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4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harts/chart15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6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7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charts/chart18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9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0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5.xml" ContentType="application/vnd.openxmlformats-officedocument.drawing+xml"/>
  <Override PartName="/xl/pivotTables/pivotTable1.xml" ContentType="application/vnd.openxmlformats-officedocument.spreadsheetml.pivotTable+xml"/>
  <Override PartName="/xl/drawings/drawing6.xml" ContentType="application/vnd.openxmlformats-officedocument.drawing+xml"/>
  <Override PartName="/xl/slicers/slicer1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7.xml" ContentType="application/vnd.openxmlformats-officedocument.drawing+xml"/>
  <Override PartName="/xl/tables/table4.xml" ContentType="application/vnd.openxmlformats-officedocument.spreadsheetml.table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tables/table5.xml" ContentType="application/vnd.openxmlformats-officedocument.spreadsheetml.table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tables/table6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\\192.168.170.200\обмен\НеезжаловаАВ\"/>
    </mc:Choice>
  </mc:AlternateContent>
  <xr:revisionPtr revIDLastSave="0" documentId="13_ncr:1_{584DA45A-9134-4E56-BE94-5AECE0E42901}" xr6:coauthVersionLast="47" xr6:coauthVersionMax="47" xr10:uidLastSave="{00000000-0000-0000-0000-000000000000}"/>
  <bookViews>
    <workbookView xWindow="-120" yWindow="-120" windowWidth="29040" windowHeight="15840" tabRatio="886" activeTab="14" xr2:uid="{00000000-000D-0000-FFFF-FFFF00000000}"/>
  </bookViews>
  <sheets>
    <sheet name="ИНФО" sheetId="42" r:id="rId1"/>
    <sheet name="ИНФО 2025" sheetId="1" state="hidden" r:id="rId2"/>
    <sheet name="ОПЕРФАКТ 2026" sheetId="41" state="hidden" r:id="rId3"/>
    <sheet name="ОПЕРФАКТ 2025" sheetId="11" state="hidden" r:id="rId4"/>
    <sheet name="Списание семян 2024" sheetId="10" state="hidden" r:id="rId5"/>
    <sheet name="ЛП 2024" sheetId="13" state="hidden" r:id="rId6"/>
    <sheet name="Кукуруза Ленинский путь" sheetId="3" state="hidden" r:id="rId7"/>
    <sheet name="Свод уборка 2025" sheetId="26" state="hidden" r:id="rId8"/>
    <sheet name="Входной контроль 2025" sheetId="23" state="hidden" r:id="rId9"/>
    <sheet name="Вх контроль 2025 итог" sheetId="39" state="hidden" r:id="rId10"/>
    <sheet name="Поля 2025" sheetId="31" state="hidden" r:id="rId11"/>
    <sheet name="Кукуруза суперсл ГРК" sheetId="4" r:id="rId12"/>
    <sheet name="Реестр уборки 2025" sheetId="25" state="hidden" r:id="rId13"/>
    <sheet name="Кукуруза Колос" sheetId="16" state="hidden" r:id="rId14"/>
    <sheet name="Кукуруза Кирова" sheetId="15" r:id="rId15"/>
    <sheet name="Реестр уборки 2026" sheetId="43" state="hidden" r:id="rId16"/>
    <sheet name="Кукуруза Братковский" sheetId="38" state="hidden" r:id="rId17"/>
    <sheet name="Кукуруза Агролидер" sheetId="36" state="hidden" r:id="rId18"/>
    <sheet name="Кукуруза сахарная ГРК" sheetId="20" state="hidden" r:id="rId19"/>
    <sheet name="Кукуруза Иррико сахар" sheetId="14" state="hidden" r:id="rId20"/>
    <sheet name="Кукуруза Иррико суперсл" sheetId="21" state="hidden" r:id="rId21"/>
    <sheet name="Реестр взвешиваний" sheetId="35" state="hidden" r:id="rId22"/>
    <sheet name="Кукуруза Кубань Хлеб" sheetId="17" state="hidden" r:id="rId23"/>
    <sheet name="Поля 2024" sheetId="2" state="hidden" r:id="rId24"/>
  </sheets>
  <definedNames>
    <definedName name="_xlnm._FilterDatabase" localSheetId="17" hidden="1">'Кукуруза Агролидер'!$J$3:$S$15</definedName>
    <definedName name="_xlnm._FilterDatabase" localSheetId="16" hidden="1">'Кукуруза Братковский'!$J$3:$S$33</definedName>
    <definedName name="_xlnm._FilterDatabase" localSheetId="19" hidden="1">'Кукуруза Иррико сахар'!$J$3:$S$30</definedName>
    <definedName name="_xlnm._FilterDatabase" localSheetId="20" hidden="1">'Кукуруза Иррико суперсл'!$J$3:$S$43</definedName>
    <definedName name="_xlnm._FilterDatabase" localSheetId="14" hidden="1">'Кукуруза Кирова'!$L$4:$U$16</definedName>
    <definedName name="_xlnm._FilterDatabase" localSheetId="13" hidden="1">'Кукуруза Колос'!$L$3:$U$47</definedName>
    <definedName name="_xlnm._FilterDatabase" localSheetId="22" hidden="1">'Кукуруза Кубань Хлеб'!$J$3:$S$15</definedName>
    <definedName name="_xlnm._FilterDatabase" localSheetId="6" hidden="1">'Кукуруза Ленинский путь'!$J$3:$S$21</definedName>
    <definedName name="_xlnm.Print_Area" localSheetId="0">ИНФО!$A$1:$X$58</definedName>
    <definedName name="_xlnm.Print_Area" localSheetId="1">'ИНФО 2025'!$A$1:$X$58</definedName>
    <definedName name="Срез_Контрагент">#N/A</definedName>
  </definedNames>
  <calcPr calcId="191029" refMode="R1C1"/>
  <pivotCaches>
    <pivotCache cacheId="7" r:id="rId25"/>
  </pivotCaches>
  <extLst>
    <ext xmlns:x14="http://schemas.microsoft.com/office/spreadsheetml/2009/9/main" uri="{BBE1A952-AA13-448e-AADC-164F8A28A991}">
      <x14:slicerCaches>
        <x14:slicerCache r:id="rId2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8" i="15" l="1"/>
  <c r="T6" i="15"/>
  <c r="T7" i="15"/>
  <c r="T8" i="15"/>
  <c r="U8" i="15" s="1"/>
  <c r="T5" i="15"/>
  <c r="Q6" i="15"/>
  <c r="S6" i="15" s="1"/>
  <c r="Q7" i="15"/>
  <c r="Q8" i="15"/>
  <c r="Q5" i="15"/>
  <c r="S5" i="15" s="1"/>
  <c r="P11" i="4"/>
  <c r="S11" i="4"/>
  <c r="F13" i="15"/>
  <c r="G13" i="15"/>
  <c r="H13" i="15"/>
  <c r="E13" i="15"/>
  <c r="S7" i="15"/>
  <c r="S8" i="15"/>
  <c r="U7" i="15"/>
  <c r="U9" i="15"/>
  <c r="U10" i="15"/>
  <c r="U11" i="15"/>
  <c r="U12" i="15"/>
  <c r="U13" i="15"/>
  <c r="U14" i="15"/>
  <c r="U15" i="15"/>
  <c r="L181" i="43"/>
  <c r="L182" i="43"/>
  <c r="L183" i="43"/>
  <c r="L184" i="43"/>
  <c r="L185" i="43"/>
  <c r="L186" i="43"/>
  <c r="L187" i="43"/>
  <c r="L188" i="43"/>
  <c r="L189" i="43"/>
  <c r="L190" i="43"/>
  <c r="L191" i="43"/>
  <c r="L180" i="43"/>
  <c r="L154" i="43"/>
  <c r="L155" i="43"/>
  <c r="L156" i="43"/>
  <c r="L157" i="43"/>
  <c r="L158" i="43"/>
  <c r="L159" i="43"/>
  <c r="L160" i="43"/>
  <c r="L161" i="43"/>
  <c r="L162" i="43"/>
  <c r="L163" i="43"/>
  <c r="L164" i="43"/>
  <c r="L165" i="43"/>
  <c r="L166" i="43"/>
  <c r="L167" i="43"/>
  <c r="L168" i="43"/>
  <c r="L169" i="43"/>
  <c r="L170" i="43"/>
  <c r="L171" i="43"/>
  <c r="L172" i="43"/>
  <c r="L173" i="43"/>
  <c r="L174" i="43"/>
  <c r="L175" i="43"/>
  <c r="L176" i="43"/>
  <c r="L177" i="43"/>
  <c r="L178" i="43"/>
  <c r="L179" i="43"/>
  <c r="L153" i="43"/>
  <c r="L128" i="43"/>
  <c r="L129" i="43"/>
  <c r="L130" i="43"/>
  <c r="L131" i="43"/>
  <c r="L132" i="43"/>
  <c r="L133" i="43"/>
  <c r="L134" i="43"/>
  <c r="L135" i="43"/>
  <c r="L136" i="43"/>
  <c r="L137" i="43"/>
  <c r="L138" i="43"/>
  <c r="L139" i="43"/>
  <c r="L140" i="43"/>
  <c r="L141" i="43"/>
  <c r="L142" i="43"/>
  <c r="L143" i="43"/>
  <c r="L144" i="43"/>
  <c r="L145" i="43"/>
  <c r="L146" i="43"/>
  <c r="L147" i="43"/>
  <c r="L148" i="43"/>
  <c r="L149" i="43"/>
  <c r="L150" i="43"/>
  <c r="L151" i="43"/>
  <c r="L152" i="43"/>
  <c r="L127" i="43"/>
  <c r="L118" i="43"/>
  <c r="L119" i="43"/>
  <c r="L120" i="43"/>
  <c r="L121" i="43"/>
  <c r="L122" i="43"/>
  <c r="L123" i="43"/>
  <c r="L124" i="43"/>
  <c r="L125" i="43"/>
  <c r="L126" i="43"/>
  <c r="L117" i="43"/>
  <c r="L100" i="43"/>
  <c r="L101" i="43"/>
  <c r="L102" i="43"/>
  <c r="L103" i="43"/>
  <c r="L104" i="43"/>
  <c r="L105" i="43"/>
  <c r="L106" i="43"/>
  <c r="L107" i="43"/>
  <c r="L108" i="43"/>
  <c r="L109" i="43"/>
  <c r="L110" i="43"/>
  <c r="L111" i="43"/>
  <c r="L112" i="43"/>
  <c r="L113" i="43"/>
  <c r="L114" i="43"/>
  <c r="L115" i="43"/>
  <c r="L116" i="43"/>
  <c r="L99" i="43"/>
  <c r="U6" i="15" l="1"/>
  <c r="U5" i="15"/>
  <c r="L192" i="43"/>
  <c r="R192" i="43"/>
  <c r="Q192" i="43"/>
  <c r="O6" i="15"/>
  <c r="O7" i="15" s="1"/>
  <c r="O8" i="15" s="1"/>
  <c r="I5" i="15"/>
  <c r="S8" i="4"/>
  <c r="S10" i="4"/>
  <c r="P10" i="4"/>
  <c r="P8" i="4"/>
  <c r="P6" i="4"/>
  <c r="S5" i="4"/>
  <c r="P5" i="4"/>
  <c r="H7" i="15"/>
  <c r="O8" i="4"/>
  <c r="K9" i="4"/>
  <c r="P9" i="4" s="1"/>
  <c r="S9" i="4" l="1"/>
  <c r="S6" i="4"/>
  <c r="K7" i="4"/>
  <c r="G85" i="41"/>
  <c r="G83" i="41"/>
  <c r="G81" i="41"/>
  <c r="F81" i="41"/>
  <c r="AB66" i="41"/>
  <c r="AB65" i="41"/>
  <c r="AB64" i="41"/>
  <c r="AB63" i="41"/>
  <c r="AB62" i="41"/>
  <c r="AB60" i="41"/>
  <c r="AB59" i="41"/>
  <c r="AB58" i="41"/>
  <c r="AB57" i="41"/>
  <c r="AB55" i="41"/>
  <c r="AB54" i="41"/>
  <c r="AB52" i="41"/>
  <c r="AB53" i="41"/>
  <c r="I67" i="41"/>
  <c r="P7" i="4" l="1"/>
  <c r="S7" i="4"/>
  <c r="T8" i="4"/>
  <c r="T9" i="4"/>
  <c r="T6" i="4"/>
  <c r="Q56" i="11"/>
  <c r="K15" i="11"/>
  <c r="M15" i="11"/>
  <c r="I56" i="11"/>
  <c r="I68" i="41"/>
  <c r="G5" i="41"/>
  <c r="M6" i="41"/>
  <c r="C6" i="41"/>
  <c r="T10" i="4"/>
  <c r="T11" i="4"/>
  <c r="T12" i="4"/>
  <c r="T13" i="4"/>
  <c r="T14" i="4"/>
  <c r="T15" i="4"/>
  <c r="T16" i="4"/>
  <c r="C17" i="4"/>
  <c r="T7" i="4" l="1"/>
  <c r="P17" i="4"/>
  <c r="I12" i="4" s="1"/>
  <c r="E17" i="4"/>
  <c r="I5" i="4"/>
  <c r="I7" i="4"/>
  <c r="H7" i="4"/>
  <c r="H13" i="4"/>
  <c r="C7" i="4"/>
  <c r="D7" i="4"/>
  <c r="E7" i="4"/>
  <c r="F7" i="4"/>
  <c r="G7" i="4"/>
  <c r="D13" i="4"/>
  <c r="E13" i="4"/>
  <c r="F13" i="4"/>
  <c r="G13" i="4"/>
  <c r="C13" i="4"/>
  <c r="E85" i="41"/>
  <c r="D85" i="41"/>
  <c r="E84" i="41"/>
  <c r="D84" i="41"/>
  <c r="E83" i="41"/>
  <c r="D83" i="41"/>
  <c r="E82" i="41"/>
  <c r="D82" i="41"/>
  <c r="Q67" i="41"/>
  <c r="Q68" i="41" s="1"/>
  <c r="P67" i="41"/>
  <c r="P68" i="41" s="1"/>
  <c r="O67" i="41"/>
  <c r="O68" i="41" s="1"/>
  <c r="N67" i="41"/>
  <c r="M67" i="41"/>
  <c r="L67" i="41"/>
  <c r="H67" i="41"/>
  <c r="H68" i="41" s="1"/>
  <c r="G67" i="41"/>
  <c r="F67" i="41"/>
  <c r="C73" i="41" s="1"/>
  <c r="E67" i="41"/>
  <c r="C72" i="41" s="1"/>
  <c r="D67" i="41"/>
  <c r="C71" i="41" s="1"/>
  <c r="C67" i="41"/>
  <c r="Z66" i="41"/>
  <c r="Z65" i="41"/>
  <c r="X64" i="41"/>
  <c r="Y63" i="41"/>
  <c r="Z62" i="41"/>
  <c r="Y62" i="41"/>
  <c r="X62" i="41"/>
  <c r="W62" i="41"/>
  <c r="V62" i="41"/>
  <c r="F85" i="41"/>
  <c r="Z61" i="41"/>
  <c r="Y61" i="41"/>
  <c r="X61" i="41"/>
  <c r="F84" i="41"/>
  <c r="Z59" i="41"/>
  <c r="Y59" i="41"/>
  <c r="X59" i="41"/>
  <c r="X58" i="41"/>
  <c r="W58" i="41"/>
  <c r="V58" i="41"/>
  <c r="X57" i="41"/>
  <c r="W57" i="41"/>
  <c r="V57" i="41"/>
  <c r="Z56" i="41"/>
  <c r="Y56" i="41"/>
  <c r="X56" i="41"/>
  <c r="W56" i="41"/>
  <c r="V56" i="41"/>
  <c r="Z55" i="41"/>
  <c r="Y55" i="41"/>
  <c r="F86" i="41"/>
  <c r="X52" i="41"/>
  <c r="W52" i="41"/>
  <c r="V52" i="41"/>
  <c r="J14" i="41"/>
  <c r="J13" i="41"/>
  <c r="J12" i="41"/>
  <c r="J11" i="41"/>
  <c r="N8" i="41"/>
  <c r="J8" i="41"/>
  <c r="L8" i="41" s="1"/>
  <c r="J5" i="41"/>
  <c r="C7" i="41"/>
  <c r="N7" i="41"/>
  <c r="J7" i="41"/>
  <c r="L7" i="41" s="1"/>
  <c r="G4" i="41"/>
  <c r="F4" i="41"/>
  <c r="G6" i="41"/>
  <c r="F6" i="41"/>
  <c r="V10" i="31"/>
  <c r="V52" i="31"/>
  <c r="T52" i="31"/>
  <c r="V54" i="31"/>
  <c r="T54" i="31"/>
  <c r="J903" i="25"/>
  <c r="J904" i="25"/>
  <c r="J905" i="25"/>
  <c r="J906" i="25"/>
  <c r="J910" i="25"/>
  <c r="J911" i="25"/>
  <c r="J912" i="25"/>
  <c r="J913" i="25"/>
  <c r="J914" i="25"/>
  <c r="J915" i="25"/>
  <c r="J916" i="25"/>
  <c r="J917" i="25"/>
  <c r="J918" i="25"/>
  <c r="J969" i="25"/>
  <c r="J970" i="25"/>
  <c r="J971" i="25"/>
  <c r="J973" i="25"/>
  <c r="J974" i="25"/>
  <c r="J975" i="25"/>
  <c r="J976" i="25"/>
  <c r="J1003" i="25"/>
  <c r="J1082" i="25"/>
  <c r="J1084" i="25"/>
  <c r="J1088" i="25"/>
  <c r="J1089" i="25"/>
  <c r="J1090" i="25"/>
  <c r="J1104" i="25"/>
  <c r="J1126" i="25"/>
  <c r="J1130" i="25"/>
  <c r="J1132" i="25"/>
  <c r="J1133" i="25"/>
  <c r="J1138" i="25"/>
  <c r="J1142" i="25"/>
  <c r="J1147" i="25"/>
  <c r="J1153" i="25"/>
  <c r="J1154" i="25"/>
  <c r="J1162" i="25"/>
  <c r="M1461" i="39"/>
  <c r="V50" i="31"/>
  <c r="T50" i="31"/>
  <c r="C5" i="11"/>
  <c r="C6" i="11"/>
  <c r="C7" i="11"/>
  <c r="V53" i="31"/>
  <c r="T53" i="31"/>
  <c r="V56" i="31"/>
  <c r="T56" i="31"/>
  <c r="U44" i="16"/>
  <c r="U43" i="16"/>
  <c r="Q53" i="31"/>
  <c r="T16" i="15" l="1"/>
  <c r="C18" i="15" s="1"/>
  <c r="K5" i="41" s="1"/>
  <c r="J61" i="41" s="1"/>
  <c r="G84" i="41" s="1"/>
  <c r="T5" i="4"/>
  <c r="D37" i="41"/>
  <c r="G9" i="41"/>
  <c r="C13" i="41" s="1"/>
  <c r="C27" i="41" s="1"/>
  <c r="F9" i="41"/>
  <c r="J6" i="41"/>
  <c r="L6" i="41" s="1"/>
  <c r="W67" i="41"/>
  <c r="D72" i="41" s="1"/>
  <c r="AA61" i="41"/>
  <c r="C75" i="41"/>
  <c r="J4" i="41"/>
  <c r="AA55" i="41"/>
  <c r="AA60" i="41"/>
  <c r="D86" i="41"/>
  <c r="D88" i="41" s="1"/>
  <c r="AA59" i="41"/>
  <c r="AA62" i="41"/>
  <c r="V67" i="41"/>
  <c r="D71" i="41" s="1"/>
  <c r="C8" i="41"/>
  <c r="N6" i="41"/>
  <c r="F83" i="41"/>
  <c r="E86" i="41"/>
  <c r="E88" i="41" s="1"/>
  <c r="X67" i="41"/>
  <c r="F68" i="41"/>
  <c r="AA54" i="41"/>
  <c r="Y67" i="41"/>
  <c r="G68" i="41"/>
  <c r="AA53" i="41"/>
  <c r="Z67" i="41"/>
  <c r="C74" i="41"/>
  <c r="L5" i="41" l="1"/>
  <c r="J9" i="41"/>
  <c r="Y68" i="41"/>
  <c r="D74" i="41"/>
  <c r="D73" i="41"/>
  <c r="X68" i="41"/>
  <c r="Z68" i="41"/>
  <c r="D75" i="41"/>
  <c r="U40" i="16"/>
  <c r="C31" i="41" l="1"/>
  <c r="D36" i="41"/>
  <c r="P16" i="15"/>
  <c r="F31" i="41" l="1"/>
  <c r="E31" i="41"/>
  <c r="C42" i="41"/>
  <c r="Q47" i="16"/>
  <c r="T47" i="16"/>
  <c r="Q16" i="15"/>
  <c r="U39" i="16"/>
  <c r="U38" i="16"/>
  <c r="U37" i="16"/>
  <c r="U36" i="16"/>
  <c r="U35" i="16"/>
  <c r="U34" i="16"/>
  <c r="V43" i="31"/>
  <c r="V44" i="31"/>
  <c r="V46" i="31"/>
  <c r="T46" i="31"/>
  <c r="V45" i="31"/>
  <c r="T45" i="31"/>
  <c r="T43" i="31"/>
  <c r="U33" i="16"/>
  <c r="U32" i="16"/>
  <c r="U16" i="15" l="1"/>
  <c r="U31" i="16"/>
  <c r="H6" i="38"/>
  <c r="U25" i="16" l="1"/>
  <c r="P58" i="31"/>
  <c r="E32" i="38"/>
  <c r="C32" i="38"/>
  <c r="C26" i="38"/>
  <c r="V51" i="31" l="1"/>
  <c r="T51" i="31"/>
  <c r="E26" i="38" l="1"/>
  <c r="E18" i="38"/>
  <c r="V49" i="31" l="1"/>
  <c r="T49" i="31"/>
  <c r="V48" i="31"/>
  <c r="T48" i="31"/>
  <c r="Q48" i="31"/>
  <c r="Q49" i="31"/>
  <c r="N28" i="38"/>
  <c r="O28" i="38" l="1"/>
  <c r="R28" i="38"/>
  <c r="S27" i="38"/>
  <c r="S26" i="38"/>
  <c r="V57" i="31" l="1"/>
  <c r="T57" i="31"/>
  <c r="V55" i="31"/>
  <c r="T55" i="31"/>
  <c r="U11" i="16"/>
  <c r="S18" i="38"/>
  <c r="S19" i="38"/>
  <c r="S20" i="38"/>
  <c r="S21" i="38"/>
  <c r="S22" i="38"/>
  <c r="S23" i="38"/>
  <c r="S24" i="38"/>
  <c r="C7" i="16" l="1"/>
  <c r="D7" i="16"/>
  <c r="U46" i="16"/>
  <c r="U30" i="16"/>
  <c r="U29" i="16"/>
  <c r="U28" i="16"/>
  <c r="U27" i="16"/>
  <c r="U26" i="16"/>
  <c r="U24" i="16"/>
  <c r="U23" i="16"/>
  <c r="U22" i="16"/>
  <c r="U21" i="16"/>
  <c r="U20" i="16"/>
  <c r="U19" i="16"/>
  <c r="U18" i="16"/>
  <c r="U17" i="16"/>
  <c r="U16" i="16"/>
  <c r="U15" i="16"/>
  <c r="U14" i="16"/>
  <c r="U13" i="16"/>
  <c r="U12" i="16"/>
  <c r="U10" i="16"/>
  <c r="U9" i="16"/>
  <c r="U8" i="16"/>
  <c r="U7" i="16"/>
  <c r="U6" i="16"/>
  <c r="U5" i="16"/>
  <c r="U4" i="16"/>
  <c r="H5" i="16"/>
  <c r="H7" i="16" s="1"/>
  <c r="H12" i="16"/>
  <c r="S17" i="38"/>
  <c r="S28" i="38" l="1"/>
  <c r="E17" i="16"/>
  <c r="C19" i="16" s="1"/>
  <c r="D16" i="16"/>
  <c r="E24" i="21"/>
  <c r="D24" i="21" s="1"/>
  <c r="C24" i="21"/>
  <c r="V42" i="31"/>
  <c r="T42" i="31"/>
  <c r="V47" i="31"/>
  <c r="T47" i="31"/>
  <c r="L1461" i="25" l="1"/>
  <c r="M9" i="11"/>
  <c r="Q62" i="11"/>
  <c r="D26" i="38"/>
  <c r="J1461" i="25"/>
  <c r="C96" i="11" l="1"/>
  <c r="AE27" i="1" s="1"/>
  <c r="S9" i="38"/>
  <c r="S10" i="38"/>
  <c r="S7" i="38" l="1"/>
  <c r="S45" i="31" l="1"/>
  <c r="S46" i="31"/>
  <c r="S47" i="31"/>
  <c r="S48" i="31"/>
  <c r="T44" i="31"/>
  <c r="H6" i="36"/>
  <c r="T38" i="31"/>
  <c r="V38" i="31"/>
  <c r="S14" i="36"/>
  <c r="V41" i="31" l="1"/>
  <c r="T41" i="31"/>
  <c r="S49" i="31"/>
  <c r="R15" i="36" l="1"/>
  <c r="S5" i="38"/>
  <c r="S6" i="38"/>
  <c r="S12" i="38"/>
  <c r="S15" i="38"/>
  <c r="S4" i="38"/>
  <c r="E17" i="38"/>
  <c r="C17" i="38"/>
  <c r="D32" i="38"/>
  <c r="C34" i="38"/>
  <c r="C33" i="38"/>
  <c r="D31" i="38"/>
  <c r="D25" i="38"/>
  <c r="D17" i="15"/>
  <c r="I7" i="15"/>
  <c r="E30" i="21"/>
  <c r="C18" i="38"/>
  <c r="K7" i="11" s="1"/>
  <c r="P28" i="38"/>
  <c r="H7" i="38"/>
  <c r="H5" i="38"/>
  <c r="M1466" i="23"/>
  <c r="S12" i="36"/>
  <c r="S13" i="36"/>
  <c r="V39" i="31"/>
  <c r="T39" i="31"/>
  <c r="D17" i="38" l="1"/>
  <c r="M7" i="11"/>
  <c r="I54" i="11"/>
  <c r="F81" i="11" s="1"/>
  <c r="H10" i="38"/>
  <c r="C27" i="38"/>
  <c r="Q28" i="38"/>
  <c r="H12" i="38"/>
  <c r="C19" i="38"/>
  <c r="S10" i="36"/>
  <c r="S11" i="36"/>
  <c r="V40" i="31"/>
  <c r="T40" i="31"/>
  <c r="D18" i="38" l="1"/>
  <c r="C20" i="38"/>
  <c r="Q54" i="11"/>
  <c r="Y54" i="11" s="1"/>
  <c r="C28" i="38"/>
  <c r="H13" i="38"/>
  <c r="V33" i="31" l="1"/>
  <c r="T33" i="31"/>
  <c r="S8" i="36" l="1"/>
  <c r="V32" i="31" l="1"/>
  <c r="T32" i="31"/>
  <c r="S9" i="20"/>
  <c r="S8" i="20"/>
  <c r="S5" i="20"/>
  <c r="S6" i="20"/>
  <c r="S7" i="20"/>
  <c r="T30" i="31"/>
  <c r="V31" i="31"/>
  <c r="T31" i="31"/>
  <c r="V30" i="31"/>
  <c r="V29" i="31"/>
  <c r="T29" i="31"/>
  <c r="S4" i="36" l="1"/>
  <c r="H5" i="36"/>
  <c r="D17" i="36"/>
  <c r="H7" i="36"/>
  <c r="O15" i="36"/>
  <c r="E18" i="36" s="1"/>
  <c r="N15" i="36"/>
  <c r="H5" i="20"/>
  <c r="H7" i="20" s="1"/>
  <c r="S4" i="20"/>
  <c r="D20" i="20"/>
  <c r="O17" i="4"/>
  <c r="Q17" i="4"/>
  <c r="S17" i="4"/>
  <c r="S24" i="14"/>
  <c r="S25" i="14"/>
  <c r="S26" i="14"/>
  <c r="V25" i="31"/>
  <c r="T25" i="31"/>
  <c r="V26" i="31"/>
  <c r="T26" i="31"/>
  <c r="V24" i="31"/>
  <c r="T24" i="31"/>
  <c r="I10" i="4" l="1"/>
  <c r="I13" i="4" s="1"/>
  <c r="T17" i="4"/>
  <c r="R17" i="4"/>
  <c r="C20" i="36"/>
  <c r="M6" i="11"/>
  <c r="Q53" i="11"/>
  <c r="H12" i="36"/>
  <c r="P15" i="36"/>
  <c r="V35" i="31"/>
  <c r="T35" i="31"/>
  <c r="V37" i="31"/>
  <c r="V34" i="31"/>
  <c r="T37" i="31"/>
  <c r="T34" i="31"/>
  <c r="H10" i="36" l="1"/>
  <c r="H13" i="36" s="1"/>
  <c r="C18" i="36"/>
  <c r="Q15" i="36"/>
  <c r="S15" i="36"/>
  <c r="D17" i="4"/>
  <c r="V22" i="31"/>
  <c r="T22" i="31"/>
  <c r="C31" i="14"/>
  <c r="K6" i="11" l="1"/>
  <c r="I53" i="11"/>
  <c r="C19" i="36"/>
  <c r="D18" i="36"/>
  <c r="E31" i="14"/>
  <c r="O30" i="14"/>
  <c r="E19" i="14" s="1"/>
  <c r="V28" i="31"/>
  <c r="T28" i="31"/>
  <c r="C30" i="21"/>
  <c r="V23" i="31"/>
  <c r="T23" i="31"/>
  <c r="Q1461" i="25"/>
  <c r="R1461" i="25"/>
  <c r="S25" i="31"/>
  <c r="N30" i="14"/>
  <c r="S28" i="31"/>
  <c r="Y53" i="11" l="1"/>
  <c r="R30" i="14"/>
  <c r="V16" i="31" l="1"/>
  <c r="T16" i="31"/>
  <c r="V27" i="31"/>
  <c r="T27" i="31"/>
  <c r="S11" i="14"/>
  <c r="S12" i="14"/>
  <c r="S13" i="14"/>
  <c r="S14" i="14"/>
  <c r="S15" i="14"/>
  <c r="S16" i="14"/>
  <c r="S17" i="14"/>
  <c r="S18" i="14"/>
  <c r="S19" i="14"/>
  <c r="S20" i="14"/>
  <c r="S21" i="14"/>
  <c r="S22" i="14"/>
  <c r="S27" i="14"/>
  <c r="S28" i="14"/>
  <c r="S29" i="14"/>
  <c r="S8" i="14"/>
  <c r="S9" i="14"/>
  <c r="S10" i="14"/>
  <c r="C33" i="14"/>
  <c r="C32" i="14"/>
  <c r="E25" i="14"/>
  <c r="C27" i="14" s="1"/>
  <c r="C25" i="14"/>
  <c r="D30" i="14"/>
  <c r="D24" i="14"/>
  <c r="D25" i="14" l="1"/>
  <c r="C26" i="14"/>
  <c r="D31" i="14"/>
  <c r="E18" i="14" l="1"/>
  <c r="S5" i="14" l="1"/>
  <c r="S6" i="14"/>
  <c r="S4" i="14"/>
  <c r="D18" i="14"/>
  <c r="H7" i="14"/>
  <c r="V15" i="31"/>
  <c r="T15" i="31"/>
  <c r="V14" i="31"/>
  <c r="T14" i="31"/>
  <c r="V18" i="31"/>
  <c r="V17" i="31"/>
  <c r="S42" i="21"/>
  <c r="S41" i="21"/>
  <c r="S40" i="21"/>
  <c r="S39" i="21"/>
  <c r="S38" i="21"/>
  <c r="S37" i="21"/>
  <c r="O43" i="21"/>
  <c r="N43" i="21"/>
  <c r="T18" i="31" l="1"/>
  <c r="T17" i="31"/>
  <c r="V19" i="31" l="1"/>
  <c r="T19" i="31"/>
  <c r="S36" i="21"/>
  <c r="R43" i="21" s="1"/>
  <c r="S43" i="21" s="1"/>
  <c r="S35" i="21"/>
  <c r="Q19" i="31" l="1"/>
  <c r="K20" i="31"/>
  <c r="M20" i="31"/>
  <c r="O20" i="31" s="1"/>
  <c r="Q20" i="31"/>
  <c r="S20" i="31"/>
  <c r="U20" i="31"/>
  <c r="K14" i="31"/>
  <c r="M14" i="31"/>
  <c r="O14" i="31" s="1"/>
  <c r="Q14" i="31"/>
  <c r="S14" i="31"/>
  <c r="U14" i="31"/>
  <c r="K15" i="31"/>
  <c r="M15" i="31"/>
  <c r="O15" i="31" s="1"/>
  <c r="S15" i="31"/>
  <c r="U15" i="31"/>
  <c r="K16" i="31"/>
  <c r="M16" i="31"/>
  <c r="O16" i="31" s="1"/>
  <c r="Q16" i="31"/>
  <c r="S16" i="31"/>
  <c r="U16" i="31"/>
  <c r="S34" i="21"/>
  <c r="S33" i="21"/>
  <c r="V11" i="31"/>
  <c r="V9" i="31"/>
  <c r="S32" i="21" l="1"/>
  <c r="T11" i="31" l="1"/>
  <c r="T10" i="31"/>
  <c r="S10" i="31" s="1"/>
  <c r="T9" i="31"/>
  <c r="U9" i="31" s="1"/>
  <c r="S31" i="21"/>
  <c r="C32" i="21"/>
  <c r="C31" i="21"/>
  <c r="D23" i="21"/>
  <c r="C26" i="21"/>
  <c r="C25" i="21"/>
  <c r="D29" i="21"/>
  <c r="S29" i="21"/>
  <c r="S30" i="21"/>
  <c r="S28" i="21"/>
  <c r="S27" i="21"/>
  <c r="S26" i="21"/>
  <c r="U11" i="31"/>
  <c r="S23" i="21"/>
  <c r="S24" i="21"/>
  <c r="S22" i="21"/>
  <c r="V8" i="31"/>
  <c r="U8" i="31" s="1"/>
  <c r="T8" i="31"/>
  <c r="S8" i="31" s="1"/>
  <c r="S21" i="21"/>
  <c r="S20" i="21"/>
  <c r="S19" i="21"/>
  <c r="S18" i="21"/>
  <c r="S9" i="31"/>
  <c r="S17" i="21"/>
  <c r="S11" i="31"/>
  <c r="S12" i="31"/>
  <c r="S13" i="31"/>
  <c r="S17" i="31"/>
  <c r="S18" i="31"/>
  <c r="S19" i="31"/>
  <c r="S21" i="31"/>
  <c r="S22" i="31"/>
  <c r="S23" i="31"/>
  <c r="S24" i="31"/>
  <c r="S26" i="31"/>
  <c r="S27" i="31"/>
  <c r="S29" i="31"/>
  <c r="S30" i="31"/>
  <c r="S31" i="31"/>
  <c r="S32" i="31"/>
  <c r="S33" i="31"/>
  <c r="S34" i="31"/>
  <c r="S35" i="31"/>
  <c r="S36" i="31"/>
  <c r="S37" i="31"/>
  <c r="S38" i="31"/>
  <c r="S39" i="31"/>
  <c r="S40" i="31"/>
  <c r="S41" i="31"/>
  <c r="S42" i="31"/>
  <c r="S43" i="31"/>
  <c r="S44" i="31"/>
  <c r="S50" i="31"/>
  <c r="S51" i="31"/>
  <c r="S52" i="31"/>
  <c r="S53" i="31"/>
  <c r="S54" i="31"/>
  <c r="S55" i="31"/>
  <c r="S56" i="31"/>
  <c r="S57" i="31"/>
  <c r="V7" i="31"/>
  <c r="T7" i="31"/>
  <c r="S7" i="31" s="1"/>
  <c r="V6" i="31"/>
  <c r="T6" i="31"/>
  <c r="S6" i="31" s="1"/>
  <c r="V4" i="31"/>
  <c r="T4" i="31"/>
  <c r="S4" i="31" s="1"/>
  <c r="V5" i="31"/>
  <c r="T5" i="31"/>
  <c r="S5" i="31" s="1"/>
  <c r="V3" i="31"/>
  <c r="T3" i="31"/>
  <c r="S3" i="31" s="1"/>
  <c r="V2" i="31"/>
  <c r="T2" i="31"/>
  <c r="U12" i="31"/>
  <c r="U13" i="31"/>
  <c r="U17" i="31"/>
  <c r="U18" i="31"/>
  <c r="U19" i="31"/>
  <c r="U21" i="31"/>
  <c r="U22" i="31"/>
  <c r="U23" i="31"/>
  <c r="U24" i="31"/>
  <c r="U25" i="31"/>
  <c r="U26" i="31"/>
  <c r="U27" i="31"/>
  <c r="U28" i="31"/>
  <c r="U29" i="31"/>
  <c r="U30" i="31"/>
  <c r="U31" i="31"/>
  <c r="U32" i="31"/>
  <c r="U33" i="31"/>
  <c r="U34" i="31"/>
  <c r="U35" i="31"/>
  <c r="U36" i="31"/>
  <c r="U37" i="31"/>
  <c r="U38" i="31"/>
  <c r="U39" i="31"/>
  <c r="U40" i="31"/>
  <c r="U41" i="31"/>
  <c r="U42" i="31"/>
  <c r="U43" i="31"/>
  <c r="U44" i="31"/>
  <c r="U45" i="31"/>
  <c r="U46" i="31"/>
  <c r="U47" i="31"/>
  <c r="U48" i="31"/>
  <c r="U49" i="31"/>
  <c r="U50" i="31"/>
  <c r="U51" i="31"/>
  <c r="U52" i="31"/>
  <c r="U53" i="31"/>
  <c r="U54" i="31"/>
  <c r="U55" i="31"/>
  <c r="U56" i="31"/>
  <c r="U57" i="31"/>
  <c r="Q2" i="31"/>
  <c r="Q3" i="31"/>
  <c r="Q4" i="31"/>
  <c r="Q5" i="31"/>
  <c r="Q6" i="31"/>
  <c r="R6" i="31" s="1"/>
  <c r="Q7" i="31"/>
  <c r="R7" i="31" s="1"/>
  <c r="Q8" i="31"/>
  <c r="Q9" i="31"/>
  <c r="Q10" i="31"/>
  <c r="Q11" i="31"/>
  <c r="Q12" i="31"/>
  <c r="Q13" i="31"/>
  <c r="Q17" i="31"/>
  <c r="Q18" i="31"/>
  <c r="Q21" i="31"/>
  <c r="Q22" i="31"/>
  <c r="Q23" i="31"/>
  <c r="Q24" i="31"/>
  <c r="Q25" i="31"/>
  <c r="Q26" i="31"/>
  <c r="Q27" i="31"/>
  <c r="Q28" i="31"/>
  <c r="Q29" i="31"/>
  <c r="Q30" i="31"/>
  <c r="Q31" i="31"/>
  <c r="Q32" i="31"/>
  <c r="Q33" i="31"/>
  <c r="Q34" i="31"/>
  <c r="Q35" i="31"/>
  <c r="Q36" i="31"/>
  <c r="Q37" i="31"/>
  <c r="Q38" i="31"/>
  <c r="Q39" i="31"/>
  <c r="Q40" i="31"/>
  <c r="Q41" i="31"/>
  <c r="Q42" i="31"/>
  <c r="Q43" i="31"/>
  <c r="Q44" i="31"/>
  <c r="Q47" i="31"/>
  <c r="Q50" i="31"/>
  <c r="Q51" i="31"/>
  <c r="Q52" i="31"/>
  <c r="Q54" i="31"/>
  <c r="Q55" i="31"/>
  <c r="Q56" i="31"/>
  <c r="Q57" i="31"/>
  <c r="C98" i="11"/>
  <c r="C99" i="11"/>
  <c r="S15" i="21"/>
  <c r="S14" i="21"/>
  <c r="S13" i="21"/>
  <c r="S12" i="21"/>
  <c r="S10" i="21"/>
  <c r="S11" i="21"/>
  <c r="J58" i="31"/>
  <c r="M2" i="31"/>
  <c r="O2" i="31" s="1"/>
  <c r="M3" i="31"/>
  <c r="O3" i="31" s="1"/>
  <c r="M4" i="31"/>
  <c r="O4" i="31" s="1"/>
  <c r="M5" i="31"/>
  <c r="O5" i="31" s="1"/>
  <c r="M6" i="31"/>
  <c r="O6" i="31" s="1"/>
  <c r="M7" i="31"/>
  <c r="O7" i="31" s="1"/>
  <c r="M8" i="31"/>
  <c r="O8" i="31" s="1"/>
  <c r="M9" i="31"/>
  <c r="O9" i="31" s="1"/>
  <c r="M10" i="31"/>
  <c r="O10" i="31" s="1"/>
  <c r="M11" i="31"/>
  <c r="O11" i="31" s="1"/>
  <c r="M12" i="31"/>
  <c r="O12" i="31" s="1"/>
  <c r="M13" i="31"/>
  <c r="O13" i="31" s="1"/>
  <c r="M17" i="31"/>
  <c r="O17" i="31" s="1"/>
  <c r="M18" i="31"/>
  <c r="O18" i="31" s="1"/>
  <c r="M19" i="31"/>
  <c r="O19" i="31" s="1"/>
  <c r="M21" i="31"/>
  <c r="O21" i="31" s="1"/>
  <c r="M22" i="31"/>
  <c r="O22" i="31" s="1"/>
  <c r="M23" i="31"/>
  <c r="O23" i="31" s="1"/>
  <c r="M24" i="31"/>
  <c r="O24" i="31" s="1"/>
  <c r="M25" i="31"/>
  <c r="O25" i="31" s="1"/>
  <c r="M26" i="31"/>
  <c r="O26" i="31" s="1"/>
  <c r="M27" i="31"/>
  <c r="O27" i="31" s="1"/>
  <c r="M28" i="31"/>
  <c r="O28" i="31" s="1"/>
  <c r="M29" i="31"/>
  <c r="O29" i="31" s="1"/>
  <c r="M30" i="31"/>
  <c r="O30" i="31" s="1"/>
  <c r="M31" i="31"/>
  <c r="O31" i="31" s="1"/>
  <c r="M32" i="31"/>
  <c r="O32" i="31" s="1"/>
  <c r="M33" i="31"/>
  <c r="O33" i="31" s="1"/>
  <c r="M34" i="31"/>
  <c r="O34" i="31" s="1"/>
  <c r="M35" i="31"/>
  <c r="O35" i="31" s="1"/>
  <c r="M36" i="31"/>
  <c r="O36" i="31" s="1"/>
  <c r="M37" i="31"/>
  <c r="O37" i="31" s="1"/>
  <c r="M38" i="31"/>
  <c r="O38" i="31" s="1"/>
  <c r="M39" i="31"/>
  <c r="O39" i="31" s="1"/>
  <c r="M40" i="31"/>
  <c r="O40" i="31" s="1"/>
  <c r="M41" i="31"/>
  <c r="O41" i="31" s="1"/>
  <c r="M42" i="31"/>
  <c r="O42" i="31" s="1"/>
  <c r="M43" i="31"/>
  <c r="O43" i="31" s="1"/>
  <c r="M44" i="31"/>
  <c r="O44" i="31" s="1"/>
  <c r="M47" i="31"/>
  <c r="O47" i="31" s="1"/>
  <c r="M48" i="31"/>
  <c r="O48" i="31" s="1"/>
  <c r="M49" i="31"/>
  <c r="O49" i="31" s="1"/>
  <c r="M50" i="31"/>
  <c r="O50" i="31" s="1"/>
  <c r="M51" i="31"/>
  <c r="O51" i="31" s="1"/>
  <c r="M52" i="31"/>
  <c r="O52" i="31" s="1"/>
  <c r="M53" i="31"/>
  <c r="O53" i="31" s="1"/>
  <c r="M54" i="31"/>
  <c r="O54" i="31" s="1"/>
  <c r="M55" i="31"/>
  <c r="O55" i="31" s="1"/>
  <c r="M56" i="31"/>
  <c r="O56" i="31" s="1"/>
  <c r="M57" i="31"/>
  <c r="O57" i="31" s="1"/>
  <c r="U5" i="31" l="1"/>
  <c r="U3" i="31"/>
  <c r="U7" i="31"/>
  <c r="T58" i="31"/>
  <c r="S58" i="31" s="1"/>
  <c r="U10" i="31"/>
  <c r="U6" i="31"/>
  <c r="V58" i="31"/>
  <c r="U4" i="31"/>
  <c r="D30" i="21"/>
  <c r="R58" i="31"/>
  <c r="U2" i="31"/>
  <c r="S2" i="31"/>
  <c r="U58" i="31" l="1"/>
  <c r="I45" i="31"/>
  <c r="Q45" i="31" s="1"/>
  <c r="M45" i="31" l="1"/>
  <c r="O45" i="31" s="1"/>
  <c r="I46" i="31"/>
  <c r="Q46" i="31" s="1"/>
  <c r="Q58" i="31" s="1"/>
  <c r="I58" i="31" l="1"/>
  <c r="K58" i="31" s="1"/>
  <c r="M46" i="31"/>
  <c r="O46" i="31" s="1"/>
  <c r="O58" i="31" s="1"/>
  <c r="K46" i="31"/>
  <c r="M58" i="31" l="1"/>
  <c r="L58" i="31" s="1"/>
  <c r="K45" i="31"/>
  <c r="K2" i="31"/>
  <c r="K3" i="31"/>
  <c r="K4" i="31"/>
  <c r="K5" i="31"/>
  <c r="K6" i="31"/>
  <c r="K7" i="31"/>
  <c r="K8" i="31"/>
  <c r="K9" i="31"/>
  <c r="K10" i="31"/>
  <c r="K11" i="31"/>
  <c r="K12" i="31"/>
  <c r="K13" i="31"/>
  <c r="K17" i="31"/>
  <c r="K18" i="31"/>
  <c r="K19" i="31"/>
  <c r="K21" i="31"/>
  <c r="K22" i="31"/>
  <c r="K23" i="31"/>
  <c r="K24" i="31"/>
  <c r="K25" i="31"/>
  <c r="K26" i="31"/>
  <c r="K27" i="31"/>
  <c r="K28" i="31"/>
  <c r="K29" i="31"/>
  <c r="K30" i="31"/>
  <c r="K31" i="31"/>
  <c r="K32" i="31"/>
  <c r="K33" i="31"/>
  <c r="K34" i="31"/>
  <c r="K35" i="31"/>
  <c r="K36" i="31"/>
  <c r="K37" i="31"/>
  <c r="K38" i="31"/>
  <c r="K39" i="31"/>
  <c r="K40" i="31"/>
  <c r="K47" i="31"/>
  <c r="K48" i="31"/>
  <c r="K49" i="31"/>
  <c r="K50" i="31"/>
  <c r="K41" i="31"/>
  <c r="K42" i="31"/>
  <c r="K43" i="31"/>
  <c r="K44" i="31"/>
  <c r="K51" i="31"/>
  <c r="K52" i="31"/>
  <c r="K53" i="31"/>
  <c r="K54" i="31"/>
  <c r="K55" i="31"/>
  <c r="K56" i="31"/>
  <c r="K57" i="31"/>
  <c r="N58" i="31" l="1"/>
  <c r="S9" i="21"/>
  <c r="J7" i="11" l="1"/>
  <c r="G7" i="11"/>
  <c r="AE30" i="1" l="1"/>
  <c r="AE29" i="1"/>
  <c r="C97" i="11"/>
  <c r="AE28" i="1" s="1"/>
  <c r="S5" i="21"/>
  <c r="S6" i="21"/>
  <c r="S7" i="21"/>
  <c r="F80" i="11"/>
  <c r="F5" i="11" l="1"/>
  <c r="F4" i="11"/>
  <c r="F10" i="11" s="1"/>
  <c r="G5" i="11"/>
  <c r="G4" i="11"/>
  <c r="G10" i="11" s="1"/>
  <c r="C13" i="11" s="1"/>
  <c r="C27" i="11" s="1"/>
  <c r="N6" i="11"/>
  <c r="N7" i="11"/>
  <c r="J9" i="11"/>
  <c r="J8" i="11"/>
  <c r="J6" i="11"/>
  <c r="L6" i="11" s="1"/>
  <c r="J15" i="11"/>
  <c r="J14" i="11"/>
  <c r="J12" i="11"/>
  <c r="J4" i="11" s="1"/>
  <c r="J13" i="11"/>
  <c r="L7" i="11"/>
  <c r="J5" i="11" l="1"/>
  <c r="D37" i="11"/>
  <c r="J10" i="11"/>
  <c r="C31" i="11" s="1"/>
  <c r="F31" i="11" l="1"/>
  <c r="E31" i="11"/>
  <c r="C42" i="11"/>
  <c r="D36" i="11"/>
  <c r="H67" i="11" l="1"/>
  <c r="E85" i="11" l="1"/>
  <c r="D85" i="11"/>
  <c r="E84" i="11"/>
  <c r="D84" i="11"/>
  <c r="E83" i="11"/>
  <c r="D83" i="11"/>
  <c r="E82" i="11"/>
  <c r="D82" i="11"/>
  <c r="E17" i="21"/>
  <c r="D17" i="21" s="1"/>
  <c r="H7" i="21"/>
  <c r="S4" i="21"/>
  <c r="T66" i="2"/>
  <c r="N66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C20" i="21" l="1"/>
  <c r="E18" i="21"/>
  <c r="M13" i="11" s="1"/>
  <c r="C8" i="11"/>
  <c r="H12" i="21"/>
  <c r="Q60" i="11" s="1"/>
  <c r="H10" i="21"/>
  <c r="P43" i="21"/>
  <c r="C18" i="21" l="1"/>
  <c r="K13" i="11" s="1"/>
  <c r="H13" i="21"/>
  <c r="Q43" i="21"/>
  <c r="I60" i="11" l="1"/>
  <c r="D18" i="21"/>
  <c r="C19" i="21"/>
  <c r="R10" i="20"/>
  <c r="P10" i="20"/>
  <c r="N10" i="20"/>
  <c r="O10" i="20"/>
  <c r="F13" i="20"/>
  <c r="F7" i="20"/>
  <c r="T64" i="2"/>
  <c r="T63" i="2"/>
  <c r="T65" i="2"/>
  <c r="C21" i="20" l="1"/>
  <c r="H10" i="20"/>
  <c r="H12" i="20"/>
  <c r="E21" i="20"/>
  <c r="S10" i="20"/>
  <c r="Y60" i="11"/>
  <c r="Q10" i="20"/>
  <c r="C23" i="20" l="1"/>
  <c r="Q55" i="11"/>
  <c r="M14" i="11"/>
  <c r="H13" i="20"/>
  <c r="C22" i="20"/>
  <c r="I55" i="11"/>
  <c r="K14" i="11"/>
  <c r="D21" i="20"/>
  <c r="X55" i="11"/>
  <c r="N64" i="2"/>
  <c r="Y55" i="11" l="1"/>
  <c r="N65" i="2"/>
  <c r="N63" i="2"/>
  <c r="N62" i="2" l="1"/>
  <c r="T62" i="2"/>
  <c r="T61" i="2"/>
  <c r="N61" i="2"/>
  <c r="T60" i="2"/>
  <c r="N60" i="2"/>
  <c r="T59" i="2"/>
  <c r="N59" i="2"/>
  <c r="T51" i="2"/>
  <c r="T48" i="2" l="1"/>
  <c r="N48" i="2"/>
  <c r="T50" i="2"/>
  <c r="N51" i="2"/>
  <c r="R13" i="17"/>
  <c r="R12" i="17" s="1"/>
  <c r="P13" i="17"/>
  <c r="P12" i="17" s="1"/>
  <c r="S14" i="17"/>
  <c r="Q14" i="17"/>
  <c r="Q6" i="17" l="1"/>
  <c r="S6" i="17"/>
  <c r="G7" i="17"/>
  <c r="S13" i="17"/>
  <c r="Q13" i="17"/>
  <c r="T49" i="2"/>
  <c r="Q12" i="17"/>
  <c r="O15" i="17"/>
  <c r="Q11" i="17"/>
  <c r="S10" i="17"/>
  <c r="S11" i="17"/>
  <c r="Q10" i="17"/>
  <c r="N50" i="2"/>
  <c r="N49" i="2"/>
  <c r="P47" i="16"/>
  <c r="T58" i="2"/>
  <c r="N58" i="2"/>
  <c r="T44" i="2"/>
  <c r="T47" i="2"/>
  <c r="T46" i="2"/>
  <c r="T45" i="2"/>
  <c r="R47" i="16" l="1"/>
  <c r="P15" i="17"/>
  <c r="S12" i="17"/>
  <c r="R16" i="15"/>
  <c r="S16" i="15" s="1"/>
  <c r="N45" i="2"/>
  <c r="N44" i="2"/>
  <c r="I12" i="15" l="1"/>
  <c r="E18" i="15"/>
  <c r="M5" i="41" s="1"/>
  <c r="S61" i="41" l="1"/>
  <c r="AB61" i="41" s="1"/>
  <c r="N5" i="41"/>
  <c r="H10" i="16"/>
  <c r="H13" i="16" s="1"/>
  <c r="C17" i="16"/>
  <c r="M8" i="11"/>
  <c r="C20" i="15"/>
  <c r="Q61" i="11"/>
  <c r="N47" i="2"/>
  <c r="N46" i="2"/>
  <c r="I62" i="11" l="1"/>
  <c r="K9" i="11"/>
  <c r="C18" i="16"/>
  <c r="D17" i="16"/>
  <c r="N9" i="11" l="1"/>
  <c r="L9" i="11"/>
  <c r="F85" i="11"/>
  <c r="Y62" i="11"/>
  <c r="I10" i="15"/>
  <c r="I13" i="15" s="1"/>
  <c r="S5" i="17"/>
  <c r="Q5" i="17"/>
  <c r="I61" i="11" l="1"/>
  <c r="F84" i="11" s="1"/>
  <c r="K8" i="11"/>
  <c r="C19" i="15"/>
  <c r="D18" i="15"/>
  <c r="T56" i="2"/>
  <c r="N56" i="2"/>
  <c r="C13" i="16"/>
  <c r="D13" i="16"/>
  <c r="Y61" i="11" l="1"/>
  <c r="L8" i="11"/>
  <c r="N8" i="11"/>
  <c r="N15" i="17"/>
  <c r="D19" i="17"/>
  <c r="D18" i="17"/>
  <c r="D17" i="17"/>
  <c r="R15" i="17"/>
  <c r="S4" i="17"/>
  <c r="Q4" i="17"/>
  <c r="T54" i="2"/>
  <c r="N54" i="2"/>
  <c r="C23" i="17" l="1"/>
  <c r="Q15" i="17"/>
  <c r="C20" i="17"/>
  <c r="S15" i="17"/>
  <c r="G10" i="17"/>
  <c r="G13" i="17" s="1"/>
  <c r="E20" i="17"/>
  <c r="E23" i="17" s="1"/>
  <c r="G12" i="17"/>
  <c r="X65" i="11" l="1"/>
  <c r="C21" i="17"/>
  <c r="C22" i="17"/>
  <c r="D20" i="17"/>
  <c r="T53" i="2" l="1"/>
  <c r="N53" i="2"/>
  <c r="T4" i="2"/>
  <c r="T7" i="2"/>
  <c r="T43" i="2" l="1"/>
  <c r="N43" i="2" l="1"/>
  <c r="T39" i="2" l="1"/>
  <c r="F13" i="16" l="1"/>
  <c r="E13" i="16"/>
  <c r="F7" i="16"/>
  <c r="E7" i="16"/>
  <c r="T41" i="2"/>
  <c r="E7" i="15"/>
  <c r="F7" i="15"/>
  <c r="F49" i="2"/>
  <c r="F50" i="2"/>
  <c r="U47" i="16" l="1"/>
  <c r="X62" i="11" l="1"/>
  <c r="N41" i="2"/>
  <c r="N39" i="2"/>
  <c r="T40" i="2"/>
  <c r="X61" i="11" l="1"/>
  <c r="N40" i="2"/>
  <c r="T38" i="2"/>
  <c r="N38" i="2" l="1"/>
  <c r="T37" i="2"/>
  <c r="T36" i="2"/>
  <c r="N37" i="2"/>
  <c r="N36" i="2"/>
  <c r="T35" i="2"/>
  <c r="N35" i="2"/>
  <c r="N34" i="2" l="1"/>
  <c r="T34" i="2"/>
  <c r="S35" i="2" l="1"/>
  <c r="P30" i="14" l="1"/>
  <c r="F13" i="14"/>
  <c r="E13" i="14"/>
  <c r="F7" i="14"/>
  <c r="E7" i="14"/>
  <c r="H10" i="14" l="1"/>
  <c r="C19" i="14"/>
  <c r="H12" i="14"/>
  <c r="C21" i="14"/>
  <c r="S30" i="14"/>
  <c r="H13" i="14" s="1"/>
  <c r="N29" i="2"/>
  <c r="T29" i="2"/>
  <c r="N30" i="2"/>
  <c r="I59" i="11" l="1"/>
  <c r="C20" i="14"/>
  <c r="K12" i="11"/>
  <c r="K4" i="11" s="1"/>
  <c r="Q59" i="11"/>
  <c r="M12" i="11"/>
  <c r="M4" i="11" s="1"/>
  <c r="D19" i="14"/>
  <c r="T33" i="2"/>
  <c r="N33" i="2"/>
  <c r="L4" i="11" l="1"/>
  <c r="N4" i="11"/>
  <c r="F83" i="11"/>
  <c r="Y59" i="11"/>
  <c r="X59" i="11"/>
  <c r="T27" i="2"/>
  <c r="N27" i="2"/>
  <c r="T24" i="2" l="1"/>
  <c r="T23" i="2"/>
  <c r="N24" i="2"/>
  <c r="N23" i="2"/>
  <c r="T28" i="2"/>
  <c r="N28" i="2"/>
  <c r="T26" i="2" l="1"/>
  <c r="N26" i="2"/>
  <c r="T22" i="2"/>
  <c r="N22" i="2"/>
  <c r="T25" i="2" l="1"/>
  <c r="N25" i="2"/>
  <c r="T21" i="2"/>
  <c r="N21" i="2"/>
  <c r="R17" i="2" l="1"/>
  <c r="R16" i="2"/>
  <c r="R18" i="2"/>
  <c r="R11" i="2"/>
  <c r="R12" i="2"/>
  <c r="R13" i="2"/>
  <c r="R15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S15" i="2"/>
  <c r="U15" i="2" l="1"/>
  <c r="M68" i="2"/>
  <c r="P2" i="2" l="1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R7" i="2"/>
  <c r="T8" i="2"/>
  <c r="R8" i="2" s="1"/>
  <c r="R4" i="2"/>
  <c r="T10" i="2"/>
  <c r="R10" i="2" s="1"/>
  <c r="T9" i="2"/>
  <c r="R9" i="2" s="1"/>
  <c r="T6" i="2"/>
  <c r="R6" i="2" s="1"/>
  <c r="T5" i="2"/>
  <c r="R5" i="2" s="1"/>
  <c r="T14" i="2"/>
  <c r="R14" i="2" s="1"/>
  <c r="T3" i="2"/>
  <c r="R3" i="2" s="1"/>
  <c r="T2" i="2"/>
  <c r="R2" i="2" s="1"/>
  <c r="T68" i="2" l="1"/>
  <c r="S11" i="3"/>
  <c r="S12" i="3"/>
  <c r="S13" i="3"/>
  <c r="S17" i="3"/>
  <c r="S8" i="3"/>
  <c r="S2" i="2"/>
  <c r="U2" i="2" s="1"/>
  <c r="S3" i="2"/>
  <c r="U3" i="2" s="1"/>
  <c r="S4" i="2"/>
  <c r="U4" i="2" s="1"/>
  <c r="S5" i="2"/>
  <c r="U5" i="2" s="1"/>
  <c r="S6" i="2"/>
  <c r="U6" i="2" s="1"/>
  <c r="S7" i="2"/>
  <c r="U7" i="2" s="1"/>
  <c r="S8" i="2"/>
  <c r="U8" i="2" s="1"/>
  <c r="S9" i="2"/>
  <c r="U9" i="2" s="1"/>
  <c r="S10" i="2"/>
  <c r="U10" i="2" s="1"/>
  <c r="S11" i="2"/>
  <c r="U11" i="2" s="1"/>
  <c r="S12" i="2"/>
  <c r="U12" i="2" s="1"/>
  <c r="S13" i="2"/>
  <c r="U13" i="2" s="1"/>
  <c r="S14" i="2"/>
  <c r="U14" i="2" s="1"/>
  <c r="S16" i="2"/>
  <c r="S17" i="2"/>
  <c r="U17" i="2" s="1"/>
  <c r="S18" i="2"/>
  <c r="U18" i="2" s="1"/>
  <c r="S19" i="2"/>
  <c r="U19" i="2" s="1"/>
  <c r="S20" i="2"/>
  <c r="U20" i="2" s="1"/>
  <c r="S21" i="2"/>
  <c r="U21" i="2" s="1"/>
  <c r="S22" i="2"/>
  <c r="U22" i="2" s="1"/>
  <c r="S23" i="2"/>
  <c r="U23" i="2" s="1"/>
  <c r="S24" i="2"/>
  <c r="U24" i="2" s="1"/>
  <c r="S25" i="2"/>
  <c r="U25" i="2" s="1"/>
  <c r="S26" i="2"/>
  <c r="U26" i="2" s="1"/>
  <c r="S27" i="2"/>
  <c r="U27" i="2" s="1"/>
  <c r="S28" i="2"/>
  <c r="U28" i="2" s="1"/>
  <c r="S29" i="2"/>
  <c r="U29" i="2" s="1"/>
  <c r="S30" i="2"/>
  <c r="U30" i="2" s="1"/>
  <c r="S31" i="2"/>
  <c r="U31" i="2" s="1"/>
  <c r="S32" i="2"/>
  <c r="U32" i="2" s="1"/>
  <c r="S33" i="2"/>
  <c r="U33" i="2" s="1"/>
  <c r="S34" i="2"/>
  <c r="U35" i="2"/>
  <c r="S36" i="2"/>
  <c r="U36" i="2" s="1"/>
  <c r="S37" i="2"/>
  <c r="U37" i="2" s="1"/>
  <c r="S38" i="2"/>
  <c r="U38" i="2" s="1"/>
  <c r="S39" i="2"/>
  <c r="U39" i="2" s="1"/>
  <c r="S40" i="2"/>
  <c r="U40" i="2" s="1"/>
  <c r="S41" i="2"/>
  <c r="U41" i="2" s="1"/>
  <c r="S42" i="2"/>
  <c r="U42" i="2" s="1"/>
  <c r="S43" i="2"/>
  <c r="U43" i="2" s="1"/>
  <c r="S44" i="2"/>
  <c r="U44" i="2" s="1"/>
  <c r="S45" i="2"/>
  <c r="U45" i="2" s="1"/>
  <c r="S46" i="2"/>
  <c r="U46" i="2" s="1"/>
  <c r="S47" i="2"/>
  <c r="U47" i="2" s="1"/>
  <c r="S48" i="2"/>
  <c r="U48" i="2" s="1"/>
  <c r="S49" i="2"/>
  <c r="U49" i="2" s="1"/>
  <c r="S50" i="2"/>
  <c r="U50" i="2" s="1"/>
  <c r="S51" i="2"/>
  <c r="U51" i="2" s="1"/>
  <c r="S52" i="2"/>
  <c r="U52" i="2" s="1"/>
  <c r="S53" i="2"/>
  <c r="U53" i="2" s="1"/>
  <c r="S54" i="2"/>
  <c r="U54" i="2" s="1"/>
  <c r="S55" i="2"/>
  <c r="U55" i="2" s="1"/>
  <c r="S56" i="2"/>
  <c r="U56" i="2" s="1"/>
  <c r="S57" i="2"/>
  <c r="U57" i="2" s="1"/>
  <c r="S58" i="2"/>
  <c r="U58" i="2" s="1"/>
  <c r="S59" i="2"/>
  <c r="U59" i="2" s="1"/>
  <c r="S60" i="2"/>
  <c r="U60" i="2" s="1"/>
  <c r="S61" i="2"/>
  <c r="U61" i="2" s="1"/>
  <c r="S62" i="2"/>
  <c r="U62" i="2" s="1"/>
  <c r="S63" i="2"/>
  <c r="U63" i="2" s="1"/>
  <c r="S64" i="2"/>
  <c r="U64" i="2" s="1"/>
  <c r="S65" i="2"/>
  <c r="U65" i="2" s="1"/>
  <c r="S66" i="2"/>
  <c r="U66" i="2" s="1"/>
  <c r="S67" i="2"/>
  <c r="U67" i="2" s="1"/>
  <c r="R15" i="3"/>
  <c r="S15" i="3" s="1"/>
  <c r="E10" i="13"/>
  <c r="L7" i="13"/>
  <c r="L5" i="13"/>
  <c r="L4" i="13"/>
  <c r="K8" i="13"/>
  <c r="J8" i="13"/>
  <c r="J10" i="13" s="1"/>
  <c r="C8" i="13"/>
  <c r="C7" i="13"/>
  <c r="C4" i="13"/>
  <c r="C10" i="13" s="1"/>
  <c r="Q17" i="3"/>
  <c r="I5" i="10"/>
  <c r="N18" i="3"/>
  <c r="O20" i="3"/>
  <c r="P15" i="3"/>
  <c r="Q15" i="3" s="1"/>
  <c r="U34" i="2" l="1"/>
  <c r="S68" i="2"/>
  <c r="U68" i="2" s="1"/>
  <c r="U16" i="2"/>
  <c r="L8" i="13"/>
  <c r="I3" i="10"/>
  <c r="R14" i="3"/>
  <c r="S14" i="3" s="1"/>
  <c r="I4" i="10"/>
  <c r="I2" i="10"/>
  <c r="I6" i="10" s="1"/>
  <c r="P14" i="3"/>
  <c r="C18" i="4" l="1"/>
  <c r="K14" i="41" s="1"/>
  <c r="J56" i="41" s="1"/>
  <c r="C24" i="3"/>
  <c r="Q14" i="3"/>
  <c r="G82" i="41" l="1"/>
  <c r="J67" i="41"/>
  <c r="C37" i="11"/>
  <c r="E37" i="11" s="1"/>
  <c r="I67" i="11"/>
  <c r="I68" i="11" s="1"/>
  <c r="C19" i="4"/>
  <c r="E25" i="3"/>
  <c r="E24" i="3"/>
  <c r="Q13" i="3"/>
  <c r="G86" i="41" l="1"/>
  <c r="G87" i="41" s="1"/>
  <c r="G88" i="41" s="1"/>
  <c r="J68" i="41"/>
  <c r="C77" i="41" s="1"/>
  <c r="K5" i="11"/>
  <c r="K4" i="41"/>
  <c r="C37" i="41"/>
  <c r="E37" i="41" s="1"/>
  <c r="F82" i="41"/>
  <c r="L5" i="11"/>
  <c r="K10" i="11"/>
  <c r="F82" i="11"/>
  <c r="X56" i="11"/>
  <c r="D24" i="3"/>
  <c r="E26" i="3"/>
  <c r="C25" i="3"/>
  <c r="C26" i="3" s="1"/>
  <c r="Q12" i="3"/>
  <c r="L4" i="41" l="1"/>
  <c r="K9" i="41"/>
  <c r="C76" i="41"/>
  <c r="C95" i="11"/>
  <c r="C33" i="11"/>
  <c r="C76" i="11"/>
  <c r="F86" i="11"/>
  <c r="F87" i="11" s="1"/>
  <c r="F88" i="11" s="1"/>
  <c r="D26" i="3"/>
  <c r="D25" i="3"/>
  <c r="Q11" i="3"/>
  <c r="F88" i="41" l="1"/>
  <c r="C33" i="41"/>
  <c r="C95" i="41"/>
  <c r="C93" i="41" s="1"/>
  <c r="C36" i="41"/>
  <c r="O5" i="3"/>
  <c r="R10" i="3"/>
  <c r="S10" i="3" s="1"/>
  <c r="R9" i="3"/>
  <c r="P9" i="3"/>
  <c r="P10" i="3"/>
  <c r="Q7" i="3"/>
  <c r="E36" i="41" l="1"/>
  <c r="C34" i="41"/>
  <c r="P20" i="3"/>
  <c r="Q20" i="3" s="1"/>
  <c r="P18" i="3"/>
  <c r="R20" i="3"/>
  <c r="S9" i="3"/>
  <c r="R18" i="3"/>
  <c r="S6" i="3"/>
  <c r="O18" i="3"/>
  <c r="O22" i="3"/>
  <c r="S20" i="3"/>
  <c r="Q10" i="3"/>
  <c r="E29" i="3"/>
  <c r="Q9" i="3"/>
  <c r="N68" i="2"/>
  <c r="R68" i="2" s="1"/>
  <c r="R22" i="3" l="1"/>
  <c r="G10" i="3"/>
  <c r="G13" i="3" s="1"/>
  <c r="S18" i="3"/>
  <c r="G12" i="3"/>
  <c r="C21" i="3"/>
  <c r="Q18" i="3"/>
  <c r="P22" i="3"/>
  <c r="Q22" i="3" s="1"/>
  <c r="S22" i="3"/>
  <c r="C29" i="3"/>
  <c r="C30" i="3" s="1"/>
  <c r="C19" i="3"/>
  <c r="U52" i="11"/>
  <c r="V52" i="11"/>
  <c r="W55" i="11"/>
  <c r="U56" i="11"/>
  <c r="V56" i="11"/>
  <c r="W56" i="11"/>
  <c r="U57" i="11"/>
  <c r="V57" i="11"/>
  <c r="U58" i="11"/>
  <c r="V58" i="11"/>
  <c r="V59" i="11"/>
  <c r="W59" i="11"/>
  <c r="V61" i="11"/>
  <c r="W61" i="11"/>
  <c r="U62" i="11"/>
  <c r="V62" i="11"/>
  <c r="W62" i="11"/>
  <c r="W63" i="11"/>
  <c r="V64" i="11"/>
  <c r="T56" i="11"/>
  <c r="T57" i="11"/>
  <c r="T58" i="11"/>
  <c r="T62" i="11"/>
  <c r="T52" i="11"/>
  <c r="L67" i="11"/>
  <c r="M67" i="11"/>
  <c r="N67" i="11"/>
  <c r="N68" i="11" s="1"/>
  <c r="O67" i="11"/>
  <c r="O68" i="11" s="1"/>
  <c r="K67" i="11"/>
  <c r="D67" i="11"/>
  <c r="C71" i="11" s="1"/>
  <c r="E67" i="11"/>
  <c r="C72" i="11" s="1"/>
  <c r="F67" i="11"/>
  <c r="F68" i="11" s="1"/>
  <c r="G67" i="11"/>
  <c r="C67" i="11"/>
  <c r="G68" i="11" l="1"/>
  <c r="D86" i="11"/>
  <c r="D88" i="11" s="1"/>
  <c r="C32" i="3"/>
  <c r="U67" i="11"/>
  <c r="D72" i="11" s="1"/>
  <c r="C74" i="11"/>
  <c r="T67" i="11"/>
  <c r="D71" i="11" s="1"/>
  <c r="C73" i="11"/>
  <c r="W67" i="11"/>
  <c r="V67" i="11"/>
  <c r="D74" i="11" l="1"/>
  <c r="W68" i="11"/>
  <c r="D73" i="11"/>
  <c r="V68" i="11"/>
  <c r="L68" i="2" l="1"/>
  <c r="F67" i="2"/>
  <c r="F66" i="2"/>
  <c r="F63" i="2"/>
  <c r="F64" i="2"/>
  <c r="F65" i="2"/>
  <c r="F61" i="2"/>
  <c r="F62" i="2"/>
  <c r="F57" i="2"/>
  <c r="F51" i="2"/>
  <c r="F52" i="2"/>
  <c r="F56" i="2"/>
  <c r="F55" i="2"/>
  <c r="F54" i="2"/>
  <c r="F53" i="2"/>
  <c r="F41" i="10"/>
  <c r="F39" i="10"/>
  <c r="F37" i="10"/>
  <c r="F52" i="10"/>
  <c r="F51" i="10"/>
  <c r="F50" i="10"/>
  <c r="F48" i="10"/>
  <c r="F47" i="10"/>
  <c r="F45" i="10"/>
  <c r="F44" i="10"/>
  <c r="F43" i="10"/>
  <c r="F24" i="10"/>
  <c r="F25" i="10"/>
  <c r="F26" i="10"/>
  <c r="F27" i="10"/>
  <c r="F28" i="10"/>
  <c r="F29" i="10"/>
  <c r="F30" i="10"/>
  <c r="F31" i="10"/>
  <c r="F23" i="10"/>
  <c r="F34" i="10"/>
  <c r="F35" i="10"/>
  <c r="F33" i="10"/>
  <c r="F20" i="10"/>
  <c r="F21" i="10"/>
  <c r="F19" i="10"/>
  <c r="F17" i="10"/>
  <c r="F16" i="10"/>
  <c r="F13" i="10"/>
  <c r="F10" i="10"/>
  <c r="F9" i="10"/>
  <c r="O68" i="2"/>
  <c r="F6" i="10"/>
  <c r="F5" i="10"/>
  <c r="F2" i="10"/>
  <c r="F36" i="10" l="1"/>
  <c r="F42" i="10"/>
  <c r="F54" i="10"/>
  <c r="F32" i="10"/>
  <c r="F22" i="10"/>
  <c r="F8" i="10"/>
  <c r="F58" i="10" l="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6" i="2"/>
  <c r="F47" i="2"/>
  <c r="F48" i="2"/>
  <c r="Q5" i="3" l="1"/>
  <c r="Q4" i="3"/>
  <c r="C18" i="3"/>
  <c r="C20" i="3" s="1"/>
  <c r="C17" i="3"/>
  <c r="D17" i="3" s="1"/>
  <c r="D18" i="3" l="1"/>
  <c r="C33" i="3"/>
  <c r="G7" i="3"/>
  <c r="G8" i="3" s="1"/>
  <c r="E30" i="3" l="1"/>
  <c r="C34" i="3" s="1"/>
  <c r="E19" i="3"/>
  <c r="C36" i="11" l="1"/>
  <c r="E36" i="11" s="1"/>
  <c r="C93" i="11"/>
  <c r="C75" i="11"/>
  <c r="E86" i="11"/>
  <c r="E88" i="11" s="1"/>
  <c r="H68" i="11"/>
  <c r="D30" i="3"/>
  <c r="D29" i="3" s="1"/>
  <c r="E32" i="3"/>
  <c r="D32" i="3" s="1"/>
  <c r="P67" i="11"/>
  <c r="P68" i="11" s="1"/>
  <c r="D19" i="3"/>
  <c r="AE24" i="1" l="1"/>
  <c r="AE26" i="1"/>
  <c r="C34" i="11"/>
  <c r="X67" i="11"/>
  <c r="X66" i="11"/>
  <c r="X68" i="11" l="1"/>
  <c r="D75" i="11"/>
  <c r="K10" i="13"/>
  <c r="L10" i="13" s="1"/>
  <c r="E18" i="4" l="1"/>
  <c r="M14" i="41" s="1"/>
  <c r="C20" i="41" l="1"/>
  <c r="S56" i="41"/>
  <c r="C20" i="4"/>
  <c r="D18" i="4"/>
  <c r="S67" i="41" l="1"/>
  <c r="AB56" i="41"/>
  <c r="R67" i="41"/>
  <c r="AA56" i="41"/>
  <c r="M4" i="41"/>
  <c r="M9" i="41" s="1"/>
  <c r="C19" i="41" s="1"/>
  <c r="C47" i="41"/>
  <c r="C20" i="11"/>
  <c r="C47" i="11" s="1"/>
  <c r="M5" i="11"/>
  <c r="N5" i="11" s="1"/>
  <c r="Y56" i="11"/>
  <c r="Q67" i="11"/>
  <c r="S68" i="41" l="1"/>
  <c r="AB67" i="41"/>
  <c r="C15" i="41"/>
  <c r="N4" i="41"/>
  <c r="R68" i="41"/>
  <c r="AA67" i="41"/>
  <c r="AA68" i="41" s="1"/>
  <c r="D76" i="41" s="1"/>
  <c r="M10" i="11"/>
  <c r="C19" i="11" s="1"/>
  <c r="C46" i="11" s="1"/>
  <c r="Y67" i="11"/>
  <c r="Y68" i="11" s="1"/>
  <c r="D76" i="11" s="1"/>
  <c r="Q68" i="11"/>
  <c r="AB68" i="41" l="1"/>
  <c r="D77" i="41"/>
  <c r="C23" i="41"/>
  <c r="C25" i="41" s="1"/>
  <c r="C46" i="41"/>
  <c r="C23" i="11"/>
  <c r="C25" i="11" s="1"/>
  <c r="C15" i="11"/>
  <c r="C16" i="11" s="1"/>
  <c r="C16" i="41" l="1"/>
  <c r="C44" i="41"/>
  <c r="D44" i="41" s="1"/>
  <c r="C44" i="11"/>
  <c r="D44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E86" authorId="0" shapeId="0" xr:uid="{04AF2B03-699F-44AF-B19E-10E22296D1E5}">
      <text>
        <r>
          <rPr>
            <b/>
            <sz val="9"/>
            <color indexed="81"/>
            <rFont val="Tahoma"/>
            <family val="2"/>
            <charset val="204"/>
          </rPr>
          <t>Ленинский путь
Кубань Хлеб</t>
        </r>
      </text>
    </comment>
    <comment ref="F86" authorId="0" shapeId="0" xr:uid="{119912CD-2F05-41D9-A2C2-959921ECB5D9}">
      <text>
        <r>
          <rPr>
            <b/>
            <sz val="9"/>
            <color indexed="81"/>
            <rFont val="Tahoma"/>
            <family val="2"/>
            <charset val="204"/>
          </rPr>
          <t>Братковский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G7" authorId="0" shapeId="0" xr:uid="{437DBBAC-43C8-4FA9-A6D7-7341AF66FB40}">
      <text>
        <r>
          <rPr>
            <b/>
            <sz val="9"/>
            <color indexed="81"/>
            <rFont val="Tahoma"/>
            <family val="2"/>
            <charset val="204"/>
          </rPr>
          <t>корректировка на закупку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86" authorId="0" shapeId="0" xr:uid="{C84605C7-5334-434A-A512-C7998D40C197}">
      <text>
        <r>
          <rPr>
            <b/>
            <sz val="9"/>
            <color indexed="81"/>
            <rFont val="Tahoma"/>
            <family val="2"/>
            <charset val="204"/>
          </rPr>
          <t>Ленинский путь
Кубань Хлеб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Q1" authorId="0" shapeId="0" xr:uid="{EB5FDAB6-E21A-4B13-B629-74566638D9F9}">
      <text>
        <r>
          <rPr>
            <b/>
            <sz val="9"/>
            <color indexed="81"/>
            <rFont val="Tahoma"/>
            <family val="2"/>
            <charset val="204"/>
          </rPr>
          <t>прогноз от 19.07.2024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<sst xmlns="http://schemas.openxmlformats.org/spreadsheetml/2006/main" count="41077" uniqueCount="4079">
  <si>
    <t>Показатели</t>
  </si>
  <si>
    <t>2020 г.</t>
  </si>
  <si>
    <t>2021 г.</t>
  </si>
  <si>
    <t>2022 г.</t>
  </si>
  <si>
    <t>2023 г.</t>
  </si>
  <si>
    <t>2024 г.</t>
  </si>
  <si>
    <t>Начало уборки</t>
  </si>
  <si>
    <t>Окончание уборки</t>
  </si>
  <si>
    <t>Кол-во календарных дней</t>
  </si>
  <si>
    <t>Кол-во фактических дней</t>
  </si>
  <si>
    <t>Кол-во техники</t>
  </si>
  <si>
    <t>Валовый сбор</t>
  </si>
  <si>
    <t>Площадь сева</t>
  </si>
  <si>
    <t>Площадь уборки</t>
  </si>
  <si>
    <t>Урожайность, ц/га</t>
  </si>
  <si>
    <t>Показатели 2024 г.</t>
  </si>
  <si>
    <t>План</t>
  </si>
  <si>
    <t>Факт</t>
  </si>
  <si>
    <t>Дата</t>
  </si>
  <si>
    <t>Кол-во рейсов</t>
  </si>
  <si>
    <t>Урожайность</t>
  </si>
  <si>
    <t>Общий итог</t>
  </si>
  <si>
    <t>с учетом уборки 77 га</t>
  </si>
  <si>
    <t>Прогноз от 19.07.2024</t>
  </si>
  <si>
    <t>Поле</t>
  </si>
  <si>
    <t>4 Ленинский путь</t>
  </si>
  <si>
    <t>Общая площадь поля</t>
  </si>
  <si>
    <t>Контрагент</t>
  </si>
  <si>
    <t>Сорт</t>
  </si>
  <si>
    <t>Остаток площади</t>
  </si>
  <si>
    <t>Закрытие, %</t>
  </si>
  <si>
    <t>Выполнение плана, %</t>
  </si>
  <si>
    <t>Урожайность плановая, т/га</t>
  </si>
  <si>
    <t>Урожайность фактическая, т/га</t>
  </si>
  <si>
    <t>Валовый сбор плановый, т</t>
  </si>
  <si>
    <t>Валовый сбор фактический, т</t>
  </si>
  <si>
    <t>Площадь сева, га</t>
  </si>
  <si>
    <t>Площадь уборки, га</t>
  </si>
  <si>
    <t>Кукуруза сахарная Ленинский путь</t>
  </si>
  <si>
    <t>ГХ 6055</t>
  </si>
  <si>
    <t>Элемент</t>
  </si>
  <si>
    <t>Энтерпрайз</t>
  </si>
  <si>
    <t>Генератор</t>
  </si>
  <si>
    <t>Кукуруза сахарная (из суперсладких сортов)</t>
  </si>
  <si>
    <t>ЗХИ-3278</t>
  </si>
  <si>
    <t>Рубикон</t>
  </si>
  <si>
    <t>Киара</t>
  </si>
  <si>
    <t>Кукуруза сахарная</t>
  </si>
  <si>
    <t>Харди</t>
  </si>
  <si>
    <t>Оватона</t>
  </si>
  <si>
    <t>Кукуруза сахарная Иррико-Холдинг</t>
  </si>
  <si>
    <t>Роялти</t>
  </si>
  <si>
    <t>Кукуруза сахарная АО совхоз. им. Кирова</t>
  </si>
  <si>
    <t>Салина</t>
  </si>
  <si>
    <t>Кукуруза сахарная Кубань Хлеб</t>
  </si>
  <si>
    <t>Кукуруза сахарная Колос ООО</t>
  </si>
  <si>
    <t>СВ 280</t>
  </si>
  <si>
    <t>Эрика</t>
  </si>
  <si>
    <t>ООО Ленинский путь</t>
  </si>
  <si>
    <t>ООО ГРК</t>
  </si>
  <si>
    <t>Иррико</t>
  </si>
  <si>
    <t>Кирова</t>
  </si>
  <si>
    <t>Кубань Хлеб</t>
  </si>
  <si>
    <t>Колос</t>
  </si>
  <si>
    <t>Поле-2</t>
  </si>
  <si>
    <t>Поле-4</t>
  </si>
  <si>
    <t>А-82</t>
  </si>
  <si>
    <t>А-53</t>
  </si>
  <si>
    <t>А-56</t>
  </si>
  <si>
    <t>А-55</t>
  </si>
  <si>
    <t>А-111</t>
  </si>
  <si>
    <t>А-108</t>
  </si>
  <si>
    <t>А-106</t>
  </si>
  <si>
    <t>А-104</t>
  </si>
  <si>
    <t>Поле-3.7.</t>
  </si>
  <si>
    <t>Поле-2.19.1.</t>
  </si>
  <si>
    <t>Поле-3.29.</t>
  </si>
  <si>
    <t>Поле-3.32.</t>
  </si>
  <si>
    <t>Поле 3.30</t>
  </si>
  <si>
    <t>Поле 3.33</t>
  </si>
  <si>
    <t>Поле 3.31</t>
  </si>
  <si>
    <t>Поле 3.34</t>
  </si>
  <si>
    <t>Поле 3.35</t>
  </si>
  <si>
    <t>Поле 5</t>
  </si>
  <si>
    <t>Поле 11</t>
  </si>
  <si>
    <t>Поле 9/2</t>
  </si>
  <si>
    <t>Поле 10/5</t>
  </si>
  <si>
    <t>Поле 10/12</t>
  </si>
  <si>
    <t>Номер поля справочник</t>
  </si>
  <si>
    <t>Сорт агро</t>
  </si>
  <si>
    <t>Дата сева агро</t>
  </si>
  <si>
    <t>Дата уборки план</t>
  </si>
  <si>
    <t>Дата уборки факт</t>
  </si>
  <si>
    <t>ГХ 6055 F1 (100000)</t>
  </si>
  <si>
    <t>Элемент F1 (100 тыс.шт)</t>
  </si>
  <si>
    <t>Генератор  F1 (50000)</t>
  </si>
  <si>
    <t>ЗХИ 3278 ОИ</t>
  </si>
  <si>
    <t>Киара F1 (50 тыс.с.)</t>
  </si>
  <si>
    <t>Харди 100 тыс.сем.</t>
  </si>
  <si>
    <t>Оватонна (5 000 т.с)</t>
  </si>
  <si>
    <t>Сентинель F1 5000с</t>
  </si>
  <si>
    <t>Сорт акт ERP</t>
  </si>
  <si>
    <t>Площадь сева по акту, га</t>
  </si>
  <si>
    <t>Номер поля агро исх</t>
  </si>
  <si>
    <t>Номер поля агро уточн</t>
  </si>
  <si>
    <t>Примечание</t>
  </si>
  <si>
    <t>Запрелые семена (перепады температур в фазу прорастания семян).</t>
  </si>
  <si>
    <t>Вид</t>
  </si>
  <si>
    <t>сахарная</t>
  </si>
  <si>
    <t>суперсладкая</t>
  </si>
  <si>
    <t>Обработано, га</t>
  </si>
  <si>
    <t>Внесено в ед. изм.</t>
  </si>
  <si>
    <t>2/2 Ленинский путь</t>
  </si>
  <si>
    <t>2/1 Ленинский путь</t>
  </si>
  <si>
    <t>Кукуруза сахарная Ленинский путь Итог</t>
  </si>
  <si>
    <t>А-104/1</t>
  </si>
  <si>
    <t>А-106/1</t>
  </si>
  <si>
    <t>А-108/7</t>
  </si>
  <si>
    <t>А-111/2</t>
  </si>
  <si>
    <t>А-53/4</t>
  </si>
  <si>
    <t>А-55/5</t>
  </si>
  <si>
    <t>А-82/1</t>
  </si>
  <si>
    <t>Кукуруза сахарная (из суперсладких сортов) Итог</t>
  </si>
  <si>
    <t>1 им. Кирова ЗАО</t>
  </si>
  <si>
    <t>Роялти F1 100000 семян</t>
  </si>
  <si>
    <t>Кукуруза сахарная АО совхоз. им. Кирова Итог</t>
  </si>
  <si>
    <t>3.7 Иррико-Холдинг</t>
  </si>
  <si>
    <t>2.19.1 Иррико-Холдинг</t>
  </si>
  <si>
    <t>3.29 Иррико-Холдинг</t>
  </si>
  <si>
    <t>3.32 Иррико-Холдинг</t>
  </si>
  <si>
    <t>3.30 Иррико-Холдинг</t>
  </si>
  <si>
    <t>3.33 Иррико-Холдинг</t>
  </si>
  <si>
    <t>3.31 Иррико-Холдинг</t>
  </si>
  <si>
    <t>3.34 Иррико-Холдинг</t>
  </si>
  <si>
    <t>3.35 Иррико-Холдинг</t>
  </si>
  <si>
    <t>Кукуруза сахарная Иррико-Холдинг Итог</t>
  </si>
  <si>
    <t>1.3 Колос</t>
  </si>
  <si>
    <t>Эрика (100 тыс.шт)</t>
  </si>
  <si>
    <t>1.4 Колос</t>
  </si>
  <si>
    <t>2.1 Колос</t>
  </si>
  <si>
    <t>3.1 Колос</t>
  </si>
  <si>
    <t>3.3 Колос</t>
  </si>
  <si>
    <t>4.3 Колос</t>
  </si>
  <si>
    <t>4.4 Колос</t>
  </si>
  <si>
    <t>4.2 Колос</t>
  </si>
  <si>
    <t>Краснодарский сахарный 280 СВ</t>
  </si>
  <si>
    <t>Кукуруза сахарная Колос ООО Итог</t>
  </si>
  <si>
    <t>10/12 КубаньХлеб</t>
  </si>
  <si>
    <t>Энтерпрайз 100 тыс.с.</t>
  </si>
  <si>
    <t>10/5 КубаньХлеб</t>
  </si>
  <si>
    <t>9/2 КубаньХлеб</t>
  </si>
  <si>
    <t>Кукуруза сахарная Кубань Хлеб Итог</t>
  </si>
  <si>
    <t>Культура</t>
  </si>
  <si>
    <t>Площадь поля, га</t>
  </si>
  <si>
    <t>Кукуруза сахарная Итог</t>
  </si>
  <si>
    <t>Поле 4.4</t>
  </si>
  <si>
    <t>Поле 4.2</t>
  </si>
  <si>
    <t>Поле 4.3</t>
  </si>
  <si>
    <t>Поле 2.1</t>
  </si>
  <si>
    <t>Поле 3.3</t>
  </si>
  <si>
    <t>Поле 1.3</t>
  </si>
  <si>
    <t>Поле 1.4</t>
  </si>
  <si>
    <t>Поле 3.1</t>
  </si>
  <si>
    <t>Щербет</t>
  </si>
  <si>
    <t>Закрытие периода</t>
  </si>
  <si>
    <t>Дней уборки</t>
  </si>
  <si>
    <t>Закрытие</t>
  </si>
  <si>
    <t>Структура площади уборки</t>
  </si>
  <si>
    <t>Убрали</t>
  </si>
  <si>
    <t>Бросили</t>
  </si>
  <si>
    <t>Осталось</t>
  </si>
  <si>
    <t>Валовый сбор, т</t>
  </si>
  <si>
    <t>Валовый сбор в разрезе предприятий</t>
  </si>
  <si>
    <t>Ленинский путь</t>
  </si>
  <si>
    <t>Иррико-Холдинг</t>
  </si>
  <si>
    <t>Грин Рэй Кубань</t>
  </si>
  <si>
    <t>им. Кирова</t>
  </si>
  <si>
    <t>2 ед.</t>
  </si>
  <si>
    <t>Длительность уборки</t>
  </si>
  <si>
    <t>Выполнение по валу</t>
  </si>
  <si>
    <t>Выполнение по площади уборки</t>
  </si>
  <si>
    <t>Урожайность, т/га</t>
  </si>
  <si>
    <t>Дата отчета</t>
  </si>
  <si>
    <t>нет урожая, закупка у КА</t>
  </si>
  <si>
    <t>Остаток</t>
  </si>
  <si>
    <t>Статистика уборки кукурузы</t>
  </si>
  <si>
    <t>Кукуруза ГРК</t>
  </si>
  <si>
    <t>Кукуруза Джалга</t>
  </si>
  <si>
    <t>Кукуруза Золотовское</t>
  </si>
  <si>
    <t>Кукуруза Иррико</t>
  </si>
  <si>
    <t>Кукуруза Кирова</t>
  </si>
  <si>
    <t>Кукуруза Колос</t>
  </si>
  <si>
    <t>Кукуруза на зерно_овощ</t>
  </si>
  <si>
    <t>Кукуруза Наконечный</t>
  </si>
  <si>
    <t>Кукуруза Ленин Путь</t>
  </si>
  <si>
    <t>Вал, т</t>
  </si>
  <si>
    <t>Кукуруза Агроинвест</t>
  </si>
  <si>
    <t>Кукуруза ГРК суперсл.</t>
  </si>
  <si>
    <t>Прочие</t>
  </si>
  <si>
    <t>2 Ленинский путь</t>
  </si>
  <si>
    <t>05.08.2024 КА откорректировал площадь уборки на -1,5 га</t>
  </si>
  <si>
    <t>на 14:00 06.08.2024</t>
  </si>
  <si>
    <t>Колман - 11 га (закупка)</t>
  </si>
  <si>
    <t>06.08.2024 КА откорректирована площадь уборки по покупной кукурузе</t>
  </si>
  <si>
    <t>Валовый сбор по данным КА</t>
  </si>
  <si>
    <t>Урожайность по весу КА</t>
  </si>
  <si>
    <t xml:space="preserve">Урожайность </t>
  </si>
  <si>
    <t>закупка</t>
  </si>
  <si>
    <t>Элемент - 6 га - 79600 кг - 79080 кг вес
ГХ 6055 - 3 га - 39340 кг - 39320 кг вес</t>
  </si>
  <si>
    <t xml:space="preserve">сахарная </t>
  </si>
  <si>
    <t>Колман - 19 га (закупка)</t>
  </si>
  <si>
    <t>с учетом уборки 06-07.08.2024</t>
  </si>
  <si>
    <t>собственная</t>
  </si>
  <si>
    <t>в т.ч.
закупка (замена 77 га)</t>
  </si>
  <si>
    <t>сахарная всего</t>
  </si>
  <si>
    <t>с учетом уборки 07-08.08.2024</t>
  </si>
  <si>
    <t>В сводке по уборке ГХ 6055 - 53 га</t>
  </si>
  <si>
    <t>По сводке закупка - 42 га</t>
  </si>
  <si>
    <t>Элемент - 18 га - 237860 кг - 234890 кг вес 07.08.2024
Элемент - 16 га - 205680 кг - 203910 кг вес 08.08.2024</t>
  </si>
  <si>
    <t>В сводке по уборке Элемент - 111 га</t>
  </si>
  <si>
    <t>Закупка</t>
  </si>
  <si>
    <t>Собственная</t>
  </si>
  <si>
    <t>с учетом уборки 08-09.08.2024</t>
  </si>
  <si>
    <t>ГСС 14184 - 6 га (закупка) - 124640 кг - 123060 кг вес (суперсладкая)
Колман - 6 га (закупка) - 94640 кг - 93430 кг вес</t>
  </si>
  <si>
    <t>По сводке по уборке Генератора - 11 га</t>
  </si>
  <si>
    <t>05-06.08.2024</t>
  </si>
  <si>
    <t>29-30.07.2024</t>
  </si>
  <si>
    <t>30.07-01.08.2024</t>
  </si>
  <si>
    <t>Убрано, га</t>
  </si>
  <si>
    <t>Валовый вес, кг</t>
  </si>
  <si>
    <t>По данным весовой</t>
  </si>
  <si>
    <t>Дата регистрации веса</t>
  </si>
  <si>
    <t>05-09.08.2024</t>
  </si>
  <si>
    <t>01-02.08.2024
06.08.2024</t>
  </si>
  <si>
    <r>
      <t xml:space="preserve">30-31.07.2024 </t>
    </r>
    <r>
      <rPr>
        <b/>
        <sz val="11"/>
        <color theme="1"/>
        <rFont val="Calibri"/>
        <family val="2"/>
        <charset val="204"/>
        <scheme val="minor"/>
      </rPr>
      <t>июль</t>
    </r>
  </si>
  <si>
    <t>2 ЛП</t>
  </si>
  <si>
    <t>4 ЛП</t>
  </si>
  <si>
    <t>Внесено п.е.</t>
  </si>
  <si>
    <t>Сев, га</t>
  </si>
  <si>
    <t>акт, семена запрели</t>
  </si>
  <si>
    <t>По актам на списание семян</t>
  </si>
  <si>
    <t>Кукуруза суперсладкая Грин Рэй Кубань</t>
  </si>
  <si>
    <t>закупка, в т.ч. суперсладкая</t>
  </si>
  <si>
    <t>01-02.08.2024, 06.08.2024</t>
  </si>
  <si>
    <t>в т.ч. уборка покупной - 3 дня</t>
  </si>
  <si>
    <t>с учетом уборки покупной - 42 га</t>
  </si>
  <si>
    <t>с учетом уборки покупной - 677,3 т</t>
  </si>
  <si>
    <t>Выполнение по валу от плана</t>
  </si>
  <si>
    <t>3 ед.</t>
  </si>
  <si>
    <t>18-19.08.2024</t>
  </si>
  <si>
    <t>20-22.08.2024</t>
  </si>
  <si>
    <t>19-22.08.2024</t>
  </si>
  <si>
    <t>21-24.08.2024</t>
  </si>
  <si>
    <t>22-25.08.2024</t>
  </si>
  <si>
    <t>Оватонна</t>
  </si>
  <si>
    <t>27-28.08.2024</t>
  </si>
  <si>
    <t>25-28.08.2024</t>
  </si>
  <si>
    <t>Выполнение по валу от прогноза 19.07.2024</t>
  </si>
  <si>
    <t>Прогноз от 28.08.2024</t>
  </si>
  <si>
    <t>28-29.08.2024</t>
  </si>
  <si>
    <t>Сентинель</t>
  </si>
  <si>
    <t>29.08-02.09.2024</t>
  </si>
  <si>
    <t>Дата (по началу смены)</t>
  </si>
  <si>
    <t>пересев 11 га</t>
  </si>
  <si>
    <t>пересев 12 га</t>
  </si>
  <si>
    <t>(ранее - 16,5 га низкая густота, причина - полив)</t>
  </si>
  <si>
    <t>01-02.09.2024</t>
  </si>
  <si>
    <t>пересев 11 га (ранее - 7,5 га низкая густота, причина - полив)</t>
  </si>
  <si>
    <t>2-3 ед.</t>
  </si>
  <si>
    <t>Данные весовой ГРК
с учетом потери при перевозке</t>
  </si>
  <si>
    <t>03-04.09.2024</t>
  </si>
  <si>
    <t>Последняя машина в смене по нашей весовой</t>
  </si>
  <si>
    <t>613, 896</t>
  </si>
  <si>
    <t>04-06.09.2024</t>
  </si>
  <si>
    <t>05-07.09.2024</t>
  </si>
  <si>
    <t>07-08.09.2024</t>
  </si>
  <si>
    <t>08-09.09.2024</t>
  </si>
  <si>
    <t>10-11.09.2024</t>
  </si>
  <si>
    <t>09.09.2024, 11-13.09.2024</t>
  </si>
  <si>
    <t>198 (700,500)</t>
  </si>
  <si>
    <t>199 (595, 303, 807)</t>
  </si>
  <si>
    <t>Дата уборки план_откорр</t>
  </si>
  <si>
    <t>план</t>
  </si>
  <si>
    <t>11-15.09.2024</t>
  </si>
  <si>
    <t>1-3 ед.</t>
  </si>
  <si>
    <r>
      <rPr>
        <b/>
        <i/>
        <sz val="20"/>
        <color theme="0" tint="-0.499984740745262"/>
        <rFont val="Arial"/>
        <family val="2"/>
        <charset val="204"/>
      </rPr>
      <t>Кукуруза сахарная Ленинский путь</t>
    </r>
    <r>
      <rPr>
        <b/>
        <i/>
        <sz val="24"/>
        <color theme="0" tint="-0.499984740745262"/>
        <rFont val="Arial"/>
        <family val="2"/>
        <charset val="204"/>
      </rPr>
      <t xml:space="preserve">
</t>
    </r>
    <r>
      <rPr>
        <b/>
        <i/>
        <sz val="10"/>
        <color theme="0" tint="-0.499984740745262"/>
        <rFont val="Arial"/>
        <family val="2"/>
        <charset val="204"/>
      </rPr>
      <t xml:space="preserve">ООО "КОЛХОЗ "Ленинский путь", Краснодасркий край, Крымский район, с. Киевское, удаленность - 270 км       </t>
    </r>
    <r>
      <rPr>
        <b/>
        <i/>
        <sz val="24"/>
        <color theme="0" tint="-0.499984740745262"/>
        <rFont val="Arial"/>
        <family val="2"/>
        <charset val="204"/>
      </rPr>
      <t xml:space="preserve">                          </t>
    </r>
  </si>
  <si>
    <r>
      <t xml:space="preserve">Кукуруза сахарная Кирова
</t>
    </r>
    <r>
      <rPr>
        <b/>
        <i/>
        <sz val="10"/>
        <color theme="0" tint="-0.499984740745262"/>
        <rFont val="Arial"/>
        <family val="2"/>
        <charset val="204"/>
      </rPr>
      <t xml:space="preserve">АО "Совхоз имени Кирова", Ставропольский край, Труновский район, пос. им. Кирова, удаленность - 300 км  </t>
    </r>
    <r>
      <rPr>
        <b/>
        <i/>
        <sz val="20"/>
        <color theme="0" tint="-0.499984740745262"/>
        <rFont val="Arial"/>
        <family val="2"/>
        <charset val="204"/>
      </rPr>
      <t xml:space="preserve">                               </t>
    </r>
  </si>
  <si>
    <r>
      <t xml:space="preserve">Кукуруза сахарная Колос
</t>
    </r>
    <r>
      <rPr>
        <b/>
        <i/>
        <sz val="10"/>
        <color theme="0" tint="-0.499984740745262"/>
        <rFont val="Arial"/>
        <family val="2"/>
        <charset val="204"/>
      </rPr>
      <t xml:space="preserve">ООО "Колос", Краснодарский край, Гулькевичский район, с. Отрадно-Ольгинское, удаленность - 170 км  </t>
    </r>
    <r>
      <rPr>
        <b/>
        <i/>
        <sz val="20"/>
        <color theme="0" tint="-0.499984740745262"/>
        <rFont val="Arial"/>
        <family val="2"/>
        <charset val="204"/>
      </rPr>
      <t xml:space="preserve">                               </t>
    </r>
  </si>
  <si>
    <t>570, вес 094 и 443</t>
  </si>
  <si>
    <t>18-19.09.2024, 21-22.09.2024</t>
  </si>
  <si>
    <t>22-24.09.2024</t>
  </si>
  <si>
    <t>уточнена площадь уборки за 22.09 (-2 га)</t>
  </si>
  <si>
    <t>Жива</t>
  </si>
  <si>
    <t>25-26.09.2024</t>
  </si>
  <si>
    <r>
      <t xml:space="preserve">Кукуруза сахарная Кубань Хлеб
</t>
    </r>
    <r>
      <rPr>
        <b/>
        <i/>
        <sz val="10"/>
        <color theme="0" tint="-0.499984740745262"/>
        <rFont val="Arial"/>
        <family val="2"/>
        <charset val="204"/>
      </rPr>
      <t xml:space="preserve">ООО "Кубаньагро-Фаста", Краснодарский край, Тихорецкий район, ст. Фастовецкая, удаленность - 40 км  </t>
    </r>
    <r>
      <rPr>
        <b/>
        <i/>
        <sz val="20"/>
        <color theme="0" tint="-0.499984740745262"/>
        <rFont val="Arial"/>
        <family val="2"/>
        <charset val="204"/>
      </rPr>
      <t xml:space="preserve">                               </t>
    </r>
  </si>
  <si>
    <t>24-27.09.2024</t>
  </si>
  <si>
    <t>29-30.09.2024</t>
  </si>
  <si>
    <t>уточнено количество машин (-1 шт.), вал</t>
  </si>
  <si>
    <t>18.09.2024, 25-28.09.2024, 30.09-01.10.2024</t>
  </si>
  <si>
    <t>покос закончили 01.09.2024 в 14:19</t>
  </si>
  <si>
    <t>уточнена площадь уборки за 26.09 (-6 га) и за 27.09 (+12 га)</t>
  </si>
  <si>
    <t>30.09-02.10.2024</t>
  </si>
  <si>
    <t>Прогноз</t>
  </si>
  <si>
    <t>Окончание уборки Прогноз</t>
  </si>
  <si>
    <t>факт</t>
  </si>
  <si>
    <t>22.09.2024, 27.09.2024, 30.09.2024, 04.10.2024</t>
  </si>
  <si>
    <t>19.09.2024, 04.10.2024</t>
  </si>
  <si>
    <t>01.10.2024, 04-05.10.2024</t>
  </si>
  <si>
    <t>05-06.10.2024</t>
  </si>
  <si>
    <t>10/12 Кубань Хлеб</t>
  </si>
  <si>
    <t>688-347</t>
  </si>
  <si>
    <t>684-687</t>
  </si>
  <si>
    <t>1-2 ед.</t>
  </si>
  <si>
    <t>уточнена площадь уборки и валовый сбор (перенос части на 01.10.2024)</t>
  </si>
  <si>
    <t>уточнен вес КА</t>
  </si>
  <si>
    <t>957 (1 и 2), 688, 404, 317, 057 (1)</t>
  </si>
  <si>
    <t>057 (2) поле 10/12</t>
  </si>
  <si>
    <t>06-07.10.2024</t>
  </si>
  <si>
    <t xml:space="preserve"> - остаток по площади (бросили)</t>
  </si>
  <si>
    <t>05.10.2024, 07-09.10.2024</t>
  </si>
  <si>
    <t xml:space="preserve"> плюс 2 машины?</t>
  </si>
  <si>
    <t>09-11.10.2024</t>
  </si>
  <si>
    <t>11-12.10.2024</t>
  </si>
  <si>
    <t>12-13.10.2024</t>
  </si>
  <si>
    <t>15-16.10.2024</t>
  </si>
  <si>
    <t>07.10.2024, 13-16.10.2024</t>
  </si>
  <si>
    <t>02.10.2024, 04-07.10.2024, 15.10.2024</t>
  </si>
  <si>
    <t>Кукуруза сахарная Грин Рэй Кубань</t>
  </si>
  <si>
    <t>1 ед.</t>
  </si>
  <si>
    <t>бросили 20 га - акт от 08.10.2024</t>
  </si>
  <si>
    <t>16-17.10.2024</t>
  </si>
  <si>
    <t>бросили 37 га - акт от 08.10.2024</t>
  </si>
  <si>
    <t>уточнен вал (-1 машина) по 29.09.2024</t>
  </si>
  <si>
    <t>ОБЩАЯ ИНФОРМАЦИЯ ПО УБОРКЕ КУКУРУЗЫ САХАРНОЙ И СУПЕРСЛАДКОЙ - СЕЗОН 2025 г.</t>
  </si>
  <si>
    <t>Кукуруза Кубань Хлеб</t>
  </si>
  <si>
    <t>Кукуруза Иррико суперсл.</t>
  </si>
  <si>
    <t>Кукуруза Агролидер</t>
  </si>
  <si>
    <r>
      <t xml:space="preserve">Кукуруза суперсладкая Иррико-Холдинг
</t>
    </r>
    <r>
      <rPr>
        <b/>
        <i/>
        <sz val="10"/>
        <color theme="0" tint="-0.499984740745262"/>
        <rFont val="Arial"/>
        <family val="2"/>
        <charset val="204"/>
      </rPr>
      <t>Ставропольский край, с. Малая Джалга -  350 га, пос. Винодельненский - 216 га</t>
    </r>
    <r>
      <rPr>
        <b/>
        <i/>
        <sz val="20"/>
        <color theme="0" tint="-0.499984740745262"/>
        <rFont val="Arial"/>
        <family val="2"/>
        <charset val="204"/>
      </rPr>
      <t xml:space="preserve">                          </t>
    </r>
  </si>
  <si>
    <t>2025 г.</t>
  </si>
  <si>
    <t>Показатели 2025 г.</t>
  </si>
  <si>
    <t>Агролидер</t>
  </si>
  <si>
    <t>Поступление сырья на завод</t>
  </si>
  <si>
    <t>Урожая с поля</t>
  </si>
  <si>
    <t>Бюджет</t>
  </si>
  <si>
    <t>Братковский</t>
  </si>
  <si>
    <t>Закупка Братковский (конвейер)</t>
  </si>
  <si>
    <t>Закупка (вне конвейера)</t>
  </si>
  <si>
    <t>т</t>
  </si>
  <si>
    <t>Площадь сева (факт)</t>
  </si>
  <si>
    <t>Урожайность (план)</t>
  </si>
  <si>
    <t>Площадь сева Бюджет</t>
  </si>
  <si>
    <t>с уч. зак. Братковский</t>
  </si>
  <si>
    <t>Кукуруза Братковский</t>
  </si>
  <si>
    <t>остаток по плану</t>
  </si>
  <si>
    <t>Документ</t>
  </si>
  <si>
    <t>Номер взвешивания</t>
  </si>
  <si>
    <t>Номер вх.  док.</t>
  </si>
  <si>
    <t>Водитель</t>
  </si>
  <si>
    <t>Автомобиль</t>
  </si>
  <si>
    <t>Номер поля</t>
  </si>
  <si>
    <t>Хар-ка</t>
  </si>
  <si>
    <t>Исх. номенклатура</t>
  </si>
  <si>
    <t>Вес брутто</t>
  </si>
  <si>
    <t>Вес тары</t>
  </si>
  <si>
    <t>% отходов сверх допуска</t>
  </si>
  <si>
    <t>Вес нетто</t>
  </si>
  <si>
    <t>Зачетный вес</t>
  </si>
  <si>
    <t>Акт входного контроля грин00378 от 04.08.2025 22:18:48</t>
  </si>
  <si>
    <t>КОЛХОЗ ЛЕНИНСКИЙ ПУТЬ ООО</t>
  </si>
  <si>
    <t>Ревенко Андрей Вячеславович</t>
  </si>
  <si>
    <t>А781РР</t>
  </si>
  <si>
    <t>Кукуруза сахарная (из суперсладких сортов) 2025</t>
  </si>
  <si>
    <t>Фомин Николай Григорьевич</t>
  </si>
  <si>
    <t>А731ВА</t>
  </si>
  <si>
    <t>Емец Р.А.</t>
  </si>
  <si>
    <t>У315НХ</t>
  </si>
  <si>
    <t>СОЮЗ-АГРО ООО</t>
  </si>
  <si>
    <t>Бербеницкий Сергей Николаевич</t>
  </si>
  <si>
    <t>С400РР</t>
  </si>
  <si>
    <t>Кукуруза сахарная 2025</t>
  </si>
  <si>
    <t>Кулинич Евгений Владимирович</t>
  </si>
  <si>
    <t>У801СТ</t>
  </si>
  <si>
    <t>Черевко Александр Владимирович</t>
  </si>
  <si>
    <t>А114МК</t>
  </si>
  <si>
    <t>Богучарский А. И.</t>
  </si>
  <si>
    <t>Е404УС</t>
  </si>
  <si>
    <t>Извеков Владимир Владимирович</t>
  </si>
  <si>
    <t>Н378ХЕ</t>
  </si>
  <si>
    <t>Мудрак Вадим Васильевич</t>
  </si>
  <si>
    <t>Х514ОК</t>
  </si>
  <si>
    <t>Егоян Артем Владимирович</t>
  </si>
  <si>
    <t>А701СН</t>
  </si>
  <si>
    <t>Мудрак Игорь Вадимович</t>
  </si>
  <si>
    <t>С198УЕ</t>
  </si>
  <si>
    <t>Вероника</t>
  </si>
  <si>
    <t>Черевко А В</t>
  </si>
  <si>
    <t>Гуднесс Фудс Джалга</t>
  </si>
  <si>
    <t>1103 Иррико (Джалга)</t>
  </si>
  <si>
    <t>Карамелло</t>
  </si>
  <si>
    <t>Кукуруза сахарная (из суперсладких сортов) 2025 Иррико-Холдинг</t>
  </si>
  <si>
    <t>Сероштан Станислав Викторович</t>
  </si>
  <si>
    <t>Е758РЕ</t>
  </si>
  <si>
    <t>Акт входного контроля грин00418 от 09.08.2025 5:12:29</t>
  </si>
  <si>
    <t>Майстровский В.Н.</t>
  </si>
  <si>
    <t>М057АО</t>
  </si>
  <si>
    <t>Акт входного контроля грин00419 от 09.08.2025 6:03:04</t>
  </si>
  <si>
    <t>Долгих Николай Петрович</t>
  </si>
  <si>
    <t>У726ЕР</t>
  </si>
  <si>
    <t>Акт входного контроля грин00420 от 09.08.2025 7:46:16</t>
  </si>
  <si>
    <t>Акт входного контроля грин00421 от 09.08.2025 9:40:15</t>
  </si>
  <si>
    <t>Кудря Евгений</t>
  </si>
  <si>
    <t>А719ОО</t>
  </si>
  <si>
    <t>Акт входного контроля грин00422 от 09.08.2025 12:04:58</t>
  </si>
  <si>
    <t>Чернецов Александр Михайлович</t>
  </si>
  <si>
    <t>Р866РМ</t>
  </si>
  <si>
    <t>Акт входного контроля грин00423 от 09.08.2025 12:10:08</t>
  </si>
  <si>
    <t>Огнев Максим Викторович</t>
  </si>
  <si>
    <t>Р755НН</t>
  </si>
  <si>
    <t>Акт входного контроля грин00424 от 09.08.2025 22:58:46</t>
  </si>
  <si>
    <t>Д1-009474</t>
  </si>
  <si>
    <t>Аладин Василий Сергеевич</t>
  </si>
  <si>
    <t>Т110ТМ</t>
  </si>
  <si>
    <t>Акт входного контроля грин00425 от 10.08.2025 0:42:08</t>
  </si>
  <si>
    <t>Акт входного контроля грин00426 от 10.08.2025 1:15:28</t>
  </si>
  <si>
    <t>Акт входного контроля грин00427 от 10.08.2025 1:48:02</t>
  </si>
  <si>
    <t xml:space="preserve">Погуляй А.Б.       </t>
  </si>
  <si>
    <t>О824ТХ</t>
  </si>
  <si>
    <t>Акт входного контроля грин00428 от 10.08.2025 2:36:55</t>
  </si>
  <si>
    <t>Акт входного контроля грин00429 от 10.08.2025 3:04:21</t>
  </si>
  <si>
    <t>Ушаков С Е.</t>
  </si>
  <si>
    <t>О212РТ</t>
  </si>
  <si>
    <t>Акт входного контроля грин00430 от 10.08.2025 4:45:27</t>
  </si>
  <si>
    <t>Пугачев Сергей Викторович</t>
  </si>
  <si>
    <t>Р258УХ</t>
  </si>
  <si>
    <t>Акт входного контроля грин00431 от 10.08.2025 7:22:41</t>
  </si>
  <si>
    <t>Акт входного контроля грин00432 от 10.08.2025 8:14:27</t>
  </si>
  <si>
    <t>Лазаренко Вятчеслав Владимирович</t>
  </si>
  <si>
    <t>Т239УС</t>
  </si>
  <si>
    <t>Акт входного контроля грин00433 от 10.08.2025 8:23:23</t>
  </si>
  <si>
    <t>Никитась Сергей Анатольевич</t>
  </si>
  <si>
    <t>К570ЕО</t>
  </si>
  <si>
    <t>Акт входного контроля грин00434 от 10.08.2025 9:36:56</t>
  </si>
  <si>
    <t>Жданов Андрей Иванович</t>
  </si>
  <si>
    <t>С707ОУ</t>
  </si>
  <si>
    <t>Акт входного контроля грин00435 от 10.08.2025 10:24:17</t>
  </si>
  <si>
    <t>Акт входного контроля грин00436 от 10.08.2025 11:13:43</t>
  </si>
  <si>
    <t>Акт входного контроля грин00437 от 10.08.2025 14:44:22</t>
  </si>
  <si>
    <t xml:space="preserve">Пищев Александр Васильевич </t>
  </si>
  <si>
    <t>Т522ОН</t>
  </si>
  <si>
    <t>Акт входного контроля грин00438 от 10.08.2025 15:31:15</t>
  </si>
  <si>
    <t>Акт входного контроля грин00439 от 10.08.2025 19:19:50</t>
  </si>
  <si>
    <t>Акт входного контроля грин00440 от 10.08.2025 19:27:42</t>
  </si>
  <si>
    <t>Акт входного контроля грин00441 от 10.08.2025 21:28:02</t>
  </si>
  <si>
    <t>Блажко Алексей Николаевич</t>
  </si>
  <si>
    <t>М676КО</t>
  </si>
  <si>
    <t>Акт входного контроля грин00442 от 10.08.2025 21:32:08</t>
  </si>
  <si>
    <t>Дик Илья Александрович</t>
  </si>
  <si>
    <t>М556ХВ</t>
  </si>
  <si>
    <t>Акт входного контроля грин00443 от 10.08.2025 22:19:30</t>
  </si>
  <si>
    <t>Акт входного контроля грин00444 от 10.08.2025 23:59:44</t>
  </si>
  <si>
    <t>Акт входного контроля грин00458 от 11.08.2025 0:05:24</t>
  </si>
  <si>
    <t>Акт входного контроля грин00469 от 11.08.2025 6:39:34</t>
  </si>
  <si>
    <t>Чернышов Александр Павлович</t>
  </si>
  <si>
    <t>М704ТС</t>
  </si>
  <si>
    <t>Акт входного контроля грин00470 от 11.08.2025 9:18:42</t>
  </si>
  <si>
    <t>Акт входного контроля грин00471 от 11.08.2025 9:38:43</t>
  </si>
  <si>
    <t>Акт входного контроля грин00472 от 11.08.2025 12:01:58</t>
  </si>
  <si>
    <t>Акт входного контроля грин00459 от 11.08.2025 13:46:41</t>
  </si>
  <si>
    <t>Акт входного контроля грин00464 от 11.08.2025 15:00:00</t>
  </si>
  <si>
    <t>Акт входного контроля грин00465 от 11.08.2025 16:45:30</t>
  </si>
  <si>
    <t>Акт входного контроля грин00466 от 11.08.2025 17:20:39</t>
  </si>
  <si>
    <t>Акт входного контроля грин00467 от 11.08.2025 21:41:55</t>
  </si>
  <si>
    <t>Глушенко Александр Иванович</t>
  </si>
  <si>
    <t>Н735ВК</t>
  </si>
  <si>
    <t>Акт входного контроля грин00468 от 11.08.2025 21:42:45</t>
  </si>
  <si>
    <t>Веревкин Андрей Александрович</t>
  </si>
  <si>
    <t>Н234ВК</t>
  </si>
  <si>
    <t>Акт входного контроля грин00473 от 11.08.2025 22:12:42</t>
  </si>
  <si>
    <t>Акт входного контроля грин00474 от 11.08.2025 22:21:40</t>
  </si>
  <si>
    <t>Акт входного контроля грин00475 от 11.08.2025 23:38:08</t>
  </si>
  <si>
    <t>Акт входного контроля грин00476 от 12.08.2025 8:01:27</t>
  </si>
  <si>
    <t>Акт входного контроля грин00477 от 12.08.2025 8:50:59</t>
  </si>
  <si>
    <t>Акт входного контроля грин00478 от 12.08.2025 10:29:46</t>
  </si>
  <si>
    <t>Акт входного контроля грин00479 от 12.08.2025 13:36:25</t>
  </si>
  <si>
    <t>Акт входного контроля грин00480 от 12.08.2025 15:19:54</t>
  </si>
  <si>
    <t>Акт входного контроля грин00481 от 12.08.2025 15:28:31</t>
  </si>
  <si>
    <t>Акт входного контроля грин00482 от 12.08.2025 17:11:05</t>
  </si>
  <si>
    <t>Акт входного контроля грин00483 от 12.08.2025 17:23:55</t>
  </si>
  <si>
    <t>Акт входного контроля грин00484 от 12.08.2025 19:43:10</t>
  </si>
  <si>
    <t>Акт входного контроля грин00485 от 12.08.2025 21:06:26</t>
  </si>
  <si>
    <t>Итого</t>
  </si>
  <si>
    <t>грин00378</t>
  </si>
  <si>
    <t>грин00418</t>
  </si>
  <si>
    <t>грин00419</t>
  </si>
  <si>
    <t>грин00420</t>
  </si>
  <si>
    <t>грин00421</t>
  </si>
  <si>
    <t>грин00422</t>
  </si>
  <si>
    <t>грин00423</t>
  </si>
  <si>
    <t>грин00424</t>
  </si>
  <si>
    <t>грин00425</t>
  </si>
  <si>
    <t>грин00426</t>
  </si>
  <si>
    <t>грин00427</t>
  </si>
  <si>
    <t>грин00428</t>
  </si>
  <si>
    <t>грин00429</t>
  </si>
  <si>
    <t>грин00430</t>
  </si>
  <si>
    <t>грин00431</t>
  </si>
  <si>
    <t>грин00432</t>
  </si>
  <si>
    <t>грин00433</t>
  </si>
  <si>
    <t>грин00434</t>
  </si>
  <si>
    <t>грин00435</t>
  </si>
  <si>
    <t>грин00436</t>
  </si>
  <si>
    <t>грин00437</t>
  </si>
  <si>
    <t>грин00438</t>
  </si>
  <si>
    <t>грин00439</t>
  </si>
  <si>
    <t>грин00440</t>
  </si>
  <si>
    <t>грин00441</t>
  </si>
  <si>
    <t>грин00442</t>
  </si>
  <si>
    <t>грин00443</t>
  </si>
  <si>
    <t>грин00444</t>
  </si>
  <si>
    <t>грин00458</t>
  </si>
  <si>
    <t>грин00469</t>
  </si>
  <si>
    <t>грин00470</t>
  </si>
  <si>
    <t>грин00471</t>
  </si>
  <si>
    <t>грин00472</t>
  </si>
  <si>
    <t>грин00459</t>
  </si>
  <si>
    <t>грин00464</t>
  </si>
  <si>
    <t>грин00465</t>
  </si>
  <si>
    <t>грин00466</t>
  </si>
  <si>
    <t>грин00467</t>
  </si>
  <si>
    <t>грин00468</t>
  </si>
  <si>
    <t>грин00473</t>
  </si>
  <si>
    <t>грин00474</t>
  </si>
  <si>
    <t>грин00475</t>
  </si>
  <si>
    <t>грин00476</t>
  </si>
  <si>
    <t>грин00477</t>
  </si>
  <si>
    <t>грин00478</t>
  </si>
  <si>
    <t>грин00479</t>
  </si>
  <si>
    <t>грин00480</t>
  </si>
  <si>
    <t>грин00481</t>
  </si>
  <si>
    <t>грин00482</t>
  </si>
  <si>
    <t>грин00483</t>
  </si>
  <si>
    <t>грин00484</t>
  </si>
  <si>
    <t>грин00485</t>
  </si>
  <si>
    <t>Номер акта</t>
  </si>
  <si>
    <t>Дата акта</t>
  </si>
  <si>
    <t>Время акта</t>
  </si>
  <si>
    <t>Союз-Агро</t>
  </si>
  <si>
    <t>Вес нетто ЗАКУПКА</t>
  </si>
  <si>
    <t>Дата уборки</t>
  </si>
  <si>
    <t xml:space="preserve"> Площадь уборки, га</t>
  </si>
  <si>
    <t>Физ. вес, кг</t>
  </si>
  <si>
    <t xml:space="preserve"> Зачетный вес, кг</t>
  </si>
  <si>
    <t xml:space="preserve"> Урожайность физ.вес, т/га</t>
  </si>
  <si>
    <t xml:space="preserve"> Урожайность зач.вес, т/га</t>
  </si>
  <si>
    <t>Урожайность физ. вес</t>
  </si>
  <si>
    <t>Параметры:</t>
  </si>
  <si>
    <t>Начало периода: 01.08.2025 0:00:00</t>
  </si>
  <si>
    <t>Отбор:</t>
  </si>
  <si>
    <t>№ п/п</t>
  </si>
  <si>
    <t>Период</t>
  </si>
  <si>
    <t>№ машины</t>
  </si>
  <si>
    <t>№ прицепа</t>
  </si>
  <si>
    <t>Груз</t>
  </si>
  <si>
    <t>Получатель</t>
  </si>
  <si>
    <t>Отправитель</t>
  </si>
  <si>
    <t>Брутто</t>
  </si>
  <si>
    <t>Тара</t>
  </si>
  <si>
    <t>Нетто</t>
  </si>
  <si>
    <t>Брутто (по документам)</t>
  </si>
  <si>
    <t>Тара (по документам)</t>
  </si>
  <si>
    <t>Нетто (по документам)</t>
  </si>
  <si>
    <t>Отклонение</t>
  </si>
  <si>
    <t>Пункт назначения</t>
  </si>
  <si>
    <t>Пункт отправления</t>
  </si>
  <si>
    <t>05.08.2025 2:13:20</t>
  </si>
  <si>
    <t>А781РР 123</t>
  </si>
  <si>
    <t>ЕХ4187 23</t>
  </si>
  <si>
    <t>Грин Рэй Кубань ООО</t>
  </si>
  <si>
    <t>05.08.2025 6:11:12</t>
  </si>
  <si>
    <t>А731ВА 123</t>
  </si>
  <si>
    <t>МО8130 23</t>
  </si>
  <si>
    <t>06.08.2025 9:50:53</t>
  </si>
  <si>
    <t>06.08.2025 11:56:35</t>
  </si>
  <si>
    <t>У315НХ 123</t>
  </si>
  <si>
    <t>ЕУ4649 23</t>
  </si>
  <si>
    <t>06.08.2025 22:51:43</t>
  </si>
  <si>
    <t>С400РР 23</t>
  </si>
  <si>
    <t>ЕО0811 23</t>
  </si>
  <si>
    <t>07.08.2025 2:05:21</t>
  </si>
  <si>
    <t>У801СТ 123</t>
  </si>
  <si>
    <t>ВН4482 6</t>
  </si>
  <si>
    <t>ГРИН РЭЙ КУБАНЬ ООО</t>
  </si>
  <si>
    <t>07.08.2025 3:48:23</t>
  </si>
  <si>
    <t>07.08.2025 5:12:57</t>
  </si>
  <si>
    <t>А114МК 193</t>
  </si>
  <si>
    <t>МЕ2744 23</t>
  </si>
  <si>
    <t>07.08.2025 9:23:06</t>
  </si>
  <si>
    <t>Е404УС 93</t>
  </si>
  <si>
    <t>ЕТ0909 23</t>
  </si>
  <si>
    <t>07.08.2025 11:00:23</t>
  </si>
  <si>
    <t>Х514ОК 123</t>
  </si>
  <si>
    <t>ЕУ4356 23</t>
  </si>
  <si>
    <t>с.Гофицкое</t>
  </si>
  <si>
    <t>07.08.2025 15:54:13</t>
  </si>
  <si>
    <t>Н378ХЕ 93</t>
  </si>
  <si>
    <t>ЕР7829 23</t>
  </si>
  <si>
    <t>07.08.2025 21:19:03</t>
  </si>
  <si>
    <t>А701СН 93</t>
  </si>
  <si>
    <t>ЕН9185 23</t>
  </si>
  <si>
    <t>08.08.2025 0:28:45</t>
  </si>
  <si>
    <t>С198УЕ 193</t>
  </si>
  <si>
    <t>ЕУ4355 23</t>
  </si>
  <si>
    <t>08.08.2025 2:35:52</t>
  </si>
  <si>
    <t>08.08.2025 3:58:50</t>
  </si>
  <si>
    <t>МА3410 23</t>
  </si>
  <si>
    <t>08.08.2025 6:40:14</t>
  </si>
  <si>
    <t>08.08.2025 8:44:54</t>
  </si>
  <si>
    <t>А114МК 19</t>
  </si>
  <si>
    <t>АВ2744 27</t>
  </si>
  <si>
    <t>08.08.2025 10:41:11</t>
  </si>
  <si>
    <t>08.08.2025 12:43:43</t>
  </si>
  <si>
    <t>09.08.2025 10:00:37</t>
  </si>
  <si>
    <t>Консервный цех (ордер)</t>
  </si>
  <si>
    <t>Гуднесс Фудс Джалга(Джалга)</t>
  </si>
  <si>
    <t>09.08.2025 12:17:01</t>
  </si>
  <si>
    <t>09.08.2025 13:33:07</t>
  </si>
  <si>
    <t>Е758РЕ 123</t>
  </si>
  <si>
    <t>ЕХ4191 23</t>
  </si>
  <si>
    <t>09.08.2025 14:53:28</t>
  </si>
  <si>
    <t>М057АО 23</t>
  </si>
  <si>
    <t>МА6913 23</t>
  </si>
  <si>
    <t>09.08.2025 15:39:42</t>
  </si>
  <si>
    <t>У726ЕР 123</t>
  </si>
  <si>
    <t>ЕС9682 23</t>
  </si>
  <si>
    <t>09.08.2025 16:53:05</t>
  </si>
  <si>
    <t>09.08.2025 17:51:00</t>
  </si>
  <si>
    <t>А719ОО 123</t>
  </si>
  <si>
    <t>ЕУ8087 23</t>
  </si>
  <si>
    <t>09.08.2025 18:56:43</t>
  </si>
  <si>
    <t>Р866РМ 123</t>
  </si>
  <si>
    <t>ЕУ2872 23</t>
  </si>
  <si>
    <t>09.08.2025 20:09:59</t>
  </si>
  <si>
    <t>Р755НН 26</t>
  </si>
  <si>
    <t>РА5550 26</t>
  </si>
  <si>
    <t>09.08.2025 23:40:43</t>
  </si>
  <si>
    <t>Т110ТМ 123</t>
  </si>
  <si>
    <t>МС9164 23</t>
  </si>
  <si>
    <t>10.08.2025 1:41:53</t>
  </si>
  <si>
    <t>10.08.2025 3:13:54</t>
  </si>
  <si>
    <t>10.08.2025 4:54:22</t>
  </si>
  <si>
    <t>Погуляй А.Б.</t>
  </si>
  <si>
    <t>О824ТХ 123</t>
  </si>
  <si>
    <t>ЕН1867 23</t>
  </si>
  <si>
    <t>10.08.2025 8:08:03</t>
  </si>
  <si>
    <t>10.08.2025 9:22:12</t>
  </si>
  <si>
    <t>О212РТ 123</t>
  </si>
  <si>
    <t>МЕ3194 23</t>
  </si>
  <si>
    <t>10.08.2025 10:15:15</t>
  </si>
  <si>
    <t>Р258УХ 123</t>
  </si>
  <si>
    <t>МО9466 23</t>
  </si>
  <si>
    <t>10.08.2025 11:34:23</t>
  </si>
  <si>
    <t>10.08.2025 13:39:59</t>
  </si>
  <si>
    <t>Т239УС 93</t>
  </si>
  <si>
    <t>ЕС6637 23</t>
  </si>
  <si>
    <t>10.08.2025 13:44:55</t>
  </si>
  <si>
    <t>К570ЕО 123</t>
  </si>
  <si>
    <t>ЕС6735 93</t>
  </si>
  <si>
    <t>10.08.2025 17:11:43</t>
  </si>
  <si>
    <t>С707ОУ 123</t>
  </si>
  <si>
    <t>ЕТ8716 23</t>
  </si>
  <si>
    <t>10.08.2025 18:30:03</t>
  </si>
  <si>
    <t>10.08.2025 20:24:09</t>
  </si>
  <si>
    <t>10.08.2025 21:13:01</t>
  </si>
  <si>
    <t>Пищев Александр Васильевич</t>
  </si>
  <si>
    <t>Т522ОН 93</t>
  </si>
  <si>
    <t>ЕЕ4940 23</t>
  </si>
  <si>
    <t>10.08.2025 23:15:15</t>
  </si>
  <si>
    <t>11.08.2025 0:45:55</t>
  </si>
  <si>
    <t>11.08.2025 1:57:12</t>
  </si>
  <si>
    <t>11.08.2025 4:01:36</t>
  </si>
  <si>
    <t>М676КО 48</t>
  </si>
  <si>
    <t>АК3820 48</t>
  </si>
  <si>
    <t>11.08.2025 4:15:10</t>
  </si>
  <si>
    <t>М556ХВ 23</t>
  </si>
  <si>
    <t>КС9189 23</t>
  </si>
  <si>
    <t>11.08.2025 5:22:44</t>
  </si>
  <si>
    <t>11.08.2025 7:54:57</t>
  </si>
  <si>
    <t>11.08.2025 11:31:39</t>
  </si>
  <si>
    <t>11.08.2025 12:56:44</t>
  </si>
  <si>
    <t>11.08.2025 14:27:59</t>
  </si>
  <si>
    <t>11.08.2025 15:39:27</t>
  </si>
  <si>
    <t>11.08.2025 16:35:55</t>
  </si>
  <si>
    <t>11.08.2025 17:55:05</t>
  </si>
  <si>
    <t>Н735ВК 126</t>
  </si>
  <si>
    <t>ЕМ5924 26</t>
  </si>
  <si>
    <t>11.08.2025 18:50:05</t>
  </si>
  <si>
    <t>Н234ВК 126</t>
  </si>
  <si>
    <t>ЕМ5743 26</t>
  </si>
  <si>
    <t>11.08.2025 20:35:32</t>
  </si>
  <si>
    <t>М704ТС 126</t>
  </si>
  <si>
    <t>ЕК4914 26</t>
  </si>
  <si>
    <t>11.08.2025 21:46:24</t>
  </si>
  <si>
    <t>11.08.2025 23:18:21</t>
  </si>
  <si>
    <t>12.08.2025 1:01:19</t>
  </si>
  <si>
    <t>12.08.2025 2:37:28</t>
  </si>
  <si>
    <t>12.08.2025 3:46:39</t>
  </si>
  <si>
    <t>12.08.2025 4:49:15</t>
  </si>
  <si>
    <t>12.08.2025 5:59:06</t>
  </si>
  <si>
    <t>12.08.2025 8:30:14</t>
  </si>
  <si>
    <t>12.08.2025 10:04:15</t>
  </si>
  <si>
    <t>12.08.2025 11:05:06</t>
  </si>
  <si>
    <t>12.08.2025 14:38:56</t>
  </si>
  <si>
    <t>12.08.2025 14:52:39</t>
  </si>
  <si>
    <t>12.08.2025 16:41:08</t>
  </si>
  <si>
    <t>12.08.2025 16:45:14</t>
  </si>
  <si>
    <t>ЕС6735 23</t>
  </si>
  <si>
    <t>12.08.2025 18:45:05</t>
  </si>
  <si>
    <t>12.08.2025 19:46:14</t>
  </si>
  <si>
    <t>12.08.2025 21:12:17</t>
  </si>
  <si>
    <t>12.08.2025 22:09:52</t>
  </si>
  <si>
    <t>12.08.2025 23:27:34</t>
  </si>
  <si>
    <t>13.08.2025 1:35:16</t>
  </si>
  <si>
    <t>13.08.2025 2:46:07</t>
  </si>
  <si>
    <t>13.08.2025 4:10:06</t>
  </si>
  <si>
    <t>13.08.2025 5:09:34</t>
  </si>
  <si>
    <t>13.08.2025 8:25:19</t>
  </si>
  <si>
    <t>по окончанию смены</t>
  </si>
  <si>
    <t>Акт входного контроля грин00486 от 12.08.2025 18:26:42</t>
  </si>
  <si>
    <t>Шайнрок</t>
  </si>
  <si>
    <t>Акт входного контроля грин00489 от 12.08.2025 18:34:46</t>
  </si>
  <si>
    <t>Акт входного контроля грин00493 от 12.08.2025 22:13:38</t>
  </si>
  <si>
    <t>Акт входного контроля грин00492 от 12.08.2025 22:19:00</t>
  </si>
  <si>
    <t>Акт входного контроля грин00487 от 13.08.2025 9:26:46</t>
  </si>
  <si>
    <t>Акт входного контроля грин00490 от 13.08.2025 9:35:31</t>
  </si>
  <si>
    <t>Акт входного контроля грин00491 от 13.08.2025 9:39:40</t>
  </si>
  <si>
    <t>Акт входного контроля грин00488 от 13.08.2025 9:40:22</t>
  </si>
  <si>
    <t>Акт входного контроля грин00494 от 13.08.2025 13:29:34</t>
  </si>
  <si>
    <t>Акт входного контроля грин00495 от 13.08.2025 14:56:34</t>
  </si>
  <si>
    <t>Акт входного контроля грин00496 от 13.08.2025 15:42:46</t>
  </si>
  <si>
    <t>Акт входного контроля грин00497 от 13.08.2025 15:58:21</t>
  </si>
  <si>
    <t>Акт входного контроля грин00498 от 13.08.2025 16:12:41</t>
  </si>
  <si>
    <t>Акт входного контроля грин00499 от 13.08.2025 16:26:39</t>
  </si>
  <si>
    <t>Акт входного контроля грин00500 от 13.08.2025 17:17:38</t>
  </si>
  <si>
    <t>Акт входного контроля грин00501 от 13.08.2025 18:32:20</t>
  </si>
  <si>
    <t>Акт входного контроля грин00502 от 13.08.2025 19:00:49</t>
  </si>
  <si>
    <t>Акт входного контроля грин00505 от 13.08.2025 19:27:06</t>
  </si>
  <si>
    <t>Акт входного контроля грин00503 от 13.08.2025 21:13:02</t>
  </si>
  <si>
    <t>Акт входного контроля грин00504 от 13.08.2025 21:35:13</t>
  </si>
  <si>
    <t>Акт входного контроля грин00506 от 14.08.2025 0:18:30</t>
  </si>
  <si>
    <t>Акт входного контроля грин00507 от 14.08.2025 0:25:58</t>
  </si>
  <si>
    <t>1102 Иррико (Джалга)</t>
  </si>
  <si>
    <t>Акт входного контроля грин00510 от 14.08.2025 7:27:51</t>
  </si>
  <si>
    <t>грин00486</t>
  </si>
  <si>
    <t>грин00489</t>
  </si>
  <si>
    <t>грин00493</t>
  </si>
  <si>
    <t>грин00492</t>
  </si>
  <si>
    <t>грин00487</t>
  </si>
  <si>
    <t>грин00490</t>
  </si>
  <si>
    <t>грин00491</t>
  </si>
  <si>
    <t>грин00488</t>
  </si>
  <si>
    <t>грин00494</t>
  </si>
  <si>
    <t>грин00495</t>
  </si>
  <si>
    <t>грин00496</t>
  </si>
  <si>
    <t>грин00497</t>
  </si>
  <si>
    <t>грин00498</t>
  </si>
  <si>
    <t>грин00499</t>
  </si>
  <si>
    <t>грин00500</t>
  </si>
  <si>
    <t>грин00501</t>
  </si>
  <si>
    <t>грин00502</t>
  </si>
  <si>
    <t>грин00505</t>
  </si>
  <si>
    <t>грин00503</t>
  </si>
  <si>
    <t>грин00504</t>
  </si>
  <si>
    <t>грин00506</t>
  </si>
  <si>
    <t>грин00507</t>
  </si>
  <si>
    <t>грин00508</t>
  </si>
  <si>
    <t>грин00509</t>
  </si>
  <si>
    <t>грин00510</t>
  </si>
  <si>
    <t>Импресс</t>
  </si>
  <si>
    <t>Акт входного контроля грин00511 от 14.08.2025 7:59:14</t>
  </si>
  <si>
    <t>Акт входного контроля грин00512 от 14.08.2025 8:03:32</t>
  </si>
  <si>
    <t>Гужва А М.</t>
  </si>
  <si>
    <t>Т285ВЕ</t>
  </si>
  <si>
    <t>Акт входного контроля грин00513 от 14.08.2025 8:28:20</t>
  </si>
  <si>
    <t>Ховятский АМ</t>
  </si>
  <si>
    <t>Р684ОХ</t>
  </si>
  <si>
    <t>Акт входного контроля грин00514 от 14.08.2025 8:40:39</t>
  </si>
  <si>
    <t>Бондаренко Николай Николаевич</t>
  </si>
  <si>
    <t>А315МК</t>
  </si>
  <si>
    <t>Акт входного контроля грин00508 от 14.08.2025 9:10:58</t>
  </si>
  <si>
    <t>Акт входного контроля грин00509 от 14.08.2025 9:17:18</t>
  </si>
  <si>
    <t>Акт входного контроля грин00515 от 14.08.2025 10:03:35</t>
  </si>
  <si>
    <t>Данильченко Ю.А.</t>
  </si>
  <si>
    <t>Р347КА</t>
  </si>
  <si>
    <t>Акт входного контроля грин00516 от 14.08.2025 11:12:38</t>
  </si>
  <si>
    <t>Рыбалкин АН</t>
  </si>
  <si>
    <t>Р687УК</t>
  </si>
  <si>
    <t>грин00511</t>
  </si>
  <si>
    <t>грин00512</t>
  </si>
  <si>
    <t>грин00513</t>
  </si>
  <si>
    <t>грин00514</t>
  </si>
  <si>
    <t>грин00515</t>
  </si>
  <si>
    <t>грин00516</t>
  </si>
  <si>
    <t>Отправитель В группе из списка "Гуднесс Фудс Джалга; Союз Агро ООО; СОЮЗ-АГРО ООО; Союз--Агро ООО; Колхоз "Ленинский путь" О...; КОЛХОЗ ЛЕНИНСКИЙ ПУТЬ ООО"</t>
  </si>
  <si>
    <t>13.08.2025 10:58:31</t>
  </si>
  <si>
    <t>13.08.2025 13:07:25</t>
  </si>
  <si>
    <t>13.08.2025 13:19:00</t>
  </si>
  <si>
    <t>13.08.2025 13:41:11</t>
  </si>
  <si>
    <t>13.08.2025 14:53:48</t>
  </si>
  <si>
    <t>13.08.2025 15:08:11</t>
  </si>
  <si>
    <t>13.08.2025 16:55:57</t>
  </si>
  <si>
    <t>13.08.2025 17:57:55</t>
  </si>
  <si>
    <t>ЕЕ9257 23</t>
  </si>
  <si>
    <t>13.08.2025 18:50:14</t>
  </si>
  <si>
    <t>13.08.2025 20:33:49</t>
  </si>
  <si>
    <t>13.08.2025 21:19:32</t>
  </si>
  <si>
    <t>13.08.2025 21:59:35</t>
  </si>
  <si>
    <t>С400РР 123</t>
  </si>
  <si>
    <t>ЕО 0811 23</t>
  </si>
  <si>
    <t>14.08.2025 1:51:57</t>
  </si>
  <si>
    <t>14.08.2025 2:26:51</t>
  </si>
  <si>
    <t>СХ8828 6</t>
  </si>
  <si>
    <t>14.08.2025 3:47:51</t>
  </si>
  <si>
    <t>14.08.2025 4:33:21</t>
  </si>
  <si>
    <t>14.08.2025 7:14:27</t>
  </si>
  <si>
    <t>14.08.2025 8:48:14</t>
  </si>
  <si>
    <t>14.08.2025 9:30:30</t>
  </si>
  <si>
    <t>Т285ВЕ 93</t>
  </si>
  <si>
    <t>КМ2828 23</t>
  </si>
  <si>
    <t>14.08.2025 10:24:14</t>
  </si>
  <si>
    <t>Р684ОХ 26</t>
  </si>
  <si>
    <t>РА7136 26</t>
  </si>
  <si>
    <t>14.08.2025 11:07:47</t>
  </si>
  <si>
    <t>А315МК 126</t>
  </si>
  <si>
    <t>РА5983 26</t>
  </si>
  <si>
    <t>14.08.2025 12:05:25</t>
  </si>
  <si>
    <t>Р347КА 26</t>
  </si>
  <si>
    <t>РА6585 26</t>
  </si>
  <si>
    <t>14.08.2025 13:15:14</t>
  </si>
  <si>
    <t>Р687УК 26</t>
  </si>
  <si>
    <t>РВ0254 26</t>
  </si>
  <si>
    <t>14.08.2025 14:08:53</t>
  </si>
  <si>
    <t>Сотников Сергей Кириллович</t>
  </si>
  <si>
    <t>Т443МВ 26</t>
  </si>
  <si>
    <t>СА8567 26</t>
  </si>
  <si>
    <t>Акт входного контроля грин00517 от 14.08.2025 12:15:56</t>
  </si>
  <si>
    <t>Т443МВ</t>
  </si>
  <si>
    <t>Акт входного контроля грин00518 от 14.08.2025 15:49:32</t>
  </si>
  <si>
    <t>Акт входного контроля грин00519 от 14.08.2025 15:56:26</t>
  </si>
  <si>
    <t>Акт входного контроля грин00520 от 14.08.2025 16:50:06</t>
  </si>
  <si>
    <t>Акт входного контроля грин00521 от 14.08.2025 20:43:47</t>
  </si>
  <si>
    <t>Акт входного контроля грин00524 от 14.08.2025 22:02:43</t>
  </si>
  <si>
    <t>Акт входного контроля грин00522 от 14.08.2025 23:32:47</t>
  </si>
  <si>
    <t>Акт входного контроля грин00523 от 15.08.2025 1:27:24</t>
  </si>
  <si>
    <t>Акт входного контроля грин00525 от 15.08.2025 4:31:46</t>
  </si>
  <si>
    <t>Акт входного контроля грин00526 от 15.08.2025 5:18:26</t>
  </si>
  <si>
    <t>Акт входного контроля грин00533 от 15.08.2025 6:13:19</t>
  </si>
  <si>
    <t>1107 Иррико (Джалга)</t>
  </si>
  <si>
    <t>Акт входного контроля грин00530 от 15.08.2025 6:27:33</t>
  </si>
  <si>
    <t>Рудик Александр Иванович</t>
  </si>
  <si>
    <t>А309АТ</t>
  </si>
  <si>
    <t>Акт входного контроля грин00532 от 15.08.2025 7:23:47</t>
  </si>
  <si>
    <t>Акт входного контроля грин00534 от 15.08.2025 7:37:06</t>
  </si>
  <si>
    <t>Акт входного контроля грин00535 от 15.08.2025 7:45:10</t>
  </si>
  <si>
    <t>Акт входного контроля грин00527 от 15.08.2025 13:40:57</t>
  </si>
  <si>
    <t>Акт входного контроля грин00528 от 15.08.2025 13:57:45</t>
  </si>
  <si>
    <t>Акт входного контроля грин00529 от 15.08.2025 14:09:13</t>
  </si>
  <si>
    <t>Магадиев Александр Сайлаувич</t>
  </si>
  <si>
    <t>У184НО</t>
  </si>
  <si>
    <t>Акт входного контроля грин00531 от 15.08.2025 17:22:11</t>
  </si>
  <si>
    <t>Лендкрузер</t>
  </si>
  <si>
    <t>Акт входного контроля грин00536 от 15.08.2025 17:33:17</t>
  </si>
  <si>
    <t>Акт входного контроля грин00537 от 15.08.2025 17:55:37</t>
  </si>
  <si>
    <t>Акт входного контроля грин00539 от 15.08.2025 18:01:08</t>
  </si>
  <si>
    <t>Акт входного контроля грин00538 от 15.08.2025 18:05:41</t>
  </si>
  <si>
    <t>Акт входного контроля грин00540 от 15.08.2025 20:31:52</t>
  </si>
  <si>
    <t>Акт входного контроля грин00541 от 15.08.2025 22:23:59</t>
  </si>
  <si>
    <t>грин00517</t>
  </si>
  <si>
    <t>грин00518</t>
  </si>
  <si>
    <t>грин00519</t>
  </si>
  <si>
    <t>грин00520</t>
  </si>
  <si>
    <t>грин00521</t>
  </si>
  <si>
    <t>грин00524</t>
  </si>
  <si>
    <t>грин00522</t>
  </si>
  <si>
    <t>грин00523</t>
  </si>
  <si>
    <t>грин00525</t>
  </si>
  <si>
    <t>грин00526</t>
  </si>
  <si>
    <t>грин00533</t>
  </si>
  <si>
    <t>грин00530</t>
  </si>
  <si>
    <t>грин00532</t>
  </si>
  <si>
    <t>грин00534</t>
  </si>
  <si>
    <t>грин00535</t>
  </si>
  <si>
    <t>грин00527</t>
  </si>
  <si>
    <t>грин00528</t>
  </si>
  <si>
    <t>грин00529</t>
  </si>
  <si>
    <t>грин00531</t>
  </si>
  <si>
    <t>грин00536</t>
  </si>
  <si>
    <t>грин00537</t>
  </si>
  <si>
    <t>грин00539</t>
  </si>
  <si>
    <t>грин00538</t>
  </si>
  <si>
    <t>грин00540</t>
  </si>
  <si>
    <t>грин00541</t>
  </si>
  <si>
    <t>14.08.2025 16:55:06</t>
  </si>
  <si>
    <t>14.08.2025 17:48:22</t>
  </si>
  <si>
    <t>14.08.2025 18:40:04</t>
  </si>
  <si>
    <t>14.08.2025 20:04:58</t>
  </si>
  <si>
    <t>14.08.2025 23:09:11</t>
  </si>
  <si>
    <t>14.08.2025 23:29:33</t>
  </si>
  <si>
    <t>15.08.2025 0:56:57</t>
  </si>
  <si>
    <t>15.08.2025 4:17:25</t>
  </si>
  <si>
    <t>15.08.2025 5:03:24</t>
  </si>
  <si>
    <t>15.08.2025 11:42:03</t>
  </si>
  <si>
    <t>15.08.2025 12:07:06</t>
  </si>
  <si>
    <t>15.08.2025 13:00:55</t>
  </si>
  <si>
    <t>У184НО 193</t>
  </si>
  <si>
    <t>МН7302 23</t>
  </si>
  <si>
    <t>ООО"КОЛОС"</t>
  </si>
  <si>
    <t>15.08.2025 15:25:01</t>
  </si>
  <si>
    <t>А309АТ 123</t>
  </si>
  <si>
    <t>ЕН4505 23</t>
  </si>
  <si>
    <t>15.08.2025 16:40:21</t>
  </si>
  <si>
    <t>15.08.2025 18:10:48</t>
  </si>
  <si>
    <t>15.08.2025 19:04:50</t>
  </si>
  <si>
    <t>15.08.2025 20:16:17</t>
  </si>
  <si>
    <t>15.08.2025 21:24:52</t>
  </si>
  <si>
    <t>15.08.2025 22:29:30</t>
  </si>
  <si>
    <t>15.08.2025 23:39:30</t>
  </si>
  <si>
    <t>Ленинский путь Колхоз ООО</t>
  </si>
  <si>
    <t>16.08.2025 2:19:04</t>
  </si>
  <si>
    <t>16.08.2025 3:44:03</t>
  </si>
  <si>
    <t>16.08.2025 5:09:55</t>
  </si>
  <si>
    <t>16.08.2025 6:47:57</t>
  </si>
  <si>
    <t>1 (1) им. Кирова ЗАО</t>
  </si>
  <si>
    <t>1 (2) им. Кирова ЗАО</t>
  </si>
  <si>
    <t>1 (3) им. Кирова ЗАО</t>
  </si>
  <si>
    <t>1 (4) им. Кирова ЗАО</t>
  </si>
  <si>
    <t>Кукуруза сахарная (из суперсладких сортов) Иррико-Холдинг</t>
  </si>
  <si>
    <t>Импресс F 100 тыс.с.</t>
  </si>
  <si>
    <t>Карамело (100 тыс.шт)</t>
  </si>
  <si>
    <t>Лендкрузер  F 100 тыс.с.</t>
  </si>
  <si>
    <t>1111 Иррико (Джалга)</t>
  </si>
  <si>
    <t>Мирза (100 тыс.шт)</t>
  </si>
  <si>
    <t>Хан (100 тыс.шт)</t>
  </si>
  <si>
    <t>1113 Иррико (Джалга)</t>
  </si>
  <si>
    <t>14/1 Агролидер</t>
  </si>
  <si>
    <t>Кукуруза сахарная Агролидер</t>
  </si>
  <si>
    <t>15/1 Агролидер</t>
  </si>
  <si>
    <t>16/1 Агролидер</t>
  </si>
  <si>
    <t>2.11 Иррико-Холдинг (Гофицкое)</t>
  </si>
  <si>
    <t>2.12 Иррико-Холдинг (Гофицкое)</t>
  </si>
  <si>
    <t>2.2 Колос</t>
  </si>
  <si>
    <t>2.2.1 Иррико-Холдинг (Гофицкое)</t>
  </si>
  <si>
    <t>2.3 Колос</t>
  </si>
  <si>
    <t>2.3.1 Иррико-Холдинг (Гофицкое)</t>
  </si>
  <si>
    <t>3.2 Иррико-Холдинг (Гофицкое)</t>
  </si>
  <si>
    <t>3.29 Иррико-Холдинг (Гофицкое)</t>
  </si>
  <si>
    <t>3.31 Иррико-Холдинг (Гофицкое)</t>
  </si>
  <si>
    <t>3.6 Колос</t>
  </si>
  <si>
    <t>4.1 Колос</t>
  </si>
  <si>
    <t>40/1 Братковский</t>
  </si>
  <si>
    <t>Кукуруза сахарная Братковский</t>
  </si>
  <si>
    <t>41/1 Братковский</t>
  </si>
  <si>
    <t>411 Иррико-Холдинг (Винодельненский)</t>
  </si>
  <si>
    <t>50/1 Братковский</t>
  </si>
  <si>
    <t>ЗУИ 7469 ОИ (100 тыс сем.)</t>
  </si>
  <si>
    <t>505 Иррико-Холдинг (Винодельненский)</t>
  </si>
  <si>
    <t>605 Иррико-Холдинг (Винодельненский)</t>
  </si>
  <si>
    <t>А-113/1</t>
  </si>
  <si>
    <t>Щербет F1 (100 тыс.шт)</t>
  </si>
  <si>
    <t>А-113/2</t>
  </si>
  <si>
    <t>А-79</t>
  </si>
  <si>
    <t>Количество внесения, п.е.</t>
  </si>
  <si>
    <t>ЗУИ 7469</t>
  </si>
  <si>
    <t>Карамело</t>
  </si>
  <si>
    <t>Мирза</t>
  </si>
  <si>
    <t>Хан</t>
  </si>
  <si>
    <t>Площадь внесения, га</t>
  </si>
  <si>
    <t>Норма высева факт, п.е./га</t>
  </si>
  <si>
    <t>Урожайность план, т/га</t>
  </si>
  <si>
    <t>Валовый сбор план, т</t>
  </si>
  <si>
    <t>Рефакция план, %</t>
  </si>
  <si>
    <t>Зачетный вес план, т</t>
  </si>
  <si>
    <t>Урожайность факт, т/га</t>
  </si>
  <si>
    <t>Сроки сева</t>
  </si>
  <si>
    <t>Валовый сбор факт, т</t>
  </si>
  <si>
    <t>Рефакция факт, %</t>
  </si>
  <si>
    <t>Зачетный вес факт, т</t>
  </si>
  <si>
    <t>Сроки уборки</t>
  </si>
  <si>
    <t>28.05-03.06.2025</t>
  </si>
  <si>
    <t>08.05-27.05.2025</t>
  </si>
  <si>
    <t>03.06-03.06.2025</t>
  </si>
  <si>
    <t>09.06-18.06.2025</t>
  </si>
  <si>
    <t>Оватонна партия Н88989</t>
  </si>
  <si>
    <t>22.06-30.06.2025</t>
  </si>
  <si>
    <t>25.06-30.06.2025</t>
  </si>
  <si>
    <t>02.07-03.07.2025</t>
  </si>
  <si>
    <t>04.07-07.07.2025</t>
  </si>
  <si>
    <t>07.07.-08.07.2025</t>
  </si>
  <si>
    <t>06.07-08.07.2025</t>
  </si>
  <si>
    <t>07.07-11.07.2025</t>
  </si>
  <si>
    <t>Остаток, га</t>
  </si>
  <si>
    <t>13-14.08.2025</t>
  </si>
  <si>
    <t>08-11.08.2025</t>
  </si>
  <si>
    <t>14-15.08.2025</t>
  </si>
  <si>
    <t>Акт входного контроля грин00542 от 18.08.2025 9:03:32</t>
  </si>
  <si>
    <t>Акт входного контроля грин00543 от 18.08.2025 11:17:35</t>
  </si>
  <si>
    <t>грин00542</t>
  </si>
  <si>
    <t>грин00543</t>
  </si>
  <si>
    <t>Конец периода: 31.08.2025 0:00:00</t>
  </si>
  <si>
    <t>18.08.2025 8:36:20</t>
  </si>
  <si>
    <t>18.08.2025 9:42:48</t>
  </si>
  <si>
    <t>Урожай с поля</t>
  </si>
  <si>
    <t>Акт входного контроля грин00544 от 18.08.2025 13:32:09</t>
  </si>
  <si>
    <t>Акт входного контроля грин00545 от 18.08.2025 14:33:05</t>
  </si>
  <si>
    <t>Акт входного контроля грин00546 от 18.08.2025 15:43:26</t>
  </si>
  <si>
    <t>Акт входного контроля грин00547 от 18.08.2025 15:54:51</t>
  </si>
  <si>
    <t>Акт входного контроля грин00548 от 18.08.2025 17:32:38</t>
  </si>
  <si>
    <t>Акт входного контроля грин00549 от 18.08.2025 17:46:22</t>
  </si>
  <si>
    <t>Акт входного контроля грин00550 от 18.08.2025 18:56:16</t>
  </si>
  <si>
    <t>Акт входного контроля грин00551 от 18.08.2025 19:14:18</t>
  </si>
  <si>
    <t>Акт входного контроля грин00553 от 19.08.2025 10:18:09</t>
  </si>
  <si>
    <t>Акт входного контроля грин00554 от 19.08.2025 11:31:10</t>
  </si>
  <si>
    <t>грин00544</t>
  </si>
  <si>
    <t>грин00545</t>
  </si>
  <si>
    <t>грин00546</t>
  </si>
  <si>
    <t>грин00547</t>
  </si>
  <si>
    <t>грин00548</t>
  </si>
  <si>
    <t>грин00549</t>
  </si>
  <si>
    <t>грин00550</t>
  </si>
  <si>
    <t>грин00551</t>
  </si>
  <si>
    <t>грин00552</t>
  </si>
  <si>
    <t>грин00553</t>
  </si>
  <si>
    <t>грин00554</t>
  </si>
  <si>
    <t>18.08.2025 13:18:23</t>
  </si>
  <si>
    <t>18.08.2025 14:21:12</t>
  </si>
  <si>
    <t>18.08.2025 15:30:14</t>
  </si>
  <si>
    <t>18.08.2025 15:33:49</t>
  </si>
  <si>
    <t>18.08.2025 16:28:19</t>
  </si>
  <si>
    <t>18.08.2025 17:32:43</t>
  </si>
  <si>
    <t>18.08.2025 18:44:06</t>
  </si>
  <si>
    <t>18.08.2025 20:33:46</t>
  </si>
  <si>
    <t>ЕУ2877 23</t>
  </si>
  <si>
    <t>19.08.2025 9:21:04</t>
  </si>
  <si>
    <t>19.08.2025 10:06:30</t>
  </si>
  <si>
    <t>КС9789 23</t>
  </si>
  <si>
    <t>19.08.2025 11:11:55</t>
  </si>
  <si>
    <t>Акт входного контроля грин00552 от 19.08.2025 16:43:50</t>
  </si>
  <si>
    <t>Акт входного контроля грин00555 от 19.08.2025 16:46:13</t>
  </si>
  <si>
    <t>грин00555</t>
  </si>
  <si>
    <t>Акт входного контроля грин00556 от 19.08.2025 16:46:32</t>
  </si>
  <si>
    <t>грин00556</t>
  </si>
  <si>
    <t>Акт входного контроля грин00557 от 19.08.2025 16:46:59</t>
  </si>
  <si>
    <t>грин00557</t>
  </si>
  <si>
    <t>Акт входного контроля грин00558 от 19.08.2025 16:50:57</t>
  </si>
  <si>
    <t>грин00558</t>
  </si>
  <si>
    <t>Акт входного контроля грин00559 от 19.08.2025 18:05:42</t>
  </si>
  <si>
    <t>грин00559</t>
  </si>
  <si>
    <t>Акт входного контроля грин00560 от 19.08.2025 19:42:02</t>
  </si>
  <si>
    <t>грин00560</t>
  </si>
  <si>
    <t>Акт входного контроля грин00561 от 19.08.2025 19:51:57</t>
  </si>
  <si>
    <t>грин00561</t>
  </si>
  <si>
    <t>Акт входного контроля грин00562 от 19.08.2025 21:01:39</t>
  </si>
  <si>
    <t>грин00562</t>
  </si>
  <si>
    <t>Акт входного контроля грин00567 от 19.08.2025 21:31:42</t>
  </si>
  <si>
    <t>грин00567</t>
  </si>
  <si>
    <t>Акт входного контроля грин00568 от 19.08.2025 21:36:46</t>
  </si>
  <si>
    <t>грин00568</t>
  </si>
  <si>
    <t>Акт входного контроля грин00563 от 19.08.2025 22:09:05</t>
  </si>
  <si>
    <t>грин00563</t>
  </si>
  <si>
    <t>Акт входного контроля грин00569 от 19.08.2025 22:28:29</t>
  </si>
  <si>
    <t>грин00569</t>
  </si>
  <si>
    <t>Акт входного контроля грин00570 от 19.08.2025 22:33:02</t>
  </si>
  <si>
    <t>грин00570</t>
  </si>
  <si>
    <t>Акт входного контроля грин00564 от 19.08.2025 23:05:02</t>
  </si>
  <si>
    <t>грин00564</t>
  </si>
  <si>
    <t>Акт входного контроля грин00565 от 19.08.2025 23:09:45</t>
  </si>
  <si>
    <t>грин00565</t>
  </si>
  <si>
    <t>Акт входного контроля грин00566 от 19.08.2025 23:53:18</t>
  </si>
  <si>
    <t>грин00566</t>
  </si>
  <si>
    <t>Акт входного контроля грин00571 от 20.08.2025 6:01:59</t>
  </si>
  <si>
    <t>грин00571</t>
  </si>
  <si>
    <t>Акт входного контроля грин00572 от 20.08.2025 7:56:41</t>
  </si>
  <si>
    <t>грин00572</t>
  </si>
  <si>
    <t>Акт входного контроля грин00573 от 20.08.2025 9:14:53</t>
  </si>
  <si>
    <t>грин00573</t>
  </si>
  <si>
    <t>Акт входного контроля грин00574 от 20.08.2025 12:20:45</t>
  </si>
  <si>
    <t>грин00574</t>
  </si>
  <si>
    <t>Акт входного контроля грин00575 от 20.08.2025 12:35:28</t>
  </si>
  <si>
    <t>грин00575</t>
  </si>
  <si>
    <t>Акт входного контроля грин00576 от 20.08.2025 12:46:45</t>
  </si>
  <si>
    <t>грин00576</t>
  </si>
  <si>
    <t>Акт входного контроля грин00577 от 20.08.2025 12:57:55</t>
  </si>
  <si>
    <t>грин00577</t>
  </si>
  <si>
    <t>Акт входного контроля грин00578 от 20.08.2025 14:48:17</t>
  </si>
  <si>
    <t>грин00578</t>
  </si>
  <si>
    <t>Акт входного контроля грин00579 от 20.08.2025 15:02:45</t>
  </si>
  <si>
    <t>грин00579</t>
  </si>
  <si>
    <t>Акт входного контроля грин00580 от 20.08.2025 15:18:12</t>
  </si>
  <si>
    <t>грин00580</t>
  </si>
  <si>
    <t>Акт входного контроля грин00581 от 20.08.2025 16:14:23</t>
  </si>
  <si>
    <t>грин00581</t>
  </si>
  <si>
    <t>Акт входного контроля грин00582 от 20.08.2025 18:46:13</t>
  </si>
  <si>
    <t>грин00582</t>
  </si>
  <si>
    <t>Акт входного контроля грин00583 от 20.08.2025 18:56:30</t>
  </si>
  <si>
    <t>грин00583</t>
  </si>
  <si>
    <t>Акт входного контроля грин00588 от 20.08.2025 19:17:27</t>
  </si>
  <si>
    <t>грин00588</t>
  </si>
  <si>
    <t>Акт входного контроля грин00584 от 20.08.2025 20:29:57</t>
  </si>
  <si>
    <t>грин00584</t>
  </si>
  <si>
    <t>Акт входного контроля грин00585 от 20.08.2025 21:05:16</t>
  </si>
  <si>
    <t>грин00585</t>
  </si>
  <si>
    <t>Акт входного контроля грин00589 от 20.08.2025 21:58:30</t>
  </si>
  <si>
    <t>грин00589</t>
  </si>
  <si>
    <t>Акт входного контроля грин00590 от 20.08.2025 22:06:09</t>
  </si>
  <si>
    <t>грин00590</t>
  </si>
  <si>
    <t>Акт входного контроля грин00586 от 20.08.2025 22:31:13</t>
  </si>
  <si>
    <t>грин00586</t>
  </si>
  <si>
    <t>Акт входного контроля грин00591 от 20.08.2025 22:35:17</t>
  </si>
  <si>
    <t>грин00591</t>
  </si>
  <si>
    <t>Акт входного контроля грин00587 от 20.08.2025 23:51:22</t>
  </si>
  <si>
    <t>грин00587</t>
  </si>
  <si>
    <t>Акт входного контроля грин00592 от 21.08.2025 5:09:04</t>
  </si>
  <si>
    <t>грин00592</t>
  </si>
  <si>
    <t>Акт входного контроля грин00593 от 21.08.2025 5:44:11</t>
  </si>
  <si>
    <t>грин00593</t>
  </si>
  <si>
    <t>Акт входного контроля грин00594 от 21.08.2025 8:23:07</t>
  </si>
  <si>
    <t>грин00594</t>
  </si>
  <si>
    <t>Акт входного контроля грин00595 от 21.08.2025 10:52:35</t>
  </si>
  <si>
    <t>грин00595</t>
  </si>
  <si>
    <t>Акт входного контроля грин00596 от 21.08.2025 11:04:26</t>
  </si>
  <si>
    <t>грин00596</t>
  </si>
  <si>
    <t>Акт входного контроля грин00597 от 21.08.2025 11:16:49</t>
  </si>
  <si>
    <t>грин00597</t>
  </si>
  <si>
    <t>Акт входного контроля грин00598 от 21.08.2025 11:49:03</t>
  </si>
  <si>
    <t>грин00598</t>
  </si>
  <si>
    <t>Акт входного контроля грин00599 от 21.08.2025 12:31:10</t>
  </si>
  <si>
    <t>грин00599</t>
  </si>
  <si>
    <t>Акт входного контроля грин00600 от 21.08.2025 13:16:07</t>
  </si>
  <si>
    <t>грин00600</t>
  </si>
  <si>
    <t>Акт входного контроля грин00601 от 21.08.2025 14:04:36</t>
  </si>
  <si>
    <t>грин00601</t>
  </si>
  <si>
    <t>Акт входного контроля грин00602 от 21.08.2025 15:25:00</t>
  </si>
  <si>
    <t>грин00602</t>
  </si>
  <si>
    <t>Акт входного контроля грин00603 от 21.08.2025 15:54:22</t>
  </si>
  <si>
    <t>Акт входного контроля грин00604 от 21.08.2025 17:06:17</t>
  </si>
  <si>
    <t>Акт входного контроля грин00605 от 21.08.2025 17:51:39</t>
  </si>
  <si>
    <t>Акт входного контроля грин00606 от 21.08.2025 18:42:25</t>
  </si>
  <si>
    <t>Акт входного контроля грин00607 от 21.08.2025 21:52:33</t>
  </si>
  <si>
    <t>Акт входного контроля грин00608 от 21.08.2025 22:10:39</t>
  </si>
  <si>
    <t>Акт входного контроля грин00609 от 21.08.2025 22:21:59</t>
  </si>
  <si>
    <t>Акт входного контроля грин00610 от 21.08.2025 22:32:47</t>
  </si>
  <si>
    <t>грин00603</t>
  </si>
  <si>
    <t>грин00604</t>
  </si>
  <si>
    <t>грин00605</t>
  </si>
  <si>
    <t>грин00606</t>
  </si>
  <si>
    <t>грин00607</t>
  </si>
  <si>
    <t>грин00608</t>
  </si>
  <si>
    <t>грин00609</t>
  </si>
  <si>
    <t>грин00610</t>
  </si>
  <si>
    <t>Акт входного контроля грин00611 от 22.08.2025 21:12:22</t>
  </si>
  <si>
    <t>Акт входного контроля грин00612 от 22.08.2025 21:29:03</t>
  </si>
  <si>
    <t>Акт входного контроля грин00616 от 22.08.2025 22:13:02</t>
  </si>
  <si>
    <t>Акт входного контроля грин00617 от 22.08.2025 22:17:17</t>
  </si>
  <si>
    <t>Акт входного контроля грин00613 от 22.08.2025 23:02:10</t>
  </si>
  <si>
    <t>Акт входного контроля грин00614 от 22.08.2025 23:05:07</t>
  </si>
  <si>
    <t>Акт входного контроля грин00615 от 22.08.2025 23:38:19</t>
  </si>
  <si>
    <t>Акт входного контроля грин00618 от 23.08.2025 2:16:04</t>
  </si>
  <si>
    <t>Акт входного контроля грин00619 от 23.08.2025 2:59:54</t>
  </si>
  <si>
    <t>Акт входного контроля грин00620 от 23.08.2025 3:52:05</t>
  </si>
  <si>
    <t>Акт входного контроля грин00621 от 23.08.2025 5:32:17</t>
  </si>
  <si>
    <t>Акт входного контроля грин00622 от 23.08.2025 5:35:18</t>
  </si>
  <si>
    <t>Акт входного контроля грин00623 от 23.08.2025 6:12:45</t>
  </si>
  <si>
    <t>Акт входного контроля грин00624 от 23.08.2025 9:35:13</t>
  </si>
  <si>
    <t>Акт входного контроля грин00625 от 23.08.2025 11:26:19</t>
  </si>
  <si>
    <t>Акт входного контроля грин00626 от 23.08.2025 13:33:56</t>
  </si>
  <si>
    <t>Акт входного контроля грин00627 от 23.08.2025 13:55:58</t>
  </si>
  <si>
    <t>Акт входного контроля грин00628 от 23.08.2025 14:05:06</t>
  </si>
  <si>
    <t>Акт входного контроля грин00629 от 23.08.2025 16:19:59</t>
  </si>
  <si>
    <t>Акт входного контроля грин00630 от 23.08.2025 16:51:49</t>
  </si>
  <si>
    <t>Акт входного контроля грин00631 от 23.08.2025 17:27:25</t>
  </si>
  <si>
    <t>Акт входного контроля грин00633 от 23.08.2025 15:40:14</t>
  </si>
  <si>
    <t>Акт входного контроля грин00635 от 23.08.2025 18:50:14</t>
  </si>
  <si>
    <t>Акт входного контроля грин00636 от 23.08.2025 18:53:44</t>
  </si>
  <si>
    <t>Акт входного контроля грин00637 от 23.08.2025 18:58:00</t>
  </si>
  <si>
    <t>Акт входного контроля грин00638 от 23.08.2025 19:02:01</t>
  </si>
  <si>
    <t>Акт входного контроля грин00632 от 23.08.2025 19:36:02</t>
  </si>
  <si>
    <t>Акт входного контроля грин00639 от 23.08.2025 21:04:59</t>
  </si>
  <si>
    <t>Акт входного контроля грин00640 от 23.08.2025 21:11:18</t>
  </si>
  <si>
    <t>Акт входного контроля грин00641 от 23.08.2025 21:36:03</t>
  </si>
  <si>
    <t>Акт входного контроля грин00642 от 23.08.2025 22:02:24</t>
  </si>
  <si>
    <t>Акт входного контроля грин00643 от 23.08.2025 22:33:01</t>
  </si>
  <si>
    <t>Акт входного контроля грин00634 от 23.08.2025 23:50:49</t>
  </si>
  <si>
    <t>Акт входного контроля грин00644 от 23.08.2025 23:57:16</t>
  </si>
  <si>
    <t>Акт входного контроля грин00645 от 24.08.2025 12:12:54</t>
  </si>
  <si>
    <t>Акт входного контроля грин00646 от 24.08.2025 12:49:38</t>
  </si>
  <si>
    <t>Акт входного контроля грин00647 от 24.08.2025 13:03:07</t>
  </si>
  <si>
    <t>Акт входного контроля грин00648 от 24.08.2025 13:27:55</t>
  </si>
  <si>
    <t>Акт входного контроля грин00649 от 24.08.2025 14:47:55</t>
  </si>
  <si>
    <t>Акт входного контроля грин00650 от 24.08.2025 15:44:25</t>
  </si>
  <si>
    <t>Акт входного контроля грин00651 от 24.08.2025 16:41:17</t>
  </si>
  <si>
    <t>Акт входного контроля грин00652 от 24.08.2025 18:25:01</t>
  </si>
  <si>
    <t>Акт входного контроля грин00655 от 24.08.2025 20:24:53</t>
  </si>
  <si>
    <t>Акт входного контроля грин00656 от 24.08.2025 20:31:59</t>
  </si>
  <si>
    <t>Акт входного контроля грин00657 от 24.08.2025 20:36:15</t>
  </si>
  <si>
    <t>Акт входного контроля грин00658 от 24.08.2025 22:31:36</t>
  </si>
  <si>
    <t>Акт входного контроля грин00659 от 24.08.2025 22:36:38</t>
  </si>
  <si>
    <t>Акт входного контроля грин00653 от 24.08.2025 21:34:26</t>
  </si>
  <si>
    <t>Акт входного контроля грин00654 от 24.08.2025 22:02:36</t>
  </si>
  <si>
    <t>Акт входного контроля грин00660 от 25.08.2025 11:34:16</t>
  </si>
  <si>
    <t>Акт входного контроля грин00661 от 25.08.2025 11:34:21</t>
  </si>
  <si>
    <t>Акт входного контроля грин00662 от 25.08.2025 11:34:26</t>
  </si>
  <si>
    <t>Акт входного контроля грин00663 от 25.08.2025 11:34:29</t>
  </si>
  <si>
    <t>Акт входного контроля грин00664 от 25.08.2025 11:34:33</t>
  </si>
  <si>
    <t>Акт входного контроля грин00665 от 25.08.2025 11:34:40</t>
  </si>
  <si>
    <t>17-24.08.2025</t>
  </si>
  <si>
    <t>18-23.08.2025</t>
  </si>
  <si>
    <t>Джалга</t>
  </si>
  <si>
    <t>Винодельненский</t>
  </si>
  <si>
    <t>Акт входного контроля грин00667 от 25.08.2025 19:28:45</t>
  </si>
  <si>
    <t>Акт входного контроля грин00668 от 25.08.2025 20:52:41</t>
  </si>
  <si>
    <t>Акт входного контроля грин00669 от 25.08.2025 21:41:49</t>
  </si>
  <si>
    <t>Акт входного контроля грин00670 от 25.08.2025 22:49:14</t>
  </si>
  <si>
    <t>Акт входного контроля грин00671 от 25.08.2025 22:55:45</t>
  </si>
  <si>
    <t>Акт входного контроля грин00675 от 26.08.2025 3:21:23</t>
  </si>
  <si>
    <t>Акт входного контроля грин00676 от 26.08.2025 3:25:15</t>
  </si>
  <si>
    <t>Акт входного контроля грин00672 от 26.08.2025 11:13:37</t>
  </si>
  <si>
    <t>Акт входного контроля грин00673 от 26.08.2025 11:13:40</t>
  </si>
  <si>
    <t>Акт входного контроля грин00674 от 26.08.2025 11:13:43</t>
  </si>
  <si>
    <t>грин00611</t>
  </si>
  <si>
    <t>грин00612</t>
  </si>
  <si>
    <t>грин00616</t>
  </si>
  <si>
    <t>грин00617</t>
  </si>
  <si>
    <t>грин00613</t>
  </si>
  <si>
    <t>грин00614</t>
  </si>
  <si>
    <t>грин00615</t>
  </si>
  <si>
    <t>грин00618</t>
  </si>
  <si>
    <t>грин00619</t>
  </si>
  <si>
    <t>грин00620</t>
  </si>
  <si>
    <t>грин00621</t>
  </si>
  <si>
    <t>грин00622</t>
  </si>
  <si>
    <t>грин00623</t>
  </si>
  <si>
    <t>грин00624</t>
  </si>
  <si>
    <t>грин00625</t>
  </si>
  <si>
    <t>грин00626</t>
  </si>
  <si>
    <t>грин00627</t>
  </si>
  <si>
    <t>грин00628</t>
  </si>
  <si>
    <t>грин00633</t>
  </si>
  <si>
    <t>грин00629</t>
  </si>
  <si>
    <t>грин00630</t>
  </si>
  <si>
    <t>грин00631</t>
  </si>
  <si>
    <t>грин00635</t>
  </si>
  <si>
    <t>грин00636</t>
  </si>
  <si>
    <t>грин00637</t>
  </si>
  <si>
    <t>грин00638</t>
  </si>
  <si>
    <t>грин00632</t>
  </si>
  <si>
    <t>грин00639</t>
  </si>
  <si>
    <t>грин00640</t>
  </si>
  <si>
    <t>грин00641</t>
  </si>
  <si>
    <t>грин00642</t>
  </si>
  <si>
    <t>грин00643</t>
  </si>
  <si>
    <t>грин00634</t>
  </si>
  <si>
    <t>грин00644</t>
  </si>
  <si>
    <t>грин00645</t>
  </si>
  <si>
    <t>грин00646</t>
  </si>
  <si>
    <t>грин00647</t>
  </si>
  <si>
    <t>грин00648</t>
  </si>
  <si>
    <t>грин00649</t>
  </si>
  <si>
    <t>грин00650</t>
  </si>
  <si>
    <t>грин00651</t>
  </si>
  <si>
    <t>грин00652</t>
  </si>
  <si>
    <t>грин00655</t>
  </si>
  <si>
    <t>грин00656</t>
  </si>
  <si>
    <t>грин00657</t>
  </si>
  <si>
    <t>грин00653</t>
  </si>
  <si>
    <t>грин00654</t>
  </si>
  <si>
    <t>грин00658</t>
  </si>
  <si>
    <t>грин00659</t>
  </si>
  <si>
    <t>грин00660</t>
  </si>
  <si>
    <t>грин00661</t>
  </si>
  <si>
    <t>грин00662</t>
  </si>
  <si>
    <t>грин00663</t>
  </si>
  <si>
    <t>грин00664</t>
  </si>
  <si>
    <t>грин00665</t>
  </si>
  <si>
    <t>грин00667</t>
  </si>
  <si>
    <t>грин00668</t>
  </si>
  <si>
    <t>грин00669</t>
  </si>
  <si>
    <t>грин00670</t>
  </si>
  <si>
    <t>грин00671</t>
  </si>
  <si>
    <t>грин00675</t>
  </si>
  <si>
    <t>грин00676</t>
  </si>
  <si>
    <t>грин00672</t>
  </si>
  <si>
    <t>грин00673</t>
  </si>
  <si>
    <t>грин00674</t>
  </si>
  <si>
    <t>в т.ч. Бросили, га</t>
  </si>
  <si>
    <t>Акт входного контроля грин00677 от 26.08.2025 4:47:32</t>
  </si>
  <si>
    <t>Акт входного контроля грин00678 от 26.08.2025 5:15:04</t>
  </si>
  <si>
    <t>Акт входного контроля грин00679 от 26.08.2025 5:53:07</t>
  </si>
  <si>
    <t>Акт входного контроля грин00680 от 26.08.2025 7:23:49</t>
  </si>
  <si>
    <t>Акт входного контроля грин00681 от 26.08.2025 8:50:39</t>
  </si>
  <si>
    <t>Акт входного контроля грин00682 от 26.08.2025 8:56:24</t>
  </si>
  <si>
    <t>Акт входного контроля грин00683 от 26.08.2025 9:07:16</t>
  </si>
  <si>
    <t>Акт входного контроля грин00684 от 26.08.2025 10:35:10</t>
  </si>
  <si>
    <t>Акт входного контроля грин00685 от 26.08.2025 10:47:40</t>
  </si>
  <si>
    <t>Акт входного контроля грин00686 от 26.08.2025 13:06:15</t>
  </si>
  <si>
    <t>Акт входного контроля грин00687 от 26.08.2025 15:49:25</t>
  </si>
  <si>
    <t>Акт входного контроля грин00688 от 26.08.2025 16:02:12</t>
  </si>
  <si>
    <t>Титаренко Максим Сергеевич</t>
  </si>
  <si>
    <t>О398ХО</t>
  </si>
  <si>
    <t>Акт входного контроля грин00689 от 26.08.2025 17:46:20</t>
  </si>
  <si>
    <t>Акт входного контроля грин00690 от 26.08.2025 17:50:48</t>
  </si>
  <si>
    <t>Акт входного контроля грин00691 от 26.08.2025 18:55:18</t>
  </si>
  <si>
    <t>Акт входного контроля грин00692 от 26.08.2025 20:54:31</t>
  </si>
  <si>
    <t>Акт входного контроля грин00693 от 26.08.2025 21:05:42</t>
  </si>
  <si>
    <t>Акт входного контроля грин00694 от 26.08.2025 22:06:33</t>
  </si>
  <si>
    <t>Акт входного контроля грин00695 от 26.08.2025 22:11:31</t>
  </si>
  <si>
    <t>Акт входного контроля грин00696 от 26.08.2025 22:42:57</t>
  </si>
  <si>
    <t>Акт входного контроля грин00697 от 26.08.2025 23:06:49</t>
  </si>
  <si>
    <t>Акт входного контроля грин00698 от 26.08.2025 23:25:46</t>
  </si>
  <si>
    <t>Акт входного контроля грин00699 от 27.08.2025 11:10:28</t>
  </si>
  <si>
    <t>Акт входного контроля грин00700 от 27.08.2025 11:14:55</t>
  </si>
  <si>
    <t>Акт входного контроля грин00701 от 27.08.2025 11:44:17</t>
  </si>
  <si>
    <t>Акт входного контроля грин00702 от 27.08.2025 13:22:04</t>
  </si>
  <si>
    <t>Акт входного контроля грин00703 от 27.08.2025 13:57:37</t>
  </si>
  <si>
    <t>Акт входного контроля грин00704 от 27.08.2025 15:33:52</t>
  </si>
  <si>
    <t>Акт входного контроля грин00705 от 27.08.2025 15:55:46</t>
  </si>
  <si>
    <t>грин00677</t>
  </si>
  <si>
    <t>грин00678</t>
  </si>
  <si>
    <t>грин00679</t>
  </si>
  <si>
    <t>грин00680</t>
  </si>
  <si>
    <t>грин00681</t>
  </si>
  <si>
    <t>грин00682</t>
  </si>
  <si>
    <t>грин00683</t>
  </si>
  <si>
    <t>грин00684</t>
  </si>
  <si>
    <t>грин00685</t>
  </si>
  <si>
    <t>грин00686</t>
  </si>
  <si>
    <t>грин00687</t>
  </si>
  <si>
    <t>грин00688</t>
  </si>
  <si>
    <t>грин00689</t>
  </si>
  <si>
    <t>грин00690</t>
  </si>
  <si>
    <t>грин00691</t>
  </si>
  <si>
    <t>грин00692</t>
  </si>
  <si>
    <t>грин00693</t>
  </si>
  <si>
    <t>грин00694</t>
  </si>
  <si>
    <t>грин00695</t>
  </si>
  <si>
    <t>грин00696</t>
  </si>
  <si>
    <t>грин00697</t>
  </si>
  <si>
    <t>грин00698</t>
  </si>
  <si>
    <t>грин00699</t>
  </si>
  <si>
    <t>грин00700</t>
  </si>
  <si>
    <t>грин00701</t>
  </si>
  <si>
    <t>грин00702</t>
  </si>
  <si>
    <t>грин00703</t>
  </si>
  <si>
    <t>грин00704</t>
  </si>
  <si>
    <t>грин00705</t>
  </si>
  <si>
    <t>Акт входного контроля грин00710 от 27.08.2025 16:29:20</t>
  </si>
  <si>
    <t>Акт входного контроля грин00711 от 27.08.2025 16:32:49</t>
  </si>
  <si>
    <t>Акт входного контроля грин00712 от 27.08.2025 17:26:06</t>
  </si>
  <si>
    <t>Акт входного контроля грин00706 от 27.08.2025 18:35:19</t>
  </si>
  <si>
    <t>Акт входного контроля грин00707 от 27.08.2025 18:44:08</t>
  </si>
  <si>
    <t>Акт входного контроля грин00708 от 27.08.2025 18:47:06</t>
  </si>
  <si>
    <t>Акт входного контроля грин00709 от 27.08.2025 19:01:25</t>
  </si>
  <si>
    <t>Акт входного контроля грин00713 от 27.08.2025 19:15:31</t>
  </si>
  <si>
    <t>Акт входного контроля грин00714 от 27.08.2025 20:03:47</t>
  </si>
  <si>
    <t>Акт входного контроля грин00715 от 27.08.2025 20:09:56</t>
  </si>
  <si>
    <t>Акт входного контроля грин00716 от 27.08.2025 20:45:29</t>
  </si>
  <si>
    <t>Акт входного контроля грин00717 от 27.08.2025 20:48:31</t>
  </si>
  <si>
    <t>Акт входного контроля грин00718 от 27.08.2025 22:03:08</t>
  </si>
  <si>
    <t>Акт входного контроля грин00719 от 27.08.2025 22:08:23</t>
  </si>
  <si>
    <t>Акт входного контроля грин00720 от 27.08.2025 22:57:38</t>
  </si>
  <si>
    <t>Акт входного контроля грин00721 от 27.08.2025 23:12:55</t>
  </si>
  <si>
    <t>Акт входного контроля грин00722 от 27.08.2025 23:30:39</t>
  </si>
  <si>
    <t>Сорт семян (полное название)
акт</t>
  </si>
  <si>
    <t>Сорт семян
акт</t>
  </si>
  <si>
    <t>Сорт семян
агро</t>
  </si>
  <si>
    <t>Акт входного контроля грин00723 от 28.08.2025 9:32:43</t>
  </si>
  <si>
    <t>Акт входного контроля грин00724 от 28.08.2025 9:44:48</t>
  </si>
  <si>
    <t>Акт входного контроля грин00725 от 28.08.2025 11:02:43</t>
  </si>
  <si>
    <t>Акт входного контроля грин00726 от 28.08.2025 11:21:14</t>
  </si>
  <si>
    <t>Акт входного контроля грин00727 от 28.08.2025 11:41:25</t>
  </si>
  <si>
    <t>Акт входного контроля грин00728 от 28.08.2025 13:10:54</t>
  </si>
  <si>
    <t>Акт входного контроля грин00729 от 28.08.2025 13:27:59</t>
  </si>
  <si>
    <t>Акт входного контроля грин00730 от 28.08.2025 13:39:23</t>
  </si>
  <si>
    <t>Акт входного контроля грин00731 от 28.08.2025 15:08:13</t>
  </si>
  <si>
    <t>Акт входного контроля грин00732 от 28.08.2025 15:20:42</t>
  </si>
  <si>
    <t>Акт входного контроля грин00733 от 28.08.2025 17:26:29</t>
  </si>
  <si>
    <t>Акт входного контроля грин00734 от 28.08.2025 17:34:51</t>
  </si>
  <si>
    <t>Акт входного контроля грин00735 от 28.08.2025 19:52:49</t>
  </si>
  <si>
    <t>Акт входного контроля грин00740 от 28.08.2025 20:23:38</t>
  </si>
  <si>
    <t>Акт входного контроля грин00741 от 28.08.2025 20:51:29</t>
  </si>
  <si>
    <t>Акт входного контроля грин00742 от 28.08.2025 21:08:01</t>
  </si>
  <si>
    <t>Акт входного контроля грин00736 от 28.08.2025 21:13:09</t>
  </si>
  <si>
    <t>Акт входного контроля грин00743 от 28.08.2025 21:17:05</t>
  </si>
  <si>
    <t>Акт входного контроля грин00737 от 28.08.2025 21:17:14</t>
  </si>
  <si>
    <t>Акт входного контроля грин00744 от 28.08.2025 21:53:38</t>
  </si>
  <si>
    <t>Акт входного контроля грин00738 от 28.08.2025 22:34:56</t>
  </si>
  <si>
    <t>Акт входного контроля грин00745 от 28.08.2025 22:44:32</t>
  </si>
  <si>
    <t>Акт входного контроля грин00739 от 28.08.2025 23:35:33</t>
  </si>
  <si>
    <t>Акт входного контроля грин00746 от 29.08.2025 8:06:45</t>
  </si>
  <si>
    <t>Давыденко Юрий Викторович</t>
  </si>
  <si>
    <t>У094СР</t>
  </si>
  <si>
    <t>Акт входного контроля грин00747 от 29.08.2025 9:24:57</t>
  </si>
  <si>
    <t>Затонский Сергей Анатольевич</t>
  </si>
  <si>
    <t>Е647РМ</t>
  </si>
  <si>
    <t>Акт входного контроля грин00748 от 29.08.2025 11:03:03</t>
  </si>
  <si>
    <t>Демченко Анатолий Григорьевич</t>
  </si>
  <si>
    <t>Р818СЕ</t>
  </si>
  <si>
    <t>Акт входного контроля грин00749 от 29.08.2025 11:15:52</t>
  </si>
  <si>
    <t>Акт входного контроля грин00750 от 29.08.2025 11:26:40</t>
  </si>
  <si>
    <t>Акт входного контроля грин00751 от 29.08.2025 11:38:52</t>
  </si>
  <si>
    <t>Акт входного контроля грин00752 от 29.08.2025 12:31:33</t>
  </si>
  <si>
    <t>24-28.08.2025</t>
  </si>
  <si>
    <t>Лазаренко Вячеслав Владимирович</t>
  </si>
  <si>
    <t>Акт входного контроля грин00753 от 29.08.2025 14:13:54</t>
  </si>
  <si>
    <t>Акт входного контроля грин00754 от 29.08.2025 14:28:42</t>
  </si>
  <si>
    <t>Акт входного контроля грин00755 от 29.08.2025 15:55:47</t>
  </si>
  <si>
    <t>Акт входного контроля грин00756 от 29.08.2025 16:04:24</t>
  </si>
  <si>
    <t>Акт входного контроля грин00757 от 29.08.2025 19:28:55</t>
  </si>
  <si>
    <t>Акт входного контроля грин00758 от 29.08.2025 19:47:32</t>
  </si>
  <si>
    <t>Акт входного контроля грин00762 от 29.08.2025 20:38:29</t>
  </si>
  <si>
    <t>Акт входного контроля грин00759 от 29.08.2025 22:01:41</t>
  </si>
  <si>
    <t>Акт входного контроля грин00763 от 29.08.2025 22:25:02</t>
  </si>
  <si>
    <t>Акт входного контроля грин00764 от 29.08.2025 22:29:59</t>
  </si>
  <si>
    <t>Акт входного контроля грин00760 от 29.08.2025 23:09:54</t>
  </si>
  <si>
    <t>Ковырев Владислав Анатольевич</t>
  </si>
  <si>
    <t>Акт входного контроля грин00761 от 29.08.2025 23:37:47</t>
  </si>
  <si>
    <t>Акт входного контроля грин00765 от 30.08.2025 1:53:01</t>
  </si>
  <si>
    <t>Акт входного контроля грин00766 от 30.08.2025 2:44:40</t>
  </si>
  <si>
    <t>Акт входного контроля грин00767 от 30.08.2025 2:58:09</t>
  </si>
  <si>
    <t>Акт входного контроля грин00768 от 30.08.2025 5:20:19</t>
  </si>
  <si>
    <t>Акт входного контроля грин00769 от 30.08.2025 6:29:05</t>
  </si>
  <si>
    <t>Акт входного контроля грин00770 от 30.08.2025 7:07:15</t>
  </si>
  <si>
    <t>Акт входного контроля грин00772 от 30.08.2025 9:15:15</t>
  </si>
  <si>
    <t>Акт входного контроля грин00771 от 30.08.2025 9:15:46</t>
  </si>
  <si>
    <t>Акт входного контроля грин00773 от 30.08.2025 10:06:15</t>
  </si>
  <si>
    <t>Акт входного контроля грин00774 от 30.08.2025 10:52:59</t>
  </si>
  <si>
    <t>Акт входного контроля грин00775 от 30.08.2025 11:58:56</t>
  </si>
  <si>
    <t>Акт входного контроля грин00776 от 30.08.2025 12:40:43</t>
  </si>
  <si>
    <t>Акт входного контроля грин00777 от 30.08.2025 16:50:48</t>
  </si>
  <si>
    <t>Акт входного контроля грин00778 от 30.08.2025 17:39:30</t>
  </si>
  <si>
    <t>Акт входного контроля грин00779 от 30.08.2025 19:04:33</t>
  </si>
  <si>
    <t>Акт входного контроля грин00780 от 30.08.2025 21:32:32</t>
  </si>
  <si>
    <t>Акт входного контроля грин00781 от 30.08.2025 21:57:24</t>
  </si>
  <si>
    <t>Акт входного контроля грин00783 от 30.08.2025 23:59:07</t>
  </si>
  <si>
    <t>Акт входного контроля грин00782 от 31.08.2025 1:06:05</t>
  </si>
  <si>
    <t>Акт входного контроля грин00784 от 31.08.2025 2:32:39</t>
  </si>
  <si>
    <t>Акт входного контроля грин00785 от 31.08.2025 4:38:32</t>
  </si>
  <si>
    <t>Акт входного контроля грин00786 от 31.08.2025 5:48:45</t>
  </si>
  <si>
    <t>Акт входного контроля грин00787 от 31.08.2025 7:58:52</t>
  </si>
  <si>
    <t>Акт входного контроля грин00788 от 31.08.2025 8:12:31</t>
  </si>
  <si>
    <t>Акт входного контроля грин00789 от 31.08.2025 10:20:39</t>
  </si>
  <si>
    <t>Акт входного контроля грин00790 от 31.08.2025 10:25:22</t>
  </si>
  <si>
    <t>Акт входного контроля грин00791 от 31.08.2025 11:59:09</t>
  </si>
  <si>
    <t>Акт входного контроля грин00792 от 31.08.2025 12:02:30</t>
  </si>
  <si>
    <t>Акт входного контроля грин00793 от 31.08.2025 12:44:03</t>
  </si>
  <si>
    <t>Акт входного контроля грин00794 от 31.08.2025 13:38:02</t>
  </si>
  <si>
    <t>Акт входного контроля грин00795 от 31.08.2025 16:04:55</t>
  </si>
  <si>
    <t>Акт входного контроля грин00796 от 31.08.2025 16:09:55</t>
  </si>
  <si>
    <t>Акт входного контроля грин00797 от 31.08.2025 17:55:02</t>
  </si>
  <si>
    <t>Акт входного контроля грин00798 от 31.08.2025 17:57:34</t>
  </si>
  <si>
    <t>Акт входного контроля грин00799 от 31.08.2025 19:48:40</t>
  </si>
  <si>
    <t>Акт входного контроля грин00800 от 31.08.2025 19:56:33</t>
  </si>
  <si>
    <t>Акт входного контроля грин00801 от 31.08.2025 22:05:17</t>
  </si>
  <si>
    <t>Акт входного контроля грин00802 от 31.08.2025 22:21:44</t>
  </si>
  <si>
    <t>Акт входного контроля грин00804 от 31.08.2025 22:45:34</t>
  </si>
  <si>
    <t>Акт входного контроля грин00803 от 31.08.2025 23:02:32</t>
  </si>
  <si>
    <t>Акт входного контроля грин00805 от 31.08.2025 23:42:10</t>
  </si>
  <si>
    <t>Акт входного контроля грин00806 от 01.09.2025 1:54:18</t>
  </si>
  <si>
    <t>Акт входного контроля грин00807 от 01.09.2025 3:29:16</t>
  </si>
  <si>
    <t>Акт входного контроля грин00808 от 01.09.2025 4:16:48</t>
  </si>
  <si>
    <t>Акт входного контроля грин00809 от 01.09.2025 4:58:06</t>
  </si>
  <si>
    <t>Акт входного контроля грин00810 от 01.09.2025 5:53:17</t>
  </si>
  <si>
    <t>Акт входного контроля грин00811 от 01.09.2025 5:55:45</t>
  </si>
  <si>
    <t>Акт входного контроля грин00812 от 01.09.2025 6:35:49</t>
  </si>
  <si>
    <t>грин00710</t>
  </si>
  <si>
    <t>грин00711</t>
  </si>
  <si>
    <t>грин00712</t>
  </si>
  <si>
    <t>грин00706</t>
  </si>
  <si>
    <t>грин00707</t>
  </si>
  <si>
    <t>грин00708</t>
  </si>
  <si>
    <t>грин00709</t>
  </si>
  <si>
    <t>грин00713</t>
  </si>
  <si>
    <t>грин00714</t>
  </si>
  <si>
    <t>грин00715</t>
  </si>
  <si>
    <t>грин00716</t>
  </si>
  <si>
    <t>грин00717</t>
  </si>
  <si>
    <t>грин00718</t>
  </si>
  <si>
    <t>грин00719</t>
  </si>
  <si>
    <t>грин00720</t>
  </si>
  <si>
    <t>грин00721</t>
  </si>
  <si>
    <t>грин00722</t>
  </si>
  <si>
    <t>грин00723</t>
  </si>
  <si>
    <t>грин00724</t>
  </si>
  <si>
    <t>грин00725</t>
  </si>
  <si>
    <t>грин00726</t>
  </si>
  <si>
    <t>грин00727</t>
  </si>
  <si>
    <t>грин00728</t>
  </si>
  <si>
    <t>грин00729</t>
  </si>
  <si>
    <t>грин00730</t>
  </si>
  <si>
    <t>грин00731</t>
  </si>
  <si>
    <t>грин00732</t>
  </si>
  <si>
    <t>грин00733</t>
  </si>
  <si>
    <t>грин00734</t>
  </si>
  <si>
    <t>грин00735</t>
  </si>
  <si>
    <t>грин00740</t>
  </si>
  <si>
    <t>грин00741</t>
  </si>
  <si>
    <t>грин00742</t>
  </si>
  <si>
    <t>грин00736</t>
  </si>
  <si>
    <t>грин00743</t>
  </si>
  <si>
    <t>грин00737</t>
  </si>
  <si>
    <t>грин00744</t>
  </si>
  <si>
    <t>грин00738</t>
  </si>
  <si>
    <t>грин00745</t>
  </si>
  <si>
    <t>грин00739</t>
  </si>
  <si>
    <t>грин00746</t>
  </si>
  <si>
    <t>грин00747</t>
  </si>
  <si>
    <t>грин00748</t>
  </si>
  <si>
    <t>грин00749</t>
  </si>
  <si>
    <t>грин00750</t>
  </si>
  <si>
    <t>грин00751</t>
  </si>
  <si>
    <t>грин00752</t>
  </si>
  <si>
    <t>грин00753</t>
  </si>
  <si>
    <t>грин00754</t>
  </si>
  <si>
    <t>грин00755</t>
  </si>
  <si>
    <t>грин00756</t>
  </si>
  <si>
    <t>грин00757</t>
  </si>
  <si>
    <t>грин00758</t>
  </si>
  <si>
    <t>грин00762</t>
  </si>
  <si>
    <t>грин00759</t>
  </si>
  <si>
    <t>грин00763</t>
  </si>
  <si>
    <t>грин00764</t>
  </si>
  <si>
    <t>грин00760</t>
  </si>
  <si>
    <t>грин00761</t>
  </si>
  <si>
    <t>грин00765</t>
  </si>
  <si>
    <t>грин00766</t>
  </si>
  <si>
    <t>грин00767</t>
  </si>
  <si>
    <t>грин00768</t>
  </si>
  <si>
    <t>грин00769</t>
  </si>
  <si>
    <t>грин00770</t>
  </si>
  <si>
    <t>грин00772</t>
  </si>
  <si>
    <t>грин00771</t>
  </si>
  <si>
    <t>грин00773</t>
  </si>
  <si>
    <t>грин00774</t>
  </si>
  <si>
    <t>грин00775</t>
  </si>
  <si>
    <t>грин00776</t>
  </si>
  <si>
    <t>грин00777</t>
  </si>
  <si>
    <t>грин00778</t>
  </si>
  <si>
    <t>грин00779</t>
  </si>
  <si>
    <t>грин00780</t>
  </si>
  <si>
    <t>грин00781</t>
  </si>
  <si>
    <t>грин00783</t>
  </si>
  <si>
    <t>грин00782</t>
  </si>
  <si>
    <t>грин00784</t>
  </si>
  <si>
    <t>грин00785</t>
  </si>
  <si>
    <t>грин00786</t>
  </si>
  <si>
    <t>грин00787</t>
  </si>
  <si>
    <t>грин00788</t>
  </si>
  <si>
    <t>грин00789</t>
  </si>
  <si>
    <t>грин00790</t>
  </si>
  <si>
    <t>грин00791</t>
  </si>
  <si>
    <t>грин00792</t>
  </si>
  <si>
    <t>грин00793</t>
  </si>
  <si>
    <t>грин00794</t>
  </si>
  <si>
    <t>грин00795</t>
  </si>
  <si>
    <t>грин00796</t>
  </si>
  <si>
    <t>грин00797</t>
  </si>
  <si>
    <t>грин00798</t>
  </si>
  <si>
    <t>грин00799</t>
  </si>
  <si>
    <t>грин00800</t>
  </si>
  <si>
    <t>грин00801</t>
  </si>
  <si>
    <t>грин00802</t>
  </si>
  <si>
    <t>грин00804</t>
  </si>
  <si>
    <t>грин00803</t>
  </si>
  <si>
    <t>грин00805</t>
  </si>
  <si>
    <t>грин00806</t>
  </si>
  <si>
    <t>грин00807</t>
  </si>
  <si>
    <t>грин00808</t>
  </si>
  <si>
    <t>грин00809</t>
  </si>
  <si>
    <t>грин00810</t>
  </si>
  <si>
    <t>грин00811</t>
  </si>
  <si>
    <t>грин00812</t>
  </si>
  <si>
    <r>
      <t xml:space="preserve">Кукуруза сахарная Иррико-Холдинг
</t>
    </r>
    <r>
      <rPr>
        <b/>
        <i/>
        <sz val="10"/>
        <color theme="0" tint="-0.499984740745262"/>
        <rFont val="Arial"/>
        <family val="2"/>
        <charset val="204"/>
      </rPr>
      <t xml:space="preserve">Ставропольский край, с. Гофицкое - 317 га, пос. Винодельненский - 26 га </t>
    </r>
    <r>
      <rPr>
        <b/>
        <i/>
        <sz val="20"/>
        <color theme="0" tint="-0.499984740745262"/>
        <rFont val="Arial"/>
        <family val="2"/>
        <charset val="204"/>
      </rPr>
      <t xml:space="preserve">                               </t>
    </r>
  </si>
  <si>
    <t>Кукуруза сахарная 2025 Иррико-Холдинг</t>
  </si>
  <si>
    <t>грин00836</t>
  </si>
  <si>
    <t>грин00837</t>
  </si>
  <si>
    <t>грин00838</t>
  </si>
  <si>
    <t>грин00839</t>
  </si>
  <si>
    <t>грин00840</t>
  </si>
  <si>
    <t>грин00841</t>
  </si>
  <si>
    <t>Акт входного контроля грин00842 от 05.09.2025 10:44:56</t>
  </si>
  <si>
    <t>Акт входного контроля грин00843 от 05.09.2025 10:57:55</t>
  </si>
  <si>
    <t>Акт входного контроля грин00844 от 05.09.2025 11:08:43</t>
  </si>
  <si>
    <t>Акт входного контроля грин00845 от 03.09.2025 14:11:55</t>
  </si>
  <si>
    <t>Акт входного контроля грин00847 от 03.09.2025 15:49:19</t>
  </si>
  <si>
    <t>Акт входного контроля грин00848 от 03.09.2025 18:09:21</t>
  </si>
  <si>
    <t>Акт входного контроля грин00849 от 03.09.2025 19:29:01</t>
  </si>
  <si>
    <t>Акт входного контроля грин00850 от 03.09.2025 19:40:00</t>
  </si>
  <si>
    <t>Акт входного контроля грин00851 от 03.09.2025 21:03:02</t>
  </si>
  <si>
    <t>Акт входного контроля грин00852 от 03.09.2025 21:24:37</t>
  </si>
  <si>
    <t>Акт входного контроля грин00854 от 03.09.2025 23:57:43</t>
  </si>
  <si>
    <t>Акт входного контроля грин00857 от 04.09.2025 0:05:15</t>
  </si>
  <si>
    <t>Акт входного контроля грин00860 от 04.09.2025 1:08:02</t>
  </si>
  <si>
    <t>Акт входного контроля грин00859 от 04.09.2025 2:01:22</t>
  </si>
  <si>
    <t>Акт входного контроля грин00858 от 04.09.2025 3:03:01</t>
  </si>
  <si>
    <t>Акт входного контроля грин00856 от 04.09.2025 12:45:56</t>
  </si>
  <si>
    <t>Акт входного контроля грин00855 от 04.09.2025 13:05:04</t>
  </si>
  <si>
    <t>Акт входного контроля грин00853 от 04.09.2025 13:14:00</t>
  </si>
  <si>
    <t>Акт входного контроля грин00836 от 05.09.2025 12:05:31</t>
  </si>
  <si>
    <t>Акт входного контроля грин00837 от 05.09.2025 12:08:14</t>
  </si>
  <si>
    <t>Акт входного контроля грин00838 от 05.09.2025 13:14:15</t>
  </si>
  <si>
    <t>Акт входного контроля грин00839 от 05.09.2025 13:16:00</t>
  </si>
  <si>
    <t>Акт входного контроля грин00840 от 05.09.2025 13:17:54</t>
  </si>
  <si>
    <t>Акт входного контроля грин00841 от 05.09.2025 13:19:55</t>
  </si>
  <si>
    <t>Акт входного контроля грин00846 от 05.09.2025 13:31:41</t>
  </si>
  <si>
    <t>Акт входного контроля грин00861 от 05.09.2025 15:34:38</t>
  </si>
  <si>
    <t>Акт входного контроля грин00862 от 05.09.2025 15:47:46</t>
  </si>
  <si>
    <t>Акт входного контроля грин00863 от 05.09.2025 16:27:00</t>
  </si>
  <si>
    <t>Акт входного контроля грин00864 от 05.09.2025 16:34:37</t>
  </si>
  <si>
    <t>Акт входного контроля грин00874 от 05.09.2025 17:07:03</t>
  </si>
  <si>
    <t>Акт входного контроля грин00871 от 05.09.2025 18:40:57</t>
  </si>
  <si>
    <t>Акт входного контроля грин00865 от 05.09.2025 19:24:39</t>
  </si>
  <si>
    <t>Акт входного контроля грин00866 от 05.09.2025 19:53:31</t>
  </si>
  <si>
    <t>Акт входного контроля грин00867 от 05.09.2025 20:52:11</t>
  </si>
  <si>
    <t>Акт входного контроля грин00868 от 05.09.2025 20:55:19</t>
  </si>
  <si>
    <t>Акт входного контроля грин00872 от 05.09.2025 21:14:27</t>
  </si>
  <si>
    <t>Акт входного контроля грин00869 от 05.09.2025 22:20:20</t>
  </si>
  <si>
    <t>Акт входного контроля грин00870 от 05.09.2025 22:23:37</t>
  </si>
  <si>
    <t>Акт входного контроля грин00873 от 05.09.2025 22:43:00</t>
  </si>
  <si>
    <t>Акт входного контроля грин00875 от 05.09.2025 22:51:52</t>
  </si>
  <si>
    <t>Акт входного контроля грин00878 от 07.09.2025 22:46:16</t>
  </si>
  <si>
    <t>Акт входного контроля грин00877 от 07.09.2025 23:35:20</t>
  </si>
  <si>
    <t>Акт входного контроля грин00879 от 07.09.2025 23:45:10</t>
  </si>
  <si>
    <t>Акт входного контроля грин00888 от 08.09.2025 8:39:56</t>
  </si>
  <si>
    <t>Акт входного контроля грин00880 от 08.09.2025 13:40:07</t>
  </si>
  <si>
    <t>Акт входного контроля грин00881 от 08.09.2025 13:42:28</t>
  </si>
  <si>
    <t>Акт входного контроля грин00882 от 08.09.2025 13:44:48</t>
  </si>
  <si>
    <t>Акт входного контроля грин00883 от 08.09.2025 13:47:58</t>
  </si>
  <si>
    <t>Акт входного контроля грин00884 от 08.09.2025 13:51:51</t>
  </si>
  <si>
    <t>Акт входного контроля грин00885 от 08.09.2025 13:54:02</t>
  </si>
  <si>
    <t>Акт входного контроля грин00886 от 08.09.2025 13:56:44</t>
  </si>
  <si>
    <t>Акт входного контроля грин00887 от 08.09.2025 13:59:35</t>
  </si>
  <si>
    <t>Акт входного контроля грин00890 от 08.09.2025 14:20:49</t>
  </si>
  <si>
    <t>Акт входного контроля грин00891 от 08.09.2025 14:30:13</t>
  </si>
  <si>
    <t>Акт входного контроля грин00892 от 08.09.2025 14:33:07</t>
  </si>
  <si>
    <t>Акт входного контроля грин00893 от 08.09.2025 16:42:28</t>
  </si>
  <si>
    <t>Акт входного контроля грин00894 от 08.09.2025 16:46:29</t>
  </si>
  <si>
    <t>Акт входного контроля грин00895 от 08.09.2025 18:18:47</t>
  </si>
  <si>
    <t>Акт входного контроля грин00896 от 08.09.2025 18:21:17</t>
  </si>
  <si>
    <t>Акт входного контроля грин00897 от 08.09.2025 19:53:32</t>
  </si>
  <si>
    <t>Акт входного контроля грин00902 от 08.09.2025 20:00:20</t>
  </si>
  <si>
    <t>Грищенко Александр Александрович</t>
  </si>
  <si>
    <t>К416ТН</t>
  </si>
  <si>
    <t>Акт входного контроля грин00903 от 08.09.2025 20:04:48</t>
  </si>
  <si>
    <t>Акт входного контроля грин00904 от 08.09.2025 20:10:24</t>
  </si>
  <si>
    <t>Акт входного контроля грин00898 от 08.09.2025 20:58:20</t>
  </si>
  <si>
    <t>Акт входного контроля грин00899 от 08.09.2025 21:19:25</t>
  </si>
  <si>
    <t>Акт входного контроля грин00900 от 08.09.2025 21:40:14</t>
  </si>
  <si>
    <t>Акт входного контроля грин00905 от 08.09.2025 22:28:46</t>
  </si>
  <si>
    <t>Акт входного контроля грин00901 от 08.09.2025 22:46:42</t>
  </si>
  <si>
    <t>Акт входного контроля грин00906 от 08.09.2025 22:56:24</t>
  </si>
  <si>
    <t>Акт входного контроля грин00907 от 08.09.2025 23:01:17</t>
  </si>
  <si>
    <t>Акт входного контроля грин00908 от 08.09.2025 23:06:31</t>
  </si>
  <si>
    <t>Акт входного контроля грин00909 от 09.09.2025 7:01:55</t>
  </si>
  <si>
    <t>07.09-08.09.2025</t>
  </si>
  <si>
    <t>04.09-05.09.2025</t>
  </si>
  <si>
    <t>Игольницын Сергей Владимирович</t>
  </si>
  <si>
    <t>Гофицкое</t>
  </si>
  <si>
    <t>грин00845</t>
  </si>
  <si>
    <t>грин00847</t>
  </si>
  <si>
    <t>грин00848</t>
  </si>
  <si>
    <t>грин00849</t>
  </si>
  <si>
    <t>грин00850</t>
  </si>
  <si>
    <t>грин00851</t>
  </si>
  <si>
    <t>грин00852</t>
  </si>
  <si>
    <t>грин00854</t>
  </si>
  <si>
    <t>грин00857</t>
  </si>
  <si>
    <t>грин00860</t>
  </si>
  <si>
    <t>грин00859</t>
  </si>
  <si>
    <t>грин00858</t>
  </si>
  <si>
    <t>грин00856</t>
  </si>
  <si>
    <t>грин00855</t>
  </si>
  <si>
    <t>грин00853</t>
  </si>
  <si>
    <t>грин00842</t>
  </si>
  <si>
    <t>грин00843</t>
  </si>
  <si>
    <t>грин00844</t>
  </si>
  <si>
    <t>грин00846</t>
  </si>
  <si>
    <t>грин00861</t>
  </si>
  <si>
    <t>грин00862</t>
  </si>
  <si>
    <t>грин00863</t>
  </si>
  <si>
    <t>грин00864</t>
  </si>
  <si>
    <t>грин00874</t>
  </si>
  <si>
    <t>грин00871</t>
  </si>
  <si>
    <t>грин00865</t>
  </si>
  <si>
    <t>грин00866</t>
  </si>
  <si>
    <t>грин00867</t>
  </si>
  <si>
    <t>грин00868</t>
  </si>
  <si>
    <t>грин00872</t>
  </si>
  <si>
    <t>грин00869</t>
  </si>
  <si>
    <t>грин00870</t>
  </si>
  <si>
    <t>грин00873</t>
  </si>
  <si>
    <t>грин00875</t>
  </si>
  <si>
    <t>грин00878</t>
  </si>
  <si>
    <t>грин00877</t>
  </si>
  <si>
    <t>грин00879</t>
  </si>
  <si>
    <t>грин00888</t>
  </si>
  <si>
    <t>грин00880</t>
  </si>
  <si>
    <t>грин00881</t>
  </si>
  <si>
    <t>грин00882</t>
  </si>
  <si>
    <t>грин00883</t>
  </si>
  <si>
    <t>грин00884</t>
  </si>
  <si>
    <t>грин00885</t>
  </si>
  <si>
    <t>грин00886</t>
  </si>
  <si>
    <t>грин00887</t>
  </si>
  <si>
    <t>грин00890</t>
  </si>
  <si>
    <t>грин00891</t>
  </si>
  <si>
    <t>грин00892</t>
  </si>
  <si>
    <t>грин00893</t>
  </si>
  <si>
    <t>грин00894</t>
  </si>
  <si>
    <t>грин00895</t>
  </si>
  <si>
    <t>грин00896</t>
  </si>
  <si>
    <t>грин00897</t>
  </si>
  <si>
    <t>грин00902</t>
  </si>
  <si>
    <t>грин00903</t>
  </si>
  <si>
    <t>грин00904</t>
  </si>
  <si>
    <t>грин00898</t>
  </si>
  <si>
    <t>грин00899</t>
  </si>
  <si>
    <t>грин00900</t>
  </si>
  <si>
    <t>грин00905</t>
  </si>
  <si>
    <t>грин00901</t>
  </si>
  <si>
    <t>грин00906</t>
  </si>
  <si>
    <t>грин00907</t>
  </si>
  <si>
    <t>грин00908</t>
  </si>
  <si>
    <t>грин00909</t>
  </si>
  <si>
    <t>Акт входного контроля грин00910 от 09.09.2025 9:55:46</t>
  </si>
  <si>
    <t>Акт входного контроля грин00911 от 09.09.2025 10:10:12</t>
  </si>
  <si>
    <t>В780ТТ</t>
  </si>
  <si>
    <t>Акт входного контроля грин00912 от 09.09.2025 10:19:45</t>
  </si>
  <si>
    <t>Акт входного контроля грин00913 от 09.09.2025 11:28:28</t>
  </si>
  <si>
    <t>Акт входного контроля грин00922 от 09.09.2025 12:20:34</t>
  </si>
  <si>
    <t>Акт входного контроля грин00923 от 09.09.2025 12:28:33</t>
  </si>
  <si>
    <t>Акт входного контроля грин00914 от 09.09.2025 13:34:02</t>
  </si>
  <si>
    <t>Акт входного контроля грин00915 от 09.09.2025 14:12:32</t>
  </si>
  <si>
    <t>Акт входного контроля грин00916 от 09.09.2025 15:45:11</t>
  </si>
  <si>
    <t>Акт входного контроля грин00917 от 09.09.2025 17:00:45</t>
  </si>
  <si>
    <t>Акт входного контроля грин00924 от 09.09.2025 18:15:14</t>
  </si>
  <si>
    <t>Акт входного контроля грин00925 от 09.09.2025 18:45:33</t>
  </si>
  <si>
    <t>Акт входного контроля грин00926 от 09.09.2025 18:49:44</t>
  </si>
  <si>
    <t>Акт входного контроля грин00918 от 09.09.2025 19:55:21</t>
  </si>
  <si>
    <t>Акт входного контроля грин00919 от 09.09.2025 20:00:39</t>
  </si>
  <si>
    <t>Акт входного контроля грин00927 от 09.09.2025 20:05:03</t>
  </si>
  <si>
    <t>Акт входного контроля грин00920 от 09.09.2025 20:36:58</t>
  </si>
  <si>
    <t>Акт входного контроля грин00928 от 09.09.2025 20:39:39</t>
  </si>
  <si>
    <t>Акт входного контроля грин00921 от 09.09.2025 21:16:09</t>
  </si>
  <si>
    <t>грин00910</t>
  </si>
  <si>
    <t>грин00911</t>
  </si>
  <si>
    <t>грин00912</t>
  </si>
  <si>
    <t>грин00913</t>
  </si>
  <si>
    <t>грин00922</t>
  </si>
  <si>
    <t>грин00923</t>
  </si>
  <si>
    <t>грин00914</t>
  </si>
  <si>
    <t>грин00915</t>
  </si>
  <si>
    <t>грин00916</t>
  </si>
  <si>
    <t>грин00917</t>
  </si>
  <si>
    <t>грин00924</t>
  </si>
  <si>
    <t>грин00925</t>
  </si>
  <si>
    <t>грин00926</t>
  </si>
  <si>
    <t>грин00918</t>
  </si>
  <si>
    <t>грин00919</t>
  </si>
  <si>
    <t>грин00927</t>
  </si>
  <si>
    <t>грин00920</t>
  </si>
  <si>
    <t>грин00928</t>
  </si>
  <si>
    <t>грин00921</t>
  </si>
  <si>
    <t>Акт входного контроля грин00929 от 09.09.2025 20:44:23</t>
  </si>
  <si>
    <t>Акт входного контроля грин00930 от 09.09.2025 23:28:56</t>
  </si>
  <si>
    <t>грин00929</t>
  </si>
  <si>
    <t>грин00930</t>
  </si>
  <si>
    <t>08.09-11.09.2025</t>
  </si>
  <si>
    <t>Акт входного контроля грин00931 от 12.09.2025 2:08:38</t>
  </si>
  <si>
    <t>Акт входного контроля грин00932 от 12.09.2025 5:51:17</t>
  </si>
  <si>
    <t>Акт входного контроля грин00933 от 12.09.2025 6:14:02</t>
  </si>
  <si>
    <t>Акт входного контроля грин00934 от 12.09.2025 6:38:27</t>
  </si>
  <si>
    <t>Акт входного контроля грин00935 от 12.09.2025 13:21:37</t>
  </si>
  <si>
    <t>Акт входного контроля грин00936 от 12.09.2025 13:50:20</t>
  </si>
  <si>
    <t>Акт входного контроля грин00937 от 12.09.2025 13:59:49</t>
  </si>
  <si>
    <t>грин00931</t>
  </si>
  <si>
    <t>грин00932</t>
  </si>
  <si>
    <t>грин00933</t>
  </si>
  <si>
    <t>грин00934</t>
  </si>
  <si>
    <t>грин00935</t>
  </si>
  <si>
    <t>грин00936</t>
  </si>
  <si>
    <t>грин00937</t>
  </si>
  <si>
    <t>Акт входного контроля грин00946 от 12.09.2025 8:29:00</t>
  </si>
  <si>
    <t>Акт входного контроля грин00938 от 12.09.2025 14:35:23</t>
  </si>
  <si>
    <t>Акт входного контроля грин00939 от 12.09.2025 14:53:35</t>
  </si>
  <si>
    <t>Акт входного контроля грин00947 от 12.09.2025 16:24:39</t>
  </si>
  <si>
    <t>Акт входного контроля грин00948 от 12.09.2025 17:18:27</t>
  </si>
  <si>
    <t>Акт входного контроля грин00949 от 12.09.2025 18:08:22</t>
  </si>
  <si>
    <t>Акт входного контроля грин00950 от 12.09.2025 18:12:17</t>
  </si>
  <si>
    <t>Акт входного контроля грин00951 от 12.09.2025 18:49:05</t>
  </si>
  <si>
    <t>Акт входного контроля грин00940 от 12.09.2025 19:29:06</t>
  </si>
  <si>
    <t>Акт входного контроля грин00941 от 12.09.2025 19:36:48</t>
  </si>
  <si>
    <t>Акт входного контроля грин00952 от 12.09.2025 19:48:32</t>
  </si>
  <si>
    <t>Акт входного контроля грин00953 от 12.09.2025 20:48:31</t>
  </si>
  <si>
    <t>Акт входного контроля грин00942 от 12.09.2025 21:28:30</t>
  </si>
  <si>
    <t>Акт входного контроля грин00943 от 12.09.2025 22:14:07</t>
  </si>
  <si>
    <t>Акт входного контроля грин00944 от 12.09.2025 22:55:30</t>
  </si>
  <si>
    <t>Акт входного контроля грин00956 от 12.09.2025 23:11:27</t>
  </si>
  <si>
    <t>Акт входного контроля грин00945 от 12.09.2025 23:36:16</t>
  </si>
  <si>
    <t>Акт входного контроля грин00969 от 13.09.2025 0:41:21</t>
  </si>
  <si>
    <t>Акт входного контроля грин01021 от 13.09.2025 13:25:44</t>
  </si>
  <si>
    <t>Акт входного контроля грин01022 от 13.09.2025 13:44:15</t>
  </si>
  <si>
    <t>Акт входного контроля грин01023 от 13.09.2025 13:53:25</t>
  </si>
  <si>
    <t>Акт входного контроля грин00971 от 13.09.2025 16:09:09</t>
  </si>
  <si>
    <t>Акт входного контроля грин00972 от 13.09.2025 16:14:06</t>
  </si>
  <si>
    <t>Акт входного контроля грин01024 от 13.09.2025 16:21:20</t>
  </si>
  <si>
    <t>Акт входного контроля грин01025 от 13.09.2025 16:26:10</t>
  </si>
  <si>
    <t>Акт входного контроля грин00986 от 13.09.2025 16:42:31</t>
  </si>
  <si>
    <t>Акт входного контроля грин01014 от 13.09.2025 17:20:59</t>
  </si>
  <si>
    <t>Акт входного контроля грин01027 от 13.09.2025 17:49:42</t>
  </si>
  <si>
    <t>Акт входного контроля грин01028 от 13.09.2025 18:39:22</t>
  </si>
  <si>
    <t>Акт входного контроля грин01017 от 13.09.2025 19:47:38</t>
  </si>
  <si>
    <t>Акт входного контроля грин01029 от 13.09.2025 21:00:48</t>
  </si>
  <si>
    <t>Акт входного контроля грин01018 от 13.09.2025 21:42:26</t>
  </si>
  <si>
    <t>Акт входного контроля грин01019 от 13.09.2025 21:46:43</t>
  </si>
  <si>
    <t>Акт входного контроля грин01020 от 13.09.2025 21:49:13</t>
  </si>
  <si>
    <t>Акт входного контроля грин01026 от 14.09.2025 4:42:19</t>
  </si>
  <si>
    <t>Акт входного контроля грин01040 от 14.09.2025 6:42:16</t>
  </si>
  <si>
    <t>Акт входного контроля грин01039 от 14.09.2025 7:32:33</t>
  </si>
  <si>
    <t>Акт входного контроля грин01041 от 14.09.2025 10:02:51</t>
  </si>
  <si>
    <t>Акт входного контроля грин01042 от 14.09.2025 10:08:58</t>
  </si>
  <si>
    <t>Акт входного контроля грин01030 от 14.09.2025 11:28:34</t>
  </si>
  <si>
    <t>Акт входного контроля грин01043 от 14.09.2025 12:18:54</t>
  </si>
  <si>
    <t>Акт входного контроля грин01044 от 14.09.2025 12:49:25</t>
  </si>
  <si>
    <t>Акт входного контроля грин01045 от 14.09.2025 12:53:29</t>
  </si>
  <si>
    <t>Акт входного контроля грин01031 от 14.09.2025 13:54:12</t>
  </si>
  <si>
    <t>Акт входного контроля грин01032 от 14.09.2025 14:06:53</t>
  </si>
  <si>
    <t>Акт входного контроля грин01033 от 14.09.2025 15:06:51</t>
  </si>
  <si>
    <t>Акт входного контроля грин01034 от 14.09.2025 17:59:10</t>
  </si>
  <si>
    <t>Акт входного контроля грин01035 от 14.09.2025 18:14:50</t>
  </si>
  <si>
    <t>Акт входного контроля грин01036 от 14.09.2025 18:59:16</t>
  </si>
  <si>
    <t>Акт входного контроля грин01037 от 14.09.2025 21:05:13</t>
  </si>
  <si>
    <t>Акт входного контроля грин01038 от 14.09.2025 21:14:12</t>
  </si>
  <si>
    <t>грин00946</t>
  </si>
  <si>
    <t>грин00938</t>
  </si>
  <si>
    <t>грин00939</t>
  </si>
  <si>
    <t>грин00940</t>
  </si>
  <si>
    <t>грин00941</t>
  </si>
  <si>
    <t>грин00942</t>
  </si>
  <si>
    <t>грин00943</t>
  </si>
  <si>
    <t>грин00944</t>
  </si>
  <si>
    <t>грин00945</t>
  </si>
  <si>
    <t>грин00951</t>
  </si>
  <si>
    <t>грин00947</t>
  </si>
  <si>
    <t>грин00948</t>
  </si>
  <si>
    <t>грин00949</t>
  </si>
  <si>
    <t>грин00950</t>
  </si>
  <si>
    <t>грин00952</t>
  </si>
  <si>
    <t>грин00953</t>
  </si>
  <si>
    <t>грин00956</t>
  </si>
  <si>
    <t>грин00969</t>
  </si>
  <si>
    <t>грин01021</t>
  </si>
  <si>
    <t>грин01022</t>
  </si>
  <si>
    <t>грин01023</t>
  </si>
  <si>
    <t>грин00971</t>
  </si>
  <si>
    <t>грин00972</t>
  </si>
  <si>
    <t>грин01024</t>
  </si>
  <si>
    <t>грин01025</t>
  </si>
  <si>
    <t>грин00986</t>
  </si>
  <si>
    <t>грин01014</t>
  </si>
  <si>
    <t>грин01027</t>
  </si>
  <si>
    <t>грин01028</t>
  </si>
  <si>
    <t>грин01017</t>
  </si>
  <si>
    <t>грин01029</t>
  </si>
  <si>
    <t>грин01018</t>
  </si>
  <si>
    <t>грин01019</t>
  </si>
  <si>
    <t>грин01020</t>
  </si>
  <si>
    <t>грин01026</t>
  </si>
  <si>
    <t>грин01040</t>
  </si>
  <si>
    <t>грин01039</t>
  </si>
  <si>
    <t>грин01041</t>
  </si>
  <si>
    <t>грин01042</t>
  </si>
  <si>
    <t>грин01030</t>
  </si>
  <si>
    <t>грин01043</t>
  </si>
  <si>
    <t>грин01044</t>
  </si>
  <si>
    <t>грин01045</t>
  </si>
  <si>
    <t>грин01031</t>
  </si>
  <si>
    <t>грин01032</t>
  </si>
  <si>
    <t>грин01033</t>
  </si>
  <si>
    <t>грин01034</t>
  </si>
  <si>
    <t>грин01035</t>
  </si>
  <si>
    <t>грин01036</t>
  </si>
  <si>
    <t>грин01037</t>
  </si>
  <si>
    <t>грин01038</t>
  </si>
  <si>
    <t>Акт входного контроля грин00379 от 04.08.2025 22:27:59</t>
  </si>
  <si>
    <t>Акт входного контроля грин00380 от 06.08.2025 7:01:36</t>
  </si>
  <si>
    <t>Акт входного контроля грин00381 от 06.08.2025 8:07:43</t>
  </si>
  <si>
    <t>Акт входного контроля грин00382 от 06.08.2025 20:23:18</t>
  </si>
  <si>
    <t>Акт входного контроля грин00383 от 06.08.2025 21:42:54</t>
  </si>
  <si>
    <t>Акт входного контроля грин00384 от 06.08.2025 22:58:36</t>
  </si>
  <si>
    <t>Акт входного контроля грин00386 от 06.08.2025 23:58:43</t>
  </si>
  <si>
    <t>Акт входного контроля грин00387 от 07.08.2025 1:23:56</t>
  </si>
  <si>
    <t>Акт входного контроля грин00388 от 07.08.2025 1:53:17</t>
  </si>
  <si>
    <t>Акт входного контроля грин00408 от 07.08.2025 8:49:49</t>
  </si>
  <si>
    <t>Акт входного контроля грин00389 от 07.08.2025 11:36:49</t>
  </si>
  <si>
    <t>Акт входного контроля грин00390 от 07.08.2025 11:44:02</t>
  </si>
  <si>
    <t>Акт входного контроля грин00391 от 07.08.2025 12:04:12</t>
  </si>
  <si>
    <t>Акт входного контроля грин00403 от 07.08.2025 13:56:29</t>
  </si>
  <si>
    <t>Акт входного контроля грин00392 от 07.08.2025 15:44:29</t>
  </si>
  <si>
    <t>Акт входного контроля грин00414 от 07.08.2025 15:57:19</t>
  </si>
  <si>
    <t>Акт входного контроля грин00393 от 07.08.2025 17:44:38</t>
  </si>
  <si>
    <t>Акт входного контроля грин00410 от 07.08.2025 18:42:33</t>
  </si>
  <si>
    <t>Акт входного контроля грин00415 от 09.08.2025 2:46:36</t>
  </si>
  <si>
    <t>Акт входного контроля грин00416 от 09.08.2025 3:15:05</t>
  </si>
  <si>
    <t>Акт входного контроля грин00417 от 09.08.2025 5:06:02</t>
  </si>
  <si>
    <t>Акт входного контроля грин01046 от 14.09.2025 15:55:33</t>
  </si>
  <si>
    <t>Акт входного контроля грин01047 от 14.09.2025 19:09:14</t>
  </si>
  <si>
    <t>Акт входного контроля грин01048 от 14.09.2025 19:14:57</t>
  </si>
  <si>
    <t>Акт входного контроля грин01049 от 14.09.2025 22:45:19</t>
  </si>
  <si>
    <t>Акт входного контроля грин01050 от 14.09.2025 23:40:53</t>
  </si>
  <si>
    <t>Акт входного контроля грин01056 от 15.09.2025 5:20:13</t>
  </si>
  <si>
    <t>Акт входного контроля грин01057 от 15.09.2025 5:24:33</t>
  </si>
  <si>
    <t>Акт входного контроля грин01058 от 15.09.2025 5:50:55</t>
  </si>
  <si>
    <t>Акт входного контроля грин01059 от 15.09.2025 7:52:55</t>
  </si>
  <si>
    <t>Акт входного контроля грин01060 от 15.09.2025 8:46:39</t>
  </si>
  <si>
    <t>Акт входного контроля грин01061 от 15.09.2025 10:17:24</t>
  </si>
  <si>
    <t>Акт входного контроля грин01062 от 15.09.2025 10:21:18</t>
  </si>
  <si>
    <t>Акт входного контроля грин01063 от 15.09.2025 12:00:35</t>
  </si>
  <si>
    <t>Акт входного контроля грин01064 от 15.09.2025 12:40:25</t>
  </si>
  <si>
    <t>Акт входного контроля грин01065 от 15.09.2025 14:52:17</t>
  </si>
  <si>
    <t>Акт входного контроля грин01051 от 15.09.2025 19:04:08</t>
  </si>
  <si>
    <t>Акт входного контроля грин01052 от 15.09.2025 20:30:01</t>
  </si>
  <si>
    <t>Акт входного контроля грин01055 от 15.09.2025 22:02:22</t>
  </si>
  <si>
    <t>Акт входного контроля грин01053 от 15.09.2025 22:43:46</t>
  </si>
  <si>
    <t>Акт входного контроля грин01054 от 15.09.2025 22:56:15</t>
  </si>
  <si>
    <t>грин00379</t>
  </si>
  <si>
    <t>грин00380</t>
  </si>
  <si>
    <t>грин00381</t>
  </si>
  <si>
    <t>грин00382</t>
  </si>
  <si>
    <t>грин00383</t>
  </si>
  <si>
    <t>грин00384</t>
  </si>
  <si>
    <t>грин00386</t>
  </si>
  <si>
    <t>грин00387</t>
  </si>
  <si>
    <t>грин00388</t>
  </si>
  <si>
    <t>грин00408</t>
  </si>
  <si>
    <t>грин00389</t>
  </si>
  <si>
    <t>грин00390</t>
  </si>
  <si>
    <t>грин00391</t>
  </si>
  <si>
    <t>грин00403</t>
  </si>
  <si>
    <t>грин00392</t>
  </si>
  <si>
    <t>грин00414</t>
  </si>
  <si>
    <t>грин00393</t>
  </si>
  <si>
    <t>грин00410</t>
  </si>
  <si>
    <t>грин00415</t>
  </si>
  <si>
    <t>грин00416</t>
  </si>
  <si>
    <t>грин00417</t>
  </si>
  <si>
    <t>грин01046</t>
  </si>
  <si>
    <t>грин01047</t>
  </si>
  <si>
    <t>грин01048</t>
  </si>
  <si>
    <t>грин01049</t>
  </si>
  <si>
    <t>грин01050</t>
  </si>
  <si>
    <t>грин01056</t>
  </si>
  <si>
    <t>грин01057</t>
  </si>
  <si>
    <t>грин01058</t>
  </si>
  <si>
    <t>грин01059</t>
  </si>
  <si>
    <t>грин01060</t>
  </si>
  <si>
    <t>грин01061</t>
  </si>
  <si>
    <t>грин01062</t>
  </si>
  <si>
    <t>грин01063</t>
  </si>
  <si>
    <t>грин01064</t>
  </si>
  <si>
    <t>грин01065</t>
  </si>
  <si>
    <t>грин01051</t>
  </si>
  <si>
    <t>грин01052</t>
  </si>
  <si>
    <t>грин01055</t>
  </si>
  <si>
    <t>грин01053</t>
  </si>
  <si>
    <t>грин01054</t>
  </si>
  <si>
    <t>Акт входного контроля грин01066 от 15.09.2025 20:44:50</t>
  </si>
  <si>
    <t>грин01066</t>
  </si>
  <si>
    <t>в т.ч.</t>
  </si>
  <si>
    <t>12.09-14.09.2025</t>
  </si>
  <si>
    <t>Акт входного контроля грин01067 от 16.09.2025 15:02:36</t>
  </si>
  <si>
    <t>Сайко Василий Викторович</t>
  </si>
  <si>
    <t>А816ЕВ</t>
  </si>
  <si>
    <t>Акт входного контроля грин01068 от 16.09.2025 20:03:02</t>
  </si>
  <si>
    <t>Акт входного контроля грин01069 от 16.09.2025 22:37:50</t>
  </si>
  <si>
    <t>Акт входного контроля грин01070 от 17.09.2025 3:26:23</t>
  </si>
  <si>
    <t>Акт входного контроля грин01071 от 17.09.2025 5:27:19</t>
  </si>
  <si>
    <t>Акт входного контроля грин01072 от 17.09.2025 6:51:28</t>
  </si>
  <si>
    <t>грин01067</t>
  </si>
  <si>
    <t>грин01068</t>
  </si>
  <si>
    <t>грин01069</t>
  </si>
  <si>
    <t>грин01070</t>
  </si>
  <si>
    <t>грин01071</t>
  </si>
  <si>
    <t>грин01072</t>
  </si>
  <si>
    <t>А-113</t>
  </si>
  <si>
    <t>Акт входного контроля грин01073 от 17.09.2025 11:25:09</t>
  </si>
  <si>
    <t>Акт входного контроля грин01074 от 17.09.2025 13:23:36</t>
  </si>
  <si>
    <t>Акт входного контроля грин01075 от 17.09.2025 15:31:56</t>
  </si>
  <si>
    <t>Акт входного контроля грин01076 от 17.09.2025 15:57:28</t>
  </si>
  <si>
    <t>Акт входного контроля грин01077 от 17.09.2025 16:42:14</t>
  </si>
  <si>
    <t>Акт входного контроля грин01078 от 17.09.2025 18:33:27</t>
  </si>
  <si>
    <t>Акт входного контроля грин01079 от 17.09.2025 22:25:50</t>
  </si>
  <si>
    <t>Акт входного контроля грин01080 от 17.09.2025 22:30:06</t>
  </si>
  <si>
    <t>Акт входного контроля грин01081 от 17.09.2025 23:28:55</t>
  </si>
  <si>
    <t>Акт входного контроля грин01082 от 18.09.2025 1:18:19</t>
  </si>
  <si>
    <t>Акт входного контроля грин01083 от 18.09.2025 4:30:01</t>
  </si>
  <si>
    <t>Акт входного контроля грин01084 от 18.09.2025 6:22:14</t>
  </si>
  <si>
    <t>Акт входного контроля грин01085 от 18.09.2025 6:26:37</t>
  </si>
  <si>
    <t>Акт входного контроля грин01086 от 18.09.2025 10:47:19</t>
  </si>
  <si>
    <t>Акт входного контроля грин01087 от 18.09.2025 10:58:07</t>
  </si>
  <si>
    <t>Акт входного контроля грин01088 от 18.09.2025 11:09:54</t>
  </si>
  <si>
    <t>Акт входного контроля грин01089 от 18.09.2025 14:15:07</t>
  </si>
  <si>
    <t>Акт входного контроля грин01090 от 18.09.2025 14:35:56</t>
  </si>
  <si>
    <t>Акт входного контроля грин01091 от 18.09.2025 14:42:17</t>
  </si>
  <si>
    <t>Акт входного контроля грин01092 от 18.09.2025 14:50:52</t>
  </si>
  <si>
    <t>Акт входного контроля грин01093 от 18.09.2025 15:20:48</t>
  </si>
  <si>
    <t>Акт входного контроля грин01094 от 18.09.2025 17:37:30</t>
  </si>
  <si>
    <t>Акт входного контроля грин01095 от 18.09.2025 18:07:25</t>
  </si>
  <si>
    <t>Акт входного контроля грин01096 от 18.09.2025 20:48:26</t>
  </si>
  <si>
    <t>Акт входного контроля грин01097 от 18.09.2025 21:00:33</t>
  </si>
  <si>
    <t>Акт входного контроля грин01098 от 18.09.2025 23:10:36</t>
  </si>
  <si>
    <t>Акт входного контроля грин01099 от 18.09.2025 23:19:24</t>
  </si>
  <si>
    <t>Акт входного контроля грин01100 от 18.09.2025 23:34:44</t>
  </si>
  <si>
    <t>Акт входного контроля грин01101 от 18.09.2025 22:18:23</t>
  </si>
  <si>
    <t>Акт входного контроля грин01102 от 18.09.2025 23:45:26</t>
  </si>
  <si>
    <t>Акт входного контроля грин01103 от 18.09.2025 23:50:19</t>
  </si>
  <si>
    <t>Акт входного контроля грин01104 от 18.09.2025 23:59:24</t>
  </si>
  <si>
    <t>Акт входного контроля грин01105 от 19.09.2025 4:35:35</t>
  </si>
  <si>
    <t>Акт входного контроля грин01106 от 19.09.2025 5:44:03</t>
  </si>
  <si>
    <t>Акт входного контроля грин01107 от 19.09.2025 7:31:44</t>
  </si>
  <si>
    <t>Акт входного контроля грин01108 от 19.09.2025 8:43:27</t>
  </si>
  <si>
    <t>Акт входного контроля грин01109 от 19.09.2025 10:29:07</t>
  </si>
  <si>
    <t>Акт входного контроля грин01110 от 19.09.2025 11:21:25</t>
  </si>
  <si>
    <t>Акт входного контроля грин01111 от 19.09.2025 12:11:28</t>
  </si>
  <si>
    <t>Акт входного контроля грин01112 от 19.09.2025 13:34:25</t>
  </si>
  <si>
    <t>Акт входного контроля грин01113 от 19.09.2025 14:04:51</t>
  </si>
  <si>
    <t>Акт входного контроля грин01114 от 19.09.2025 15:16:50</t>
  </si>
  <si>
    <t>Акт входного контроля грин01115 от 19.09.2025 16:23:41</t>
  </si>
  <si>
    <t>Акт входного контроля грин01116 от 19.09.2025 17:49:00</t>
  </si>
  <si>
    <t>Акт входного контроля грин01117 от 19.09.2025 18:19:40</t>
  </si>
  <si>
    <t>Акт входного контроля грин01118 от 19.09.2025 19:17:39</t>
  </si>
  <si>
    <t>Акт входного контроля грин01119 от 19.09.2025 22:10:53</t>
  </si>
  <si>
    <t>Акт входного контроля грин01120 от 19.09.2025 22:58:41</t>
  </si>
  <si>
    <t>37722/1</t>
  </si>
  <si>
    <t>Акт входного контроля грин01121 от 19.09.2025 23:15:41</t>
  </si>
  <si>
    <t>Акт входного контроля грин01122 от 19.09.2025 23:37:23</t>
  </si>
  <si>
    <t>Акт входного контроля грин01123 от 19.09.2025 22:19:34</t>
  </si>
  <si>
    <t>Акт входного контроля грин01125 от 20.09.2025 2:45:21</t>
  </si>
  <si>
    <t>Акт входного контроля грин01126 от 20.09.2025 3:50:19</t>
  </si>
  <si>
    <t>Акт входного контроля грин01127 от 20.09.2025 4:19:30</t>
  </si>
  <si>
    <t>Акт входного контроля грин01128 от 20.09.2025 6:38:23</t>
  </si>
  <si>
    <t>Акт входного контроля грин01129 от 20.09.2025 8:42:19</t>
  </si>
  <si>
    <t>Акт входного контроля грин01130 от 20.09.2025 10:50:10</t>
  </si>
  <si>
    <t>Акт входного контроля грин01131 от 20.09.2025 10:52:49</t>
  </si>
  <si>
    <t>Акт входного контроля грин01132 от 20.09.2025 14:25:26</t>
  </si>
  <si>
    <t>Акт входного контроля грин01133 от 20.09.2025 14:28:22</t>
  </si>
  <si>
    <t>Чигрин Н.А.</t>
  </si>
  <si>
    <t>А819ЕВ</t>
  </si>
  <si>
    <t>Акт входного контроля грин01134 от 20.09.2025 16:43:00</t>
  </si>
  <si>
    <t>Акт входного контроля грин01140 от 20.09.2025 23:01:31</t>
  </si>
  <si>
    <t>Акт входного контроля грин01135 от 20.09.2025 17:24:32</t>
  </si>
  <si>
    <t>Акт входного контроля грин01136 от 20.09.2025 19:31:56</t>
  </si>
  <si>
    <t>Акт входного контроля грин01137 от 20.09.2025 19:37:51</t>
  </si>
  <si>
    <t>Акт входного контроля грин01138 от 20.09.2025 21:07:15</t>
  </si>
  <si>
    <t>Акт входного контроля грин01141 от 20.09.2025 20:26:20</t>
  </si>
  <si>
    <t>Акт входного контроля грин01139 от 20.09.2025 22:23:42</t>
  </si>
  <si>
    <t>Акт входного контроля грин01142 от 21.09.2025 17:57:38</t>
  </si>
  <si>
    <t>Акт входного контроля грин01143 от 21.09.2025 18:05:20</t>
  </si>
  <si>
    <t>Акт входного контроля грин01144 от 21.09.2025 19:33:31</t>
  </si>
  <si>
    <t>грин01073</t>
  </si>
  <si>
    <t>грин01074</t>
  </si>
  <si>
    <t>грин01075</t>
  </si>
  <si>
    <t>грин01076</t>
  </si>
  <si>
    <t>грин01077</t>
  </si>
  <si>
    <t>грин01078</t>
  </si>
  <si>
    <t>грин01079</t>
  </si>
  <si>
    <t>грин01080</t>
  </si>
  <si>
    <t>грин01081</t>
  </si>
  <si>
    <t>грин01082</t>
  </si>
  <si>
    <t>грин01083</t>
  </si>
  <si>
    <t>грин01084</t>
  </si>
  <si>
    <t>грин01085</t>
  </si>
  <si>
    <t>грин01086</t>
  </si>
  <si>
    <t>грин01087</t>
  </si>
  <si>
    <t>грин01088</t>
  </si>
  <si>
    <t>грин01089</t>
  </si>
  <si>
    <t>грин01090</t>
  </si>
  <si>
    <t>грин01091</t>
  </si>
  <si>
    <t>грин01092</t>
  </si>
  <si>
    <t>грин01093</t>
  </si>
  <si>
    <t>грин01094</t>
  </si>
  <si>
    <t>грин01095</t>
  </si>
  <si>
    <t>грин01096</t>
  </si>
  <si>
    <t>грин01097</t>
  </si>
  <si>
    <t>грин01098</t>
  </si>
  <si>
    <t>грин01099</t>
  </si>
  <si>
    <t>грин01100</t>
  </si>
  <si>
    <t>грин01101</t>
  </si>
  <si>
    <t>грин01102</t>
  </si>
  <si>
    <t>грин01103</t>
  </si>
  <si>
    <t>грин01104</t>
  </si>
  <si>
    <t>грин01105</t>
  </si>
  <si>
    <t>грин01106</t>
  </si>
  <si>
    <t>грин01107</t>
  </si>
  <si>
    <t>грин01108</t>
  </si>
  <si>
    <t>грин01109</t>
  </si>
  <si>
    <t>грин01110</t>
  </si>
  <si>
    <t>грин01111</t>
  </si>
  <si>
    <t>грин01112</t>
  </si>
  <si>
    <t>грин01113</t>
  </si>
  <si>
    <t>грин01114</t>
  </si>
  <si>
    <t>грин01115</t>
  </si>
  <si>
    <t>грин01116</t>
  </si>
  <si>
    <t>грин01117</t>
  </si>
  <si>
    <t>грин01118</t>
  </si>
  <si>
    <t>грин01119</t>
  </si>
  <si>
    <t>грин01120</t>
  </si>
  <si>
    <t>грин01121</t>
  </si>
  <si>
    <t>грин01122</t>
  </si>
  <si>
    <t>грин01123</t>
  </si>
  <si>
    <t>грин01125</t>
  </si>
  <si>
    <t>грин01126</t>
  </si>
  <si>
    <t>грин01127</t>
  </si>
  <si>
    <t>грин01128</t>
  </si>
  <si>
    <t>грин01129</t>
  </si>
  <si>
    <t>грин01130</t>
  </si>
  <si>
    <t>грин01131</t>
  </si>
  <si>
    <t>грин01132</t>
  </si>
  <si>
    <t>грин01133</t>
  </si>
  <si>
    <t>грин01134</t>
  </si>
  <si>
    <t>грин01140</t>
  </si>
  <si>
    <t>грин01135</t>
  </si>
  <si>
    <t>грин01136</t>
  </si>
  <si>
    <t>грин01137</t>
  </si>
  <si>
    <t>грин01138</t>
  </si>
  <si>
    <t>грин01141</t>
  </si>
  <si>
    <t>грин01139</t>
  </si>
  <si>
    <t>грин01142</t>
  </si>
  <si>
    <t>грин01143</t>
  </si>
  <si>
    <t>грин01144</t>
  </si>
  <si>
    <t>Акт входного контроля грин01145 от 21.09.2025 18:12:15</t>
  </si>
  <si>
    <t>Акт входного контроля грин01146 от 21.09.2025 18:20:52</t>
  </si>
  <si>
    <t>грин01145</t>
  </si>
  <si>
    <t>грин01146</t>
  </si>
  <si>
    <t>Поле уточн</t>
  </si>
  <si>
    <t>16.09-21.09.2025</t>
  </si>
  <si>
    <t>А-113/2, А-113/1</t>
  </si>
  <si>
    <t>13.09-18.09.2025</t>
  </si>
  <si>
    <t>08.09-20.09.2025</t>
  </si>
  <si>
    <t>15.09-18.09.2025</t>
  </si>
  <si>
    <t>Акт входного контроля грин01147 от 25.09.2025 12:08:39</t>
  </si>
  <si>
    <t>Акт входного контроля грин01148 от 25.09.2025 13:35:02</t>
  </si>
  <si>
    <t>Акт входного контроля грин01149 от 25.09.2025 14:01:17</t>
  </si>
  <si>
    <t>Акт входного контроля грин01150 от 25.09.2025 14:15:19</t>
  </si>
  <si>
    <t>Акт входного контроля грин01151 от 25.09.2025 14:37:47</t>
  </si>
  <si>
    <t>АГРОЛИДЕР ООО</t>
  </si>
  <si>
    <t>Кукуруза сахарная 2025 Агролидер</t>
  </si>
  <si>
    <t>Акт входного контроля грин01152 от 25.09.2025 14:53:18</t>
  </si>
  <si>
    <t>Акт входного контроля грин01153 от 25.09.2025 15:25:08</t>
  </si>
  <si>
    <t>Акт входного контроля грин01154 от 25.09.2025 16:35:29</t>
  </si>
  <si>
    <t>Акт входного контроля грин01155 от 25.09.2025 17:35:19</t>
  </si>
  <si>
    <t>Акт входного контроля грин01156 от 25.09.2025 18:02:37</t>
  </si>
  <si>
    <t>Акт входного контроля грин01157 от 25.09.2025 18:34:58</t>
  </si>
  <si>
    <t>Акт входного контроля грин01158 от 25.09.2025 20:09:10</t>
  </si>
  <si>
    <t>Акт входного контроля грин01159 от 25.09.2025 21:11:34</t>
  </si>
  <si>
    <t>Акт входного контроля грин01160 от 25.09.2025 22:12:11</t>
  </si>
  <si>
    <t>Акт входного контроля грин01161 от 25.09.2025 22:32:09</t>
  </si>
  <si>
    <t>Акт входного контроля грин01162 от 25.09.2025 23:47:12</t>
  </si>
  <si>
    <t>Акт входного контроля грин01163 от 25.09.2025 22:39:16</t>
  </si>
  <si>
    <t>Акт входного контроля грин01164 от 25.09.2025 23:18:37</t>
  </si>
  <si>
    <t>Акт входного контроля грин01165 от 25.09.2025 23:58:01</t>
  </si>
  <si>
    <t>Акт входного контроля грин01166 от 26.09.2025 5:28:16</t>
  </si>
  <si>
    <t>Акт входного контроля грин01167 от 26.09.2025 5:54:57</t>
  </si>
  <si>
    <t>грин01147</t>
  </si>
  <si>
    <t>грин01148</t>
  </si>
  <si>
    <t>грин01149</t>
  </si>
  <si>
    <t>грин01150</t>
  </si>
  <si>
    <t>грин01151</t>
  </si>
  <si>
    <t>грин01152</t>
  </si>
  <si>
    <t>грин01153</t>
  </si>
  <si>
    <t>грин01154</t>
  </si>
  <si>
    <t>грин01155</t>
  </si>
  <si>
    <t>грин01156</t>
  </si>
  <si>
    <t>грин01157</t>
  </si>
  <si>
    <t>грин01158</t>
  </si>
  <si>
    <t>грин01159</t>
  </si>
  <si>
    <t>грин01160</t>
  </si>
  <si>
    <t>грин01161</t>
  </si>
  <si>
    <t>грин01162</t>
  </si>
  <si>
    <t>грин01163</t>
  </si>
  <si>
    <t>грин01164</t>
  </si>
  <si>
    <t>грин01165</t>
  </si>
  <si>
    <t>грин01166</t>
  </si>
  <si>
    <t>грин01167</t>
  </si>
  <si>
    <r>
      <t xml:space="preserve">Кукуруза сахарная Агролидер
</t>
    </r>
    <r>
      <rPr>
        <b/>
        <i/>
        <sz val="10"/>
        <color theme="0" tint="-0.499984740745262"/>
        <rFont val="Arial"/>
        <family val="2"/>
        <charset val="204"/>
      </rPr>
      <t>Краснодарский край, Тихорецкий район</t>
    </r>
    <r>
      <rPr>
        <b/>
        <i/>
        <sz val="20"/>
        <color theme="0" tint="-0.499984740745262"/>
        <rFont val="Arial"/>
        <family val="2"/>
        <charset val="204"/>
      </rPr>
      <t xml:space="preserve">                        </t>
    </r>
  </si>
  <si>
    <t>Акт входного контроля грин01168 от 26.09.2025 11:39:26</t>
  </si>
  <si>
    <t>Акт входного контроля грин01169 от 26.09.2025 12:28:58</t>
  </si>
  <si>
    <t>Акт входного контроля грин01170 от 26.09.2025 13:28:58</t>
  </si>
  <si>
    <t>Акт входного контроля грин01171 от 26.09.2025 14:31:52</t>
  </si>
  <si>
    <t>Акт входного контроля грин01172 от 26.09.2025 14:36:20</t>
  </si>
  <si>
    <t>Акт входного контроля грин01173 от 26.09.2025 15:56:28</t>
  </si>
  <si>
    <t>Акт входного контроля грин01174 от 26.09.2025 16:23:16</t>
  </si>
  <si>
    <t>Акт входного контроля грин01175 от 26.09.2025 17:15:05</t>
  </si>
  <si>
    <t>Акт входного контроля грин01176 от 26.09.2025 17:55:06</t>
  </si>
  <si>
    <t>Акт входного контроля грин01177 от 26.09.2025 18:30:12</t>
  </si>
  <si>
    <t>Акт входного контроля грин01178 от 26.09.2025 17:51:16</t>
  </si>
  <si>
    <t>Акт входного контроля грин01179 от 26.09.2025 18:31:22</t>
  </si>
  <si>
    <t>Акт входного контроля грин01180 от 26.09.2025 19:07:51</t>
  </si>
  <si>
    <t>Акт входного контроля грин01181 от 26.09.2025 19:55:12</t>
  </si>
  <si>
    <t>Акт входного контроля грин01182 от 26.09.2025 21:28:24</t>
  </si>
  <si>
    <t>Акт входного контроля грин01183 от 26.09.2025 22:08:35</t>
  </si>
  <si>
    <t>Акт входного контроля грин01184 от 26.09.2025 22:54:46</t>
  </si>
  <si>
    <t>Акт входного контроля грин01185 от 27.09.2025 12:04:01</t>
  </si>
  <si>
    <t>Акт входного контроля грин01186 от 27.09.2025 13:16:51</t>
  </si>
  <si>
    <t>Акт входного контроля грин01187 от 27.09.2025 13:21:04</t>
  </si>
  <si>
    <t>Акт входного контроля грин01188 от 27.09.2025 13:24:01</t>
  </si>
  <si>
    <t>Акт входного контроля грин01189 от 27.09.2025 13:26:36</t>
  </si>
  <si>
    <t>Акт входного контроля грин01190 от 27.09.2025 13:30:14</t>
  </si>
  <si>
    <t>Акт входного контроля грин01191 от 27.09.2025 13:32:31</t>
  </si>
  <si>
    <t>Акт входного контроля грин01192 от 27.09.2025 13:43:30</t>
  </si>
  <si>
    <t>Акт входного контроля грин01193 от 27.09.2025 13:46:43</t>
  </si>
  <si>
    <t>Акт входного контроля грин01194 от 27.09.2025 13:51:10</t>
  </si>
  <si>
    <t>Акт входного контроля грин01195 от 27.09.2025 13:54:52</t>
  </si>
  <si>
    <t>Акт входного контроля грин01196 от 27.09.2025 13:57:42</t>
  </si>
  <si>
    <t>Акт входного контроля грин01197 от 27.09.2025 15:11:42</t>
  </si>
  <si>
    <t>Акт входного контроля грин01198 от 27.09.2025 16:47:46</t>
  </si>
  <si>
    <t>Акт входного контроля грин01199 от 27.09.2025 16:50:16</t>
  </si>
  <si>
    <t>Акт входного контроля грин01200 от 27.09.2025 17:00:32</t>
  </si>
  <si>
    <t>Акт входного контроля грин01201 от 27.09.2025 19:20:05</t>
  </si>
  <si>
    <t>Акт входного контроля грин01202 от 27.09.2025 19:23:02</t>
  </si>
  <si>
    <t>Акт входного контроля грин01203 от 27.09.2025 19:53:02</t>
  </si>
  <si>
    <t>Акт входного контроля грин01204 от 27.09.2025 20:48:44</t>
  </si>
  <si>
    <t>Акт входного контроля грин01205 от 27.09.2025 22:21:58</t>
  </si>
  <si>
    <t>Акт входного контроля грин01212 от 27.09.2025 19:57:36</t>
  </si>
  <si>
    <t>Акт входного контроля грин01206 от 27.09.2025 23:51:07</t>
  </si>
  <si>
    <t>Акт входного контроля грин01207 от 27.09.2025 21:45:29</t>
  </si>
  <si>
    <t>Акт входного контроля грин01208 от 27.09.2025 22:27:09</t>
  </si>
  <si>
    <t>Акт входного контроля грин01209 от 27.09.2025 23:23:00</t>
  </si>
  <si>
    <t>Акт входного контроля грин01210 от 28.09.2025 2:31:37</t>
  </si>
  <si>
    <t>Акт входного контроля грин01211 от 28.09.2025 3:24:14</t>
  </si>
  <si>
    <t>грин01168</t>
  </si>
  <si>
    <t>грин01169</t>
  </si>
  <si>
    <t>грин01170</t>
  </si>
  <si>
    <t>грин01171</t>
  </si>
  <si>
    <t>грин01172</t>
  </si>
  <si>
    <t>грин01173</t>
  </si>
  <si>
    <t>грин01174</t>
  </si>
  <si>
    <t>грин01175</t>
  </si>
  <si>
    <t>грин01176</t>
  </si>
  <si>
    <t>грин01177</t>
  </si>
  <si>
    <t>грин01178</t>
  </si>
  <si>
    <t>грин01179</t>
  </si>
  <si>
    <t>грин01180</t>
  </si>
  <si>
    <t>грин01181</t>
  </si>
  <si>
    <t>грин01182</t>
  </si>
  <si>
    <t>грин01183</t>
  </si>
  <si>
    <t>грин01184</t>
  </si>
  <si>
    <t>грин01185</t>
  </si>
  <si>
    <t>грин01186</t>
  </si>
  <si>
    <t>грин01187</t>
  </si>
  <si>
    <t>грин01188</t>
  </si>
  <si>
    <t>грин01189</t>
  </si>
  <si>
    <t>грин01190</t>
  </si>
  <si>
    <t>грин01191</t>
  </si>
  <si>
    <t>грин01192</t>
  </si>
  <si>
    <t>грин01193</t>
  </si>
  <si>
    <t>грин01194</t>
  </si>
  <si>
    <t>грин01195</t>
  </si>
  <si>
    <t>грин01196</t>
  </si>
  <si>
    <t>грин01197</t>
  </si>
  <si>
    <t>грин01198</t>
  </si>
  <si>
    <t>грин01199</t>
  </si>
  <si>
    <t>грин01200</t>
  </si>
  <si>
    <t>грин01201</t>
  </si>
  <si>
    <t>грин01202</t>
  </si>
  <si>
    <t>грин01203</t>
  </si>
  <si>
    <t>грин01204</t>
  </si>
  <si>
    <t>грин01205</t>
  </si>
  <si>
    <t>грин01212</t>
  </si>
  <si>
    <t>грин01206</t>
  </si>
  <si>
    <t>грин01207</t>
  </si>
  <si>
    <t>грин01208</t>
  </si>
  <si>
    <t>грин01209</t>
  </si>
  <si>
    <t>грин01210</t>
  </si>
  <si>
    <t>грин01211</t>
  </si>
  <si>
    <t>Акт входного контроля грин01217 от 28.09.2025 2:46:17</t>
  </si>
  <si>
    <t>Акт входного контроля грин01218 от 28.09.2025 3:30:52</t>
  </si>
  <si>
    <t>Акт входного контроля грин01220 от 28.09.2025 4:16:43</t>
  </si>
  <si>
    <t>Акт входного контроля грин01221 от 28.09.2025 4:41:17</t>
  </si>
  <si>
    <t>Акт входного контроля грин01222 от 28.09.2025 5:56:01</t>
  </si>
  <si>
    <t>Акт входного контроля грин01224 от 28.09.2025 6:47:49</t>
  </si>
  <si>
    <t>Акт входного контроля грин01225 от 28.09.2025 8:30:02</t>
  </si>
  <si>
    <t>Акт входного контроля грин01227 от 28.09.2025 9:39:55</t>
  </si>
  <si>
    <t>Акт входного контроля грин01229 от 28.09.2025 10:58:59</t>
  </si>
  <si>
    <t>Акт входного контроля грин01230 от 28.09.2025 11:41:19</t>
  </si>
  <si>
    <t>Акт входного контроля грин01232 от 28.09.2025 12:56:16</t>
  </si>
  <si>
    <t>Акт входного контроля грин01234 от 28.09.2025 14:16:13</t>
  </si>
  <si>
    <t>Акт входного контроля грин01235 от 28.09.2025 15:00:53</t>
  </si>
  <si>
    <t>Акт входного контроля грин01237 от 28.09.2025 15:50:02</t>
  </si>
  <si>
    <t>Акт входного контроля грин01238 от 28.09.2025 16:40:34</t>
  </si>
  <si>
    <t>Акт входного контроля грин01236 от 28.09.2025 17:26:37</t>
  </si>
  <si>
    <t>Акт входного контроля грин01233 от 28.09.2025 18:45:04</t>
  </si>
  <si>
    <t>Акт входного контроля грин01231 от 28.09.2025 19:42:20</t>
  </si>
  <si>
    <t>Акт входного контроля грин01228 от 28.09.2025 20:48:20</t>
  </si>
  <si>
    <t>Акт входного контроля грин01226 от 28.09.2025 21:57:58</t>
  </si>
  <si>
    <t>Акт входного контроля грин01223 от 28.09.2025 22:53:42</t>
  </si>
  <si>
    <t>Акт входного контроля грин01213 от 29.09.2025 9:54:24</t>
  </si>
  <si>
    <t>Акт входного контроля грин01214 от 29.09.2025 12:48:48</t>
  </si>
  <si>
    <t>Акт входного контроля грин01215 от 29.09.2025 13:02:32</t>
  </si>
  <si>
    <t>Акт входного контроля грин01216 от 29.09.2025 14:24:26</t>
  </si>
  <si>
    <t>Акт входного контроля грин01219 от 29.09.2025 16:15:53</t>
  </si>
  <si>
    <t>Акт входного контроля грин01239 от 29.09.2025 18:39:52</t>
  </si>
  <si>
    <t>Акт входного контроля грин01240 от 29.09.2025 18:50:40</t>
  </si>
  <si>
    <t>Акт входного контроля грин01241 от 29.09.2025 23:27:18</t>
  </si>
  <si>
    <t>Акт входного контроля грин01242 от 29.09.2025 23:30:25</t>
  </si>
  <si>
    <t>Акт входного контроля грин01243 от 29.09.2025 19:06:10</t>
  </si>
  <si>
    <t>Акт входного контроля грин01244 от 29.09.2025 20:26:40</t>
  </si>
  <si>
    <t>Акт входного контроля грин01245 от 29.09.2025 21:11:51</t>
  </si>
  <si>
    <t>Акт входного контроля грин01246 от 29.09.2025 21:17:06</t>
  </si>
  <si>
    <t>грин01217</t>
  </si>
  <si>
    <t>грин01218</t>
  </si>
  <si>
    <t>грин01220</t>
  </si>
  <si>
    <t>грин01221</t>
  </si>
  <si>
    <t>грин01222</t>
  </si>
  <si>
    <t>грин01224</t>
  </si>
  <si>
    <t>грин01225</t>
  </si>
  <si>
    <t>грин01227</t>
  </si>
  <si>
    <t>грин01229</t>
  </si>
  <si>
    <t>грин01230</t>
  </si>
  <si>
    <t>грин01232</t>
  </si>
  <si>
    <t>грин01234</t>
  </si>
  <si>
    <t>грин01235</t>
  </si>
  <si>
    <t>грин01237</t>
  </si>
  <si>
    <t>грин01238</t>
  </si>
  <si>
    <t>грин01236</t>
  </si>
  <si>
    <t>грин01233</t>
  </si>
  <si>
    <t>грин01231</t>
  </si>
  <si>
    <t>грин01228</t>
  </si>
  <si>
    <t>грин01226</t>
  </si>
  <si>
    <t>грин01223</t>
  </si>
  <si>
    <t>грин01213</t>
  </si>
  <si>
    <t>грин01214</t>
  </si>
  <si>
    <t>грин01215</t>
  </si>
  <si>
    <t>грин01216</t>
  </si>
  <si>
    <t>грин01219</t>
  </si>
  <si>
    <t>грин01239</t>
  </si>
  <si>
    <t>грин01240</t>
  </si>
  <si>
    <t>грин01241</t>
  </si>
  <si>
    <t>грин01242</t>
  </si>
  <si>
    <t>грин01243</t>
  </si>
  <si>
    <t>грин01244</t>
  </si>
  <si>
    <t>грин01245</t>
  </si>
  <si>
    <t>грин01246</t>
  </si>
  <si>
    <t>27.09-28.09.2025</t>
  </si>
  <si>
    <t>25-29.09.2025</t>
  </si>
  <si>
    <t>Акт входного контроля грин01247 от 01.10.2025 11:14:49</t>
  </si>
  <si>
    <t>Акт входного контроля грин01248 от 01.10.2025 11:53:06</t>
  </si>
  <si>
    <t>грин01247</t>
  </si>
  <si>
    <t>грин01248</t>
  </si>
  <si>
    <t>Акт входного контроля грин01249 от 01.10.2025 14:54:49</t>
  </si>
  <si>
    <t>б/н</t>
  </si>
  <si>
    <t>Акт входного контроля грин01250 от 01.10.2025 15:25:15</t>
  </si>
  <si>
    <t>Акт входного контроля грин01251 от 01.10.2025 16:30:29</t>
  </si>
  <si>
    <t>Акт входного контроля грин01252 от 01.10.2025 18:01:14</t>
  </si>
  <si>
    <t>Акт входного контроля грин01253 от 01.10.2025 19:34:44</t>
  </si>
  <si>
    <t>Акт входного контроля грин01254 от 01.10.2025 19:39:47</t>
  </si>
  <si>
    <t>Акт входного контроля грин01255 от 01.10.2025 20:45:18</t>
  </si>
  <si>
    <t>грин01249</t>
  </si>
  <si>
    <t>грин01250</t>
  </si>
  <si>
    <t>грин01251</t>
  </si>
  <si>
    <t>грин01252</t>
  </si>
  <si>
    <t>грин01253</t>
  </si>
  <si>
    <t>грин01254</t>
  </si>
  <si>
    <t>грин01255</t>
  </si>
  <si>
    <t>Акт входного контроля грин01258 от 01.10.2025 21:32:04</t>
  </si>
  <si>
    <t>Акт входного контроля грин01256 от 01.10.2025 21:51:04</t>
  </si>
  <si>
    <t>Акт входного контроля грин01267 от 01.10.2025 22:35:07</t>
  </si>
  <si>
    <t>Акт входного контроля грин01259 от 01.10.2025 22:47:35</t>
  </si>
  <si>
    <t>Акт входного контроля грин01257 от 01.10.2025 23:23:32</t>
  </si>
  <si>
    <t>Б/Н</t>
  </si>
  <si>
    <t>Акт входного контроля грин01260 от 01.10.2025 23:45:52</t>
  </si>
  <si>
    <t>Акт входного контроля грин01261 от 01.10.2025 23:49:37</t>
  </si>
  <si>
    <t>Акт входного контроля грин01262 от 02.10.2025 4:24:57</t>
  </si>
  <si>
    <t>Акт входного контроля грин01263 от 02.10.2025 5:21:45</t>
  </si>
  <si>
    <t>Акт входного контроля грин01264 от 02.10.2025 6:17:09</t>
  </si>
  <si>
    <t>Акт входного контроля грин01265 от 02.10.2025 8:10:34</t>
  </si>
  <si>
    <t>Акт входного контроля грин01266 от 02.10.2025 9:07:48</t>
  </si>
  <si>
    <t>Акт входного контроля грин01268 от 02.10.2025 10:26:47</t>
  </si>
  <si>
    <t>грин01258</t>
  </si>
  <si>
    <t>грин01256</t>
  </si>
  <si>
    <t>грин01267</t>
  </si>
  <si>
    <t>грин01259</t>
  </si>
  <si>
    <t>грин01257</t>
  </si>
  <si>
    <t>грин01260</t>
  </si>
  <si>
    <t>грин01261</t>
  </si>
  <si>
    <t>грин01262</t>
  </si>
  <si>
    <t>грин01263</t>
  </si>
  <si>
    <t>грин01264</t>
  </si>
  <si>
    <t>грин01265</t>
  </si>
  <si>
    <t>грин01266</t>
  </si>
  <si>
    <t>грин01268</t>
  </si>
  <si>
    <t>Акт входного контроля грин01269 от 02.10.2025 13:00:34</t>
  </si>
  <si>
    <t>Акт входного контроля грин01270 от 02.10.2025 13:03:29</t>
  </si>
  <si>
    <t>грин01269</t>
  </si>
  <si>
    <t>грин01270</t>
  </si>
  <si>
    <t>Акт входного контроля грин01271 от 02.10.2025 16:57:38</t>
  </si>
  <si>
    <t>Акт входного контроля грин01272 от 02.10.2025 17:00:40</t>
  </si>
  <si>
    <t>Акт входного контроля грин01273 от 02.10.2025 17:07:38</t>
  </si>
  <si>
    <t>Акт входного контроля грин01280 от 02.10.2025 18:30:45</t>
  </si>
  <si>
    <t>Акт входного контроля грин01281 от 02.10.2025 18:34:17</t>
  </si>
  <si>
    <t>Акт входного контроля грин01282 от 02.10.2025 19:23:51</t>
  </si>
  <si>
    <t>Акт входного контроля грин01274 от 02.10.2025 19:40:43</t>
  </si>
  <si>
    <t>Акт входного контроля грин01275 от 02.10.2025 19:47:44</t>
  </si>
  <si>
    <t>Акт входного контроля грин01283 от 02.10.2025 20:01:07</t>
  </si>
  <si>
    <t>Акт входного контроля грин01276 от 02.10.2025 20:36:51</t>
  </si>
  <si>
    <t>Акт входного контроля грин01284 от 02.10.2025 21:01:36</t>
  </si>
  <si>
    <t>Акт входного контроля грин01285 от 02.10.2025 21:05:59</t>
  </si>
  <si>
    <t>Акт входного контроля грин01277 от 02.10.2025 21:46:10</t>
  </si>
  <si>
    <t>Акт входного контроля грин01278 от 02.10.2025 22:35:27</t>
  </si>
  <si>
    <t>Акт входного контроля грин01286 от 02.10.2025 22:50:02</t>
  </si>
  <si>
    <t>Акт входного контроля грин01287 от 02.10.2025 23:14:13</t>
  </si>
  <si>
    <t>Акт входного контроля грин01288 от 02.10.2025 23:30:41</t>
  </si>
  <si>
    <t>Акт входного контроля грин01279 от 02.10.2025 23:50:02</t>
  </si>
  <si>
    <t>грин01271</t>
  </si>
  <si>
    <t>грин01272</t>
  </si>
  <si>
    <t>грин01273</t>
  </si>
  <si>
    <t>грин01280</t>
  </si>
  <si>
    <t>грин01281</t>
  </si>
  <si>
    <t>грин01282</t>
  </si>
  <si>
    <t>грин01274</t>
  </si>
  <si>
    <t>грин01275</t>
  </si>
  <si>
    <t>грин01283</t>
  </si>
  <si>
    <t>грин01276</t>
  </si>
  <si>
    <t>грин01284</t>
  </si>
  <si>
    <t>грин01285</t>
  </si>
  <si>
    <t>грин01277</t>
  </si>
  <si>
    <t>грин01278</t>
  </si>
  <si>
    <t>грин01286</t>
  </si>
  <si>
    <t>грин01287</t>
  </si>
  <si>
    <t>грин01288</t>
  </si>
  <si>
    <t>грин01279</t>
  </si>
  <si>
    <t>Акт входного контроля грин01289 от 03.10.2025 12:42:02</t>
  </si>
  <si>
    <t>грин01289</t>
  </si>
  <si>
    <t>01.10-02.10.2025</t>
  </si>
  <si>
    <t>Акт входного контроля грин01290 от 03.10.2025 13:45:42</t>
  </si>
  <si>
    <t>грин01290</t>
  </si>
  <si>
    <t>Акт входного контроля грин01291 от 03.10.2025 14:25:43</t>
  </si>
  <si>
    <t>грин01291</t>
  </si>
  <si>
    <t>Акт входного контроля грин01292 от 03.10.2025 15:08:31</t>
  </si>
  <si>
    <t>грин01292</t>
  </si>
  <si>
    <r>
      <t xml:space="preserve">Кукуруза сахарная Братковский
</t>
    </r>
    <r>
      <rPr>
        <b/>
        <i/>
        <sz val="10"/>
        <color theme="0" tint="-0.499984740745262"/>
        <rFont val="Arial"/>
        <family val="2"/>
        <charset val="204"/>
      </rPr>
      <t>Краснодарский край, Кореновский район</t>
    </r>
    <r>
      <rPr>
        <b/>
        <i/>
        <sz val="20"/>
        <color theme="0" tint="-0.499984740745262"/>
        <rFont val="Arial"/>
        <family val="2"/>
        <charset val="204"/>
      </rPr>
      <t xml:space="preserve">                        </t>
    </r>
  </si>
  <si>
    <t>в т.ч. 88 га закупка</t>
  </si>
  <si>
    <t>Закупка конвейер</t>
  </si>
  <si>
    <t>Акт входного контроля грин01293 от 03.10.2025 16:35:57</t>
  </si>
  <si>
    <t>Акт входного контроля грин01294 от 03.10.2025 16:56:37</t>
  </si>
  <si>
    <t>Акт входного контроля грин01295 от 03.10.2025 18:07:21</t>
  </si>
  <si>
    <t>Акт входного контроля грин01300 от 03.10.2025 18:36:37</t>
  </si>
  <si>
    <t>Акт входного контроля грин01301 от 03.10.2025 19:13:56</t>
  </si>
  <si>
    <t>Акт входного контроля грин01302 от 03.10.2025 20:16:05</t>
  </si>
  <si>
    <t>Акт входного контроля грин01303 от 03.10.2025 21:09:37</t>
  </si>
  <si>
    <t>Акт входного контроля грин01305 от 03.10.2025 21:36:57</t>
  </si>
  <si>
    <t>Акт входного контроля грин01304 от 03.10.2025 22:43:00</t>
  </si>
  <si>
    <t>Акт входного контроля грин01296 от 03.10.2025 23:13:19</t>
  </si>
  <si>
    <t>Акт входного контроля грин01297 от 03.10.2025 23:16:30</t>
  </si>
  <si>
    <t>Акт входного контроля грин01298 от 03.10.2025 23:19:06</t>
  </si>
  <si>
    <t>Акт входного контроля грин01299 от 03.10.2025 23:32:57</t>
  </si>
  <si>
    <t>Акт входного контроля грин01306 от 04.10.2025 8:13:44</t>
  </si>
  <si>
    <t>Акт входного контроля грин01330 от 05.10.2025 12:02:53</t>
  </si>
  <si>
    <t>Кукуруза сахарная 2025 Братковский</t>
  </si>
  <si>
    <t>грин01293</t>
  </si>
  <si>
    <t>грин01294</t>
  </si>
  <si>
    <t>грин01295</t>
  </si>
  <si>
    <t>грин01300</t>
  </si>
  <si>
    <t>грин01301</t>
  </si>
  <si>
    <t>грин01302</t>
  </si>
  <si>
    <t>грин01303</t>
  </si>
  <si>
    <t>грин01305</t>
  </si>
  <si>
    <t>грин01304</t>
  </si>
  <si>
    <t>грин01296</t>
  </si>
  <si>
    <t>грин01297</t>
  </si>
  <si>
    <t>грин01298</t>
  </si>
  <si>
    <t>грин01299</t>
  </si>
  <si>
    <t>грин01306</t>
  </si>
  <si>
    <t>грин01330</t>
  </si>
  <si>
    <t>Акт входного контроля грин01307 от 04.10.2025 4:09:19</t>
  </si>
  <si>
    <t>МОК БРАТКОВСКИЙ АО</t>
  </si>
  <si>
    <t>Акт входного контроля грин01308 от 04.10.2025 4:15:21</t>
  </si>
  <si>
    <t>Акт входного контроля грин01309 от 04.10.2025 4:37:07</t>
  </si>
  <si>
    <t>Акт входного контроля грин01310 от 04.10.2025 4:41:37</t>
  </si>
  <si>
    <t>Акт входного контроля грин01311 от 04.10.2025 5:25:32</t>
  </si>
  <si>
    <t>Акт входного контроля грин01312 от 04.10.2025 8:42:04</t>
  </si>
  <si>
    <t>Акт входного контроля грин01313 от 04.10.2025 8:45:54</t>
  </si>
  <si>
    <t>Акт входного контроля грин01315 от 04.10.2025 9:42:27</t>
  </si>
  <si>
    <t>Акт входного контроля грин01314 от 04.10.2025 9:53:17</t>
  </si>
  <si>
    <t>Акт входного контроля грин01316 от 04.10.2025 14:58:27</t>
  </si>
  <si>
    <t>Акт входного контроля грин01317 от 04.10.2025 16:28:34</t>
  </si>
  <si>
    <t>Акт входного контроля грин01318 от 04.10.2025 16:55:55</t>
  </si>
  <si>
    <t>Акт входного контроля грин01319 от 04.10.2025 17:13:29</t>
  </si>
  <si>
    <t>Акт входного контроля грин01320 от 04.10.2025 19:19:10</t>
  </si>
  <si>
    <t>Акт входного контроля грин01321 от 04.10.2025 19:24:05</t>
  </si>
  <si>
    <t>Акт входного контроля грин01322 от 04.10.2025 20:40:52</t>
  </si>
  <si>
    <t>Акт входного контроля грин01323 от 04.10.2025 21:49:17</t>
  </si>
  <si>
    <t>Акт входного контроля грин01324 от 04.10.2025 21:59:13</t>
  </si>
  <si>
    <t>Акт входного контроля грин01325 от 05.10.2025 0:35:37</t>
  </si>
  <si>
    <t>Акт входного контроля грин01326 от 05.10.2025 0:40:34</t>
  </si>
  <si>
    <t>Акт входного контроля грин01327 от 05.10.2025 2:12:46</t>
  </si>
  <si>
    <t>Акт входного контроля грин01328 от 05.10.2025 2:17:13</t>
  </si>
  <si>
    <t>Акт входного контроля грин01329 от 05.10.2025 3:47:28</t>
  </si>
  <si>
    <t>Акт входного контроля грин01331 от 05.10.2025 7:00:03</t>
  </si>
  <si>
    <t>Акт входного контроля грин01333 от 05.10.2025 8:34:05</t>
  </si>
  <si>
    <t>Акт входного контроля грин01332 от 05.10.2025 8:39:04</t>
  </si>
  <si>
    <t>Акт входного контроля грин01334 от 05.10.2025 8:51:12</t>
  </si>
  <si>
    <t>Акт входного контроля грин01335 от 05.10.2025 9:20:30</t>
  </si>
  <si>
    <t>Акт входного контроля грин01339 от 05.10.2025 20:21:34</t>
  </si>
  <si>
    <t>СОВХОЗ ИМЕНИ КИРОВА АО</t>
  </si>
  <si>
    <t>Кукуруза сахарная 2025 АО совхоз им.Кирова</t>
  </si>
  <si>
    <t>грин01307</t>
  </si>
  <si>
    <t>грин01308</t>
  </si>
  <si>
    <t>грин01309</t>
  </si>
  <si>
    <t>грин01310</t>
  </si>
  <si>
    <t>грин01311</t>
  </si>
  <si>
    <t>грин01312</t>
  </si>
  <si>
    <t>грин01313</t>
  </si>
  <si>
    <t>грин01315</t>
  </si>
  <si>
    <t>грин01314</t>
  </si>
  <si>
    <t>грин01316</t>
  </si>
  <si>
    <t>грин01317</t>
  </si>
  <si>
    <t>грин01318</t>
  </si>
  <si>
    <t>грин01319</t>
  </si>
  <si>
    <t>грин01320</t>
  </si>
  <si>
    <t>грин01321</t>
  </si>
  <si>
    <t>грин01322</t>
  </si>
  <si>
    <t>грин01323</t>
  </si>
  <si>
    <t>грин01324</t>
  </si>
  <si>
    <t>грин01325</t>
  </si>
  <si>
    <t>грин01326</t>
  </si>
  <si>
    <t>грин01327</t>
  </si>
  <si>
    <t>грин01328</t>
  </si>
  <si>
    <t>грин01329</t>
  </si>
  <si>
    <t>грин01331</t>
  </si>
  <si>
    <t>грин01333</t>
  </si>
  <si>
    <t>грин01332</t>
  </si>
  <si>
    <t>грин01334</t>
  </si>
  <si>
    <t>грин01335</t>
  </si>
  <si>
    <t>грин01339</t>
  </si>
  <si>
    <t>15/1Агролидер</t>
  </si>
  <si>
    <t>КА/Культура/Поле/Сорт/Дата уборки</t>
  </si>
  <si>
    <t>площадь сева будет уточнена по факту уборки</t>
  </si>
  <si>
    <t>Акт входного контроля грин01336 от 05.10.2025 13:31:49</t>
  </si>
  <si>
    <t>Акт входного контроля грин01337 от 05.10.2025 14:38:05</t>
  </si>
  <si>
    <t>Акт входного контроля грин01338 от 05.10.2025 16:01:15</t>
  </si>
  <si>
    <t>Акт входного контроля грин01340 от 05.10.2025 16:45:18</t>
  </si>
  <si>
    <t>Акт входного контроля грин01341 от 05.10.2025 18:44:48</t>
  </si>
  <si>
    <t>Акт входного контроля грин01342 от 05.10.2025 18:51:35</t>
  </si>
  <si>
    <t>Акт входного контроля грин01343 от 05.10.2025 19:24:10</t>
  </si>
  <si>
    <t>Акт входного контроля грин01344 от 05.10.2025 20:11:46</t>
  </si>
  <si>
    <t>Акт входного контроля грин01345 от 05.10.2025 20:16:43</t>
  </si>
  <si>
    <t>Акт входного контроля грин01348 от 05.10.2025 22:04:06</t>
  </si>
  <si>
    <t>Акт входного контроля грин01347 от 05.10.2025 23:24:29</t>
  </si>
  <si>
    <t>Акт входного контроля грин01346 от 06.10.2025 11:36:57</t>
  </si>
  <si>
    <t>Акт входного контроля грин01349 от 06.10.2025 13:27:02</t>
  </si>
  <si>
    <t>Акт входного контроля грин01350 от 06.10.2025 14:30:46</t>
  </si>
  <si>
    <t>Акт входного контроля грин01351 от 06.10.2025 14:51:55</t>
  </si>
  <si>
    <t>Акт входного контроля грин01352 от 06.10.2025 15:57:16</t>
  </si>
  <si>
    <t>Акт входного контроля грин01353 от 06.10.2025 18:10:13</t>
  </si>
  <si>
    <t>Акт входного контроля грин01354 от 06.10.2025 18:13:30</t>
  </si>
  <si>
    <t>Акт входного контроля грин01355 от 06.10.2025 19:14:05</t>
  </si>
  <si>
    <t>Акт входного контроля грин01356 от 06.10.2025 20:29:30</t>
  </si>
  <si>
    <t>Акт входного контроля грин01357 от 06.10.2025 21:15:07</t>
  </si>
  <si>
    <t>Акт входного контроля грин01360 от 06.10.2025 17:25:25</t>
  </si>
  <si>
    <t>Акт входного контроля грин01361 от 06.10.2025 18:27:31</t>
  </si>
  <si>
    <t>Акт входного контроля грин01362 от 06.10.2025 19:43:47</t>
  </si>
  <si>
    <t>Акт входного контроля грин01358 от 06.10.2025 22:39:23</t>
  </si>
  <si>
    <t>Акт входного контроля грин01363 от 06.10.2025 23:09:37</t>
  </si>
  <si>
    <t>Акт входного контроля грин01364 от 06.10.2025 23:13:08</t>
  </si>
  <si>
    <t>Акт входного контроля грин01359 от 06.10.2025 23:46:15</t>
  </si>
  <si>
    <t>Акт входного контроля грин01365 от 07.10.2025 4:16:14</t>
  </si>
  <si>
    <t>Акт входного контроля грин01366 от 07.10.2025 5:08:23</t>
  </si>
  <si>
    <t>Акт входного контроля грин01367 от 07.10.2025 6:41:28</t>
  </si>
  <si>
    <t>Акт входного контроля грин01368 от 07.10.2025 6:52:30</t>
  </si>
  <si>
    <t>грин01336</t>
  </si>
  <si>
    <t>грин01337</t>
  </si>
  <si>
    <t>грин01338</t>
  </si>
  <si>
    <t>грин01340</t>
  </si>
  <si>
    <t>грин01341</t>
  </si>
  <si>
    <t>грин01342</t>
  </si>
  <si>
    <t>грин01343</t>
  </si>
  <si>
    <t>грин01344</t>
  </si>
  <si>
    <t>грин01345</t>
  </si>
  <si>
    <t>грин01348</t>
  </si>
  <si>
    <t>грин01347</t>
  </si>
  <si>
    <t>грин01346</t>
  </si>
  <si>
    <t>грин01349</t>
  </si>
  <si>
    <t>грин01350</t>
  </si>
  <si>
    <t>грин01351</t>
  </si>
  <si>
    <t>грин01352</t>
  </si>
  <si>
    <t>грин01353</t>
  </si>
  <si>
    <t>грин01354</t>
  </si>
  <si>
    <t>грин01355</t>
  </si>
  <si>
    <t>грин01356</t>
  </si>
  <si>
    <t>грин01357</t>
  </si>
  <si>
    <t>грин01360</t>
  </si>
  <si>
    <t>грин01361</t>
  </si>
  <si>
    <t>грин01362</t>
  </si>
  <si>
    <t>грин01358</t>
  </si>
  <si>
    <t>грин01363</t>
  </si>
  <si>
    <t>грин01364</t>
  </si>
  <si>
    <t>грин01359</t>
  </si>
  <si>
    <t>грин01365</t>
  </si>
  <si>
    <t>грин01366</t>
  </si>
  <si>
    <t>грин01367</t>
  </si>
  <si>
    <t>грин01368</t>
  </si>
  <si>
    <t>Акт входного контроля грин01369 от 07.10.2025 9:29:45</t>
  </si>
  <si>
    <t>грин01369</t>
  </si>
  <si>
    <t>Акт входного контроля грин01370 от 07.10.2025 9:52:54</t>
  </si>
  <si>
    <t>грин01370</t>
  </si>
  <si>
    <t>Акт входного контроля грин01371 от 07.10.2025 14:35:19</t>
  </si>
  <si>
    <t>Акт входного контроля грин01372 от 07.10.2025 14:45:19</t>
  </si>
  <si>
    <t>Акт входного контроля грин01373 от 07.10.2025 15:33:10</t>
  </si>
  <si>
    <t>Акт входного контроля грин01374 от 07.10.2025 17:50:09</t>
  </si>
  <si>
    <t>Акт входного контроля грин01375 от 07.10.2025 17:55:49</t>
  </si>
  <si>
    <t>Акт входного контроля грин01376 от 07.10.2025 18:29:24</t>
  </si>
  <si>
    <t>Акт входного контроля грин01377 от 07.10.2025 19:26:08</t>
  </si>
  <si>
    <t>Акт входного контроля грин01381 от 07.10.2025 19:37:43</t>
  </si>
  <si>
    <t>Акт входного контроля грин01382 от 07.10.2025 19:44:53</t>
  </si>
  <si>
    <t>Акт входного контроля грин01383 от 07.10.2025 20:30:53</t>
  </si>
  <si>
    <t>Акт входного контроля грин01378 от 07.10.2025 21:16:58</t>
  </si>
  <si>
    <t>Акт входного контроля грин01379 от 07.10.2025 21:20:37</t>
  </si>
  <si>
    <t>Акт входного контроля грин01380 от 07.10.2025 21:31:07</t>
  </si>
  <si>
    <t>Акт входного контроля грин01384 от 07.10.2025 22:37:49</t>
  </si>
  <si>
    <t>Акт входного контроля грин01385 от 07.10.2025 23:36:27</t>
  </si>
  <si>
    <t>Акт входного контроля грин01386 от 08.10.2025 3:22:19</t>
  </si>
  <si>
    <t>Акт входного контроля грин01387 от 08.10.2025 4:11:08</t>
  </si>
  <si>
    <t>Акт входного контроля грин01388 от 08.10.2025 7:36:28</t>
  </si>
  <si>
    <t>грин01371</t>
  </si>
  <si>
    <t>грин01372</t>
  </si>
  <si>
    <t>грин01373</t>
  </si>
  <si>
    <t>грин01374</t>
  </si>
  <si>
    <t>грин01375</t>
  </si>
  <si>
    <t>грин01376</t>
  </si>
  <si>
    <t>грин01377</t>
  </si>
  <si>
    <t>грин01381</t>
  </si>
  <si>
    <t>грин01382</t>
  </si>
  <si>
    <t>грин01383</t>
  </si>
  <si>
    <t>грин01378</t>
  </si>
  <si>
    <t>грин01379</t>
  </si>
  <si>
    <t>грин01380</t>
  </si>
  <si>
    <t>грин01384</t>
  </si>
  <si>
    <t>грин01385</t>
  </si>
  <si>
    <t>грин01386</t>
  </si>
  <si>
    <t>грин01387</t>
  </si>
  <si>
    <t>грин01388</t>
  </si>
  <si>
    <t xml:space="preserve">                                                                                                           </t>
  </si>
  <si>
    <t>Акт входного контроля грин01389 от 08.10.2025 9:59:03</t>
  </si>
  <si>
    <t>грин01389</t>
  </si>
  <si>
    <t>Акт входного контроля грин01391 от 08.10.2025 10:58:04</t>
  </si>
  <si>
    <t>грин01391</t>
  </si>
  <si>
    <t>Акт входного контроля грин01392 от 08.10.2025 11:51:19</t>
  </si>
  <si>
    <t>грин01392</t>
  </si>
  <si>
    <t>Акт входного контроля грин01393 от 08.10.2025 12:47:02</t>
  </si>
  <si>
    <t>грин01393</t>
  </si>
  <si>
    <t>Акт входного контроля грин01390 от 08.10.2025 10:27:38</t>
  </si>
  <si>
    <t>грин01390</t>
  </si>
  <si>
    <t>Акт входного контроля грин01394 от 08.10.2025 14:40:29</t>
  </si>
  <si>
    <t>Акт входного контроля грин01395 от 08.10.2025 15:29:42</t>
  </si>
  <si>
    <t>Акт входного контроля грин01396 от 08.10.2025 16:00:59</t>
  </si>
  <si>
    <t>Акт входного контроля грин01414 от 08.10.2025 16:32:49</t>
  </si>
  <si>
    <t>Акт входного контроля грин01405 от 08.10.2025 17:05:44</t>
  </si>
  <si>
    <t>Акт входного контроля грин01415 от 08.10.2025 17:28:26</t>
  </si>
  <si>
    <t>Акт входного контроля грин01416 от 08.10.2025 18:16:13</t>
  </si>
  <si>
    <t>Акт входного контроля грин01410 от 08.10.2025 19:14:07</t>
  </si>
  <si>
    <t>Акт входного контроля грин01417 от 08.10.2025 19:23:07</t>
  </si>
  <si>
    <t>Акт входного контроля грин01418 от 08.10.2025 19:29:37</t>
  </si>
  <si>
    <t>Акт входного контроля грин01411 от 08.10.2025 19:42:20</t>
  </si>
  <si>
    <t>Акт входного контроля грин01419 от 08.10.2025 19:47:42</t>
  </si>
  <si>
    <t>Акт входного контроля грин01412 от 08.10.2025 20:27:33</t>
  </si>
  <si>
    <t>Акт входного контроля грин01420 от 08.10.2025 21:19:21</t>
  </si>
  <si>
    <t>8(б)</t>
  </si>
  <si>
    <t>Акт входного контроля грин01413 от 08.10.2025 21:43:58</t>
  </si>
  <si>
    <t>Акт входного контроля грин01421 от 08.10.2025 22:36:34</t>
  </si>
  <si>
    <t>Акт входного контроля грин01422 от 08.10.2025 22:48:35</t>
  </si>
  <si>
    <t>Акт входного контроля грин01423 от 08.10.2025 22:53:19</t>
  </si>
  <si>
    <t>Акт входного контроля грин01424 от 08.10.2025 22:56:17</t>
  </si>
  <si>
    <t>Акт входного контроля грин01425 от 08.10.2025 22:59:03</t>
  </si>
  <si>
    <t>Акт входного контроля грин01434 от 09.10.2025 9:10:33</t>
  </si>
  <si>
    <t>Акт входного контроля грин01435 от 09.10.2025 9:56:01</t>
  </si>
  <si>
    <t>грин01394</t>
  </si>
  <si>
    <t>грин01395</t>
  </si>
  <si>
    <t>грин01396</t>
  </si>
  <si>
    <t>грин01414</t>
  </si>
  <si>
    <t>грин01405</t>
  </si>
  <si>
    <t>грин01415</t>
  </si>
  <si>
    <t>грин01416</t>
  </si>
  <si>
    <t>грин01410</t>
  </si>
  <si>
    <t>грин01417</t>
  </si>
  <si>
    <t>грин01418</t>
  </si>
  <si>
    <t>грин01411</t>
  </si>
  <si>
    <t>грин01419</t>
  </si>
  <si>
    <t>грин01412</t>
  </si>
  <si>
    <t>грин01420</t>
  </si>
  <si>
    <t>грин01413</t>
  </si>
  <si>
    <t>грин01421</t>
  </si>
  <si>
    <t>грин01422</t>
  </si>
  <si>
    <t>грин01423</t>
  </si>
  <si>
    <t>грин01424</t>
  </si>
  <si>
    <t>грин01425</t>
  </si>
  <si>
    <t>грин01434</t>
  </si>
  <si>
    <t>грин01435</t>
  </si>
  <si>
    <t>Акт входного контроля грин01440 от 09.10.2025 11:03:32</t>
  </si>
  <si>
    <t>Акт входного контроля грин01441 от 09.10.2025 11:38:03</t>
  </si>
  <si>
    <t>грин01440</t>
  </si>
  <si>
    <t>грин01441</t>
  </si>
  <si>
    <t>Закупка Братковский</t>
  </si>
  <si>
    <t>Гуднесс Фудс Ипатовский</t>
  </si>
  <si>
    <t>Гуднесс Фудс Гофицкое</t>
  </si>
  <si>
    <t>Кукуруза сахарная 2025 (группа)</t>
  </si>
  <si>
    <t>Акт входного контроля грин01442 от 09.10.2025 13:12:04</t>
  </si>
  <si>
    <t>грин01442</t>
  </si>
  <si>
    <t>Акт входного контроля грин01443 от 09.10.2025 14:10:19</t>
  </si>
  <si>
    <t>грин01443</t>
  </si>
  <si>
    <t>Акт входного контроля грин01444 от 09.10.2025 14:55:20</t>
  </si>
  <si>
    <t>грин01444</t>
  </si>
  <si>
    <t>Акт входного контроля грин01445 от 09.10.2025 16:10:16</t>
  </si>
  <si>
    <t>грин01445</t>
  </si>
  <si>
    <t>Акт входного контроля грин01446 от 09.10.2025 16:37:14</t>
  </si>
  <si>
    <t>грин01446</t>
  </si>
  <si>
    <t>Акт входного контроля грин01447 от 09.10.2025 17:32:21</t>
  </si>
  <si>
    <t>грин01447</t>
  </si>
  <si>
    <t>Акт входного контроля грин01448 от 09.10.2025 18:17:25</t>
  </si>
  <si>
    <t>грин01448</t>
  </si>
  <si>
    <t>Акт входного контроля грин01449 от 09.10.2025 21:40:32</t>
  </si>
  <si>
    <t>грин01449</t>
  </si>
  <si>
    <t>Акт входного контроля грин01450 от 09.10.2025 21:49:49</t>
  </si>
  <si>
    <t>грин01450</t>
  </si>
  <si>
    <t>Акт входного контроля грин01451 от 09.10.2025 22:57:47</t>
  </si>
  <si>
    <t>грин01451</t>
  </si>
  <si>
    <t>Акт входного контроля грин01452 от 09.10.2025 23:05:56</t>
  </si>
  <si>
    <t>грин01452</t>
  </si>
  <si>
    <t>Акт входного контроля грин01453 от 09.10.2025 23:21:19</t>
  </si>
  <si>
    <t>грин01453</t>
  </si>
  <si>
    <t>Акт входного контроля грин01454 от 09.10.2025 23:33:07</t>
  </si>
  <si>
    <t>грин01454</t>
  </si>
  <si>
    <t>Акт входного контроля грин01455 от 10.10.2025 3:52:14</t>
  </si>
  <si>
    <t>грин01455</t>
  </si>
  <si>
    <t>Акт входного контроля грин01456 от 10.10.2025 4:31:15</t>
  </si>
  <si>
    <t>грин01456</t>
  </si>
  <si>
    <t>Акт входного контроля грин01457 от 10.10.2025 5:27:49</t>
  </si>
  <si>
    <t>грин01457</t>
  </si>
  <si>
    <t>Акт входного контроля грин01458 от 10.10.2025 7:32:29</t>
  </si>
  <si>
    <t>грин01458</t>
  </si>
  <si>
    <t>Акт входного контроля грин01459 от 10.10.2025 9:05:22</t>
  </si>
  <si>
    <t>грин01459</t>
  </si>
  <si>
    <t xml:space="preserve"> 10.10.2025</t>
  </si>
  <si>
    <t>Акт входного контроля грин01460 от 10.10.2025 10:16:49</t>
  </si>
  <si>
    <t>грин01460</t>
  </si>
  <si>
    <t>Акт входного контроля грин01461 от 10.10.2025 11:00:57</t>
  </si>
  <si>
    <t>грин01461</t>
  </si>
  <si>
    <t>Акт входного контроля грин01462 от 10.10.2025 11:42:01</t>
  </si>
  <si>
    <t>грин01462</t>
  </si>
  <si>
    <t>Акт входного контроля грин01463 от 10.10.2025 13:37:36</t>
  </si>
  <si>
    <t>Акт входного контроля грин01464 от 10.10.2025 13:45:45</t>
  </si>
  <si>
    <t>Акт входного контроля грин01465 от 10.10.2025 14:58:57</t>
  </si>
  <si>
    <t>Акт входного контроля грин01466 от 10.10.2025 15:10:26</t>
  </si>
  <si>
    <t>Акт входного контроля грин01467 от 10.10.2025 16:52:07</t>
  </si>
  <si>
    <t>Акт входного контроля грин01468 от 10.10.2025 17:48:37</t>
  </si>
  <si>
    <t>Акт входного контроля грин01469 от 10.10.2025 19:46:13</t>
  </si>
  <si>
    <t>Акт входного контроля грин01470 от 10.10.2025 19:54:05</t>
  </si>
  <si>
    <t>Акт входного контроля грин01471 от 10.10.2025 20:35:52</t>
  </si>
  <si>
    <t>Акт входного контроля грин01472 от 10.10.2025 22:17:12</t>
  </si>
  <si>
    <t>Акт входного контроля грин01473 от 10.10.2025 23:06:45</t>
  </si>
  <si>
    <t>Акт входного контроля грин01474 от 10.10.2025 23:35:47</t>
  </si>
  <si>
    <t>Акт входного контроля грин01475 от 11.10.2025 2:32:39</t>
  </si>
  <si>
    <t>Акт входного контроля грин01476 от 11.10.2025 3:03:45</t>
  </si>
  <si>
    <t>Акт входного контроля грин01477 от 11.10.2025 4:10:57</t>
  </si>
  <si>
    <t>Акт входного контроля грин01478 от 11.10.2025 10:23:13</t>
  </si>
  <si>
    <t>Акт входного контроля грин01479 от 11.10.2025 10:52:36</t>
  </si>
  <si>
    <t>Акт входного контроля грин01480 от 11.10.2025 11:13:41</t>
  </si>
  <si>
    <t>Акт входного контроля грин01481 от 11.10.2025 13:30:48</t>
  </si>
  <si>
    <t>Акт входного контроля грин01482 от 11.10.2025 13:40:43</t>
  </si>
  <si>
    <t>Акт входного контроля грин01483 от 11.10.2025 14:40:21</t>
  </si>
  <si>
    <t>Акт входного контроля грин01484 от 11.10.2025 15:55:32</t>
  </si>
  <si>
    <t>Акт входного контроля грин01485 от 11.10.2025 16:26:24</t>
  </si>
  <si>
    <t>Акт входного контроля грин01491 от 11.10.2025 19:39:18</t>
  </si>
  <si>
    <t>Акт входного контроля грин01492 от 11.10.2025 20:36:39</t>
  </si>
  <si>
    <t>Акт входного контроля грин01499 от 11.10.2025 20:59:18</t>
  </si>
  <si>
    <t>Акт входного контроля грин01486 от 11.10.2025 21:27:56</t>
  </si>
  <si>
    <t>Акт входного контроля грин01487 от 11.10.2025 21:38:43</t>
  </si>
  <si>
    <t>Акт входного контроля грин01494 от 11.10.2025 21:49:08</t>
  </si>
  <si>
    <t>Акт входного контроля грин01495 от 11.10.2025 22:00:56</t>
  </si>
  <si>
    <t>Акт входного контроля грин01488 от 11.10.2025 22:13:51</t>
  </si>
  <si>
    <t>Акт входного контроля грин01489 от 11.10.2025 22:36:09</t>
  </si>
  <si>
    <t>Акт входного контроля грин01490 от 11.10.2025 23:08:43</t>
  </si>
  <si>
    <t>Акт входного контроля грин01496 от 11.10.2025 23:54:42</t>
  </si>
  <si>
    <t>Акт входного контроля грин01493 от 12.10.2025 1:42:37</t>
  </si>
  <si>
    <t>Акт входного контроля грин01497 от 12.10.2025 5:05:23</t>
  </si>
  <si>
    <t>Акт входного контроля грин01498 от 12.10.2025 7:39:05</t>
  </si>
  <si>
    <t>Кулик О В</t>
  </si>
  <si>
    <t>К403ЕМ</t>
  </si>
  <si>
    <t>Акт входного контроля грин01500 от 12.10.2025 8:46:00</t>
  </si>
  <si>
    <t>Акт входного контроля грин01501 от 12.10.2025 10:03:40</t>
  </si>
  <si>
    <t>Акт входного контроля грин01502 от 12.10.2025 10:47:32</t>
  </si>
  <si>
    <t>Акт входного контроля грин01503 от 12.10.2025 11:29:42</t>
  </si>
  <si>
    <t>Акт входного контроля грин01504 от 12.10.2025 12:11:34</t>
  </si>
  <si>
    <t>Акт входного контроля грин01505 от 12.10.2025 13:17:48</t>
  </si>
  <si>
    <t>Акт входного контроля грин01506 от 12.10.2025 13:54:43</t>
  </si>
  <si>
    <t>Акт входного контроля грин01507 от 12.10.2025 15:23:07</t>
  </si>
  <si>
    <t>Акт входного контроля грин01511 от 12.10.2025 15:28:35</t>
  </si>
  <si>
    <t>Акт входного контроля грин01508 от 12.10.2025 15:53:44</t>
  </si>
  <si>
    <t>Акт входного контроля грин01509 от 12.10.2025 16:49:11</t>
  </si>
  <si>
    <t>Акт входного контроля грин01510 от 12.10.2025 17:30:00</t>
  </si>
  <si>
    <t>Акт входного контроля грин01516 от 12.10.2025 20:37:59</t>
  </si>
  <si>
    <t>Акт входного контроля грин01517 от 12.10.2025 21:21:31</t>
  </si>
  <si>
    <t>Акт входного контроля грин01512 от 12.10.2025 21:50:15</t>
  </si>
  <si>
    <t>Акт входного контроля грин01513 от 12.10.2025 22:02:04</t>
  </si>
  <si>
    <t>Акт входного контроля грин01518 от 12.10.2025 22:20:30</t>
  </si>
  <si>
    <t>Акт входного контроля грин01514 от 12.10.2025 22:54:00</t>
  </si>
  <si>
    <t>Акт входного контроля грин01515 от 12.10.2025 23:27:20</t>
  </si>
  <si>
    <t>Акт входного контроля грин01519 от 13.10.2025 4:53:07</t>
  </si>
  <si>
    <t>Акт входного контроля грин01520 от 13.10.2025 6:12:47</t>
  </si>
  <si>
    <t>Акт входного контроля грин01521 от 13.10.2025 8:00:42</t>
  </si>
  <si>
    <t>грин01463</t>
  </si>
  <si>
    <t>грин01464</t>
  </si>
  <si>
    <t>грин01465</t>
  </si>
  <si>
    <t>грин01466</t>
  </si>
  <si>
    <t>грин01467</t>
  </si>
  <si>
    <t>грин01468</t>
  </si>
  <si>
    <t>грин01469</t>
  </si>
  <si>
    <t>грин01470</t>
  </si>
  <si>
    <t>грин01471</t>
  </si>
  <si>
    <t>грин01472</t>
  </si>
  <si>
    <t>грин01473</t>
  </si>
  <si>
    <t>грин01474</t>
  </si>
  <si>
    <t>грин01475</t>
  </si>
  <si>
    <t>грин01476</t>
  </si>
  <si>
    <t>грин01477</t>
  </si>
  <si>
    <t>грин01478</t>
  </si>
  <si>
    <t>грин01479</t>
  </si>
  <si>
    <t>грин01480</t>
  </si>
  <si>
    <t>грин01481</t>
  </si>
  <si>
    <t>грин01482</t>
  </si>
  <si>
    <t>грин01483</t>
  </si>
  <si>
    <t>грин01484</t>
  </si>
  <si>
    <t>грин01485</t>
  </si>
  <si>
    <t>грин01491</t>
  </si>
  <si>
    <t>грин01492</t>
  </si>
  <si>
    <t>грин01499</t>
  </si>
  <si>
    <t>грин01486</t>
  </si>
  <si>
    <t>грин01487</t>
  </si>
  <si>
    <t>грин01494</t>
  </si>
  <si>
    <t>грин01495</t>
  </si>
  <si>
    <t>грин01488</t>
  </si>
  <si>
    <t>грин01489</t>
  </si>
  <si>
    <t>грин01490</t>
  </si>
  <si>
    <t>грин01496</t>
  </si>
  <si>
    <t>грин01493</t>
  </si>
  <si>
    <t>грин01497</t>
  </si>
  <si>
    <t>грин01498</t>
  </si>
  <si>
    <t>грин01500</t>
  </si>
  <si>
    <t>грин01501</t>
  </si>
  <si>
    <t>грин01502</t>
  </si>
  <si>
    <t>грин01503</t>
  </si>
  <si>
    <t>грин01504</t>
  </si>
  <si>
    <t>грин01505</t>
  </si>
  <si>
    <t>грин01506</t>
  </si>
  <si>
    <t>грин01507</t>
  </si>
  <si>
    <t>грин01511</t>
  </si>
  <si>
    <t>грин01508</t>
  </si>
  <si>
    <t>грин01509</t>
  </si>
  <si>
    <t>грин01510</t>
  </si>
  <si>
    <t>грин01516</t>
  </si>
  <si>
    <t>грин01517</t>
  </si>
  <si>
    <t>грин01512</t>
  </si>
  <si>
    <t>грин01513</t>
  </si>
  <si>
    <t>грин01518</t>
  </si>
  <si>
    <t>грин01514</t>
  </si>
  <si>
    <t>грин01515</t>
  </si>
  <si>
    <t>грин01519</t>
  </si>
  <si>
    <t>грин01520</t>
  </si>
  <si>
    <t>грин01521</t>
  </si>
  <si>
    <t>10.10-12.10.2025</t>
  </si>
  <si>
    <t>05.10-10.10.2025</t>
  </si>
  <si>
    <t>Акт входного контроля грин01522 от 13.10.2025 22:09:35</t>
  </si>
  <si>
    <t>грин01522</t>
  </si>
  <si>
    <t>Акт входного контроля грин01523 от 13.10.2025 14:18:30</t>
  </si>
  <si>
    <t>КОЛОС ООО</t>
  </si>
  <si>
    <t>Кукуруза сахарная 2025 Колос ООО</t>
  </si>
  <si>
    <t>Акт входного контроля грин01524 от 13.10.2025 17:21:50</t>
  </si>
  <si>
    <t>Акт входного контроля грин01525 от 13.10.2025 19:19:16</t>
  </si>
  <si>
    <t>грин01523</t>
  </si>
  <si>
    <t>грин01524</t>
  </si>
  <si>
    <t>грин01525</t>
  </si>
  <si>
    <t xml:space="preserve"> </t>
  </si>
  <si>
    <t>Акт входного контроля грин01526 от 15.10.2025 22:54:22</t>
  </si>
  <si>
    <t>Акт входного контроля грин01527 от 15.10.2025 22:57:08</t>
  </si>
  <si>
    <t>Акт входного контроля грин01528 от 15.10.2025 23:18:58</t>
  </si>
  <si>
    <t>Акт входного контроля грин01529 от 15.10.2025 23:24:17</t>
  </si>
  <si>
    <t>Акт входного контроля грин01530 от 16.10.2025 6:19:50</t>
  </si>
  <si>
    <t>Акт входного контроля грин01531 от 16.10.2025 6:22:45</t>
  </si>
  <si>
    <t>Акт входного контроля грин01532 от 16.10.2025 6:26:22</t>
  </si>
  <si>
    <t>Акт входного контроля грин01533 от 16.10.2025 7:39:38</t>
  </si>
  <si>
    <t>грин01526</t>
  </si>
  <si>
    <t>грин01527</t>
  </si>
  <si>
    <t>грин01528</t>
  </si>
  <si>
    <t>грин01529</t>
  </si>
  <si>
    <t>грин01530</t>
  </si>
  <si>
    <t>грин01531</t>
  </si>
  <si>
    <t>грин01532</t>
  </si>
  <si>
    <t>грин01533</t>
  </si>
  <si>
    <t>Акт входного контроля грин01534 от 16.10.2025 10:09:01</t>
  </si>
  <si>
    <t>грин01534</t>
  </si>
  <si>
    <t xml:space="preserve"> 16.10.2025</t>
  </si>
  <si>
    <t>Акт входного контроля грин01536 от 16.10.2025 6:28:16</t>
  </si>
  <si>
    <t>Акт входного контроля грин01535 от 16.10.2025 10:23:55</t>
  </si>
  <si>
    <t xml:space="preserve">грин01536 </t>
  </si>
  <si>
    <t xml:space="preserve"> 16.10.2026</t>
  </si>
  <si>
    <t xml:space="preserve"> 16.10.2027</t>
  </si>
  <si>
    <t xml:space="preserve">грин01535 </t>
  </si>
  <si>
    <t>Акт входного контроля грин01537 от 16.10.2025 12:09:47</t>
  </si>
  <si>
    <t>грин01537</t>
  </si>
  <si>
    <t xml:space="preserve"> 16.10.2028</t>
  </si>
  <si>
    <t>в1</t>
  </si>
  <si>
    <t>Акт входного контроля грин01538 от 16.10.2025 14:19:30</t>
  </si>
  <si>
    <t>Акт входного контроля грин01539 от 16.10.2025 16:34:55</t>
  </si>
  <si>
    <t>Акт входного контроля грин01540 от 16.10.2025 16:40:20</t>
  </si>
  <si>
    <t>Акт входного контроля грин01541 от 16.10.2025 16:55:06</t>
  </si>
  <si>
    <t>Акт входного контроля грин01542 от 16.10.2025 17:16:12</t>
  </si>
  <si>
    <t>Акт входного контроля грин01546 от 16.10.2025 19:03:04</t>
  </si>
  <si>
    <t>Акт входного контроля грин01543 от 16.10.2025 19:19:59</t>
  </si>
  <si>
    <t>Акт входного контроля грин01547 от 16.10.2025 19:46:30</t>
  </si>
  <si>
    <t>Акт входного контроля грин01548 от 16.10.2025 21:11:18</t>
  </si>
  <si>
    <t>Акт входного контроля грин01549 от 16.10.2025 21:21:28</t>
  </si>
  <si>
    <t>Акт входного контроля грин01544 от 16.10.2025 21:43:34</t>
  </si>
  <si>
    <t>Акт входного контроля грин01550 от 16.10.2025 22:40:19</t>
  </si>
  <si>
    <t>Акт входного контроля грин01545 от 16.10.2025 23:35:30</t>
  </si>
  <si>
    <t>грин01538</t>
  </si>
  <si>
    <t>грин01539</t>
  </si>
  <si>
    <t>грин01540</t>
  </si>
  <si>
    <t>грин01541</t>
  </si>
  <si>
    <t>грин01542</t>
  </si>
  <si>
    <t>грин01546</t>
  </si>
  <si>
    <t>грин01543</t>
  </si>
  <si>
    <t>грин01547</t>
  </si>
  <si>
    <t>грин01548</t>
  </si>
  <si>
    <t>грин01549</t>
  </si>
  <si>
    <t>грин01544</t>
  </si>
  <si>
    <t>грин01550</t>
  </si>
  <si>
    <t>грин01545</t>
  </si>
  <si>
    <t>Акт входного контроля грин01552 от 16.10.2025 23:45:42</t>
  </si>
  <si>
    <t>Акт входного контроля грин01553 от 17.10.2025 10:57:20</t>
  </si>
  <si>
    <t>Акт входного контроля грин01551 от 16.10.2025 22:58:09</t>
  </si>
  <si>
    <t>Акт входного контроля грин01554 от 17.10.2025 12:04:55</t>
  </si>
  <si>
    <t>грин01552</t>
  </si>
  <si>
    <t>грин01553</t>
  </si>
  <si>
    <t>грин01551</t>
  </si>
  <si>
    <t>грин01554</t>
  </si>
  <si>
    <t>Акт входного контроля грин01555 от 17.10.2025 13:46:22</t>
  </si>
  <si>
    <t>грин01555</t>
  </si>
  <si>
    <t>Акт входного контроля грин01557 от 17.10.2025 16:11:42</t>
  </si>
  <si>
    <t>Акт входного контроля грин01558 от 17.10.2025 17:27:31</t>
  </si>
  <si>
    <t>Акт входного контроля грин01559 от 17.10.2025 18:36:39</t>
  </si>
  <si>
    <t>Акт входного контроля грин01560 от 17.10.2025 22:40:27</t>
  </si>
  <si>
    <t>Акт входного контроля грин01561 от 17.10.2025 22:43:05</t>
  </si>
  <si>
    <t>Акт входного контроля грин01562 от 17.10.2025 22:45:10</t>
  </si>
  <si>
    <t>Акт входного контроля грин01563 от 17.10.2025 23:11:48</t>
  </si>
  <si>
    <t>Акт входного контроля грин01564 от 17.10.2025 20:04:02</t>
  </si>
  <si>
    <t>Акт входного контроля грин01565 от 17.10.2025 20:54:22</t>
  </si>
  <si>
    <t>Акт входного контроля грин01566 от 17.10.2025 21:13:41</t>
  </si>
  <si>
    <t>Акт входного контроля грин01567 от 17.10.2025 21:48:12</t>
  </si>
  <si>
    <t>Акт входного контроля грин01568 от 17.10.2025 22:47:50</t>
  </si>
  <si>
    <t>Акт входного контроля грин01569 от 18.10.2025 7:20:07</t>
  </si>
  <si>
    <t>Акт входного контроля грин01570 от 18.10.2025 7:22:28</t>
  </si>
  <si>
    <t>Акт входного контроля грин01571 от 18.10.2025 8:22:05</t>
  </si>
  <si>
    <t>Акт входного контроля грин01572 от 18.10.2025 10:07:17</t>
  </si>
  <si>
    <t>Акт входного контроля грин01573 от 18.10.2025 11:52:50</t>
  </si>
  <si>
    <t>Акт входного контроля грин01574 от 18.10.2025 14:01:57</t>
  </si>
  <si>
    <t>Акт входного контроля грин01575 от 18.10.2025 17:17:11</t>
  </si>
  <si>
    <t>Акт входного контроля грин01576 от 18.10.2025 17:30:04</t>
  </si>
  <si>
    <t>Акт входного контроля грин01577 от 18.10.2025 20:15:08</t>
  </si>
  <si>
    <t>Акт входного контроля грин01578 от 18.10.2025 21:13:23</t>
  </si>
  <si>
    <t>Акт входного контроля грин01579 от 18.10.2025 23:32:45</t>
  </si>
  <si>
    <t>Акт входного контроля грин01580 от 18.10.2025 23:38:53</t>
  </si>
  <si>
    <t>Акт входного контроля грин01581 от 18.10.2025 16:43:52</t>
  </si>
  <si>
    <t>Акт входного контроля грин01582 от 18.10.2025 18:33:44</t>
  </si>
  <si>
    <t>Акт входного контроля грин01583 от 18.10.2025 19:12:16</t>
  </si>
  <si>
    <t>Акт входного контроля грин01584 от 18.10.2025 19:37:08</t>
  </si>
  <si>
    <t>Акт входного контроля грин01591 от 18.10.2025 19:45:47</t>
  </si>
  <si>
    <t>Акт входного контроля грин01585 от 18.10.2025 21:27:12</t>
  </si>
  <si>
    <t>Акт входного контроля грин01589 от 18.10.2025 21:49:58</t>
  </si>
  <si>
    <t>Акт входного контроля грин01593 от 18.10.2025 23:19:04</t>
  </si>
  <si>
    <t>Акт входного контроля грин01586 от 18.10.2025 23:57:37</t>
  </si>
  <si>
    <t>Акт входного контроля грин01587 от 19.10.2025 10:52:28</t>
  </si>
  <si>
    <t>Акт входного контроля грин01588 от 19.10.2025 11:00:50</t>
  </si>
  <si>
    <t>Акт входного контроля грин01592 от 19.10.2025 13:52:44</t>
  </si>
  <si>
    <t>Акт входного контроля грин01590 от 19.10.2025 11:18:31</t>
  </si>
  <si>
    <t>Акт входного контроля грин01594 от 19.10.2025 3:31:52</t>
  </si>
  <si>
    <t>Акт входного контроля грин01595 от 19.10.2025 15:53:39</t>
  </si>
  <si>
    <t>Акт входного контроля грин01596 от 19.10.2025 4:36:10</t>
  </si>
  <si>
    <t>Акт входного контроля грин01597 от 19.10.2025 17:09:52</t>
  </si>
  <si>
    <t>Акт входного контроля грин01598 от 19.10.2025 19:27:24</t>
  </si>
  <si>
    <t>Акт входного контроля грин01599 от 19.10.2025 20:45:47</t>
  </si>
  <si>
    <t>Акт входного контроля грин01600 от 19.10.2025 20:48:04</t>
  </si>
  <si>
    <t>Акт входного контроля грин01556 от 17.10.2025 15:20:56</t>
  </si>
  <si>
    <t>грин01556</t>
  </si>
  <si>
    <t>грин01557</t>
  </si>
  <si>
    <t>грин01558</t>
  </si>
  <si>
    <t>грин01559</t>
  </si>
  <si>
    <t>грин01560</t>
  </si>
  <si>
    <t>грин01561</t>
  </si>
  <si>
    <t>грин01562</t>
  </si>
  <si>
    <t>грин01563</t>
  </si>
  <si>
    <t>грин01564</t>
  </si>
  <si>
    <t>грин01565</t>
  </si>
  <si>
    <t>грин01566</t>
  </si>
  <si>
    <t>грин01567</t>
  </si>
  <si>
    <t>грин01568</t>
  </si>
  <si>
    <t>грин01569</t>
  </si>
  <si>
    <t>грин01570</t>
  </si>
  <si>
    <t>грин01571</t>
  </si>
  <si>
    <t>грин01572</t>
  </si>
  <si>
    <t>грин01573</t>
  </si>
  <si>
    <t>грин01574</t>
  </si>
  <si>
    <t>грин01575</t>
  </si>
  <si>
    <t>грин01576</t>
  </si>
  <si>
    <t>грин01577</t>
  </si>
  <si>
    <t>грин01578</t>
  </si>
  <si>
    <t>грин01579</t>
  </si>
  <si>
    <t>грин01580</t>
  </si>
  <si>
    <t>грин01581</t>
  </si>
  <si>
    <t>грин01582</t>
  </si>
  <si>
    <t>грин01583</t>
  </si>
  <si>
    <t>грин01584</t>
  </si>
  <si>
    <t>грин01591</t>
  </si>
  <si>
    <t>грин01585</t>
  </si>
  <si>
    <t>грин01589</t>
  </si>
  <si>
    <t>грин01593</t>
  </si>
  <si>
    <t>грин01586</t>
  </si>
  <si>
    <t>грин01587</t>
  </si>
  <si>
    <t>грин01588</t>
  </si>
  <si>
    <t>грин01592</t>
  </si>
  <si>
    <t>грин01590</t>
  </si>
  <si>
    <t>грин01594</t>
  </si>
  <si>
    <t>грин01595</t>
  </si>
  <si>
    <t>грин01596</t>
  </si>
  <si>
    <t>грин01597</t>
  </si>
  <si>
    <t>грин01598</t>
  </si>
  <si>
    <t>грин01599</t>
  </si>
  <si>
    <t>грин01600</t>
  </si>
  <si>
    <t>13.10-17.10.2025</t>
  </si>
  <si>
    <t>Акт входного контроля грин01603 от 20.10.2025 17:37:27</t>
  </si>
  <si>
    <t>Акт входного контроля грин01604 от 20.10.2025 17:39:34</t>
  </si>
  <si>
    <t>Акт входного контроля грин01601 от 20.10.2025 18:49:39</t>
  </si>
  <si>
    <t>Акт входного контроля грин01602 от 20.10.2025 19:15:27</t>
  </si>
  <si>
    <t>Акт входного контроля грин01605 от 20.10.2025 19:45:21</t>
  </si>
  <si>
    <t>Акт входного контроля грин01606 от 20.10.2025 19:52:29</t>
  </si>
  <si>
    <t>Акт входного контроля грин01607 от 20.10.2025 20:12:56</t>
  </si>
  <si>
    <t>Акт входного контроля грин01608 от 20.10.2025 20:58:00</t>
  </si>
  <si>
    <t>Акт входного контроля грин01609 от 20.10.2025 21:34:12</t>
  </si>
  <si>
    <t>Акт входного контроля грин01610 от 20.10.2025 21:40:31</t>
  </si>
  <si>
    <t>Акт входного контроля грин01611 от 20.10.2025 21:44:10</t>
  </si>
  <si>
    <t>Акт входного контроля грин01612 от 20.10.2025 23:20:05</t>
  </si>
  <si>
    <t>Акт входного контроля грин01613 от 20.10.2025 23:29:47</t>
  </si>
  <si>
    <t>Акт входного контроля грин01614 от 21.10.2025 8:08:28</t>
  </si>
  <si>
    <t>грин01603</t>
  </si>
  <si>
    <t>грин01604</t>
  </si>
  <si>
    <t>грин01601</t>
  </si>
  <si>
    <t>грин01602</t>
  </si>
  <si>
    <t>грин01605</t>
  </si>
  <si>
    <t>грин01606</t>
  </si>
  <si>
    <t>грин01607</t>
  </si>
  <si>
    <t>грин01608</t>
  </si>
  <si>
    <t>грин01609</t>
  </si>
  <si>
    <t>грин01610</t>
  </si>
  <si>
    <t>грин01611</t>
  </si>
  <si>
    <t>грин01612</t>
  </si>
  <si>
    <t>грин01613</t>
  </si>
  <si>
    <t>грин01614</t>
  </si>
  <si>
    <t>Акт входного контроля грин01615 от 21.10.2025 8:50:59</t>
  </si>
  <si>
    <t>Акт входного контроля грин01616 от 21.10.2025 9:38:56</t>
  </si>
  <si>
    <t>грин01615</t>
  </si>
  <si>
    <t>грин01616</t>
  </si>
  <si>
    <t>Акт входного контроля грин01617 от 21.10.2025 10:34:49</t>
  </si>
  <si>
    <t>Акт входного контроля грин01618 от 21.10.2025 11:08:24</t>
  </si>
  <si>
    <t>грин01617</t>
  </si>
  <si>
    <t>грин01618</t>
  </si>
  <si>
    <t>Акт входного контроля грин01619 от 21.10.2025 12:16:18</t>
  </si>
  <si>
    <t>грин01619</t>
  </si>
  <si>
    <t>Акт входного контроля грин01620 от 21.10.2025 13:12:49</t>
  </si>
  <si>
    <t>грин01620</t>
  </si>
  <si>
    <t>Акт входного контроля грин01621 от 21.10.2025 14:17:35</t>
  </si>
  <si>
    <t>Акт входного контроля грин01622 от 21.10.2025 15:07:21</t>
  </si>
  <si>
    <t>грин01621</t>
  </si>
  <si>
    <t>грин01622</t>
  </si>
  <si>
    <t>Акт входного контроля грин01623 от 21.10.2025 15:55:59</t>
  </si>
  <si>
    <t>Акт входного контроля грин01624 от 21.10.2025 17:06:09</t>
  </si>
  <si>
    <t>Акт входного контроля грин01625 от 21.10.2025 18:36:37</t>
  </si>
  <si>
    <t>Акт входного контроля грин01628 от 21.10.2025 18:46:20</t>
  </si>
  <si>
    <t>Акт входного контроля грин01629 от 21.10.2025 18:51:08</t>
  </si>
  <si>
    <t>Акт входного контроля грин01626 от 21.10.2025 19:53:37</t>
  </si>
  <si>
    <t>Акт входного контроля грин01630 от 21.10.2025 20:26:42</t>
  </si>
  <si>
    <t>Акт входного контроля грин01631 от 21.10.2025 20:31:05</t>
  </si>
  <si>
    <t>Акт входного контроля грин01627 от 21.10.2025 21:17:55</t>
  </si>
  <si>
    <t>Акт входного контроля грин01632 от 21.10.2025 21:19:23</t>
  </si>
  <si>
    <t>Акт входного контроля грин01633 от 21.10.2025 21:30:26</t>
  </si>
  <si>
    <t>Акт входного контроля грин01634 от 21.10.2025 22:53:36</t>
  </si>
  <si>
    <t>Акт входного контроля грин01635 от 21.10.2025 22:58:32</t>
  </si>
  <si>
    <t>Акт входного контроля грин01636 от 21.10.2025 23:54:02</t>
  </si>
  <si>
    <t>Акт входного контроля грин01637 от 22.10.2025 6:47:38</t>
  </si>
  <si>
    <t>Акт входного контроля грин01638 от 22.10.2025 8:03:41</t>
  </si>
  <si>
    <t>Акт входного контроля грин01639 от 22.10.2025 8:48:55</t>
  </si>
  <si>
    <t>грин01623</t>
  </si>
  <si>
    <t>грин01624</t>
  </si>
  <si>
    <t>грин01625</t>
  </si>
  <si>
    <t>грин01628</t>
  </si>
  <si>
    <t>грин01629</t>
  </si>
  <si>
    <t>грин01626</t>
  </si>
  <si>
    <t>грин01630</t>
  </si>
  <si>
    <t>грин01631</t>
  </si>
  <si>
    <t>грин01627</t>
  </si>
  <si>
    <t>грин01632</t>
  </si>
  <si>
    <t>грин01633</t>
  </si>
  <si>
    <t>грин01634</t>
  </si>
  <si>
    <t>грин01635</t>
  </si>
  <si>
    <t>грин01636</t>
  </si>
  <si>
    <t>грин01637</t>
  </si>
  <si>
    <t>грин01638</t>
  </si>
  <si>
    <t>грин01639</t>
  </si>
  <si>
    <t>13.10-21.10.2025</t>
  </si>
  <si>
    <t>Акт входного контроля грин01640 от 22.10.2025 10:12:59</t>
  </si>
  <si>
    <t>грин01640</t>
  </si>
  <si>
    <t>Акт входного контроля грин01642 от 22.10.2025 13:03:38</t>
  </si>
  <si>
    <t>грин01642</t>
  </si>
  <si>
    <t>Акт входного контроля грин01643 от 22.10.2025 13:09:42</t>
  </si>
  <si>
    <t>грин01643</t>
  </si>
  <si>
    <t>Акт входного контроля грин01644 от 22.10.2025 14:56:33</t>
  </si>
  <si>
    <t>грин01644</t>
  </si>
  <si>
    <t>Акт входного контроля грин01645 от 22.10.2025 15:08:41</t>
  </si>
  <si>
    <t>Акт входного контроля грин01647 от 22.10.2025 16:46:48</t>
  </si>
  <si>
    <t>Акт входного контроля грин01648 от 22.10.2025 19:18:25</t>
  </si>
  <si>
    <t>Акт входного контроля грин01649 от 22.10.2025 19:21:22</t>
  </si>
  <si>
    <t>Акт входного контроля грин01650 от 22.10.2025 19:40:47</t>
  </si>
  <si>
    <t>Акт входного контроля грин01651 от 22.10.2025 20:46:04</t>
  </si>
  <si>
    <t>Акт входного контроля грин01652 от 22.10.2025 21:29:34</t>
  </si>
  <si>
    <t>Акт входного контроля грин01655 от 22.10.2025 21:31:48</t>
  </si>
  <si>
    <t>Акт входного контроля грин01656 от 22.10.2025 22:21:45</t>
  </si>
  <si>
    <t>Акт входного контроля грин01657 от 22.10.2025 22:23:43</t>
  </si>
  <si>
    <t>Акт входного контроля грин01653 от 22.10.2025 22:41:07</t>
  </si>
  <si>
    <t>Акт входного контроля грин01658 от 22.10.2025 22:53:16</t>
  </si>
  <si>
    <t>Акт входного контроля грин01654 от 22.10.2025 23:29:33</t>
  </si>
  <si>
    <t>Акт входного контроля грин01659 от 23.10.2025 7:28:01</t>
  </si>
  <si>
    <t>Акт входного контроля грин01660 от 23.10.2025 8:15:35</t>
  </si>
  <si>
    <t>Акт входного контроля грин01661 от 23.10.2025 9:29:13</t>
  </si>
  <si>
    <t>Акт входного контроля грин01662 от 23.10.2025 11:17:12</t>
  </si>
  <si>
    <t>Акт входного контроля грин01663 от 23.10.2025 11:27:34</t>
  </si>
  <si>
    <t>Акт входного контроля грин01664 от 23.10.2025 12:59:17</t>
  </si>
  <si>
    <t>Акт входного контроля грин01665 от 23.10.2025 13:21:48</t>
  </si>
  <si>
    <t>Акт входного контроля грин01646 от 21.10.2025 22:08:55</t>
  </si>
  <si>
    <t>грин01645</t>
  </si>
  <si>
    <t>грин01646</t>
  </si>
  <si>
    <t>грин01647</t>
  </si>
  <si>
    <t>грин01648</t>
  </si>
  <si>
    <t>грин01649</t>
  </si>
  <si>
    <t>грин01650</t>
  </si>
  <si>
    <t>грин01651</t>
  </si>
  <si>
    <t>грин01652</t>
  </si>
  <si>
    <t>грин01655</t>
  </si>
  <si>
    <t>грин01656</t>
  </si>
  <si>
    <t>грин01657</t>
  </si>
  <si>
    <t>грин01653</t>
  </si>
  <si>
    <t>грин01658</t>
  </si>
  <si>
    <t>грин01654</t>
  </si>
  <si>
    <t>грин01659</t>
  </si>
  <si>
    <t>грин01660</t>
  </si>
  <si>
    <t>грин01661</t>
  </si>
  <si>
    <t>грин01662</t>
  </si>
  <si>
    <t>грин01663</t>
  </si>
  <si>
    <t>грин01664</t>
  </si>
  <si>
    <t>грин01665</t>
  </si>
  <si>
    <t>Акт входного контроля грин01682 от 23.10.2025 14:09:54</t>
  </si>
  <si>
    <t>Акт входного контроля грин01667 от 23.10.2025 16:12:01</t>
  </si>
  <si>
    <t>Акт входного контроля грин01673 от 23.10.2025 23:31:28</t>
  </si>
  <si>
    <t>Акт входного контроля грин01674 от 23.10.2025 23:43:08</t>
  </si>
  <si>
    <t>грин01682</t>
  </si>
  <si>
    <t>грин01667</t>
  </si>
  <si>
    <t>грин01673</t>
  </si>
  <si>
    <t>грин01674</t>
  </si>
  <si>
    <t>Акт входного контроля грин01675 от 23.10.2025 14:46:06</t>
  </si>
  <si>
    <t>Акт входного контроля грин01666 от 23.10.2025 16:03:16</t>
  </si>
  <si>
    <t>Акт входного контроля грин01668 от 23.10.2025 16:18:59</t>
  </si>
  <si>
    <t>Акт входного контроля грин01676 от 23.10.2025 16:30:56</t>
  </si>
  <si>
    <t>Акт входного контроля грин01677 от 23.10.2025 16:35:27</t>
  </si>
  <si>
    <t>Акт входного контроля грин01669 от 23.10.2025 17:31:40</t>
  </si>
  <si>
    <t>Акт входного контроля грин01670 от 23.10.2025 17:40:01</t>
  </si>
  <si>
    <t>Акт входного контроля грин01678 от 23.10.2025 18:28:51</t>
  </si>
  <si>
    <t>Акт входного контроля грин01679 от 23.10.2025 19:15:43</t>
  </si>
  <si>
    <t>Акт входного контроля грин01680 от 23.10.2025 19:44:34</t>
  </si>
  <si>
    <t>Акт входного контроля грин01681 от 23.10.2025 20:24:21</t>
  </si>
  <si>
    <t>Акт входного контроля грин01683 от 23.10.2025 20:38:25</t>
  </si>
  <si>
    <t>Акт входного контроля грин01684 от 23.10.2025 20:42:38</t>
  </si>
  <si>
    <t>Акт входного контроля грин01685 от 23.10.2025 21:15:37</t>
  </si>
  <si>
    <t>Акт входного контроля грин01686 от 23.10.2025 21:36:33</t>
  </si>
  <si>
    <t>Акт входного контроля грин01687 от 23.10.2025 21:47:00</t>
  </si>
  <si>
    <t>Акт входного контроля грин01671 от 23.10.2025 23:23:57</t>
  </si>
  <si>
    <t>Акт входного контроля грин01672 от 23.10.2025 23:27:09</t>
  </si>
  <si>
    <t>Акт входного контроля грин01688 от 24.10.2025 14:47:32</t>
  </si>
  <si>
    <t>Акт входного контроля грин01689 от 24.10.2025 15:05:34</t>
  </si>
  <si>
    <t>Акт входного контроля грин01691 от 24.10.2025 15:14:39</t>
  </si>
  <si>
    <t>Акт входного контроля грин01692 от 24.10.2025 16:38:08</t>
  </si>
  <si>
    <t>Акт входного контроля грин01693 от 24.10.2025 17:04:46</t>
  </si>
  <si>
    <t>Акт входного контроля грин01694 от 24.10.2025 18:05:17</t>
  </si>
  <si>
    <t>Акт входного контроля грин01695 от 24.10.2025 18:14:29</t>
  </si>
  <si>
    <t>Акт входного контроля грин01698 от 24.10.2025 18:56:48</t>
  </si>
  <si>
    <t>Акт входного контроля грин01696 от 24.10.2025 19:29:36</t>
  </si>
  <si>
    <t>Акт входного контроля грин01699 от 24.10.2025 20:18:17</t>
  </si>
  <si>
    <t>Акт входного контроля грин01700 от 24.10.2025 20:59:34</t>
  </si>
  <si>
    <t>Акт входного контроля грин01697 от 24.10.2025 21:22:04</t>
  </si>
  <si>
    <t>Акт входного контроля грин01701 от 24.10.2025 21:44:56</t>
  </si>
  <si>
    <t>Акт входного контроля грин01702 от 25.10.2025 2:14:46</t>
  </si>
  <si>
    <t>Акт входного контроля грин01703 от 25.10.2025 2:57:51</t>
  </si>
  <si>
    <t>Акт входного контроля грин01704 от 25.10.2025 5:03:46</t>
  </si>
  <si>
    <t>Акт входного контроля грин01705 от 25.10.2025 7:46:18</t>
  </si>
  <si>
    <t>Акт входного контроля грин01706 от 25.10.2025 7:51:26</t>
  </si>
  <si>
    <t>Акт входного контроля грин01707 от 25.10.2025 8:50:48</t>
  </si>
  <si>
    <t>Акт входного контроля грин01708 от 25.10.2025 9:36:11</t>
  </si>
  <si>
    <t>Акт входного контроля грин01709 от 25.10.2025 10:13:28</t>
  </si>
  <si>
    <t>Акт входного контроля грин01710 от 25.10.2025 11:26:40</t>
  </si>
  <si>
    <t>Акт входного контроля грин01711 от 25.10.2025 12:16:24</t>
  </si>
  <si>
    <t>Акт входного контроля грин01712 от 25.10.2025 13:31:22</t>
  </si>
  <si>
    <t>Акт входного контроля грин01713 от 25.10.2025 14:39:57</t>
  </si>
  <si>
    <t>Акт входного контроля грин01714 от 25.10.2025 15:40:29</t>
  </si>
  <si>
    <t>Акт входного контроля грин01715 от 25.10.2025 16:16:50</t>
  </si>
  <si>
    <t>Акт входного контроля грин01716 от 25.10.2025 17:55:41</t>
  </si>
  <si>
    <t>Акт входного контроля грин01717 от 25.10.2025 19:12:35</t>
  </si>
  <si>
    <t>Акт входного контроля грин01718 от 25.10.2025 19:37:47</t>
  </si>
  <si>
    <t>Акт входного контроля грин01719 от 25.10.2025 21:50:52</t>
  </si>
  <si>
    <t>Акт входного контроля грин01721 от 25.10.2025 23:23:24</t>
  </si>
  <si>
    <t>Акт входного контроля грин01720 от 25.10.2025 23:57:18</t>
  </si>
  <si>
    <t>Акт входного контроля грин01722 от 26.10.2025 1:24:49</t>
  </si>
  <si>
    <t>Акт входного контроля грин01723 от 26.10.2025 2:22:45</t>
  </si>
  <si>
    <t>Акт входного контроля грин01724 от 26.10.2025 3:32:00</t>
  </si>
  <si>
    <t>Акт входного контроля грин01725 от 26.10.2025 4:07:40</t>
  </si>
  <si>
    <t>Акт входного контроля грин01726 от 26.10.2025 5:06:44</t>
  </si>
  <si>
    <t>Акт входного контроля грин01727 от 26.10.2025 6:12:27</t>
  </si>
  <si>
    <t>Акт входного контроля грин01728 от 26.10.2025 6:33:50</t>
  </si>
  <si>
    <t>Акт входного контроля грин01739 от 26.10.2025 9:37:45</t>
  </si>
  <si>
    <t>Акт входного контроля грин01729 от 26.10.2025 10:13:05</t>
  </si>
  <si>
    <t>Акт входного контроля грин01730 от 26.10.2025 11:14:52</t>
  </si>
  <si>
    <t>Акт входного контроля грин01740 от 26.10.2025 12:28:57</t>
  </si>
  <si>
    <t>Акт входного контроля грин01731 от 26.10.2025 12:59:42</t>
  </si>
  <si>
    <t>Акт входного контроля грин01741 от 26.10.2025 13:06:34</t>
  </si>
  <si>
    <t>Акт входного контроля грин01742 от 26.10.2025 13:34:42</t>
  </si>
  <si>
    <t>Акт входного контроля грин01732 от 26.10.2025 14:42:46</t>
  </si>
  <si>
    <t>Акт входного контроля грин01743 от 26.10.2025 15:01:00</t>
  </si>
  <si>
    <t>Акт входного контроля грин01733 от 26.10.2025 16:50:27</t>
  </si>
  <si>
    <t>Акт входного контроля грин01734 от 26.10.2025 19:42:59</t>
  </si>
  <si>
    <t>Акт входного контроля грин01735 от 26.10.2025 21:34:00</t>
  </si>
  <si>
    <t>Акт входного контроля грин01737 от 26.10.2025 22:49:14</t>
  </si>
  <si>
    <t>грин01675</t>
  </si>
  <si>
    <t>грин01666</t>
  </si>
  <si>
    <t>грин01668</t>
  </si>
  <si>
    <t>грин01676</t>
  </si>
  <si>
    <t>грин01677</t>
  </si>
  <si>
    <t>грин01669</t>
  </si>
  <si>
    <t>грин01670</t>
  </si>
  <si>
    <t>грин01678</t>
  </si>
  <si>
    <t>грин01679</t>
  </si>
  <si>
    <t>грин01680</t>
  </si>
  <si>
    <t>грин01681</t>
  </si>
  <si>
    <t>грин01683</t>
  </si>
  <si>
    <t>грин01684</t>
  </si>
  <si>
    <t>грин01685</t>
  </si>
  <si>
    <t>грин01686</t>
  </si>
  <si>
    <t>грин01687</t>
  </si>
  <si>
    <t>грин01671</t>
  </si>
  <si>
    <t>грин01672</t>
  </si>
  <si>
    <t>грин01688</t>
  </si>
  <si>
    <t>грин01689</t>
  </si>
  <si>
    <t>грин01691</t>
  </si>
  <si>
    <t>грин01692</t>
  </si>
  <si>
    <t>грин01693</t>
  </si>
  <si>
    <t>грин01694</t>
  </si>
  <si>
    <t>грин01695</t>
  </si>
  <si>
    <t>грин01698</t>
  </si>
  <si>
    <t>грин01696</t>
  </si>
  <si>
    <t>грин01699</t>
  </si>
  <si>
    <t>грин01700</t>
  </si>
  <si>
    <t>грин01697</t>
  </si>
  <si>
    <t>грин01701</t>
  </si>
  <si>
    <t>грин01702</t>
  </si>
  <si>
    <t>грин01703</t>
  </si>
  <si>
    <t>грин01704</t>
  </si>
  <si>
    <t>грин01705</t>
  </si>
  <si>
    <t>грин01706</t>
  </si>
  <si>
    <t>грин01707</t>
  </si>
  <si>
    <t>грин01708</t>
  </si>
  <si>
    <t>грин01709</t>
  </si>
  <si>
    <t>грин01710</t>
  </si>
  <si>
    <t>грин01711</t>
  </si>
  <si>
    <t>грин01712</t>
  </si>
  <si>
    <t>грин01713</t>
  </si>
  <si>
    <t>грин01714</t>
  </si>
  <si>
    <t>грин01715</t>
  </si>
  <si>
    <t>грин01716</t>
  </si>
  <si>
    <t>грин01717</t>
  </si>
  <si>
    <t>грин01718</t>
  </si>
  <si>
    <t>грин01719</t>
  </si>
  <si>
    <t>грин01721</t>
  </si>
  <si>
    <t>грин01720</t>
  </si>
  <si>
    <t>грин01722</t>
  </si>
  <si>
    <t>грин01723</t>
  </si>
  <si>
    <t>грин01724</t>
  </si>
  <si>
    <t>грин01725</t>
  </si>
  <si>
    <t>грин01726</t>
  </si>
  <si>
    <t>грин01727</t>
  </si>
  <si>
    <t>грин01728</t>
  </si>
  <si>
    <t>грин01739</t>
  </si>
  <si>
    <t>грин01729</t>
  </si>
  <si>
    <t>грин01730</t>
  </si>
  <si>
    <t>грин01740</t>
  </si>
  <si>
    <t>грин01731</t>
  </si>
  <si>
    <t>грин01741</t>
  </si>
  <si>
    <t>грин01742</t>
  </si>
  <si>
    <t>грин01732</t>
  </si>
  <si>
    <t>грин01743</t>
  </si>
  <si>
    <t>грин01733</t>
  </si>
  <si>
    <t>грин01734</t>
  </si>
  <si>
    <t>грин01735</t>
  </si>
  <si>
    <t>грин01737</t>
  </si>
  <si>
    <t>тестовые</t>
  </si>
  <si>
    <t>Акт входного контроля грин01747 от 26.10.2025 19:43:30</t>
  </si>
  <si>
    <t>Акт входного контроля грин01748 от 26.10.2025 20:48:20</t>
  </si>
  <si>
    <t>Акт входного контроля грин01749 от 26.10.2025 21:51:09</t>
  </si>
  <si>
    <t>Акт входного контроля грин01761 от 27.10.2025 13:34:37</t>
  </si>
  <si>
    <t>Акт входного контроля грин01762 от 27.10.2025 15:16:48</t>
  </si>
  <si>
    <t>Акт входного контроля грин01763 от 27.10.2025 15:25:38</t>
  </si>
  <si>
    <t>Акт входного контроля грин01751 от 27.10.2025 16:01:44</t>
  </si>
  <si>
    <t>Акт входного контроля грин01755 от 27.10.2025 16:59:17</t>
  </si>
  <si>
    <t>Акт входного контроля грин01764 от 27.10.2025 17:12:44</t>
  </si>
  <si>
    <t>Акт входного контроля грин01757 от 27.10.2025 18:02:59</t>
  </si>
  <si>
    <t>Акт входного контроля грин01765 от 27.10.2025 18:13:14</t>
  </si>
  <si>
    <t>Акт входного контроля грин01766 от 27.10.2025 19:33:34</t>
  </si>
  <si>
    <t>Акт входного контроля грин01767 от 27.10.2025 19:41:50</t>
  </si>
  <si>
    <t>Акт входного контроля грин01758 от 27.10.2025 19:59:26</t>
  </si>
  <si>
    <t>Акт входного контроля грин01771 от 27.10.2025 20:47:29</t>
  </si>
  <si>
    <t>Акт входного контроля грин01759 от 27.10.2025 21:09:37</t>
  </si>
  <si>
    <t>Акт входного контроля грин01760 от 27.10.2025 21:21:38</t>
  </si>
  <si>
    <t>Акт входного контроля грин01768 от 27.10.2025 21:31:42</t>
  </si>
  <si>
    <t>Акт входного контроля грин01769 от 27.10.2025 22:25:20</t>
  </si>
  <si>
    <t>Акт входного контроля грин01770 от 27.10.2025 23:31:59</t>
  </si>
  <si>
    <t>Акт входного контроля грин01772 от 27.10.2025 23:45:28</t>
  </si>
  <si>
    <t>Акт входного контроля грин01773 от 28.10.2025 11:25:33</t>
  </si>
  <si>
    <t>грин01747</t>
  </si>
  <si>
    <t>грин01748</t>
  </si>
  <si>
    <t>грин01749</t>
  </si>
  <si>
    <t>грин01761</t>
  </si>
  <si>
    <t>грин01762</t>
  </si>
  <si>
    <t>грин01763</t>
  </si>
  <si>
    <t>грин01751</t>
  </si>
  <si>
    <t>грин01755</t>
  </si>
  <si>
    <t>грин01764</t>
  </si>
  <si>
    <t>грин01757</t>
  </si>
  <si>
    <t>грин01765</t>
  </si>
  <si>
    <t>грин01766</t>
  </si>
  <si>
    <t>грин01767</t>
  </si>
  <si>
    <t>грин01758</t>
  </si>
  <si>
    <t>грин01771</t>
  </si>
  <si>
    <t>грин01759</t>
  </si>
  <si>
    <t>грин01760</t>
  </si>
  <si>
    <t>грин01768</t>
  </si>
  <si>
    <t>грин01769</t>
  </si>
  <si>
    <t>грин01770</t>
  </si>
  <si>
    <t>грин01772</t>
  </si>
  <si>
    <t>грин01773</t>
  </si>
  <si>
    <t>Акт входного контроля грин01785 от 28.10.2025 9:53:50</t>
  </si>
  <si>
    <t>Акт входного контроля грин01787 от 28.10.2025 12:09:28</t>
  </si>
  <si>
    <t>Акт входного контроля грин01788 от 28.10.2025 12:42:24</t>
  </si>
  <si>
    <t>Акт входного контроля грин01774 от 28.10.2025 13:37:47</t>
  </si>
  <si>
    <t>Акт входного контроля грин01775 от 28.10.2025 13:50:52</t>
  </si>
  <si>
    <t>Акт входного контроля грин01776 от 28.10.2025 14:02:10</t>
  </si>
  <si>
    <t>Акт входного контроля грин01777 от 28.10.2025 14:47:02</t>
  </si>
  <si>
    <t>Акт входного контроля грин01778 от 28.10.2025 16:34:47</t>
  </si>
  <si>
    <t>Акт входного контроля грин01779 от 28.10.2025 16:48:57</t>
  </si>
  <si>
    <t>Акт входного контроля грин01781 от 28.10.2025 18:05:02</t>
  </si>
  <si>
    <t>Акт входного контроля грин01780 от 28.10.2025 18:21:34</t>
  </si>
  <si>
    <t>Акт входного контроля грин01782 от 28.10.2025 19:08:47</t>
  </si>
  <si>
    <t>Акт входного контроля грин01783 от 28.10.2025 20:08:12</t>
  </si>
  <si>
    <t>Акт входного контроля грин01789 от 28.10.2025 22:27:39</t>
  </si>
  <si>
    <t>Акт входного контроля грин01784 от 28.10.2025 22:57:01</t>
  </si>
  <si>
    <t>Акт входного контроля грин01786 от 28.10.2025 23:25:33</t>
  </si>
  <si>
    <t>Акт входного контроля грин01790 от 28.10.2025 23:41:09</t>
  </si>
  <si>
    <t>Акт входного контроля грин01791 от 29.10.2025 5:00:55</t>
  </si>
  <si>
    <t>Акт входного контроля грин01792 от 29.10.2025 5:43:30</t>
  </si>
  <si>
    <t>Акт входного контроля грин01793 от 29.10.2025 6:40:15</t>
  </si>
  <si>
    <t>Акт входного контроля грин01794 от 29.10.2025 7:53:30</t>
  </si>
  <si>
    <t>грин01785</t>
  </si>
  <si>
    <t>грин01787</t>
  </si>
  <si>
    <t>грин01788</t>
  </si>
  <si>
    <t>грин01774</t>
  </si>
  <si>
    <t>грин01775</t>
  </si>
  <si>
    <t>грин01776</t>
  </si>
  <si>
    <t>грин01777</t>
  </si>
  <si>
    <t>грин01778</t>
  </si>
  <si>
    <t>грин01779</t>
  </si>
  <si>
    <t>грин01781</t>
  </si>
  <si>
    <t>грин01780</t>
  </si>
  <si>
    <t>грин01782</t>
  </si>
  <si>
    <t>грин01783</t>
  </si>
  <si>
    <t>грин01789</t>
  </si>
  <si>
    <t>грин01784</t>
  </si>
  <si>
    <t>грин01786</t>
  </si>
  <si>
    <t>грин01790</t>
  </si>
  <si>
    <t>грин01791</t>
  </si>
  <si>
    <t>грин01792</t>
  </si>
  <si>
    <t>грин01793</t>
  </si>
  <si>
    <t>грин01794</t>
  </si>
  <si>
    <t>Акт входного контроля грин01744 от 26.10.2025 17:46:10</t>
  </si>
  <si>
    <t>Акт входного контроля грин01745 от 26.10.2025 18:33:00</t>
  </si>
  <si>
    <t>Акт входного контроля грин01746 от 26.10.2025 19:01:23</t>
  </si>
  <si>
    <t>грин01744</t>
  </si>
  <si>
    <t>грин01745</t>
  </si>
  <si>
    <t>грин01746</t>
  </si>
  <si>
    <t>Акт входного контроля грин01795 от 29.10.2025 8:46:54</t>
  </si>
  <si>
    <t>грин01795</t>
  </si>
  <si>
    <t>23.10-28.10.2025</t>
  </si>
  <si>
    <t>уточняется</t>
  </si>
  <si>
    <t>Акт входного контроля грин01805 от 29.10.2025 19:13:59</t>
  </si>
  <si>
    <t>Акт входного контроля грин01801 от 29.10.2025 20:10:46</t>
  </si>
  <si>
    <t>Акт входного контроля грин01806 от 29.10.2025 20:43:52</t>
  </si>
  <si>
    <t>Акт входного контроля грин01802 от 29.10.2025 21:18:21</t>
  </si>
  <si>
    <t>Акт входного контроля грин01807 от 29.10.2025 21:40:56</t>
  </si>
  <si>
    <t>Акт входного контроля грин01808 от 29.10.2025 22:21:04</t>
  </si>
  <si>
    <t>Акт входного контроля грин01803 от 29.10.2025 22:57:27</t>
  </si>
  <si>
    <t>Акт входного контроля грин01809 от 29.10.2025 23:00:55</t>
  </si>
  <si>
    <t>Акт входного контроля грин01804 от 29.10.2025 23:21:11</t>
  </si>
  <si>
    <t>Акт входного контроля грин01810 от 30.10.2025 5:39:59</t>
  </si>
  <si>
    <t>Акт входного контроля грин01811 от 30.10.2025 6:23:27</t>
  </si>
  <si>
    <t>Акт входного контроля грин01812 от 30.10.2025 7:49:36</t>
  </si>
  <si>
    <t>грин01805</t>
  </si>
  <si>
    <t>грин01801</t>
  </si>
  <si>
    <t>грин01806</t>
  </si>
  <si>
    <t>грин01802</t>
  </si>
  <si>
    <t>грин01807</t>
  </si>
  <si>
    <t>грин01808</t>
  </si>
  <si>
    <t>грин01803</t>
  </si>
  <si>
    <t>грин01809</t>
  </si>
  <si>
    <t>грин01804</t>
  </si>
  <si>
    <t>грин01810</t>
  </si>
  <si>
    <t>грин01811</t>
  </si>
  <si>
    <t>грин01812</t>
  </si>
  <si>
    <t>Акт входного контроля грин01813 от 30.10.2025 8:44:55</t>
  </si>
  <si>
    <t>грин01813</t>
  </si>
  <si>
    <t>Акт входного контроля грин01814 от 30.10.2025 10:29:59</t>
  </si>
  <si>
    <t>грин01814</t>
  </si>
  <si>
    <t>Акт входного контроля грин01815 от 30.10.2025 12:46:12</t>
  </si>
  <si>
    <t>Акт входного контроля грин01816 от 30.10.2025 12:48:55</t>
  </si>
  <si>
    <t>грин01815</t>
  </si>
  <si>
    <t>грин01816</t>
  </si>
  <si>
    <t>Акт входного контроля грин01817 от 30.10.2025 14:22:47</t>
  </si>
  <si>
    <t>грин01817</t>
  </si>
  <si>
    <t>Акт входного контроля грин01818 от 30.10.2025 14:56:57</t>
  </si>
  <si>
    <t>Акт входного контроля грин01819 от 30.10.2025 16:20:04</t>
  </si>
  <si>
    <t>Акт входного контроля грин01820 от 30.10.2025 17:31:11</t>
  </si>
  <si>
    <t>Акт входного контроля грин01821 от 30.10.2025 19:09:18</t>
  </si>
  <si>
    <t>Акт входного контроля грин01826 от 30.10.2025 20:29:09</t>
  </si>
  <si>
    <t>Акт входного контроля грин01827 от 30.10.2025 20:34:18</t>
  </si>
  <si>
    <t>Акт входного контроля грин01828 от 30.10.2025 20:40:50</t>
  </si>
  <si>
    <t>Акт входного контроля грин01822 от 30.10.2025 21:27:34</t>
  </si>
  <si>
    <t>Акт входного контроля грин01823 от 30.10.2025 21:33:16</t>
  </si>
  <si>
    <t>Акт входного контроля грин01829 от 30.10.2025 22:21:02</t>
  </si>
  <si>
    <t>Акт входного контроля грин01824 от 30.10.2025 22:34:22</t>
  </si>
  <si>
    <t>Акт входного контроля грин01830 от 30.10.2025 22:41:47</t>
  </si>
  <si>
    <t>Акт входного контроля грин01825 от 30.10.2025 23:30:12</t>
  </si>
  <si>
    <t>грин01818</t>
  </si>
  <si>
    <t>грин01819</t>
  </si>
  <si>
    <t>грин01820</t>
  </si>
  <si>
    <t>грин01821</t>
  </si>
  <si>
    <t>грин01826</t>
  </si>
  <si>
    <t>грин01827</t>
  </si>
  <si>
    <t>грин01828</t>
  </si>
  <si>
    <t>грин01822</t>
  </si>
  <si>
    <t>грин01823</t>
  </si>
  <si>
    <t>грин01829</t>
  </si>
  <si>
    <t>грин01824</t>
  </si>
  <si>
    <t>грин01830</t>
  </si>
  <si>
    <t>грин01825</t>
  </si>
  <si>
    <t>Акт входного контроля грин01831 от 31.10.2025 9:08:21</t>
  </si>
  <si>
    <t>Акт входного контроля грин01832 от 31.10.2025 9:33:59</t>
  </si>
  <si>
    <t>Акт входного контроля грин01833 от 31.10.2025 10:56:34</t>
  </si>
  <si>
    <t>Акт входного контроля грин01834 от 31.10.2025 11:05:21</t>
  </si>
  <si>
    <t>грин01831</t>
  </si>
  <si>
    <t>грин01832</t>
  </si>
  <si>
    <t>грин01833</t>
  </si>
  <si>
    <t>грин01834</t>
  </si>
  <si>
    <t>Акт входного контроля грин01835 от 31.10.2025 12:49:58</t>
  </si>
  <si>
    <t>Акт входного контроля грин01837 от 31.10.2025 14:00:29</t>
  </si>
  <si>
    <t>Акт входного контроля грин01838 от 31.10.2025 14:33:45</t>
  </si>
  <si>
    <t>Акт входного контроля грин01839 от 31.10.2025 14:41:43</t>
  </si>
  <si>
    <t>Акт входного контроля грин01840 от 31.10.2025 15:44:54</t>
  </si>
  <si>
    <t>Акт входного контроля грин01841 от 31.10.2025 16:17:54</t>
  </si>
  <si>
    <t>Акт входного контроля грин01842 от 31.10.2025 17:34:13</t>
  </si>
  <si>
    <t>Акт входного контроля грин01843 от 31.10.2025 18:37:22</t>
  </si>
  <si>
    <t>Акт входного контроля грин01844 от 31.10.2025 21:54:19</t>
  </si>
  <si>
    <t>Акт входного контроля грин01845 от 31.10.2025 21:57:05</t>
  </si>
  <si>
    <t>Акт входного контроля грин01846 от 31.10.2025 19:26:05</t>
  </si>
  <si>
    <t>Акт входного контроля грин01847 от 31.10.2025 20:07:02</t>
  </si>
  <si>
    <t>Акт входного контроля грин01848 от 31.10.2025 20:33:15</t>
  </si>
  <si>
    <t>Акт входного контроля грин01849 от 31.10.2025 21:07:48</t>
  </si>
  <si>
    <t>Акт входного контроля грин01850 от 31.10.2025 23:16:37</t>
  </si>
  <si>
    <t>Акт входного контроля грин01851 от 31.10.2025 22:29:02</t>
  </si>
  <si>
    <t>Акт входного контроля грин01852 от 31.10.2025 23:47:16</t>
  </si>
  <si>
    <t>грин01835</t>
  </si>
  <si>
    <t>грин01837</t>
  </si>
  <si>
    <t>грин01838</t>
  </si>
  <si>
    <t>грин01839</t>
  </si>
  <si>
    <t>грин01840</t>
  </si>
  <si>
    <t>грин01841</t>
  </si>
  <si>
    <t>грин01842</t>
  </si>
  <si>
    <t>грин01843</t>
  </si>
  <si>
    <t>грин01844</t>
  </si>
  <si>
    <t>грин01845</t>
  </si>
  <si>
    <t>грин01846</t>
  </si>
  <si>
    <t>грин01847</t>
  </si>
  <si>
    <t>грин01848</t>
  </si>
  <si>
    <t>грин01849</t>
  </si>
  <si>
    <t>грин01850</t>
  </si>
  <si>
    <t>грин01851</t>
  </si>
  <si>
    <t>грин01852</t>
  </si>
  <si>
    <t>Акт входного контроля грин01853 от 01.11.2025 8:52:46</t>
  </si>
  <si>
    <t>Акт входного контроля грин01854 от 01.11.2025 9:34:03</t>
  </si>
  <si>
    <t>Акт входного контроля грин01855 от 01.11.2025 10:09:23</t>
  </si>
  <si>
    <t>грин01853</t>
  </si>
  <si>
    <t>грин01854</t>
  </si>
  <si>
    <t>грин01855</t>
  </si>
  <si>
    <t>Акт входного контроля грин01856 от 01.11.2025 11:10:36</t>
  </si>
  <si>
    <t>Акт входного контроля грин01857 от 01.11.2025 11:37:55</t>
  </si>
  <si>
    <t>грин01856</t>
  </si>
  <si>
    <t>грин01857</t>
  </si>
  <si>
    <t>23.10-31.10.2025</t>
  </si>
  <si>
    <t>13.10-24.10.2025</t>
  </si>
  <si>
    <t>17.10-18.10.2025</t>
  </si>
  <si>
    <t>Количество  рейсов</t>
  </si>
  <si>
    <t>Акт входного контроля грин01873 от 01.11.2025 4:40:28</t>
  </si>
  <si>
    <t>Акт входного контроля грин01858 от 01.11.2025 14:21:33</t>
  </si>
  <si>
    <t>Акт входного контроля грин01859 от 01.11.2025 15:13:59</t>
  </si>
  <si>
    <t>Акт входного контроля грин01860 от 01.11.2025 16:07:09</t>
  </si>
  <si>
    <t>Акт входного контроля грин01867 от 01.11.2025 16:39:28</t>
  </si>
  <si>
    <t>Акт входного контроля грин01868 от 01.11.2025 17:02:24</t>
  </si>
  <si>
    <t>Акт входного контроля грин01869 от 01.11.2025 17:32:40</t>
  </si>
  <si>
    <t>Акт входного контроля грин01870 от 01.11.2025 17:37:47</t>
  </si>
  <si>
    <t>Акт входного контроля грин01871 от 01.11.2025 18:39:03</t>
  </si>
  <si>
    <t>Акт входного контроля грин01872 от 01.11.2025 18:51:43</t>
  </si>
  <si>
    <t>Акт входного контроля грин01861 от 01.11.2025 19:20:56</t>
  </si>
  <si>
    <t>Акт входного контроля грин01862 от 01.11.2025 19:30:37</t>
  </si>
  <si>
    <t>Акт входного контроля грин01874 от 01.11.2025 19:37:31</t>
  </si>
  <si>
    <t>Акт входного контроля грин01875 от 01.11.2025 19:46:20</t>
  </si>
  <si>
    <t>Акт входного контроля грин01863 от 01.11.2025 20:26:51</t>
  </si>
  <si>
    <t>Акт входного контроля грин01864 от 01.11.2025 20:33:45</t>
  </si>
  <si>
    <t>Акт входного контроля грин01876 от 01.11.2025 21:06:29</t>
  </si>
  <si>
    <t>Акт входного контроля грин01877 от 01.11.2025 21:18:06</t>
  </si>
  <si>
    <t>Акт входного контроля грин01878 от 01.11.2025 21:32:55</t>
  </si>
  <si>
    <t>Акт входного контроля грин01879 от 01.11.2025 22:29:29</t>
  </si>
  <si>
    <t>Акт входного контроля грин01865 от 01.11.2025 22:49:27</t>
  </si>
  <si>
    <t>Акт входного контроля грин01866 от 01.11.2025 23:03:10</t>
  </si>
  <si>
    <t>Акт входного контроля грин01880 от 01.11.2025 23:04:26</t>
  </si>
  <si>
    <t>Акт входного контроля грин01881 от 01.11.2025 23:53:49</t>
  </si>
  <si>
    <t>Акт входного контроля грин01887 от 02.11.2025 3:14:00</t>
  </si>
  <si>
    <t>Акт входного контроля грин01892 от 02.11.2025 15:58:04</t>
  </si>
  <si>
    <t>Акт входного контроля грин01893 от 02.11.2025 16:04:05</t>
  </si>
  <si>
    <t>Акт входного контроля грин01889 от 02.11.2025 17:02:43</t>
  </si>
  <si>
    <t>Акт входного контроля грин01888 от 02.11.2025 17:07:25</t>
  </si>
  <si>
    <t>Акт входного контроля грин01890 от 02.11.2025 17:29:56</t>
  </si>
  <si>
    <t>Акт входного контроля грин01894 от 02.11.2025 18:26:51</t>
  </si>
  <si>
    <t>Акт входного контроля грин01899 от 02.11.2025 18:48:22</t>
  </si>
  <si>
    <t>Акт входного контроля грин01882 от 02.11.2025 20:13:07</t>
  </si>
  <si>
    <t>Акт входного контроля грин01895 от 02.11.2025 20:18:08</t>
  </si>
  <si>
    <t>Акт входного контроля грин01896 от 02.11.2025 20:23:26</t>
  </si>
  <si>
    <t>Акт входного контроля грин01897 от 02.11.2025 20:54:03</t>
  </si>
  <si>
    <t>Акт входного контроля грин01898 от 02.11.2025 20:59:13</t>
  </si>
  <si>
    <t>Акт входного контроля грин01891 от 02.11.2025 21:26:47</t>
  </si>
  <si>
    <t>Акт входного контроля грин01883 от 02.11.2025 22:14:22</t>
  </si>
  <si>
    <t>Акт входного контроля грин01884 от 02.11.2025 22:23:10</t>
  </si>
  <si>
    <t>Акт входного контроля грин01885 от 02.11.2025 23:04:54</t>
  </si>
  <si>
    <t>Акт входного контроля грин01886 от 02.11.2025 23:54:59</t>
  </si>
  <si>
    <t>Акт входного контроля грин01900 от 02.11.2025 23:56:05</t>
  </si>
  <si>
    <t>Акт входного контроля грин01908 от 03.11.2025 15:50:13</t>
  </si>
  <si>
    <t>Акт входного контроля грин01909 от 03.11.2025 17:13:47</t>
  </si>
  <si>
    <t>Акт входного контроля грин01910 от 03.11.2025 18:13:10</t>
  </si>
  <si>
    <t>Акт входного контроля грин01912 от 03.11.2025 18:55:55</t>
  </si>
  <si>
    <t>Акт входного контроля грин01901 от 03.11.2025 19:25:31</t>
  </si>
  <si>
    <t>Акт входного контроля грин01904 от 03.11.2025 19:58:30</t>
  </si>
  <si>
    <t>Акт входного контроля грин01911 от 03.11.2025 20:25:32</t>
  </si>
  <si>
    <t>Акт входного контроля грин01905 от 03.11.2025 20:57:45</t>
  </si>
  <si>
    <t>Акт входного контроля грин01913 от 03.11.2025 21:04:39</t>
  </si>
  <si>
    <t>Акт входного контроля грин01906 от 03.11.2025 22:12:47</t>
  </si>
  <si>
    <t>Акт входного контроля грин01914 от 03.11.2025 22:14:41</t>
  </si>
  <si>
    <t>Акт входного контроля грин01915 от 03.11.2025 22:51:32</t>
  </si>
  <si>
    <t>Акт входного контроля грин01907 от 03.11.2025 23:07:20</t>
  </si>
  <si>
    <t>Акт входного контроля грин01916 от 03.11.2025 23:18:09</t>
  </si>
  <si>
    <t>Акт входного контроля грин01925 от 04.11.2025 13:36:01</t>
  </si>
  <si>
    <t>Акт входного контроля грин01926 от 04.11.2025 14:10:06</t>
  </si>
  <si>
    <t>Акт входного контроля грин01917 от 04.11.2025 15:12:44</t>
  </si>
  <si>
    <t>Акт входного контроля грин01918 от 04.11.2025 16:21:38</t>
  </si>
  <si>
    <t>Акт входного контроля грин01927 от 04.11.2025 16:30:15</t>
  </si>
  <si>
    <t>Акт входного контроля грин01919 от 04.11.2025 16:43:50</t>
  </si>
  <si>
    <t>Акт входного контроля грин01928 от 04.11.2025 17:37:23</t>
  </si>
  <si>
    <t>Акт входного контроля грин01920 от 04.11.2025 18:49:22</t>
  </si>
  <si>
    <t>Акт входного контроля грин01921 от 04.11.2025 19:18:35</t>
  </si>
  <si>
    <t>Акт входного контроля грин01929 от 04.11.2025 19:33:27</t>
  </si>
  <si>
    <t>Акт входного контроля грин01922 от 04.11.2025 21:38:02</t>
  </si>
  <si>
    <t>Акт входного контроля грин01923 от 04.11.2025 23:42:40</t>
  </si>
  <si>
    <t>Акт входного контроля грин01924 от 04.11.2025 23:46:02</t>
  </si>
  <si>
    <t>грин01873</t>
  </si>
  <si>
    <t>грин01858</t>
  </si>
  <si>
    <t>грин01859</t>
  </si>
  <si>
    <t>грин01860</t>
  </si>
  <si>
    <t>грин01867</t>
  </si>
  <si>
    <t>грин01868</t>
  </si>
  <si>
    <t>грин01869</t>
  </si>
  <si>
    <t>грин01870</t>
  </si>
  <si>
    <t>грин01871</t>
  </si>
  <si>
    <t>грин01872</t>
  </si>
  <si>
    <t>грин01861</t>
  </si>
  <si>
    <t>грин01862</t>
  </si>
  <si>
    <t>грин01874</t>
  </si>
  <si>
    <t>грин01875</t>
  </si>
  <si>
    <t>грин01863</t>
  </si>
  <si>
    <t>грин01864</t>
  </si>
  <si>
    <t>грин01876</t>
  </si>
  <si>
    <t>грин01877</t>
  </si>
  <si>
    <t>грин01878</t>
  </si>
  <si>
    <t>грин01879</t>
  </si>
  <si>
    <t>грин01865</t>
  </si>
  <si>
    <t>грин01866</t>
  </si>
  <si>
    <t>грин01880</t>
  </si>
  <si>
    <t>грин01881</t>
  </si>
  <si>
    <t>грин01887</t>
  </si>
  <si>
    <t>грин01892</t>
  </si>
  <si>
    <t>грин01893</t>
  </si>
  <si>
    <t>грин01889</t>
  </si>
  <si>
    <t>грин01888</t>
  </si>
  <si>
    <t>грин01890</t>
  </si>
  <si>
    <t>грин01894</t>
  </si>
  <si>
    <t>грин01899</t>
  </si>
  <si>
    <t>грин01882</t>
  </si>
  <si>
    <t>грин01895</t>
  </si>
  <si>
    <t>грин01896</t>
  </si>
  <si>
    <t>грин01897</t>
  </si>
  <si>
    <t>грин01898</t>
  </si>
  <si>
    <t>грин01891</t>
  </si>
  <si>
    <t>грин01883</t>
  </si>
  <si>
    <t>грин01884</t>
  </si>
  <si>
    <t>грин01885</t>
  </si>
  <si>
    <t>грин01886</t>
  </si>
  <si>
    <t>грин01900</t>
  </si>
  <si>
    <t>грин01908</t>
  </si>
  <si>
    <t>грин01909</t>
  </si>
  <si>
    <t>грин01910</t>
  </si>
  <si>
    <t>грин01912</t>
  </si>
  <si>
    <t>грин01901</t>
  </si>
  <si>
    <t>грин01904</t>
  </si>
  <si>
    <t>грин01911</t>
  </si>
  <si>
    <t>грин01905</t>
  </si>
  <si>
    <t>грин01913</t>
  </si>
  <si>
    <t>грин01906</t>
  </si>
  <si>
    <t>грин01914</t>
  </si>
  <si>
    <t>грин01915</t>
  </si>
  <si>
    <t>грин01907</t>
  </si>
  <si>
    <t>грин01916</t>
  </si>
  <si>
    <t>грин01925</t>
  </si>
  <si>
    <t>грин01926</t>
  </si>
  <si>
    <t>грин01917</t>
  </si>
  <si>
    <t>грин01918</t>
  </si>
  <si>
    <t>грин01927</t>
  </si>
  <si>
    <t>грин01919</t>
  </si>
  <si>
    <t>грин01928</t>
  </si>
  <si>
    <t>грин01920</t>
  </si>
  <si>
    <t>грин01921</t>
  </si>
  <si>
    <t>грин01929</t>
  </si>
  <si>
    <t>грин01922</t>
  </si>
  <si>
    <t>грин01923</t>
  </si>
  <si>
    <t>грин01924</t>
  </si>
  <si>
    <t>Акт входного контроля грин01932 от 05.11.2025 11:15:11</t>
  </si>
  <si>
    <t>Акт входного контроля грин01933 от 05.11.2025 11:46:19</t>
  </si>
  <si>
    <t>грин01932</t>
  </si>
  <si>
    <t>грин01933</t>
  </si>
  <si>
    <t>23.10-04.11.2025</t>
  </si>
  <si>
    <t>Акт входного контроля грин01941 от 05.11.2025 16:30:16</t>
  </si>
  <si>
    <t>Акт входного контроля грин01942 от 05.11.2025 16:37:21</t>
  </si>
  <si>
    <t>Акт входного контроля грин01934 от 05.11.2025 17:24:53</t>
  </si>
  <si>
    <t>Акт входного контроля грин01935 от 05.11.2025 17:26:23</t>
  </si>
  <si>
    <t>Акт входного контроля грин01936 от 05.11.2025 17:54:47</t>
  </si>
  <si>
    <t>Акт входного контроля грин01943 от 05.11.2025 18:03:23</t>
  </si>
  <si>
    <t>Акт входного контроля грин01937 от 05.11.2025 19:00:27</t>
  </si>
  <si>
    <t>Акт входного контроля грин01944 от 05.11.2025 20:17:39</t>
  </si>
  <si>
    <t>Акт входного контроля грин01945 от 05.11.2025 20:32:34</t>
  </si>
  <si>
    <t>Акт входного контроля грин01938 от 05.11.2025 21:43:48</t>
  </si>
  <si>
    <t>Акт входного контроля грин01939 от 05.11.2025 22:03:11</t>
  </si>
  <si>
    <t>Акт входного контроля грин01940 от 05.11.2025 23:50:15</t>
  </si>
  <si>
    <t>грин01941</t>
  </si>
  <si>
    <t>грин01942</t>
  </si>
  <si>
    <t>грин01934</t>
  </si>
  <si>
    <t>грин01935</t>
  </si>
  <si>
    <t>грин01936</t>
  </si>
  <si>
    <t>грин01943</t>
  </si>
  <si>
    <t>грин01937</t>
  </si>
  <si>
    <t>грин01944</t>
  </si>
  <si>
    <t>грин01945</t>
  </si>
  <si>
    <t>грин01938</t>
  </si>
  <si>
    <t>грин01939</t>
  </si>
  <si>
    <t>грин01940</t>
  </si>
  <si>
    <t>тестовая</t>
  </si>
  <si>
    <t>Акт входного контроля грин01946 от 05.11.2025 22:57:09</t>
  </si>
  <si>
    <t>Акт входного контроля грин01947 от 05.11.2025 23:02:08</t>
  </si>
  <si>
    <t>Акт входного контроля грин01948 от 06.11.2025 12:11:44</t>
  </si>
  <si>
    <t>грин01946</t>
  </si>
  <si>
    <t>грин01947</t>
  </si>
  <si>
    <t>грин01948</t>
  </si>
  <si>
    <t>Акт входного контроля грин01955 от 06.11.2025 9:51:46</t>
  </si>
  <si>
    <t>Акт входного контроля грин01956 от 06.11.2025 11:38:02</t>
  </si>
  <si>
    <t>Акт входного контроля грин01957 от 06.11.2025 13:36:24</t>
  </si>
  <si>
    <t>Акт входного контроля грин01949 от 06.11.2025 14:59:31</t>
  </si>
  <si>
    <t>Акт входного контроля грин01950 от 06.11.2025 16:34:17</t>
  </si>
  <si>
    <t>Акт входного контроля грин01958 от 06.11.2025 16:34:36</t>
  </si>
  <si>
    <t>Акт входного контроля грин01959 от 06.11.2025 17:35:10</t>
  </si>
  <si>
    <t>Акт входного контроля грин01951 от 06.11.2025 18:41:09</t>
  </si>
  <si>
    <t>Акт входного контроля грин01952 от 06.11.2025 20:57:14</t>
  </si>
  <si>
    <t>Акт входного контроля грин01953 от 06.11.2025 22:27:21</t>
  </si>
  <si>
    <t>Акт входного контроля грин01954 от 06.11.2025 23:35:20</t>
  </si>
  <si>
    <t>грин01955</t>
  </si>
  <si>
    <t>грин01956</t>
  </si>
  <si>
    <t>грин01957</t>
  </si>
  <si>
    <t>грин01949</t>
  </si>
  <si>
    <t>грин01950</t>
  </si>
  <si>
    <t>грин01958</t>
  </si>
  <si>
    <t>грин01959</t>
  </si>
  <si>
    <t>грин01951</t>
  </si>
  <si>
    <t>грин01952</t>
  </si>
  <si>
    <t>грин01953</t>
  </si>
  <si>
    <t>грин01954</t>
  </si>
  <si>
    <t>Акт входного контроля грин01931 от 04.11.2025 20:18:29</t>
  </si>
  <si>
    <t>Акт входного контроля грин01930 от 04.11.2025 20:22:56</t>
  </si>
  <si>
    <t>грин01931</t>
  </si>
  <si>
    <t>грин01930</t>
  </si>
  <si>
    <t>Акт входного контроля грин01960 от 06.11.2025 17:38:56</t>
  </si>
  <si>
    <t>грин01960</t>
  </si>
  <si>
    <t>Акт входного контроля грин01961 от 08.11.2025 18:01:42</t>
  </si>
  <si>
    <t>Акт входного контроля грин01962 от 08.11.2025 22:02:13</t>
  </si>
  <si>
    <t>Акт входного контроля грин01963 от 08.11.2025 22:39:16</t>
  </si>
  <si>
    <t>Акт входного контроля грин01964 от 08.11.2025 19:49:02</t>
  </si>
  <si>
    <t>Акт входного контроля грин01965 от 08.11.2025 20:34:54</t>
  </si>
  <si>
    <t>Акт входного контроля грин01966 от 08.11.2025 21:17:15</t>
  </si>
  <si>
    <t>Акт входного контроля грин01967 от 08.11.2025 22:15:51</t>
  </si>
  <si>
    <t>Акт входного контроля грин01968 от 08.11.2025 23:22:28</t>
  </si>
  <si>
    <t>Акт входного контроля грин01969 от 09.11.2025 7:49:36</t>
  </si>
  <si>
    <t>Акт входного контроля грин01970 от 09.11.2025 8:16:25</t>
  </si>
  <si>
    <t>Акт входного контроля грин01971 от 09.11.2025 9:48:03</t>
  </si>
  <si>
    <t>Акт входного контроля грин01972 от 09.11.2025 11:01:14</t>
  </si>
  <si>
    <t>Акт входного контроля грин01973 от 09.11.2025 12:18:32</t>
  </si>
  <si>
    <t>Акт входного контроля грин01974 от 09.11.2025 13:42:53</t>
  </si>
  <si>
    <t>Акт входного контроля грин01975 от 09.11.2025 14:24:27</t>
  </si>
  <si>
    <t>Акт входного контроля грин01976 от 09.11.2025 15:36:20</t>
  </si>
  <si>
    <t>Акт входного контроля грин01977 от 09.11.2025 20:31:05</t>
  </si>
  <si>
    <t>Акт входного контроля грин01978 от 09.11.2025 22:03:34</t>
  </si>
  <si>
    <t>Акт входного контроля грин01979 от 09.11.2025 23:37:50</t>
  </si>
  <si>
    <t>Акт входного контроля грин01980 от 09.11.2025 23:48:25</t>
  </si>
  <si>
    <t>Акт входного контроля грин01981 от 09.11.2025 13:07:39</t>
  </si>
  <si>
    <t>Акт входного контроля грин01982 от 09.11.2025 15:07:21</t>
  </si>
  <si>
    <t>Акт входного контроля грин01983 от 09.11.2025 15:18:05</t>
  </si>
  <si>
    <t>Акт входного контроля грин01984 от 09.11.2025 15:47:17</t>
  </si>
  <si>
    <t>Акт входного контроля грин01985 от 09.11.2025 18:34:09</t>
  </si>
  <si>
    <t>грин01961</t>
  </si>
  <si>
    <t>грин01962</t>
  </si>
  <si>
    <t>грин01963</t>
  </si>
  <si>
    <t>грин01964</t>
  </si>
  <si>
    <t>грин01965</t>
  </si>
  <si>
    <t>грин01966</t>
  </si>
  <si>
    <t>грин01967</t>
  </si>
  <si>
    <t>грин01968</t>
  </si>
  <si>
    <t>грин01969</t>
  </si>
  <si>
    <t>грин01970</t>
  </si>
  <si>
    <t>грин01971</t>
  </si>
  <si>
    <t>грин01972</t>
  </si>
  <si>
    <t>грин01973</t>
  </si>
  <si>
    <t>грин01974</t>
  </si>
  <si>
    <t>грин01975</t>
  </si>
  <si>
    <t>грин01976</t>
  </si>
  <si>
    <t>грин01977</t>
  </si>
  <si>
    <t>грин01978</t>
  </si>
  <si>
    <t>грин01979</t>
  </si>
  <si>
    <t>грин01980</t>
  </si>
  <si>
    <t>грин01981</t>
  </si>
  <si>
    <t>грин01982</t>
  </si>
  <si>
    <t>грин01983</t>
  </si>
  <si>
    <t>грин01984</t>
  </si>
  <si>
    <t>грин01985</t>
  </si>
  <si>
    <t>Акт входного контроля грин01986 от 05.11.2025 5:05:10</t>
  </si>
  <si>
    <t>грин01986</t>
  </si>
  <si>
    <t>Акт входного контроля грин01987 от 09.11.2025 18:50:38</t>
  </si>
  <si>
    <t>Акт входного контроля грин01988 от 09.11.2025 19:08:30</t>
  </si>
  <si>
    <t>Акт входного контроля грин01989 от 09.11.2025 19:14:35</t>
  </si>
  <si>
    <t>Акт входного контроля грин01990 от 09.11.2025 19:17:41</t>
  </si>
  <si>
    <t>грин01987</t>
  </si>
  <si>
    <t>грин01988</t>
  </si>
  <si>
    <t>грин01989</t>
  </si>
  <si>
    <t>грин01990</t>
  </si>
  <si>
    <t>Акт входного контроля грин01991 от 09.11.2025 20:36:28</t>
  </si>
  <si>
    <t>Акт входного контроля грин01992 от 09.11.2025 20:41:16</t>
  </si>
  <si>
    <t>Акт входного контроля грин01993 от 09.11.2025 22:25:29</t>
  </si>
  <si>
    <t>Акт входного контроля грин01994 от 09.11.2025 22:58:02</t>
  </si>
  <si>
    <t>Акт входного контроля грин01995 от 09.11.2025 23:06:59</t>
  </si>
  <si>
    <t>грин01991</t>
  </si>
  <si>
    <t>грин01992</t>
  </si>
  <si>
    <t>грин01993</t>
  </si>
  <si>
    <t>грин01994</t>
  </si>
  <si>
    <t>грин01995</t>
  </si>
  <si>
    <t>(Все)</t>
  </si>
  <si>
    <t>будет уточнение по 1 машине</t>
  </si>
  <si>
    <t>Акт входного контроля грин01996 от 05.11.2025 5:05:10</t>
  </si>
  <si>
    <t>грин01996</t>
  </si>
  <si>
    <t>05.11.202</t>
  </si>
  <si>
    <t>№ акта</t>
  </si>
  <si>
    <t>ГУДНЕСС ФУДС ДЖАЛГА ООО</t>
  </si>
  <si>
    <t>ГУДНЕСС ФУДС ИПАТОВСКИЙ ООО</t>
  </si>
  <si>
    <t>ГУДНЕСС ФУДС ГОФИЦКОЕ ООО</t>
  </si>
  <si>
    <t>Акт входного контроля грин01932 от 05.11.2025 17:23:54</t>
  </si>
  <si>
    <t>Акт входного контроля грин01933 от 05.11.2025 17:24:22</t>
  </si>
  <si>
    <t>Акт входного контроля грин01534 от 16.10.2025 10:26:48</t>
  </si>
  <si>
    <t>грин01535</t>
  </si>
  <si>
    <t>грин01536</t>
  </si>
  <si>
    <t>Акт входного контроля грин01614 от 21.10.2025 8:08:42</t>
  </si>
  <si>
    <t>08-23.10.2025</t>
  </si>
  <si>
    <t>11-20.10.2025</t>
  </si>
  <si>
    <t>05-07.10.2025</t>
  </si>
  <si>
    <t>(несколько элементов)</t>
  </si>
  <si>
    <t>см. Щербет</t>
  </si>
  <si>
    <t>2026 г.</t>
  </si>
  <si>
    <t>Показатели 2026 г.</t>
  </si>
  <si>
    <t>Акт входного контроля 000000762 от 03.08.2026 15:49:51</t>
  </si>
  <si>
    <t>913/1</t>
  </si>
  <si>
    <t>Гуйда Николай Николаевич</t>
  </si>
  <si>
    <t>Кукуруза сахарная (из суперсладких сортов) 2026</t>
  </si>
  <si>
    <t>Акт входного контроля 000000763 от 03.08.2026 16:39:53</t>
  </si>
  <si>
    <t>916/2</t>
  </si>
  <si>
    <t>Акт входного контроля 000000764 от 03.08.2026 17:16:48</t>
  </si>
  <si>
    <t>920/3</t>
  </si>
  <si>
    <t>Акт входного контроля 000000765 от 03.08.2026 19:59:10</t>
  </si>
  <si>
    <t>922/4</t>
  </si>
  <si>
    <t>А718ВХ</t>
  </si>
  <si>
    <t>Акт входного контроля 000000766 от 03.08.2026 20:56:05</t>
  </si>
  <si>
    <t>923/5</t>
  </si>
  <si>
    <t>Акт входного контроля 000000767 от 03.08.2026 21:50:55</t>
  </si>
  <si>
    <t>924/6</t>
  </si>
  <si>
    <t>Акт входного контроля 000000768 от 03.08.2026 22:32:21</t>
  </si>
  <si>
    <t>Акт входного контроля 000000769 от 03.08.2026 22:34:12</t>
  </si>
  <si>
    <t>Акт входного контроля 000000770 от 03.08.2026 22:43:51</t>
  </si>
  <si>
    <t>Акт входного контроля 000000771 от 03.08.2026 23:48:42</t>
  </si>
  <si>
    <t>Акт входного контроля 000000772 от 04.08.2026 2:29:14</t>
  </si>
  <si>
    <t>Акт входного контроля 000000773 от 04.08.2026 3:00:37</t>
  </si>
  <si>
    <t>Акт входного контроля 000000774 от 04.08.2026 4:05:07</t>
  </si>
  <si>
    <t>Акт входного контроля 000000775 от 04.08.2026 4:55:51</t>
  </si>
  <si>
    <t>Акт входного контроля 000000776 от 04.08.2026 5:37:16</t>
  </si>
  <si>
    <t>Акт входного контроля 000000777 от 04.08.2026 7:16:22</t>
  </si>
  <si>
    <t>Смена</t>
  </si>
  <si>
    <t>КА</t>
  </si>
  <si>
    <t>Акт входного контроля 000000778 от 04.08.2026 15:38:52</t>
  </si>
  <si>
    <t>Акт входного контроля 000000779 от 04.08.2026 15:49:29</t>
  </si>
  <si>
    <t>Акт входного контроля 000000780 от 04.08.2026 15:52:43</t>
  </si>
  <si>
    <t>Акт входного контроля 000000781 от 04.08.2026 15:56:42</t>
  </si>
  <si>
    <t>Акт входного контроля 000000782 от 04.08.2026 15:59:33</t>
  </si>
  <si>
    <t>Акт входного контроля 000000783 от 04.08.2026 16:03:56</t>
  </si>
  <si>
    <t>Акт входного контроля 000000784 от 04.08.2026 16:06:50</t>
  </si>
  <si>
    <t>Акт входного контроля 000000785 от 04.08.2026 18:50:58</t>
  </si>
  <si>
    <t>Акт входного контроля 000000786 от 04.08.2026 18:55:41</t>
  </si>
  <si>
    <t>Акт входного контроля 000000787 от 04.08.2026 18:57:59</t>
  </si>
  <si>
    <t>Акт входного контроля 000000788 от 04.08.2026 20:49:31</t>
  </si>
  <si>
    <t>А-114</t>
  </si>
  <si>
    <t>Акт входного контроля 000000789 от 04.08.2026 20:54:21</t>
  </si>
  <si>
    <t>Акт входного контроля 000000790 от 04.08.2026 21:00:44</t>
  </si>
  <si>
    <t>Акт входного контроля 000000791 от 04.08.2026 21:16:25</t>
  </si>
  <si>
    <t>Акт входного контроля 000000795 от 04.08.2026 23:16:40</t>
  </si>
  <si>
    <t>Акт входного контроля 000000792 от 04.08.2026 23:46:20</t>
  </si>
  <si>
    <t>Акт входного контроля 000000793 от 04.08.2026 23:50:58</t>
  </si>
  <si>
    <t>Акт входного контроля 000000794 от 04.08.2026 23:53:04</t>
  </si>
  <si>
    <t>Акт входного контроля 000000796 от 05.08.2026 2:29:56</t>
  </si>
  <si>
    <t>Акт входного контроля 000000797 от 05.08.2026 2:41:51</t>
  </si>
  <si>
    <t>Акт входного контроля 000000798 от 05.08.2026 3:25:23</t>
  </si>
  <si>
    <t>Акт входного контроля 000000801 от 05.08.2026 4:33:04</t>
  </si>
  <si>
    <t>Акт входного контроля 000000799 от 05.08.2026 5:38:34</t>
  </si>
  <si>
    <t>Акт входного контроля 000000800 от 05.08.2026 5:42:11</t>
  </si>
  <si>
    <t>Акт входного контроля 000000802 от 05.08.2026 7:59:23</t>
  </si>
  <si>
    <t>опыт (сорт Макарон)</t>
  </si>
  <si>
    <t>Акт входного контроля 000000803 от 05.08.2026 8:43:54</t>
  </si>
  <si>
    <t>Акт входного контроля 000000804 от 05.08.2026 10:30:05</t>
  </si>
  <si>
    <t>Акт входного контроля 000000805 от 05.08.2026 10:34:42</t>
  </si>
  <si>
    <t>Сосков Н.А</t>
  </si>
  <si>
    <t>К188ОЕ</t>
  </si>
  <si>
    <t>Акт входного контроля 000000806 от 05.08.2026 10:51:13</t>
  </si>
  <si>
    <t>Акт входного контроля 000000807 от 05.08.2026 11:36:43</t>
  </si>
  <si>
    <t xml:space="preserve">Сосков Денис Николаевич </t>
  </si>
  <si>
    <t>С693ТТ</t>
  </si>
  <si>
    <t>Акт входного контроля 000000808 от 05.08.2026 12:03:58</t>
  </si>
  <si>
    <t>Акт входного контроля 000000809 от 05.08.2026 13:13:39</t>
  </si>
  <si>
    <t>Акт входного контроля 000000810 от 05.08.2026 14:56:50</t>
  </si>
  <si>
    <t>Акт входного контроля 000000811 от 05.08.2026 15:12:05</t>
  </si>
  <si>
    <t>Акт входного контроля 000000812 от 05.08.2026 16:18:21</t>
  </si>
  <si>
    <t>Акт входного контроля 000000813 от 05.08.2026 16:39:59</t>
  </si>
  <si>
    <t>Акт входного контроля 000000814 от 05.08.2026 17:36:56</t>
  </si>
  <si>
    <t>Акт входного контроля 000000815 от 05.08.2026 18:29:56</t>
  </si>
  <si>
    <t>Акт входного контроля 000000816 от 05.08.2026 20:04:04</t>
  </si>
  <si>
    <t>Акт входного контроля 000000817 от 05.08.2026 20:45:26</t>
  </si>
  <si>
    <t>Акт входного контроля 000000818 от 05.08.2026 22:14:15</t>
  </si>
  <si>
    <t>Акт входного контроля 000000819 от 05.08.2026 22:28:56</t>
  </si>
  <si>
    <t>Акт входного контроля 000000822 от 05.08.2026 23:09:34</t>
  </si>
  <si>
    <t>Акт входного контроля 000000820 от 05.08.2026 23:24:15</t>
  </si>
  <si>
    <t>Акт входного контроля 000000821 от 05.08.2026 23:39:15</t>
  </si>
  <si>
    <t>Акт входного контроля 000000823 от 06.08.2026 1:05:44</t>
  </si>
  <si>
    <t>Акт входного контроля 000000824 от 06.08.2026 1:15:23</t>
  </si>
  <si>
    <t>Акт входного контроля 000000825 от 06.08.2026 2:55:42</t>
  </si>
  <si>
    <t>Акт входного контроля 000000826 от 06.08.2026 3:13:15</t>
  </si>
  <si>
    <t>Акт входного контроля 000000827 от 06.08.2026 4:26:03</t>
  </si>
  <si>
    <t>Акт входного контроля 000000828 от 06.08.2026 5:23:22</t>
  </si>
  <si>
    <t>Акт входного контроля 000000831 от 06.08.2026 5:40:37</t>
  </si>
  <si>
    <t>Акт входного контроля 000000829 от 06.08.2026 6:18:12</t>
  </si>
  <si>
    <t>Акт входного контроля 000000832 от 06.08.2026 6:24:01</t>
  </si>
  <si>
    <t>Акт входного контроля 000000830 от 06.08.2026 6:32:26</t>
  </si>
  <si>
    <t>Акт входного контроля 000000833 от 06.08.2026 11:58:44</t>
  </si>
  <si>
    <t>Акт входного контроля 000000834 от 06.08.2026 12:00:21</t>
  </si>
  <si>
    <t>Акт входного контроля 000000835 от 06.08.2026 12:02:15</t>
  </si>
  <si>
    <t>Акт входного контроля 000000836 от 06.08.2026 13:41:15</t>
  </si>
  <si>
    <t>Акт входного контроля 000000837 от 06.08.2026 13:48:24</t>
  </si>
  <si>
    <t>Акт входного контроля 000000838 от 06.08.2026 13:53:38</t>
  </si>
  <si>
    <t>Акт входного контроля 000000839 от 06.08.2026 15:32:45</t>
  </si>
  <si>
    <t>Акт входного контроля 000000840 от 06.08.2026 15:40:48</t>
  </si>
  <si>
    <t>Акт входного контроля 000000841 от 06.08.2026 16:19:26</t>
  </si>
  <si>
    <t>Акт входного контроля 000000842 от 06.08.2026 17:22:15</t>
  </si>
  <si>
    <t>Акт входного контроля 000000843 от 06.08.2026 18:21:05</t>
  </si>
  <si>
    <t>Акт входного контроля 000000844 от 06.08.2026 19:25:03</t>
  </si>
  <si>
    <t>Акт входного контроля 000000845 от 06.08.2026 20:29:13</t>
  </si>
  <si>
    <t>Акт входного контроля 000000846 от 06.08.2026 21:23:04</t>
  </si>
  <si>
    <t>Акт входного контроля 000000847 от 06.08.2026 22:23:31</t>
  </si>
  <si>
    <t>Акт входного контроля 000000850 от 06.08.2026 22:39:48</t>
  </si>
  <si>
    <t>Акт входного контроля 000000848 от 06.08.2026 23:03:29</t>
  </si>
  <si>
    <t>Акт входного контроля 000000849 от 06.08.2026 23:24:01</t>
  </si>
  <si>
    <t>Акт входного контроля 000000851 от 07.08.2026 0:54:11</t>
  </si>
  <si>
    <t>Акт входного контроля 000000852 от 07.08.2026 1:27:29</t>
  </si>
  <si>
    <t>Акт входного контроля 000000853 от 07.08.2026 2:14:55</t>
  </si>
  <si>
    <t>Акт входного контроля 000000854 от 07.08.2026 3:22:32</t>
  </si>
  <si>
    <t>Акт входного контроля 000000855 от 07.08.2026 4:33:46</t>
  </si>
  <si>
    <t>Акт входного контроля 000000856 от 07.08.2026 5:04:33</t>
  </si>
  <si>
    <t>Акт входного контроля 000000857 от 07.08.2026 6:07:06</t>
  </si>
  <si>
    <t>Акт входного контроля 000000858 от 07.08.2026 7:46:37</t>
  </si>
  <si>
    <t>ОБЩАЯ ИНФОРМАЦИЯ ПО УБОРКЕ КУКУРУЗЫ САХАРНОЙ И СУПЕРСЛАДКОЙ - СЕЗОН 2026 г.</t>
  </si>
  <si>
    <t>Акт входного контроля 000000859 от 07.08.2026 9:26:10</t>
  </si>
  <si>
    <t>Акт входного контроля 000000860 от 07.08.2026 10:48:04</t>
  </si>
  <si>
    <t>Акт входного контроля 000000861 от 07.08.2026 11:03:55</t>
  </si>
  <si>
    <t>Акт входного контроля 000000862 от 07.08.2026 11:07:39</t>
  </si>
  <si>
    <t>Акт входного контроля 000000863 от 07.08.2026 13:27:10</t>
  </si>
  <si>
    <t>Акт входного контроля 000000864 от 07.08.2026 13:30:22</t>
  </si>
  <si>
    <t>Акт входного контроля 000000865 от 07.08.2026 13:38:35</t>
  </si>
  <si>
    <t>Акт входного контроля 000000866 от 07.08.2026 14:34:37</t>
  </si>
  <si>
    <t>Акт входного контроля 000000867 от 07.08.2026 15:28:40</t>
  </si>
  <si>
    <t>Акт входного контроля 000000868 от 07.08.2026 16:52:10</t>
  </si>
  <si>
    <t>Акт входного контроля 000000870 от 07.08.2026 17:05:14</t>
  </si>
  <si>
    <t>Акт входного контроля 000000871 от 07.08.2026 19:30:16</t>
  </si>
  <si>
    <t>Акт входного контроля 000000872 от 07.08.2026 19:33:44</t>
  </si>
  <si>
    <t>Акт входного контроля 000000873 от 07.08.2026 20:52:23</t>
  </si>
  <si>
    <t>Акт входного контроля 000000874 от 07.08.2026 20:59:07</t>
  </si>
  <si>
    <t>Акт входного контроля 000000875 от 07.08.2026 22:26:53</t>
  </si>
  <si>
    <t>Акт входного контроля 000000876 от 07.08.2026 22:33:18</t>
  </si>
  <si>
    <t>Акт входного контроля 000000877 от 07.08.2026 23:19:58</t>
  </si>
  <si>
    <t>Акт входного контроля 000000878 от 07.08.2026 23:57:42</t>
  </si>
  <si>
    <t>К571ТА</t>
  </si>
  <si>
    <t>9 им. Кирова</t>
  </si>
  <si>
    <t>Кукуруза сахарная 2026 АО совхоз им.Кирова</t>
  </si>
  <si>
    <t>Акт входного контроля 000000879 от 08.08.2026 5:17:38</t>
  </si>
  <si>
    <t>Чернецов Александр</t>
  </si>
  <si>
    <t>В577ЕТ</t>
  </si>
  <si>
    <t>Акт входного контроля 000000880 от 08.08.2026 5:26:39</t>
  </si>
  <si>
    <t>Акт входного контроля 000000881 от 08.08.2026 8:46:43</t>
  </si>
  <si>
    <t>Акт входного контроля 000000882 от 08.08.2026 10:20:10</t>
  </si>
  <si>
    <t>Акт входного контроля 000000883 от 08.08.2026 10:22:35</t>
  </si>
  <si>
    <t xml:space="preserve">Пугачев Владимир Сергеевич </t>
  </si>
  <si>
    <t>Акт входного контроля 000000884 от 08.08.2026 12:04:29</t>
  </si>
  <si>
    <t>Акт входного контроля 000000885 от 08.08.2026 14:06:37</t>
  </si>
  <si>
    <t>Блажко А.Н.</t>
  </si>
  <si>
    <t>Е844ВМ</t>
  </si>
  <si>
    <t>Акт входного контроля 000000886 от 08.08.2026 14:08:22</t>
  </si>
  <si>
    <t>Акт входного контроля 000000887 от 08.08.2026 15:05:31</t>
  </si>
  <si>
    <t xml:space="preserve">Зателепа Вячеслав Анатольевич </t>
  </si>
  <si>
    <t>Х775ХА</t>
  </si>
  <si>
    <t>Акт входного контроля 000000888 от 08.08.2026 15:37:21</t>
  </si>
  <si>
    <t>Акт входного контроля 000000889 от 08.08.2026 16:42:01</t>
  </si>
  <si>
    <t>Рудик АИ</t>
  </si>
  <si>
    <t>Акт входного контроля 000000890 от 08.08.2026 17:50:16</t>
  </si>
  <si>
    <t>Акт входного контроля 000000891 от 08.08.2026 20:13:45</t>
  </si>
  <si>
    <t>Гревцев Алексей Юрьевич</t>
  </si>
  <si>
    <t>С454МР</t>
  </si>
  <si>
    <t>Акт входного контроля 000000894 от 08.08.2026 20:48:47</t>
  </si>
  <si>
    <t>Очкасов С.С.</t>
  </si>
  <si>
    <t>В399АМ</t>
  </si>
  <si>
    <t>Акт входного контроля 000000895 от 08.08.2026 21:18:06</t>
  </si>
  <si>
    <t>Данилов А.Д</t>
  </si>
  <si>
    <t>К618ТА</t>
  </si>
  <si>
    <t>Акт входного контроля 000000892 от 08.08.2026 22:07:03</t>
  </si>
  <si>
    <t>Смирнов А.Ю.</t>
  </si>
  <si>
    <t>С473ММ</t>
  </si>
  <si>
    <t>Акт входного контроля 000000893 от 08.08.2026 22:10:06</t>
  </si>
  <si>
    <t>Лубяной Ю.Г.</t>
  </si>
  <si>
    <t>С474МВ</t>
  </si>
  <si>
    <t>Акт входного контроля 000000896 от 08.08.2026 23:20:17</t>
  </si>
  <si>
    <t>Винников В.П.</t>
  </si>
  <si>
    <t>Х480РО</t>
  </si>
  <si>
    <t>Акт входного контроля 000000897 от 08.08.2026 23:34:52</t>
  </si>
  <si>
    <t>Акт входного контроля 000000898 от 09.08.2026 2:19:30</t>
  </si>
  <si>
    <t>Акт входного контроля 000000899 от 09.08.2026 5:04:13</t>
  </si>
  <si>
    <t>Акт входного контроля 000000900 от 09.08.2026 5:07:17</t>
  </si>
  <si>
    <t>Акт входного контроля 000000901 от 09.08.2026 5:09:53</t>
  </si>
  <si>
    <t>Акт входного контроля 000000902 от 09.08.2026 5:19:22</t>
  </si>
  <si>
    <t>Акт входного контроля 000000903 от 09.08.2026 9:25:00</t>
  </si>
  <si>
    <t>Акт входного контроля 000000904 от 09.08.2026 9:28:19</t>
  </si>
  <si>
    <t>Акт входного контроля 000000905 от 09.08.2026 11:47:50</t>
  </si>
  <si>
    <t>Чернышов А. П.</t>
  </si>
  <si>
    <t>К480ТА</t>
  </si>
  <si>
    <t>Акт входного контроля 000000906 от 09.08.2026 12:44:46</t>
  </si>
  <si>
    <t>Акт входного контроля 000000907 от 09.08.2026 12:47:07</t>
  </si>
  <si>
    <t>Акт входного контроля 000000908 от 09.08.2026 14:09:11</t>
  </si>
  <si>
    <t>Акт входного контроля 000000909 от 09.08.2026 14:11:54</t>
  </si>
  <si>
    <t>Акт входного контроля 000000921 от 09.08.2026 15:43:05</t>
  </si>
  <si>
    <t>Акт входного контроля 000000910 от 09.08.2026 17:00:19</t>
  </si>
  <si>
    <t>Акулов Иван Иванович</t>
  </si>
  <si>
    <t>В549НМ</t>
  </si>
  <si>
    <t>Акт входного контроля 000000911 от 09.08.2026 17:08:36</t>
  </si>
  <si>
    <t>Акт входного контроля 000000912 от 09.08.2026 17:20:43</t>
  </si>
  <si>
    <t>Акт входного контроля 000000913 от 09.08.2026 17:34:46</t>
  </si>
  <si>
    <t>Акт входного контроля 000000922 от 09.08.2026 17:37:17</t>
  </si>
  <si>
    <t>Акт входного контроля 000000914 от 09.08.2026 18:40:13</t>
  </si>
  <si>
    <t>Акт входного контроля 000000915 от 09.08.2026 19:12:47</t>
  </si>
  <si>
    <t>Акт входного контроля 000000923 от 09.08.2026 19:24:42</t>
  </si>
  <si>
    <t>Акт входного контроля 000000916 от 09.08.2026 20:29:58</t>
  </si>
  <si>
    <t>Акт входного контроля 000000924 от 09.08.2026 21:11:24</t>
  </si>
  <si>
    <t>Акт входного контроля 000000917 от 09.08.2026 21:43:18</t>
  </si>
  <si>
    <t>Акт входного контроля 000000918 от 09.08.2026 21:55:08</t>
  </si>
  <si>
    <t>Акт входного контроля 000000919 от 09.08.2026 23:02:27</t>
  </si>
  <si>
    <t>Акт входного контроля 000000925 от 09.08.2026 23:06:31</t>
  </si>
  <si>
    <t>Акт входного контроля 000000920 от 09.08.2026 23:38:59</t>
  </si>
  <si>
    <t>Акт входного контроля 000000926 от 10.08.2026 4:28:37</t>
  </si>
  <si>
    <t>Акт входного контроля 000000927 от 10.08.2026 5:30:20</t>
  </si>
  <si>
    <t>Ушаков С.Е.</t>
  </si>
  <si>
    <t>0212РТ</t>
  </si>
  <si>
    <t>Акт входного контроля 000000928 от 10.08.2026 6:06:49</t>
  </si>
  <si>
    <t>Акт входного контроля 000000929 от 10.08.2026 9:11:10</t>
  </si>
  <si>
    <t>Акт входного контроля 000000930 от 10.08.2026 9:58:05</t>
  </si>
  <si>
    <t>Акт входного контроля 000000931 от 10.08.2026 11:26:43</t>
  </si>
  <si>
    <t>Акт входного контроля 000000932 от 10.08.2026 14:47:07</t>
  </si>
  <si>
    <t>Акт входного контроля 000000933 от 10.08.2026 14:51:56</t>
  </si>
  <si>
    <t>Акт входного контроля 000000934 от 10.08.2026 14:55:09</t>
  </si>
  <si>
    <t>Акт входного контроля 000000935 от 10.08.2026 14:58:17</t>
  </si>
  <si>
    <t>Акт входного контроля 000000936 от 10.08.2026 15:09:26</t>
  </si>
  <si>
    <t>Акт входного контроля 000000937 от 10.08.2026 16:31:47</t>
  </si>
  <si>
    <t xml:space="preserve">Давыденко Юрий Викторович </t>
  </si>
  <si>
    <t>Т036СО</t>
  </si>
  <si>
    <t>Акт входного контроля 000000938 от 10.08.2026 16:41:26</t>
  </si>
  <si>
    <t>Демченко И.Г.</t>
  </si>
  <si>
    <t>Р249ВН</t>
  </si>
  <si>
    <t>Акт входного контроля 000000939 от 10.08.2026 18:03:26</t>
  </si>
  <si>
    <t>Акт входного контроля 000000940 от 10.08.2026 18:06:52</t>
  </si>
  <si>
    <t>Акт входного контроля 000000946 от 10.08.2026 19:20:55</t>
  </si>
  <si>
    <t>Акт входного контроля 000000947 от 10.08.2026 19:32:22</t>
  </si>
  <si>
    <t>Акт входного контроля 000000941 от 10.08.2026 21:30:49</t>
  </si>
  <si>
    <t>Акт входного контроля 000000942 от 10.08.2026 21:44:12</t>
  </si>
  <si>
    <t>Акт входного контроля 000000943 от 10.08.2026 21:59:51</t>
  </si>
  <si>
    <t>Акт входного контроля 000000944 от 10.08.2026 23:34:41</t>
  </si>
  <si>
    <t>Акт входного контроля 000000945 от 10.08.2026 23:42:36</t>
  </si>
  <si>
    <t>Акт входного контроля 000000948 от 10.08.2026 20:11:09</t>
  </si>
  <si>
    <t>Акт входного контроля 000000949 от 10.08.2026 20:37:23</t>
  </si>
  <si>
    <t>Акт входного контроля 000000952 от 10.08.2026 15:26:53</t>
  </si>
  <si>
    <t xml:space="preserve">Гореев Богдан Александрович </t>
  </si>
  <si>
    <t>А791НМ</t>
  </si>
  <si>
    <t>Акт входного контроля 000000950 от 10.08.2026 22:04:00</t>
  </si>
  <si>
    <t>Акт входного контроля 000000951 от 10.08.2026 22:13:40</t>
  </si>
  <si>
    <t>Шуленин Александр Федорович</t>
  </si>
  <si>
    <t>Р674РЕ</t>
  </si>
  <si>
    <t>утилизация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</si>
</sst>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7"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0.0%"/>
    <numFmt numFmtId="165" formatCode="00&quot; дн.&quot;"/>
    <numFmt numFmtId="166" formatCode="00&quot; га&quot;"/>
    <numFmt numFmtId="167" formatCode="##,###&quot; тн.&quot;"/>
    <numFmt numFmtId="168" formatCode="##,###&quot; кг&quot;"/>
    <numFmt numFmtId="169" formatCode="00.0&quot; ц/га&quot;"/>
    <numFmt numFmtId="170" formatCode="0.0"/>
    <numFmt numFmtId="171" formatCode="dd/mm/yy;@"/>
    <numFmt numFmtId="172" formatCode="##.0&quot; га&quot;"/>
    <numFmt numFmtId="173" formatCode="##,###&quot; т&quot;"/>
    <numFmt numFmtId="174" formatCode="_-* #,##0.00\ _₽_-;\-* #,##0.00\ _₽_-;_-* &quot;-&quot;??\ _₽_-;_-@_-"/>
    <numFmt numFmtId="175" formatCode="#,##0.0"/>
    <numFmt numFmtId="176" formatCode="00.0&quot; т/га&quot;"/>
    <numFmt numFmtId="177" formatCode="0&quot; дн&quot;"/>
    <numFmt numFmtId="178" formatCode="##,###&quot; га&quot;"/>
    <numFmt numFmtId="179" formatCode="0.0&quot; т/га&quot;"/>
    <numFmt numFmtId="180" formatCode="#,##0.000"/>
    <numFmt numFmtId="181" formatCode="_-* #,##0.00&quot; ₽&quot;_-;\-* #,##0.00&quot; ₽&quot;_-;_-* \-??&quot; ₽&quot;_-;_-@_-"/>
    <numFmt numFmtId="182" formatCode="_-* #,##0.00_р_._-;\-* #,##0.00_р_._-;_-* &quot;-&quot;??_р_._-;_-@_-"/>
    <numFmt numFmtId="183" formatCode="_-* #,##0&quot; руб&quot;_-;\-* #,##0&quot; руб&quot;_-;_-* &quot;- руб&quot;_-;_-@_-"/>
    <numFmt numFmtId="184" formatCode="_-* #,##0_р_._-;\-* #,##0_р_._-;_-* \-_р_._-;_-@_-"/>
    <numFmt numFmtId="185" formatCode="_-* #,##0.00_р_._-;\-* #,##0.00_р_._-;_-* \-??_р_._-;_-@_-"/>
    <numFmt numFmtId="186" formatCode="_-* #,##0&quot;р.&quot;_-;\-* #,##0&quot;р.&quot;_-;_-* &quot;-р.&quot;_-;_-@_-"/>
    <numFmt numFmtId="187" formatCode="_-* #,##0.00&quot;р.&quot;_-;\-* #,##0.00&quot;р.&quot;_-;_-* \-??&quot;р.&quot;_-;_-@_-"/>
    <numFmt numFmtId="188" formatCode="_-* #,##0.00[$€-1]_-;\-* #,##0.00[$€-1]_-;_-* &quot;-&quot;??[$€-1]_-"/>
    <numFmt numFmtId="189" formatCode="_-* #,##0.00[$€-1]_-;\-* #,##0.00[$€-1]_-;_-* \-??[$€-1]_-"/>
    <numFmt numFmtId="190" formatCode="General_)"/>
    <numFmt numFmtId="191" formatCode="#,##0\в"/>
    <numFmt numFmtId="192" formatCode="_-* #,##0.00&quot;р.&quot;_-;\-* #,##0.00&quot;р.&quot;_-;_-* &quot;-&quot;??&quot;р.&quot;_-;_-@_-"/>
    <numFmt numFmtId="193" formatCode="#,##0_);\(#,##0\);#,###"/>
    <numFmt numFmtId="194" formatCode="#,##0\т"/>
    <numFmt numFmtId="195" formatCode="_-* #,##0\ _р_._-;\-* #,##0\ _р_._-;_-* &quot;-&quot;\ _р_._-;_-@_-"/>
    <numFmt numFmtId="196" formatCode="_-* #,##0.00\ _р_._-;\-* #,##0.00\ _р_._-;_-* &quot;-&quot;??\ _р_._-;_-@_-"/>
    <numFmt numFmtId="197" formatCode="&quot;?.&quot;#,##0_);[Red]\(&quot;?.&quot;#,##0\)"/>
    <numFmt numFmtId="198" formatCode="#,##0_);\(#,##0\);\-_);@_)"/>
    <numFmt numFmtId="199" formatCode="_-* #,##0.00_-;\-* #,##0.00_-;_-* \-??_-;_-@_-"/>
    <numFmt numFmtId="200" formatCode="_-* #\ ##0.00_р_._-;\-* #\ ##0.00_р_._-;_-* &quot;-&quot;??_р_._-;_-@_-"/>
    <numFmt numFmtId="201" formatCode="_-* #\.##0.00\ &quot;₽&quot;_-;\-* #\.##0.00\ &quot;₽&quot;_-;_-* \-??\ &quot;₽&quot;_-;_-@_-"/>
    <numFmt numFmtId="202" formatCode="_-* #\ ##0&quot; руб&quot;_-;\-* #\ ##0&quot; руб&quot;_-;_-* &quot;- руб&quot;_-;_-@_-"/>
    <numFmt numFmtId="203" formatCode="_-* #\ ##0.00_р_._-;\-* #\ ##0.00_р_._-;_-* \-??_р_._-;_-@_-"/>
    <numFmt numFmtId="204" formatCode="dd\.mm\.yyyy"/>
    <numFmt numFmtId="205" formatCode="_-* #\ ##0.00[$€-1]_-;\-* #\ ##0.00[$€-1]_-;_-* &quot;-&quot;??[$€-1]_-"/>
    <numFmt numFmtId="206" formatCode="_-* #\ ##0.00[$€-1]_-;\-* #\ ##0.00[$€-1]_-;_-* \-??[$€-1]_-"/>
    <numFmt numFmtId="207" formatCode="#\ ##0;\-#\ ##0"/>
    <numFmt numFmtId="208" formatCode="#\ ##0&quot;в&quot;"/>
    <numFmt numFmtId="209" formatCode="#\ ##0"/>
    <numFmt numFmtId="210" formatCode="_-* #\ ##0.00&quot;р.&quot;_-;\-* #\ ##0.00&quot;р.&quot;_-;_-* &quot;-&quot;??&quot;р.&quot;_-;_-@_-"/>
    <numFmt numFmtId="211" formatCode="_-* #\ ##0.00\ &quot;₽&quot;_-;\-* #\ ##0.00\ &quot;₽&quot;_-;_-* &quot;-&quot;??\ &quot;₽&quot;_-;_-@_-"/>
    <numFmt numFmtId="212" formatCode="#\ ##0_);\(#\ ##0\);#\ ###"/>
    <numFmt numFmtId="213" formatCode="#\ ##0&quot;т&quot;"/>
    <numFmt numFmtId="214" formatCode="_-* #\ ##0.00_-;\-* #\ ##0.00_-;_-* &quot;-&quot;??_-;_-@_-"/>
    <numFmt numFmtId="215" formatCode="_-* #\ ##0.00_-;\-* #\ ##0.00_-;_-* \-??_-;_-@_-"/>
    <numFmt numFmtId="216" formatCode="&quot;?.&quot;#\ ##0_);[Red]\(&quot;?.&quot;#\ ##0\)"/>
    <numFmt numFmtId="217" formatCode="_(* #\ ##0.00_);_(* \(#\ ##0.00\);_(* &quot;-&quot;??_);_(@_)"/>
    <numFmt numFmtId="218" formatCode="000"/>
    <numFmt numFmtId="219" formatCode="##0.0&quot; га&quot;"/>
    <numFmt numFmtId="220" formatCode="00.0&quot; га&quot;"/>
    <numFmt numFmtId="221" formatCode="##,###.0&quot; га&quot;"/>
    <numFmt numFmtId="222" formatCode="00000000000"/>
    <numFmt numFmtId="223" formatCode="[$-F400]h:mm:ss\ AM/PM"/>
    <numFmt numFmtId="224" formatCode="0&quot; т&quot;"/>
    <numFmt numFmtId="225" formatCode="0.0&quot; Га&quot;"/>
    <numFmt numFmtId="226" formatCode="0.000"/>
    <numFmt numFmtId="227" formatCode="0&quot; Га&quot;"/>
    <numFmt numFmtId="228" formatCode="000000"/>
  </numFmts>
  <fonts count="16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204"/>
    </font>
    <font>
      <sz val="11"/>
      <color rgb="FFFF0000"/>
      <name val="Arial"/>
      <family val="2"/>
      <charset val="204"/>
    </font>
    <font>
      <sz val="11"/>
      <color theme="1"/>
      <name val="Arial"/>
      <family val="2"/>
      <charset val="204"/>
    </font>
    <font>
      <b/>
      <sz val="14"/>
      <color theme="1"/>
      <name val="Arial"/>
      <family val="2"/>
      <charset val="204"/>
    </font>
    <font>
      <b/>
      <sz val="11"/>
      <color theme="2" tint="-0.499984740745262"/>
      <name val="Arial"/>
      <family val="2"/>
      <charset val="204"/>
    </font>
    <font>
      <sz val="11"/>
      <color theme="2" tint="-0.499984740745262"/>
      <name val="Arial"/>
      <family val="2"/>
      <charset val="204"/>
    </font>
    <font>
      <b/>
      <sz val="12"/>
      <color theme="2" tint="-0.499984740745262"/>
      <name val="Arial"/>
      <family val="2"/>
      <charset val="204"/>
    </font>
    <font>
      <sz val="11"/>
      <color theme="0"/>
      <name val="Arial"/>
      <family val="2"/>
      <charset val="204"/>
    </font>
    <font>
      <b/>
      <i/>
      <sz val="24"/>
      <color theme="0" tint="-0.499984740745262"/>
      <name val="Arial"/>
      <family val="2"/>
      <charset val="204"/>
    </font>
    <font>
      <b/>
      <i/>
      <sz val="10"/>
      <color theme="0" tint="-0.499984740745262"/>
      <name val="Arial"/>
      <family val="2"/>
      <charset val="204"/>
    </font>
    <font>
      <i/>
      <sz val="8"/>
      <color theme="1"/>
      <name val="Arial"/>
      <family val="2"/>
      <charset val="204"/>
    </font>
    <font>
      <b/>
      <i/>
      <sz val="20"/>
      <color theme="0" tint="-0.499984740745262"/>
      <name val="Arial"/>
      <family val="2"/>
      <charset val="204"/>
    </font>
    <font>
      <sz val="12"/>
      <color theme="1"/>
      <name val="Arial"/>
      <family val="2"/>
      <charset val="204"/>
    </font>
    <font>
      <sz val="8"/>
      <name val="Arial"/>
      <family val="2"/>
      <charset val="204"/>
    </font>
    <font>
      <sz val="10"/>
      <name val="Arial"/>
      <family val="2"/>
      <charset val="204"/>
    </font>
    <font>
      <sz val="8"/>
      <name val="Arial"/>
      <family val="2"/>
    </font>
    <font>
      <b/>
      <sz val="15"/>
      <color theme="3"/>
      <name val="Arial"/>
      <family val="2"/>
      <charset val="204"/>
    </font>
    <font>
      <sz val="10"/>
      <name val="Arial Cyr"/>
      <charset val="204"/>
    </font>
    <font>
      <sz val="8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1"/>
    </font>
    <font>
      <b/>
      <sz val="22"/>
      <color theme="7" tint="-0.249977111117893"/>
      <name val="Bahnschrift"/>
      <family val="2"/>
      <charset val="204"/>
    </font>
    <font>
      <sz val="8"/>
      <color rgb="FF000000"/>
      <name val="Arial"/>
      <family val="2"/>
      <charset val="204"/>
    </font>
    <font>
      <sz val="8"/>
      <color theme="0"/>
      <name val="Arial"/>
      <family val="2"/>
      <charset val="204"/>
    </font>
    <font>
      <i/>
      <sz val="9"/>
      <color theme="1"/>
      <name val="Arial"/>
      <family val="2"/>
      <charset val="204"/>
    </font>
    <font>
      <b/>
      <sz val="11"/>
      <color theme="1"/>
      <name val="Arial"/>
      <family val="2"/>
      <charset val="204"/>
    </font>
    <font>
      <b/>
      <sz val="11"/>
      <name val="Arial"/>
      <family val="2"/>
      <charset val="204"/>
    </font>
    <font>
      <i/>
      <sz val="11"/>
      <color theme="1"/>
      <name val="Arial"/>
      <family val="2"/>
      <charset val="204"/>
    </font>
    <font>
      <sz val="14"/>
      <color theme="1"/>
      <name val="Bahnschrift"/>
      <family val="2"/>
      <charset val="204"/>
    </font>
    <font>
      <sz val="11"/>
      <name val="Arial"/>
      <family val="2"/>
      <charset val="204"/>
    </font>
    <font>
      <sz val="11"/>
      <color rgb="FFFF0000"/>
      <name val="Calibri"/>
      <family val="2"/>
      <scheme val="minor"/>
    </font>
    <font>
      <i/>
      <sz val="11"/>
      <color theme="2" tint="-0.499984740745262"/>
      <name val="Arial"/>
      <family val="2"/>
      <charset val="204"/>
    </font>
    <font>
      <b/>
      <i/>
      <sz val="11"/>
      <color theme="2" tint="-0.499984740745262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i/>
      <sz val="11"/>
      <color theme="0" tint="-0.34998626667073579"/>
      <name val="Arial"/>
      <family val="2"/>
      <charset val="204"/>
    </font>
    <font>
      <b/>
      <i/>
      <sz val="11"/>
      <color theme="0" tint="-0.34998626667073579"/>
      <name val="Arial"/>
      <family val="2"/>
      <charset val="204"/>
    </font>
    <font>
      <i/>
      <sz val="8"/>
      <color theme="0" tint="-0.34998626667073579"/>
      <name val="Arial"/>
      <family val="2"/>
      <charset val="204"/>
    </font>
    <font>
      <sz val="10"/>
      <name val="Arial Narrow"/>
      <family val="2"/>
      <charset val="204"/>
    </font>
    <font>
      <sz val="12"/>
      <name val="Times New Roman"/>
      <family val="1"/>
      <charset val="204"/>
    </font>
    <font>
      <sz val="10"/>
      <name val="Times New Roman"/>
      <family val="1"/>
      <charset val="204"/>
    </font>
    <font>
      <b/>
      <sz val="14"/>
      <name val="Times New Roman"/>
      <family val="1"/>
      <charset val="204"/>
    </font>
    <font>
      <sz val="10"/>
      <name val="Helv"/>
      <charset val="204"/>
    </font>
    <font>
      <sz val="10"/>
      <name val="Arial Cyr"/>
      <family val="2"/>
      <charset val="204"/>
    </font>
    <font>
      <sz val="10"/>
      <name val="MS Sans Serif"/>
      <family val="2"/>
      <charset val="204"/>
    </font>
    <font>
      <sz val="10"/>
      <name val="MS Sans Serif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u/>
      <sz val="10"/>
      <color indexed="12"/>
      <name val="Arial Cyr"/>
      <family val="2"/>
      <charset val="204"/>
    </font>
    <font>
      <sz val="11"/>
      <color indexed="20"/>
      <name val="Calibri"/>
      <family val="2"/>
      <charset val="204"/>
    </font>
    <font>
      <sz val="10"/>
      <name val="Courier"/>
      <family val="1"/>
      <charset val="204"/>
    </font>
    <font>
      <sz val="10"/>
      <name val="Courier New"/>
      <family val="3"/>
    </font>
    <font>
      <sz val="10"/>
      <name val="Courier"/>
      <family val="3"/>
    </font>
    <font>
      <b/>
      <sz val="10"/>
      <color indexed="8"/>
      <name val="Arial"/>
      <family val="2"/>
    </font>
    <font>
      <sz val="10"/>
      <color indexed="8"/>
      <name val="MS Sans Serif"/>
      <family val="2"/>
      <charset val="204"/>
    </font>
    <font>
      <b/>
      <sz val="11"/>
      <color indexed="52"/>
      <name val="Calibri"/>
      <family val="2"/>
      <charset val="204"/>
    </font>
    <font>
      <b/>
      <sz val="11"/>
      <color indexed="9"/>
      <name val="Calibri"/>
      <family val="2"/>
      <charset val="204"/>
    </font>
    <font>
      <i/>
      <sz val="11"/>
      <color indexed="23"/>
      <name val="Calibri"/>
      <family val="2"/>
      <charset val="204"/>
    </font>
    <font>
      <u/>
      <sz val="7"/>
      <color indexed="20"/>
      <name val="Arial"/>
      <family val="2"/>
      <charset val="204"/>
    </font>
    <font>
      <sz val="11"/>
      <color indexed="17"/>
      <name val="Calibri"/>
      <family val="2"/>
      <charset val="204"/>
    </font>
    <font>
      <b/>
      <sz val="12"/>
      <name val="Arial"/>
      <family val="2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u/>
      <sz val="9.6"/>
      <color indexed="12"/>
      <name val="Arial"/>
      <family val="2"/>
      <charset val="204"/>
    </font>
    <font>
      <sz val="11"/>
      <color indexed="62"/>
      <name val="Calibri"/>
      <family val="2"/>
      <charset val="204"/>
    </font>
    <font>
      <u/>
      <sz val="10"/>
      <color indexed="20"/>
      <name val="Arial Cyr"/>
      <family val="2"/>
      <charset val="204"/>
    </font>
    <font>
      <b/>
      <u/>
      <sz val="16"/>
      <name val="Arial"/>
      <family val="2"/>
    </font>
    <font>
      <sz val="11"/>
      <color indexed="52"/>
      <name val="Calibri"/>
      <family val="2"/>
      <charset val="204"/>
    </font>
    <font>
      <sz val="11"/>
      <color indexed="60"/>
      <name val="Calibri"/>
      <family val="2"/>
      <charset val="204"/>
    </font>
    <font>
      <sz val="8"/>
      <name val="Tahoma"/>
      <family val="2"/>
    </font>
    <font>
      <sz val="8"/>
      <name val="Times New Roman"/>
      <family val="1"/>
    </font>
    <font>
      <b/>
      <sz val="11"/>
      <color indexed="63"/>
      <name val="Calibri"/>
      <family val="2"/>
      <charset val="204"/>
    </font>
    <font>
      <b/>
      <sz val="20"/>
      <name val="Times New Roman"/>
      <family val="1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b/>
      <sz val="14"/>
      <name val="Times New Roman"/>
      <family val="1"/>
    </font>
    <font>
      <sz val="11"/>
      <color indexed="10"/>
      <name val="Calibri"/>
      <family val="2"/>
      <charset val="204"/>
    </font>
    <font>
      <b/>
      <sz val="8"/>
      <name val="Arial Cyr"/>
      <family val="2"/>
      <charset val="204"/>
    </font>
    <font>
      <u/>
      <sz val="10"/>
      <color theme="10"/>
      <name val="Arial Cyr"/>
      <charset val="204"/>
    </font>
    <font>
      <sz val="12"/>
      <name val="Arial Narrow"/>
      <family val="2"/>
      <charset val="204"/>
    </font>
    <font>
      <b/>
      <sz val="10"/>
      <color indexed="12"/>
      <name val="Arial Cyr"/>
      <family val="2"/>
      <charset val="204"/>
    </font>
    <font>
      <sz val="14"/>
      <color indexed="8"/>
      <name val="Times New Roman"/>
      <family val="2"/>
      <charset val="204"/>
    </font>
    <font>
      <sz val="10"/>
      <name val="Verdana"/>
      <family val="2"/>
      <charset val="204"/>
    </font>
    <font>
      <sz val="10"/>
      <name val="Tahoma"/>
      <family val="2"/>
      <charset val="204"/>
    </font>
    <font>
      <sz val="10"/>
      <name val="Arial Cyr"/>
    </font>
    <font>
      <b/>
      <sz val="12"/>
      <name val="Arial"/>
      <family val="2"/>
      <charset val="204"/>
    </font>
    <font>
      <sz val="8"/>
      <name val="Arial"/>
      <family val="2"/>
      <charset val="1"/>
    </font>
    <font>
      <sz val="12"/>
      <color theme="1"/>
      <name val="Calibri"/>
      <family val="2"/>
      <charset val="204"/>
      <scheme val="minor"/>
    </font>
    <font>
      <sz val="11"/>
      <color rgb="FF000000"/>
      <name val="Century Gothic"/>
      <family val="2"/>
      <charset val="1"/>
    </font>
    <font>
      <sz val="12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theme="1"/>
      <name val="Liberation Sans"/>
      <charset val="204"/>
    </font>
    <font>
      <sz val="11"/>
      <color rgb="FF000000"/>
      <name val="Liberation Sans"/>
      <charset val="204"/>
    </font>
    <font>
      <sz val="8"/>
      <color rgb="FF000000"/>
      <name val="Tahoma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10"/>
      <color indexed="8"/>
      <name val="Arial"/>
      <family val="2"/>
      <charset val="204"/>
    </font>
    <font>
      <u/>
      <sz val="11"/>
      <color indexed="12"/>
      <name val="Calibri"/>
      <family val="2"/>
      <charset val="204"/>
    </font>
    <font>
      <sz val="11"/>
      <color indexed="8"/>
      <name val="Liberation Sans"/>
      <family val="2"/>
      <charset val="204"/>
    </font>
    <font>
      <sz val="14"/>
      <color indexed="8"/>
      <name val="Times New Roman"/>
      <family val="1"/>
      <charset val="204"/>
    </font>
    <font>
      <sz val="12"/>
      <color indexed="8"/>
      <name val="Calibri"/>
      <family val="2"/>
      <charset val="204"/>
    </font>
    <font>
      <sz val="10"/>
      <name val="Helv"/>
      <family val="2"/>
      <charset val="204"/>
    </font>
    <font>
      <sz val="10"/>
      <name val="Courier New"/>
      <family val="3"/>
      <charset val="204"/>
    </font>
    <font>
      <b/>
      <u/>
      <sz val="16"/>
      <name val="Arial"/>
      <family val="2"/>
      <charset val="204"/>
    </font>
    <font>
      <sz val="8"/>
      <name val="Tahoma"/>
      <family val="2"/>
      <charset val="204"/>
    </font>
    <font>
      <b/>
      <sz val="20"/>
      <name val="Times New Roman"/>
      <family val="1"/>
      <charset val="204"/>
    </font>
    <font>
      <b/>
      <sz val="18"/>
      <color indexed="56"/>
      <name val="Cambria"/>
      <family val="1"/>
      <charset val="204"/>
    </font>
    <font>
      <sz val="11"/>
      <color indexed="8"/>
      <name val="Century Gothic"/>
      <family val="2"/>
      <charset val="204"/>
    </font>
    <font>
      <sz val="8"/>
      <color indexed="8"/>
      <name val="Tahoma"/>
      <family val="2"/>
      <charset val="204"/>
    </font>
    <font>
      <b/>
      <sz val="11"/>
      <color rgb="FF000000"/>
      <name val="Calibri"/>
      <family val="2"/>
      <charset val="204"/>
    </font>
    <font>
      <i/>
      <sz val="8"/>
      <color theme="1" tint="0.499984740745262"/>
      <name val="Arial"/>
      <family val="2"/>
      <charset val="204"/>
    </font>
    <font>
      <i/>
      <sz val="8"/>
      <color theme="0" tint="-0.499984740745262"/>
      <name val="Arial"/>
      <family val="2"/>
      <charset val="204"/>
    </font>
    <font>
      <i/>
      <sz val="11"/>
      <color theme="2" tint="-0.249977111117893"/>
      <name val="Arial"/>
      <family val="2"/>
      <charset val="204"/>
    </font>
    <font>
      <i/>
      <sz val="11"/>
      <color theme="1" tint="0.499984740745262"/>
      <name val="Arial"/>
      <family val="2"/>
      <charset val="204"/>
    </font>
    <font>
      <sz val="11"/>
      <color theme="1" tint="0.499984740745262"/>
      <name val="Calibri"/>
      <family val="2"/>
      <scheme val="minor"/>
    </font>
    <font>
      <b/>
      <sz val="7"/>
      <color theme="1"/>
      <name val="Calibri"/>
      <family val="2"/>
      <charset val="204"/>
      <scheme val="minor"/>
    </font>
    <font>
      <sz val="11"/>
      <color theme="1" tint="0.34998626667073579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sz val="11"/>
      <color theme="1"/>
      <name val="Bahnschrift"/>
      <family val="2"/>
      <charset val="204"/>
    </font>
    <font>
      <b/>
      <sz val="15"/>
      <color theme="1"/>
      <name val="Bahnschrift"/>
      <family val="2"/>
      <charset val="204"/>
    </font>
    <font>
      <sz val="15"/>
      <color theme="1"/>
      <name val="Bahnschrift"/>
      <family val="2"/>
      <charset val="204"/>
    </font>
    <font>
      <sz val="14"/>
      <color theme="1" tint="0.34998626667073579"/>
      <name val="Bahnschrift"/>
      <family val="2"/>
      <charset val="204"/>
    </font>
    <font>
      <sz val="15"/>
      <color theme="1" tint="0.499984740745262"/>
      <name val="Bahnschrift"/>
      <family val="2"/>
      <charset val="204"/>
    </font>
    <font>
      <sz val="9"/>
      <name val="Arial"/>
      <family val="2"/>
    </font>
    <font>
      <sz val="9"/>
      <color theme="1"/>
      <name val="Calibri"/>
      <family val="2"/>
      <scheme val="minor"/>
    </font>
    <font>
      <sz val="8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b/>
      <sz val="8"/>
      <name val="Calibri"/>
      <family val="2"/>
      <charset val="204"/>
      <scheme val="minor"/>
    </font>
    <font>
      <b/>
      <sz val="8"/>
      <color theme="1"/>
      <name val="Calibri"/>
      <family val="2"/>
      <charset val="204"/>
      <scheme val="minor"/>
    </font>
    <font>
      <sz val="8"/>
      <color rgb="FF00B050"/>
      <name val="Calibri"/>
      <family val="2"/>
      <charset val="204"/>
      <scheme val="minor"/>
    </font>
    <font>
      <sz val="8"/>
      <color rgb="FFFF0000"/>
      <name val="Calibri"/>
      <family val="2"/>
      <charset val="204"/>
      <scheme val="minor"/>
    </font>
    <font>
      <sz val="11"/>
      <color theme="0" tint="-0.499984740745262"/>
      <name val="Arial"/>
      <family val="2"/>
      <charset val="204"/>
    </font>
    <font>
      <i/>
      <sz val="12"/>
      <color theme="1"/>
      <name val="Arial"/>
      <family val="2"/>
      <charset val="204"/>
    </font>
    <font>
      <sz val="11"/>
      <color theme="0" tint="-0.14999847407452621"/>
      <name val="Arial"/>
      <family val="2"/>
      <charset val="204"/>
    </font>
    <font>
      <sz val="11"/>
      <color theme="1" tint="0.499984740745262"/>
      <name val="Arial"/>
      <family val="2"/>
      <charset val="204"/>
    </font>
    <font>
      <i/>
      <sz val="11"/>
      <color theme="0" tint="-0.499984740745262"/>
      <name val="Arial"/>
      <family val="2"/>
      <charset val="204"/>
    </font>
    <font>
      <i/>
      <sz val="11"/>
      <color theme="1" tint="0.34998626667073579"/>
      <name val="Arial"/>
      <family val="2"/>
      <charset val="204"/>
    </font>
    <font>
      <i/>
      <sz val="12"/>
      <color theme="1" tint="0.34998626667073579"/>
      <name val="Arial"/>
      <family val="2"/>
      <charset val="204"/>
    </font>
    <font>
      <sz val="12"/>
      <color theme="1"/>
      <name val="Calibri"/>
      <family val="2"/>
      <scheme val="minor"/>
    </font>
    <font>
      <i/>
      <sz val="12"/>
      <color theme="0" tint="-0.499984740745262"/>
      <name val="Arial"/>
      <family val="2"/>
      <charset val="204"/>
    </font>
    <font>
      <sz val="14"/>
      <color theme="1"/>
      <name val="Calibri"/>
      <family val="2"/>
      <scheme val="minor"/>
    </font>
    <font>
      <sz val="12"/>
      <color theme="0"/>
      <name val="Arial"/>
      <family val="2"/>
      <charset val="204"/>
    </font>
    <font>
      <sz val="12"/>
      <color rgb="FF000000"/>
      <name val="Arial"/>
      <family val="2"/>
      <charset val="204"/>
    </font>
    <font>
      <i/>
      <sz val="12"/>
      <color theme="1" tint="0.499984740745262"/>
      <name val="Arial"/>
      <family val="2"/>
      <charset val="204"/>
    </font>
    <font>
      <sz val="12"/>
      <name val="Arial"/>
      <family val="2"/>
      <charset val="204"/>
    </font>
    <font>
      <i/>
      <sz val="11"/>
      <color theme="1" tint="0.249977111117893"/>
      <name val="Arial"/>
      <family val="2"/>
      <charset val="204"/>
    </font>
  </fonts>
  <fills count="8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22"/>
        <bgColor indexed="64"/>
      </patternFill>
    </fill>
    <fill>
      <patternFill patternType="lightGray">
        <fgColor indexed="22"/>
      </patternFill>
    </fill>
    <fill>
      <patternFill patternType="solid">
        <fgColor indexed="41"/>
        <bgColor indexed="9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2"/>
      </patternFill>
    </fill>
    <fill>
      <patternFill patternType="solid">
        <fgColor indexed="47"/>
        <b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11"/>
        <bgColor indexed="11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6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indexed="33"/>
        <bgColor indexed="33"/>
      </patternFill>
    </fill>
    <fill>
      <patternFill patternType="solid">
        <fgColor indexed="14"/>
        <bgColor indexed="33"/>
      </patternFill>
    </fill>
    <fill>
      <patternFill patternType="solid">
        <fgColor indexed="43"/>
      </patternFill>
    </fill>
    <fill>
      <patternFill patternType="solid">
        <fgColor indexed="9"/>
        <bgColor indexed="41"/>
      </patternFill>
    </fill>
    <fill>
      <patternFill patternType="solid">
        <fgColor indexed="26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15"/>
        <bgColor indexed="35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4ECC5"/>
        <bgColor auto="1"/>
      </patternFill>
    </fill>
    <fill>
      <patternFill patternType="solid">
        <fgColor rgb="FFF5FFFA"/>
        <bgColor auto="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4B4B4B"/>
        <bgColor indexed="64"/>
      </patternFill>
    </fill>
    <fill>
      <patternFill patternType="solid">
        <fgColor theme="1" tint="0.499984740745262"/>
        <bgColor indexed="64"/>
      </patternFill>
    </fill>
  </fills>
  <borders count="6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2" tint="-0.24994659260841701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hair">
        <color indexed="64"/>
      </left>
      <right/>
      <top style="hair">
        <color indexed="64"/>
      </top>
      <bottom style="hair">
        <color indexed="9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hair">
        <color indexed="64"/>
      </left>
      <right/>
      <top style="hair">
        <color indexed="64"/>
      </top>
      <bottom style="hair">
        <color indexed="9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CCC085"/>
      </left>
      <right style="thin">
        <color rgb="FFCCC085"/>
      </right>
      <top style="thin">
        <color rgb="FFCCC085"/>
      </top>
      <bottom/>
      <diagonal/>
    </border>
    <border>
      <left style="thin">
        <color rgb="FFCCC085"/>
      </left>
      <right style="thin">
        <color rgb="FFCCC085"/>
      </right>
      <top style="thin">
        <color rgb="FFCCC085"/>
      </top>
      <bottom style="thin">
        <color rgb="FFCCC085"/>
      </bottom>
      <diagonal/>
    </border>
    <border>
      <left style="thin">
        <color rgb="FFCCC085"/>
      </left>
      <right style="thin">
        <color rgb="FFCCC085"/>
      </right>
      <top/>
      <bottom/>
      <diagonal/>
    </border>
    <border>
      <left style="thin">
        <color rgb="FFCCC085"/>
      </left>
      <right/>
      <top/>
      <bottom/>
      <diagonal/>
    </border>
    <border>
      <left/>
      <right style="thin">
        <color rgb="FFCCC085"/>
      </right>
      <top/>
      <bottom/>
      <diagonal/>
    </border>
    <border>
      <left style="thin">
        <color rgb="FFCCC085"/>
      </left>
      <right style="thin">
        <color rgb="FFCCC085"/>
      </right>
      <top/>
      <bottom style="thin">
        <color rgb="FFCCC085"/>
      </bottom>
      <diagonal/>
    </border>
    <border>
      <left style="thin">
        <color rgb="FFCCC085"/>
      </left>
      <right/>
      <top/>
      <bottom style="thin">
        <color rgb="FFCCC085"/>
      </bottom>
      <diagonal/>
    </border>
    <border>
      <left/>
      <right/>
      <top/>
      <bottom style="thin">
        <color rgb="FFCCC085"/>
      </bottom>
      <diagonal/>
    </border>
    <border>
      <left/>
      <right style="thin">
        <color rgb="FFCCC085"/>
      </right>
      <top/>
      <bottom style="thin">
        <color rgb="FFCCC085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/>
      <diagonal/>
    </border>
    <border>
      <left style="thin">
        <color theme="2" tint="-0.24994659260841701"/>
      </left>
      <right style="thin">
        <color theme="2" tint="-0.24994659260841701"/>
      </right>
      <top/>
      <bottom style="thin">
        <color theme="2" tint="-0.24994659260841701"/>
      </bottom>
      <diagonal/>
    </border>
    <border>
      <left style="thin">
        <color indexed="24"/>
      </left>
      <right/>
      <top/>
      <bottom/>
      <diagonal/>
    </border>
    <border>
      <left style="thin">
        <color theme="2" tint="-0.24994659260841701"/>
      </left>
      <right/>
      <top style="thin">
        <color theme="2" tint="-0.24994659260841701"/>
      </top>
      <bottom style="thin">
        <color theme="2" tint="-0.24994659260841701"/>
      </bottom>
      <diagonal/>
    </border>
  </borders>
  <cellStyleXfs count="47302">
    <xf numFmtId="0" fontId="0" fillId="0" borderId="0"/>
    <xf numFmtId="43" fontId="10" fillId="0" borderId="0" applyFont="0" applyFill="0" applyBorder="0" applyAlignment="0" applyProtection="0"/>
    <xf numFmtId="0" fontId="11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74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0" fillId="0" borderId="0"/>
    <xf numFmtId="0" fontId="10" fillId="0" borderId="0"/>
    <xf numFmtId="0" fontId="28" fillId="0" borderId="1" applyNumberFormat="0" applyFill="0" applyAlignment="0" applyProtection="0"/>
    <xf numFmtId="0" fontId="9" fillId="0" borderId="0"/>
    <xf numFmtId="0" fontId="25" fillId="0" borderId="0"/>
    <xf numFmtId="0" fontId="9" fillId="0" borderId="0"/>
    <xf numFmtId="0" fontId="29" fillId="0" borderId="0"/>
    <xf numFmtId="0" fontId="27" fillId="0" borderId="0"/>
    <xf numFmtId="0" fontId="9" fillId="0" borderId="0"/>
    <xf numFmtId="9" fontId="9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11" fillId="0" borderId="0" applyBorder="0" applyProtection="0"/>
    <xf numFmtId="0" fontId="11" fillId="0" borderId="0" applyBorder="0" applyProtection="0"/>
    <xf numFmtId="0" fontId="11" fillId="0" borderId="0" applyBorder="0" applyProtection="0"/>
    <xf numFmtId="0" fontId="11" fillId="0" borderId="0" applyBorder="0" applyProtection="0">
      <alignment horizontal="left"/>
    </xf>
    <xf numFmtId="0" fontId="32" fillId="0" borderId="0" applyBorder="0" applyProtection="0">
      <alignment horizontal="left"/>
    </xf>
    <xf numFmtId="0" fontId="32" fillId="0" borderId="0" applyBorder="0" applyProtection="0"/>
    <xf numFmtId="43" fontId="11" fillId="0" borderId="0" applyFont="0" applyFill="0" applyBorder="0" applyAlignment="0" applyProtection="0"/>
    <xf numFmtId="0" fontId="11" fillId="6" borderId="17"/>
    <xf numFmtId="181" fontId="11" fillId="0" borderId="0" applyBorder="0" applyProtection="0"/>
    <xf numFmtId="0" fontId="11" fillId="0" borderId="0"/>
    <xf numFmtId="9" fontId="11" fillId="0" borderId="0" applyBorder="0" applyProtection="0"/>
    <xf numFmtId="0" fontId="10" fillId="0" borderId="0"/>
    <xf numFmtId="17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29" fillId="0" borderId="0"/>
    <xf numFmtId="182" fontId="29" fillId="0" borderId="0" applyFont="0" applyFill="0" applyBorder="0" applyAlignment="0" applyProtection="0"/>
    <xf numFmtId="0" fontId="7" fillId="0" borderId="0"/>
    <xf numFmtId="9" fontId="29" fillId="0" borderId="0" applyFont="0" applyFill="0" applyBorder="0" applyAlignment="0" applyProtection="0"/>
    <xf numFmtId="182" fontId="29" fillId="0" borderId="0" applyFont="0" applyFill="0" applyBorder="0" applyAlignment="0" applyProtection="0"/>
    <xf numFmtId="182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6" fillId="0" borderId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83" fontId="56" fillId="0" borderId="0">
      <alignment horizontal="center"/>
    </xf>
    <xf numFmtId="183" fontId="56" fillId="0" borderId="0">
      <alignment horizontal="center"/>
    </xf>
    <xf numFmtId="183" fontId="56" fillId="0" borderId="0">
      <alignment horizontal="center"/>
    </xf>
    <xf numFmtId="183" fontId="56" fillId="0" borderId="0">
      <alignment horizontal="center"/>
    </xf>
    <xf numFmtId="183" fontId="56" fillId="0" borderId="0">
      <alignment horizontal="center"/>
    </xf>
    <xf numFmtId="0" fontId="57" fillId="10" borderId="0"/>
    <xf numFmtId="0" fontId="58" fillId="11" borderId="0"/>
    <xf numFmtId="0" fontId="58" fillId="11" borderId="0"/>
    <xf numFmtId="0" fontId="58" fillId="11" borderId="0"/>
    <xf numFmtId="0" fontId="58" fillId="11" borderId="0"/>
    <xf numFmtId="0" fontId="59" fillId="12" borderId="0" applyNumberFormat="0" applyBorder="0" applyAlignment="0" applyProtection="0"/>
    <xf numFmtId="0" fontId="59" fillId="13" borderId="0" applyNumberFormat="0" applyBorder="0" applyAlignment="0" applyProtection="0"/>
    <xf numFmtId="0" fontId="59" fillId="14" borderId="0" applyNumberFormat="0" applyBorder="0" applyAlignment="0" applyProtection="0"/>
    <xf numFmtId="0" fontId="59" fillId="15" borderId="0" applyNumberFormat="0" applyBorder="0" applyAlignment="0" applyProtection="0"/>
    <xf numFmtId="0" fontId="59" fillId="16" borderId="0" applyNumberFormat="0" applyBorder="0" applyAlignment="0" applyProtection="0"/>
    <xf numFmtId="0" fontId="59" fillId="17" borderId="0" applyNumberFormat="0" applyBorder="0" applyAlignment="0" applyProtection="0"/>
    <xf numFmtId="0" fontId="59" fillId="18" borderId="0" applyNumberFormat="0" applyBorder="0" applyAlignment="0" applyProtection="0"/>
    <xf numFmtId="0" fontId="59" fillId="12" borderId="0" applyNumberFormat="0" applyBorder="0" applyAlignment="0" applyProtection="0"/>
    <xf numFmtId="0" fontId="59" fillId="18" borderId="0" applyNumberFormat="0" applyBorder="0" applyAlignment="0" applyProtection="0"/>
    <xf numFmtId="0" fontId="59" fillId="18" borderId="0" applyNumberFormat="0" applyBorder="0" applyAlignment="0" applyProtection="0"/>
    <xf numFmtId="0" fontId="59" fillId="19" borderId="0" applyNumberFormat="0" applyBorder="0" applyAlignment="0" applyProtection="0"/>
    <xf numFmtId="0" fontId="59" fillId="13" borderId="0" applyNumberFormat="0" applyBorder="0" applyAlignment="0" applyProtection="0"/>
    <xf numFmtId="0" fontId="59" fillId="19" borderId="0" applyNumberFormat="0" applyBorder="0" applyAlignment="0" applyProtection="0"/>
    <xf numFmtId="0" fontId="59" fillId="19" borderId="0" applyNumberFormat="0" applyBorder="0" applyAlignment="0" applyProtection="0"/>
    <xf numFmtId="0" fontId="59" fillId="20" borderId="0" applyNumberFormat="0" applyBorder="0" applyAlignment="0" applyProtection="0"/>
    <xf numFmtId="0" fontId="59" fillId="14" borderId="0" applyNumberFormat="0" applyBorder="0" applyAlignment="0" applyProtection="0"/>
    <xf numFmtId="0" fontId="59" fillId="20" borderId="0" applyNumberFormat="0" applyBorder="0" applyAlignment="0" applyProtection="0"/>
    <xf numFmtId="0" fontId="59" fillId="20" borderId="0" applyNumberFormat="0" applyBorder="0" applyAlignment="0" applyProtection="0"/>
    <xf numFmtId="0" fontId="59" fillId="21" borderId="0" applyNumberFormat="0" applyBorder="0" applyAlignment="0" applyProtection="0"/>
    <xf numFmtId="0" fontId="59" fillId="15" borderId="0" applyNumberFormat="0" applyBorder="0" applyAlignment="0" applyProtection="0"/>
    <xf numFmtId="0" fontId="59" fillId="21" borderId="0" applyNumberFormat="0" applyBorder="0" applyAlignment="0" applyProtection="0"/>
    <xf numFmtId="0" fontId="59" fillId="21" borderId="0" applyNumberFormat="0" applyBorder="0" applyAlignment="0" applyProtection="0"/>
    <xf numFmtId="0" fontId="59" fillId="22" borderId="0" applyNumberFormat="0" applyBorder="0" applyAlignment="0" applyProtection="0"/>
    <xf numFmtId="0" fontId="59" fillId="16" borderId="0" applyNumberFormat="0" applyBorder="0" applyAlignment="0" applyProtection="0"/>
    <xf numFmtId="0" fontId="59" fillId="22" borderId="0" applyNumberFormat="0" applyBorder="0" applyAlignment="0" applyProtection="0"/>
    <xf numFmtId="0" fontId="59" fillId="22" borderId="0" applyNumberFormat="0" applyBorder="0" applyAlignment="0" applyProtection="0"/>
    <xf numFmtId="0" fontId="59" fillId="23" borderId="0" applyNumberFormat="0" applyBorder="0" applyAlignment="0" applyProtection="0"/>
    <xf numFmtId="0" fontId="59" fillId="17" borderId="0" applyNumberFormat="0" applyBorder="0" applyAlignment="0" applyProtection="0"/>
    <xf numFmtId="0" fontId="59" fillId="23" borderId="0" applyNumberFormat="0" applyBorder="0" applyAlignment="0" applyProtection="0"/>
    <xf numFmtId="0" fontId="59" fillId="23" borderId="0" applyNumberFormat="0" applyBorder="0" applyAlignment="0" applyProtection="0"/>
    <xf numFmtId="0" fontId="59" fillId="24" borderId="0" applyNumberFormat="0" applyBorder="0" applyAlignment="0" applyProtection="0"/>
    <xf numFmtId="0" fontId="59" fillId="25" borderId="0" applyNumberFormat="0" applyBorder="0" applyAlignment="0" applyProtection="0"/>
    <xf numFmtId="0" fontId="59" fillId="26" borderId="0" applyNumberFormat="0" applyBorder="0" applyAlignment="0" applyProtection="0"/>
    <xf numFmtId="0" fontId="59" fillId="15" borderId="0" applyNumberFormat="0" applyBorder="0" applyAlignment="0" applyProtection="0"/>
    <xf numFmtId="0" fontId="59" fillId="24" borderId="0" applyNumberFormat="0" applyBorder="0" applyAlignment="0" applyProtection="0"/>
    <xf numFmtId="0" fontId="59" fillId="27" borderId="0" applyNumberFormat="0" applyBorder="0" applyAlignment="0" applyProtection="0"/>
    <xf numFmtId="0" fontId="59" fillId="28" borderId="0" applyNumberFormat="0" applyBorder="0" applyAlignment="0" applyProtection="0"/>
    <xf numFmtId="0" fontId="59" fillId="24" borderId="0" applyNumberFormat="0" applyBorder="0" applyAlignment="0" applyProtection="0"/>
    <xf numFmtId="0" fontId="59" fillId="28" borderId="0" applyNumberFormat="0" applyBorder="0" applyAlignment="0" applyProtection="0"/>
    <xf numFmtId="0" fontId="59" fillId="28" borderId="0" applyNumberFormat="0" applyBorder="0" applyAlignment="0" applyProtection="0"/>
    <xf numFmtId="0" fontId="59" fillId="29" borderId="0" applyNumberFormat="0" applyBorder="0" applyAlignment="0" applyProtection="0"/>
    <xf numFmtId="0" fontId="59" fillId="25" borderId="0" applyNumberFormat="0" applyBorder="0" applyAlignment="0" applyProtection="0"/>
    <xf numFmtId="0" fontId="59" fillId="29" borderId="0" applyNumberFormat="0" applyBorder="0" applyAlignment="0" applyProtection="0"/>
    <xf numFmtId="0" fontId="59" fillId="29" borderId="0" applyNumberFormat="0" applyBorder="0" applyAlignment="0" applyProtection="0"/>
    <xf numFmtId="0" fontId="59" fillId="30" borderId="0" applyNumberFormat="0" applyBorder="0" applyAlignment="0" applyProtection="0"/>
    <xf numFmtId="0" fontId="59" fillId="26" borderId="0" applyNumberFormat="0" applyBorder="0" applyAlignment="0" applyProtection="0"/>
    <xf numFmtId="0" fontId="59" fillId="30" borderId="0" applyNumberFormat="0" applyBorder="0" applyAlignment="0" applyProtection="0"/>
    <xf numFmtId="0" fontId="59" fillId="30" borderId="0" applyNumberFormat="0" applyBorder="0" applyAlignment="0" applyProtection="0"/>
    <xf numFmtId="0" fontId="59" fillId="21" borderId="0" applyNumberFormat="0" applyBorder="0" applyAlignment="0" applyProtection="0"/>
    <xf numFmtId="0" fontId="59" fillId="15" borderId="0" applyNumberFormat="0" applyBorder="0" applyAlignment="0" applyProtection="0"/>
    <xf numFmtId="0" fontId="59" fillId="21" borderId="0" applyNumberFormat="0" applyBorder="0" applyAlignment="0" applyProtection="0"/>
    <xf numFmtId="0" fontId="59" fillId="21" borderId="0" applyNumberFormat="0" applyBorder="0" applyAlignment="0" applyProtection="0"/>
    <xf numFmtId="0" fontId="59" fillId="28" borderId="0" applyNumberFormat="0" applyBorder="0" applyAlignment="0" applyProtection="0"/>
    <xf numFmtId="0" fontId="59" fillId="24" borderId="0" applyNumberFormat="0" applyBorder="0" applyAlignment="0" applyProtection="0"/>
    <xf numFmtId="0" fontId="59" fillId="28" borderId="0" applyNumberFormat="0" applyBorder="0" applyAlignment="0" applyProtection="0"/>
    <xf numFmtId="0" fontId="59" fillId="28" borderId="0" applyNumberFormat="0" applyBorder="0" applyAlignment="0" applyProtection="0"/>
    <xf numFmtId="0" fontId="59" fillId="31" borderId="0" applyNumberFormat="0" applyBorder="0" applyAlignment="0" applyProtection="0"/>
    <xf numFmtId="0" fontId="59" fillId="27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60" fillId="32" borderId="0" applyNumberFormat="0" applyBorder="0" applyAlignment="0" applyProtection="0"/>
    <xf numFmtId="0" fontId="60" fillId="25" borderId="0" applyNumberFormat="0" applyBorder="0" applyAlignment="0" applyProtection="0"/>
    <xf numFmtId="0" fontId="60" fillId="26" borderId="0" applyNumberFormat="0" applyBorder="0" applyAlignment="0" applyProtection="0"/>
    <xf numFmtId="0" fontId="60" fillId="33" borderId="0" applyNumberFormat="0" applyBorder="0" applyAlignment="0" applyProtection="0"/>
    <xf numFmtId="0" fontId="60" fillId="34" borderId="0" applyNumberFormat="0" applyBorder="0" applyAlignment="0" applyProtection="0"/>
    <xf numFmtId="0" fontId="60" fillId="35" borderId="0" applyNumberFormat="0" applyBorder="0" applyAlignment="0" applyProtection="0"/>
    <xf numFmtId="0" fontId="60" fillId="36" borderId="0" applyNumberFormat="0" applyBorder="0" applyAlignment="0" applyProtection="0"/>
    <xf numFmtId="0" fontId="60" fillId="32" borderId="0" applyNumberFormat="0" applyBorder="0" applyAlignment="0" applyProtection="0"/>
    <xf numFmtId="0" fontId="60" fillId="36" borderId="0" applyNumberFormat="0" applyBorder="0" applyAlignment="0" applyProtection="0"/>
    <xf numFmtId="0" fontId="60" fillId="36" borderId="0" applyNumberFormat="0" applyBorder="0" applyAlignment="0" applyProtection="0"/>
    <xf numFmtId="0" fontId="60" fillId="29" borderId="0" applyNumberFormat="0" applyBorder="0" applyAlignment="0" applyProtection="0"/>
    <xf numFmtId="0" fontId="60" fillId="25" borderId="0" applyNumberFormat="0" applyBorder="0" applyAlignment="0" applyProtection="0"/>
    <xf numFmtId="0" fontId="60" fillId="29" borderId="0" applyNumberFormat="0" applyBorder="0" applyAlignment="0" applyProtection="0"/>
    <xf numFmtId="0" fontId="60" fillId="29" borderId="0" applyNumberFormat="0" applyBorder="0" applyAlignment="0" applyProtection="0"/>
    <xf numFmtId="0" fontId="60" fillId="30" borderId="0" applyNumberFormat="0" applyBorder="0" applyAlignment="0" applyProtection="0"/>
    <xf numFmtId="0" fontId="60" fillId="26" borderId="0" applyNumberFormat="0" applyBorder="0" applyAlignment="0" applyProtection="0"/>
    <xf numFmtId="0" fontId="60" fillId="30" borderId="0" applyNumberFormat="0" applyBorder="0" applyAlignment="0" applyProtection="0"/>
    <xf numFmtId="0" fontId="60" fillId="30" borderId="0" applyNumberFormat="0" applyBorder="0" applyAlignment="0" applyProtection="0"/>
    <xf numFmtId="0" fontId="60" fillId="37" borderId="0" applyNumberFormat="0" applyBorder="0" applyAlignment="0" applyProtection="0"/>
    <xf numFmtId="0" fontId="60" fillId="33" borderId="0" applyNumberFormat="0" applyBorder="0" applyAlignment="0" applyProtection="0"/>
    <xf numFmtId="0" fontId="60" fillId="37" borderId="0" applyNumberFormat="0" applyBorder="0" applyAlignment="0" applyProtection="0"/>
    <xf numFmtId="0" fontId="60" fillId="37" borderId="0" applyNumberFormat="0" applyBorder="0" applyAlignment="0" applyProtection="0"/>
    <xf numFmtId="0" fontId="60" fillId="38" borderId="0" applyNumberFormat="0" applyBorder="0" applyAlignment="0" applyProtection="0"/>
    <xf numFmtId="0" fontId="60" fillId="34" borderId="0" applyNumberFormat="0" applyBorder="0" applyAlignment="0" applyProtection="0"/>
    <xf numFmtId="0" fontId="60" fillId="38" borderId="0" applyNumberFormat="0" applyBorder="0" applyAlignment="0" applyProtection="0"/>
    <xf numFmtId="0" fontId="60" fillId="38" borderId="0" applyNumberFormat="0" applyBorder="0" applyAlignment="0" applyProtection="0"/>
    <xf numFmtId="0" fontId="60" fillId="39" borderId="0" applyNumberFormat="0" applyBorder="0" applyAlignment="0" applyProtection="0"/>
    <xf numFmtId="0" fontId="60" fillId="35" borderId="0" applyNumberFormat="0" applyBorder="0" applyAlignment="0" applyProtection="0"/>
    <xf numFmtId="0" fontId="60" fillId="39" borderId="0" applyNumberFormat="0" applyBorder="0" applyAlignment="0" applyProtection="0"/>
    <xf numFmtId="0" fontId="60" fillId="39" borderId="0" applyNumberFormat="0" applyBorder="0" applyAlignment="0" applyProtection="0"/>
    <xf numFmtId="0" fontId="60" fillId="40" borderId="0" applyNumberFormat="0" applyBorder="0" applyAlignment="0" applyProtection="0"/>
    <xf numFmtId="0" fontId="60" fillId="41" borderId="0" applyNumberFormat="0" applyBorder="0" applyAlignment="0" applyProtection="0"/>
    <xf numFmtId="0" fontId="60" fillId="42" borderId="0" applyNumberFormat="0" applyBorder="0" applyAlignment="0" applyProtection="0"/>
    <xf numFmtId="0" fontId="60" fillId="33" borderId="0" applyNumberFormat="0" applyBorder="0" applyAlignment="0" applyProtection="0"/>
    <xf numFmtId="0" fontId="60" fillId="34" borderId="0" applyNumberFormat="0" applyBorder="0" applyAlignment="0" applyProtection="0"/>
    <xf numFmtId="0" fontId="60" fillId="43" borderId="0" applyNumberFormat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2" fillId="13" borderId="0" applyNumberFormat="0" applyBorder="0" applyAlignment="0" applyProtection="0"/>
    <xf numFmtId="0" fontId="63" fillId="44" borderId="0"/>
    <xf numFmtId="0" fontId="64" fillId="30" borderId="0"/>
    <xf numFmtId="0" fontId="65" fillId="44" borderId="0"/>
    <xf numFmtId="0" fontId="64" fillId="30" borderId="0"/>
    <xf numFmtId="0" fontId="64" fillId="30" borderId="0"/>
    <xf numFmtId="0" fontId="66" fillId="44" borderId="0"/>
    <xf numFmtId="0" fontId="66" fillId="30" borderId="0"/>
    <xf numFmtId="0" fontId="66" fillId="30" borderId="0"/>
    <xf numFmtId="0" fontId="66" fillId="30" borderId="0"/>
    <xf numFmtId="0" fontId="66" fillId="30" borderId="0"/>
    <xf numFmtId="0" fontId="67" fillId="0" borderId="0" applyFill="0" applyBorder="0" applyAlignment="0"/>
    <xf numFmtId="0" fontId="67" fillId="0" borderId="0" applyFill="0" applyBorder="0" applyAlignment="0"/>
    <xf numFmtId="0" fontId="67" fillId="0" borderId="0" applyFill="0" applyBorder="0" applyAlignment="0"/>
    <xf numFmtId="0" fontId="67" fillId="0" borderId="0" applyFill="0" applyBorder="0" applyAlignment="0"/>
    <xf numFmtId="0" fontId="67" fillId="0" borderId="0" applyFill="0" applyBorder="0" applyAlignment="0"/>
    <xf numFmtId="0" fontId="68" fillId="45" borderId="20" applyNumberFormat="0" applyAlignment="0" applyProtection="0"/>
    <xf numFmtId="0" fontId="69" fillId="46" borderId="21" applyNumberFormat="0" applyAlignment="0" applyProtection="0"/>
    <xf numFmtId="184" fontId="56" fillId="0" borderId="0" applyFill="0" applyBorder="0" applyAlignment="0" applyProtection="0"/>
    <xf numFmtId="185" fontId="56" fillId="0" borderId="0" applyFill="0" applyBorder="0" applyAlignment="0" applyProtection="0"/>
    <xf numFmtId="186" fontId="56" fillId="0" borderId="0" applyFill="0" applyBorder="0" applyAlignment="0" applyProtection="0"/>
    <xf numFmtId="187" fontId="56" fillId="0" borderId="0" applyFill="0" applyBorder="0" applyAlignment="0" applyProtection="0"/>
    <xf numFmtId="0" fontId="63" fillId="47" borderId="0"/>
    <xf numFmtId="0" fontId="64" fillId="48" borderId="0"/>
    <xf numFmtId="0" fontId="65" fillId="47" borderId="0"/>
    <xf numFmtId="0" fontId="64" fillId="48" borderId="0"/>
    <xf numFmtId="0" fontId="64" fillId="48" borderId="0"/>
    <xf numFmtId="0" fontId="66" fillId="49" borderId="0"/>
    <xf numFmtId="0" fontId="66" fillId="50" borderId="0"/>
    <xf numFmtId="0" fontId="66" fillId="50" borderId="0"/>
    <xf numFmtId="0" fontId="66" fillId="50" borderId="0"/>
    <xf numFmtId="0" fontId="66" fillId="50" borderId="0"/>
    <xf numFmtId="14" fontId="56" fillId="0" borderId="0" applyBorder="0">
      <alignment vertical="top"/>
    </xf>
    <xf numFmtId="14" fontId="56" fillId="0" borderId="0" applyBorder="0">
      <alignment vertical="top"/>
    </xf>
    <xf numFmtId="14" fontId="56" fillId="0" borderId="0" applyBorder="0">
      <alignment vertical="top"/>
    </xf>
    <xf numFmtId="14" fontId="56" fillId="0" borderId="0" applyBorder="0">
      <alignment vertical="top"/>
    </xf>
    <xf numFmtId="14" fontId="56" fillId="0" borderId="0" applyBorder="0">
      <alignment vertical="top"/>
    </xf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188" fontId="29" fillId="0" borderId="0" applyFont="0" applyFill="0" applyBorder="0" applyAlignment="0" applyProtection="0"/>
    <xf numFmtId="189" fontId="56" fillId="0" borderId="0" applyFill="0" applyBorder="0" applyAlignment="0" applyProtection="0"/>
    <xf numFmtId="188" fontId="29" fillId="0" borderId="0" applyFont="0" applyFill="0" applyBorder="0" applyAlignment="0" applyProtection="0"/>
    <xf numFmtId="189" fontId="56" fillId="0" borderId="0" applyFill="0" applyBorder="0" applyAlignment="0" applyProtection="0"/>
    <xf numFmtId="189" fontId="56" fillId="0" borderId="0" applyFill="0" applyBorder="0" applyAlignment="0" applyProtection="0"/>
    <xf numFmtId="0" fontId="70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14" borderId="0" applyNumberFormat="0" applyBorder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4" fillId="0" borderId="24" applyNumberFormat="0" applyFill="0" applyAlignment="0" applyProtection="0"/>
    <xf numFmtId="0" fontId="75" fillId="0" borderId="25" applyNumberFormat="0" applyFill="0" applyAlignment="0" applyProtection="0"/>
    <xf numFmtId="0" fontId="76" fillId="0" borderId="26" applyNumberFormat="0" applyFill="0" applyAlignment="0" applyProtection="0"/>
    <xf numFmtId="0" fontId="76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56" fillId="0" borderId="0"/>
    <xf numFmtId="0" fontId="78" fillId="17" borderId="20" applyNumberFormat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80" fillId="0" borderId="0">
      <alignment vertical="center"/>
    </xf>
    <xf numFmtId="0" fontId="80" fillId="0" borderId="0">
      <alignment vertical="center"/>
    </xf>
    <xf numFmtId="0" fontId="80" fillId="0" borderId="0">
      <alignment vertical="center"/>
    </xf>
    <xf numFmtId="0" fontId="80" fillId="0" borderId="0">
      <alignment vertical="center"/>
    </xf>
    <xf numFmtId="0" fontId="80" fillId="0" borderId="0">
      <alignment vertical="center"/>
    </xf>
    <xf numFmtId="0" fontId="81" fillId="0" borderId="27" applyNumberFormat="0" applyFill="0" applyAlignment="0" applyProtection="0"/>
    <xf numFmtId="0" fontId="82" fillId="51" borderId="0" applyNumberFormat="0" applyBorder="0" applyAlignment="0" applyProtection="0"/>
    <xf numFmtId="0" fontId="57" fillId="0" borderId="18"/>
    <xf numFmtId="0" fontId="58" fillId="0" borderId="28"/>
    <xf numFmtId="0" fontId="58" fillId="0" borderId="28"/>
    <xf numFmtId="0" fontId="58" fillId="0" borderId="28"/>
    <xf numFmtId="0" fontId="58" fillId="0" borderId="28"/>
    <xf numFmtId="37" fontId="83" fillId="7" borderId="19" applyBorder="0">
      <alignment horizontal="left" vertical="center" indent="2"/>
    </xf>
    <xf numFmtId="37" fontId="83" fillId="52" borderId="0" applyBorder="0">
      <alignment horizontal="left" vertical="center" indent="2"/>
    </xf>
    <xf numFmtId="37" fontId="83" fillId="52" borderId="0" applyBorder="0">
      <alignment horizontal="left" vertical="center" indent="2"/>
    </xf>
    <xf numFmtId="37" fontId="83" fillId="52" borderId="0" applyBorder="0">
      <alignment horizontal="left" vertical="center" indent="2"/>
    </xf>
    <xf numFmtId="37" fontId="83" fillId="52" borderId="0" applyBorder="0">
      <alignment horizontal="left" vertical="center" indent="2"/>
    </xf>
    <xf numFmtId="0" fontId="84" fillId="0" borderId="0"/>
    <xf numFmtId="0" fontId="26" fillId="0" borderId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7" fillId="0" borderId="0" applyNumberFormat="0" applyFill="0" applyBorder="0" applyAlignment="0" applyProtection="0"/>
    <xf numFmtId="0" fontId="88" fillId="0" borderId="31" applyNumberFormat="0" applyFill="0" applyAlignment="0" applyProtection="0"/>
    <xf numFmtId="0" fontId="89" fillId="0" borderId="0"/>
    <xf numFmtId="0" fontId="89" fillId="0" borderId="0"/>
    <xf numFmtId="0" fontId="89" fillId="0" borderId="0"/>
    <xf numFmtId="0" fontId="89" fillId="0" borderId="0"/>
    <xf numFmtId="0" fontId="89" fillId="0" borderId="0"/>
    <xf numFmtId="0" fontId="90" fillId="0" borderId="0" applyNumberFormat="0" applyFill="0" applyBorder="0" applyAlignment="0" applyProtection="0"/>
    <xf numFmtId="0" fontId="60" fillId="54" borderId="0" applyNumberFormat="0" applyBorder="0" applyAlignment="0" applyProtection="0"/>
    <xf numFmtId="0" fontId="60" fillId="40" borderId="0" applyNumberFormat="0" applyBorder="0" applyAlignment="0" applyProtection="0"/>
    <xf numFmtId="0" fontId="60" fillId="54" borderId="0" applyNumberFormat="0" applyBorder="0" applyAlignment="0" applyProtection="0"/>
    <xf numFmtId="0" fontId="60" fillId="54" borderId="0" applyNumberFormat="0" applyBorder="0" applyAlignment="0" applyProtection="0"/>
    <xf numFmtId="0" fontId="60" fillId="55" borderId="0" applyNumberFormat="0" applyBorder="0" applyAlignment="0" applyProtection="0"/>
    <xf numFmtId="0" fontId="60" fillId="41" borderId="0" applyNumberFormat="0" applyBorder="0" applyAlignment="0" applyProtection="0"/>
    <xf numFmtId="0" fontId="60" fillId="55" borderId="0" applyNumberFormat="0" applyBorder="0" applyAlignment="0" applyProtection="0"/>
    <xf numFmtId="0" fontId="60" fillId="55" borderId="0" applyNumberFormat="0" applyBorder="0" applyAlignment="0" applyProtection="0"/>
    <xf numFmtId="0" fontId="60" fillId="56" borderId="0" applyNumberFormat="0" applyBorder="0" applyAlignment="0" applyProtection="0"/>
    <xf numFmtId="0" fontId="60" fillId="42" borderId="0" applyNumberFormat="0" applyBorder="0" applyAlignment="0" applyProtection="0"/>
    <xf numFmtId="0" fontId="60" fillId="56" borderId="0" applyNumberFormat="0" applyBorder="0" applyAlignment="0" applyProtection="0"/>
    <xf numFmtId="0" fontId="60" fillId="56" borderId="0" applyNumberFormat="0" applyBorder="0" applyAlignment="0" applyProtection="0"/>
    <xf numFmtId="0" fontId="60" fillId="37" borderId="0" applyNumberFormat="0" applyBorder="0" applyAlignment="0" applyProtection="0"/>
    <xf numFmtId="0" fontId="60" fillId="33" borderId="0" applyNumberFormat="0" applyBorder="0" applyAlignment="0" applyProtection="0"/>
    <xf numFmtId="0" fontId="60" fillId="37" borderId="0" applyNumberFormat="0" applyBorder="0" applyAlignment="0" applyProtection="0"/>
    <xf numFmtId="0" fontId="60" fillId="37" borderId="0" applyNumberFormat="0" applyBorder="0" applyAlignment="0" applyProtection="0"/>
    <xf numFmtId="0" fontId="60" fillId="38" borderId="0" applyNumberFormat="0" applyBorder="0" applyAlignment="0" applyProtection="0"/>
    <xf numFmtId="0" fontId="60" fillId="34" borderId="0" applyNumberFormat="0" applyBorder="0" applyAlignment="0" applyProtection="0"/>
    <xf numFmtId="0" fontId="60" fillId="38" borderId="0" applyNumberFormat="0" applyBorder="0" applyAlignment="0" applyProtection="0"/>
    <xf numFmtId="0" fontId="60" fillId="38" borderId="0" applyNumberFormat="0" applyBorder="0" applyAlignment="0" applyProtection="0"/>
    <xf numFmtId="0" fontId="60" fillId="57" borderId="0" applyNumberFormat="0" applyBorder="0" applyAlignment="0" applyProtection="0"/>
    <xf numFmtId="0" fontId="60" fillId="43" borderId="0" applyNumberFormat="0" applyBorder="0" applyAlignment="0" applyProtection="0"/>
    <xf numFmtId="0" fontId="60" fillId="57" borderId="0" applyNumberFormat="0" applyBorder="0" applyAlignment="0" applyProtection="0"/>
    <xf numFmtId="0" fontId="60" fillId="57" borderId="0" applyNumberFormat="0" applyBorder="0" applyAlignment="0" applyProtection="0"/>
    <xf numFmtId="190" fontId="56" fillId="0" borderId="32">
      <protection locked="0"/>
    </xf>
    <xf numFmtId="191" fontId="51" fillId="0" borderId="33">
      <alignment horizontal="center"/>
    </xf>
    <xf numFmtId="191" fontId="51" fillId="0" borderId="33">
      <alignment horizontal="center"/>
    </xf>
    <xf numFmtId="191" fontId="51" fillId="0" borderId="33">
      <alignment horizontal="center"/>
    </xf>
    <xf numFmtId="191" fontId="51" fillId="0" borderId="33">
      <alignment horizontal="center"/>
    </xf>
    <xf numFmtId="191" fontId="51" fillId="0" borderId="33">
      <alignment horizont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3" fontId="91" fillId="0" borderId="0">
      <alignment horizontal="center" vertical="center" textRotation="90" wrapText="1"/>
    </xf>
    <xf numFmtId="3" fontId="91" fillId="0" borderId="0">
      <alignment horizontal="center" vertical="center" textRotation="90" wrapText="1"/>
    </xf>
    <xf numFmtId="3" fontId="91" fillId="0" borderId="0">
      <alignment horizontal="center" vertical="center" textRotation="90" wrapText="1"/>
    </xf>
    <xf numFmtId="3" fontId="91" fillId="0" borderId="0">
      <alignment horizontal="center" vertical="center" textRotation="90" wrapText="1"/>
    </xf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92" fillId="0" borderId="0" applyNumberFormat="0" applyFill="0" applyBorder="0" applyAlignment="0" applyProtection="0"/>
    <xf numFmtId="14" fontId="93" fillId="0" borderId="0" applyBorder="0">
      <alignment horizontal="center" vertical="center"/>
    </xf>
    <xf numFmtId="14" fontId="93" fillId="0" borderId="0" applyBorder="0">
      <alignment horizontal="center" vertical="center"/>
    </xf>
    <xf numFmtId="14" fontId="93" fillId="0" borderId="0" applyBorder="0">
      <alignment horizontal="center" vertical="center"/>
    </xf>
    <xf numFmtId="14" fontId="93" fillId="0" borderId="0" applyBorder="0">
      <alignment horizontal="center" vertical="center"/>
    </xf>
    <xf numFmtId="14" fontId="56" fillId="0" borderId="0">
      <alignment vertical="center"/>
    </xf>
    <xf numFmtId="14" fontId="56" fillId="0" borderId="0">
      <alignment vertical="center"/>
    </xf>
    <xf numFmtId="14" fontId="56" fillId="0" borderId="0">
      <alignment vertical="center"/>
    </xf>
    <xf numFmtId="14" fontId="56" fillId="0" borderId="0">
      <alignment vertical="center"/>
    </xf>
    <xf numFmtId="14" fontId="93" fillId="0" borderId="0" applyBorder="0">
      <alignment horizontal="center" vertical="center"/>
    </xf>
    <xf numFmtId="192" fontId="29" fillId="0" borderId="0" applyFont="0" applyFill="0" applyBorder="0" applyAlignment="0" applyProtection="0"/>
    <xf numFmtId="192" fontId="29" fillId="0" borderId="0" applyFont="0" applyFill="0" applyBorder="0" applyAlignment="0" applyProtection="0"/>
    <xf numFmtId="192" fontId="29" fillId="0" borderId="0" applyFont="0" applyFill="0" applyBorder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5" fillId="0" borderId="25" applyNumberFormat="0" applyFill="0" applyAlignment="0" applyProtection="0"/>
    <xf numFmtId="0" fontId="75" fillId="0" borderId="25" applyNumberFormat="0" applyFill="0" applyAlignment="0" applyProtection="0"/>
    <xf numFmtId="0" fontId="75" fillId="0" borderId="25" applyNumberFormat="0" applyFill="0" applyAlignment="0" applyProtection="0"/>
    <xf numFmtId="0" fontId="75" fillId="0" borderId="25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190" fontId="94" fillId="8" borderId="32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9" fillId="59" borderId="21" applyNumberFormat="0" applyAlignment="0" applyProtection="0"/>
    <xf numFmtId="0" fontId="69" fillId="46" borderId="21" applyNumberFormat="0" applyAlignment="0" applyProtection="0"/>
    <xf numFmtId="0" fontId="69" fillId="59" borderId="21" applyNumberFormat="0" applyAlignment="0" applyProtection="0"/>
    <xf numFmtId="0" fontId="69" fillId="59" borderId="21" applyNumberFormat="0" applyAlignment="0" applyProtection="0"/>
    <xf numFmtId="193" fontId="26" fillId="0" borderId="0"/>
    <xf numFmtId="193" fontId="26" fillId="0" borderId="0"/>
    <xf numFmtId="193" fontId="26" fillId="0" borderId="0"/>
    <xf numFmtId="193" fontId="26" fillId="0" borderId="0"/>
    <xf numFmtId="193" fontId="26" fillId="0" borderId="0"/>
    <xf numFmtId="193" fontId="26" fillId="0" borderId="0" applyFont="0" applyFill="0" applyBorder="0" applyAlignment="0" applyProtection="0"/>
    <xf numFmtId="0" fontId="8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82" fillId="60" borderId="0" applyNumberFormat="0" applyBorder="0" applyAlignment="0" applyProtection="0"/>
    <xf numFmtId="0" fontId="82" fillId="51" borderId="0" applyNumberFormat="0" applyBorder="0" applyAlignment="0" applyProtection="0"/>
    <xf numFmtId="0" fontId="82" fillId="60" borderId="0" applyNumberFormat="0" applyBorder="0" applyAlignment="0" applyProtection="0"/>
    <xf numFmtId="0" fontId="82" fillId="60" borderId="0" applyNumberFormat="0" applyBorder="0" applyAlignment="0" applyProtection="0"/>
    <xf numFmtId="0" fontId="29" fillId="0" borderId="0"/>
    <xf numFmtId="0" fontId="29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26" fillId="0" borderId="0"/>
    <xf numFmtId="0" fontId="95" fillId="0" borderId="0"/>
    <xf numFmtId="0" fontId="29" fillId="0" borderId="0"/>
    <xf numFmtId="0" fontId="7" fillId="0" borderId="0"/>
    <xf numFmtId="0" fontId="29" fillId="0" borderId="0"/>
    <xf numFmtId="0" fontId="29" fillId="0" borderId="0"/>
    <xf numFmtId="0" fontId="96" fillId="0" borderId="0"/>
    <xf numFmtId="0" fontId="29" fillId="0" borderId="0"/>
    <xf numFmtId="0" fontId="5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53" fillId="0" borderId="0"/>
    <xf numFmtId="0" fontId="97" fillId="0" borderId="0"/>
    <xf numFmtId="0" fontId="29" fillId="0" borderId="0"/>
    <xf numFmtId="0" fontId="56" fillId="0" borderId="0"/>
    <xf numFmtId="0" fontId="62" fillId="19" borderId="0" applyNumberFormat="0" applyBorder="0" applyAlignment="0" applyProtection="0"/>
    <xf numFmtId="0" fontId="62" fillId="13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61" borderId="0" applyProtection="0"/>
    <xf numFmtId="0" fontId="56" fillId="61" borderId="0" applyProtection="0"/>
    <xf numFmtId="0" fontId="56" fillId="61" borderId="0" applyProtection="0"/>
    <xf numFmtId="0" fontId="56" fillId="61" borderId="0" applyProtection="0"/>
    <xf numFmtId="9" fontId="26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81" fillId="0" borderId="27" applyNumberFormat="0" applyFill="0" applyAlignment="0" applyProtection="0"/>
    <xf numFmtId="0" fontId="81" fillId="0" borderId="27" applyNumberFormat="0" applyFill="0" applyAlignment="0" applyProtection="0"/>
    <xf numFmtId="0" fontId="81" fillId="0" borderId="27" applyNumberFormat="0" applyFill="0" applyAlignment="0" applyProtection="0"/>
    <xf numFmtId="0" fontId="81" fillId="0" borderId="27" applyNumberFormat="0" applyFill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90" fillId="0" borderId="0" applyNumberFormat="0" applyFill="0" applyBorder="0" applyAlignment="0" applyProtection="0"/>
    <xf numFmtId="0" fontId="90" fillId="0" borderId="0" applyNumberFormat="0" applyFill="0" applyBorder="0" applyAlignment="0" applyProtection="0"/>
    <xf numFmtId="0" fontId="90" fillId="0" borderId="0" applyNumberFormat="0" applyFill="0" applyBorder="0" applyAlignment="0" applyProtection="0"/>
    <xf numFmtId="0" fontId="90" fillId="0" borderId="0" applyNumberFormat="0" applyFill="0" applyBorder="0" applyAlignment="0" applyProtection="0"/>
    <xf numFmtId="194" fontId="51" fillId="0" borderId="0"/>
    <xf numFmtId="194" fontId="51" fillId="0" borderId="0"/>
    <xf numFmtId="194" fontId="51" fillId="0" borderId="0"/>
    <xf numFmtId="194" fontId="51" fillId="0" borderId="0"/>
    <xf numFmtId="194" fontId="51" fillId="0" borderId="0"/>
    <xf numFmtId="195" fontId="98" fillId="0" borderId="0" applyFont="0" applyFill="0" applyBorder="0" applyAlignment="0" applyProtection="0"/>
    <xf numFmtId="3" fontId="56" fillId="0" borderId="0" applyBorder="0">
      <alignment horizontal="right"/>
      <protection locked="0"/>
    </xf>
    <xf numFmtId="3" fontId="56" fillId="0" borderId="0" applyBorder="0">
      <alignment horizontal="right"/>
      <protection locked="0"/>
    </xf>
    <xf numFmtId="3" fontId="56" fillId="0" borderId="0" applyBorder="0">
      <alignment horizontal="right"/>
      <protection locked="0"/>
    </xf>
    <xf numFmtId="3" fontId="56" fillId="0" borderId="0" applyBorder="0">
      <alignment horizontal="right"/>
      <protection locked="0"/>
    </xf>
    <xf numFmtId="3" fontId="56" fillId="0" borderId="0" applyBorder="0">
      <alignment horizontal="right"/>
      <protection locked="0"/>
    </xf>
    <xf numFmtId="196" fontId="98" fillId="0" borderId="0" applyFont="0" applyFill="0" applyBorder="0" applyAlignment="0" applyProtection="0"/>
    <xf numFmtId="182" fontId="29" fillId="0" borderId="0" applyFont="0" applyFill="0" applyBorder="0" applyAlignment="0" applyProtection="0"/>
    <xf numFmtId="182" fontId="29" fillId="0" borderId="0" applyFont="0" applyFill="0" applyBorder="0" applyAlignment="0" applyProtection="0"/>
    <xf numFmtId="197" fontId="26" fillId="0" borderId="0" applyFont="0" applyFill="0" applyBorder="0" applyAlignment="0" applyProtection="0"/>
    <xf numFmtId="197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29" fillId="0" borderId="0" applyFont="0" applyFill="0" applyBorder="0" applyAlignment="0" applyProtection="0"/>
    <xf numFmtId="182" fontId="10" fillId="0" borderId="0" applyFont="0" applyFill="0" applyBorder="0" applyAlignment="0" applyProtection="0"/>
    <xf numFmtId="174" fontId="10" fillId="0" borderId="0" applyFont="0" applyFill="0" applyBorder="0" applyAlignment="0" applyProtection="0"/>
    <xf numFmtId="0" fontId="72" fillId="20" borderId="0" applyNumberFormat="0" applyBorder="0" applyAlignment="0" applyProtection="0"/>
    <xf numFmtId="0" fontId="72" fillId="14" borderId="0" applyNumberFormat="0" applyBorder="0" applyAlignment="0" applyProtection="0"/>
    <xf numFmtId="0" fontId="72" fillId="20" borderId="0" applyNumberFormat="0" applyBorder="0" applyAlignment="0" applyProtection="0"/>
    <xf numFmtId="0" fontId="72" fillId="20" borderId="0" applyNumberFormat="0" applyBorder="0" applyAlignment="0" applyProtection="0"/>
    <xf numFmtId="0" fontId="10" fillId="0" borderId="0"/>
    <xf numFmtId="17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98" fontId="26" fillId="0" borderId="0" applyFill="0" applyBorder="0" applyAlignment="0" applyProtection="0">
      <alignment vertical="center"/>
    </xf>
    <xf numFmtId="174" fontId="7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7" fillId="0" borderId="0"/>
    <xf numFmtId="0" fontId="25" fillId="0" borderId="0"/>
    <xf numFmtId="0" fontId="100" fillId="0" borderId="0"/>
    <xf numFmtId="0" fontId="100" fillId="0" borderId="0"/>
    <xf numFmtId="9" fontId="100" fillId="0" borderId="0" applyBorder="0" applyProtection="0"/>
    <xf numFmtId="0" fontId="100" fillId="0" borderId="0"/>
    <xf numFmtId="0" fontId="100" fillId="0" borderId="0"/>
    <xf numFmtId="0" fontId="27" fillId="0" borderId="0"/>
    <xf numFmtId="0" fontId="25" fillId="0" borderId="0"/>
    <xf numFmtId="0" fontId="100" fillId="0" borderId="0"/>
    <xf numFmtId="0" fontId="7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0" fontId="10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5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182" fontId="59" fillId="0" borderId="0" applyFont="0" applyFill="0" applyBorder="0" applyAlignment="0" applyProtection="0"/>
    <xf numFmtId="9" fontId="59" fillId="0" borderId="0" applyFont="0" applyFill="0" applyBorder="0" applyAlignment="0" applyProtection="0"/>
    <xf numFmtId="0" fontId="25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29" fillId="0" borderId="0"/>
    <xf numFmtId="0" fontId="7" fillId="0" borderId="0"/>
    <xf numFmtId="0" fontId="11" fillId="0" borderId="0"/>
    <xf numFmtId="0" fontId="101" fillId="0" borderId="0"/>
    <xf numFmtId="43" fontId="101" fillId="0" borderId="0" applyFont="0" applyFill="0" applyBorder="0" applyAlignment="0" applyProtection="0"/>
    <xf numFmtId="0" fontId="27" fillId="0" borderId="0"/>
    <xf numFmtId="0" fontId="25" fillId="0" borderId="0"/>
    <xf numFmtId="0" fontId="7" fillId="0" borderId="0"/>
    <xf numFmtId="182" fontId="29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10" fillId="0" borderId="0"/>
    <xf numFmtId="17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" fillId="0" borderId="0"/>
    <xf numFmtId="0" fontId="78" fillId="23" borderId="20" applyNumberFormat="0" applyAlignment="0" applyProtection="0"/>
    <xf numFmtId="0" fontId="68" fillId="58" borderId="20" applyNumberFormat="0" applyAlignment="0" applyProtection="0"/>
    <xf numFmtId="43" fontId="26" fillId="0" borderId="0" applyFont="0" applyFill="0" applyBorder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182" fontId="29" fillId="0" borderId="0" applyFont="0" applyFill="0" applyBorder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182" fontId="29" fillId="0" borderId="0" applyFont="0" applyFill="0" applyBorder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182" fontId="29" fillId="0" borderId="0" applyFont="0" applyFill="0" applyBorder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45" borderId="3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" fillId="0" borderId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8" fillId="45" borderId="20" applyNumberFormat="0" applyAlignment="0" applyProtection="0"/>
    <xf numFmtId="182" fontId="29" fillId="0" borderId="0" applyFont="0" applyFill="0" applyBorder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7" fillId="0" borderId="0"/>
    <xf numFmtId="182" fontId="7" fillId="0" borderId="0" applyFont="0" applyFill="0" applyBorder="0" applyAlignment="0" applyProtection="0"/>
    <xf numFmtId="0" fontId="78" fillId="23" borderId="20" applyNumberFormat="0" applyAlignment="0" applyProtection="0"/>
    <xf numFmtId="174" fontId="7" fillId="0" borderId="0" applyFont="0" applyFill="0" applyBorder="0" applyAlignment="0" applyProtection="0"/>
    <xf numFmtId="0" fontId="25" fillId="0" borderId="0"/>
    <xf numFmtId="37" fontId="83" fillId="7" borderId="19" applyBorder="0">
      <alignment horizontal="left" vertical="center" indent="2"/>
    </xf>
    <xf numFmtId="0" fontId="25" fillId="0" borderId="0"/>
    <xf numFmtId="0" fontId="7" fillId="0" borderId="0"/>
    <xf numFmtId="0" fontId="25" fillId="0" borderId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25" fillId="0" borderId="0"/>
    <xf numFmtId="0" fontId="88" fillId="0" borderId="31" applyNumberFormat="0" applyFill="0" applyAlignment="0" applyProtection="0"/>
    <xf numFmtId="0" fontId="7" fillId="0" borderId="0"/>
    <xf numFmtId="0" fontId="88" fillId="0" borderId="31" applyNumberFormat="0" applyFill="0" applyAlignment="0" applyProtection="0"/>
    <xf numFmtId="43" fontId="26" fillId="0" borderId="0" applyFont="0" applyFill="0" applyBorder="0" applyAlignment="0" applyProtection="0"/>
    <xf numFmtId="0" fontId="10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5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25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" fillId="0" borderId="0"/>
    <xf numFmtId="0" fontId="73" fillId="0" borderId="23">
      <alignment horizontal="left" vertical="center"/>
    </xf>
    <xf numFmtId="0" fontId="85" fillId="58" borderId="30" applyNumberFormat="0" applyAlignment="0" applyProtection="0"/>
    <xf numFmtId="43" fontId="101" fillId="0" borderId="0" applyFont="0" applyFill="0" applyBorder="0" applyAlignment="0" applyProtection="0"/>
    <xf numFmtId="0" fontId="59" fillId="53" borderId="29" applyNumberFormat="0" applyFont="0" applyAlignment="0" applyProtection="0"/>
    <xf numFmtId="0" fontId="25" fillId="0" borderId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190" fontId="94" fillId="8" borderId="32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190" fontId="56" fillId="0" borderId="32">
      <protection locked="0"/>
    </xf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6" fillId="0" borderId="26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6" fillId="0" borderId="26" applyNumberFormat="0" applyFill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95" fillId="0" borderId="0"/>
    <xf numFmtId="0" fontId="26" fillId="0" borderId="0"/>
    <xf numFmtId="0" fontId="52" fillId="0" borderId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182" fontId="29" fillId="0" borderId="0" applyFont="0" applyFill="0" applyBorder="0" applyAlignment="0" applyProtection="0"/>
    <xf numFmtId="0" fontId="56" fillId="48" borderId="29" applyNumberFormat="0" applyAlignment="0" applyProtection="0"/>
    <xf numFmtId="182" fontId="7" fillId="0" borderId="0" applyFont="0" applyFill="0" applyBorder="0" applyAlignment="0" applyProtection="0"/>
    <xf numFmtId="0" fontId="27" fillId="0" borderId="0"/>
    <xf numFmtId="0" fontId="102" fillId="0" borderId="0"/>
    <xf numFmtId="0" fontId="7" fillId="0" borderId="0"/>
    <xf numFmtId="0" fontId="103" fillId="0" borderId="0"/>
    <xf numFmtId="0" fontId="104" fillId="0" borderId="0"/>
    <xf numFmtId="0" fontId="25" fillId="0" borderId="0"/>
    <xf numFmtId="44" fontId="26" fillId="0" borderId="0" applyBorder="0" applyAlignment="0" applyProtection="0"/>
    <xf numFmtId="0" fontId="105" fillId="0" borderId="0"/>
    <xf numFmtId="0" fontId="106" fillId="0" borderId="0"/>
    <xf numFmtId="44" fontId="11" fillId="0" borderId="0" applyFont="0" applyFill="0" applyBorder="0" applyAlignment="0" applyProtection="0"/>
    <xf numFmtId="0" fontId="10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29" fillId="0" borderId="0"/>
    <xf numFmtId="185" fontId="29" fillId="0" borderId="0" applyFill="0" applyBorder="0" applyAlignment="0" applyProtection="0"/>
    <xf numFmtId="0" fontId="104" fillId="0" borderId="0"/>
    <xf numFmtId="0" fontId="7" fillId="0" borderId="0"/>
    <xf numFmtId="43" fontId="104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59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185" fontId="29" fillId="0" borderId="0" applyBorder="0" applyProtection="0"/>
    <xf numFmtId="9" fontId="29" fillId="0" borderId="0" applyBorder="0" applyProtection="0"/>
    <xf numFmtId="0" fontId="108" fillId="0" borderId="0" applyNumberFormat="0" applyFill="0" applyBorder="0" applyAlignment="0" applyProtection="0"/>
    <xf numFmtId="0" fontId="7" fillId="0" borderId="0"/>
    <xf numFmtId="185" fontId="29" fillId="0" borderId="0" applyFill="0" applyBorder="0" applyAlignment="0" applyProtection="0"/>
    <xf numFmtId="0" fontId="26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99" fontId="11" fillId="0" borderId="0" applyBorder="0" applyProtection="0"/>
    <xf numFmtId="9" fontId="11" fillId="0" borderId="0" applyBorder="0" applyProtection="0"/>
    <xf numFmtId="0" fontId="10" fillId="0" borderId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1" fillId="0" borderId="0"/>
    <xf numFmtId="43" fontId="101" fillId="0" borderId="0" applyFont="0" applyFill="0" applyBorder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0" borderId="0"/>
    <xf numFmtId="0" fontId="78" fillId="23" borderId="20" applyNumberFormat="0" applyAlignment="0" applyProtection="0"/>
    <xf numFmtId="0" fontId="78" fillId="17" borderId="20" applyNumberFormat="0" applyAlignment="0" applyProtection="0"/>
    <xf numFmtId="43" fontId="26" fillId="0" borderId="0" applyFont="0" applyFill="0" applyBorder="0" applyAlignment="0" applyProtection="0"/>
    <xf numFmtId="0" fontId="100" fillId="0" borderId="0"/>
    <xf numFmtId="0" fontId="100" fillId="0" borderId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6" fillId="0" borderId="26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2" fillId="0" borderId="0"/>
    <xf numFmtId="0" fontId="53" fillId="0" borderId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6" fillId="0" borderId="0"/>
    <xf numFmtId="0" fontId="76" fillId="0" borderId="26" applyNumberFormat="0" applyFill="0" applyAlignment="0" applyProtection="0"/>
    <xf numFmtId="0" fontId="96" fillId="0" borderId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182" fontId="29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29" fillId="53" borderId="29" applyNumberFormat="0" applyFont="0" applyAlignment="0" applyProtection="0"/>
    <xf numFmtId="43" fontId="7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6" fillId="48" borderId="29" applyNumberFormat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56" fillId="48" borderId="29" applyNumberFormat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43" fontId="101" fillId="0" borderId="0" applyFont="0" applyFill="0" applyBorder="0" applyAlignment="0" applyProtection="0"/>
    <xf numFmtId="0" fontId="56" fillId="48" borderId="29" applyNumberFormat="0" applyAlignment="0" applyProtection="0"/>
    <xf numFmtId="43" fontId="10" fillId="0" borderId="0" applyFont="0" applyFill="0" applyBorder="0" applyAlignment="0" applyProtection="0"/>
    <xf numFmtId="0" fontId="29" fillId="0" borderId="0"/>
    <xf numFmtId="182" fontId="29" fillId="0" borderId="0" applyFont="0" applyFill="0" applyBorder="0" applyAlignment="0" applyProtection="0"/>
    <xf numFmtId="0" fontId="56" fillId="48" borderId="29" applyNumberFormat="0" applyAlignment="0" applyProtection="0"/>
    <xf numFmtId="0" fontId="26" fillId="0" borderId="0"/>
    <xf numFmtId="0" fontId="9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5" fillId="0" borderId="0"/>
    <xf numFmtId="0" fontId="7" fillId="0" borderId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182" fontId="29" fillId="0" borderId="0" applyFont="0" applyFill="0" applyBorder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" fillId="0" borderId="0"/>
    <xf numFmtId="182" fontId="29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182" fontId="29" fillId="0" borderId="0" applyFont="0" applyFill="0" applyBorder="0" applyAlignment="0" applyProtection="0"/>
    <xf numFmtId="182" fontId="29" fillId="0" borderId="0" applyFont="0" applyFill="0" applyBorder="0" applyAlignment="0" applyProtection="0"/>
    <xf numFmtId="182" fontId="29" fillId="0" borderId="0" applyFont="0" applyFill="0" applyBorder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" fillId="0" borderId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182" fontId="29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88" fillId="0" borderId="31" applyNumberFormat="0" applyFill="0" applyAlignment="0" applyProtection="0"/>
    <xf numFmtId="0" fontId="7" fillId="0" borderId="0"/>
    <xf numFmtId="43" fontId="101" fillId="0" borderId="0" applyFont="0" applyFill="0" applyBorder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9" fontId="11" fillId="0" borderId="0" applyBorder="0" applyProtection="0"/>
    <xf numFmtId="174" fontId="10" fillId="0" borderId="0" applyFont="0" applyFill="0" applyBorder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7" fillId="0" borderId="35"/>
    <xf numFmtId="37" fontId="83" fillId="7" borderId="34" applyBorder="0">
      <alignment horizontal="left" vertical="center" indent="2"/>
    </xf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7" fillId="0" borderId="0" applyFont="0" applyFill="0" applyBorder="0" applyAlignment="0" applyProtection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9" fontId="10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" fillId="0" borderId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8" fillId="0" borderId="28"/>
    <xf numFmtId="0" fontId="58" fillId="0" borderId="28"/>
    <xf numFmtId="0" fontId="58" fillId="0" borderId="28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43" fontId="101" fillId="0" borderId="0" applyFont="0" applyFill="0" applyBorder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43" fontId="26" fillId="0" borderId="0" applyFont="0" applyFill="0" applyBorder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29" fillId="53" borderId="29" applyNumberFormat="0" applyFont="0" applyAlignment="0" applyProtection="0"/>
    <xf numFmtId="43" fontId="7" fillId="0" borderId="0" applyFont="0" applyFill="0" applyBorder="0" applyAlignment="0" applyProtection="0"/>
    <xf numFmtId="0" fontId="56" fillId="48" borderId="29" applyNumberFormat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56" fillId="48" borderId="29" applyNumberFormat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58" fillId="0" borderId="28"/>
    <xf numFmtId="0" fontId="88" fillId="0" borderId="31" applyNumberFormat="0" applyFill="0" applyAlignment="0" applyProtection="0"/>
    <xf numFmtId="0" fontId="57" fillId="0" borderId="35"/>
    <xf numFmtId="0" fontId="73" fillId="0" borderId="22" applyNumberFormat="0" applyAlignment="0" applyProtection="0"/>
    <xf numFmtId="0" fontId="73" fillId="0" borderId="22" applyNumberFormat="0" applyAlignment="0" applyProtection="0"/>
    <xf numFmtId="0" fontId="57" fillId="0" borderId="35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8" fillId="0" borderId="28"/>
    <xf numFmtId="0" fontId="58" fillId="0" borderId="28"/>
    <xf numFmtId="0" fontId="58" fillId="0" borderId="28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58" fillId="0" borderId="28"/>
    <xf numFmtId="0" fontId="73" fillId="0" borderId="22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190" fontId="94" fillId="8" borderId="32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57" fillId="0" borderId="35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8" fillId="0" borderId="28"/>
    <xf numFmtId="0" fontId="57" fillId="0" borderId="35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45" borderId="30" applyNumberFormat="0" applyAlignment="0" applyProtection="0"/>
    <xf numFmtId="190" fontId="56" fillId="0" borderId="32">
      <protection locked="0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190" fontId="94" fillId="8" borderId="32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190" fontId="94" fillId="8" borderId="32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57" fillId="0" borderId="35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190" fontId="56" fillId="0" borderId="32">
      <protection locked="0"/>
    </xf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190" fontId="94" fillId="8" borderId="32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43" fontId="7" fillId="0" borderId="0" applyFont="0" applyFill="0" applyBorder="0" applyAlignment="0" applyProtection="0"/>
    <xf numFmtId="0" fontId="73" fillId="0" borderId="23">
      <alignment horizontal="left" vertical="center"/>
    </xf>
    <xf numFmtId="43" fontId="104" fillId="0" borderId="0" applyFont="0" applyFill="0" applyBorder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8" fillId="0" borderId="28"/>
    <xf numFmtId="0" fontId="56" fillId="48" borderId="29" applyNumberFormat="0" applyAlignment="0" applyProtection="0"/>
    <xf numFmtId="43" fontId="7" fillId="0" borderId="0" applyFont="0" applyFill="0" applyBorder="0" applyAlignment="0" applyProtection="0"/>
    <xf numFmtId="0" fontId="85" fillId="58" borderId="30" applyNumberFormat="0" applyAlignment="0" applyProtection="0"/>
    <xf numFmtId="190" fontId="94" fillId="8" borderId="32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90" fontId="56" fillId="0" borderId="32">
      <protection locked="0"/>
    </xf>
    <xf numFmtId="0" fontId="10" fillId="0" borderId="0"/>
    <xf numFmtId="43" fontId="10" fillId="0" borderId="0" applyFont="0" applyFill="0" applyBorder="0" applyAlignment="0" applyProtection="0"/>
    <xf numFmtId="190" fontId="94" fillId="8" borderId="32"/>
    <xf numFmtId="191" fontId="51" fillId="0" borderId="33">
      <alignment horizontal="center"/>
    </xf>
    <xf numFmtId="191" fontId="51" fillId="0" borderId="33">
      <alignment horizontal="center"/>
    </xf>
    <xf numFmtId="191" fontId="51" fillId="0" borderId="33">
      <alignment horizontal="center"/>
    </xf>
    <xf numFmtId="191" fontId="51" fillId="0" borderId="33">
      <alignment horizontal="center"/>
    </xf>
    <xf numFmtId="190" fontId="56" fillId="0" borderId="32">
      <protection locked="0"/>
    </xf>
    <xf numFmtId="0" fontId="57" fillId="0" borderId="18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188" fontId="29" fillId="0" borderId="0" applyFont="0" applyFill="0" applyBorder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6" fillId="0" borderId="26" applyNumberFormat="0" applyFill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192" fontId="29" fillId="0" borderId="0" applyFont="0" applyFill="0" applyBorder="0" applyAlignment="0" applyProtection="0"/>
    <xf numFmtId="192" fontId="29" fillId="0" borderId="0" applyFont="0" applyFill="0" applyBorder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0" borderId="0"/>
    <xf numFmtId="0" fontId="29" fillId="0" borderId="0"/>
    <xf numFmtId="0" fontId="7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58" fillId="0" borderId="28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10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9" fillId="53" borderId="29" applyNumberFormat="0" applyFont="0" applyAlignment="0" applyProtection="0"/>
    <xf numFmtId="0" fontId="7" fillId="0" borderId="0"/>
    <xf numFmtId="0" fontId="73" fillId="0" borderId="22" applyNumberFormat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24" fillId="0" borderId="0" applyFont="0" applyFill="0" applyBorder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58" fillId="0" borderId="28"/>
    <xf numFmtId="0" fontId="58" fillId="0" borderId="28"/>
    <xf numFmtId="0" fontId="58" fillId="0" borderId="28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190" fontId="94" fillId="8" borderId="32"/>
    <xf numFmtId="0" fontId="73" fillId="0" borderId="22" applyNumberFormat="0" applyAlignment="0" applyProtection="0"/>
    <xf numFmtId="190" fontId="56" fillId="0" borderId="32">
      <protection locked="0"/>
    </xf>
    <xf numFmtId="0" fontId="85" fillId="58" borderId="30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190" fontId="56" fillId="0" borderId="32">
      <protection locked="0"/>
    </xf>
    <xf numFmtId="0" fontId="73" fillId="0" borderId="22" applyNumberFormat="0" applyAlignment="0" applyProtection="0"/>
    <xf numFmtId="0" fontId="58" fillId="0" borderId="28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190" fontId="56" fillId="0" borderId="32">
      <protection locked="0"/>
    </xf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37" fontId="83" fillId="7" borderId="34" applyBorder="0">
      <alignment horizontal="left" vertical="center" indent="2"/>
    </xf>
    <xf numFmtId="182" fontId="29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0" fontId="7" fillId="0" borderId="0"/>
    <xf numFmtId="182" fontId="29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182" fontId="29" fillId="0" borderId="0" applyFont="0" applyFill="0" applyBorder="0" applyAlignment="0" applyProtection="0"/>
    <xf numFmtId="0" fontId="57" fillId="0" borderId="18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8" fillId="0" borderId="28"/>
    <xf numFmtId="0" fontId="58" fillId="0" borderId="28"/>
    <xf numFmtId="0" fontId="58" fillId="0" borderId="28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190" fontId="56" fillId="0" borderId="32">
      <protection locked="0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190" fontId="94" fillId="8" borderId="32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" fillId="0" borderId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29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190" fontId="94" fillId="8" borderId="32"/>
    <xf numFmtId="190" fontId="56" fillId="0" borderId="32">
      <protection locked="0"/>
    </xf>
    <xf numFmtId="182" fontId="7" fillId="0" borderId="0" applyFont="0" applyFill="0" applyBorder="0" applyAlignment="0" applyProtection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7" fillId="0" borderId="0"/>
    <xf numFmtId="182" fontId="29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" fillId="0" borderId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88" fillId="0" borderId="31" applyNumberFormat="0" applyFill="0" applyAlignment="0" applyProtection="0"/>
    <xf numFmtId="0" fontId="7" fillId="0" borderId="0"/>
    <xf numFmtId="43" fontId="101" fillId="0" borderId="0" applyFont="0" applyFill="0" applyBorder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182" fontId="7" fillId="0" borderId="0" applyFont="0" applyFill="0" applyBorder="0" applyAlignment="0" applyProtection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29" fillId="53" borderId="29" applyNumberFormat="0" applyFont="0" applyAlignment="0" applyProtection="0"/>
    <xf numFmtId="43" fontId="7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6" fillId="48" borderId="29" applyNumberFormat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56" fillId="48" borderId="29" applyNumberFormat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43" fontId="101" fillId="0" borderId="0" applyFont="0" applyFill="0" applyBorder="0" applyAlignment="0" applyProtection="0"/>
    <xf numFmtId="0" fontId="56" fillId="48" borderId="29" applyNumberFormat="0" applyAlignment="0" applyProtection="0"/>
    <xf numFmtId="43" fontId="10" fillId="0" borderId="0" applyFont="0" applyFill="0" applyBorder="0" applyAlignment="0" applyProtection="0"/>
    <xf numFmtId="0" fontId="56" fillId="48" borderId="2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" fillId="0" borderId="0"/>
    <xf numFmtId="0" fontId="7" fillId="0" borderId="0"/>
    <xf numFmtId="182" fontId="29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182" fontId="7" fillId="0" borderId="0" applyFont="0" applyFill="0" applyBorder="0" applyAlignment="0" applyProtection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182" fontId="7" fillId="0" borderId="0" applyFont="0" applyFill="0" applyBorder="0" applyAlignment="0" applyProtection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" fillId="0" borderId="0"/>
    <xf numFmtId="0" fontId="78" fillId="17" borderId="20" applyNumberFormat="0" applyAlignment="0" applyProtection="0"/>
    <xf numFmtId="37" fontId="83" fillId="7" borderId="34" applyBorder="0">
      <alignment horizontal="left" vertical="center" indent="2"/>
    </xf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43" fontId="10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" fillId="0" borderId="0"/>
    <xf numFmtId="0" fontId="78" fillId="23" borderId="20" applyNumberFormat="0" applyAlignment="0" applyProtection="0"/>
    <xf numFmtId="0" fontId="68" fillId="58" borderId="20" applyNumberFormat="0" applyAlignment="0" applyProtection="0"/>
    <xf numFmtId="43" fontId="26" fillId="0" borderId="0" applyFont="0" applyFill="0" applyBorder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45" borderId="3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" fillId="0" borderId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7" fillId="0" borderId="0"/>
    <xf numFmtId="182" fontId="7" fillId="0" borderId="0" applyFont="0" applyFill="0" applyBorder="0" applyAlignment="0" applyProtection="0"/>
    <xf numFmtId="0" fontId="78" fillId="23" borderId="20" applyNumberFormat="0" applyAlignment="0" applyProtection="0"/>
    <xf numFmtId="174" fontId="7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0" fontId="7" fillId="0" borderId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" fillId="0" borderId="0"/>
    <xf numFmtId="0" fontId="88" fillId="0" borderId="31" applyNumberFormat="0" applyFill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" fillId="0" borderId="0"/>
    <xf numFmtId="0" fontId="73" fillId="0" borderId="23">
      <alignment horizontal="left" vertical="center"/>
    </xf>
    <xf numFmtId="0" fontId="85" fillId="58" borderId="30" applyNumberFormat="0" applyAlignment="0" applyProtection="0"/>
    <xf numFmtId="43" fontId="101" fillId="0" borderId="0" applyFont="0" applyFill="0" applyBorder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6" fillId="0" borderId="26" applyNumberFormat="0" applyFill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56" fillId="48" borderId="29" applyNumberFormat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29" fillId="53" borderId="29" applyNumberFormat="0" applyFont="0" applyAlignment="0" applyProtection="0"/>
    <xf numFmtId="43" fontId="7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6" fillId="48" borderId="29" applyNumberFormat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56" fillId="48" borderId="29" applyNumberFormat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43" fontId="101" fillId="0" borderId="0" applyFont="0" applyFill="0" applyBorder="0" applyAlignment="0" applyProtection="0"/>
    <xf numFmtId="0" fontId="56" fillId="48" borderId="29" applyNumberFormat="0" applyAlignment="0" applyProtection="0"/>
    <xf numFmtId="43" fontId="10" fillId="0" borderId="0" applyFont="0" applyFill="0" applyBorder="0" applyAlignment="0" applyProtection="0"/>
    <xf numFmtId="0" fontId="56" fillId="48" borderId="2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34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34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34" applyBorder="0">
      <alignment horizontal="left" vertical="center" indent="2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34" applyBorder="0">
      <alignment horizontal="left" vertical="center" indent="2"/>
    </xf>
    <xf numFmtId="0" fontId="68" fillId="45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37" fontId="83" fillId="7" borderId="34" applyBorder="0">
      <alignment horizontal="left" vertical="center" indent="2"/>
    </xf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34" applyBorder="0">
      <alignment horizontal="left" vertical="center" indent="2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34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34" applyBorder="0">
      <alignment horizontal="left" vertical="center" indent="2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34" applyBorder="0">
      <alignment horizontal="left" vertical="center" indent="2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45" borderId="3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37" fontId="83" fillId="7" borderId="34" applyBorder="0">
      <alignment horizontal="left" vertical="center" indent="2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34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34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37" fontId="83" fillId="7" borderId="34" applyBorder="0">
      <alignment horizontal="left" vertical="center" indent="2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34" applyBorder="0">
      <alignment horizontal="left" vertical="center" indent="2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34" applyBorder="0">
      <alignment horizontal="left" vertical="center" indent="2"/>
    </xf>
    <xf numFmtId="0" fontId="68" fillId="45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37" fontId="83" fillId="7" borderId="34" applyBorder="0">
      <alignment horizontal="left" vertical="center" indent="2"/>
    </xf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34" applyBorder="0">
      <alignment horizontal="left" vertical="center" indent="2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34" applyBorder="0">
      <alignment horizontal="left" vertical="center" indent="2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34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34" applyBorder="0">
      <alignment horizontal="left" vertical="center" indent="2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34" applyBorder="0">
      <alignment horizontal="left" vertical="center" indent="2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34" applyBorder="0">
      <alignment horizontal="left" vertical="center" indent="2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37" fontId="83" fillId="7" borderId="34" applyBorder="0">
      <alignment horizontal="left" vertical="center" indent="2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34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34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34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37" fontId="83" fillId="7" borderId="34" applyBorder="0">
      <alignment horizontal="left" vertical="center" indent="2"/>
    </xf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37" fontId="83" fillId="7" borderId="34" applyBorder="0">
      <alignment horizontal="left" vertical="center" indent="2"/>
    </xf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37" fontId="83" fillId="7" borderId="34" applyBorder="0">
      <alignment horizontal="left" vertical="center" indent="2"/>
    </xf>
    <xf numFmtId="0" fontId="85" fillId="58" borderId="30" applyNumberFormat="0" applyAlignment="0" applyProtection="0"/>
    <xf numFmtId="37" fontId="83" fillId="7" borderId="34" applyBorder="0">
      <alignment horizontal="left" vertical="center" indent="2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37" fontId="83" fillId="7" borderId="34" applyBorder="0">
      <alignment horizontal="left" vertical="center" indent="2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34" applyBorder="0">
      <alignment horizontal="left" vertical="center" indent="2"/>
    </xf>
    <xf numFmtId="0" fontId="78" fillId="23" borderId="20" applyNumberFormat="0" applyAlignment="0" applyProtection="0"/>
    <xf numFmtId="37" fontId="83" fillId="7" borderId="34" applyBorder="0">
      <alignment horizontal="left" vertical="center" indent="2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25" fillId="0" borderId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25" fillId="0" borderId="0"/>
    <xf numFmtId="0" fontId="10" fillId="0" borderId="0"/>
    <xf numFmtId="17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0" fontId="57" fillId="0" borderId="18"/>
    <xf numFmtId="0" fontId="58" fillId="0" borderId="28"/>
    <xf numFmtId="0" fontId="58" fillId="0" borderId="28"/>
    <xf numFmtId="0" fontId="58" fillId="0" borderId="28"/>
    <xf numFmtId="37" fontId="83" fillId="7" borderId="19" applyBorder="0">
      <alignment horizontal="left" vertical="center" indent="2"/>
    </xf>
    <xf numFmtId="190" fontId="56" fillId="0" borderId="32">
      <protection locked="0"/>
    </xf>
    <xf numFmtId="190" fontId="94" fillId="8" borderId="32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5" fillId="0" borderId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" fillId="0" borderId="0"/>
    <xf numFmtId="37" fontId="83" fillId="7" borderId="19" applyBorder="0">
      <alignment horizontal="left" vertical="center" indent="2"/>
    </xf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7" fillId="0" borderId="18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190" fontId="94" fillId="8" borderId="32"/>
    <xf numFmtId="190" fontId="56" fillId="0" borderId="32">
      <protection locked="0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182" fontId="7" fillId="0" borderId="0" applyFont="0" applyFill="0" applyBorder="0" applyAlignment="0" applyProtection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" fillId="0" borderId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7" fillId="0" borderId="18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7" fillId="0" borderId="0" applyFont="0" applyFill="0" applyBorder="0" applyAlignment="0" applyProtection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" fillId="0" borderId="0"/>
    <xf numFmtId="0" fontId="58" fillId="0" borderId="28"/>
    <xf numFmtId="0" fontId="58" fillId="0" borderId="28"/>
    <xf numFmtId="0" fontId="58" fillId="0" borderId="28"/>
    <xf numFmtId="43" fontId="101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43" fontId="26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8" fillId="0" borderId="28"/>
    <xf numFmtId="0" fontId="57" fillId="0" borderId="18"/>
    <xf numFmtId="0" fontId="57" fillId="0" borderId="18"/>
    <xf numFmtId="0" fontId="58" fillId="0" borderId="28"/>
    <xf numFmtId="0" fontId="58" fillId="0" borderId="28"/>
    <xf numFmtId="0" fontId="58" fillId="0" borderId="28"/>
    <xf numFmtId="0" fontId="58" fillId="0" borderId="28"/>
    <xf numFmtId="37" fontId="83" fillId="7" borderId="19" applyBorder="0">
      <alignment horizontal="left" vertical="center" indent="2"/>
    </xf>
    <xf numFmtId="190" fontId="94" fillId="8" borderId="32"/>
    <xf numFmtId="0" fontId="57" fillId="0" borderId="18"/>
    <xf numFmtId="0" fontId="58" fillId="0" borderId="28"/>
    <xf numFmtId="0" fontId="57" fillId="0" borderId="18"/>
    <xf numFmtId="190" fontId="56" fillId="0" borderId="32">
      <protection locked="0"/>
    </xf>
    <xf numFmtId="190" fontId="94" fillId="8" borderId="32"/>
    <xf numFmtId="190" fontId="94" fillId="8" borderId="32"/>
    <xf numFmtId="0" fontId="57" fillId="0" borderId="18"/>
    <xf numFmtId="37" fontId="83" fillId="7" borderId="19" applyBorder="0">
      <alignment horizontal="left" vertical="center" indent="2"/>
    </xf>
    <xf numFmtId="190" fontId="56" fillId="0" borderId="32">
      <protection locked="0"/>
    </xf>
    <xf numFmtId="190" fontId="94" fillId="8" borderId="32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0" fontId="58" fillId="0" borderId="28"/>
    <xf numFmtId="43" fontId="7" fillId="0" borderId="0" applyFont="0" applyFill="0" applyBorder="0" applyAlignment="0" applyProtection="0"/>
    <xf numFmtId="190" fontId="94" fillId="8" borderId="32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90" fontId="56" fillId="0" borderId="32">
      <protection locked="0"/>
    </xf>
    <xf numFmtId="43" fontId="10" fillId="0" borderId="0" applyFont="0" applyFill="0" applyBorder="0" applyAlignment="0" applyProtection="0"/>
    <xf numFmtId="190" fontId="94" fillId="8" borderId="32"/>
    <xf numFmtId="190" fontId="56" fillId="0" borderId="32">
      <protection locked="0"/>
    </xf>
    <xf numFmtId="0" fontId="57" fillId="0" borderId="18"/>
    <xf numFmtId="37" fontId="83" fillId="7" borderId="19" applyBorder="0">
      <alignment horizontal="left" vertical="center" indent="2"/>
    </xf>
    <xf numFmtId="0" fontId="7" fillId="0" borderId="0"/>
    <xf numFmtId="0" fontId="58" fillId="0" borderId="28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24" fillId="0" borderId="0" applyFont="0" applyFill="0" applyBorder="0" applyAlignment="0" applyProtection="0"/>
    <xf numFmtId="0" fontId="58" fillId="0" borderId="28"/>
    <xf numFmtId="0" fontId="58" fillId="0" borderId="28"/>
    <xf numFmtId="0" fontId="58" fillId="0" borderId="28"/>
    <xf numFmtId="37" fontId="83" fillId="7" borderId="19" applyBorder="0">
      <alignment horizontal="left" vertical="center" indent="2"/>
    </xf>
    <xf numFmtId="190" fontId="94" fillId="8" borderId="32"/>
    <xf numFmtId="190" fontId="56" fillId="0" borderId="32">
      <protection locked="0"/>
    </xf>
    <xf numFmtId="190" fontId="56" fillId="0" borderId="32">
      <protection locked="0"/>
    </xf>
    <xf numFmtId="0" fontId="58" fillId="0" borderId="28"/>
    <xf numFmtId="190" fontId="56" fillId="0" borderId="32">
      <protection locked="0"/>
    </xf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0" fontId="57" fillId="0" borderId="18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8" fillId="0" borderId="28"/>
    <xf numFmtId="0" fontId="58" fillId="0" borderId="28"/>
    <xf numFmtId="0" fontId="58" fillId="0" borderId="28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190" fontId="56" fillId="0" borderId="32">
      <protection locked="0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190" fontId="94" fillId="8" borderId="32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" fillId="0" borderId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190" fontId="94" fillId="8" borderId="32"/>
    <xf numFmtId="190" fontId="56" fillId="0" borderId="32">
      <protection locked="0"/>
    </xf>
    <xf numFmtId="182" fontId="7" fillId="0" borderId="0" applyFont="0" applyFill="0" applyBorder="0" applyAlignment="0" applyProtection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" fillId="0" borderId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0" fontId="57" fillId="0" borderId="18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182" fontId="7" fillId="0" borderId="0" applyFont="0" applyFill="0" applyBorder="0" applyAlignment="0" applyProtection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182" fontId="7" fillId="0" borderId="0" applyFont="0" applyFill="0" applyBorder="0" applyAlignment="0" applyProtection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182" fontId="7" fillId="0" borderId="0" applyFont="0" applyFill="0" applyBorder="0" applyAlignment="0" applyProtection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25" fillId="0" borderId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" fillId="0" borderId="0"/>
    <xf numFmtId="37" fontId="83" fillId="7" borderId="19" applyBorder="0">
      <alignment horizontal="left" vertical="center" indent="2"/>
    </xf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7" fillId="0" borderId="18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7" fillId="0" borderId="18"/>
    <xf numFmtId="0" fontId="57" fillId="0" borderId="18"/>
    <xf numFmtId="0" fontId="57" fillId="0" borderId="18"/>
    <xf numFmtId="0" fontId="57" fillId="0" borderId="18"/>
    <xf numFmtId="0" fontId="57" fillId="0" borderId="18"/>
    <xf numFmtId="0" fontId="57" fillId="0" borderId="18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6" fillId="0" borderId="0"/>
    <xf numFmtId="200" fontId="56" fillId="0" borderId="0" applyFont="0" applyFill="0" applyBorder="0" applyAlignment="0" applyProtection="0"/>
    <xf numFmtId="201" fontId="59" fillId="0" borderId="0" applyFont="0" applyFill="0" applyBorder="0" applyAlignment="0" applyProtection="0">
      <alignment vertical="center"/>
    </xf>
    <xf numFmtId="9" fontId="56" fillId="0" borderId="0" applyFont="0" applyFill="0" applyBorder="0" applyAlignment="0" applyProtection="0"/>
    <xf numFmtId="0" fontId="61" fillId="0" borderId="0" applyNumberFormat="0" applyFill="0" applyBorder="0" applyAlignment="0" applyProtection="0"/>
    <xf numFmtId="0" fontId="68" fillId="9" borderId="20" applyNumberFormat="0" applyAlignment="0" applyProtection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202" fontId="56" fillId="0" borderId="0">
      <alignment horizontal="center"/>
    </xf>
    <xf numFmtId="202" fontId="56" fillId="0" borderId="0">
      <alignment horizontal="center"/>
    </xf>
    <xf numFmtId="202" fontId="56" fillId="0" borderId="0">
      <alignment horizontal="center"/>
    </xf>
    <xf numFmtId="202" fontId="56" fillId="0" borderId="0">
      <alignment horizontal="center"/>
    </xf>
    <xf numFmtId="0" fontId="57" fillId="11" borderId="0"/>
    <xf numFmtId="0" fontId="57" fillId="11" borderId="0"/>
    <xf numFmtId="0" fontId="57" fillId="11" borderId="0"/>
    <xf numFmtId="0" fontId="59" fillId="68" borderId="0" applyNumberFormat="0" applyBorder="0" applyAlignment="0" applyProtection="0"/>
    <xf numFmtId="0" fontId="59" fillId="66" borderId="0" applyNumberFormat="0" applyBorder="0" applyAlignment="0" applyProtection="0"/>
    <xf numFmtId="0" fontId="59" fillId="65" borderId="0" applyNumberFormat="0" applyBorder="0" applyAlignment="0" applyProtection="0"/>
    <xf numFmtId="0" fontId="59" fillId="72" borderId="0" applyNumberFormat="0" applyBorder="0" applyAlignment="0" applyProtection="0"/>
    <xf numFmtId="0" fontId="59" fillId="8" borderId="0" applyNumberFormat="0" applyBorder="0" applyAlignment="0" applyProtection="0"/>
    <xf numFmtId="0" fontId="59" fillId="63" borderId="0" applyNumberFormat="0" applyBorder="0" applyAlignment="0" applyProtection="0"/>
    <xf numFmtId="0" fontId="59" fillId="68" borderId="0" applyNumberFormat="0" applyBorder="0" applyAlignment="0" applyProtection="0"/>
    <xf numFmtId="0" fontId="59" fillId="66" borderId="0" applyNumberFormat="0" applyBorder="0" applyAlignment="0" applyProtection="0"/>
    <xf numFmtId="0" fontId="59" fillId="65" borderId="0" applyNumberFormat="0" applyBorder="0" applyAlignment="0" applyProtection="0"/>
    <xf numFmtId="0" fontId="59" fillId="72" borderId="0" applyNumberFormat="0" applyBorder="0" applyAlignment="0" applyProtection="0"/>
    <xf numFmtId="0" fontId="59" fillId="8" borderId="0" applyNumberFormat="0" applyBorder="0" applyAlignment="0" applyProtection="0"/>
    <xf numFmtId="0" fontId="59" fillId="63" borderId="0" applyNumberFormat="0" applyBorder="0" applyAlignment="0" applyProtection="0"/>
    <xf numFmtId="0" fontId="59" fillId="71" borderId="0" applyNumberFormat="0" applyBorder="0" applyAlignment="0" applyProtection="0"/>
    <xf numFmtId="0" fontId="59" fillId="69" borderId="0" applyNumberFormat="0" applyBorder="0" applyAlignment="0" applyProtection="0"/>
    <xf numFmtId="0" fontId="59" fillId="73" borderId="0" applyNumberFormat="0" applyBorder="0" applyAlignment="0" applyProtection="0"/>
    <xf numFmtId="0" fontId="59" fillId="72" borderId="0" applyNumberFormat="0" applyBorder="0" applyAlignment="0" applyProtection="0"/>
    <xf numFmtId="0" fontId="59" fillId="71" borderId="0" applyNumberFormat="0" applyBorder="0" applyAlignment="0" applyProtection="0"/>
    <xf numFmtId="0" fontId="59" fillId="74" borderId="0" applyNumberFormat="0" applyBorder="0" applyAlignment="0" applyProtection="0"/>
    <xf numFmtId="0" fontId="59" fillId="71" borderId="0" applyNumberFormat="0" applyBorder="0" applyAlignment="0" applyProtection="0"/>
    <xf numFmtId="0" fontId="59" fillId="69" borderId="0" applyNumberFormat="0" applyBorder="0" applyAlignment="0" applyProtection="0"/>
    <xf numFmtId="0" fontId="59" fillId="73" borderId="0" applyNumberFormat="0" applyBorder="0" applyAlignment="0" applyProtection="0"/>
    <xf numFmtId="0" fontId="59" fillId="72" borderId="0" applyNumberFormat="0" applyBorder="0" applyAlignment="0" applyProtection="0"/>
    <xf numFmtId="0" fontId="59" fillId="71" borderId="0" applyNumberFormat="0" applyBorder="0" applyAlignment="0" applyProtection="0"/>
    <xf numFmtId="0" fontId="59" fillId="74" borderId="0" applyNumberFormat="0" applyBorder="0" applyAlignment="0" applyProtection="0"/>
    <xf numFmtId="0" fontId="60" fillId="75" borderId="0" applyNumberFormat="0" applyBorder="0" applyAlignment="0" applyProtection="0"/>
    <xf numFmtId="0" fontId="60" fillId="69" borderId="0" applyNumberFormat="0" applyBorder="0" applyAlignment="0" applyProtection="0"/>
    <xf numFmtId="0" fontId="60" fillId="73" borderId="0" applyNumberFormat="0" applyBorder="0" applyAlignment="0" applyProtection="0"/>
    <xf numFmtId="0" fontId="60" fillId="76" borderId="0" applyNumberFormat="0" applyBorder="0" applyAlignment="0" applyProtection="0"/>
    <xf numFmtId="0" fontId="60" fillId="70" borderId="0" applyNumberFormat="0" applyBorder="0" applyAlignment="0" applyProtection="0"/>
    <xf numFmtId="0" fontId="60" fillId="77" borderId="0" applyNumberFormat="0" applyBorder="0" applyAlignment="0" applyProtection="0"/>
    <xf numFmtId="0" fontId="60" fillId="75" borderId="0" applyNumberFormat="0" applyBorder="0" applyAlignment="0" applyProtection="0"/>
    <xf numFmtId="0" fontId="60" fillId="69" borderId="0" applyNumberFormat="0" applyBorder="0" applyAlignment="0" applyProtection="0"/>
    <xf numFmtId="0" fontId="60" fillId="73" borderId="0" applyNumberFormat="0" applyBorder="0" applyAlignment="0" applyProtection="0"/>
    <xf numFmtId="0" fontId="60" fillId="76" borderId="0" applyNumberFormat="0" applyBorder="0" applyAlignment="0" applyProtection="0"/>
    <xf numFmtId="0" fontId="60" fillId="70" borderId="0" applyNumberFormat="0" applyBorder="0" applyAlignment="0" applyProtection="0"/>
    <xf numFmtId="0" fontId="60" fillId="77" borderId="0" applyNumberFormat="0" applyBorder="0" applyAlignment="0" applyProtection="0"/>
    <xf numFmtId="0" fontId="60" fillId="78" borderId="0" applyNumberFormat="0" applyBorder="0" applyAlignment="0" applyProtection="0"/>
    <xf numFmtId="0" fontId="60" fillId="79" borderId="0" applyNumberFormat="0" applyBorder="0" applyAlignment="0" applyProtection="0"/>
    <xf numFmtId="0" fontId="60" fillId="80" borderId="0" applyNumberFormat="0" applyBorder="0" applyAlignment="0" applyProtection="0"/>
    <xf numFmtId="0" fontId="60" fillId="76" borderId="0" applyNumberFormat="0" applyBorder="0" applyAlignment="0" applyProtection="0"/>
    <xf numFmtId="0" fontId="60" fillId="70" borderId="0" applyNumberFormat="0" applyBorder="0" applyAlignment="0" applyProtection="0"/>
    <xf numFmtId="0" fontId="60" fillId="81" borderId="0" applyNumberFormat="0" applyBorder="0" applyAlignment="0" applyProtection="0"/>
    <xf numFmtId="0" fontId="62" fillId="66" borderId="0" applyNumberFormat="0" applyBorder="0" applyAlignment="0" applyProtection="0"/>
    <xf numFmtId="0" fontId="115" fillId="30" borderId="0"/>
    <xf numFmtId="0" fontId="63" fillId="44" borderId="0"/>
    <xf numFmtId="0" fontId="115" fillId="30" borderId="0"/>
    <xf numFmtId="0" fontId="109" fillId="44" borderId="0"/>
    <xf numFmtId="0" fontId="109" fillId="30" borderId="0"/>
    <xf numFmtId="0" fontId="109" fillId="30" borderId="0"/>
    <xf numFmtId="0" fontId="109" fillId="30" borderId="0"/>
    <xf numFmtId="0" fontId="68" fillId="9" borderId="20" applyNumberFormat="0" applyAlignment="0" applyProtection="0"/>
    <xf numFmtId="0" fontId="69" fillId="64" borderId="21" applyNumberFormat="0" applyAlignment="0" applyProtection="0"/>
    <xf numFmtId="0" fontId="115" fillId="48" borderId="0"/>
    <xf numFmtId="0" fontId="63" fillId="47" borderId="0"/>
    <xf numFmtId="0" fontId="115" fillId="48" borderId="0"/>
    <xf numFmtId="0" fontId="109" fillId="49" borderId="0"/>
    <xf numFmtId="0" fontId="109" fillId="50" borderId="0"/>
    <xf numFmtId="0" fontId="109" fillId="50" borderId="0"/>
    <xf numFmtId="0" fontId="109" fillId="50" borderId="0"/>
    <xf numFmtId="204" fontId="56" fillId="0" borderId="0" applyBorder="0">
      <alignment vertical="top"/>
    </xf>
    <xf numFmtId="204" fontId="56" fillId="0" borderId="0" applyBorder="0">
      <alignment vertical="top"/>
    </xf>
    <xf numFmtId="204" fontId="56" fillId="0" borderId="0" applyBorder="0">
      <alignment vertical="top"/>
    </xf>
    <xf numFmtId="204" fontId="56" fillId="0" borderId="0" applyBorder="0">
      <alignment vertical="top"/>
    </xf>
    <xf numFmtId="205" fontId="56" fillId="0" borderId="0" applyFont="0" applyFill="0" applyBorder="0" applyAlignment="0" applyProtection="0"/>
    <xf numFmtId="206" fontId="56" fillId="0" borderId="0" applyFill="0" applyBorder="0" applyAlignment="0" applyProtection="0"/>
    <xf numFmtId="205" fontId="56" fillId="0" borderId="0" applyFont="0" applyFill="0" applyBorder="0" applyAlignment="0" applyProtection="0"/>
    <xf numFmtId="206" fontId="56" fillId="0" borderId="0" applyFill="0" applyBorder="0" applyAlignment="0" applyProtection="0"/>
    <xf numFmtId="0" fontId="72" fillId="65" borderId="0" applyNumberFormat="0" applyBorder="0" applyAlignment="0" applyProtection="0"/>
    <xf numFmtId="0" fontId="99" fillId="0" borderId="22" applyNumberFormat="0" applyAlignment="0" applyProtection="0"/>
    <xf numFmtId="0" fontId="99" fillId="0" borderId="22" applyNumberFormat="0" applyAlignment="0" applyProtection="0"/>
    <xf numFmtId="0" fontId="99" fillId="0" borderId="22" applyNumberFormat="0" applyAlignment="0" applyProtection="0"/>
    <xf numFmtId="0" fontId="99" fillId="0" borderId="22" applyNumberFormat="0" applyAlignment="0" applyProtection="0"/>
    <xf numFmtId="0" fontId="99" fillId="0" borderId="23">
      <alignment horizontal="left" vertical="center"/>
    </xf>
    <xf numFmtId="0" fontId="99" fillId="0" borderId="23">
      <alignment horizontal="left" vertical="center"/>
    </xf>
    <xf numFmtId="0" fontId="99" fillId="0" borderId="23">
      <alignment horizontal="left" vertical="center"/>
    </xf>
    <xf numFmtId="0" fontId="99" fillId="0" borderId="23">
      <alignment horizontal="left" vertical="center"/>
    </xf>
    <xf numFmtId="0" fontId="78" fillId="63" borderId="20" applyNumberFormat="0" applyAlignment="0" applyProtection="0"/>
    <xf numFmtId="0" fontId="116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82" fillId="67" borderId="0" applyNumberFormat="0" applyBorder="0" applyAlignment="0" applyProtection="0"/>
    <xf numFmtId="0" fontId="57" fillId="0" borderId="28"/>
    <xf numFmtId="0" fontId="57" fillId="0" borderId="28"/>
    <xf numFmtId="0" fontId="57" fillId="0" borderId="28"/>
    <xf numFmtId="207" fontId="117" fillId="7" borderId="19" applyBorder="0">
      <alignment horizontal="left" vertical="center" indent="2"/>
    </xf>
    <xf numFmtId="207" fontId="117" fillId="52" borderId="0" applyBorder="0">
      <alignment horizontal="left" vertical="center" indent="2"/>
    </xf>
    <xf numFmtId="207" fontId="117" fillId="52" borderId="0" applyBorder="0">
      <alignment horizontal="left" vertical="center" indent="2"/>
    </xf>
    <xf numFmtId="207" fontId="117" fillId="52" borderId="0" applyBorder="0">
      <alignment horizontal="left" vertical="center" indent="2"/>
    </xf>
    <xf numFmtId="0" fontId="59" fillId="62" borderId="29" applyNumberFormat="0" applyFont="0" applyAlignment="0" applyProtection="0"/>
    <xf numFmtId="0" fontId="85" fillId="9" borderId="30" applyNumberFormat="0" applyAlignment="0" applyProtection="0"/>
    <xf numFmtId="0" fontId="118" fillId="0" borderId="0"/>
    <xf numFmtId="0" fontId="118" fillId="0" borderId="0"/>
    <xf numFmtId="0" fontId="118" fillId="0" borderId="0"/>
    <xf numFmtId="0" fontId="118" fillId="0" borderId="0"/>
    <xf numFmtId="0" fontId="119" fillId="0" borderId="0" applyNumberFormat="0" applyFill="0" applyBorder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60" fillId="78" borderId="0" applyNumberFormat="0" applyBorder="0" applyAlignment="0" applyProtection="0"/>
    <xf numFmtId="0" fontId="60" fillId="79" borderId="0" applyNumberFormat="0" applyBorder="0" applyAlignment="0" applyProtection="0"/>
    <xf numFmtId="0" fontId="60" fillId="80" borderId="0" applyNumberFormat="0" applyBorder="0" applyAlignment="0" applyProtection="0"/>
    <xf numFmtId="0" fontId="60" fillId="76" borderId="0" applyNumberFormat="0" applyBorder="0" applyAlignment="0" applyProtection="0"/>
    <xf numFmtId="0" fontId="60" fillId="70" borderId="0" applyNumberFormat="0" applyBorder="0" applyAlignment="0" applyProtection="0"/>
    <xf numFmtId="0" fontId="60" fillId="81" borderId="0" applyNumberFormat="0" applyBorder="0" applyAlignment="0" applyProtection="0"/>
    <xf numFmtId="208" fontId="51" fillId="0" borderId="33">
      <alignment horizontal="center"/>
    </xf>
    <xf numFmtId="208" fontId="51" fillId="0" borderId="33">
      <alignment horizontal="center"/>
    </xf>
    <xf numFmtId="208" fontId="51" fillId="0" borderId="33">
      <alignment horizontal="center"/>
    </xf>
    <xf numFmtId="208" fontId="51" fillId="0" borderId="33">
      <alignment horizontal="center"/>
    </xf>
    <xf numFmtId="0" fontId="78" fillId="63" borderId="20" applyNumberFormat="0" applyAlignment="0" applyProtection="0"/>
    <xf numFmtId="209" fontId="91" fillId="0" borderId="0">
      <alignment horizontal="center" vertical="center" textRotation="90" wrapText="1"/>
    </xf>
    <xf numFmtId="209" fontId="91" fillId="0" borderId="0">
      <alignment horizontal="center" vertical="center" textRotation="90" wrapText="1"/>
    </xf>
    <xf numFmtId="209" fontId="91" fillId="0" borderId="0">
      <alignment horizontal="center" vertical="center" textRotation="90" wrapText="1"/>
    </xf>
    <xf numFmtId="209" fontId="91" fillId="0" borderId="0">
      <alignment horizontal="center" vertical="center" textRotation="90" wrapText="1"/>
    </xf>
    <xf numFmtId="0" fontId="85" fillId="9" borderId="30" applyNumberFormat="0" applyAlignment="0" applyProtection="0"/>
    <xf numFmtId="0" fontId="68" fillId="9" borderId="20" applyNumberFormat="0" applyAlignment="0" applyProtection="0"/>
    <xf numFmtId="0" fontId="110" fillId="0" borderId="0" applyNumberFormat="0" applyFill="0" applyBorder="0" applyAlignment="0" applyProtection="0"/>
    <xf numFmtId="204" fontId="93" fillId="0" borderId="0" applyBorder="0">
      <alignment horizontal="center" vertical="center"/>
    </xf>
    <xf numFmtId="204" fontId="93" fillId="0" borderId="0" applyBorder="0">
      <alignment horizontal="center" vertical="center"/>
    </xf>
    <xf numFmtId="204" fontId="93" fillId="0" borderId="0" applyBorder="0">
      <alignment horizontal="center" vertical="center"/>
    </xf>
    <xf numFmtId="204" fontId="93" fillId="0" borderId="0" applyBorder="0">
      <alignment horizontal="center" vertical="center"/>
    </xf>
    <xf numFmtId="204" fontId="56" fillId="0" borderId="0">
      <alignment vertical="center"/>
    </xf>
    <xf numFmtId="204" fontId="56" fillId="0" borderId="0">
      <alignment vertical="center"/>
    </xf>
    <xf numFmtId="204" fontId="56" fillId="0" borderId="0">
      <alignment vertical="center"/>
    </xf>
    <xf numFmtId="204" fontId="56" fillId="0" borderId="0">
      <alignment vertical="center"/>
    </xf>
    <xf numFmtId="210" fontId="56" fillId="0" borderId="0" applyFont="0" applyFill="0" applyBorder="0" applyAlignment="0" applyProtection="0"/>
    <xf numFmtId="210" fontId="56" fillId="0" borderId="0" applyFont="0" applyFill="0" applyBorder="0" applyAlignment="0" applyProtection="0"/>
    <xf numFmtId="211" fontId="26" fillId="0" borderId="0" applyBorder="0" applyAlignment="0" applyProtection="0"/>
    <xf numFmtId="211" fontId="59" fillId="0" borderId="0" applyFont="0" applyFill="0" applyBorder="0" applyAlignment="0" applyProtection="0"/>
    <xf numFmtId="210" fontId="56" fillId="0" borderId="0" applyFont="0" applyFill="0" applyBorder="0" applyAlignment="0" applyProtection="0"/>
    <xf numFmtId="0" fontId="69" fillId="64" borderId="21" applyNumberFormat="0" applyAlignment="0" applyProtection="0"/>
    <xf numFmtId="212" fontId="26" fillId="0" borderId="0"/>
    <xf numFmtId="212" fontId="26" fillId="0" borderId="0"/>
    <xf numFmtId="212" fontId="26" fillId="0" borderId="0"/>
    <xf numFmtId="212" fontId="26" fillId="0" borderId="0"/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82" fillId="67" borderId="0" applyNumberFormat="0" applyBorder="0" applyAlignment="0" applyProtection="0"/>
    <xf numFmtId="0" fontId="112" fillId="0" borderId="0"/>
    <xf numFmtId="0" fontId="56" fillId="0" borderId="0"/>
    <xf numFmtId="0" fontId="112" fillId="0" borderId="0"/>
    <xf numFmtId="0" fontId="112" fillId="0" borderId="0"/>
    <xf numFmtId="0" fontId="112" fillId="0" borderId="0"/>
    <xf numFmtId="0" fontId="112" fillId="0" borderId="0"/>
    <xf numFmtId="0" fontId="112" fillId="0" borderId="0"/>
    <xf numFmtId="0" fontId="56" fillId="0" borderId="0"/>
    <xf numFmtId="0" fontId="59" fillId="0" borderId="0"/>
    <xf numFmtId="0" fontId="56" fillId="0" borderId="0"/>
    <xf numFmtId="0" fontId="25" fillId="0" borderId="0"/>
    <xf numFmtId="0" fontId="56" fillId="0" borderId="0"/>
    <xf numFmtId="0" fontId="56" fillId="0" borderId="0"/>
    <xf numFmtId="0" fontId="59" fillId="0" borderId="0"/>
    <xf numFmtId="0" fontId="56" fillId="0" borderId="0"/>
    <xf numFmtId="0" fontId="59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9" fillId="0" borderId="0"/>
    <xf numFmtId="0" fontId="56" fillId="0" borderId="0"/>
    <xf numFmtId="0" fontId="56" fillId="0" borderId="0"/>
    <xf numFmtId="0" fontId="56" fillId="0" borderId="0"/>
    <xf numFmtId="0" fontId="120" fillId="0" borderId="0"/>
    <xf numFmtId="0" fontId="56" fillId="0" borderId="0"/>
    <xf numFmtId="0" fontId="59" fillId="0" borderId="0"/>
    <xf numFmtId="0" fontId="56" fillId="0" borderId="0"/>
    <xf numFmtId="0" fontId="113" fillId="0" borderId="0"/>
    <xf numFmtId="0" fontId="56" fillId="0" borderId="0"/>
    <xf numFmtId="0" fontId="56" fillId="0" borderId="0"/>
    <xf numFmtId="0" fontId="59" fillId="0" borderId="0"/>
    <xf numFmtId="0" fontId="56" fillId="0" borderId="0"/>
    <xf numFmtId="0" fontId="56" fillId="0" borderId="0"/>
    <xf numFmtId="0" fontId="56" fillId="0" borderId="0"/>
    <xf numFmtId="0" fontId="111" fillId="0" borderId="0"/>
    <xf numFmtId="0" fontId="111" fillId="0" borderId="0"/>
    <xf numFmtId="0" fontId="56" fillId="0" borderId="0"/>
    <xf numFmtId="0" fontId="56" fillId="0" borderId="0"/>
    <xf numFmtId="0" fontId="56" fillId="0" borderId="0"/>
    <xf numFmtId="0" fontId="121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9" fillId="0" borderId="0"/>
    <xf numFmtId="0" fontId="56" fillId="0" borderId="0"/>
    <xf numFmtId="0" fontId="56" fillId="0" borderId="0"/>
    <xf numFmtId="0" fontId="56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113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6" fillId="0" borderId="0"/>
    <xf numFmtId="0" fontId="62" fillId="66" borderId="0" applyNumberFormat="0" applyBorder="0" applyAlignment="0" applyProtection="0"/>
    <xf numFmtId="0" fontId="56" fillId="62" borderId="29" applyNumberFormat="0" applyFont="0" applyAlignment="0" applyProtection="0"/>
    <xf numFmtId="9" fontId="59" fillId="0" borderId="0" applyBorder="0" applyProtection="0"/>
    <xf numFmtId="9" fontId="56" fillId="0" borderId="0" applyFont="0" applyFill="0" applyBorder="0" applyAlignment="0" applyProtection="0"/>
    <xf numFmtId="9" fontId="56" fillId="0" borderId="0" applyFont="0" applyFill="0" applyBorder="0" applyAlignment="0" applyProtection="0"/>
    <xf numFmtId="9" fontId="56" fillId="0" borderId="0" applyFont="0" applyFill="0" applyBorder="0" applyAlignment="0" applyProtection="0"/>
    <xf numFmtId="9" fontId="56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56" fillId="0" borderId="0" applyBorder="0" applyProtection="0"/>
    <xf numFmtId="9" fontId="59" fillId="0" borderId="0" applyFont="0" applyFill="0" applyBorder="0" applyAlignment="0" applyProtection="0"/>
    <xf numFmtId="213" fontId="51" fillId="0" borderId="0"/>
    <xf numFmtId="213" fontId="51" fillId="0" borderId="0"/>
    <xf numFmtId="213" fontId="51" fillId="0" borderId="0"/>
    <xf numFmtId="213" fontId="51" fillId="0" borderId="0"/>
    <xf numFmtId="209" fontId="56" fillId="0" borderId="0" applyBorder="0">
      <alignment horizontal="right"/>
      <protection locked="0"/>
    </xf>
    <xf numFmtId="209" fontId="56" fillId="0" borderId="0" applyBorder="0">
      <alignment horizontal="right"/>
      <protection locked="0"/>
    </xf>
    <xf numFmtId="209" fontId="56" fillId="0" borderId="0" applyBorder="0">
      <alignment horizontal="right"/>
      <protection locked="0"/>
    </xf>
    <xf numFmtId="209" fontId="56" fillId="0" borderId="0" applyBorder="0">
      <alignment horizontal="right"/>
      <protection locked="0"/>
    </xf>
    <xf numFmtId="203" fontId="56" fillId="0" borderId="0" applyBorder="0" applyProtection="0"/>
    <xf numFmtId="214" fontId="59" fillId="0" borderId="0" applyFont="0" applyFill="0" applyBorder="0" applyAlignment="0" applyProtection="0"/>
    <xf numFmtId="214" fontId="59" fillId="0" borderId="0" applyFont="0" applyFill="0" applyBorder="0" applyAlignment="0" applyProtection="0"/>
    <xf numFmtId="200" fontId="59" fillId="0" borderId="0" applyFont="0" applyFill="0" applyBorder="0" applyAlignment="0" applyProtection="0"/>
    <xf numFmtId="214" fontId="113" fillId="0" borderId="0" applyFont="0" applyFill="0" applyBorder="0" applyAlignment="0" applyProtection="0"/>
    <xf numFmtId="200" fontId="56" fillId="0" borderId="0" applyFont="0" applyFill="0" applyBorder="0" applyAlignment="0" applyProtection="0"/>
    <xf numFmtId="200" fontId="56" fillId="0" borderId="0" applyFont="0" applyFill="0" applyBorder="0" applyAlignment="0" applyProtection="0"/>
    <xf numFmtId="215" fontId="59" fillId="0" borderId="0" applyBorder="0" applyProtection="0"/>
    <xf numFmtId="214" fontId="59" fillId="0" borderId="0" applyFont="0" applyFill="0" applyBorder="0" applyAlignment="0" applyProtection="0"/>
    <xf numFmtId="200" fontId="56" fillId="0" borderId="0" applyFont="0" applyFill="0" applyBorder="0" applyAlignment="0" applyProtection="0"/>
    <xf numFmtId="216" fontId="26" fillId="0" borderId="0" applyFont="0" applyFill="0" applyBorder="0" applyAlignment="0" applyProtection="0"/>
    <xf numFmtId="216" fontId="26" fillId="0" borderId="0" applyFont="0" applyFill="0" applyBorder="0" applyAlignment="0" applyProtection="0"/>
    <xf numFmtId="200" fontId="56" fillId="0" borderId="0" applyFont="0" applyFill="0" applyBorder="0" applyAlignment="0" applyProtection="0"/>
    <xf numFmtId="217" fontId="26" fillId="0" borderId="0" applyFont="0" applyFill="0" applyBorder="0" applyAlignment="0" applyProtection="0"/>
    <xf numFmtId="217" fontId="26" fillId="0" borderId="0" applyFont="0" applyFill="0" applyBorder="0" applyAlignment="0" applyProtection="0"/>
    <xf numFmtId="217" fontId="26" fillId="0" borderId="0" applyFont="0" applyFill="0" applyBorder="0" applyAlignment="0" applyProtection="0"/>
    <xf numFmtId="214" fontId="59" fillId="0" borderId="0" applyFont="0" applyFill="0" applyBorder="0" applyAlignment="0" applyProtection="0"/>
    <xf numFmtId="214" fontId="59" fillId="0" borderId="0" applyFont="0" applyFill="0" applyBorder="0" applyAlignment="0" applyProtection="0"/>
    <xf numFmtId="214" fontId="59" fillId="0" borderId="0" applyFont="0" applyFill="0" applyBorder="0" applyAlignment="0" applyProtection="0"/>
    <xf numFmtId="214" fontId="59" fillId="0" borderId="0" applyFont="0" applyFill="0" applyBorder="0" applyAlignment="0" applyProtection="0"/>
    <xf numFmtId="203" fontId="56" fillId="0" borderId="0" applyFill="0" applyBorder="0" applyAlignment="0" applyProtection="0"/>
    <xf numFmtId="214" fontId="59" fillId="0" borderId="0" applyFont="0" applyFill="0" applyBorder="0" applyAlignment="0" applyProtection="0"/>
    <xf numFmtId="203" fontId="56" fillId="0" borderId="0" applyFill="0" applyBorder="0" applyAlignment="0" applyProtection="0"/>
    <xf numFmtId="214" fontId="59" fillId="0" borderId="0" applyFont="0" applyFill="0" applyBorder="0" applyAlignment="0" applyProtection="0"/>
    <xf numFmtId="0" fontId="72" fillId="65" borderId="0" applyNumberFormat="0" applyBorder="0" applyAlignment="0" applyProtection="0"/>
    <xf numFmtId="0" fontId="104" fillId="0" borderId="0"/>
    <xf numFmtId="43" fontId="104" fillId="0" borderId="0" applyFont="0" applyFill="0" applyBorder="0" applyAlignment="0" applyProtection="0"/>
    <xf numFmtId="182" fontId="29" fillId="0" borderId="0" applyFont="0" applyFill="0" applyBorder="0" applyAlignment="0" applyProtection="0"/>
    <xf numFmtId="0" fontId="104" fillId="0" borderId="0"/>
    <xf numFmtId="214" fontId="104" fillId="0" borderId="0" applyFont="0" applyFill="0" applyBorder="0" applyAlignment="0" applyProtection="0"/>
    <xf numFmtId="0" fontId="122" fillId="0" borderId="0" applyBorder="0" applyProtection="0">
      <alignment horizontal="left"/>
    </xf>
    <xf numFmtId="0" fontId="104" fillId="0" borderId="0" applyBorder="0" applyProtection="0"/>
    <xf numFmtId="0" fontId="104" fillId="0" borderId="0" applyBorder="0" applyProtection="0">
      <alignment horizontal="left"/>
    </xf>
    <xf numFmtId="0" fontId="104" fillId="0" borderId="0" applyBorder="0" applyProtection="0"/>
    <xf numFmtId="0" fontId="122" fillId="0" borderId="0" applyBorder="0" applyProtection="0"/>
    <xf numFmtId="0" fontId="104" fillId="0" borderId="0" applyBorder="0" applyProtection="0"/>
    <xf numFmtId="0" fontId="104" fillId="0" borderId="0"/>
    <xf numFmtId="0" fontId="104" fillId="0" borderId="0"/>
    <xf numFmtId="0" fontId="104" fillId="0" borderId="0"/>
    <xf numFmtId="9" fontId="104" fillId="0" borderId="0" applyBorder="0" applyProtection="0"/>
    <xf numFmtId="0" fontId="24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99" fillId="0" borderId="23">
      <alignment horizontal="left" vertical="center"/>
    </xf>
    <xf numFmtId="0" fontId="99" fillId="0" borderId="23">
      <alignment horizontal="left" vertical="center"/>
    </xf>
    <xf numFmtId="0" fontId="99" fillId="0" borderId="23">
      <alignment horizontal="left" vertical="center"/>
    </xf>
    <xf numFmtId="0" fontId="99" fillId="0" borderId="23">
      <alignment horizontal="left" vertical="center"/>
    </xf>
    <xf numFmtId="0" fontId="78" fillId="63" borderId="20" applyNumberFormat="0" applyAlignment="0" applyProtection="0"/>
    <xf numFmtId="207" fontId="117" fillId="7" borderId="19" applyBorder="0">
      <alignment horizontal="left" vertical="center" indent="2"/>
    </xf>
    <xf numFmtId="0" fontId="59" fillId="62" borderId="29" applyNumberFormat="0" applyFont="0" applyAlignment="0" applyProtection="0"/>
    <xf numFmtId="0" fontId="85" fillId="9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6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9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9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62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8" fillId="0" borderId="28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8" fillId="0" borderId="28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58" fillId="0" borderId="28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9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58" fillId="0" borderId="28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85" fillId="45" borderId="3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58" fillId="0" borderId="28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85" fillId="45" borderId="3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45" borderId="3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58" fillId="0" borderId="28"/>
    <xf numFmtId="0" fontId="73" fillId="0" borderId="22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8" fillId="0" borderId="28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2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8" fillId="0" borderId="28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58" fillId="0" borderId="28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2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2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2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58" fillId="0" borderId="28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45" borderId="3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45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8" fillId="0" borderId="28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58" fillId="0" borderId="28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58" fillId="0" borderId="28"/>
    <xf numFmtId="0" fontId="78" fillId="23" borderId="20" applyNumberFormat="0" applyAlignment="0" applyProtection="0"/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59" fillId="53" borderId="29" applyNumberFormat="0" applyFon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58" fillId="0" borderId="28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58" fillId="0" borderId="28"/>
    <xf numFmtId="0" fontId="68" fillId="45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85" fillId="45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8" fillId="0" borderId="28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207" fontId="117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207" fontId="117" fillId="7" borderId="19" applyBorder="0">
      <alignment horizontal="left" vertical="center" indent="2"/>
    </xf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99" fillId="0" borderId="22" applyNumberFormat="0" applyAlignment="0" applyProtection="0"/>
    <xf numFmtId="0" fontId="99" fillId="0" borderId="22" applyNumberFormat="0" applyAlignment="0" applyProtection="0"/>
    <xf numFmtId="0" fontId="99" fillId="0" borderId="22" applyNumberFormat="0" applyAlignment="0" applyProtection="0"/>
    <xf numFmtId="0" fontId="99" fillId="0" borderId="22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58" fillId="0" borderId="28"/>
    <xf numFmtId="0" fontId="58" fillId="0" borderId="28"/>
    <xf numFmtId="0" fontId="58" fillId="0" borderId="28"/>
    <xf numFmtId="0" fontId="85" fillId="45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58" fillId="0" borderId="28"/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58" fillId="0" borderId="28"/>
    <xf numFmtId="0" fontId="85" fillId="58" borderId="3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99" fillId="0" borderId="22" applyNumberFormat="0" applyAlignment="0" applyProtection="0"/>
    <xf numFmtId="0" fontId="99" fillId="0" borderId="22" applyNumberFormat="0" applyAlignment="0" applyProtection="0"/>
    <xf numFmtId="0" fontId="99" fillId="0" borderId="22" applyNumberFormat="0" applyAlignment="0" applyProtection="0"/>
    <xf numFmtId="0" fontId="99" fillId="0" borderId="22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68" fillId="9" borderId="20" applyNumberFormat="0" applyAlignment="0" applyProtection="0"/>
    <xf numFmtId="0" fontId="99" fillId="0" borderId="23">
      <alignment horizontal="left" vertical="center"/>
    </xf>
    <xf numFmtId="0" fontId="99" fillId="0" borderId="23">
      <alignment horizontal="left" vertical="center"/>
    </xf>
    <xf numFmtId="0" fontId="99" fillId="0" borderId="23">
      <alignment horizontal="left" vertical="center"/>
    </xf>
    <xf numFmtId="0" fontId="99" fillId="0" borderId="23">
      <alignment horizontal="left" vertical="center"/>
    </xf>
    <xf numFmtId="0" fontId="78" fillId="63" borderId="20" applyNumberFormat="0" applyAlignment="0" applyProtection="0"/>
    <xf numFmtId="207" fontId="117" fillId="7" borderId="19" applyBorder="0">
      <alignment horizontal="left" vertical="center" indent="2"/>
    </xf>
    <xf numFmtId="0" fontId="59" fillId="62" borderId="29" applyNumberFormat="0" applyFont="0" applyAlignment="0" applyProtection="0"/>
    <xf numFmtId="0" fontId="85" fillId="9" borderId="30" applyNumberFormat="0" applyAlignment="0" applyProtection="0"/>
    <xf numFmtId="0" fontId="78" fillId="63" borderId="20" applyNumberFormat="0" applyAlignment="0" applyProtection="0"/>
    <xf numFmtId="0" fontId="85" fillId="9" borderId="30" applyNumberFormat="0" applyAlignment="0" applyProtection="0"/>
    <xf numFmtId="0" fontId="68" fillId="9" borderId="20" applyNumberFormat="0" applyAlignment="0" applyProtection="0"/>
    <xf numFmtId="0" fontId="56" fillId="62" borderId="29" applyNumberFormat="0" applyFont="0" applyAlignment="0" applyProtection="0"/>
    <xf numFmtId="0" fontId="99" fillId="0" borderId="23">
      <alignment horizontal="left" vertical="center"/>
    </xf>
    <xf numFmtId="0" fontId="99" fillId="0" borderId="23">
      <alignment horizontal="left" vertical="center"/>
    </xf>
    <xf numFmtId="0" fontId="99" fillId="0" borderId="23">
      <alignment horizontal="left" vertical="center"/>
    </xf>
    <xf numFmtId="0" fontId="99" fillId="0" borderId="23">
      <alignment horizontal="left" vertical="center"/>
    </xf>
    <xf numFmtId="0" fontId="78" fillId="63" borderId="20" applyNumberFormat="0" applyAlignment="0" applyProtection="0"/>
    <xf numFmtId="207" fontId="117" fillId="7" borderId="19" applyBorder="0">
      <alignment horizontal="left" vertical="center" indent="2"/>
    </xf>
    <xf numFmtId="0" fontId="59" fillId="62" borderId="29" applyNumberFormat="0" applyFont="0" applyAlignment="0" applyProtection="0"/>
    <xf numFmtId="0" fontId="85" fillId="9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6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9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9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62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43" fontId="11" fillId="0" borderId="0" applyFont="0" applyFill="0" applyBorder="0" applyAlignment="0" applyProtection="0"/>
    <xf numFmtId="0" fontId="24" fillId="0" borderId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8" fillId="0" borderId="1" applyNumberFormat="0" applyFill="0" applyAlignment="0" applyProtection="0"/>
    <xf numFmtId="0" fontId="7" fillId="0" borderId="0"/>
    <xf numFmtId="0" fontId="7" fillId="0" borderId="0"/>
    <xf numFmtId="0" fontId="27" fillId="0" borderId="0"/>
    <xf numFmtId="0" fontId="7" fillId="0" borderId="0"/>
    <xf numFmtId="9" fontId="7" fillId="0" borderId="0" applyFont="0" applyFill="0" applyBorder="0" applyAlignment="0" applyProtection="0"/>
    <xf numFmtId="0" fontId="100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" fillId="0" borderId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100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6" fillId="0" borderId="26" applyNumberFormat="0" applyFill="0" applyAlignment="0" applyProtection="0"/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" fillId="0" borderId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5" fillId="0" borderId="0"/>
    <xf numFmtId="0" fontId="7" fillId="0" borderId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6" fillId="0" borderId="0"/>
    <xf numFmtId="43" fontId="2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43" fontId="26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7" fillId="0" borderId="35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24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0" fontId="57" fillId="0" borderId="35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0" fontId="6" fillId="0" borderId="0"/>
    <xf numFmtId="37" fontId="83" fillId="7" borderId="34" applyBorder="0">
      <alignment horizontal="left" vertical="center" indent="2"/>
    </xf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0" fontId="6" fillId="0" borderId="0"/>
    <xf numFmtId="43" fontId="26" fillId="0" borderId="0" applyFont="0" applyFill="0" applyBorder="0" applyAlignment="0" applyProtection="0"/>
    <xf numFmtId="0" fontId="57" fillId="0" borderId="35"/>
    <xf numFmtId="37" fontId="83" fillId="7" borderId="34" applyBorder="0">
      <alignment horizontal="left" vertical="center" indent="2"/>
    </xf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0" fontId="6" fillId="0" borderId="0"/>
    <xf numFmtId="37" fontId="83" fillId="7" borderId="34" applyBorder="0">
      <alignment horizontal="left" vertical="center" indent="2"/>
    </xf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0" fontId="57" fillId="0" borderId="35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7" fillId="0" borderId="35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43" fontId="26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7" fillId="0" borderId="35"/>
    <xf numFmtId="0" fontId="57" fillId="0" borderId="35"/>
    <xf numFmtId="37" fontId="83" fillId="7" borderId="34" applyBorder="0">
      <alignment horizontal="left" vertical="center" indent="2"/>
    </xf>
    <xf numFmtId="0" fontId="57" fillId="0" borderId="35"/>
    <xf numFmtId="0" fontId="57" fillId="0" borderId="35"/>
    <xf numFmtId="0" fontId="57" fillId="0" borderId="35"/>
    <xf numFmtId="37" fontId="83" fillId="7" borderId="34" applyBorder="0">
      <alignment horizontal="left" vertical="center" indent="2"/>
    </xf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7" fillId="0" borderId="35"/>
    <xf numFmtId="37" fontId="83" fillId="7" borderId="34" applyBorder="0">
      <alignment horizontal="left" vertical="center" indent="2"/>
    </xf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24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0" fontId="57" fillId="0" borderId="35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0" fontId="57" fillId="0" borderId="35"/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0" fontId="6" fillId="0" borderId="0"/>
    <xf numFmtId="37" fontId="83" fillId="7" borderId="34" applyBorder="0">
      <alignment horizontal="left" vertical="center" indent="2"/>
    </xf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0" fontId="57" fillId="0" borderId="35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0" fontId="57" fillId="0" borderId="35"/>
    <xf numFmtId="0" fontId="57" fillId="0" borderId="35"/>
    <xf numFmtId="0" fontId="57" fillId="0" borderId="35"/>
    <xf numFmtId="0" fontId="57" fillId="0" borderId="35"/>
    <xf numFmtId="0" fontId="57" fillId="0" borderId="35"/>
    <xf numFmtId="0" fontId="57" fillId="0" borderId="35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207" fontId="117" fillId="7" borderId="34" applyBorder="0">
      <alignment horizontal="left" vertical="center" indent="2"/>
    </xf>
    <xf numFmtId="43" fontId="104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207" fontId="117" fillId="7" borderId="34" applyBorder="0">
      <alignment horizontal="left" vertical="center" indent="2"/>
    </xf>
    <xf numFmtId="0" fontId="24" fillId="0" borderId="0"/>
    <xf numFmtId="43" fontId="1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24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24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104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100" fillId="0" borderId="0"/>
    <xf numFmtId="0" fontId="100" fillId="0" borderId="0"/>
    <xf numFmtId="0" fontId="4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4" fillId="0" borderId="0" applyFont="0" applyFill="0" applyBorder="0" applyAlignment="0" applyProtection="0"/>
    <xf numFmtId="0" fontId="4" fillId="0" borderId="0"/>
    <xf numFmtId="0" fontId="4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10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4" fillId="0" borderId="0"/>
    <xf numFmtId="0" fontId="4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6" fillId="0" borderId="38" applyNumberFormat="0" applyFill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4" fillId="0" borderId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4" fillId="0" borderId="0" applyFont="0" applyFill="0" applyBorder="0" applyAlignment="0" applyProtection="0"/>
    <xf numFmtId="0" fontId="4" fillId="0" borderId="0"/>
    <xf numFmtId="0" fontId="4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10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4" fillId="0" borderId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3" fillId="0" borderId="0"/>
    <xf numFmtId="0" fontId="78" fillId="23" borderId="36" applyNumberFormat="0" applyAlignment="0" applyProtection="0"/>
    <xf numFmtId="0" fontId="68" fillId="58" borderId="36" applyNumberFormat="0" applyAlignment="0" applyProtection="0"/>
    <xf numFmtId="43" fontId="26" fillId="0" borderId="0" applyFont="0" applyFill="0" applyBorder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3" fillId="0" borderId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3" fillId="0" borderId="0"/>
    <xf numFmtId="182" fontId="3" fillId="0" borderId="0" applyFont="0" applyFill="0" applyBorder="0" applyAlignment="0" applyProtection="0"/>
    <xf numFmtId="0" fontId="78" fillId="23" borderId="36" applyNumberFormat="0" applyAlignment="0" applyProtection="0"/>
    <xf numFmtId="174" fontId="3" fillId="0" borderId="0" applyFont="0" applyFill="0" applyBorder="0" applyAlignment="0" applyProtection="0"/>
    <xf numFmtId="0" fontId="3" fillId="0" borderId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3" fillId="0" borderId="0"/>
    <xf numFmtId="0" fontId="88" fillId="0" borderId="41" applyNumberFormat="0" applyFill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3" fillId="0" borderId="0"/>
    <xf numFmtId="0" fontId="73" fillId="0" borderId="37">
      <alignment horizontal="left" vertical="center"/>
    </xf>
    <xf numFmtId="0" fontId="85" fillId="58" borderId="40" applyNumberFormat="0" applyAlignment="0" applyProtection="0"/>
    <xf numFmtId="43" fontId="101" fillId="0" borderId="0" applyFont="0" applyFill="0" applyBorder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6" fillId="0" borderId="38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6" fillId="0" borderId="38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9" fillId="53" borderId="39" applyNumberFormat="0" applyFont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6" fillId="48" borderId="39" applyNumberFormat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56" fillId="48" borderId="39" applyNumberFormat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43" fontId="101" fillId="0" borderId="0" applyFont="0" applyFill="0" applyBorder="0" applyAlignment="0" applyProtection="0"/>
    <xf numFmtId="0" fontId="56" fillId="48" borderId="39" applyNumberFormat="0" applyAlignment="0" applyProtection="0"/>
    <xf numFmtId="43" fontId="10" fillId="0" borderId="0" applyFont="0" applyFill="0" applyBorder="0" applyAlignment="0" applyProtection="0"/>
    <xf numFmtId="0" fontId="56" fillId="48" borderId="3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3" fillId="0" borderId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88" fillId="0" borderId="41" applyNumberFormat="0" applyFill="0" applyAlignment="0" applyProtection="0"/>
    <xf numFmtId="0" fontId="3" fillId="0" borderId="0"/>
    <xf numFmtId="43" fontId="101" fillId="0" borderId="0" applyFont="0" applyFill="0" applyBorder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101" fillId="0" borderId="0" applyFont="0" applyFill="0" applyBorder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43" fontId="26" fillId="0" borderId="0" applyFont="0" applyFill="0" applyBorder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9" fillId="53" borderId="39" applyNumberFormat="0" applyFont="0" applyAlignment="0" applyProtection="0"/>
    <xf numFmtId="43" fontId="3" fillId="0" borderId="0" applyFont="0" applyFill="0" applyBorder="0" applyAlignment="0" applyProtection="0"/>
    <xf numFmtId="0" fontId="56" fillId="48" borderId="39" applyNumberFormat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56" fillId="48" borderId="39" applyNumberFormat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43" fontId="3" fillId="0" borderId="0" applyFont="0" applyFill="0" applyBorder="0" applyAlignment="0" applyProtection="0"/>
    <xf numFmtId="0" fontId="73" fillId="0" borderId="37">
      <alignment horizontal="left" vertical="center"/>
    </xf>
    <xf numFmtId="43" fontId="104" fillId="0" borderId="0" applyFont="0" applyFill="0" applyBorder="0" applyAlignment="0" applyProtection="0"/>
    <xf numFmtId="0" fontId="56" fillId="48" borderId="39" applyNumberFormat="0" applyAlignment="0" applyProtection="0"/>
    <xf numFmtId="43" fontId="3" fillId="0" borderId="0" applyFont="0" applyFill="0" applyBorder="0" applyAlignment="0" applyProtection="0"/>
    <xf numFmtId="0" fontId="85" fillId="58" borderId="40" applyNumberFormat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6" fillId="0" borderId="38" applyNumberFormat="0" applyFill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3" fillId="0" borderId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9" fillId="53" borderId="39" applyNumberFormat="0" applyFont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24" fillId="0" borderId="0" applyFont="0" applyFill="0" applyBorder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3" fillId="0" borderId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3" fillId="0" borderId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88" fillId="0" borderId="41" applyNumberFormat="0" applyFill="0" applyAlignment="0" applyProtection="0"/>
    <xf numFmtId="0" fontId="3" fillId="0" borderId="0"/>
    <xf numFmtId="43" fontId="101" fillId="0" borderId="0" applyFont="0" applyFill="0" applyBorder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9" fillId="53" borderId="39" applyNumberFormat="0" applyFont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6" fillId="48" borderId="39" applyNumberFormat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56" fillId="48" borderId="39" applyNumberFormat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43" fontId="101" fillId="0" borderId="0" applyFont="0" applyFill="0" applyBorder="0" applyAlignment="0" applyProtection="0"/>
    <xf numFmtId="0" fontId="56" fillId="48" borderId="39" applyNumberFormat="0" applyAlignment="0" applyProtection="0"/>
    <xf numFmtId="43" fontId="10" fillId="0" borderId="0" applyFont="0" applyFill="0" applyBorder="0" applyAlignment="0" applyProtection="0"/>
    <xf numFmtId="0" fontId="56" fillId="48" borderId="3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10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3" fillId="0" borderId="0"/>
    <xf numFmtId="0" fontId="78" fillId="23" borderId="36" applyNumberFormat="0" applyAlignment="0" applyProtection="0"/>
    <xf numFmtId="0" fontId="68" fillId="58" borderId="36" applyNumberFormat="0" applyAlignment="0" applyProtection="0"/>
    <xf numFmtId="43" fontId="26" fillId="0" borderId="0" applyFont="0" applyFill="0" applyBorder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3" fillId="0" borderId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3" fillId="0" borderId="0"/>
    <xf numFmtId="182" fontId="3" fillId="0" borderId="0" applyFont="0" applyFill="0" applyBorder="0" applyAlignment="0" applyProtection="0"/>
    <xf numFmtId="0" fontId="78" fillId="23" borderId="36" applyNumberFormat="0" applyAlignment="0" applyProtection="0"/>
    <xf numFmtId="174" fontId="3" fillId="0" borderId="0" applyFont="0" applyFill="0" applyBorder="0" applyAlignment="0" applyProtection="0"/>
    <xf numFmtId="0" fontId="3" fillId="0" borderId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3" fillId="0" borderId="0"/>
    <xf numFmtId="0" fontId="88" fillId="0" borderId="41" applyNumberFormat="0" applyFill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3" fillId="0" borderId="0"/>
    <xf numFmtId="0" fontId="73" fillId="0" borderId="37">
      <alignment horizontal="left" vertical="center"/>
    </xf>
    <xf numFmtId="0" fontId="85" fillId="58" borderId="40" applyNumberFormat="0" applyAlignment="0" applyProtection="0"/>
    <xf numFmtId="43" fontId="101" fillId="0" borderId="0" applyFont="0" applyFill="0" applyBorder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6" fillId="0" borderId="38" applyNumberFormat="0" applyFill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56" fillId="48" borderId="39" applyNumberFormat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9" fillId="53" borderId="39" applyNumberFormat="0" applyFont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6" fillId="48" borderId="39" applyNumberFormat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56" fillId="48" borderId="39" applyNumberFormat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43" fontId="101" fillId="0" borderId="0" applyFont="0" applyFill="0" applyBorder="0" applyAlignment="0" applyProtection="0"/>
    <xf numFmtId="0" fontId="56" fillId="48" borderId="39" applyNumberFormat="0" applyAlignment="0" applyProtection="0"/>
    <xf numFmtId="43" fontId="10" fillId="0" borderId="0" applyFont="0" applyFill="0" applyBorder="0" applyAlignment="0" applyProtection="0"/>
    <xf numFmtId="0" fontId="56" fillId="48" borderId="3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3" fillId="0" borderId="0"/>
    <xf numFmtId="43" fontId="26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24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3" fillId="0" borderId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3" fillId="0" borderId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8" fillId="9" borderId="36" applyNumberFormat="0" applyAlignment="0" applyProtection="0"/>
    <xf numFmtId="0" fontId="68" fillId="9" borderId="36" applyNumberFormat="0" applyAlignment="0" applyProtection="0"/>
    <xf numFmtId="0" fontId="99" fillId="0" borderId="37">
      <alignment horizontal="left" vertical="center"/>
    </xf>
    <xf numFmtId="0" fontId="99" fillId="0" borderId="37">
      <alignment horizontal="left" vertical="center"/>
    </xf>
    <xf numFmtId="0" fontId="99" fillId="0" borderId="37">
      <alignment horizontal="left" vertical="center"/>
    </xf>
    <xf numFmtId="0" fontId="99" fillId="0" borderId="37">
      <alignment horizontal="left" vertical="center"/>
    </xf>
    <xf numFmtId="0" fontId="78" fillId="63" borderId="36" applyNumberFormat="0" applyAlignment="0" applyProtection="0"/>
    <xf numFmtId="0" fontId="59" fillId="62" borderId="39" applyNumberFormat="0" applyFont="0" applyAlignment="0" applyProtection="0"/>
    <xf numFmtId="0" fontId="85" fillId="9" borderId="40" applyNumberFormat="0" applyAlignment="0" applyProtection="0"/>
    <xf numFmtId="0" fontId="78" fillId="63" borderId="36" applyNumberFormat="0" applyAlignment="0" applyProtection="0"/>
    <xf numFmtId="0" fontId="85" fillId="9" borderId="40" applyNumberFormat="0" applyAlignment="0" applyProtection="0"/>
    <xf numFmtId="0" fontId="68" fillId="9" borderId="36" applyNumberFormat="0" applyAlignment="0" applyProtection="0"/>
    <xf numFmtId="0" fontId="56" fillId="62" borderId="39" applyNumberFormat="0" applyFont="0" applyAlignment="0" applyProtection="0"/>
    <xf numFmtId="43" fontId="104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99" fillId="0" borderId="37">
      <alignment horizontal="left" vertical="center"/>
    </xf>
    <xf numFmtId="0" fontId="99" fillId="0" borderId="37">
      <alignment horizontal="left" vertical="center"/>
    </xf>
    <xf numFmtId="0" fontId="99" fillId="0" borderId="37">
      <alignment horizontal="left" vertical="center"/>
    </xf>
    <xf numFmtId="0" fontId="99" fillId="0" borderId="37">
      <alignment horizontal="left" vertical="center"/>
    </xf>
    <xf numFmtId="0" fontId="78" fillId="63" borderId="36" applyNumberFormat="0" applyAlignment="0" applyProtection="0"/>
    <xf numFmtId="0" fontId="59" fillId="62" borderId="39" applyNumberFormat="0" applyFont="0" applyAlignment="0" applyProtection="0"/>
    <xf numFmtId="0" fontId="85" fillId="9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6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9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9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62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9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59" fillId="53" borderId="39" applyNumberFormat="0" applyFon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9" borderId="36" applyNumberFormat="0" applyAlignment="0" applyProtection="0"/>
    <xf numFmtId="0" fontId="99" fillId="0" borderId="37">
      <alignment horizontal="left" vertical="center"/>
    </xf>
    <xf numFmtId="0" fontId="99" fillId="0" borderId="37">
      <alignment horizontal="left" vertical="center"/>
    </xf>
    <xf numFmtId="0" fontId="99" fillId="0" borderId="37">
      <alignment horizontal="left" vertical="center"/>
    </xf>
    <xf numFmtId="0" fontId="99" fillId="0" borderId="37">
      <alignment horizontal="left" vertical="center"/>
    </xf>
    <xf numFmtId="0" fontId="78" fillId="63" borderId="36" applyNumberFormat="0" applyAlignment="0" applyProtection="0"/>
    <xf numFmtId="0" fontId="59" fillId="62" borderId="39" applyNumberFormat="0" applyFont="0" applyAlignment="0" applyProtection="0"/>
    <xf numFmtId="0" fontId="85" fillId="9" borderId="40" applyNumberFormat="0" applyAlignment="0" applyProtection="0"/>
    <xf numFmtId="0" fontId="78" fillId="63" borderId="36" applyNumberFormat="0" applyAlignment="0" applyProtection="0"/>
    <xf numFmtId="0" fontId="85" fillId="9" borderId="40" applyNumberFormat="0" applyAlignment="0" applyProtection="0"/>
    <xf numFmtId="0" fontId="68" fillId="9" borderId="36" applyNumberFormat="0" applyAlignment="0" applyProtection="0"/>
    <xf numFmtId="0" fontId="56" fillId="62" borderId="39" applyNumberFormat="0" applyFont="0" applyAlignment="0" applyProtection="0"/>
    <xf numFmtId="0" fontId="99" fillId="0" borderId="37">
      <alignment horizontal="left" vertical="center"/>
    </xf>
    <xf numFmtId="0" fontId="99" fillId="0" borderId="37">
      <alignment horizontal="left" vertical="center"/>
    </xf>
    <xf numFmtId="0" fontId="99" fillId="0" borderId="37">
      <alignment horizontal="left" vertical="center"/>
    </xf>
    <xf numFmtId="0" fontId="99" fillId="0" borderId="37">
      <alignment horizontal="left" vertical="center"/>
    </xf>
    <xf numFmtId="0" fontId="78" fillId="63" borderId="36" applyNumberFormat="0" applyAlignment="0" applyProtection="0"/>
    <xf numFmtId="0" fontId="59" fillId="62" borderId="39" applyNumberFormat="0" applyFont="0" applyAlignment="0" applyProtection="0"/>
    <xf numFmtId="0" fontId="85" fillId="9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6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9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9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62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1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3" fillId="0" borderId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6" fillId="0" borderId="38" applyNumberFormat="0" applyFill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3" fillId="0" borderId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24" fillId="0" borderId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" fillId="0" borderId="0"/>
    <xf numFmtId="43" fontId="24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8" fillId="0" borderId="44"/>
    <xf numFmtId="0" fontId="58" fillId="0" borderId="44"/>
    <xf numFmtId="0" fontId="58" fillId="0" borderId="44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190" fontId="56" fillId="0" borderId="48">
      <protection locked="0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190" fontId="94" fillId="8" borderId="48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" fillId="0" borderId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2" fillId="0" borderId="0"/>
    <xf numFmtId="0" fontId="78" fillId="23" borderId="42" applyNumberFormat="0" applyAlignment="0" applyProtection="0"/>
    <xf numFmtId="0" fontId="68" fillId="58" borderId="42" applyNumberFormat="0" applyAlignment="0" applyProtection="0"/>
    <xf numFmtId="43" fontId="26" fillId="0" borderId="0" applyFont="0" applyFill="0" applyBorder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2" fillId="0" borderId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2" fillId="0" borderId="0"/>
    <xf numFmtId="182" fontId="2" fillId="0" borderId="0" applyFont="0" applyFill="0" applyBorder="0" applyAlignment="0" applyProtection="0"/>
    <xf numFmtId="0" fontId="78" fillId="23" borderId="42" applyNumberFormat="0" applyAlignment="0" applyProtection="0"/>
    <xf numFmtId="174" fontId="2" fillId="0" borderId="0" applyFont="0" applyFill="0" applyBorder="0" applyAlignment="0" applyProtection="0"/>
    <xf numFmtId="0" fontId="2" fillId="0" borderId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" fillId="0" borderId="0"/>
    <xf numFmtId="0" fontId="88" fillId="0" borderId="47" applyNumberFormat="0" applyFill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2" fillId="0" borderId="0"/>
    <xf numFmtId="0" fontId="73" fillId="0" borderId="43">
      <alignment horizontal="left" vertical="center"/>
    </xf>
    <xf numFmtId="0" fontId="85" fillId="58" borderId="46" applyNumberFormat="0" applyAlignment="0" applyProtection="0"/>
    <xf numFmtId="43" fontId="101" fillId="0" borderId="0" applyFont="0" applyFill="0" applyBorder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190" fontId="94" fillId="8" borderId="48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190" fontId="56" fillId="0" borderId="48">
      <protection locked="0"/>
    </xf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9" fillId="53" borderId="45" applyNumberFormat="0" applyFont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6" fillId="48" borderId="45" applyNumberFormat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6" fillId="48" borderId="45" applyNumberFormat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43" fontId="101" fillId="0" borderId="0" applyFont="0" applyFill="0" applyBorder="0" applyAlignment="0" applyProtection="0"/>
    <xf numFmtId="0" fontId="56" fillId="48" borderId="45" applyNumberFormat="0" applyAlignment="0" applyProtection="0"/>
    <xf numFmtId="43" fontId="10" fillId="0" borderId="0" applyFont="0" applyFill="0" applyBorder="0" applyAlignment="0" applyProtection="0"/>
    <xf numFmtId="0" fontId="56" fillId="48" borderId="45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" fillId="0" borderId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88" fillId="0" borderId="47" applyNumberFormat="0" applyFill="0" applyAlignment="0" applyProtection="0"/>
    <xf numFmtId="0" fontId="2" fillId="0" borderId="0"/>
    <xf numFmtId="43" fontId="101" fillId="0" borderId="0" applyFont="0" applyFill="0" applyBorder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7" fillId="0" borderId="49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8" fillId="0" borderId="44"/>
    <xf numFmtId="0" fontId="58" fillId="0" borderId="44"/>
    <xf numFmtId="0" fontId="58" fillId="0" borderId="44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101" fillId="0" borderId="0" applyFont="0" applyFill="0" applyBorder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43" fontId="26" fillId="0" borderId="0" applyFont="0" applyFill="0" applyBorder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9" fillId="53" borderId="45" applyNumberFormat="0" applyFont="0" applyAlignment="0" applyProtection="0"/>
    <xf numFmtId="43" fontId="2" fillId="0" borderId="0" applyFont="0" applyFill="0" applyBorder="0" applyAlignment="0" applyProtection="0"/>
    <xf numFmtId="0" fontId="56" fillId="48" borderId="45" applyNumberFormat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6" fillId="48" borderId="45" applyNumberFormat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8" fillId="0" borderId="44"/>
    <xf numFmtId="0" fontId="88" fillId="0" borderId="47" applyNumberFormat="0" applyFill="0" applyAlignment="0" applyProtection="0"/>
    <xf numFmtId="0" fontId="57" fillId="0" borderId="49"/>
    <xf numFmtId="0" fontId="57" fillId="0" borderId="49"/>
    <xf numFmtId="0" fontId="58" fillId="0" borderId="44"/>
    <xf numFmtId="0" fontId="58" fillId="0" borderId="44"/>
    <xf numFmtId="0" fontId="58" fillId="0" borderId="44"/>
    <xf numFmtId="0" fontId="88" fillId="0" borderId="47" applyNumberFormat="0" applyFill="0" applyAlignment="0" applyProtection="0"/>
    <xf numFmtId="0" fontId="58" fillId="0" borderId="44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190" fontId="94" fillId="8" borderId="48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57" fillId="0" borderId="49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8" fillId="0" borderId="44"/>
    <xf numFmtId="0" fontId="57" fillId="0" borderId="49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45" borderId="46" applyNumberFormat="0" applyAlignment="0" applyProtection="0"/>
    <xf numFmtId="190" fontId="56" fillId="0" borderId="48">
      <protection locked="0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190" fontId="94" fillId="8" borderId="48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190" fontId="94" fillId="8" borderId="48"/>
    <xf numFmtId="0" fontId="56" fillId="48" borderId="45" applyNumberFormat="0" applyAlignment="0" applyProtection="0"/>
    <xf numFmtId="0" fontId="85" fillId="58" borderId="46" applyNumberFormat="0" applyAlignment="0" applyProtection="0"/>
    <xf numFmtId="0" fontId="57" fillId="0" borderId="49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190" fontId="56" fillId="0" borderId="48">
      <protection locked="0"/>
    </xf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190" fontId="94" fillId="8" borderId="48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43" fontId="2" fillId="0" borderId="0" applyFont="0" applyFill="0" applyBorder="0" applyAlignment="0" applyProtection="0"/>
    <xf numFmtId="0" fontId="73" fillId="0" borderId="43">
      <alignment horizontal="left" vertical="center"/>
    </xf>
    <xf numFmtId="43" fontId="104" fillId="0" borderId="0" applyFont="0" applyFill="0" applyBorder="0" applyAlignment="0" applyProtection="0"/>
    <xf numFmtId="0" fontId="58" fillId="0" borderId="44"/>
    <xf numFmtId="0" fontId="56" fillId="48" borderId="45" applyNumberFormat="0" applyAlignment="0" applyProtection="0"/>
    <xf numFmtId="43" fontId="2" fillId="0" borderId="0" applyFont="0" applyFill="0" applyBorder="0" applyAlignment="0" applyProtection="0"/>
    <xf numFmtId="0" fontId="85" fillId="58" borderId="46" applyNumberFormat="0" applyAlignment="0" applyProtection="0"/>
    <xf numFmtId="190" fontId="94" fillId="8" borderId="48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90" fontId="56" fillId="0" borderId="48">
      <protection locked="0"/>
    </xf>
    <xf numFmtId="43" fontId="10" fillId="0" borderId="0" applyFont="0" applyFill="0" applyBorder="0" applyAlignment="0" applyProtection="0"/>
    <xf numFmtId="190" fontId="94" fillId="8" borderId="48"/>
    <xf numFmtId="190" fontId="56" fillId="0" borderId="48">
      <protection locked="0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" fillId="0" borderId="0"/>
    <xf numFmtId="0" fontId="58" fillId="0" borderId="44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9" fillId="53" borderId="45" applyNumberFormat="0" applyFont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4" fillId="0" borderId="0" applyFont="0" applyFill="0" applyBorder="0" applyAlignment="0" applyProtection="0"/>
    <xf numFmtId="0" fontId="85" fillId="45" borderId="46" applyNumberFormat="0" applyAlignment="0" applyProtection="0"/>
    <xf numFmtId="0" fontId="58" fillId="0" borderId="44"/>
    <xf numFmtId="0" fontId="58" fillId="0" borderId="44"/>
    <xf numFmtId="0" fontId="58" fillId="0" borderId="44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190" fontId="94" fillId="8" borderId="48"/>
    <xf numFmtId="190" fontId="56" fillId="0" borderId="48">
      <protection locked="0"/>
    </xf>
    <xf numFmtId="0" fontId="85" fillId="58" borderId="46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190" fontId="56" fillId="0" borderId="48">
      <protection locked="0"/>
    </xf>
    <xf numFmtId="0" fontId="58" fillId="0" borderId="44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190" fontId="56" fillId="0" borderId="48">
      <protection locked="0"/>
    </xf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8" fillId="0" borderId="50"/>
    <xf numFmtId="0" fontId="58" fillId="0" borderId="50"/>
    <xf numFmtId="0" fontId="58" fillId="0" borderId="5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190" fontId="56" fillId="0" borderId="48">
      <protection locked="0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190" fontId="94" fillId="8" borderId="48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" fillId="0" borderId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190" fontId="94" fillId="8" borderId="48"/>
    <xf numFmtId="190" fontId="56" fillId="0" borderId="48">
      <protection locked="0"/>
    </xf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" fillId="0" borderId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88" fillId="0" borderId="47" applyNumberFormat="0" applyFill="0" applyAlignment="0" applyProtection="0"/>
    <xf numFmtId="0" fontId="2" fillId="0" borderId="0"/>
    <xf numFmtId="43" fontId="101" fillId="0" borderId="0" applyFont="0" applyFill="0" applyBorder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9" fillId="53" borderId="45" applyNumberFormat="0" applyFont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6" fillId="48" borderId="45" applyNumberFormat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6" fillId="48" borderId="45" applyNumberFormat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43" fontId="101" fillId="0" borderId="0" applyFont="0" applyFill="0" applyBorder="0" applyAlignment="0" applyProtection="0"/>
    <xf numFmtId="0" fontId="56" fillId="48" borderId="45" applyNumberFormat="0" applyAlignment="0" applyProtection="0"/>
    <xf numFmtId="43" fontId="10" fillId="0" borderId="0" applyFont="0" applyFill="0" applyBorder="0" applyAlignment="0" applyProtection="0"/>
    <xf numFmtId="0" fontId="56" fillId="48" borderId="45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10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2" fillId="0" borderId="0"/>
    <xf numFmtId="0" fontId="78" fillId="23" borderId="42" applyNumberFormat="0" applyAlignment="0" applyProtection="0"/>
    <xf numFmtId="0" fontId="68" fillId="58" borderId="42" applyNumberFormat="0" applyAlignment="0" applyProtection="0"/>
    <xf numFmtId="43" fontId="26" fillId="0" borderId="0" applyFont="0" applyFill="0" applyBorder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2" fillId="0" borderId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2" fillId="0" borderId="0"/>
    <xf numFmtId="182" fontId="2" fillId="0" borderId="0" applyFont="0" applyFill="0" applyBorder="0" applyAlignment="0" applyProtection="0"/>
    <xf numFmtId="0" fontId="78" fillId="23" borderId="42" applyNumberFormat="0" applyAlignment="0" applyProtection="0"/>
    <xf numFmtId="174" fontId="2" fillId="0" borderId="0" applyFont="0" applyFill="0" applyBorder="0" applyAlignment="0" applyProtection="0"/>
    <xf numFmtId="0" fontId="2" fillId="0" borderId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" fillId="0" borderId="0"/>
    <xf numFmtId="0" fontId="88" fillId="0" borderId="47" applyNumberFormat="0" applyFill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2" fillId="0" borderId="0"/>
    <xf numFmtId="0" fontId="73" fillId="0" borderId="43">
      <alignment horizontal="left" vertical="center"/>
    </xf>
    <xf numFmtId="0" fontId="85" fillId="58" borderId="46" applyNumberFormat="0" applyAlignment="0" applyProtection="0"/>
    <xf numFmtId="43" fontId="101" fillId="0" borderId="0" applyFont="0" applyFill="0" applyBorder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9" fillId="53" borderId="45" applyNumberFormat="0" applyFont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6" fillId="48" borderId="45" applyNumberFormat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6" fillId="48" borderId="45" applyNumberFormat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43" fontId="101" fillId="0" borderId="0" applyFont="0" applyFill="0" applyBorder="0" applyAlignment="0" applyProtection="0"/>
    <xf numFmtId="0" fontId="56" fillId="48" borderId="45" applyNumberFormat="0" applyAlignment="0" applyProtection="0"/>
    <xf numFmtId="43" fontId="10" fillId="0" borderId="0" applyFont="0" applyFill="0" applyBorder="0" applyAlignment="0" applyProtection="0"/>
    <xf numFmtId="0" fontId="56" fillId="48" borderId="45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2" fillId="0" borderId="0"/>
    <xf numFmtId="43" fontId="26" fillId="0" borderId="0" applyFont="0" applyFill="0" applyBorder="0" applyAlignment="0" applyProtection="0"/>
    <xf numFmtId="0" fontId="58" fillId="0" borderId="44"/>
    <xf numFmtId="0" fontId="58" fillId="0" borderId="44"/>
    <xf numFmtId="0" fontId="58" fillId="0" borderId="44"/>
    <xf numFmtId="190" fontId="56" fillId="0" borderId="48">
      <protection locked="0"/>
    </xf>
    <xf numFmtId="190" fontId="94" fillId="8" borderId="48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190" fontId="94" fillId="8" borderId="48"/>
    <xf numFmtId="190" fontId="56" fillId="0" borderId="48">
      <protection locked="0"/>
    </xf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58" fillId="0" borderId="44"/>
    <xf numFmtId="0" fontId="58" fillId="0" borderId="44"/>
    <xf numFmtId="0" fontId="58" fillId="0" borderId="44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8" fillId="0" borderId="44"/>
    <xf numFmtId="0" fontId="58" fillId="0" borderId="44"/>
    <xf numFmtId="0" fontId="58" fillId="0" borderId="44"/>
    <xf numFmtId="0" fontId="58" fillId="0" borderId="44"/>
    <xf numFmtId="0" fontId="58" fillId="0" borderId="44"/>
    <xf numFmtId="190" fontId="94" fillId="8" borderId="48"/>
    <xf numFmtId="0" fontId="58" fillId="0" borderId="44"/>
    <xf numFmtId="190" fontId="56" fillId="0" borderId="48">
      <protection locked="0"/>
    </xf>
    <xf numFmtId="190" fontId="94" fillId="8" borderId="48"/>
    <xf numFmtId="190" fontId="94" fillId="8" borderId="48"/>
    <xf numFmtId="190" fontId="56" fillId="0" borderId="48">
      <protection locked="0"/>
    </xf>
    <xf numFmtId="190" fontId="94" fillId="8" borderId="48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0" fontId="58" fillId="0" borderId="44"/>
    <xf numFmtId="43" fontId="2" fillId="0" borderId="0" applyFont="0" applyFill="0" applyBorder="0" applyAlignment="0" applyProtection="0"/>
    <xf numFmtId="190" fontId="94" fillId="8" borderId="48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90" fontId="56" fillId="0" borderId="48">
      <protection locked="0"/>
    </xf>
    <xf numFmtId="43" fontId="10" fillId="0" borderId="0" applyFont="0" applyFill="0" applyBorder="0" applyAlignment="0" applyProtection="0"/>
    <xf numFmtId="190" fontId="94" fillId="8" borderId="48"/>
    <xf numFmtId="190" fontId="56" fillId="0" borderId="48">
      <protection locked="0"/>
    </xf>
    <xf numFmtId="0" fontId="2" fillId="0" borderId="0"/>
    <xf numFmtId="0" fontId="58" fillId="0" borderId="44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4" fillId="0" borderId="0" applyFont="0" applyFill="0" applyBorder="0" applyAlignment="0" applyProtection="0"/>
    <xf numFmtId="0" fontId="58" fillId="0" borderId="44"/>
    <xf numFmtId="0" fontId="58" fillId="0" borderId="44"/>
    <xf numFmtId="0" fontId="58" fillId="0" borderId="44"/>
    <xf numFmtId="190" fontId="94" fillId="8" borderId="48"/>
    <xf numFmtId="190" fontId="56" fillId="0" borderId="48">
      <protection locked="0"/>
    </xf>
    <xf numFmtId="190" fontId="56" fillId="0" borderId="48">
      <protection locked="0"/>
    </xf>
    <xf numFmtId="0" fontId="58" fillId="0" borderId="44"/>
    <xf numFmtId="190" fontId="56" fillId="0" borderId="48">
      <protection locked="0"/>
    </xf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8" fillId="0" borderId="44"/>
    <xf numFmtId="0" fontId="58" fillId="0" borderId="44"/>
    <xf numFmtId="0" fontId="58" fillId="0" borderId="44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190" fontId="56" fillId="0" borderId="48">
      <protection locked="0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190" fontId="94" fillId="8" borderId="48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" fillId="0" borderId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190" fontId="94" fillId="8" borderId="48"/>
    <xf numFmtId="190" fontId="56" fillId="0" borderId="48">
      <protection locked="0"/>
    </xf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" fillId="0" borderId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8" fillId="9" borderId="42" applyNumberFormat="0" applyAlignment="0" applyProtection="0"/>
    <xf numFmtId="0" fontId="68" fillId="9" borderId="42" applyNumberFormat="0" applyAlignment="0" applyProtection="0"/>
    <xf numFmtId="0" fontId="99" fillId="0" borderId="43">
      <alignment horizontal="left" vertical="center"/>
    </xf>
    <xf numFmtId="0" fontId="99" fillId="0" borderId="43">
      <alignment horizontal="left" vertical="center"/>
    </xf>
    <xf numFmtId="0" fontId="99" fillId="0" borderId="43">
      <alignment horizontal="left" vertical="center"/>
    </xf>
    <xf numFmtId="0" fontId="99" fillId="0" borderId="43">
      <alignment horizontal="left" vertical="center"/>
    </xf>
    <xf numFmtId="0" fontId="78" fillId="63" borderId="42" applyNumberFormat="0" applyAlignment="0" applyProtection="0"/>
    <xf numFmtId="0" fontId="57" fillId="0" borderId="44"/>
    <xf numFmtId="0" fontId="57" fillId="0" borderId="44"/>
    <xf numFmtId="0" fontId="57" fillId="0" borderId="44"/>
    <xf numFmtId="0" fontId="59" fillId="62" borderId="45" applyNumberFormat="0" applyFont="0" applyAlignment="0" applyProtection="0"/>
    <xf numFmtId="0" fontId="85" fillId="9" borderId="46" applyNumberFormat="0" applyAlignment="0" applyProtection="0"/>
    <xf numFmtId="0" fontId="78" fillId="63" borderId="42" applyNumberFormat="0" applyAlignment="0" applyProtection="0"/>
    <xf numFmtId="0" fontId="85" fillId="9" borderId="46" applyNumberFormat="0" applyAlignment="0" applyProtection="0"/>
    <xf numFmtId="0" fontId="68" fillId="9" borderId="42" applyNumberFormat="0" applyAlignment="0" applyProtection="0"/>
    <xf numFmtId="0" fontId="56" fillId="62" borderId="45" applyNumberFormat="0" applyFont="0" applyAlignment="0" applyProtection="0"/>
    <xf numFmtId="43" fontId="104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99" fillId="0" borderId="43">
      <alignment horizontal="left" vertical="center"/>
    </xf>
    <xf numFmtId="0" fontId="99" fillId="0" borderId="43">
      <alignment horizontal="left" vertical="center"/>
    </xf>
    <xf numFmtId="0" fontId="99" fillId="0" borderId="43">
      <alignment horizontal="left" vertical="center"/>
    </xf>
    <xf numFmtId="0" fontId="99" fillId="0" borderId="43">
      <alignment horizontal="left" vertical="center"/>
    </xf>
    <xf numFmtId="0" fontId="78" fillId="63" borderId="42" applyNumberFormat="0" applyAlignment="0" applyProtection="0"/>
    <xf numFmtId="0" fontId="59" fillId="62" borderId="45" applyNumberFormat="0" applyFont="0" applyAlignment="0" applyProtection="0"/>
    <xf numFmtId="0" fontId="85" fillId="9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6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9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9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62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8" fillId="0" borderId="5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8" fillId="0" borderId="5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58" fillId="0" borderId="5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9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58" fillId="0" borderId="5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58" fillId="0" borderId="5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58" fillId="0" borderId="50"/>
    <xf numFmtId="0" fontId="85" fillId="58" borderId="46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5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8" fillId="0" borderId="50"/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29" fillId="53" borderId="45" applyNumberFormat="0" applyFon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8" fillId="0" borderId="5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58" fillId="0" borderId="5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58" fillId="0" borderId="5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5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8" fillId="0" borderId="5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58" fillId="0" borderId="5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58" fillId="0" borderId="50"/>
    <xf numFmtId="0" fontId="78" fillId="23" borderId="42" applyNumberFormat="0" applyAlignment="0" applyProtection="0"/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59" fillId="53" borderId="45" applyNumberFormat="0" applyFon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58" fillId="0" borderId="5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58" fillId="0" borderId="50"/>
    <xf numFmtId="0" fontId="68" fillId="45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5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8" fillId="0" borderId="5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207" fontId="117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207" fontId="117" fillId="7" borderId="51" applyBorder="0">
      <alignment horizontal="left" vertical="center" indent="2"/>
    </xf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58" fillId="0" borderId="50"/>
    <xf numFmtId="0" fontId="58" fillId="0" borderId="50"/>
    <xf numFmtId="0" fontId="58" fillId="0" borderId="50"/>
    <xf numFmtId="0" fontId="85" fillId="45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58" fillId="0" borderId="50"/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58" fillId="0" borderId="50"/>
    <xf numFmtId="0" fontId="85" fillId="58" borderId="46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9" borderId="42" applyNumberFormat="0" applyAlignment="0" applyProtection="0"/>
    <xf numFmtId="0" fontId="99" fillId="0" borderId="43">
      <alignment horizontal="left" vertical="center"/>
    </xf>
    <xf numFmtId="0" fontId="99" fillId="0" borderId="43">
      <alignment horizontal="left" vertical="center"/>
    </xf>
    <xf numFmtId="0" fontId="99" fillId="0" borderId="43">
      <alignment horizontal="left" vertical="center"/>
    </xf>
    <xf numFmtId="0" fontId="99" fillId="0" borderId="43">
      <alignment horizontal="left" vertical="center"/>
    </xf>
    <xf numFmtId="0" fontId="78" fillId="63" borderId="42" applyNumberFormat="0" applyAlignment="0" applyProtection="0"/>
    <xf numFmtId="207" fontId="117" fillId="7" borderId="51" applyBorder="0">
      <alignment horizontal="left" vertical="center" indent="2"/>
    </xf>
    <xf numFmtId="0" fontId="59" fillId="62" borderId="45" applyNumberFormat="0" applyFont="0" applyAlignment="0" applyProtection="0"/>
    <xf numFmtId="0" fontId="85" fillId="9" borderId="46" applyNumberFormat="0" applyAlignment="0" applyProtection="0"/>
    <xf numFmtId="0" fontId="78" fillId="63" borderId="42" applyNumberFormat="0" applyAlignment="0" applyProtection="0"/>
    <xf numFmtId="0" fontId="85" fillId="9" borderId="46" applyNumberFormat="0" applyAlignment="0" applyProtection="0"/>
    <xf numFmtId="0" fontId="68" fillId="9" borderId="42" applyNumberFormat="0" applyAlignment="0" applyProtection="0"/>
    <xf numFmtId="0" fontId="56" fillId="62" borderId="45" applyNumberFormat="0" applyFont="0" applyAlignment="0" applyProtection="0"/>
    <xf numFmtId="0" fontId="99" fillId="0" borderId="43">
      <alignment horizontal="left" vertical="center"/>
    </xf>
    <xf numFmtId="0" fontId="99" fillId="0" borderId="43">
      <alignment horizontal="left" vertical="center"/>
    </xf>
    <xf numFmtId="0" fontId="99" fillId="0" borderId="43">
      <alignment horizontal="left" vertical="center"/>
    </xf>
    <xf numFmtId="0" fontId="99" fillId="0" borderId="43">
      <alignment horizontal="left" vertical="center"/>
    </xf>
    <xf numFmtId="0" fontId="78" fillId="63" borderId="42" applyNumberFormat="0" applyAlignment="0" applyProtection="0"/>
    <xf numFmtId="207" fontId="117" fillId="7" borderId="51" applyBorder="0">
      <alignment horizontal="left" vertical="center" indent="2"/>
    </xf>
    <xf numFmtId="0" fontId="59" fillId="62" borderId="45" applyNumberFormat="0" applyFont="0" applyAlignment="0" applyProtection="0"/>
    <xf numFmtId="0" fontId="85" fillId="9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6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9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9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62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1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" fillId="0" borderId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" fillId="0" borderId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9" fontId="10" fillId="0" borderId="0" applyFont="0" applyFill="0" applyBorder="0" applyAlignment="0" applyProtection="0"/>
  </cellStyleXfs>
  <cellXfs count="408">
    <xf numFmtId="0" fontId="0" fillId="0" borderId="0" xfId="0"/>
    <xf numFmtId="164" fontId="17" fillId="2" borderId="0" xfId="3" applyNumberFormat="1" applyFont="1" applyFill="1" applyAlignment="1">
      <alignment vertical="center" wrapText="1"/>
    </xf>
    <xf numFmtId="164" fontId="16" fillId="2" borderId="0" xfId="3" applyNumberFormat="1" applyFont="1" applyFill="1" applyAlignment="1">
      <alignment vertical="center" wrapText="1"/>
    </xf>
    <xf numFmtId="164" fontId="14" fillId="2" borderId="0" xfId="3" applyNumberFormat="1" applyFont="1" applyFill="1" applyAlignment="1">
      <alignment vertical="center" wrapText="1"/>
    </xf>
    <xf numFmtId="0" fontId="20" fillId="2" borderId="0" xfId="0" applyFont="1" applyFill="1" applyAlignment="1">
      <alignment vertical="center" wrapText="1"/>
    </xf>
    <xf numFmtId="0" fontId="14" fillId="2" borderId="0" xfId="0" applyFont="1" applyFill="1" applyAlignment="1">
      <alignment vertical="center" wrapText="1"/>
    </xf>
    <xf numFmtId="0" fontId="15" fillId="2" borderId="0" xfId="0" applyFont="1" applyFill="1" applyAlignment="1">
      <alignment horizontal="center" vertical="center" wrapText="1"/>
    </xf>
    <xf numFmtId="0" fontId="16" fillId="2" borderId="2" xfId="0" applyFont="1" applyFill="1" applyBorder="1" applyAlignment="1">
      <alignment horizontal="center" vertical="center" wrapText="1"/>
    </xf>
    <xf numFmtId="14" fontId="16" fillId="2" borderId="2" xfId="0" applyNumberFormat="1" applyFont="1" applyFill="1" applyBorder="1" applyAlignment="1">
      <alignment horizontal="center" vertical="center" wrapText="1"/>
    </xf>
    <xf numFmtId="0" fontId="14" fillId="2" borderId="0" xfId="0" applyFont="1" applyFill="1" applyAlignment="1">
      <alignment horizontal="center" vertical="center" wrapText="1"/>
    </xf>
    <xf numFmtId="0" fontId="19" fillId="3" borderId="3" xfId="0" applyFont="1" applyFill="1" applyBorder="1" applyAlignment="1">
      <alignment horizontal="center" vertical="center" wrapText="1"/>
    </xf>
    <xf numFmtId="0" fontId="17" fillId="2" borderId="0" xfId="0" applyFont="1" applyFill="1" applyAlignment="1">
      <alignment vertical="center" wrapText="1"/>
    </xf>
    <xf numFmtId="14" fontId="17" fillId="2" borderId="0" xfId="0" applyNumberFormat="1" applyFont="1" applyFill="1" applyAlignment="1">
      <alignment vertical="center" wrapText="1"/>
    </xf>
    <xf numFmtId="171" fontId="12" fillId="2" borderId="3" xfId="0" applyNumberFormat="1" applyFont="1" applyFill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vertical="center" wrapText="1"/>
    </xf>
    <xf numFmtId="172" fontId="12" fillId="2" borderId="3" xfId="0" applyNumberFormat="1" applyFont="1" applyFill="1" applyBorder="1" applyAlignment="1">
      <alignment vertical="center" wrapText="1"/>
    </xf>
    <xf numFmtId="168" fontId="12" fillId="2" borderId="3" xfId="0" applyNumberFormat="1" applyFont="1" applyFill="1" applyBorder="1" applyAlignment="1">
      <alignment vertical="center" wrapText="1"/>
    </xf>
    <xf numFmtId="169" fontId="12" fillId="2" borderId="3" xfId="0" applyNumberFormat="1" applyFont="1" applyFill="1" applyBorder="1" applyAlignment="1">
      <alignment vertical="center" wrapText="1"/>
    </xf>
    <xf numFmtId="164" fontId="12" fillId="2" borderId="3" xfId="0" applyNumberFormat="1" applyFont="1" applyFill="1" applyBorder="1" applyAlignment="1">
      <alignment vertical="center" wrapText="1"/>
    </xf>
    <xf numFmtId="165" fontId="17" fillId="2" borderId="0" xfId="0" applyNumberFormat="1" applyFont="1" applyFill="1" applyAlignment="1">
      <alignment horizontal="center" vertical="center" wrapText="1"/>
    </xf>
    <xf numFmtId="49" fontId="16" fillId="2" borderId="0" xfId="0" applyNumberFormat="1" applyFont="1" applyFill="1" applyAlignment="1">
      <alignment horizontal="center" vertical="center" wrapText="1"/>
    </xf>
    <xf numFmtId="167" fontId="17" fillId="2" borderId="0" xfId="0" applyNumberFormat="1" applyFont="1" applyFill="1" applyAlignment="1">
      <alignment horizontal="center" vertical="center" wrapText="1"/>
    </xf>
    <xf numFmtId="166" fontId="17" fillId="2" borderId="0" xfId="0" applyNumberFormat="1" applyFont="1" applyFill="1" applyAlignment="1">
      <alignment horizontal="center" vertical="center" wrapText="1"/>
    </xf>
    <xf numFmtId="169" fontId="16" fillId="2" borderId="0" xfId="0" applyNumberFormat="1" applyFont="1" applyFill="1" applyAlignment="1">
      <alignment horizontal="center" vertical="center" wrapText="1"/>
    </xf>
    <xf numFmtId="169" fontId="17" fillId="2" borderId="0" xfId="0" applyNumberFormat="1" applyFont="1" applyFill="1" applyAlignment="1">
      <alignment horizontal="center" vertical="center" wrapText="1"/>
    </xf>
    <xf numFmtId="0" fontId="13" fillId="2" borderId="0" xfId="0" applyFont="1" applyFill="1" applyAlignment="1">
      <alignment vertical="center" wrapText="1"/>
    </xf>
    <xf numFmtId="170" fontId="14" fillId="2" borderId="0" xfId="0" applyNumberFormat="1" applyFont="1" applyFill="1" applyAlignment="1">
      <alignment vertical="center" wrapText="1"/>
    </xf>
    <xf numFmtId="0" fontId="18" fillId="2" borderId="2" xfId="0" applyFont="1" applyFill="1" applyBorder="1" applyAlignment="1">
      <alignment horizontal="left" vertical="center" wrapText="1"/>
    </xf>
    <xf numFmtId="0" fontId="15" fillId="2" borderId="2" xfId="0" applyFont="1" applyFill="1" applyBorder="1" applyAlignment="1">
      <alignment horizontal="center" vertical="center" wrapText="1"/>
    </xf>
    <xf numFmtId="172" fontId="19" fillId="3" borderId="3" xfId="0" applyNumberFormat="1" applyFont="1" applyFill="1" applyBorder="1" applyAlignment="1">
      <alignment vertical="center" wrapText="1"/>
    </xf>
    <xf numFmtId="168" fontId="19" fillId="3" borderId="3" xfId="0" applyNumberFormat="1" applyFont="1" applyFill="1" applyBorder="1" applyAlignment="1">
      <alignment vertical="center" wrapText="1"/>
    </xf>
    <xf numFmtId="169" fontId="19" fillId="3" borderId="3" xfId="0" applyNumberFormat="1" applyFont="1" applyFill="1" applyBorder="1" applyAlignment="1">
      <alignment vertical="center" wrapText="1"/>
    </xf>
    <xf numFmtId="43" fontId="14" fillId="2" borderId="0" xfId="1" applyFont="1" applyFill="1" applyAlignment="1">
      <alignment vertical="center" wrapText="1"/>
    </xf>
    <xf numFmtId="0" fontId="22" fillId="2" borderId="0" xfId="0" applyFont="1" applyFill="1" applyAlignment="1">
      <alignment vertical="center" wrapText="1"/>
    </xf>
    <xf numFmtId="173" fontId="17" fillId="2" borderId="0" xfId="0" applyNumberFormat="1" applyFont="1" applyFill="1" applyAlignment="1">
      <alignment horizontal="center" vertical="center" wrapText="1"/>
    </xf>
    <xf numFmtId="14" fontId="0" fillId="0" borderId="0" xfId="0" applyNumberFormat="1"/>
    <xf numFmtId="175" fontId="0" fillId="0" borderId="0" xfId="0" applyNumberFormat="1"/>
    <xf numFmtId="0" fontId="31" fillId="0" borderId="0" xfId="0" applyFont="1"/>
    <xf numFmtId="175" fontId="31" fillId="0" borderId="0" xfId="0" applyNumberFormat="1" applyFont="1"/>
    <xf numFmtId="0" fontId="0" fillId="0" borderId="4" xfId="0" applyBorder="1"/>
    <xf numFmtId="175" fontId="0" fillId="0" borderId="4" xfId="0" applyNumberFormat="1" applyBorder="1"/>
    <xf numFmtId="0" fontId="31" fillId="0" borderId="4" xfId="0" applyFont="1" applyBorder="1"/>
    <xf numFmtId="175" fontId="31" fillId="0" borderId="4" xfId="0" applyNumberFormat="1" applyFont="1" applyBorder="1"/>
    <xf numFmtId="0" fontId="31" fillId="4" borderId="4" xfId="0" applyFont="1" applyFill="1" applyBorder="1" applyAlignment="1">
      <alignment horizontal="center" vertical="center" wrapText="1"/>
    </xf>
    <xf numFmtId="0" fontId="31" fillId="4" borderId="4" xfId="0" applyFont="1" applyFill="1" applyBorder="1" applyAlignment="1">
      <alignment horizontal="center" vertical="center"/>
    </xf>
    <xf numFmtId="0" fontId="31" fillId="4" borderId="4" xfId="0" applyFont="1" applyFill="1" applyBorder="1"/>
    <xf numFmtId="175" fontId="31" fillId="4" borderId="4" xfId="0" applyNumberFormat="1" applyFont="1" applyFill="1" applyBorder="1"/>
    <xf numFmtId="175" fontId="31" fillId="4" borderId="4" xfId="0" applyNumberFormat="1" applyFont="1" applyFill="1" applyBorder="1" applyAlignment="1">
      <alignment horizontal="center" vertical="center"/>
    </xf>
    <xf numFmtId="165" fontId="0" fillId="0" borderId="0" xfId="0" applyNumberFormat="1"/>
    <xf numFmtId="9" fontId="0" fillId="0" borderId="0" xfId="0" applyNumberFormat="1"/>
    <xf numFmtId="0" fontId="0" fillId="4" borderId="0" xfId="0" applyFill="1"/>
    <xf numFmtId="3" fontId="0" fillId="0" borderId="0" xfId="0" applyNumberFormat="1"/>
    <xf numFmtId="3" fontId="0" fillId="4" borderId="0" xfId="0" applyNumberFormat="1" applyFill="1"/>
    <xf numFmtId="164" fontId="0" fillId="0" borderId="0" xfId="0" applyNumberFormat="1"/>
    <xf numFmtId="176" fontId="0" fillId="0" borderId="0" xfId="0" applyNumberFormat="1"/>
    <xf numFmtId="3" fontId="31" fillId="0" borderId="0" xfId="0" applyNumberFormat="1" applyFont="1"/>
    <xf numFmtId="0" fontId="0" fillId="5" borderId="0" xfId="0" applyFill="1"/>
    <xf numFmtId="166" fontId="0" fillId="0" borderId="0" xfId="0" applyNumberFormat="1"/>
    <xf numFmtId="173" fontId="0" fillId="0" borderId="0" xfId="0" applyNumberFormat="1"/>
    <xf numFmtId="14" fontId="0" fillId="4" borderId="0" xfId="0" applyNumberFormat="1" applyFill="1"/>
    <xf numFmtId="177" fontId="0" fillId="0" borderId="0" xfId="0" applyNumberFormat="1"/>
    <xf numFmtId="170" fontId="0" fillId="0" borderId="0" xfId="0" applyNumberFormat="1"/>
    <xf numFmtId="0" fontId="20" fillId="2" borderId="0" xfId="0" applyFont="1" applyFill="1" applyAlignment="1">
      <alignment horizontal="center" vertical="center" wrapText="1"/>
    </xf>
    <xf numFmtId="172" fontId="34" fillId="2" borderId="3" xfId="0" applyNumberFormat="1" applyFont="1" applyFill="1" applyBorder="1" applyAlignment="1">
      <alignment vertical="center" wrapText="1"/>
    </xf>
    <xf numFmtId="172" fontId="12" fillId="0" borderId="3" xfId="0" applyNumberFormat="1" applyFont="1" applyBorder="1" applyAlignment="1">
      <alignment vertical="center" wrapText="1"/>
    </xf>
    <xf numFmtId="0" fontId="35" fillId="3" borderId="3" xfId="0" applyFont="1" applyFill="1" applyBorder="1" applyAlignment="1">
      <alignment horizontal="center" vertical="center" wrapText="1"/>
    </xf>
    <xf numFmtId="0" fontId="36" fillId="2" borderId="0" xfId="0" applyFont="1" applyFill="1" applyAlignment="1">
      <alignment vertical="center" wrapText="1"/>
    </xf>
    <xf numFmtId="178" fontId="37" fillId="2" borderId="0" xfId="0" applyNumberFormat="1" applyFont="1" applyFill="1" applyAlignment="1">
      <alignment vertical="center" wrapText="1"/>
    </xf>
    <xf numFmtId="178" fontId="17" fillId="2" borderId="0" xfId="0" applyNumberFormat="1" applyFont="1" applyFill="1" applyAlignment="1">
      <alignment horizontal="right" vertical="center" wrapText="1"/>
    </xf>
    <xf numFmtId="173" fontId="37" fillId="2" borderId="0" xfId="0" applyNumberFormat="1" applyFont="1" applyFill="1" applyAlignment="1">
      <alignment horizontal="center" vertical="center" wrapText="1"/>
    </xf>
    <xf numFmtId="169" fontId="38" fillId="2" borderId="0" xfId="0" applyNumberFormat="1" applyFont="1" applyFill="1" applyAlignment="1">
      <alignment horizontal="center" vertical="center" wrapText="1"/>
    </xf>
    <xf numFmtId="0" fontId="39" fillId="2" borderId="0" xfId="0" applyFont="1" applyFill="1" applyAlignment="1">
      <alignment vertical="center" wrapText="1"/>
    </xf>
    <xf numFmtId="175" fontId="14" fillId="2" borderId="0" xfId="0" applyNumberFormat="1" applyFont="1" applyFill="1" applyAlignment="1">
      <alignment vertical="center" wrapText="1"/>
    </xf>
    <xf numFmtId="0" fontId="38" fillId="3" borderId="3" xfId="0" applyFont="1" applyFill="1" applyBorder="1" applyAlignment="1">
      <alignment horizontal="center" vertical="center" wrapText="1"/>
    </xf>
    <xf numFmtId="172" fontId="38" fillId="3" borderId="3" xfId="0" applyNumberFormat="1" applyFont="1" applyFill="1" applyBorder="1" applyAlignment="1">
      <alignment vertical="center" wrapText="1"/>
    </xf>
    <xf numFmtId="168" fontId="38" fillId="3" borderId="3" xfId="0" applyNumberFormat="1" applyFont="1" applyFill="1" applyBorder="1" applyAlignment="1">
      <alignment vertical="center" wrapText="1"/>
    </xf>
    <xf numFmtId="169" fontId="38" fillId="3" borderId="3" xfId="0" applyNumberFormat="1" applyFont="1" applyFill="1" applyBorder="1" applyAlignment="1">
      <alignment vertical="center" wrapText="1"/>
    </xf>
    <xf numFmtId="0" fontId="40" fillId="0" borderId="0" xfId="0" applyFont="1"/>
    <xf numFmtId="0" fontId="41" fillId="2" borderId="0" xfId="0" applyFont="1" applyFill="1" applyAlignment="1">
      <alignment vertical="center" wrapText="1"/>
    </xf>
    <xf numFmtId="164" fontId="38" fillId="2" borderId="0" xfId="3" applyNumberFormat="1" applyFont="1" applyFill="1" applyAlignment="1">
      <alignment vertical="center" wrapText="1"/>
    </xf>
    <xf numFmtId="168" fontId="14" fillId="2" borderId="0" xfId="0" applyNumberFormat="1" applyFont="1" applyFill="1" applyAlignment="1">
      <alignment vertical="center" wrapText="1"/>
    </xf>
    <xf numFmtId="0" fontId="0" fillId="0" borderId="4" xfId="0" applyBorder="1" applyAlignment="1">
      <alignment vertical="center"/>
    </xf>
    <xf numFmtId="0" fontId="0" fillId="0" borderId="0" xfId="0" applyAlignment="1">
      <alignment wrapText="1"/>
    </xf>
    <xf numFmtId="0" fontId="31" fillId="4" borderId="9" xfId="0" applyFont="1" applyFill="1" applyBorder="1" applyAlignment="1">
      <alignment horizontal="center" vertical="center" wrapText="1"/>
    </xf>
    <xf numFmtId="0" fontId="31" fillId="4" borderId="10" xfId="0" applyFont="1" applyFill="1" applyBorder="1" applyAlignment="1">
      <alignment horizontal="center" vertical="center" wrapText="1"/>
    </xf>
    <xf numFmtId="0" fontId="0" fillId="0" borderId="9" xfId="0" applyBorder="1" applyAlignment="1">
      <alignment vertical="center"/>
    </xf>
    <xf numFmtId="175" fontId="0" fillId="0" borderId="4" xfId="0" applyNumberFormat="1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1" xfId="0" applyBorder="1" applyAlignment="1">
      <alignment vertical="center"/>
    </xf>
    <xf numFmtId="175" fontId="0" fillId="0" borderId="12" xfId="0" applyNumberForma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9" xfId="0" applyBorder="1" applyAlignment="1">
      <alignment horizontal="center" vertical="center"/>
    </xf>
    <xf numFmtId="3" fontId="0" fillId="0" borderId="10" xfId="0" applyNumberFormat="1" applyBorder="1" applyAlignment="1">
      <alignment vertical="center"/>
    </xf>
    <xf numFmtId="3" fontId="0" fillId="0" borderId="13" xfId="0" applyNumberFormat="1" applyBorder="1" applyAlignment="1">
      <alignment vertical="center"/>
    </xf>
    <xf numFmtId="14" fontId="0" fillId="0" borderId="9" xfId="0" applyNumberFormat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3" fontId="0" fillId="0" borderId="12" xfId="0" applyNumberFormat="1" applyBorder="1" applyAlignment="1">
      <alignment vertical="center"/>
    </xf>
    <xf numFmtId="14" fontId="0" fillId="0" borderId="11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175" fontId="31" fillId="4" borderId="10" xfId="0" applyNumberFormat="1" applyFont="1" applyFill="1" applyBorder="1" applyAlignment="1">
      <alignment horizontal="center" vertical="center" wrapText="1"/>
    </xf>
    <xf numFmtId="175" fontId="0" fillId="0" borderId="10" xfId="0" applyNumberFormat="1" applyBorder="1" applyAlignment="1">
      <alignment vertical="center"/>
    </xf>
    <xf numFmtId="175" fontId="0" fillId="0" borderId="13" xfId="0" applyNumberFormat="1" applyBorder="1" applyAlignment="1">
      <alignment vertical="center"/>
    </xf>
    <xf numFmtId="175" fontId="31" fillId="0" borderId="10" xfId="0" applyNumberFormat="1" applyFont="1" applyBorder="1" applyAlignment="1">
      <alignment horizontal="center" vertical="center"/>
    </xf>
    <xf numFmtId="0" fontId="0" fillId="5" borderId="4" xfId="0" applyFill="1" applyBorder="1" applyAlignment="1">
      <alignment vertical="center"/>
    </xf>
    <xf numFmtId="168" fontId="12" fillId="0" borderId="3" xfId="0" applyNumberFormat="1" applyFont="1" applyBorder="1" applyAlignment="1">
      <alignment vertical="center" wrapText="1"/>
    </xf>
    <xf numFmtId="175" fontId="0" fillId="4" borderId="0" xfId="0" applyNumberFormat="1" applyFill="1"/>
    <xf numFmtId="179" fontId="0" fillId="0" borderId="0" xfId="0" applyNumberFormat="1"/>
    <xf numFmtId="0" fontId="43" fillId="2" borderId="0" xfId="0" applyFont="1" applyFill="1" applyAlignment="1">
      <alignment vertical="center" wrapText="1"/>
    </xf>
    <xf numFmtId="173" fontId="43" fillId="2" borderId="0" xfId="0" applyNumberFormat="1" applyFont="1" applyFill="1" applyAlignment="1">
      <alignment horizontal="center" vertical="center" wrapText="1"/>
    </xf>
    <xf numFmtId="169" fontId="44" fillId="2" borderId="0" xfId="0" applyNumberFormat="1" applyFont="1" applyFill="1" applyAlignment="1">
      <alignment horizontal="center" vertical="center" wrapText="1"/>
    </xf>
    <xf numFmtId="0" fontId="0" fillId="5" borderId="4" xfId="0" applyFill="1" applyBorder="1"/>
    <xf numFmtId="175" fontId="0" fillId="5" borderId="4" xfId="0" applyNumberFormat="1" applyFill="1" applyBorder="1"/>
    <xf numFmtId="175" fontId="31" fillId="5" borderId="4" xfId="0" applyNumberFormat="1" applyFont="1" applyFill="1" applyBorder="1"/>
    <xf numFmtId="171" fontId="12" fillId="0" borderId="3" xfId="0" applyNumberFormat="1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169" fontId="12" fillId="0" borderId="3" xfId="0" applyNumberFormat="1" applyFont="1" applyBorder="1" applyAlignment="1">
      <alignment vertical="center" wrapText="1"/>
    </xf>
    <xf numFmtId="0" fontId="13" fillId="2" borderId="0" xfId="0" applyFont="1" applyFill="1" applyAlignment="1">
      <alignment horizontal="left" vertical="center" wrapText="1"/>
    </xf>
    <xf numFmtId="168" fontId="13" fillId="2" borderId="0" xfId="0" applyNumberFormat="1" applyFont="1" applyFill="1" applyAlignment="1">
      <alignment vertical="center" wrapText="1"/>
    </xf>
    <xf numFmtId="0" fontId="37" fillId="2" borderId="0" xfId="0" applyFont="1" applyFill="1" applyAlignment="1">
      <alignment vertical="center" wrapText="1"/>
    </xf>
    <xf numFmtId="169" fontId="37" fillId="2" borderId="0" xfId="0" applyNumberFormat="1" applyFont="1" applyFill="1" applyAlignment="1">
      <alignment horizontal="center" vertical="center" wrapText="1"/>
    </xf>
    <xf numFmtId="178" fontId="37" fillId="2" borderId="0" xfId="0" applyNumberFormat="1" applyFont="1" applyFill="1" applyAlignment="1">
      <alignment horizontal="right" vertical="center" wrapText="1"/>
    </xf>
    <xf numFmtId="14" fontId="0" fillId="5" borderId="0" xfId="0" applyNumberFormat="1" applyFill="1"/>
    <xf numFmtId="164" fontId="0" fillId="5" borderId="0" xfId="0" applyNumberFormat="1" applyFill="1"/>
    <xf numFmtId="175" fontId="0" fillId="5" borderId="0" xfId="0" applyNumberFormat="1" applyFill="1"/>
    <xf numFmtId="0" fontId="48" fillId="2" borderId="0" xfId="0" applyFont="1" applyFill="1" applyAlignment="1">
      <alignment vertical="center" wrapText="1"/>
    </xf>
    <xf numFmtId="169" fontId="49" fillId="2" borderId="0" xfId="0" applyNumberFormat="1" applyFont="1" applyFill="1" applyAlignment="1">
      <alignment horizontal="center" vertical="center" wrapText="1"/>
    </xf>
    <xf numFmtId="0" fontId="22" fillId="2" borderId="0" xfId="0" applyFont="1" applyFill="1" applyAlignment="1">
      <alignment horizontal="left" vertical="center" wrapText="1"/>
    </xf>
    <xf numFmtId="168" fontId="14" fillId="0" borderId="3" xfId="0" applyNumberFormat="1" applyFont="1" applyBorder="1" applyAlignment="1">
      <alignment vertical="center" wrapText="1"/>
    </xf>
    <xf numFmtId="218" fontId="13" fillId="2" borderId="0" xfId="0" applyNumberFormat="1" applyFont="1" applyFill="1" applyAlignment="1">
      <alignment horizontal="left" vertical="center" wrapText="1"/>
    </xf>
    <xf numFmtId="0" fontId="14" fillId="0" borderId="0" xfId="0" applyFont="1" applyAlignment="1">
      <alignment vertical="center" wrapText="1"/>
    </xf>
    <xf numFmtId="14" fontId="0" fillId="5" borderId="0" xfId="0" applyNumberFormat="1" applyFill="1" applyAlignment="1">
      <alignment horizontal="right"/>
    </xf>
    <xf numFmtId="169" fontId="41" fillId="0" borderId="3" xfId="0" applyNumberFormat="1" applyFont="1" applyBorder="1" applyAlignment="1">
      <alignment vertical="center" wrapText="1"/>
    </xf>
    <xf numFmtId="0" fontId="124" fillId="2" borderId="0" xfId="0" applyFont="1" applyFill="1" applyAlignment="1">
      <alignment horizontal="left" vertical="center" wrapText="1"/>
    </xf>
    <xf numFmtId="169" fontId="14" fillId="0" borderId="3" xfId="0" applyNumberFormat="1" applyFont="1" applyBorder="1" applyAlignment="1">
      <alignment vertical="center" wrapText="1"/>
    </xf>
    <xf numFmtId="219" fontId="12" fillId="0" borderId="3" xfId="0" applyNumberFormat="1" applyFont="1" applyBorder="1" applyAlignment="1">
      <alignment vertical="center" wrapText="1"/>
    </xf>
    <xf numFmtId="173" fontId="125" fillId="2" borderId="0" xfId="0" applyNumberFormat="1" applyFont="1" applyFill="1" applyAlignment="1">
      <alignment horizontal="center" vertical="center" wrapText="1"/>
    </xf>
    <xf numFmtId="166" fontId="14" fillId="2" borderId="0" xfId="0" applyNumberFormat="1" applyFont="1" applyFill="1" applyAlignment="1">
      <alignment vertical="center" wrapText="1"/>
    </xf>
    <xf numFmtId="220" fontId="14" fillId="2" borderId="0" xfId="0" applyNumberFormat="1" applyFont="1" applyFill="1" applyAlignment="1">
      <alignment vertical="center" wrapText="1"/>
    </xf>
    <xf numFmtId="220" fontId="17" fillId="2" borderId="0" xfId="0" applyNumberFormat="1" applyFont="1" applyFill="1" applyAlignment="1">
      <alignment horizontal="center" vertical="center" wrapText="1"/>
    </xf>
    <xf numFmtId="218" fontId="13" fillId="0" borderId="0" xfId="0" applyNumberFormat="1" applyFont="1" applyAlignment="1">
      <alignment horizontal="left" vertical="center" wrapText="1"/>
    </xf>
    <xf numFmtId="0" fontId="22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 vertical="center" wrapText="1"/>
    </xf>
    <xf numFmtId="0" fontId="124" fillId="0" borderId="0" xfId="0" applyFont="1" applyAlignment="1">
      <alignment horizontal="left" vertical="center" wrapText="1"/>
    </xf>
    <xf numFmtId="168" fontId="41" fillId="0" borderId="3" xfId="0" applyNumberFormat="1" applyFont="1" applyBorder="1" applyAlignment="1">
      <alignment vertical="center" wrapText="1"/>
    </xf>
    <xf numFmtId="3" fontId="11" fillId="0" borderId="0" xfId="2" applyNumberFormat="1"/>
    <xf numFmtId="0" fontId="126" fillId="2" borderId="0" xfId="0" applyFont="1" applyFill="1" applyAlignment="1">
      <alignment vertical="center" wrapText="1"/>
    </xf>
    <xf numFmtId="14" fontId="0" fillId="0" borderId="0" xfId="0" applyNumberFormat="1" applyAlignment="1">
      <alignment horizontal="right"/>
    </xf>
    <xf numFmtId="164" fontId="0" fillId="0" borderId="0" xfId="0" applyNumberFormat="1" applyAlignment="1">
      <alignment horizontal="center" vertical="center" wrapText="1"/>
    </xf>
    <xf numFmtId="175" fontId="0" fillId="5" borderId="0" xfId="0" applyNumberFormat="1" applyFill="1" applyAlignment="1">
      <alignment horizontal="right"/>
    </xf>
    <xf numFmtId="0" fontId="45" fillId="0" borderId="0" xfId="0" applyFont="1"/>
    <xf numFmtId="180" fontId="0" fillId="0" borderId="0" xfId="0" applyNumberFormat="1" applyAlignment="1">
      <alignment horizontal="center" vertical="center" wrapText="1"/>
    </xf>
    <xf numFmtId="180" fontId="42" fillId="0" borderId="0" xfId="0" applyNumberFormat="1" applyFont="1"/>
    <xf numFmtId="0" fontId="127" fillId="0" borderId="0" xfId="0" applyFont="1"/>
    <xf numFmtId="175" fontId="0" fillId="0" borderId="0" xfId="0" applyNumberFormat="1" applyAlignment="1">
      <alignment horizontal="right"/>
    </xf>
    <xf numFmtId="175" fontId="42" fillId="0" borderId="0" xfId="0" applyNumberFormat="1" applyFont="1"/>
    <xf numFmtId="164" fontId="42" fillId="0" borderId="0" xfId="0" applyNumberFormat="1" applyFont="1"/>
    <xf numFmtId="14" fontId="42" fillId="0" borderId="0" xfId="0" applyNumberFormat="1" applyFont="1" applyAlignment="1">
      <alignment horizontal="right"/>
    </xf>
    <xf numFmtId="14" fontId="42" fillId="0" borderId="0" xfId="0" applyNumberFormat="1" applyFont="1"/>
    <xf numFmtId="0" fontId="42" fillId="0" borderId="0" xfId="0" applyFont="1"/>
    <xf numFmtId="180" fontId="0" fillId="0" borderId="0" xfId="0" applyNumberFormat="1"/>
    <xf numFmtId="175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80" fontId="0" fillId="5" borderId="0" xfId="0" applyNumberFormat="1" applyFill="1"/>
    <xf numFmtId="221" fontId="37" fillId="2" borderId="0" xfId="0" applyNumberFormat="1" applyFont="1" applyFill="1" applyAlignment="1">
      <alignment horizontal="right" vertical="center" wrapText="1"/>
    </xf>
    <xf numFmtId="176" fontId="16" fillId="2" borderId="0" xfId="0" applyNumberFormat="1" applyFont="1" applyFill="1" applyAlignment="1">
      <alignment horizontal="center" vertical="center" wrapText="1"/>
    </xf>
    <xf numFmtId="176" fontId="37" fillId="2" borderId="0" xfId="0" applyNumberFormat="1" applyFont="1" applyFill="1" applyAlignment="1">
      <alignment horizontal="center" vertical="center" wrapText="1"/>
    </xf>
    <xf numFmtId="0" fontId="0" fillId="82" borderId="0" xfId="0" applyFill="1"/>
    <xf numFmtId="3" fontId="0" fillId="82" borderId="0" xfId="0" applyNumberFormat="1" applyFill="1"/>
    <xf numFmtId="175" fontId="0" fillId="82" borderId="0" xfId="0" applyNumberFormat="1" applyFill="1"/>
    <xf numFmtId="0" fontId="0" fillId="83" borderId="0" xfId="0" applyFill="1"/>
    <xf numFmtId="0" fontId="1" fillId="0" borderId="0" xfId="0" applyFont="1"/>
    <xf numFmtId="14" fontId="0" fillId="0" borderId="0" xfId="0" applyNumberFormat="1" applyAlignment="1">
      <alignment wrapText="1"/>
    </xf>
    <xf numFmtId="0" fontId="128" fillId="0" borderId="0" xfId="0" applyFont="1" applyAlignment="1">
      <alignment horizontal="center" vertical="center" wrapText="1"/>
    </xf>
    <xf numFmtId="170" fontId="31" fillId="0" borderId="0" xfId="0" applyNumberFormat="1" applyFont="1"/>
    <xf numFmtId="179" fontId="0" fillId="0" borderId="0" xfId="0" applyNumberFormat="1" applyAlignment="1">
      <alignment horizontal="center"/>
    </xf>
    <xf numFmtId="0" fontId="42" fillId="83" borderId="0" xfId="0" applyFont="1" applyFill="1"/>
    <xf numFmtId="0" fontId="31" fillId="0" borderId="0" xfId="0" applyFont="1" applyAlignment="1">
      <alignment horizontal="center" vertical="center"/>
    </xf>
    <xf numFmtId="0" fontId="129" fillId="0" borderId="0" xfId="0" applyFont="1"/>
    <xf numFmtId="0" fontId="0" fillId="0" borderId="0" xfId="0" applyAlignment="1">
      <alignment horizontal="left"/>
    </xf>
    <xf numFmtId="224" fontId="0" fillId="0" borderId="0" xfId="0" applyNumberFormat="1"/>
    <xf numFmtId="0" fontId="130" fillId="0" borderId="0" xfId="0" applyFont="1" applyAlignment="1">
      <alignment horizontal="left" vertical="top"/>
    </xf>
    <xf numFmtId="0" fontId="130" fillId="84" borderId="53" xfId="0" applyFont="1" applyFill="1" applyBorder="1" applyAlignment="1">
      <alignment horizontal="left" vertical="top" wrapText="1"/>
    </xf>
    <xf numFmtId="0" fontId="27" fillId="0" borderId="53" xfId="0" applyFont="1" applyBorder="1" applyAlignment="1">
      <alignment horizontal="left" vertical="top" wrapText="1"/>
    </xf>
    <xf numFmtId="3" fontId="130" fillId="84" borderId="53" xfId="0" applyNumberFormat="1" applyFont="1" applyFill="1" applyBorder="1" applyAlignment="1">
      <alignment horizontal="right" vertical="top"/>
    </xf>
    <xf numFmtId="0" fontId="133" fillId="0" borderId="0" xfId="0" applyFont="1"/>
    <xf numFmtId="224" fontId="134" fillId="0" borderId="0" xfId="0" applyNumberFormat="1" applyFont="1"/>
    <xf numFmtId="224" fontId="135" fillId="0" borderId="0" xfId="0" applyNumberFormat="1" applyFont="1"/>
    <xf numFmtId="0" fontId="136" fillId="0" borderId="0" xfId="0" applyFont="1"/>
    <xf numFmtId="224" fontId="137" fillId="0" borderId="0" xfId="0" applyNumberFormat="1" applyFont="1"/>
    <xf numFmtId="9" fontId="0" fillId="0" borderId="0" xfId="47301" applyFont="1"/>
    <xf numFmtId="0" fontId="140" fillId="0" borderId="0" xfId="0" applyFont="1" applyAlignment="1">
      <alignment vertical="top" wrapText="1"/>
    </xf>
    <xf numFmtId="0" fontId="141" fillId="0" borderId="0" xfId="0" applyFont="1" applyAlignment="1">
      <alignment vertical="top" wrapText="1"/>
    </xf>
    <xf numFmtId="0" fontId="141" fillId="0" borderId="0" xfId="0" applyFont="1" applyAlignment="1">
      <alignment wrapText="1"/>
    </xf>
    <xf numFmtId="225" fontId="141" fillId="0" borderId="0" xfId="0" applyNumberFormat="1" applyFont="1" applyAlignment="1">
      <alignment vertical="top" wrapText="1"/>
    </xf>
    <xf numFmtId="226" fontId="141" fillId="0" borderId="0" xfId="0" applyNumberFormat="1" applyFont="1" applyAlignment="1">
      <alignment vertical="top" wrapText="1"/>
    </xf>
    <xf numFmtId="227" fontId="141" fillId="0" borderId="0" xfId="0" applyNumberFormat="1" applyFont="1" applyAlignment="1">
      <alignment vertical="top" wrapText="1"/>
    </xf>
    <xf numFmtId="0" fontId="140" fillId="0" borderId="0" xfId="0" applyFont="1" applyAlignment="1">
      <alignment horizontal="center" vertical="center" wrapText="1"/>
    </xf>
    <xf numFmtId="0" fontId="141" fillId="0" borderId="0" xfId="0" applyFont="1" applyAlignment="1">
      <alignment horizontal="center" vertical="center" wrapText="1"/>
    </xf>
    <xf numFmtId="0" fontId="140" fillId="0" borderId="54" xfId="0" applyFont="1" applyBorder="1" applyAlignment="1">
      <alignment horizontal="center" vertical="center" wrapText="1"/>
    </xf>
    <xf numFmtId="2" fontId="0" fillId="83" borderId="0" xfId="0" applyNumberFormat="1" applyFill="1"/>
    <xf numFmtId="2" fontId="42" fillId="83" borderId="0" xfId="0" applyNumberFormat="1" applyFont="1" applyFill="1"/>
    <xf numFmtId="2" fontId="31" fillId="0" borderId="0" xfId="0" applyNumberFormat="1" applyFont="1"/>
    <xf numFmtId="175" fontId="140" fillId="0" borderId="0" xfId="0" applyNumberFormat="1" applyFont="1" applyAlignment="1">
      <alignment horizontal="center" vertical="center" wrapText="1"/>
    </xf>
    <xf numFmtId="175" fontId="141" fillId="0" borderId="0" xfId="0" applyNumberFormat="1" applyFont="1" applyAlignment="1">
      <alignment vertical="top" wrapText="1"/>
    </xf>
    <xf numFmtId="175" fontId="141" fillId="0" borderId="0" xfId="0" applyNumberFormat="1" applyFont="1" applyAlignment="1">
      <alignment wrapText="1"/>
    </xf>
    <xf numFmtId="3" fontId="141" fillId="0" borderId="0" xfId="0" applyNumberFormat="1" applyFont="1" applyAlignment="1">
      <alignment vertical="top" wrapText="1"/>
    </xf>
    <xf numFmtId="9" fontId="141" fillId="0" borderId="0" xfId="0" applyNumberFormat="1" applyFont="1" applyAlignment="1">
      <alignment vertical="top" wrapText="1"/>
    </xf>
    <xf numFmtId="175" fontId="140" fillId="5" borderId="54" xfId="0" applyNumberFormat="1" applyFont="1" applyFill="1" applyBorder="1" applyAlignment="1">
      <alignment horizontal="center" vertical="center" wrapText="1"/>
    </xf>
    <xf numFmtId="175" fontId="144" fillId="0" borderId="0" xfId="0" applyNumberFormat="1" applyFont="1" applyAlignment="1">
      <alignment vertical="top" wrapText="1"/>
    </xf>
    <xf numFmtId="3" fontId="140" fillId="5" borderId="54" xfId="0" applyNumberFormat="1" applyFont="1" applyFill="1" applyBorder="1" applyAlignment="1">
      <alignment horizontal="center" vertical="center" wrapText="1"/>
    </xf>
    <xf numFmtId="3" fontId="141" fillId="0" borderId="0" xfId="0" applyNumberFormat="1" applyFont="1" applyAlignment="1">
      <alignment wrapText="1"/>
    </xf>
    <xf numFmtId="9" fontId="140" fillId="0" borderId="54" xfId="0" applyNumberFormat="1" applyFont="1" applyBorder="1" applyAlignment="1">
      <alignment horizontal="center" vertical="center" wrapText="1"/>
    </xf>
    <xf numFmtId="9" fontId="141" fillId="0" borderId="0" xfId="0" applyNumberFormat="1" applyFont="1" applyAlignment="1">
      <alignment wrapText="1"/>
    </xf>
    <xf numFmtId="14" fontId="141" fillId="0" borderId="0" xfId="0" applyNumberFormat="1" applyFont="1" applyAlignment="1">
      <alignment horizontal="right" vertical="top" wrapText="1"/>
    </xf>
    <xf numFmtId="0" fontId="141" fillId="0" borderId="0" xfId="0" applyFont="1" applyAlignment="1">
      <alignment horizontal="right" vertical="top" wrapText="1"/>
    </xf>
    <xf numFmtId="0" fontId="141" fillId="0" borderId="0" xfId="0" applyFont="1" applyAlignment="1">
      <alignment horizontal="right" wrapText="1"/>
    </xf>
    <xf numFmtId="175" fontId="143" fillId="0" borderId="0" xfId="0" applyNumberFormat="1" applyFont="1" applyAlignment="1">
      <alignment vertical="top" wrapText="1"/>
    </xf>
    <xf numFmtId="0" fontId="0" fillId="0" borderId="0" xfId="0" applyAlignment="1">
      <alignment horizontal="center" vertical="center"/>
    </xf>
    <xf numFmtId="175" fontId="140" fillId="0" borderId="54" xfId="0" applyNumberFormat="1" applyFont="1" applyBorder="1" applyAlignment="1">
      <alignment horizontal="center" vertical="center" wrapText="1"/>
    </xf>
    <xf numFmtId="175" fontId="141" fillId="0" borderId="0" xfId="0" applyNumberFormat="1" applyFont="1" applyAlignment="1">
      <alignment horizontal="center" vertical="top" wrapText="1"/>
    </xf>
    <xf numFmtId="175" fontId="141" fillId="0" borderId="0" xfId="0" applyNumberFormat="1" applyFont="1" applyAlignment="1">
      <alignment horizontal="center" wrapText="1"/>
    </xf>
    <xf numFmtId="175" fontId="142" fillId="5" borderId="54" xfId="0" applyNumberFormat="1" applyFont="1" applyFill="1" applyBorder="1" applyAlignment="1">
      <alignment horizontal="center" vertical="center" wrapText="1"/>
    </xf>
    <xf numFmtId="175" fontId="143" fillId="0" borderId="0" xfId="0" applyNumberFormat="1" applyFont="1" applyAlignment="1">
      <alignment wrapText="1"/>
    </xf>
    <xf numFmtId="0" fontId="36" fillId="2" borderId="0" xfId="0" applyFont="1" applyFill="1" applyAlignment="1">
      <alignment horizontal="left" vertical="center" wrapText="1"/>
    </xf>
    <xf numFmtId="3" fontId="132" fillId="5" borderId="53" xfId="0" applyNumberFormat="1" applyFont="1" applyFill="1" applyBorder="1" applyAlignment="1">
      <alignment horizontal="right" vertical="top"/>
    </xf>
    <xf numFmtId="0" fontId="27" fillId="86" borderId="53" xfId="0" applyFont="1" applyFill="1" applyBorder="1" applyAlignment="1">
      <alignment horizontal="left" vertical="top" wrapText="1"/>
    </xf>
    <xf numFmtId="0" fontId="0" fillId="86" borderId="0" xfId="0" applyFill="1"/>
    <xf numFmtId="175" fontId="145" fillId="0" borderId="0" xfId="0" applyNumberFormat="1" applyFont="1" applyAlignment="1">
      <alignment vertical="top" wrapText="1"/>
    </xf>
    <xf numFmtId="1" fontId="0" fillId="4" borderId="0" xfId="0" applyNumberFormat="1" applyFill="1"/>
    <xf numFmtId="1" fontId="0" fillId="0" borderId="0" xfId="0" applyNumberFormat="1"/>
    <xf numFmtId="0" fontId="130" fillId="0" borderId="0" xfId="0" applyFont="1" applyAlignment="1">
      <alignment horizontal="center" vertical="center" wrapText="1"/>
    </xf>
    <xf numFmtId="175" fontId="130" fillId="0" borderId="0" xfId="0" applyNumberFormat="1" applyFont="1" applyAlignment="1">
      <alignment vertical="top" wrapText="1"/>
    </xf>
    <xf numFmtId="175" fontId="130" fillId="0" borderId="0" xfId="0" applyNumberFormat="1" applyFont="1" applyAlignment="1">
      <alignment horizontal="right" vertical="top" wrapText="1"/>
    </xf>
    <xf numFmtId="14" fontId="130" fillId="0" borderId="0" xfId="0" applyNumberFormat="1" applyFont="1" applyAlignment="1">
      <alignment vertical="top" wrapText="1"/>
    </xf>
    <xf numFmtId="14" fontId="130" fillId="0" borderId="0" xfId="0" applyNumberFormat="1" applyFont="1" applyAlignment="1">
      <alignment horizontal="right" vertical="top" wrapText="1"/>
    </xf>
    <xf numFmtId="14" fontId="130" fillId="0" borderId="0" xfId="0" applyNumberFormat="1" applyFont="1" applyAlignment="1">
      <alignment horizontal="center" vertical="center" wrapText="1"/>
    </xf>
    <xf numFmtId="223" fontId="130" fillId="0" borderId="0" xfId="0" applyNumberFormat="1" applyFont="1" applyAlignment="1">
      <alignment horizontal="center" vertical="center" wrapText="1"/>
    </xf>
    <xf numFmtId="0" fontId="130" fillId="0" borderId="0" xfId="0" applyFont="1" applyAlignment="1">
      <alignment vertical="top" wrapText="1"/>
    </xf>
    <xf numFmtId="222" fontId="130" fillId="0" borderId="0" xfId="0" applyNumberFormat="1" applyFont="1" applyAlignment="1">
      <alignment horizontal="left" vertical="top" wrapText="1"/>
    </xf>
    <xf numFmtId="1" fontId="130" fillId="0" borderId="0" xfId="0" applyNumberFormat="1" applyFont="1" applyAlignment="1">
      <alignment horizontal="left" vertical="top" wrapText="1"/>
    </xf>
    <xf numFmtId="170" fontId="130" fillId="0" borderId="0" xfId="0" applyNumberFormat="1" applyFont="1" applyAlignment="1">
      <alignment horizontal="right" vertical="top" wrapText="1"/>
    </xf>
    <xf numFmtId="0" fontId="130" fillId="0" borderId="0" xfId="0" applyFont="1" applyAlignment="1">
      <alignment horizontal="right" vertical="top" wrapText="1"/>
    </xf>
    <xf numFmtId="223" fontId="130" fillId="0" borderId="0" xfId="0" applyNumberFormat="1" applyFont="1" applyAlignment="1">
      <alignment horizontal="right" vertical="top" wrapText="1"/>
    </xf>
    <xf numFmtId="228" fontId="130" fillId="0" borderId="0" xfId="0" applyNumberFormat="1" applyFont="1" applyAlignment="1">
      <alignment horizontal="left" vertical="top" wrapText="1"/>
    </xf>
    <xf numFmtId="223" fontId="0" fillId="0" borderId="0" xfId="0" applyNumberFormat="1"/>
    <xf numFmtId="164" fontId="16" fillId="2" borderId="2" xfId="3" applyNumberFormat="1" applyFont="1" applyFill="1" applyBorder="1" applyAlignment="1">
      <alignment vertical="center" wrapText="1"/>
    </xf>
    <xf numFmtId="0" fontId="14" fillId="2" borderId="2" xfId="0" applyFont="1" applyFill="1" applyBorder="1" applyAlignment="1">
      <alignment vertical="center" wrapText="1"/>
    </xf>
    <xf numFmtId="0" fontId="38" fillId="2" borderId="2" xfId="0" applyFont="1" applyFill="1" applyBorder="1" applyAlignment="1">
      <alignment vertical="center" wrapText="1"/>
    </xf>
    <xf numFmtId="0" fontId="146" fillId="2" borderId="0" xfId="0" applyFont="1" applyFill="1" applyAlignment="1">
      <alignment vertical="center" wrapText="1"/>
    </xf>
    <xf numFmtId="0" fontId="147" fillId="2" borderId="0" xfId="0" applyFont="1" applyFill="1" applyAlignment="1">
      <alignment horizontal="left" vertical="center" wrapText="1"/>
    </xf>
    <xf numFmtId="172" fontId="19" fillId="3" borderId="3" xfId="0" applyNumberFormat="1" applyFont="1" applyFill="1" applyBorder="1" applyAlignment="1">
      <alignment horizontal="center" vertical="center" wrapText="1"/>
    </xf>
    <xf numFmtId="0" fontId="148" fillId="2" borderId="0" xfId="0" applyFont="1" applyFill="1" applyAlignment="1">
      <alignment vertical="center" wrapText="1"/>
    </xf>
    <xf numFmtId="169" fontId="12" fillId="2" borderId="3" xfId="0" applyNumberFormat="1" applyFont="1" applyFill="1" applyBorder="1" applyAlignment="1">
      <alignment horizontal="right" vertical="center" wrapText="1"/>
    </xf>
    <xf numFmtId="172" fontId="12" fillId="2" borderId="3" xfId="0" applyNumberFormat="1" applyFont="1" applyFill="1" applyBorder="1" applyAlignment="1">
      <alignment horizontal="center" vertical="center" wrapText="1"/>
    </xf>
    <xf numFmtId="43" fontId="141" fillId="0" borderId="0" xfId="1" applyFont="1" applyAlignment="1">
      <alignment wrapText="1"/>
    </xf>
    <xf numFmtId="0" fontId="149" fillId="2" borderId="0" xfId="0" applyFont="1" applyFill="1" applyAlignment="1">
      <alignment vertical="center" wrapText="1"/>
    </xf>
    <xf numFmtId="0" fontId="130" fillId="5" borderId="0" xfId="0" applyFont="1" applyFill="1" applyAlignment="1">
      <alignment vertical="top" wrapText="1"/>
    </xf>
    <xf numFmtId="0" fontId="150" fillId="0" borderId="0" xfId="0" applyFont="1" applyAlignment="1">
      <alignment vertical="center" wrapText="1"/>
    </xf>
    <xf numFmtId="14" fontId="16" fillId="2" borderId="0" xfId="0" applyNumberFormat="1" applyFont="1" applyFill="1" applyAlignment="1">
      <alignment horizontal="center" vertical="center" wrapText="1"/>
    </xf>
    <xf numFmtId="0" fontId="39" fillId="2" borderId="0" xfId="0" applyFont="1" applyFill="1" applyAlignment="1">
      <alignment vertical="center"/>
    </xf>
    <xf numFmtId="222" fontId="130" fillId="5" borderId="0" xfId="0" applyNumberFormat="1" applyFont="1" applyFill="1" applyAlignment="1">
      <alignment horizontal="left" vertical="top" wrapText="1"/>
    </xf>
    <xf numFmtId="1" fontId="130" fillId="5" borderId="0" xfId="0" applyNumberFormat="1" applyFont="1" applyFill="1" applyAlignment="1">
      <alignment horizontal="left" vertical="top" wrapText="1"/>
    </xf>
    <xf numFmtId="175" fontId="130" fillId="5" borderId="0" xfId="0" applyNumberFormat="1" applyFont="1" applyFill="1" applyAlignment="1">
      <alignment horizontal="right" vertical="top" wrapText="1"/>
    </xf>
    <xf numFmtId="170" fontId="130" fillId="5" borderId="0" xfId="0" applyNumberFormat="1" applyFont="1" applyFill="1" applyAlignment="1">
      <alignment horizontal="right" vertical="top" wrapText="1"/>
    </xf>
    <xf numFmtId="14" fontId="130" fillId="5" borderId="0" xfId="0" applyNumberFormat="1" applyFont="1" applyFill="1" applyAlignment="1">
      <alignment horizontal="right" vertical="top" wrapText="1"/>
    </xf>
    <xf numFmtId="169" fontId="12" fillId="0" borderId="3" xfId="0" applyNumberFormat="1" applyFont="1" applyBorder="1" applyAlignment="1">
      <alignment horizontal="right" vertical="center" wrapText="1"/>
    </xf>
    <xf numFmtId="169" fontId="41" fillId="0" borderId="3" xfId="0" applyNumberFormat="1" applyFont="1" applyBorder="1" applyAlignment="1">
      <alignment horizontal="right" vertical="center" wrapText="1"/>
    </xf>
    <xf numFmtId="169" fontId="14" fillId="0" borderId="3" xfId="0" applyNumberFormat="1" applyFont="1" applyBorder="1" applyAlignment="1">
      <alignment horizontal="right" vertical="center" wrapText="1"/>
    </xf>
    <xf numFmtId="0" fontId="14" fillId="5" borderId="0" xfId="0" applyFont="1" applyFill="1" applyAlignment="1">
      <alignment vertical="center" wrapText="1"/>
    </xf>
    <xf numFmtId="219" fontId="12" fillId="2" borderId="3" xfId="0" applyNumberFormat="1" applyFont="1" applyFill="1" applyBorder="1" applyAlignment="1">
      <alignment vertical="center" wrapText="1"/>
    </xf>
    <xf numFmtId="168" fontId="14" fillId="2" borderId="3" xfId="0" applyNumberFormat="1" applyFont="1" applyFill="1" applyBorder="1" applyAlignment="1">
      <alignment vertical="center" wrapText="1"/>
    </xf>
    <xf numFmtId="172" fontId="19" fillId="87" borderId="3" xfId="0" applyNumberFormat="1" applyFont="1" applyFill="1" applyBorder="1" applyAlignment="1">
      <alignment vertical="center" wrapText="1"/>
    </xf>
    <xf numFmtId="168" fontId="19" fillId="87" borderId="3" xfId="0" applyNumberFormat="1" applyFont="1" applyFill="1" applyBorder="1" applyAlignment="1">
      <alignment vertical="center" wrapText="1"/>
    </xf>
    <xf numFmtId="169" fontId="19" fillId="87" borderId="3" xfId="0" applyNumberFormat="1" applyFont="1" applyFill="1" applyBorder="1" applyAlignment="1">
      <alignment vertical="center" wrapText="1"/>
    </xf>
    <xf numFmtId="0" fontId="151" fillId="2" borderId="0" xfId="0" applyFont="1" applyFill="1" applyAlignment="1">
      <alignment vertical="center" wrapText="1"/>
    </xf>
    <xf numFmtId="0" fontId="152" fillId="2" borderId="0" xfId="0" applyFont="1" applyFill="1" applyAlignment="1">
      <alignment horizontal="left" vertical="center" wrapText="1"/>
    </xf>
    <xf numFmtId="0" fontId="153" fillId="0" borderId="0" xfId="0" applyFont="1"/>
    <xf numFmtId="0" fontId="153" fillId="0" borderId="0" xfId="0" applyFont="1" applyAlignment="1">
      <alignment wrapText="1"/>
    </xf>
    <xf numFmtId="0" fontId="153" fillId="0" borderId="0" xfId="0" applyFont="1" applyAlignment="1">
      <alignment horizontal="center" vertical="center"/>
    </xf>
    <xf numFmtId="0" fontId="154" fillId="2" borderId="0" xfId="0" applyFont="1" applyFill="1" applyAlignment="1">
      <alignment horizontal="left" vertical="center" wrapText="1"/>
    </xf>
    <xf numFmtId="0" fontId="155" fillId="0" borderId="0" xfId="0" applyFont="1"/>
    <xf numFmtId="0" fontId="155" fillId="0" borderId="0" xfId="0" pivotButton="1" applyFont="1"/>
    <xf numFmtId="0" fontId="155" fillId="0" borderId="0" xfId="0" applyFont="1" applyAlignment="1">
      <alignment wrapText="1"/>
    </xf>
    <xf numFmtId="0" fontId="155" fillId="0" borderId="0" xfId="0" applyFont="1" applyAlignment="1">
      <alignment horizontal="center" vertical="center"/>
    </xf>
    <xf numFmtId="0" fontId="155" fillId="0" borderId="0" xfId="0" applyFont="1" applyAlignment="1">
      <alignment horizontal="center" vertical="center" wrapText="1"/>
    </xf>
    <xf numFmtId="0" fontId="155" fillId="0" borderId="0" xfId="0" applyFont="1" applyAlignment="1">
      <alignment vertical="center" wrapText="1"/>
    </xf>
    <xf numFmtId="0" fontId="155" fillId="0" borderId="0" xfId="0" applyFont="1" applyAlignment="1">
      <alignment horizontal="left"/>
    </xf>
    <xf numFmtId="175" fontId="155" fillId="0" borderId="0" xfId="0" applyNumberFormat="1" applyFont="1"/>
    <xf numFmtId="3" fontId="155" fillId="0" borderId="0" xfId="0" applyNumberFormat="1" applyFont="1"/>
    <xf numFmtId="0" fontId="156" fillId="3" borderId="3" xfId="0" applyFont="1" applyFill="1" applyBorder="1" applyAlignment="1">
      <alignment horizontal="center" vertical="center" wrapText="1"/>
    </xf>
    <xf numFmtId="0" fontId="24" fillId="2" borderId="0" xfId="0" applyFont="1" applyFill="1" applyAlignment="1">
      <alignment vertical="center" wrapText="1"/>
    </xf>
    <xf numFmtId="171" fontId="157" fillId="0" borderId="3" xfId="0" applyNumberFormat="1" applyFont="1" applyBorder="1" applyAlignment="1">
      <alignment horizontal="center" vertical="center" wrapText="1"/>
    </xf>
    <xf numFmtId="172" fontId="157" fillId="0" borderId="3" xfId="0" applyNumberFormat="1" applyFont="1" applyBorder="1" applyAlignment="1">
      <alignment vertical="center" wrapText="1"/>
    </xf>
    <xf numFmtId="0" fontId="157" fillId="0" borderId="3" xfId="0" applyFont="1" applyBorder="1" applyAlignment="1">
      <alignment horizontal="center" vertical="center" wrapText="1"/>
    </xf>
    <xf numFmtId="168" fontId="157" fillId="0" borderId="3" xfId="0" applyNumberFormat="1" applyFont="1" applyBorder="1" applyAlignment="1">
      <alignment vertical="center" wrapText="1"/>
    </xf>
    <xf numFmtId="169" fontId="157" fillId="0" borderId="3" xfId="0" applyNumberFormat="1" applyFont="1" applyBorder="1" applyAlignment="1">
      <alignment vertical="center" wrapText="1"/>
    </xf>
    <xf numFmtId="169" fontId="157" fillId="0" borderId="3" xfId="0" applyNumberFormat="1" applyFont="1" applyBorder="1" applyAlignment="1">
      <alignment horizontal="center" vertical="center" wrapText="1"/>
    </xf>
    <xf numFmtId="0" fontId="158" fillId="2" borderId="0" xfId="0" applyFont="1" applyFill="1" applyAlignment="1">
      <alignment vertical="center" wrapText="1"/>
    </xf>
    <xf numFmtId="168" fontId="159" fillId="0" borderId="3" xfId="0" applyNumberFormat="1" applyFont="1" applyBorder="1" applyAlignment="1">
      <alignment vertical="center" wrapText="1"/>
    </xf>
    <xf numFmtId="169" fontId="156" fillId="3" borderId="3" xfId="0" applyNumberFormat="1" applyFont="1" applyFill="1" applyBorder="1" applyAlignment="1">
      <alignment horizontal="center" vertical="center" wrapText="1"/>
    </xf>
    <xf numFmtId="0" fontId="24" fillId="2" borderId="0" xfId="0" applyFont="1" applyFill="1" applyAlignment="1">
      <alignment horizontal="center" vertical="center" wrapText="1"/>
    </xf>
    <xf numFmtId="168" fontId="24" fillId="2" borderId="0" xfId="0" applyNumberFormat="1" applyFont="1" applyFill="1" applyAlignment="1">
      <alignment vertical="center" wrapText="1"/>
    </xf>
    <xf numFmtId="0" fontId="160" fillId="0" borderId="0" xfId="0" applyFont="1" applyAlignment="1">
      <alignment vertical="center" wrapText="1"/>
    </xf>
    <xf numFmtId="0" fontId="138" fillId="0" borderId="0" xfId="0" applyFont="1" applyAlignment="1">
      <alignment horizontal="center" vertical="center" wrapText="1"/>
    </xf>
    <xf numFmtId="175" fontId="138" fillId="0" borderId="0" xfId="0" applyNumberFormat="1" applyFont="1" applyAlignment="1">
      <alignment horizontal="center" vertical="center" wrapText="1"/>
    </xf>
    <xf numFmtId="0" fontId="139" fillId="0" borderId="0" xfId="0" applyFont="1" applyAlignment="1">
      <alignment horizontal="center" vertical="center"/>
    </xf>
    <xf numFmtId="175" fontId="138" fillId="0" borderId="0" xfId="0" applyNumberFormat="1" applyFont="1" applyAlignment="1">
      <alignment horizontal="right" vertical="top" wrapText="1"/>
    </xf>
    <xf numFmtId="0" fontId="139" fillId="0" borderId="0" xfId="0" applyFont="1"/>
    <xf numFmtId="0" fontId="138" fillId="0" borderId="0" xfId="0" applyFont="1" applyAlignment="1">
      <alignment vertical="top" wrapText="1"/>
    </xf>
    <xf numFmtId="222" fontId="138" fillId="0" borderId="0" xfId="0" applyNumberFormat="1" applyFont="1" applyAlignment="1">
      <alignment horizontal="left" vertical="top" wrapText="1"/>
    </xf>
    <xf numFmtId="1" fontId="138" fillId="0" borderId="0" xfId="0" applyNumberFormat="1" applyFont="1" applyAlignment="1">
      <alignment horizontal="left" vertical="top" wrapText="1"/>
    </xf>
    <xf numFmtId="170" fontId="138" fillId="0" borderId="0" xfId="0" applyNumberFormat="1" applyFont="1" applyAlignment="1">
      <alignment horizontal="right" vertical="top" wrapText="1"/>
    </xf>
    <xf numFmtId="0" fontId="130" fillId="0" borderId="0" xfId="0" applyFont="1" applyAlignment="1">
      <alignment vertical="center" wrapText="1"/>
    </xf>
    <xf numFmtId="0" fontId="130" fillId="0" borderId="63" xfId="0" applyFont="1" applyBorder="1" applyAlignment="1">
      <alignment vertical="center" wrapText="1"/>
    </xf>
    <xf numFmtId="14" fontId="130" fillId="0" borderId="0" xfId="0" applyNumberFormat="1" applyFont="1" applyAlignment="1">
      <alignment vertical="center" wrapText="1"/>
    </xf>
    <xf numFmtId="0" fontId="130" fillId="5" borderId="0" xfId="0" applyFont="1" applyFill="1" applyAlignment="1">
      <alignment horizontal="right" vertical="top" wrapText="1"/>
    </xf>
    <xf numFmtId="0" fontId="155" fillId="0" borderId="0" xfId="0" applyFont="1" applyAlignment="1">
      <alignment horizontal="left" indent="1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79" fontId="16" fillId="2" borderId="0" xfId="0" applyNumberFormat="1" applyFont="1" applyFill="1" applyAlignment="1">
      <alignment horizontal="center" vertical="center" wrapText="1"/>
    </xf>
    <xf numFmtId="14" fontId="37" fillId="2" borderId="2" xfId="0" applyNumberFormat="1" applyFont="1" applyFill="1" applyBorder="1" applyAlignment="1">
      <alignment horizontal="center" vertical="center" wrapText="1"/>
    </xf>
    <xf numFmtId="14" fontId="14" fillId="2" borderId="0" xfId="0" applyNumberFormat="1" applyFont="1" applyFill="1" applyAlignment="1">
      <alignment vertical="center" wrapText="1"/>
    </xf>
    <xf numFmtId="165" fontId="14" fillId="2" borderId="0" xfId="0" applyNumberFormat="1" applyFont="1" applyFill="1" applyAlignment="1">
      <alignment horizontal="center" vertical="center" wrapText="1"/>
    </xf>
    <xf numFmtId="49" fontId="37" fillId="2" borderId="0" xfId="0" applyNumberFormat="1" applyFont="1" applyFill="1" applyAlignment="1">
      <alignment horizontal="center" vertical="center" wrapText="1"/>
    </xf>
    <xf numFmtId="173" fontId="14" fillId="2" borderId="0" xfId="0" applyNumberFormat="1" applyFont="1" applyFill="1" applyAlignment="1">
      <alignment horizontal="center" vertical="center" wrapText="1"/>
    </xf>
    <xf numFmtId="166" fontId="14" fillId="2" borderId="0" xfId="0" applyNumberFormat="1" applyFont="1" applyFill="1" applyAlignment="1">
      <alignment horizontal="center" vertical="center" wrapText="1"/>
    </xf>
    <xf numFmtId="179" fontId="37" fillId="2" borderId="0" xfId="0" applyNumberFormat="1" applyFont="1" applyFill="1" applyAlignment="1">
      <alignment horizontal="center" vertical="center" wrapText="1"/>
    </xf>
    <xf numFmtId="168" fontId="12" fillId="0" borderId="64" xfId="0" applyNumberFormat="1" applyFont="1" applyBorder="1" applyAlignment="1">
      <alignment vertical="center" wrapText="1"/>
    </xf>
    <xf numFmtId="176" fontId="12" fillId="2" borderId="3" xfId="0" applyNumberFormat="1" applyFont="1" applyFill="1" applyBorder="1" applyAlignment="1">
      <alignment vertical="center" wrapText="1"/>
    </xf>
    <xf numFmtId="176" fontId="12" fillId="2" borderId="3" xfId="0" applyNumberFormat="1" applyFont="1" applyFill="1" applyBorder="1" applyAlignment="1">
      <alignment horizontal="right" vertical="center" wrapText="1"/>
    </xf>
    <xf numFmtId="0" fontId="19" fillId="88" borderId="3" xfId="0" applyFont="1" applyFill="1" applyBorder="1" applyAlignment="1">
      <alignment horizontal="center" vertical="center" wrapText="1"/>
    </xf>
    <xf numFmtId="172" fontId="19" fillId="88" borderId="3" xfId="0" applyNumberFormat="1" applyFont="1" applyFill="1" applyBorder="1" applyAlignment="1">
      <alignment vertical="center" wrapText="1"/>
    </xf>
    <xf numFmtId="168" fontId="19" fillId="88" borderId="3" xfId="0" applyNumberFormat="1" applyFont="1" applyFill="1" applyBorder="1" applyAlignment="1">
      <alignment vertical="center" wrapText="1"/>
    </xf>
    <xf numFmtId="169" fontId="19" fillId="88" borderId="3" xfId="0" applyNumberFormat="1" applyFont="1" applyFill="1" applyBorder="1" applyAlignment="1">
      <alignment vertical="center" wrapText="1"/>
    </xf>
    <xf numFmtId="0" fontId="35" fillId="88" borderId="3" xfId="0" applyFont="1" applyFill="1" applyBorder="1" applyAlignment="1">
      <alignment horizontal="center" vertical="center" wrapText="1"/>
    </xf>
    <xf numFmtId="0" fontId="19" fillId="88" borderId="61" xfId="0" applyFont="1" applyFill="1" applyBorder="1" applyAlignment="1">
      <alignment horizontal="center" vertical="center" wrapText="1"/>
    </xf>
    <xf numFmtId="168" fontId="149" fillId="2" borderId="0" xfId="0" applyNumberFormat="1" applyFont="1" applyFill="1" applyAlignment="1">
      <alignment vertical="center" wrapText="1"/>
    </xf>
    <xf numFmtId="170" fontId="0" fillId="4" borderId="0" xfId="0" applyNumberFormat="1" applyFill="1"/>
    <xf numFmtId="14" fontId="12" fillId="2" borderId="3" xfId="0" applyNumberFormat="1" applyFont="1" applyFill="1" applyBorder="1" applyAlignment="1">
      <alignment horizontal="center" vertical="center" wrapText="1"/>
    </xf>
    <xf numFmtId="14" fontId="19" fillId="2" borderId="3" xfId="0" applyNumberFormat="1" applyFont="1" applyFill="1" applyBorder="1" applyAlignment="1">
      <alignment horizontal="center" vertical="center" wrapText="1"/>
    </xf>
    <xf numFmtId="2" fontId="0" fillId="0" borderId="0" xfId="0" applyNumberFormat="1"/>
    <xf numFmtId="176" fontId="19" fillId="88" borderId="62" xfId="0" applyNumberFormat="1" applyFont="1" applyFill="1" applyBorder="1" applyAlignment="1">
      <alignment vertical="center" wrapText="1"/>
    </xf>
    <xf numFmtId="176" fontId="19" fillId="88" borderId="3" xfId="0" applyNumberFormat="1" applyFont="1" applyFill="1" applyBorder="1" applyAlignment="1">
      <alignment vertical="center" wrapText="1"/>
    </xf>
    <xf numFmtId="0" fontId="33" fillId="0" borderId="0" xfId="2" applyFont="1" applyAlignment="1">
      <alignment horizontal="center"/>
    </xf>
    <xf numFmtId="0" fontId="31" fillId="4" borderId="6" xfId="0" applyFont="1" applyFill="1" applyBorder="1" applyAlignment="1">
      <alignment horizontal="center" wrapText="1"/>
    </xf>
    <xf numFmtId="0" fontId="31" fillId="4" borderId="7" xfId="0" applyFont="1" applyFill="1" applyBorder="1" applyAlignment="1">
      <alignment horizontal="center" wrapText="1"/>
    </xf>
    <xf numFmtId="0" fontId="31" fillId="4" borderId="8" xfId="0" applyFont="1" applyFill="1" applyBorder="1" applyAlignment="1">
      <alignment horizontal="center" wrapText="1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75" fontId="31" fillId="0" borderId="10" xfId="0" applyNumberFormat="1" applyFont="1" applyBorder="1" applyAlignment="1">
      <alignment horizontal="center" vertical="center"/>
    </xf>
    <xf numFmtId="175" fontId="31" fillId="0" borderId="13" xfId="0" applyNumberFormat="1" applyFont="1" applyBorder="1" applyAlignment="1">
      <alignment horizontal="center" vertical="center"/>
    </xf>
    <xf numFmtId="0" fontId="31" fillId="4" borderId="14" xfId="0" applyFont="1" applyFill="1" applyBorder="1" applyAlignment="1">
      <alignment horizontal="center" wrapText="1"/>
    </xf>
    <xf numFmtId="0" fontId="31" fillId="4" borderId="15" xfId="0" applyFont="1" applyFill="1" applyBorder="1" applyAlignment="1">
      <alignment horizontal="center" wrapText="1"/>
    </xf>
    <xf numFmtId="0" fontId="31" fillId="4" borderId="16" xfId="0" applyFont="1" applyFill="1" applyBorder="1" applyAlignment="1">
      <alignment horizontal="center" wrapText="1"/>
    </xf>
    <xf numFmtId="0" fontId="31" fillId="4" borderId="14" xfId="0" applyFont="1" applyFill="1" applyBorder="1" applyAlignment="1">
      <alignment horizontal="center" vertical="center" wrapText="1"/>
    </xf>
    <xf numFmtId="0" fontId="31" fillId="4" borderId="9" xfId="0" applyFont="1" applyFill="1" applyBorder="1" applyAlignment="1">
      <alignment horizontal="center" vertical="center" wrapText="1"/>
    </xf>
    <xf numFmtId="175" fontId="31" fillId="4" borderId="16" xfId="0" applyNumberFormat="1" applyFont="1" applyFill="1" applyBorder="1" applyAlignment="1">
      <alignment horizontal="center" vertical="center" wrapText="1"/>
    </xf>
    <xf numFmtId="175" fontId="31" fillId="4" borderId="10" xfId="0" applyNumberFormat="1" applyFont="1" applyFill="1" applyBorder="1" applyAlignment="1">
      <alignment horizontal="center" vertical="center" wrapText="1"/>
    </xf>
    <xf numFmtId="0" fontId="36" fillId="2" borderId="0" xfId="0" applyFont="1" applyFill="1" applyAlignment="1">
      <alignment horizontal="left" vertical="center" wrapText="1"/>
    </xf>
    <xf numFmtId="0" fontId="20" fillId="2" borderId="0" xfId="0" applyFont="1" applyFill="1" applyAlignment="1">
      <alignment horizontal="center" vertical="center" wrapText="1"/>
    </xf>
    <xf numFmtId="0" fontId="22" fillId="2" borderId="5" xfId="0" applyFont="1" applyFill="1" applyBorder="1" applyAlignment="1">
      <alignment horizontal="left" vertical="center" wrapText="1"/>
    </xf>
    <xf numFmtId="0" fontId="22" fillId="2" borderId="0" xfId="0" applyFont="1" applyFill="1" applyAlignment="1">
      <alignment horizontal="left" vertical="center" wrapText="1"/>
    </xf>
    <xf numFmtId="0" fontId="39" fillId="2" borderId="0" xfId="0" applyFont="1" applyFill="1" applyAlignment="1">
      <alignment horizontal="left" vertical="center" wrapText="1"/>
    </xf>
    <xf numFmtId="0" fontId="22" fillId="2" borderId="0" xfId="0" applyFont="1" applyFill="1" applyAlignment="1">
      <alignment horizontal="center" vertical="center" wrapText="1"/>
    </xf>
    <xf numFmtId="0" fontId="23" fillId="2" borderId="0" xfId="0" applyFont="1" applyFill="1" applyAlignment="1">
      <alignment horizontal="center" vertical="center" wrapText="1"/>
    </xf>
    <xf numFmtId="1" fontId="27" fillId="86" borderId="52" xfId="0" applyNumberFormat="1" applyFont="1" applyFill="1" applyBorder="1" applyAlignment="1">
      <alignment horizontal="right" vertical="top"/>
    </xf>
    <xf numFmtId="0" fontId="27" fillId="86" borderId="57" xfId="0" applyFont="1" applyFill="1" applyBorder="1" applyAlignment="1">
      <alignment horizontal="right" vertical="top"/>
    </xf>
    <xf numFmtId="0" fontId="130" fillId="84" borderId="53" xfId="0" applyFont="1" applyFill="1" applyBorder="1" applyAlignment="1">
      <alignment horizontal="left" vertical="top"/>
    </xf>
    <xf numFmtId="3" fontId="27" fillId="86" borderId="52" xfId="0" applyNumberFormat="1" applyFont="1" applyFill="1" applyBorder="1" applyAlignment="1">
      <alignment horizontal="right" vertical="top"/>
    </xf>
    <xf numFmtId="3" fontId="132" fillId="86" borderId="52" xfId="0" applyNumberFormat="1" applyFont="1" applyFill="1" applyBorder="1" applyAlignment="1">
      <alignment horizontal="right" vertical="top"/>
    </xf>
    <xf numFmtId="0" fontId="132" fillId="86" borderId="57" xfId="0" applyFont="1" applyFill="1" applyBorder="1" applyAlignment="1">
      <alignment horizontal="right" vertical="top"/>
    </xf>
    <xf numFmtId="1" fontId="27" fillId="86" borderId="52" xfId="0" applyNumberFormat="1" applyFont="1" applyFill="1" applyBorder="1" applyAlignment="1">
      <alignment horizontal="right" vertical="top" wrapText="1"/>
    </xf>
    <xf numFmtId="0" fontId="27" fillId="86" borderId="57" xfId="0" applyFont="1" applyFill="1" applyBorder="1" applyAlignment="1">
      <alignment horizontal="right" vertical="top" wrapText="1"/>
    </xf>
    <xf numFmtId="0" fontId="27" fillId="86" borderId="52" xfId="0" applyFont="1" applyFill="1" applyBorder="1" applyAlignment="1">
      <alignment horizontal="left" vertical="top" wrapText="1"/>
    </xf>
    <xf numFmtId="0" fontId="27" fillId="86" borderId="58" xfId="0" applyFont="1" applyFill="1" applyBorder="1" applyAlignment="1">
      <alignment horizontal="left" vertical="top" wrapText="1"/>
    </xf>
    <xf numFmtId="0" fontId="27" fillId="86" borderId="59" xfId="0" applyFont="1" applyFill="1" applyBorder="1" applyAlignment="1">
      <alignment horizontal="left" vertical="top" wrapText="1"/>
    </xf>
    <xf numFmtId="0" fontId="27" fillId="86" borderId="60" xfId="0" applyFont="1" applyFill="1" applyBorder="1" applyAlignment="1">
      <alignment horizontal="left" vertical="top" wrapText="1"/>
    </xf>
    <xf numFmtId="0" fontId="27" fillId="86" borderId="57" xfId="0" applyFont="1" applyFill="1" applyBorder="1" applyAlignment="1">
      <alignment horizontal="left" vertical="top" wrapText="1"/>
    </xf>
    <xf numFmtId="0" fontId="131" fillId="86" borderId="52" xfId="0" applyFont="1" applyFill="1" applyBorder="1" applyAlignment="1">
      <alignment horizontal="left" vertical="top" wrapText="1"/>
    </xf>
    <xf numFmtId="0" fontId="131" fillId="86" borderId="57" xfId="0" applyFont="1" applyFill="1" applyBorder="1" applyAlignment="1">
      <alignment horizontal="left" vertical="top" wrapText="1"/>
    </xf>
    <xf numFmtId="3" fontId="27" fillId="0" borderId="52" xfId="0" applyNumberFormat="1" applyFont="1" applyBorder="1" applyAlignment="1">
      <alignment horizontal="right" vertical="top"/>
    </xf>
    <xf numFmtId="0" fontId="27" fillId="0" borderId="57" xfId="0" applyFont="1" applyBorder="1" applyAlignment="1">
      <alignment horizontal="right" vertical="top"/>
    </xf>
    <xf numFmtId="1" fontId="27" fillId="0" borderId="52" xfId="0" applyNumberFormat="1" applyFont="1" applyBorder="1" applyAlignment="1">
      <alignment horizontal="right" vertical="top"/>
    </xf>
    <xf numFmtId="1" fontId="27" fillId="0" borderId="52" xfId="0" applyNumberFormat="1" applyFont="1" applyBorder="1" applyAlignment="1">
      <alignment horizontal="right" vertical="top" wrapText="1"/>
    </xf>
    <xf numFmtId="0" fontId="27" fillId="0" borderId="57" xfId="0" applyFont="1" applyBorder="1" applyAlignment="1">
      <alignment horizontal="right" vertical="top" wrapText="1"/>
    </xf>
    <xf numFmtId="0" fontId="27" fillId="0" borderId="52" xfId="0" applyFont="1" applyBorder="1" applyAlignment="1">
      <alignment horizontal="left" vertical="top" wrapText="1"/>
    </xf>
    <xf numFmtId="0" fontId="27" fillId="0" borderId="58" xfId="0" applyFont="1" applyBorder="1" applyAlignment="1">
      <alignment horizontal="left" vertical="top" wrapText="1"/>
    </xf>
    <xf numFmtId="0" fontId="27" fillId="0" borderId="59" xfId="0" applyFont="1" applyBorder="1" applyAlignment="1">
      <alignment horizontal="left" vertical="top" wrapText="1"/>
    </xf>
    <xf numFmtId="0" fontId="27" fillId="0" borderId="60" xfId="0" applyFont="1" applyBorder="1" applyAlignment="1">
      <alignment horizontal="left" vertical="top" wrapText="1"/>
    </xf>
    <xf numFmtId="0" fontId="27" fillId="0" borderId="57" xfId="0" applyFont="1" applyBorder="1" applyAlignment="1">
      <alignment horizontal="left" vertical="top" wrapText="1"/>
    </xf>
    <xf numFmtId="0" fontId="131" fillId="0" borderId="52" xfId="0" applyFont="1" applyBorder="1" applyAlignment="1">
      <alignment horizontal="left" vertical="top" wrapText="1"/>
    </xf>
    <xf numFmtId="0" fontId="131" fillId="0" borderId="57" xfId="0" applyFont="1" applyBorder="1" applyAlignment="1">
      <alignment horizontal="left" vertical="top" wrapText="1"/>
    </xf>
    <xf numFmtId="3" fontId="132" fillId="85" borderId="52" xfId="0" applyNumberFormat="1" applyFont="1" applyFill="1" applyBorder="1" applyAlignment="1">
      <alignment horizontal="right" vertical="top"/>
    </xf>
    <xf numFmtId="0" fontId="132" fillId="85" borderId="57" xfId="0" applyFont="1" applyFill="1" applyBorder="1" applyAlignment="1">
      <alignment horizontal="right" vertical="top"/>
    </xf>
    <xf numFmtId="0" fontId="27" fillId="0" borderId="52" xfId="0" applyFont="1" applyBorder="1" applyAlignment="1">
      <alignment horizontal="right" vertical="top"/>
    </xf>
    <xf numFmtId="0" fontId="130" fillId="84" borderId="52" xfId="0" applyFont="1" applyFill="1" applyBorder="1" applyAlignment="1">
      <alignment horizontal="left" vertical="top" wrapText="1"/>
    </xf>
    <xf numFmtId="0" fontId="130" fillId="84" borderId="54" xfId="0" applyFont="1" applyFill="1" applyBorder="1" applyAlignment="1">
      <alignment horizontal="left" vertical="top" wrapText="1"/>
    </xf>
    <xf numFmtId="0" fontId="130" fillId="84" borderId="57" xfId="0" applyFont="1" applyFill="1" applyBorder="1" applyAlignment="1">
      <alignment horizontal="left" vertical="top" wrapText="1"/>
    </xf>
    <xf numFmtId="0" fontId="130" fillId="84" borderId="55" xfId="0" applyFont="1" applyFill="1" applyBorder="1" applyAlignment="1">
      <alignment horizontal="left" vertical="top" wrapText="1"/>
    </xf>
    <xf numFmtId="0" fontId="130" fillId="84" borderId="0" xfId="0" applyFont="1" applyFill="1" applyAlignment="1">
      <alignment horizontal="left" vertical="top" wrapText="1"/>
    </xf>
    <xf numFmtId="0" fontId="130" fillId="84" borderId="56" xfId="0" applyFont="1" applyFill="1" applyBorder="1" applyAlignment="1">
      <alignment horizontal="left" vertical="top" wrapText="1"/>
    </xf>
    <xf numFmtId="0" fontId="130" fillId="84" borderId="58" xfId="0" applyFont="1" applyFill="1" applyBorder="1" applyAlignment="1">
      <alignment horizontal="left" vertical="top" wrapText="1"/>
    </xf>
    <xf numFmtId="0" fontId="130" fillId="84" borderId="59" xfId="0" applyFont="1" applyFill="1" applyBorder="1" applyAlignment="1">
      <alignment horizontal="left" vertical="top" wrapText="1"/>
    </xf>
    <xf numFmtId="0" fontId="130" fillId="84" borderId="60" xfId="0" applyFont="1" applyFill="1" applyBorder="1" applyAlignment="1">
      <alignment horizontal="left" vertical="top" wrapText="1"/>
    </xf>
    <xf numFmtId="0" fontId="123" fillId="2" borderId="0" xfId="0" applyFont="1" applyFill="1" applyAlignment="1">
      <alignment horizontal="left" vertical="center" wrapText="1"/>
    </xf>
    <xf numFmtId="0" fontId="50" fillId="2" borderId="0" xfId="0" applyFont="1" applyFill="1" applyAlignment="1">
      <alignment horizontal="left" vertical="center" wrapText="1"/>
    </xf>
  </cellXfs>
  <cellStyles count="47302">
    <cellStyle name="% выполнения" xfId="32" xr:uid="{B28C1105-271E-477D-9FC9-769EB7B03398}"/>
    <cellStyle name="_FFF" xfId="48" xr:uid="{BE14126E-1F23-4866-A470-3CBD28164333}"/>
    <cellStyle name="_FFF 1" xfId="49" xr:uid="{B32FED3D-16B2-41D0-80FE-5E53172D1E0E}"/>
    <cellStyle name="_FFF 1_Копия Растениеводство форма(Акционеры)" xfId="50" xr:uid="{58ADB52C-9CBF-4F76-8C83-9EEEC227DAF3}"/>
    <cellStyle name="_FFF 1_М( ЗАР)" xfId="51" xr:uid="{D73D5AA5-7ED3-446D-B933-4262068FD71A}"/>
    <cellStyle name="_FFF 1_Модель АгроГард на 5 лет" xfId="52" xr:uid="{D1C9821F-FD83-4E44-8B7C-5CA9CAEB7993}"/>
    <cellStyle name="_FFF 1_раст.-факт" xfId="53" xr:uid="{27995591-DF71-4B65-BD65-25B5B5D15916}"/>
    <cellStyle name="_FFF 1_Растениеводство форма( АГМ)" xfId="54" xr:uid="{FA743137-2A2F-455C-8790-429A3A521948}"/>
    <cellStyle name="_FFF 1_Свод по Агрохоолдингу  (в т.ч КБН  )" xfId="55" xr:uid="{C7AF38A4-FFB1-42A6-B2DB-7AAA9F09317E}"/>
    <cellStyle name="_FFF 1_Форма по растениеводству (Акционеры) ИЛЧ" xfId="56" xr:uid="{7B3DB886-6CDC-4A91-9161-DA16339FD4D1}"/>
    <cellStyle name="_FFF 2" xfId="57" xr:uid="{337F9BAE-72AF-4443-849B-C4FB957F7D92}"/>
    <cellStyle name="_FFF 2_Копия Растениеводство форма(Акционеры)" xfId="58" xr:uid="{912B4470-5F64-4EA1-9D84-2F1E23BF5486}"/>
    <cellStyle name="_FFF 2_М( ЗАР)" xfId="59" xr:uid="{3EBCE1A5-33F3-44C0-AFE4-EA07F434F2BA}"/>
    <cellStyle name="_FFF 2_Модель АгроГард на 5 лет" xfId="60" xr:uid="{35CBF23E-6992-462E-90D1-9618EFF87894}"/>
    <cellStyle name="_FFF 2_раст.-факт" xfId="61" xr:uid="{F26D171C-9637-4B7E-9633-F657FA6881CC}"/>
    <cellStyle name="_FFF 2_Растениеводство форма( АГМ)" xfId="62" xr:uid="{AD9F875F-0313-4D00-B657-2F8719300BEE}"/>
    <cellStyle name="_FFF 2_Свод по Агрохоолдингу  (в т.ч КБН  )" xfId="63" xr:uid="{C229046B-BB35-4DF8-9295-4D19398CFC52}"/>
    <cellStyle name="_FFF 2_Форма по растениеводству (Акционеры) ИЛЧ" xfId="64" xr:uid="{DEC1A126-C437-458C-BBC4-ECC73DF99158}"/>
    <cellStyle name="_FFF 3" xfId="65" xr:uid="{762D637A-381E-4CA4-9360-5BA1C760C13C}"/>
    <cellStyle name="_FFF 3_Копия Растениеводство форма(Акционеры)" xfId="66" xr:uid="{88B23A50-E6AA-4362-94EF-D2241E22FEC1}"/>
    <cellStyle name="_FFF 3_М( ЗАР)" xfId="67" xr:uid="{EB37D3C4-531F-4F71-91C8-F3EBA4DF411F}"/>
    <cellStyle name="_FFF 3_Модель АгроГард на 5 лет" xfId="68" xr:uid="{2234436D-D46F-45C8-9F84-46724DAFDBC5}"/>
    <cellStyle name="_FFF 3_раст.-факт" xfId="69" xr:uid="{5E0A4AEE-72F8-40D7-B038-7BA736816A6A}"/>
    <cellStyle name="_FFF 3_Растениеводство форма( АГМ)" xfId="70" xr:uid="{067E9C0A-E278-47BF-B634-41C1CB7A250A}"/>
    <cellStyle name="_FFF 3_Свод по Агрохоолдингу  (в т.ч КБН  )" xfId="71" xr:uid="{D622E364-7AC1-43D7-BD82-184BA985A4AF}"/>
    <cellStyle name="_FFF 3_Форма по растениеводству (Акционеры) ИЛЧ" xfId="72" xr:uid="{F3330D21-4EEC-4B5F-A25B-851B1987228B}"/>
    <cellStyle name="_FFF_New Form10_2" xfId="73" xr:uid="{5656AA4D-7BCA-4746-8220-D4FA6382639E}"/>
    <cellStyle name="_FFF_New Form10_2 1" xfId="74" xr:uid="{B8D54581-C57B-4B5E-835A-E3C8927A0348}"/>
    <cellStyle name="_FFF_New Form10_2 1_Копия Растениеводство форма(Акционеры)" xfId="75" xr:uid="{4CA86C2B-2419-4D64-89A7-95D79E77C881}"/>
    <cellStyle name="_FFF_New Form10_2 1_М( ЗАР)" xfId="76" xr:uid="{113A2883-D318-4A39-9D65-498BF10DEB90}"/>
    <cellStyle name="_FFF_New Form10_2 1_Модель АгроГард на 5 лет" xfId="77" xr:uid="{1DDD87B8-7602-4D75-8E27-889A3B37EC4E}"/>
    <cellStyle name="_FFF_New Form10_2 1_раст.-факт" xfId="78" xr:uid="{61E5AE9A-72C4-4FA0-B09A-3BCA69791C62}"/>
    <cellStyle name="_FFF_New Form10_2 1_Растениеводство форма( АГМ)" xfId="79" xr:uid="{79F2143B-94A7-47B7-862B-332DFBD34423}"/>
    <cellStyle name="_FFF_New Form10_2 1_Свод по Агрохоолдингу  (в т.ч КБН  )" xfId="80" xr:uid="{691CC865-7767-45F4-A9A4-99D43D30D552}"/>
    <cellStyle name="_FFF_New Form10_2 1_Форма по растениеводству (Акционеры) ИЛЧ" xfId="81" xr:uid="{FF62388E-6D03-4FEC-B994-706B9237C181}"/>
    <cellStyle name="_FFF_New Form10_2 2" xfId="82" xr:uid="{5E3C2C2B-98A8-4FE2-A821-5654CD6FBA8B}"/>
    <cellStyle name="_FFF_New Form10_2 2_Копия Растениеводство форма(Акционеры)" xfId="83" xr:uid="{6A48DE03-0FC7-431E-A3BB-DD2B7C14B6B6}"/>
    <cellStyle name="_FFF_New Form10_2 2_М( ЗАР)" xfId="84" xr:uid="{A6BD2D58-4F33-47D6-8F96-DB8B52A3BF86}"/>
    <cellStyle name="_FFF_New Form10_2 2_Модель АгроГард на 5 лет" xfId="85" xr:uid="{E8A53953-5ADF-46EC-9433-15F4B288BCF3}"/>
    <cellStyle name="_FFF_New Form10_2 2_раст.-факт" xfId="86" xr:uid="{269F807C-3B9B-4788-A07E-F5F7CA75B5E6}"/>
    <cellStyle name="_FFF_New Form10_2 2_Растениеводство форма( АГМ)" xfId="87" xr:uid="{5DAA5914-DA26-49BD-80B4-B7486F3EEFDE}"/>
    <cellStyle name="_FFF_New Form10_2 2_Свод по Агрохоолдингу  (в т.ч КБН  )" xfId="88" xr:uid="{7338D8E8-A330-4B78-B275-687655E84EE5}"/>
    <cellStyle name="_FFF_New Form10_2 2_Форма по растениеводству (Акционеры) ИЛЧ" xfId="89" xr:uid="{A10289AD-3C24-4244-8C38-AF100347CE08}"/>
    <cellStyle name="_FFF_New Form10_2 3" xfId="90" xr:uid="{38E5C06D-4CE7-4404-A4EC-D20C476E65EE}"/>
    <cellStyle name="_FFF_New Form10_2 3_Копия Растениеводство форма(Акционеры)" xfId="91" xr:uid="{C59336F0-14E0-4080-BB93-834D2708B7DF}"/>
    <cellStyle name="_FFF_New Form10_2 3_М( ЗАР)" xfId="92" xr:uid="{AE66B0E4-7546-404B-8ED4-EA06566C781F}"/>
    <cellStyle name="_FFF_New Form10_2 3_Модель АгроГард на 5 лет" xfId="93" xr:uid="{C976F1CA-7E90-4629-829D-2F87A6AD9889}"/>
    <cellStyle name="_FFF_New Form10_2 3_раст.-факт" xfId="94" xr:uid="{16211991-C585-4BE2-A52E-93271800BC47}"/>
    <cellStyle name="_FFF_New Form10_2 3_Растениеводство форма( АГМ)" xfId="95" xr:uid="{AC6C8F41-897C-40FF-9E30-360B1769ABC0}"/>
    <cellStyle name="_FFF_New Form10_2 3_Свод по Агрохоолдингу  (в т.ч КБН  )" xfId="96" xr:uid="{76632E7B-53C0-4979-8C4B-361D7EBB2770}"/>
    <cellStyle name="_FFF_New Form10_2 3_Форма по растениеводству (Акционеры) ИЛЧ" xfId="97" xr:uid="{B09DD12A-75B9-48CF-A17E-EDB80596C1E3}"/>
    <cellStyle name="_FFF_New Form10_2_АГМ" xfId="98" xr:uid="{E0E92AA2-B50C-424F-B060-39C15DB9F1A5}"/>
    <cellStyle name="_FFF_New Form10_2_Копия Растениеводство форма(Акционеры)" xfId="99" xr:uid="{E3794323-B1EF-4A5F-9A19-A90AC38CB333}"/>
    <cellStyle name="_FFF_New Form10_2_М( ЗАР)" xfId="100" xr:uid="{B2A5EB0B-27D1-45FB-B140-5807C7DF8523}"/>
    <cellStyle name="_FFF_New Form10_2_Модель АгроГард на 5 лет" xfId="101" xr:uid="{55E398D9-4920-407D-A234-B42A0E75992A}"/>
    <cellStyle name="_FFF_New Form10_2_НИК-09" xfId="102" xr:uid="{88914C2B-A577-4E6D-8DD1-471716A3C12B}"/>
    <cellStyle name="_FFF_New Form10_2_НИК-09 2" xfId="10206" xr:uid="{B7EB970E-9AC2-4C06-A9B5-5EBEEC973538}"/>
    <cellStyle name="_FFF_New Form10_2_раст.-факт" xfId="103" xr:uid="{EB9489B7-9307-454A-A1E4-89D60FC602C1}"/>
    <cellStyle name="_FFF_New Form10_2_Растениеводство форма( АГМ)" xfId="104" xr:uid="{9B0E47B8-C26D-415C-B50B-BBCE1D0AF5E8}"/>
    <cellStyle name="_FFF_New Form10_2_Свод по Агрохоолдингу  (в т.ч КБН  )" xfId="105" xr:uid="{37496564-C8A7-4E88-963B-6320C6EE45DB}"/>
    <cellStyle name="_FFF_New Form10_2_ТК-2011 АГМ+транспорт" xfId="106" xr:uid="{5FE63923-36D4-41E4-A628-BA8B96E1CB5E}"/>
    <cellStyle name="_FFF_New Form10_2_Форма по растениеводству (Акционеры) ИЛЧ" xfId="107" xr:uid="{A49E2882-C561-4B51-8008-81BA1DE84B2D}"/>
    <cellStyle name="_FFF_Nsi" xfId="108" xr:uid="{F5B1717B-1A3B-403D-9952-BDAACE7867C9}"/>
    <cellStyle name="_FFF_Nsi 1" xfId="109" xr:uid="{568272CB-4849-4467-B960-EE6F68A2AC75}"/>
    <cellStyle name="_FFF_Nsi 1_Копия Растениеводство форма(Акционеры)" xfId="110" xr:uid="{24F2521C-5833-479B-B0A5-8E5C26EF30A8}"/>
    <cellStyle name="_FFF_Nsi 1_М( ЗАР)" xfId="111" xr:uid="{715607DA-EC5A-4536-87AA-B70DE8CC8FA9}"/>
    <cellStyle name="_FFF_Nsi 1_Модель АгроГард на 5 лет" xfId="112" xr:uid="{394C0F26-4B1F-45F8-97D6-26431589028C}"/>
    <cellStyle name="_FFF_Nsi 1_раст.-факт" xfId="113" xr:uid="{8D05CA9B-0E99-4D8F-9E69-1006A947B7CC}"/>
    <cellStyle name="_FFF_Nsi 1_Растениеводство форма( АГМ)" xfId="114" xr:uid="{37C69938-E8F3-4E0D-BB1C-92046344F009}"/>
    <cellStyle name="_FFF_Nsi 1_Свод по Агрохоолдингу  (в т.ч КБН  )" xfId="115" xr:uid="{F0401881-4E73-446D-AE18-36F3EB6FCA74}"/>
    <cellStyle name="_FFF_Nsi 1_Форма по растениеводству (Акционеры) ИЛЧ" xfId="116" xr:uid="{72DB9FBB-46F4-4FA4-A04F-7ADF092C224B}"/>
    <cellStyle name="_FFF_Nsi 2" xfId="117" xr:uid="{1674EF87-793C-4E1A-9E12-1C9C1526D4A8}"/>
    <cellStyle name="_FFF_Nsi 2_Копия Растениеводство форма(Акционеры)" xfId="118" xr:uid="{40585CBB-97A7-4F59-BA01-CE34C4674742}"/>
    <cellStyle name="_FFF_Nsi 2_М( ЗАР)" xfId="119" xr:uid="{0EF19A38-2765-4B5E-8D63-4140C6CD811D}"/>
    <cellStyle name="_FFF_Nsi 2_Модель АгроГард на 5 лет" xfId="120" xr:uid="{53DDF425-AD49-4657-B0DE-0DA9A5CB0BF7}"/>
    <cellStyle name="_FFF_Nsi 2_раст.-факт" xfId="121" xr:uid="{73FD8BFD-2A96-4669-8A77-450A052180DC}"/>
    <cellStyle name="_FFF_Nsi 2_Растениеводство форма( АГМ)" xfId="122" xr:uid="{EEBCF000-A8E4-4EDE-8C0F-3ECE7242DDA3}"/>
    <cellStyle name="_FFF_Nsi 2_Свод по Агрохоолдингу  (в т.ч КБН  )" xfId="123" xr:uid="{99DAD56F-5C5A-4E18-863B-C433383D5C5C}"/>
    <cellStyle name="_FFF_Nsi 2_Форма по растениеводству (Акционеры) ИЛЧ" xfId="124" xr:uid="{BA176D86-1519-41AC-920F-0ED17A5AFC94}"/>
    <cellStyle name="_FFF_Nsi 3" xfId="125" xr:uid="{71CF9975-20F9-4BE3-B2A6-371A029BADBD}"/>
    <cellStyle name="_FFF_Nsi 3_Копия Растениеводство форма(Акционеры)" xfId="126" xr:uid="{868B483E-560C-450C-ADCF-B5820B55FB10}"/>
    <cellStyle name="_FFF_Nsi 3_М( ЗАР)" xfId="127" xr:uid="{9D94D411-A446-47A6-8E96-F1C2C24DC2B6}"/>
    <cellStyle name="_FFF_Nsi 3_Модель АгроГард на 5 лет" xfId="128" xr:uid="{D245E4A5-4D76-401C-9C01-D4F48D0505D1}"/>
    <cellStyle name="_FFF_Nsi 3_раст.-факт" xfId="129" xr:uid="{73CE0716-900D-49DA-8D63-2DF9FD1F1F93}"/>
    <cellStyle name="_FFF_Nsi 3_Растениеводство форма( АГМ)" xfId="130" xr:uid="{E117F1E7-DA08-4DE4-BCA1-66AC405486B5}"/>
    <cellStyle name="_FFF_Nsi 3_Свод по Агрохоолдингу  (в т.ч КБН  )" xfId="131" xr:uid="{0D158B09-A496-4055-94A4-F2D7B0114DC3}"/>
    <cellStyle name="_FFF_Nsi 3_Форма по растениеводству (Акционеры) ИЛЧ" xfId="132" xr:uid="{E5C2EC84-5698-4900-8397-B4595F5C3253}"/>
    <cellStyle name="_FFF_Nsi_1" xfId="133" xr:uid="{1D829274-5FFE-45C7-BDD2-A45BEEFA00DE}"/>
    <cellStyle name="_FFF_Nsi_1 1" xfId="134" xr:uid="{09484C31-5B05-4503-A665-BF7F6CF77EB1}"/>
    <cellStyle name="_FFF_Nsi_1 1_Копия Растениеводство форма(Акционеры)" xfId="135" xr:uid="{A1E98A15-8838-455B-98E2-2572E05F0393}"/>
    <cellStyle name="_FFF_Nsi_1 1_М( ЗАР)" xfId="136" xr:uid="{1ED9156D-4354-4EDD-9D98-7EBC0D4FC280}"/>
    <cellStyle name="_FFF_Nsi_1 1_Модель АгроГард на 5 лет" xfId="137" xr:uid="{8D824395-EFE4-4A7B-BE62-FFA324E3774D}"/>
    <cellStyle name="_FFF_Nsi_1 1_раст.-факт" xfId="138" xr:uid="{E34C611B-B7CF-465F-95B0-A80EF1FC1529}"/>
    <cellStyle name="_FFF_Nsi_1 1_Растениеводство форма( АГМ)" xfId="139" xr:uid="{7880D72A-59B6-4F70-B2B8-AA464977605A}"/>
    <cellStyle name="_FFF_Nsi_1 1_Свод по Агрохоолдингу  (в т.ч КБН  )" xfId="140" xr:uid="{6F13F82A-DB02-438B-A48E-E728912DD637}"/>
    <cellStyle name="_FFF_Nsi_1 1_Форма по растениеводству (Акционеры) ИЛЧ" xfId="141" xr:uid="{ADF213A4-D6B4-4F5E-803F-293D97AB2B73}"/>
    <cellStyle name="_FFF_Nsi_1 2" xfId="142" xr:uid="{54E1DF6E-B3F8-4734-BC62-5A05B1CE764A}"/>
    <cellStyle name="_FFF_Nsi_1 2_Копия Растениеводство форма(Акционеры)" xfId="143" xr:uid="{4C97F387-A0C5-406C-91A3-7629FE0F9A1B}"/>
    <cellStyle name="_FFF_Nsi_1 2_М( ЗАР)" xfId="144" xr:uid="{5F6B1124-4D55-483A-BCE8-9F0801FC55C7}"/>
    <cellStyle name="_FFF_Nsi_1 2_Модель АгроГард на 5 лет" xfId="145" xr:uid="{6C8209D1-3F72-41C5-A96F-B03B1B806D1B}"/>
    <cellStyle name="_FFF_Nsi_1 2_раст.-факт" xfId="146" xr:uid="{6E6FE679-EC06-4B98-8B90-B1E36A6991B8}"/>
    <cellStyle name="_FFF_Nsi_1 2_Растениеводство форма( АГМ)" xfId="147" xr:uid="{A5C774BB-74D1-4F3B-B31F-C3AB8F1E3EFE}"/>
    <cellStyle name="_FFF_Nsi_1 2_Свод по Агрохоолдингу  (в т.ч КБН  )" xfId="148" xr:uid="{E1C76120-EADF-406F-9B1A-7A3D87E20590}"/>
    <cellStyle name="_FFF_Nsi_1 2_Форма по растениеводству (Акционеры) ИЛЧ" xfId="149" xr:uid="{D208EEFD-EB58-45DE-BC69-291E650A86AC}"/>
    <cellStyle name="_FFF_Nsi_1 3" xfId="150" xr:uid="{2D0A72C7-7A96-4171-A736-F42CEC3A6FD8}"/>
    <cellStyle name="_FFF_Nsi_1 3_Копия Растениеводство форма(Акционеры)" xfId="151" xr:uid="{9C804BB2-193F-4F2E-BEF8-0BAFD4306D0D}"/>
    <cellStyle name="_FFF_Nsi_1 3_М( ЗАР)" xfId="152" xr:uid="{2EF1ABAF-FBFA-48C1-A7AB-7BA74541DEE4}"/>
    <cellStyle name="_FFF_Nsi_1 3_Модель АгроГард на 5 лет" xfId="153" xr:uid="{B6D99FAC-66CE-4B4D-B4E3-3210A3E81258}"/>
    <cellStyle name="_FFF_Nsi_1 3_раст.-факт" xfId="154" xr:uid="{F2161C6E-4E11-4EC2-93D8-E44B1BCA7E9F}"/>
    <cellStyle name="_FFF_Nsi_1 3_Растениеводство форма( АГМ)" xfId="155" xr:uid="{33F7CA13-B5F2-4E34-A0CF-D212608D35FB}"/>
    <cellStyle name="_FFF_Nsi_1 3_Свод по Агрохоолдингу  (в т.ч КБН  )" xfId="156" xr:uid="{8B8BCC8F-50DD-4960-9BA7-93AEA34747C0}"/>
    <cellStyle name="_FFF_Nsi_1 3_Форма по растениеводству (Акционеры) ИЛЧ" xfId="157" xr:uid="{2C4F222C-7A39-4B3D-86E5-8ED691804809}"/>
    <cellStyle name="_FFF_Nsi_1_АГМ" xfId="158" xr:uid="{5E70CB12-6EB6-4ACD-9772-E6B929BB7990}"/>
    <cellStyle name="_FFF_Nsi_1_Копия Растениеводство форма(Акционеры)" xfId="159" xr:uid="{46BA4ECD-C1A1-401E-8895-E64104AEC0DD}"/>
    <cellStyle name="_FFF_Nsi_1_М( ЗАР)" xfId="160" xr:uid="{1295EE37-56FC-44AE-A160-650CC43005C5}"/>
    <cellStyle name="_FFF_Nsi_1_Модель АгроГард на 5 лет" xfId="161" xr:uid="{540B645B-8E9A-4805-BC30-7A280C3EB5F6}"/>
    <cellStyle name="_FFF_Nsi_1_НИК-09" xfId="162" xr:uid="{78122A66-0C22-40C4-863B-DE026F21A551}"/>
    <cellStyle name="_FFF_Nsi_1_НИК-09 2" xfId="10207" xr:uid="{F42A0BC1-DDB2-43C6-A55B-D3E71E57FB1C}"/>
    <cellStyle name="_FFF_Nsi_1_раст.-факт" xfId="163" xr:uid="{CFEBCCCD-8000-488F-AA1C-74B862ACD166}"/>
    <cellStyle name="_FFF_Nsi_1_Растениеводство форма( АГМ)" xfId="164" xr:uid="{F2780370-33BA-4B35-8BA2-9BFF4595BA88}"/>
    <cellStyle name="_FFF_Nsi_1_Свод по Агрохоолдингу  (в т.ч КБН  )" xfId="165" xr:uid="{7FE559A2-8CB3-44E9-992E-34422452AB90}"/>
    <cellStyle name="_FFF_Nsi_1_ТК-2011 АГМ+транспорт" xfId="166" xr:uid="{D99A9709-C879-4C08-8DBB-FC66A54A024A}"/>
    <cellStyle name="_FFF_Nsi_1_Форма по растениеводству (Акционеры) ИЛЧ" xfId="167" xr:uid="{2E701465-5796-4801-BBBF-2E76BC54B649}"/>
    <cellStyle name="_FFF_Nsi_139" xfId="168" xr:uid="{4B169A88-7EC7-429D-9DCD-B2D0681EE1C9}"/>
    <cellStyle name="_FFF_Nsi_139 1" xfId="169" xr:uid="{6A04FF85-0FE4-4B12-B55B-FFAFA3B41748}"/>
    <cellStyle name="_FFF_Nsi_139 1_Копия Растениеводство форма(Акционеры)" xfId="170" xr:uid="{D6B64381-4538-4F8B-B4CF-9E8AE2304210}"/>
    <cellStyle name="_FFF_Nsi_139 1_М( ЗАР)" xfId="171" xr:uid="{5023B66A-6F4D-4B53-B288-7AD067F83750}"/>
    <cellStyle name="_FFF_Nsi_139 1_Модель АгроГард на 5 лет" xfId="172" xr:uid="{59F80542-7471-44F6-A965-AABC9160EDAA}"/>
    <cellStyle name="_FFF_Nsi_139 1_раст.-факт" xfId="173" xr:uid="{72507E30-A1DB-4951-A252-8E539DFB6F90}"/>
    <cellStyle name="_FFF_Nsi_139 1_Растениеводство форма( АГМ)" xfId="174" xr:uid="{82DA2128-06ED-4DE6-85A1-F60E8F3A3670}"/>
    <cellStyle name="_FFF_Nsi_139 1_Свод по Агрохоолдингу  (в т.ч КБН  )" xfId="175" xr:uid="{F8CB7EE1-8A2D-46F8-87DD-68F95674868E}"/>
    <cellStyle name="_FFF_Nsi_139 1_Форма по растениеводству (Акционеры) ИЛЧ" xfId="176" xr:uid="{374DF724-F08B-474D-B67E-A36A20163AB5}"/>
    <cellStyle name="_FFF_Nsi_139 2" xfId="177" xr:uid="{AA1F9F50-834B-4058-918C-0932B4BEAA5D}"/>
    <cellStyle name="_FFF_Nsi_139 2_Копия Растениеводство форма(Акционеры)" xfId="178" xr:uid="{36A6BC4F-2424-4802-AE4C-A239435F660C}"/>
    <cellStyle name="_FFF_Nsi_139 2_М( ЗАР)" xfId="179" xr:uid="{95B67498-BF7D-48DD-91C3-05575FDF3A31}"/>
    <cellStyle name="_FFF_Nsi_139 2_Модель АгроГард на 5 лет" xfId="180" xr:uid="{6B02D2DE-7555-4874-AD70-F5F3B601542F}"/>
    <cellStyle name="_FFF_Nsi_139 2_раст.-факт" xfId="181" xr:uid="{ABC6E1D3-73D3-418C-9A21-478CAC4A1CE5}"/>
    <cellStyle name="_FFF_Nsi_139 2_Растениеводство форма( АГМ)" xfId="182" xr:uid="{6EE63E97-5B00-4BB0-881F-8FAA0F88C1C2}"/>
    <cellStyle name="_FFF_Nsi_139 2_Свод по Агрохоолдингу  (в т.ч КБН  )" xfId="183" xr:uid="{14A2388D-B64A-410C-AAC7-58604AFE46E1}"/>
    <cellStyle name="_FFF_Nsi_139 2_Форма по растениеводству (Акционеры) ИЛЧ" xfId="184" xr:uid="{9B02391A-57E6-46F6-805E-12FDD2B677F6}"/>
    <cellStyle name="_FFF_Nsi_139 3" xfId="185" xr:uid="{600C6346-A079-4CAB-835A-722E3910B3D6}"/>
    <cellStyle name="_FFF_Nsi_139 3_Копия Растениеводство форма(Акционеры)" xfId="186" xr:uid="{F4812E73-2FAD-4F39-B0BE-810BA94DF5CA}"/>
    <cellStyle name="_FFF_Nsi_139 3_М( ЗАР)" xfId="187" xr:uid="{2D48CB16-4E9B-4923-B7DE-E8FE1110BE94}"/>
    <cellStyle name="_FFF_Nsi_139 3_Модель АгроГард на 5 лет" xfId="188" xr:uid="{540A0686-42D2-44FC-910A-7F490F5DE36C}"/>
    <cellStyle name="_FFF_Nsi_139 3_раст.-факт" xfId="189" xr:uid="{20EC9FD1-95A9-4431-B03E-9018080A683F}"/>
    <cellStyle name="_FFF_Nsi_139 3_Растениеводство форма( АГМ)" xfId="190" xr:uid="{20B66E76-D501-4FD1-9843-826D7B4A9CDE}"/>
    <cellStyle name="_FFF_Nsi_139 3_Свод по Агрохоолдингу  (в т.ч КБН  )" xfId="191" xr:uid="{B9C94E17-F8FB-4D9C-BB5C-2FAB62F31572}"/>
    <cellStyle name="_FFF_Nsi_139 3_Форма по растениеводству (Акционеры) ИЛЧ" xfId="192" xr:uid="{F2D12C13-944D-4E3F-8B8F-6E833A4ECB23}"/>
    <cellStyle name="_FFF_Nsi_139_АГМ" xfId="193" xr:uid="{C8646F83-FF31-4B26-933B-7551000147CF}"/>
    <cellStyle name="_FFF_Nsi_139_Копия Растениеводство форма(Акционеры)" xfId="194" xr:uid="{410810EF-7C02-4408-91D7-4105FCA2FC56}"/>
    <cellStyle name="_FFF_Nsi_139_М( ЗАР)" xfId="195" xr:uid="{C1828F31-3A95-4912-87E6-ED5D7B834699}"/>
    <cellStyle name="_FFF_Nsi_139_Модель АгроГард на 5 лет" xfId="196" xr:uid="{A0E648C8-D4BB-4DD1-B6C1-CD23D509C04B}"/>
    <cellStyle name="_FFF_Nsi_139_НИК-09" xfId="197" xr:uid="{B3DD788B-32E3-4E0D-85DD-18367EBC1F76}"/>
    <cellStyle name="_FFF_Nsi_139_НИК-09 2" xfId="10208" xr:uid="{6098DA99-2D4C-4F3B-A059-4EB52BB40392}"/>
    <cellStyle name="_FFF_Nsi_139_раст.-факт" xfId="198" xr:uid="{C80F38DC-0920-4AC4-BA36-B3C8DE6BD79E}"/>
    <cellStyle name="_FFF_Nsi_139_Растениеводство форма( АГМ)" xfId="199" xr:uid="{C3DB27E6-EE4E-4726-9D3B-0D4FA8A51692}"/>
    <cellStyle name="_FFF_Nsi_139_Свод по Агрохоолдингу  (в т.ч КБН  )" xfId="200" xr:uid="{5598DA51-0F91-45BE-9ADA-5A3E1F92D2F9}"/>
    <cellStyle name="_FFF_Nsi_139_ТК-2011 АГМ+транспорт" xfId="201" xr:uid="{3B949B88-9A65-4F73-8AA3-765467810EE3}"/>
    <cellStyle name="_FFF_Nsi_139_Форма по растениеводству (Акционеры) ИЛЧ" xfId="202" xr:uid="{1F36174E-68F7-41E3-9536-31C558F2DF72}"/>
    <cellStyle name="_FFF_Nsi_140" xfId="203" xr:uid="{F1DED5C5-7457-48F3-8687-06AC4C1DDA75}"/>
    <cellStyle name="_FFF_Nsi_140 1" xfId="204" xr:uid="{BDA8F47D-796D-45DA-BFFB-08E0F1FF7713}"/>
    <cellStyle name="_FFF_Nsi_140 1_Копия Растениеводство форма(Акционеры)" xfId="205" xr:uid="{5B23530F-5E6B-425F-84D1-9EE5AE3342A4}"/>
    <cellStyle name="_FFF_Nsi_140 1_М( ЗАР)" xfId="206" xr:uid="{178660DA-4B87-4B96-8C5B-DFEE236FA191}"/>
    <cellStyle name="_FFF_Nsi_140 1_Модель АгроГард на 5 лет" xfId="207" xr:uid="{5712FADD-4EB1-4955-A277-9846DACAF290}"/>
    <cellStyle name="_FFF_Nsi_140 1_раст.-факт" xfId="208" xr:uid="{AE8F36E7-AFE8-44C2-9917-B5242BB35430}"/>
    <cellStyle name="_FFF_Nsi_140 1_Растениеводство форма( АГМ)" xfId="209" xr:uid="{A8DF45E9-E428-413F-887A-CD47CDEC00BC}"/>
    <cellStyle name="_FFF_Nsi_140 1_Свод по Агрохоолдингу  (в т.ч КБН  )" xfId="210" xr:uid="{4F7AE343-47F3-4CA9-BE25-89560ABA4756}"/>
    <cellStyle name="_FFF_Nsi_140 1_Форма по растениеводству (Акционеры) ИЛЧ" xfId="211" xr:uid="{DE75A159-33C9-445F-B30B-3157A943B6A0}"/>
    <cellStyle name="_FFF_Nsi_140 2" xfId="212" xr:uid="{1C8AB713-F9C5-4E33-A93D-ACABCC76C86A}"/>
    <cellStyle name="_FFF_Nsi_140 2_Копия Растениеводство форма(Акционеры)" xfId="213" xr:uid="{EBB67E3B-1F95-4ACD-94AB-E04CB92E4C17}"/>
    <cellStyle name="_FFF_Nsi_140 2_М( ЗАР)" xfId="214" xr:uid="{7017CD22-AC38-44E8-A8F8-FA9C6F12283F}"/>
    <cellStyle name="_FFF_Nsi_140 2_Модель АгроГард на 5 лет" xfId="215" xr:uid="{515F2AD1-963B-4A4E-90C0-889175CDEA85}"/>
    <cellStyle name="_FFF_Nsi_140 2_раст.-факт" xfId="216" xr:uid="{05FDD2C1-47C6-4310-86FE-997DB154007F}"/>
    <cellStyle name="_FFF_Nsi_140 2_Растениеводство форма( АГМ)" xfId="217" xr:uid="{69B52080-EB30-498B-B069-807B50B84B2C}"/>
    <cellStyle name="_FFF_Nsi_140 2_Свод по Агрохоолдингу  (в т.ч КБН  )" xfId="218" xr:uid="{5A806620-7950-4CDF-A7E8-6CDE64EDCCDD}"/>
    <cellStyle name="_FFF_Nsi_140 2_Форма по растениеводству (Акционеры) ИЛЧ" xfId="219" xr:uid="{2BD09910-0C68-4F92-93FF-CCCB24FE79CF}"/>
    <cellStyle name="_FFF_Nsi_140 3" xfId="220" xr:uid="{12775C3C-4C5A-4889-B1FA-EBD8BACB8551}"/>
    <cellStyle name="_FFF_Nsi_140 3_Копия Растениеводство форма(Акционеры)" xfId="221" xr:uid="{8A3B3D99-177F-4229-8CA2-DD1F09A7F98D}"/>
    <cellStyle name="_FFF_Nsi_140 3_М( ЗАР)" xfId="222" xr:uid="{3C51935A-5B22-42C5-89E3-E7850C3D983A}"/>
    <cellStyle name="_FFF_Nsi_140 3_Модель АгроГард на 5 лет" xfId="223" xr:uid="{A0278517-A7CC-44C0-B327-151BEE67CBAF}"/>
    <cellStyle name="_FFF_Nsi_140 3_раст.-факт" xfId="224" xr:uid="{735D81D1-8C37-47C6-8953-233F88C20B40}"/>
    <cellStyle name="_FFF_Nsi_140 3_Растениеводство форма( АГМ)" xfId="225" xr:uid="{577356E8-6D01-4547-ABE8-B1B5330907B5}"/>
    <cellStyle name="_FFF_Nsi_140 3_Свод по Агрохоолдингу  (в т.ч КБН  )" xfId="226" xr:uid="{CC82F455-C3D0-4ACD-99D7-5D79F284D4FD}"/>
    <cellStyle name="_FFF_Nsi_140 3_Форма по растениеводству (Акционеры) ИЛЧ" xfId="227" xr:uid="{372542E8-7BCD-4DE4-A1F9-0BAE38B5C184}"/>
    <cellStyle name="_FFF_Nsi_140(Зах)" xfId="228" xr:uid="{5BFC1E0D-E7EA-4FE9-B7CD-9C372BBE4949}"/>
    <cellStyle name="_FFF_Nsi_140(Зах) 1" xfId="229" xr:uid="{00B5B38B-8E3A-4C9A-AC6B-03C55A002208}"/>
    <cellStyle name="_FFF_Nsi_140(Зах) 1_Копия Растениеводство форма(Акционеры)" xfId="230" xr:uid="{9710CD67-2B5E-4BA0-96FF-2401C121734D}"/>
    <cellStyle name="_FFF_Nsi_140(Зах) 1_М( ЗАР)" xfId="231" xr:uid="{0F36E0CE-EA23-4DB5-86DF-D5FE20C31181}"/>
    <cellStyle name="_FFF_Nsi_140(Зах) 1_Модель АгроГард на 5 лет" xfId="232" xr:uid="{51228CBE-9FD4-42C2-AB0C-651BDB4BF052}"/>
    <cellStyle name="_FFF_Nsi_140(Зах) 1_раст.-факт" xfId="233" xr:uid="{5A4AB28D-4A2C-4FB6-A2B3-9C1F00671BA5}"/>
    <cellStyle name="_FFF_Nsi_140(Зах) 1_Растениеводство форма( АГМ)" xfId="234" xr:uid="{B22E6921-0268-43C5-A828-54F6CB4CCF86}"/>
    <cellStyle name="_FFF_Nsi_140(Зах) 1_Свод по Агрохоолдингу  (в т.ч КБН  )" xfId="235" xr:uid="{C0C4ED39-9BCE-40EB-B8D5-729CACF54D52}"/>
    <cellStyle name="_FFF_Nsi_140(Зах) 1_Форма по растениеводству (Акционеры) ИЛЧ" xfId="236" xr:uid="{0AB4AC8C-494D-45A6-9CAF-265FB372AB00}"/>
    <cellStyle name="_FFF_Nsi_140(Зах) 2" xfId="237" xr:uid="{EA2A0F67-5378-4053-9499-C5D980D37ADA}"/>
    <cellStyle name="_FFF_Nsi_140(Зах) 2_Копия Растениеводство форма(Акционеры)" xfId="238" xr:uid="{74B89E2E-7F81-4482-BB7B-3D74CCEFFC83}"/>
    <cellStyle name="_FFF_Nsi_140(Зах) 2_М( ЗАР)" xfId="239" xr:uid="{89C41C5F-3613-4A53-8587-3F60BF4F23EC}"/>
    <cellStyle name="_FFF_Nsi_140(Зах) 2_Модель АгроГард на 5 лет" xfId="240" xr:uid="{C6533CEF-4A7F-47D0-B165-22B6E62EDC1A}"/>
    <cellStyle name="_FFF_Nsi_140(Зах) 2_раст.-факт" xfId="241" xr:uid="{9BF4714D-4D98-4754-98FF-D3C8BD8E208C}"/>
    <cellStyle name="_FFF_Nsi_140(Зах) 2_Растениеводство форма( АГМ)" xfId="242" xr:uid="{F331CAAD-6A5E-412E-9658-AB9ECFFE9B46}"/>
    <cellStyle name="_FFF_Nsi_140(Зах) 2_Свод по Агрохоолдингу  (в т.ч КБН  )" xfId="243" xr:uid="{74FCFC03-AAD1-467C-950E-D728A89691AF}"/>
    <cellStyle name="_FFF_Nsi_140(Зах) 2_Форма по растениеводству (Акционеры) ИЛЧ" xfId="244" xr:uid="{E97A6FB8-E76C-4CF9-9E08-1C4B030C921B}"/>
    <cellStyle name="_FFF_Nsi_140(Зах) 3" xfId="245" xr:uid="{1DE47583-A5F0-4689-BB48-38356B2F6671}"/>
    <cellStyle name="_FFF_Nsi_140(Зах) 3_Копия Растениеводство форма(Акционеры)" xfId="246" xr:uid="{F40015F3-76CA-4375-9047-50E97B3CA03F}"/>
    <cellStyle name="_FFF_Nsi_140(Зах) 3_М( ЗАР)" xfId="247" xr:uid="{4E607E86-E6ED-4428-A92A-D9141DA40A77}"/>
    <cellStyle name="_FFF_Nsi_140(Зах) 3_Модель АгроГард на 5 лет" xfId="248" xr:uid="{63F9FAF7-7F02-4E1C-96A2-B137075C6C03}"/>
    <cellStyle name="_FFF_Nsi_140(Зах) 3_раст.-факт" xfId="249" xr:uid="{87E6E8ED-D933-4E90-8F5B-0AA3C63D7512}"/>
    <cellStyle name="_FFF_Nsi_140(Зах) 3_Растениеводство форма( АГМ)" xfId="250" xr:uid="{263BB8F9-ED9B-439F-BE05-E0C84D4A854B}"/>
    <cellStyle name="_FFF_Nsi_140(Зах) 3_Свод по Агрохоолдингу  (в т.ч КБН  )" xfId="251" xr:uid="{45DF6BB2-148C-4CA1-82FD-5C01B6E9C67C}"/>
    <cellStyle name="_FFF_Nsi_140(Зах) 3_Форма по растениеводству (Акционеры) ИЛЧ" xfId="252" xr:uid="{1DABCD9B-EFF7-4D42-B655-74ACEF27132E}"/>
    <cellStyle name="_FFF_Nsi_140(Зах)_АГМ" xfId="253" xr:uid="{605CB6CC-5FEB-4E36-905D-93CE2DDAF101}"/>
    <cellStyle name="_FFF_Nsi_140(Зах)_Копия Растениеводство форма(Акционеры)" xfId="254" xr:uid="{212EC672-E069-452D-8469-8199F15EACF0}"/>
    <cellStyle name="_FFF_Nsi_140(Зах)_М( ЗАР)" xfId="255" xr:uid="{61A88EE7-49A6-48EE-B276-0F31CBA4A29E}"/>
    <cellStyle name="_FFF_Nsi_140(Зах)_Модель АгроГард на 5 лет" xfId="256" xr:uid="{EA193587-EB0E-4404-B053-BDBA507390E5}"/>
    <cellStyle name="_FFF_Nsi_140(Зах)_НИК-09" xfId="257" xr:uid="{AA3E173E-04CB-47D4-BB8A-20455EBD9BFD}"/>
    <cellStyle name="_FFF_Nsi_140(Зах)_НИК-09 2" xfId="10209" xr:uid="{2B9BB781-BB87-499D-9405-8AF28B8D0A08}"/>
    <cellStyle name="_FFF_Nsi_140(Зах)_раст.-факт" xfId="258" xr:uid="{A759B45B-9D57-47E4-BA3C-23D82FE0171C}"/>
    <cellStyle name="_FFF_Nsi_140(Зах)_Растениеводство форма( АГМ)" xfId="259" xr:uid="{800FBADD-C617-4EEF-9D13-DCAB03C7E68C}"/>
    <cellStyle name="_FFF_Nsi_140(Зах)_Свод по Агрохоолдингу  (в т.ч КБН  )" xfId="260" xr:uid="{067723A0-9E73-4471-AD65-CF831138CFF2}"/>
    <cellStyle name="_FFF_Nsi_140(Зах)_ТК-2011 АГМ+транспорт" xfId="261" xr:uid="{F170C611-3361-43F3-B7C8-BE95541990D5}"/>
    <cellStyle name="_FFF_Nsi_140(Зах)_Форма по растениеводству (Акционеры) ИЛЧ" xfId="262" xr:uid="{46A4101F-0B6E-472D-AE27-189B7109612F}"/>
    <cellStyle name="_FFF_Nsi_140_mod" xfId="263" xr:uid="{81DF9C16-B085-49C7-9B14-BCD5933536A2}"/>
    <cellStyle name="_FFF_Nsi_140_mod 1" xfId="264" xr:uid="{51A739C1-5BE3-4330-8FDD-7F58E9F9254F}"/>
    <cellStyle name="_FFF_Nsi_140_mod 1_Копия Растениеводство форма(Акционеры)" xfId="265" xr:uid="{72FE4B24-8ED0-43F5-955A-D4FE14B224FF}"/>
    <cellStyle name="_FFF_Nsi_140_mod 1_М( ЗАР)" xfId="266" xr:uid="{12C7507E-B412-4E55-B3FE-EDF1E417B174}"/>
    <cellStyle name="_FFF_Nsi_140_mod 1_Модель АгроГард на 5 лет" xfId="267" xr:uid="{3975B66E-614C-4F01-8EDC-20CA3ED0CFAD}"/>
    <cellStyle name="_FFF_Nsi_140_mod 1_раст.-факт" xfId="268" xr:uid="{C87001E6-2686-4E7E-9959-91F9C43A7545}"/>
    <cellStyle name="_FFF_Nsi_140_mod 1_Растениеводство форма( АГМ)" xfId="269" xr:uid="{4139733A-5B21-419D-BAEE-EE85A2168F9D}"/>
    <cellStyle name="_FFF_Nsi_140_mod 1_Свод по Агрохоолдингу  (в т.ч КБН  )" xfId="270" xr:uid="{47D82D6B-E700-4A0B-B2BF-50A972BC8435}"/>
    <cellStyle name="_FFF_Nsi_140_mod 1_Форма по растениеводству (Акционеры) ИЛЧ" xfId="271" xr:uid="{7884A1A5-F174-4D9B-A2F5-5636B8C63E76}"/>
    <cellStyle name="_FFF_Nsi_140_mod 2" xfId="272" xr:uid="{08210499-D551-4B15-AB77-02C59D2A1739}"/>
    <cellStyle name="_FFF_Nsi_140_mod 2_Копия Растениеводство форма(Акционеры)" xfId="273" xr:uid="{A03622CC-A9AF-4AC6-A23D-B92444795C8A}"/>
    <cellStyle name="_FFF_Nsi_140_mod 2_М( ЗАР)" xfId="274" xr:uid="{CBEC8357-3C6F-4B76-9B86-9271B01C0226}"/>
    <cellStyle name="_FFF_Nsi_140_mod 2_Модель АгроГард на 5 лет" xfId="275" xr:uid="{CDE0BE6B-62CC-45D9-A2F9-83BF01A2A4B7}"/>
    <cellStyle name="_FFF_Nsi_140_mod 2_раст.-факт" xfId="276" xr:uid="{E8B0A8CF-75B1-4CF9-AD5A-10017FEA68B0}"/>
    <cellStyle name="_FFF_Nsi_140_mod 2_Растениеводство форма( АГМ)" xfId="277" xr:uid="{D186ACCF-CFD9-4B71-9924-41F23C759BD4}"/>
    <cellStyle name="_FFF_Nsi_140_mod 2_Свод по Агрохоолдингу  (в т.ч КБН  )" xfId="278" xr:uid="{E875F089-584E-4E88-A986-A63D06796A1D}"/>
    <cellStyle name="_FFF_Nsi_140_mod 2_Форма по растениеводству (Акционеры) ИЛЧ" xfId="279" xr:uid="{008AE98F-5978-45CD-87FF-82014C73276F}"/>
    <cellStyle name="_FFF_Nsi_140_mod 3" xfId="280" xr:uid="{ABA1EE2E-A926-4B4E-9D68-FB7181E463E2}"/>
    <cellStyle name="_FFF_Nsi_140_mod 3_Копия Растениеводство форма(Акционеры)" xfId="281" xr:uid="{4DEAC2F7-EB56-4D5F-8696-EE828AFB8741}"/>
    <cellStyle name="_FFF_Nsi_140_mod 3_М( ЗАР)" xfId="282" xr:uid="{67BC395E-4C96-495C-9C28-CB3EB7F1EB81}"/>
    <cellStyle name="_FFF_Nsi_140_mod 3_Модель АгроГард на 5 лет" xfId="283" xr:uid="{7CACEB32-117E-4021-A184-043E07B207C3}"/>
    <cellStyle name="_FFF_Nsi_140_mod 3_раст.-факт" xfId="284" xr:uid="{40AC19A3-3FF5-432E-ADFB-FE7D5B6CEB50}"/>
    <cellStyle name="_FFF_Nsi_140_mod 3_Растениеводство форма( АГМ)" xfId="285" xr:uid="{30C219C4-1C44-4F7D-899B-9F97405E1FAC}"/>
    <cellStyle name="_FFF_Nsi_140_mod 3_Свод по Агрохоолдингу  (в т.ч КБН  )" xfId="286" xr:uid="{94797BE6-065D-4C1C-9066-63F8AB015029}"/>
    <cellStyle name="_FFF_Nsi_140_mod 3_Форма по растениеводству (Акционеры) ИЛЧ" xfId="287" xr:uid="{E10E221E-FBBB-44E3-815F-136298D807CA}"/>
    <cellStyle name="_FFF_Nsi_140_mod_АГМ" xfId="288" xr:uid="{AAB15792-FD6F-494F-A456-3DBF6DE364B8}"/>
    <cellStyle name="_FFF_Nsi_140_mod_Копия Растениеводство форма(Акционеры)" xfId="289" xr:uid="{1EC9DABB-340D-4002-8542-2FD87D0F1231}"/>
    <cellStyle name="_FFF_Nsi_140_mod_М( ЗАР)" xfId="290" xr:uid="{8CE3B1BF-FFB1-4AFD-AF19-2B7560971778}"/>
    <cellStyle name="_FFF_Nsi_140_mod_Модель АгроГард на 5 лет" xfId="291" xr:uid="{1A6F54D5-0A7F-4E55-9C88-A4FB2E9E2810}"/>
    <cellStyle name="_FFF_Nsi_140_mod_НИК-09" xfId="292" xr:uid="{EBB38262-C235-4E85-A5D5-FB40A70B000E}"/>
    <cellStyle name="_FFF_Nsi_140_mod_НИК-09 2" xfId="10210" xr:uid="{4E57DB36-5102-46E8-8346-F01107FD7251}"/>
    <cellStyle name="_FFF_Nsi_140_mod_раст.-факт" xfId="293" xr:uid="{1512B532-ECDE-4132-BA14-56E1347311F2}"/>
    <cellStyle name="_FFF_Nsi_140_mod_Растениеводство форма( АГМ)" xfId="294" xr:uid="{4F767F57-BBBD-4579-85B3-8079910C3750}"/>
    <cellStyle name="_FFF_Nsi_140_mod_Свод по Агрохоолдингу  (в т.ч КБН  )" xfId="295" xr:uid="{6D0847DD-70CC-4799-A836-3EC606749A9F}"/>
    <cellStyle name="_FFF_Nsi_140_mod_ТК-2011 АГМ+транспорт" xfId="296" xr:uid="{A3CA810C-54CF-44AE-AF45-6051F8F368C8}"/>
    <cellStyle name="_FFF_Nsi_140_mod_Форма по растениеводству (Акционеры) ИЛЧ" xfId="297" xr:uid="{75C17AF5-BB68-4281-BCB4-CB3036A684FF}"/>
    <cellStyle name="_FFF_Nsi_140_АГМ" xfId="298" xr:uid="{070820F0-60F8-48EE-AB74-18859C25C899}"/>
    <cellStyle name="_FFF_Nsi_140_Копия Растениеводство форма(Акционеры)" xfId="299" xr:uid="{E976ECDC-2049-45D9-8C7A-90728B0BDD5A}"/>
    <cellStyle name="_FFF_Nsi_140_М( ЗАР)" xfId="300" xr:uid="{1F51CF54-5409-4041-873C-432C6EF71942}"/>
    <cellStyle name="_FFF_Nsi_140_Модель АгроГард на 5 лет" xfId="301" xr:uid="{77BD4F7B-8225-40AF-A833-79E3843D952E}"/>
    <cellStyle name="_FFF_Nsi_140_НИК-09" xfId="302" xr:uid="{EDCCEB46-5EB3-44F3-9353-2402FF39CD9A}"/>
    <cellStyle name="_FFF_Nsi_140_НИК-09 2" xfId="10211" xr:uid="{3C392A38-7534-4C9E-9427-C7ABBB37AF15}"/>
    <cellStyle name="_FFF_Nsi_140_раст.-факт" xfId="303" xr:uid="{F7597C89-ADA7-4F0C-9FA9-2680B99779D1}"/>
    <cellStyle name="_FFF_Nsi_140_Растениеводство форма( АГМ)" xfId="304" xr:uid="{C6E498BC-5B2A-4298-ABEC-62947A1DDA1D}"/>
    <cellStyle name="_FFF_Nsi_140_Свод по Агрохоолдингу  (в т.ч КБН  )" xfId="305" xr:uid="{6B9A4410-D1B3-49D4-BC86-D13E937C944B}"/>
    <cellStyle name="_FFF_Nsi_140_ТК-2011 АГМ+транспорт" xfId="306" xr:uid="{CCA763BF-4813-489A-A226-027E09C8F6F2}"/>
    <cellStyle name="_FFF_Nsi_140_Форма по растениеводству (Акционеры) ИЛЧ" xfId="307" xr:uid="{33DE37EC-CD8B-46A1-89B1-34DB4415665C}"/>
    <cellStyle name="_FFF_Nsi_АГМ" xfId="308" xr:uid="{3C09B78F-A8AD-4E54-979A-AD3D136228B0}"/>
    <cellStyle name="_FFF_Nsi_Копия Растениеводство форма(Акционеры)" xfId="309" xr:uid="{5D7D603D-2470-4D44-B4A7-3737EDE5303A}"/>
    <cellStyle name="_FFF_Nsi_М( ЗАР)" xfId="310" xr:uid="{6F7D9D24-3A06-4B49-AC98-951A5900BB92}"/>
    <cellStyle name="_FFF_Nsi_Модель АгроГард на 5 лет" xfId="311" xr:uid="{7A204D58-2A49-4580-AD20-FB8944F9E3ED}"/>
    <cellStyle name="_FFF_Nsi_НИК-09" xfId="312" xr:uid="{FF350823-C4C3-4080-A3A9-EC09882F6307}"/>
    <cellStyle name="_FFF_Nsi_НИК-09 2" xfId="10212" xr:uid="{DDEDC252-2F90-4A20-87FD-75DD01F43F67}"/>
    <cellStyle name="_FFF_Nsi_раст.-факт" xfId="313" xr:uid="{4743CA1F-9F1A-40F8-97BD-C7761E469DC8}"/>
    <cellStyle name="_FFF_Nsi_Растениеводство форма( АГМ)" xfId="314" xr:uid="{8C430D46-D94F-4E25-A666-B7D2A4AC7418}"/>
    <cellStyle name="_FFF_Nsi_Свод по Агрохоолдингу  (в т.ч КБН  )" xfId="315" xr:uid="{E8499396-8A67-4EBF-AA4D-3A9C3C88528D}"/>
    <cellStyle name="_FFF_Nsi_ТК-2011 АГМ+транспорт" xfId="316" xr:uid="{22637968-A3A6-4EB5-90E1-BDF4FB241730}"/>
    <cellStyle name="_FFF_Nsi_Форма по растениеводству (Акционеры) ИЛЧ" xfId="317" xr:uid="{F32C0C11-E8D0-4139-AA91-6964DD759AF9}"/>
    <cellStyle name="_FFF_Summary" xfId="318" xr:uid="{5CCE01E4-5D2D-4BB0-85EC-F0DF45C27725}"/>
    <cellStyle name="_FFF_Summary 1" xfId="319" xr:uid="{FD38C7B9-5B0D-4D2C-AB99-B97777591F4C}"/>
    <cellStyle name="_FFF_Summary 1_Копия Растениеводство форма(Акционеры)" xfId="320" xr:uid="{5B00FBAB-3045-4F47-9A21-2FE615CE20FA}"/>
    <cellStyle name="_FFF_Summary 1_М( ЗАР)" xfId="321" xr:uid="{C7B86202-D180-4BA6-9D02-4D85CDE31844}"/>
    <cellStyle name="_FFF_Summary 1_Модель АгроГард на 5 лет" xfId="322" xr:uid="{A239ED7B-1B48-4585-8D23-36F5228277A7}"/>
    <cellStyle name="_FFF_Summary 1_раст.-факт" xfId="323" xr:uid="{7246FFC2-BBAD-4515-91B9-32A51E8079DF}"/>
    <cellStyle name="_FFF_Summary 1_Растениеводство форма( АГМ)" xfId="324" xr:uid="{C278C4DA-1448-40CF-BA9B-A1ADD9AE8813}"/>
    <cellStyle name="_FFF_Summary 1_Свод по Агрохоолдингу  (в т.ч КБН  )" xfId="325" xr:uid="{958C1D55-F64F-4834-83F4-C9F1AC2DD807}"/>
    <cellStyle name="_FFF_Summary 1_Форма по растениеводству (Акционеры) ИЛЧ" xfId="326" xr:uid="{86A16A29-A613-4163-848C-354A1BD259A5}"/>
    <cellStyle name="_FFF_Summary 2" xfId="327" xr:uid="{33FAF2AF-ADDA-4DF5-A58C-A861E60E6716}"/>
    <cellStyle name="_FFF_Summary 2_Копия Растениеводство форма(Акционеры)" xfId="328" xr:uid="{C6C0D6D3-2C29-46D6-A852-BD84250AF012}"/>
    <cellStyle name="_FFF_Summary 2_М( ЗАР)" xfId="329" xr:uid="{F094C2D1-FEFB-4D31-A83C-18999BE0B6DD}"/>
    <cellStyle name="_FFF_Summary 2_Модель АгроГард на 5 лет" xfId="330" xr:uid="{CFBE3BC2-BF44-4C51-B121-94C6BE242F1F}"/>
    <cellStyle name="_FFF_Summary 2_раст.-факт" xfId="331" xr:uid="{482CF333-99CC-4A01-9B89-921D7A662057}"/>
    <cellStyle name="_FFF_Summary 2_Растениеводство форма( АГМ)" xfId="332" xr:uid="{D00ACB03-D637-430C-AA92-68D63784638F}"/>
    <cellStyle name="_FFF_Summary 2_Свод по Агрохоолдингу  (в т.ч КБН  )" xfId="333" xr:uid="{623FE3AB-EE8A-4A75-B38D-B378F8DF4AAD}"/>
    <cellStyle name="_FFF_Summary 2_Форма по растениеводству (Акционеры) ИЛЧ" xfId="334" xr:uid="{73B40313-0B71-4B2D-979A-BC8FE54A7EE2}"/>
    <cellStyle name="_FFF_Summary 3" xfId="335" xr:uid="{FFCFF1FF-2280-4998-8600-CCA9EC3FCB0A}"/>
    <cellStyle name="_FFF_Summary 3_Копия Растениеводство форма(Акционеры)" xfId="336" xr:uid="{9D96C1B5-4525-46DE-9B1A-5E2D99B8888E}"/>
    <cellStyle name="_FFF_Summary 3_М( ЗАР)" xfId="337" xr:uid="{3D41D008-E10B-4837-B8EB-F363F65AE0EC}"/>
    <cellStyle name="_FFF_Summary 3_Модель АгроГард на 5 лет" xfId="338" xr:uid="{F1812B9D-FA71-4658-BD81-3D90BE254BE4}"/>
    <cellStyle name="_FFF_Summary 3_раст.-факт" xfId="339" xr:uid="{A890E464-E0C4-45F6-B462-EB1D317EF59F}"/>
    <cellStyle name="_FFF_Summary 3_Растениеводство форма( АГМ)" xfId="340" xr:uid="{52E8A204-8DA4-4067-AD96-08E6790ECAC5}"/>
    <cellStyle name="_FFF_Summary 3_Свод по Агрохоолдингу  (в т.ч КБН  )" xfId="341" xr:uid="{2BD889D2-C806-433E-BA6E-1B021E2F0033}"/>
    <cellStyle name="_FFF_Summary 3_Форма по растениеводству (Акционеры) ИЛЧ" xfId="342" xr:uid="{1D9A38B1-83FC-49AA-9A14-2E01C5EB8F12}"/>
    <cellStyle name="_FFF_Summary_АГМ" xfId="343" xr:uid="{0D6775B1-1FEA-486A-B84A-D3FC27DA01DA}"/>
    <cellStyle name="_FFF_Summary_Копия Растениеводство форма(Акционеры)" xfId="344" xr:uid="{45AB8942-5D2B-42E7-B916-EC6962E9362A}"/>
    <cellStyle name="_FFF_Summary_М( ЗАР)" xfId="345" xr:uid="{565039A0-CC62-4DD3-ABCC-20B3487DA42E}"/>
    <cellStyle name="_FFF_Summary_Модель АгроГард на 5 лет" xfId="346" xr:uid="{289B560A-96FC-4437-96DA-FD786A4BF4C7}"/>
    <cellStyle name="_FFF_Summary_НИК-09" xfId="347" xr:uid="{379C2893-5443-4BBF-B57F-0AACF577A49E}"/>
    <cellStyle name="_FFF_Summary_НИК-09 2" xfId="10213" xr:uid="{2691E59D-DCD5-4CA0-BDB7-D16A519B001F}"/>
    <cellStyle name="_FFF_Summary_раст.-факт" xfId="348" xr:uid="{28633F55-38F0-422D-8582-D6FC6A182AD6}"/>
    <cellStyle name="_FFF_Summary_Растениеводство форма( АГМ)" xfId="349" xr:uid="{B6DB6ABA-43B1-4577-AA3B-0AE41C2EE215}"/>
    <cellStyle name="_FFF_Summary_Свод по Агрохоолдингу  (в т.ч КБН  )" xfId="350" xr:uid="{B91D5F50-B003-4842-A960-B4A1C1A4F1C7}"/>
    <cellStyle name="_FFF_Summary_ТК-2011 АГМ+транспорт" xfId="351" xr:uid="{BF4BBAD5-9B01-4353-B3C7-11B63DBEDEBC}"/>
    <cellStyle name="_FFF_Summary_Форма по растениеводству (Акционеры) ИЛЧ" xfId="352" xr:uid="{9071A884-D3B6-4C71-8EF8-97F10F50EC88}"/>
    <cellStyle name="_FFF_Tax_form_1кв_3" xfId="353" xr:uid="{8DDF80D5-F712-4E59-9AE9-124B3E957389}"/>
    <cellStyle name="_FFF_Tax_form_1кв_3 1" xfId="354" xr:uid="{58E8AB50-BA2F-4AE4-99C5-D0521765409A}"/>
    <cellStyle name="_FFF_Tax_form_1кв_3 1_Копия Растениеводство форма(Акционеры)" xfId="355" xr:uid="{4A19B29C-D25F-430F-8936-D8B2E11B9FEE}"/>
    <cellStyle name="_FFF_Tax_form_1кв_3 1_М( ЗАР)" xfId="356" xr:uid="{E092E81E-0F88-4645-B1C0-EEC5858B7D18}"/>
    <cellStyle name="_FFF_Tax_form_1кв_3 1_Модель АгроГард на 5 лет" xfId="357" xr:uid="{C0C13923-5090-4A0E-95B2-D93BDCC431B9}"/>
    <cellStyle name="_FFF_Tax_form_1кв_3 1_раст.-факт" xfId="358" xr:uid="{FF2FB147-DBBC-4BD6-84B6-F49F57D07F86}"/>
    <cellStyle name="_FFF_Tax_form_1кв_3 1_Растениеводство форма( АГМ)" xfId="359" xr:uid="{34A7C7C2-62E4-4673-8DA2-DB61433BFFC2}"/>
    <cellStyle name="_FFF_Tax_form_1кв_3 1_Свод по Агрохоолдингу  (в т.ч КБН  )" xfId="360" xr:uid="{B275A06C-5AF1-4239-9FB1-3B454AF3A9F0}"/>
    <cellStyle name="_FFF_Tax_form_1кв_3 1_Форма по растениеводству (Акционеры) ИЛЧ" xfId="361" xr:uid="{32EBBCA0-DCFD-4AB1-BF3B-E87A603488E8}"/>
    <cellStyle name="_FFF_Tax_form_1кв_3 2" xfId="362" xr:uid="{601593A4-B711-4276-B65C-A29A35A3D4B7}"/>
    <cellStyle name="_FFF_Tax_form_1кв_3 2_Копия Растениеводство форма(Акционеры)" xfId="363" xr:uid="{33AA18FA-4755-4793-B87E-708A5612EA1E}"/>
    <cellStyle name="_FFF_Tax_form_1кв_3 2_М( ЗАР)" xfId="364" xr:uid="{5B5D5F24-B00D-4387-9B78-EFD73CDC7193}"/>
    <cellStyle name="_FFF_Tax_form_1кв_3 2_Модель АгроГард на 5 лет" xfId="365" xr:uid="{6E0A3442-F74A-4B2C-A5EE-99460ACA30F9}"/>
    <cellStyle name="_FFF_Tax_form_1кв_3 2_раст.-факт" xfId="366" xr:uid="{ABC878AA-A0A1-4F6C-B31D-2FA395BFDFDB}"/>
    <cellStyle name="_FFF_Tax_form_1кв_3 2_Растениеводство форма( АГМ)" xfId="367" xr:uid="{818041E9-E7D6-46C0-B7E9-EB7BB68CCAEB}"/>
    <cellStyle name="_FFF_Tax_form_1кв_3 2_Свод по Агрохоолдингу  (в т.ч КБН  )" xfId="368" xr:uid="{6286B54D-2F88-4710-A3EC-D49AEC38732B}"/>
    <cellStyle name="_FFF_Tax_form_1кв_3 2_Форма по растениеводству (Акционеры) ИЛЧ" xfId="369" xr:uid="{FBD38F60-356C-4261-A83B-1D05E6692EA5}"/>
    <cellStyle name="_FFF_Tax_form_1кв_3 3" xfId="370" xr:uid="{39650F8C-A1DD-440B-9F26-699BCCFFB968}"/>
    <cellStyle name="_FFF_Tax_form_1кв_3 3_Копия Растениеводство форма(Акционеры)" xfId="371" xr:uid="{E8841C8B-526B-4F05-8FEE-A460DAFC0035}"/>
    <cellStyle name="_FFF_Tax_form_1кв_3 3_М( ЗАР)" xfId="372" xr:uid="{BAA845C2-7E2E-4322-B5E4-09416460065E}"/>
    <cellStyle name="_FFF_Tax_form_1кв_3 3_Модель АгроГард на 5 лет" xfId="373" xr:uid="{3A7A5E27-0BE9-4E69-9E13-56B3ABF9A57F}"/>
    <cellStyle name="_FFF_Tax_form_1кв_3 3_раст.-факт" xfId="374" xr:uid="{88500245-3BD1-4CD0-84E4-92139090C694}"/>
    <cellStyle name="_FFF_Tax_form_1кв_3 3_Растениеводство форма( АГМ)" xfId="375" xr:uid="{953E3ABA-02F6-41E0-98A0-62C89FEA2E5B}"/>
    <cellStyle name="_FFF_Tax_form_1кв_3 3_Свод по Агрохоолдингу  (в т.ч КБН  )" xfId="376" xr:uid="{D34B94AC-2495-4924-95C3-813C050299CF}"/>
    <cellStyle name="_FFF_Tax_form_1кв_3 3_Форма по растениеводству (Акционеры) ИЛЧ" xfId="377" xr:uid="{A3359186-D5B7-421E-B6CA-77E7C3116131}"/>
    <cellStyle name="_FFF_Tax_form_1кв_3_АГМ" xfId="378" xr:uid="{FB20D156-0322-4E93-85D7-F3BBB9E4BBE0}"/>
    <cellStyle name="_FFF_Tax_form_1кв_3_Копия Растениеводство форма(Акционеры)" xfId="379" xr:uid="{74585B85-3E0D-407E-948F-8F4EF3252632}"/>
    <cellStyle name="_FFF_Tax_form_1кв_3_М( ЗАР)" xfId="380" xr:uid="{7595D4A6-9C3F-4345-9A18-E82B9FD17D74}"/>
    <cellStyle name="_FFF_Tax_form_1кв_3_Модель АгроГард на 5 лет" xfId="381" xr:uid="{84B7C3BA-BC20-4331-9585-A32789E4D1C4}"/>
    <cellStyle name="_FFF_Tax_form_1кв_3_НИК-09" xfId="382" xr:uid="{4A7DB427-FD27-43B8-B783-B3FB71F46F02}"/>
    <cellStyle name="_FFF_Tax_form_1кв_3_НИК-09 2" xfId="10214" xr:uid="{1AEB552F-92EA-4187-A78B-18397CEB8B6F}"/>
    <cellStyle name="_FFF_Tax_form_1кв_3_раст.-факт" xfId="383" xr:uid="{9BEAD676-384E-42C0-9D1B-C74F399E0082}"/>
    <cellStyle name="_FFF_Tax_form_1кв_3_Растениеводство форма( АГМ)" xfId="384" xr:uid="{04249A82-D354-42F9-9D76-12F47941F70E}"/>
    <cellStyle name="_FFF_Tax_form_1кв_3_Свод по Агрохоолдингу  (в т.ч КБН  )" xfId="385" xr:uid="{1F2960F8-25AA-4964-B60F-0FE714D8752C}"/>
    <cellStyle name="_FFF_Tax_form_1кв_3_ТК-2011 АГМ+транспорт" xfId="386" xr:uid="{929E17C2-B130-4F55-B7E6-E96E74FD54CB}"/>
    <cellStyle name="_FFF_Tax_form_1кв_3_Форма по растениеводству (Акционеры) ИЛЧ" xfId="387" xr:uid="{1573FFB2-7300-4EEA-A2BC-4A87557DDD6A}"/>
    <cellStyle name="_FFF_АГМ" xfId="388" xr:uid="{8D106459-D9AE-42FA-ACB2-CD3D4E53D575}"/>
    <cellStyle name="_FFF_БКЭ" xfId="389" xr:uid="{EFFE0B3E-78A1-443A-BAE5-297B47F204A0}"/>
    <cellStyle name="_FFF_БКЭ 1" xfId="390" xr:uid="{7CAA7C3F-D24C-4B91-B314-ECF87A885E50}"/>
    <cellStyle name="_FFF_БКЭ 1_Копия Растениеводство форма(Акционеры)" xfId="391" xr:uid="{2318F005-6591-4E4E-A906-0E685270C2D3}"/>
    <cellStyle name="_FFF_БКЭ 1_М( ЗАР)" xfId="392" xr:uid="{69D6F278-D2E6-4B2C-B0BE-188B1E72ADF2}"/>
    <cellStyle name="_FFF_БКЭ 1_Модель АгроГард на 5 лет" xfId="393" xr:uid="{2968C690-30E8-4565-9588-6D79561F2F3A}"/>
    <cellStyle name="_FFF_БКЭ 1_раст.-факт" xfId="394" xr:uid="{316E9C98-21BB-48EF-9CA7-30C235726D33}"/>
    <cellStyle name="_FFF_БКЭ 1_Растениеводство форма( АГМ)" xfId="395" xr:uid="{CD217476-9AFC-4AAD-BEA0-7850CFA141A9}"/>
    <cellStyle name="_FFF_БКЭ 1_Свод по Агрохоолдингу  (в т.ч КБН  )" xfId="396" xr:uid="{2A857261-4D98-4613-A6DD-BCA44B439B96}"/>
    <cellStyle name="_FFF_БКЭ 1_Форма по растениеводству (Акционеры) ИЛЧ" xfId="397" xr:uid="{D3946067-8A9B-4F93-BCF4-D358FE1C2BC0}"/>
    <cellStyle name="_FFF_БКЭ 2" xfId="398" xr:uid="{E5C410D1-0AB3-4AC2-AA13-3FDCB0F36ECD}"/>
    <cellStyle name="_FFF_БКЭ 2_Копия Растениеводство форма(Акционеры)" xfId="399" xr:uid="{6DF87DD1-FC49-46A7-85BD-BF4D548C1754}"/>
    <cellStyle name="_FFF_БКЭ 2_М( ЗАР)" xfId="400" xr:uid="{4D62271A-1F0B-42DE-8227-9BA38AF60F13}"/>
    <cellStyle name="_FFF_БКЭ 2_Модель АгроГард на 5 лет" xfId="401" xr:uid="{2D40CBB8-7074-4BA6-AB9B-8F795C7059B2}"/>
    <cellStyle name="_FFF_БКЭ 2_раст.-факт" xfId="402" xr:uid="{B7C45ABB-802A-4492-8676-59B3604A6CEE}"/>
    <cellStyle name="_FFF_БКЭ 2_Растениеводство форма( АГМ)" xfId="403" xr:uid="{62910788-DCE9-462A-9D7A-9128B0C7E4CB}"/>
    <cellStyle name="_FFF_БКЭ 2_Свод по Агрохоолдингу  (в т.ч КБН  )" xfId="404" xr:uid="{894509B0-7E88-4613-85BC-48F1A8AA6D69}"/>
    <cellStyle name="_FFF_БКЭ 2_Форма по растениеводству (Акционеры) ИЛЧ" xfId="405" xr:uid="{86C45806-ADD7-4DEE-AF9F-E5AB5CC39028}"/>
    <cellStyle name="_FFF_БКЭ 3" xfId="406" xr:uid="{5D742E87-51F6-4CEA-B0FB-64961DA18891}"/>
    <cellStyle name="_FFF_БКЭ 3_Копия Растениеводство форма(Акционеры)" xfId="407" xr:uid="{65387FCE-7059-4454-95B0-ADCBBB824262}"/>
    <cellStyle name="_FFF_БКЭ 3_М( ЗАР)" xfId="408" xr:uid="{18CADEFA-6966-452F-8827-CBF4B2B70A24}"/>
    <cellStyle name="_FFF_БКЭ 3_Модель АгроГард на 5 лет" xfId="409" xr:uid="{D70F3421-58B9-46AE-9CE6-483628ED2CA3}"/>
    <cellStyle name="_FFF_БКЭ 3_раст.-факт" xfId="410" xr:uid="{C611A3A8-BD64-4B7E-9C5E-C9A43EA24846}"/>
    <cellStyle name="_FFF_БКЭ 3_Растениеводство форма( АГМ)" xfId="411" xr:uid="{80FB1156-0E14-45AA-B2C9-278C02753AF5}"/>
    <cellStyle name="_FFF_БКЭ 3_Свод по Агрохоолдингу  (в т.ч КБН  )" xfId="412" xr:uid="{039A8868-FCBA-4991-AB76-176EA5AC8F14}"/>
    <cellStyle name="_FFF_БКЭ 3_Форма по растениеводству (Акционеры) ИЛЧ" xfId="413" xr:uid="{B7EEB4CA-1568-4858-9CB5-BB1D46D1F35D}"/>
    <cellStyle name="_FFF_БКЭ_АГМ" xfId="414" xr:uid="{3354EBE5-8738-44EA-9786-D8BA5BFFC55D}"/>
    <cellStyle name="_FFF_БКЭ_Копия Растениеводство форма(Акционеры)" xfId="415" xr:uid="{946B029F-90BB-4054-B6DB-1048DCFCE737}"/>
    <cellStyle name="_FFF_БКЭ_М( ЗАР)" xfId="416" xr:uid="{5508E899-C722-4C64-A083-92ED6238F5A9}"/>
    <cellStyle name="_FFF_БКЭ_Модель АгроГард на 5 лет" xfId="417" xr:uid="{B8715138-6EC9-4A9E-B4B3-56BFEDD1B7DF}"/>
    <cellStyle name="_FFF_БКЭ_НИК-09" xfId="418" xr:uid="{94AC43A1-6A26-4E23-9AEE-C7380A498429}"/>
    <cellStyle name="_FFF_БКЭ_НИК-09 2" xfId="10215" xr:uid="{6B7E56FD-2672-4221-B0F8-19D14C12B11E}"/>
    <cellStyle name="_FFF_БКЭ_раст.-факт" xfId="419" xr:uid="{BC235046-DD4E-4FA2-B237-7091BC695C24}"/>
    <cellStyle name="_FFF_БКЭ_Растениеводство форма( АГМ)" xfId="420" xr:uid="{F86CD09F-F050-433B-A6FC-1F81AA2D1766}"/>
    <cellStyle name="_FFF_БКЭ_Свод по Агрохоолдингу  (в т.ч КБН  )" xfId="421" xr:uid="{12DB1F86-1D8A-4030-8A24-BBCCDB57B695}"/>
    <cellStyle name="_FFF_БКЭ_ТК-2011 АГМ+транспорт" xfId="422" xr:uid="{9886C6C3-1717-4896-9482-7EB287175AFF}"/>
    <cellStyle name="_FFF_БКЭ_Форма по растениеводству (Акционеры) ИЛЧ" xfId="423" xr:uid="{CD99448B-094B-4717-B994-303748CA27EB}"/>
    <cellStyle name="_FFF_Копия Растениеводство форма(Акционеры)" xfId="424" xr:uid="{CF55FF7C-518F-4204-B804-3FE0E05CC2E5}"/>
    <cellStyle name="_FFF_М( ЗАР)" xfId="425" xr:uid="{494C3EC2-3E21-44B3-9670-C69EBE3B8880}"/>
    <cellStyle name="_FFF_Модель АгроГард на 5 лет" xfId="426" xr:uid="{D4828912-A745-4073-8EDD-8A91D76DCFE9}"/>
    <cellStyle name="_FFF_НИК-09" xfId="427" xr:uid="{5CCDB6FA-2D36-49EF-B7BD-E227BDB34538}"/>
    <cellStyle name="_FFF_НИК-09 2" xfId="10216" xr:uid="{ED2CF847-5AF6-4BBD-8426-646AEE7ADDA5}"/>
    <cellStyle name="_FFF_раст.-факт" xfId="428" xr:uid="{BEBD75CA-A498-44D4-9684-5A54139A5752}"/>
    <cellStyle name="_FFF_Растениеводство форма( АГМ)" xfId="429" xr:uid="{69EC3541-3F57-4B09-80EE-B4EFF7A554A3}"/>
    <cellStyle name="_FFF_Свод по Агрохоолдингу  (в т.ч КБН  )" xfId="430" xr:uid="{135B19BF-4E34-4DA1-82B8-E55F99AFC74C}"/>
    <cellStyle name="_FFF_ТК-2011 АГМ+транспорт" xfId="431" xr:uid="{23088B76-2516-4917-98C0-BBA4898824A4}"/>
    <cellStyle name="_FFF_Форма по растениеводству (Акционеры) ИЛЧ" xfId="432" xr:uid="{3AF8F879-1706-4CC2-8412-F9A9FCDFF708}"/>
    <cellStyle name="_Final_Book_010301" xfId="433" xr:uid="{550EF619-DAFE-4091-9F38-03AE7C1FC7ED}"/>
    <cellStyle name="_Final_Book_010301 1" xfId="434" xr:uid="{B449CC0C-07C3-4755-A336-E9256F5C7F50}"/>
    <cellStyle name="_Final_Book_010301 1_Копия Растениеводство форма(Акционеры)" xfId="435" xr:uid="{023E36A2-7153-4545-90CA-3C1A935757B1}"/>
    <cellStyle name="_Final_Book_010301 1_М( ЗАР)" xfId="436" xr:uid="{DEB1A9EC-D6E1-46DD-9256-9FDEBAB8B6F6}"/>
    <cellStyle name="_Final_Book_010301 1_Модель АгроГард на 5 лет" xfId="437" xr:uid="{2F88137F-B319-4EE0-BA73-8D5EE74E2B4E}"/>
    <cellStyle name="_Final_Book_010301 1_раст.-факт" xfId="438" xr:uid="{69309B68-6D48-4F3C-8059-7291311F6D83}"/>
    <cellStyle name="_Final_Book_010301 1_Растениеводство форма( АГМ)" xfId="439" xr:uid="{A91AB2B1-A7C6-42C4-AF19-AECEE23DC095}"/>
    <cellStyle name="_Final_Book_010301 1_Свод по Агрохоолдингу  (в т.ч КБН  )" xfId="440" xr:uid="{88F781E0-9CE0-4E98-8E57-FDED4CD262D0}"/>
    <cellStyle name="_Final_Book_010301 1_Форма по растениеводству (Акционеры) ИЛЧ" xfId="441" xr:uid="{34CF63F7-B4B8-4112-ACD3-5387F51615CF}"/>
    <cellStyle name="_Final_Book_010301 2" xfId="442" xr:uid="{A97AECF0-7B74-4E03-B82D-A01E3B198CB1}"/>
    <cellStyle name="_Final_Book_010301 2_Копия Растениеводство форма(Акционеры)" xfId="443" xr:uid="{C970287A-2283-4DE1-BC2C-E758C025BD80}"/>
    <cellStyle name="_Final_Book_010301 2_М( ЗАР)" xfId="444" xr:uid="{F764C29A-1A96-49C9-95EF-8054C540E86E}"/>
    <cellStyle name="_Final_Book_010301 2_Модель АгроГард на 5 лет" xfId="445" xr:uid="{F399C0AC-2155-4B9E-9377-5CD12DBA4499}"/>
    <cellStyle name="_Final_Book_010301 2_раст.-факт" xfId="446" xr:uid="{B57FB1AA-B43B-4F15-8C32-C83F627CE511}"/>
    <cellStyle name="_Final_Book_010301 2_Растениеводство форма( АГМ)" xfId="447" xr:uid="{90132229-B911-455B-ADCD-CE947DA2E872}"/>
    <cellStyle name="_Final_Book_010301 2_Свод по Агрохоолдингу  (в т.ч КБН  )" xfId="448" xr:uid="{78CDF570-C1D5-4576-A8A1-D9AF2C041822}"/>
    <cellStyle name="_Final_Book_010301 2_Форма по растениеводству (Акционеры) ИЛЧ" xfId="449" xr:uid="{7D1576A8-E62A-4B87-A6AE-ACB9105CE481}"/>
    <cellStyle name="_Final_Book_010301 3" xfId="450" xr:uid="{E76112AD-2E19-4082-8538-8BDE8214BE06}"/>
    <cellStyle name="_Final_Book_010301 3_Копия Растениеводство форма(Акционеры)" xfId="451" xr:uid="{56155A48-CBC4-4350-96CC-7F61C5D8DA80}"/>
    <cellStyle name="_Final_Book_010301 3_М( ЗАР)" xfId="452" xr:uid="{F5BC4238-8546-46BA-9412-FBA42F25770A}"/>
    <cellStyle name="_Final_Book_010301 3_Модель АгроГард на 5 лет" xfId="453" xr:uid="{011AF85B-58DA-4392-B2D6-58D793EDAA4D}"/>
    <cellStyle name="_Final_Book_010301 3_раст.-факт" xfId="454" xr:uid="{DB3CAC36-6FE1-4650-8F5E-160A313D3F84}"/>
    <cellStyle name="_Final_Book_010301 3_Растениеводство форма( АГМ)" xfId="455" xr:uid="{C046D118-22AA-41C3-B953-1184458ACD21}"/>
    <cellStyle name="_Final_Book_010301 3_Свод по Агрохоолдингу  (в т.ч КБН  )" xfId="456" xr:uid="{B3A7F4FA-249F-46AC-9ED1-1A4D409CE722}"/>
    <cellStyle name="_Final_Book_010301 3_Форма по растениеводству (Акционеры) ИЛЧ" xfId="457" xr:uid="{B5ACA226-2008-48FD-ADED-F37AD9AB478D}"/>
    <cellStyle name="_Final_Book_010301_New Form10_2" xfId="458" xr:uid="{B33AEDE0-AF88-47FE-ACD8-4B023C242DCD}"/>
    <cellStyle name="_Final_Book_010301_New Form10_2 1" xfId="459" xr:uid="{5FCB0F58-0AAB-43C5-B220-34116B70F9D7}"/>
    <cellStyle name="_Final_Book_010301_New Form10_2 1_Копия Растениеводство форма(Акционеры)" xfId="460" xr:uid="{31D7042C-81E6-4C0E-AA2B-8F03925AEFD8}"/>
    <cellStyle name="_Final_Book_010301_New Form10_2 1_М( ЗАР)" xfId="461" xr:uid="{0AA66B8D-CE37-48E0-80DB-A285B0B61536}"/>
    <cellStyle name="_Final_Book_010301_New Form10_2 1_Модель АгроГард на 5 лет" xfId="462" xr:uid="{ABDB3C65-97B7-4342-BB0E-DD6E1B592FDC}"/>
    <cellStyle name="_Final_Book_010301_New Form10_2 1_раст.-факт" xfId="463" xr:uid="{CD3C88D3-2E0F-4FA5-B69E-95A594C84792}"/>
    <cellStyle name="_Final_Book_010301_New Form10_2 1_Растениеводство форма( АГМ)" xfId="464" xr:uid="{7B37A1A9-6945-4CB1-8031-E5F74CFE396C}"/>
    <cellStyle name="_Final_Book_010301_New Form10_2 1_Свод по Агрохоолдингу  (в т.ч КБН  )" xfId="465" xr:uid="{1CA3CFE5-3125-481E-A0FD-A5FF18C3B210}"/>
    <cellStyle name="_Final_Book_010301_New Form10_2 1_Форма по растениеводству (Акционеры) ИЛЧ" xfId="466" xr:uid="{7EF2ED80-7CA4-4315-9EF5-621D693442BF}"/>
    <cellStyle name="_Final_Book_010301_New Form10_2 2" xfId="467" xr:uid="{AB1A7635-FB30-43E5-BB55-DA53A030800E}"/>
    <cellStyle name="_Final_Book_010301_New Form10_2 2_Копия Растениеводство форма(Акционеры)" xfId="468" xr:uid="{45E7CC81-4BEE-4426-A1EE-B07CF7E45821}"/>
    <cellStyle name="_Final_Book_010301_New Form10_2 2_М( ЗАР)" xfId="469" xr:uid="{A9E7B8E4-2D47-4EC9-BD87-BE65D3256EBE}"/>
    <cellStyle name="_Final_Book_010301_New Form10_2 2_Модель АгроГард на 5 лет" xfId="470" xr:uid="{7930439F-8549-4B8F-97D5-426CC39738D1}"/>
    <cellStyle name="_Final_Book_010301_New Form10_2 2_раст.-факт" xfId="471" xr:uid="{C00CAB59-8CE1-4DB8-8D1E-97ED185C3A4E}"/>
    <cellStyle name="_Final_Book_010301_New Form10_2 2_Растениеводство форма( АГМ)" xfId="472" xr:uid="{2685E1A4-AA61-40A5-B57C-2F4677E7EA1B}"/>
    <cellStyle name="_Final_Book_010301_New Form10_2 2_Свод по Агрохоолдингу  (в т.ч КБН  )" xfId="473" xr:uid="{7D696820-BEF0-4F12-9038-B7F45D115618}"/>
    <cellStyle name="_Final_Book_010301_New Form10_2 2_Форма по растениеводству (Акционеры) ИЛЧ" xfId="474" xr:uid="{85B2E2FB-F159-4EB4-8D88-F063293B6F17}"/>
    <cellStyle name="_Final_Book_010301_New Form10_2 3" xfId="475" xr:uid="{7F5E865A-FC25-4FEE-A826-0B2C53BCCF7E}"/>
    <cellStyle name="_Final_Book_010301_New Form10_2 3_Копия Растениеводство форма(Акционеры)" xfId="476" xr:uid="{87583407-72AB-434B-9066-94BBE928CA0D}"/>
    <cellStyle name="_Final_Book_010301_New Form10_2 3_М( ЗАР)" xfId="477" xr:uid="{5583F1FE-DE48-482E-A47A-EA8F7453248D}"/>
    <cellStyle name="_Final_Book_010301_New Form10_2 3_Модель АгроГард на 5 лет" xfId="478" xr:uid="{29FFD172-D084-4AA7-B228-6993ECE97846}"/>
    <cellStyle name="_Final_Book_010301_New Form10_2 3_раст.-факт" xfId="479" xr:uid="{64FB4AA1-96B6-47F5-A407-5FDE8E88E588}"/>
    <cellStyle name="_Final_Book_010301_New Form10_2 3_Растениеводство форма( АГМ)" xfId="480" xr:uid="{00BE5499-EF25-4872-BCA9-15FDB2E3DE02}"/>
    <cellStyle name="_Final_Book_010301_New Form10_2 3_Свод по Агрохоолдингу  (в т.ч КБН  )" xfId="481" xr:uid="{83F27D8F-D9FE-488A-9AC8-DA3E9D47A63D}"/>
    <cellStyle name="_Final_Book_010301_New Form10_2 3_Форма по растениеводству (Акционеры) ИЛЧ" xfId="482" xr:uid="{45B0A53C-64CE-49F5-8E24-06B327747014}"/>
    <cellStyle name="_Final_Book_010301_New Form10_2_АГМ" xfId="483" xr:uid="{F5C1CA9B-CC8E-4024-802D-21F939E01ADC}"/>
    <cellStyle name="_Final_Book_010301_New Form10_2_Копия Растениеводство форма(Акционеры)" xfId="484" xr:uid="{04A0B5E9-F951-46E1-910D-D4B9556DBCB3}"/>
    <cellStyle name="_Final_Book_010301_New Form10_2_М( ЗАР)" xfId="485" xr:uid="{330FD318-79FD-4202-8CAD-BDF6E4BE0AD2}"/>
    <cellStyle name="_Final_Book_010301_New Form10_2_Модель АгроГард на 5 лет" xfId="486" xr:uid="{D84B32F9-C9D4-471B-8B77-54543F7D7CFF}"/>
    <cellStyle name="_Final_Book_010301_New Form10_2_НИК-09" xfId="487" xr:uid="{07B6C58B-CA24-43DE-844F-D8CF669C02A2}"/>
    <cellStyle name="_Final_Book_010301_New Form10_2_НИК-09 2" xfId="10217" xr:uid="{A71AD5D7-3761-46A5-AED6-0D0DB90ACA05}"/>
    <cellStyle name="_Final_Book_010301_New Form10_2_раст.-факт" xfId="488" xr:uid="{1EDE86D2-E930-4B3E-AD9D-D64195B0186D}"/>
    <cellStyle name="_Final_Book_010301_New Form10_2_Растениеводство форма( АГМ)" xfId="489" xr:uid="{4303699A-1019-4DA1-AC37-8B9E9CADE4F0}"/>
    <cellStyle name="_Final_Book_010301_New Form10_2_Свод по Агрохоолдингу  (в т.ч КБН  )" xfId="490" xr:uid="{934A8565-20C2-4D21-A697-DD542F754916}"/>
    <cellStyle name="_Final_Book_010301_New Form10_2_ТК-2011 АГМ+транспорт" xfId="491" xr:uid="{67750A5C-5242-46D5-B50A-4763A22273D8}"/>
    <cellStyle name="_Final_Book_010301_New Form10_2_Форма по растениеводству (Акционеры) ИЛЧ" xfId="492" xr:uid="{ABAE3716-810B-4746-BD7A-2F862D058DB1}"/>
    <cellStyle name="_Final_Book_010301_Nsi" xfId="493" xr:uid="{5DF2A447-E9E2-4317-AA1E-7EFDF36FA0CA}"/>
    <cellStyle name="_Final_Book_010301_Nsi 1" xfId="494" xr:uid="{58D7B9BA-66B5-4A40-BF6F-B6A59436C94D}"/>
    <cellStyle name="_Final_Book_010301_Nsi 1_Копия Растениеводство форма(Акционеры)" xfId="495" xr:uid="{D649622D-0B93-4FF6-A759-3F9AF58A4036}"/>
    <cellStyle name="_Final_Book_010301_Nsi 1_М( ЗАР)" xfId="496" xr:uid="{F9ED594A-FD56-44B0-9635-6837DA013276}"/>
    <cellStyle name="_Final_Book_010301_Nsi 1_Модель АгроГард на 5 лет" xfId="497" xr:uid="{3BFD6361-9AF7-46F5-BB64-B11FE741C4A4}"/>
    <cellStyle name="_Final_Book_010301_Nsi 1_раст.-факт" xfId="498" xr:uid="{3E0D63AD-8AA0-4D79-8781-660F3DF53754}"/>
    <cellStyle name="_Final_Book_010301_Nsi 1_Растениеводство форма( АГМ)" xfId="499" xr:uid="{8681F842-536E-4C09-9959-E72F45DAF914}"/>
    <cellStyle name="_Final_Book_010301_Nsi 1_Свод по Агрохоолдингу  (в т.ч КБН  )" xfId="500" xr:uid="{1EFE3DF3-C56F-43A1-BC2F-E57AF5C4DDBE}"/>
    <cellStyle name="_Final_Book_010301_Nsi 1_Форма по растениеводству (Акционеры) ИЛЧ" xfId="501" xr:uid="{98E555A3-C17C-4963-866D-0308055F0C82}"/>
    <cellStyle name="_Final_Book_010301_Nsi 2" xfId="502" xr:uid="{8F533E57-8059-4DF5-9435-53AB2EFC4E12}"/>
    <cellStyle name="_Final_Book_010301_Nsi 2_Копия Растениеводство форма(Акционеры)" xfId="503" xr:uid="{E0CFD7A6-7339-4F8C-B6FF-1C05A3AC4A85}"/>
    <cellStyle name="_Final_Book_010301_Nsi 2_М( ЗАР)" xfId="504" xr:uid="{86F59AC6-08DE-4720-89E9-8819DCC6F02F}"/>
    <cellStyle name="_Final_Book_010301_Nsi 2_Модель АгроГард на 5 лет" xfId="505" xr:uid="{09E88DD0-FBFE-48C2-BD47-1B54C566ACA9}"/>
    <cellStyle name="_Final_Book_010301_Nsi 2_раст.-факт" xfId="506" xr:uid="{BFC104CF-1CDC-4300-859E-D3A0215DA1FB}"/>
    <cellStyle name="_Final_Book_010301_Nsi 2_Растениеводство форма( АГМ)" xfId="507" xr:uid="{D91CF5E2-4817-4419-A0D0-ED6E7B2C49CF}"/>
    <cellStyle name="_Final_Book_010301_Nsi 2_Свод по Агрохоолдингу  (в т.ч КБН  )" xfId="508" xr:uid="{CF71DCF9-6387-46F6-9EFC-5050BB199781}"/>
    <cellStyle name="_Final_Book_010301_Nsi 2_Форма по растениеводству (Акционеры) ИЛЧ" xfId="509" xr:uid="{D67712A9-EC77-49AD-B503-CADCF3D9D732}"/>
    <cellStyle name="_Final_Book_010301_Nsi 3" xfId="510" xr:uid="{7F714925-6C07-402F-BC9D-9B440A2D3A3B}"/>
    <cellStyle name="_Final_Book_010301_Nsi 3_Копия Растениеводство форма(Акционеры)" xfId="511" xr:uid="{86196365-66D8-453B-A4FC-444A8A758B24}"/>
    <cellStyle name="_Final_Book_010301_Nsi 3_М( ЗАР)" xfId="512" xr:uid="{E15959B1-D446-4688-BB22-4FCD135F82C8}"/>
    <cellStyle name="_Final_Book_010301_Nsi 3_Модель АгроГард на 5 лет" xfId="513" xr:uid="{7233A6C7-EE2E-49C1-9FCE-7D0BADFC206A}"/>
    <cellStyle name="_Final_Book_010301_Nsi 3_раст.-факт" xfId="514" xr:uid="{6D7ACDD1-287D-4C54-A9B6-532D89DC2AB2}"/>
    <cellStyle name="_Final_Book_010301_Nsi 3_Растениеводство форма( АГМ)" xfId="515" xr:uid="{5E642655-9751-4F75-87A8-15E88F996584}"/>
    <cellStyle name="_Final_Book_010301_Nsi 3_Свод по Агрохоолдингу  (в т.ч КБН  )" xfId="516" xr:uid="{11C92D8D-E6A7-4959-ADC7-21949C3506F5}"/>
    <cellStyle name="_Final_Book_010301_Nsi 3_Форма по растениеводству (Акционеры) ИЛЧ" xfId="517" xr:uid="{512BCECA-4395-45A6-AD54-676487EBB953}"/>
    <cellStyle name="_Final_Book_010301_Nsi_1" xfId="518" xr:uid="{FAACE04C-5E71-495F-9AD5-672C82BF6B3C}"/>
    <cellStyle name="_Final_Book_010301_Nsi_1 1" xfId="519" xr:uid="{D2271896-1BDE-4F92-B91C-C0352C611880}"/>
    <cellStyle name="_Final_Book_010301_Nsi_1 1_Копия Растениеводство форма(Акционеры)" xfId="520" xr:uid="{4D5DC9BF-B44D-4599-B302-F8B54575D591}"/>
    <cellStyle name="_Final_Book_010301_Nsi_1 1_М( ЗАР)" xfId="521" xr:uid="{76A51752-9CEB-42BB-8201-F343217BE80F}"/>
    <cellStyle name="_Final_Book_010301_Nsi_1 1_Модель АгроГард на 5 лет" xfId="522" xr:uid="{FE9923FA-DD03-4892-8FE5-C5D48EA6F604}"/>
    <cellStyle name="_Final_Book_010301_Nsi_1 1_раст.-факт" xfId="523" xr:uid="{5CFC260B-A8BA-4016-8467-792C85C88E88}"/>
    <cellStyle name="_Final_Book_010301_Nsi_1 1_Растениеводство форма( АГМ)" xfId="524" xr:uid="{0F759FE1-E021-489C-AB62-E0C044B27750}"/>
    <cellStyle name="_Final_Book_010301_Nsi_1 1_Свод по Агрохоолдингу  (в т.ч КБН  )" xfId="525" xr:uid="{36C8BF9E-0C24-4494-B3F0-E1490D2E0801}"/>
    <cellStyle name="_Final_Book_010301_Nsi_1 1_Форма по растениеводству (Акционеры) ИЛЧ" xfId="526" xr:uid="{8C143E32-125C-4C0A-B878-3DDB12C3BB83}"/>
    <cellStyle name="_Final_Book_010301_Nsi_1 2" xfId="527" xr:uid="{E94F96F0-4C9B-4A1B-92A6-B44A36E56B0E}"/>
    <cellStyle name="_Final_Book_010301_Nsi_1 2_Копия Растениеводство форма(Акционеры)" xfId="528" xr:uid="{9EA95CC2-D3EF-4319-8580-5C63D499DEA4}"/>
    <cellStyle name="_Final_Book_010301_Nsi_1 2_М( ЗАР)" xfId="529" xr:uid="{81CE899C-09B8-4897-A8BE-C9708835DFB7}"/>
    <cellStyle name="_Final_Book_010301_Nsi_1 2_Модель АгроГард на 5 лет" xfId="530" xr:uid="{742F3076-BD8A-4C40-BE6F-315C856E635F}"/>
    <cellStyle name="_Final_Book_010301_Nsi_1 2_раст.-факт" xfId="531" xr:uid="{AEE38888-28DD-44B5-A069-D2853C818E9A}"/>
    <cellStyle name="_Final_Book_010301_Nsi_1 2_Растениеводство форма( АГМ)" xfId="532" xr:uid="{05EE2C5D-FA4A-41A2-9B0E-F3C745066A4D}"/>
    <cellStyle name="_Final_Book_010301_Nsi_1 2_Свод по Агрохоолдингу  (в т.ч КБН  )" xfId="533" xr:uid="{818692E6-2B1D-4883-90DC-14977176BBFF}"/>
    <cellStyle name="_Final_Book_010301_Nsi_1 2_Форма по растениеводству (Акционеры) ИЛЧ" xfId="534" xr:uid="{C2EE2236-ECB9-493A-811E-241A9E02D72D}"/>
    <cellStyle name="_Final_Book_010301_Nsi_1 3" xfId="535" xr:uid="{D3C2931D-6F82-44C5-A0CF-F9DE82D90156}"/>
    <cellStyle name="_Final_Book_010301_Nsi_1 3_Копия Растениеводство форма(Акционеры)" xfId="536" xr:uid="{3DE908B9-A89E-4DB3-948D-AEB3F100031C}"/>
    <cellStyle name="_Final_Book_010301_Nsi_1 3_М( ЗАР)" xfId="537" xr:uid="{0516BDD2-26AB-4831-B2D1-56B464C58E2B}"/>
    <cellStyle name="_Final_Book_010301_Nsi_1 3_Модель АгроГард на 5 лет" xfId="538" xr:uid="{6F2A081D-09BE-4A41-AEA2-8C88584FA1DA}"/>
    <cellStyle name="_Final_Book_010301_Nsi_1 3_раст.-факт" xfId="539" xr:uid="{FF632A3D-E723-4060-A8F1-10FCE4D667B6}"/>
    <cellStyle name="_Final_Book_010301_Nsi_1 3_Растениеводство форма( АГМ)" xfId="540" xr:uid="{E7103DAF-4DAC-47A2-B3B2-1BCCD5D1BD4F}"/>
    <cellStyle name="_Final_Book_010301_Nsi_1 3_Свод по Агрохоолдингу  (в т.ч КБН  )" xfId="541" xr:uid="{C9AE9D88-CD21-4F95-8968-D0CDCF1BEEA5}"/>
    <cellStyle name="_Final_Book_010301_Nsi_1 3_Форма по растениеводству (Акционеры) ИЛЧ" xfId="542" xr:uid="{C1BDFE61-DA7E-4A6E-981F-14A856DA46E5}"/>
    <cellStyle name="_Final_Book_010301_Nsi_1_АГМ" xfId="543" xr:uid="{E7E57FAC-B8DC-4004-8707-964C2DC0125F}"/>
    <cellStyle name="_Final_Book_010301_Nsi_1_Копия Растениеводство форма(Акционеры)" xfId="544" xr:uid="{4F16AFD1-C020-4021-898A-E160130540B1}"/>
    <cellStyle name="_Final_Book_010301_Nsi_1_М( ЗАР)" xfId="545" xr:uid="{BB8C00B3-91EF-44D2-8EF0-4B666EF052C4}"/>
    <cellStyle name="_Final_Book_010301_Nsi_1_Модель АгроГард на 5 лет" xfId="546" xr:uid="{8B8D2954-6DCB-4CBC-A06E-C052FEC96390}"/>
    <cellStyle name="_Final_Book_010301_Nsi_1_НИК-09" xfId="547" xr:uid="{9AC28202-D1B3-4E38-B0AD-8BAF1EAE50B2}"/>
    <cellStyle name="_Final_Book_010301_Nsi_1_НИК-09 2" xfId="10218" xr:uid="{249366FF-F738-4F4F-AD8D-5D32953D20E4}"/>
    <cellStyle name="_Final_Book_010301_Nsi_1_раст.-факт" xfId="548" xr:uid="{753F08E4-620D-429C-B449-A04A0843F725}"/>
    <cellStyle name="_Final_Book_010301_Nsi_1_Растениеводство форма( АГМ)" xfId="549" xr:uid="{33FE3611-B5F8-4C27-861E-6BF1BE893AF4}"/>
    <cellStyle name="_Final_Book_010301_Nsi_1_Свод по Агрохоолдингу  (в т.ч КБН  )" xfId="550" xr:uid="{EFFABAD6-5AF9-420E-AE78-B3877974EB59}"/>
    <cellStyle name="_Final_Book_010301_Nsi_1_ТК-2011 АГМ+транспорт" xfId="551" xr:uid="{543878DF-4EEC-4F14-BE62-375DD7FE8785}"/>
    <cellStyle name="_Final_Book_010301_Nsi_1_Форма по растениеводству (Акционеры) ИЛЧ" xfId="552" xr:uid="{E530C055-2E98-4630-83F6-EA035333AC2D}"/>
    <cellStyle name="_Final_Book_010301_Nsi_139" xfId="553" xr:uid="{EFBFC355-E341-49D7-B29F-0009A55D8605}"/>
    <cellStyle name="_Final_Book_010301_Nsi_139 1" xfId="554" xr:uid="{796847EC-A9C5-4094-8E08-71AFED947001}"/>
    <cellStyle name="_Final_Book_010301_Nsi_139 1_Копия Растениеводство форма(Акционеры)" xfId="555" xr:uid="{88051ECD-0144-42D8-AE2F-DF5CE28F6FDC}"/>
    <cellStyle name="_Final_Book_010301_Nsi_139 1_М( ЗАР)" xfId="556" xr:uid="{8D5A4BC6-9D41-4463-824F-041BCC9C7909}"/>
    <cellStyle name="_Final_Book_010301_Nsi_139 1_Модель АгроГард на 5 лет" xfId="557" xr:uid="{CDDE3678-A097-42B1-9F24-CFF8EE1D703B}"/>
    <cellStyle name="_Final_Book_010301_Nsi_139 1_раст.-факт" xfId="558" xr:uid="{EDDE886C-CDA8-442B-9E77-AE1CC4635E5D}"/>
    <cellStyle name="_Final_Book_010301_Nsi_139 1_Растениеводство форма( АГМ)" xfId="559" xr:uid="{008DF2F7-FD23-4800-AAF7-E95DF35EDD8F}"/>
    <cellStyle name="_Final_Book_010301_Nsi_139 1_Свод по Агрохоолдингу  (в т.ч КБН  )" xfId="560" xr:uid="{CF565765-323E-4C42-8493-75BF5F852FE5}"/>
    <cellStyle name="_Final_Book_010301_Nsi_139 1_Форма по растениеводству (Акционеры) ИЛЧ" xfId="561" xr:uid="{42629028-D855-4051-B11D-37F7BE77302E}"/>
    <cellStyle name="_Final_Book_010301_Nsi_139 2" xfId="562" xr:uid="{09D5E575-69E1-486B-A720-155B0F262E05}"/>
    <cellStyle name="_Final_Book_010301_Nsi_139 2_Копия Растениеводство форма(Акционеры)" xfId="563" xr:uid="{EEE1680C-4CCA-4E71-92DA-E9748F18710B}"/>
    <cellStyle name="_Final_Book_010301_Nsi_139 2_М( ЗАР)" xfId="564" xr:uid="{1CB54B1F-C6EE-41DF-90A6-9F952CA77C8A}"/>
    <cellStyle name="_Final_Book_010301_Nsi_139 2_Модель АгроГард на 5 лет" xfId="565" xr:uid="{57E7A9C1-6A7C-4195-BA3C-664AD68E3C6C}"/>
    <cellStyle name="_Final_Book_010301_Nsi_139 2_раст.-факт" xfId="566" xr:uid="{2C5E5984-4E73-4A48-8724-671C1AD1B29A}"/>
    <cellStyle name="_Final_Book_010301_Nsi_139 2_Растениеводство форма( АГМ)" xfId="567" xr:uid="{B9483EB4-9F7B-4B16-A57B-E77DDC9519F7}"/>
    <cellStyle name="_Final_Book_010301_Nsi_139 2_Свод по Агрохоолдингу  (в т.ч КБН  )" xfId="568" xr:uid="{3E82E41B-927A-4074-A6C3-D43C8226D3CD}"/>
    <cellStyle name="_Final_Book_010301_Nsi_139 2_Форма по растениеводству (Акционеры) ИЛЧ" xfId="569" xr:uid="{0E1BF593-9377-49FE-BC6F-B6499D934461}"/>
    <cellStyle name="_Final_Book_010301_Nsi_139 3" xfId="570" xr:uid="{0FB6545C-E0C2-4A20-BDFE-5D7FEE84DD73}"/>
    <cellStyle name="_Final_Book_010301_Nsi_139 3_Копия Растениеводство форма(Акционеры)" xfId="571" xr:uid="{1F014949-B339-485A-AB52-622D67AB9449}"/>
    <cellStyle name="_Final_Book_010301_Nsi_139 3_М( ЗАР)" xfId="572" xr:uid="{00C25EBE-AF3A-470F-8F63-BB517BB91D84}"/>
    <cellStyle name="_Final_Book_010301_Nsi_139 3_Модель АгроГард на 5 лет" xfId="573" xr:uid="{05E20AC5-D538-4BE1-B245-2696A9D4FB4C}"/>
    <cellStyle name="_Final_Book_010301_Nsi_139 3_раст.-факт" xfId="574" xr:uid="{98318600-F0A1-4F2C-BEA4-C1516B7E30DC}"/>
    <cellStyle name="_Final_Book_010301_Nsi_139 3_Растениеводство форма( АГМ)" xfId="575" xr:uid="{48CDD6B3-A8A3-490C-B975-97F94974CA52}"/>
    <cellStyle name="_Final_Book_010301_Nsi_139 3_Свод по Агрохоолдингу  (в т.ч КБН  )" xfId="576" xr:uid="{EFBA7184-1413-4DE7-A0CD-04B720250067}"/>
    <cellStyle name="_Final_Book_010301_Nsi_139 3_Форма по растениеводству (Акционеры) ИЛЧ" xfId="577" xr:uid="{89985BF9-96F4-4344-81A7-2791B6CC7DB1}"/>
    <cellStyle name="_Final_Book_010301_Nsi_139_АГМ" xfId="578" xr:uid="{8FCA3B50-8F68-41F3-8343-3C2C96B168E4}"/>
    <cellStyle name="_Final_Book_010301_Nsi_139_Копия Растениеводство форма(Акционеры)" xfId="579" xr:uid="{1A8A5ADB-DFEE-467E-B17F-06196C27AFF6}"/>
    <cellStyle name="_Final_Book_010301_Nsi_139_М( ЗАР)" xfId="580" xr:uid="{4D4D8CE5-33BA-4A0C-8EE4-DD6CE8277C33}"/>
    <cellStyle name="_Final_Book_010301_Nsi_139_Модель АгроГард на 5 лет" xfId="581" xr:uid="{CC052197-828A-4116-AB4C-358AF5DA4A33}"/>
    <cellStyle name="_Final_Book_010301_Nsi_139_НИК-09" xfId="582" xr:uid="{8125223F-EEF0-44AD-A4AB-486714C4FF5B}"/>
    <cellStyle name="_Final_Book_010301_Nsi_139_НИК-09 2" xfId="10219" xr:uid="{8CF8CCF8-40CD-442B-B5E9-8A432BB11168}"/>
    <cellStyle name="_Final_Book_010301_Nsi_139_раст.-факт" xfId="583" xr:uid="{5402D5CC-B9B5-4EEF-AB2A-A41963C32B8F}"/>
    <cellStyle name="_Final_Book_010301_Nsi_139_Растениеводство форма( АГМ)" xfId="584" xr:uid="{F1BE6C15-70B9-4D52-9CD0-115B2AFAB850}"/>
    <cellStyle name="_Final_Book_010301_Nsi_139_Свод по Агрохоолдингу  (в т.ч КБН  )" xfId="585" xr:uid="{2DC0C2D6-4028-4D6F-A2CE-EF0156F2F673}"/>
    <cellStyle name="_Final_Book_010301_Nsi_139_ТК-2011 АГМ+транспорт" xfId="586" xr:uid="{53D53070-97BE-4D63-8D16-D14BB57497A6}"/>
    <cellStyle name="_Final_Book_010301_Nsi_139_Форма по растениеводству (Акционеры) ИЛЧ" xfId="587" xr:uid="{5A00B87E-05A5-4C37-9BF9-DAB2F44B9089}"/>
    <cellStyle name="_Final_Book_010301_Nsi_140" xfId="588" xr:uid="{D2E37965-D294-4916-A63A-D7F6150BB6CB}"/>
    <cellStyle name="_Final_Book_010301_Nsi_140 1" xfId="589" xr:uid="{7D4AEC0D-C486-45EA-95FC-492BA6A6A738}"/>
    <cellStyle name="_Final_Book_010301_Nsi_140 1_Копия Растениеводство форма(Акционеры)" xfId="590" xr:uid="{1A5D1931-E64F-4282-9D2C-1AC07D5324C1}"/>
    <cellStyle name="_Final_Book_010301_Nsi_140 1_М( ЗАР)" xfId="591" xr:uid="{C670250F-DCF6-4DA1-A60E-E6B002655254}"/>
    <cellStyle name="_Final_Book_010301_Nsi_140 1_Модель АгроГард на 5 лет" xfId="592" xr:uid="{E526F4CA-EFDC-4F1F-B460-3E3C1F805D11}"/>
    <cellStyle name="_Final_Book_010301_Nsi_140 1_раст.-факт" xfId="593" xr:uid="{E413EAD1-61F1-4E9C-AAC5-89999B6487A1}"/>
    <cellStyle name="_Final_Book_010301_Nsi_140 1_Растениеводство форма( АГМ)" xfId="594" xr:uid="{86B8F643-5F57-423E-A838-9E154E0D14EC}"/>
    <cellStyle name="_Final_Book_010301_Nsi_140 1_Свод по Агрохоолдингу  (в т.ч КБН  )" xfId="595" xr:uid="{C34CD0A0-EA44-4354-AF46-1CE884A158D6}"/>
    <cellStyle name="_Final_Book_010301_Nsi_140 1_Форма по растениеводству (Акционеры) ИЛЧ" xfId="596" xr:uid="{ACBA5174-279B-4812-9E84-2C1F30FF1D86}"/>
    <cellStyle name="_Final_Book_010301_Nsi_140 2" xfId="597" xr:uid="{11F531F1-CB23-47EE-84AA-03E855217553}"/>
    <cellStyle name="_Final_Book_010301_Nsi_140 2_Копия Растениеводство форма(Акционеры)" xfId="598" xr:uid="{DD3A2C91-7775-4740-98E1-232019EF6586}"/>
    <cellStyle name="_Final_Book_010301_Nsi_140 2_М( ЗАР)" xfId="599" xr:uid="{A9312663-5B86-4322-9E0A-DF43FF661D5B}"/>
    <cellStyle name="_Final_Book_010301_Nsi_140 2_Модель АгроГард на 5 лет" xfId="600" xr:uid="{CD2B49CD-C9FD-4062-9115-B96223D3422C}"/>
    <cellStyle name="_Final_Book_010301_Nsi_140 2_раст.-факт" xfId="601" xr:uid="{48DB643C-E9F5-4549-B767-A7AC706F4A53}"/>
    <cellStyle name="_Final_Book_010301_Nsi_140 2_Растениеводство форма( АГМ)" xfId="602" xr:uid="{EE203FB1-DA0D-4821-8586-678FABAA01DB}"/>
    <cellStyle name="_Final_Book_010301_Nsi_140 2_Свод по Агрохоолдингу  (в т.ч КБН  )" xfId="603" xr:uid="{E7FBCD69-C4B8-4117-BE2F-E0E509264589}"/>
    <cellStyle name="_Final_Book_010301_Nsi_140 2_Форма по растениеводству (Акционеры) ИЛЧ" xfId="604" xr:uid="{0A0225EF-DF20-47FA-82B8-3E9E8F6E1B95}"/>
    <cellStyle name="_Final_Book_010301_Nsi_140 3" xfId="605" xr:uid="{24F7420B-AD75-4BE6-8777-CF2E726188D4}"/>
    <cellStyle name="_Final_Book_010301_Nsi_140 3_Копия Растениеводство форма(Акционеры)" xfId="606" xr:uid="{9D70699F-113B-4307-9932-0E4BE1DEF119}"/>
    <cellStyle name="_Final_Book_010301_Nsi_140 3_М( ЗАР)" xfId="607" xr:uid="{637DCE1F-995F-45B0-A1FE-40035FB6CCE7}"/>
    <cellStyle name="_Final_Book_010301_Nsi_140 3_Модель АгроГард на 5 лет" xfId="608" xr:uid="{C5611106-4D98-4631-9B9E-2B60C3AF580B}"/>
    <cellStyle name="_Final_Book_010301_Nsi_140 3_раст.-факт" xfId="609" xr:uid="{8C48BF37-1311-439A-8C26-01F77519BAAB}"/>
    <cellStyle name="_Final_Book_010301_Nsi_140 3_Растениеводство форма( АГМ)" xfId="610" xr:uid="{80DAEE2A-F5F9-4EC9-A27D-96403F50E92F}"/>
    <cellStyle name="_Final_Book_010301_Nsi_140 3_Свод по Агрохоолдингу  (в т.ч КБН  )" xfId="611" xr:uid="{9BFF00BE-0643-4FD5-A0F8-32BA3C524B04}"/>
    <cellStyle name="_Final_Book_010301_Nsi_140 3_Форма по растениеводству (Акционеры) ИЛЧ" xfId="612" xr:uid="{2FBB8555-F26A-4D80-B8D6-CBAE4FB9661E}"/>
    <cellStyle name="_Final_Book_010301_Nsi_140(Зах)" xfId="613" xr:uid="{46B94499-C753-46F1-9750-43FCE3CEA43A}"/>
    <cellStyle name="_Final_Book_010301_Nsi_140(Зах) 1" xfId="614" xr:uid="{54FFFB0B-BD58-4353-893E-C652E2F4CD9F}"/>
    <cellStyle name="_Final_Book_010301_Nsi_140(Зах) 1_Копия Растениеводство форма(Акционеры)" xfId="615" xr:uid="{6EFADE7A-ED70-44D4-A2CA-3C4E5FCF7A98}"/>
    <cellStyle name="_Final_Book_010301_Nsi_140(Зах) 1_М( ЗАР)" xfId="616" xr:uid="{708FC188-4933-4DBA-BA83-9D478EA7F77F}"/>
    <cellStyle name="_Final_Book_010301_Nsi_140(Зах) 1_Модель АгроГард на 5 лет" xfId="617" xr:uid="{8D01353F-E04E-454A-80BF-C89C64B7A2F2}"/>
    <cellStyle name="_Final_Book_010301_Nsi_140(Зах) 1_раст.-факт" xfId="618" xr:uid="{E44B6E49-9205-4EFB-9315-0EA9EB45EECA}"/>
    <cellStyle name="_Final_Book_010301_Nsi_140(Зах) 1_Растениеводство форма( АГМ)" xfId="619" xr:uid="{B8114CA7-4D7F-40D3-8632-6F07245D7475}"/>
    <cellStyle name="_Final_Book_010301_Nsi_140(Зах) 1_Свод по Агрохоолдингу  (в т.ч КБН  )" xfId="620" xr:uid="{D7693718-B2A9-4ECF-981E-8DAF2705654E}"/>
    <cellStyle name="_Final_Book_010301_Nsi_140(Зах) 1_Форма по растениеводству (Акционеры) ИЛЧ" xfId="621" xr:uid="{309610C7-1798-49B2-BBAA-6E212575241D}"/>
    <cellStyle name="_Final_Book_010301_Nsi_140(Зах) 2" xfId="622" xr:uid="{D91F27A9-18E0-4BA4-AF06-928726526B55}"/>
    <cellStyle name="_Final_Book_010301_Nsi_140(Зах) 2_Копия Растениеводство форма(Акционеры)" xfId="623" xr:uid="{AFAB7625-D0F9-4054-B6AD-FDF6239EB539}"/>
    <cellStyle name="_Final_Book_010301_Nsi_140(Зах) 2_М( ЗАР)" xfId="624" xr:uid="{663CD57F-1E04-4552-8D0B-42CFD29679A0}"/>
    <cellStyle name="_Final_Book_010301_Nsi_140(Зах) 2_Модель АгроГард на 5 лет" xfId="625" xr:uid="{2DB52F13-C5AD-4418-B08B-1942533C1DFC}"/>
    <cellStyle name="_Final_Book_010301_Nsi_140(Зах) 2_раст.-факт" xfId="626" xr:uid="{26E19666-FD61-45E1-AF33-4301842017AA}"/>
    <cellStyle name="_Final_Book_010301_Nsi_140(Зах) 2_Растениеводство форма( АГМ)" xfId="627" xr:uid="{F4861F23-4C28-4847-90FA-B72553473CAA}"/>
    <cellStyle name="_Final_Book_010301_Nsi_140(Зах) 2_Свод по Агрохоолдингу  (в т.ч КБН  )" xfId="628" xr:uid="{4EC01C78-5EF3-4827-A384-F7A72521713D}"/>
    <cellStyle name="_Final_Book_010301_Nsi_140(Зах) 2_Форма по растениеводству (Акционеры) ИЛЧ" xfId="629" xr:uid="{9BEDD794-2E7D-4B7F-A067-1B14AA0EC9B2}"/>
    <cellStyle name="_Final_Book_010301_Nsi_140(Зах) 3" xfId="630" xr:uid="{90A8C866-5AF8-496A-8251-673BECF746A7}"/>
    <cellStyle name="_Final_Book_010301_Nsi_140(Зах) 3_Копия Растениеводство форма(Акционеры)" xfId="631" xr:uid="{7F9DCF85-1800-4A99-A9E7-B11F632FE23E}"/>
    <cellStyle name="_Final_Book_010301_Nsi_140(Зах) 3_М( ЗАР)" xfId="632" xr:uid="{B260C3B3-A7FD-4E3F-87F4-C998A1D4BAE5}"/>
    <cellStyle name="_Final_Book_010301_Nsi_140(Зах) 3_Модель АгроГард на 5 лет" xfId="633" xr:uid="{D3DCA5AD-0BF4-4122-BDFA-3AEDD4D029E4}"/>
    <cellStyle name="_Final_Book_010301_Nsi_140(Зах) 3_раст.-факт" xfId="634" xr:uid="{7F06FEEA-2730-49F2-A5C1-274880771CCB}"/>
    <cellStyle name="_Final_Book_010301_Nsi_140(Зах) 3_Растениеводство форма( АГМ)" xfId="635" xr:uid="{AA750C16-35DB-483F-B2C2-6E065EF914C4}"/>
    <cellStyle name="_Final_Book_010301_Nsi_140(Зах) 3_Свод по Агрохоолдингу  (в т.ч КБН  )" xfId="636" xr:uid="{8599CCCC-4E27-45C4-82FB-2467484FC251}"/>
    <cellStyle name="_Final_Book_010301_Nsi_140(Зах) 3_Форма по растениеводству (Акционеры) ИЛЧ" xfId="637" xr:uid="{6C116836-65EE-4DE3-9AFE-1324A3B11ABE}"/>
    <cellStyle name="_Final_Book_010301_Nsi_140(Зах)_АГМ" xfId="638" xr:uid="{4F28DF62-F58E-425E-8E41-C3A0C09DD7D0}"/>
    <cellStyle name="_Final_Book_010301_Nsi_140(Зах)_Копия Растениеводство форма(Акционеры)" xfId="639" xr:uid="{FAD6097F-BF6F-4F35-ABB8-E41F0EF51E36}"/>
    <cellStyle name="_Final_Book_010301_Nsi_140(Зах)_М( ЗАР)" xfId="640" xr:uid="{E43A5690-F5A6-41A3-B8E2-E79F4BC4621E}"/>
    <cellStyle name="_Final_Book_010301_Nsi_140(Зах)_Модель АгроГард на 5 лет" xfId="641" xr:uid="{EEAE52AB-305E-4F4F-A49C-DB4DCDC4D52E}"/>
    <cellStyle name="_Final_Book_010301_Nsi_140(Зах)_НИК-09" xfId="642" xr:uid="{1FCEEB82-2862-4C0A-85E7-4CA861F1DFA3}"/>
    <cellStyle name="_Final_Book_010301_Nsi_140(Зах)_НИК-09 2" xfId="10220" xr:uid="{854C96EF-9FA4-4CF9-9240-3A72175CBA92}"/>
    <cellStyle name="_Final_Book_010301_Nsi_140(Зах)_раст.-факт" xfId="643" xr:uid="{B0BCA2AB-2DF6-406C-B248-1C35418B706C}"/>
    <cellStyle name="_Final_Book_010301_Nsi_140(Зах)_Растениеводство форма( АГМ)" xfId="644" xr:uid="{39D8A732-3563-4DF8-AFB3-1D1B61D3BA8A}"/>
    <cellStyle name="_Final_Book_010301_Nsi_140(Зах)_Свод по Агрохоолдингу  (в т.ч КБН  )" xfId="645" xr:uid="{92A0CE10-D025-4F51-8B56-D004CD998186}"/>
    <cellStyle name="_Final_Book_010301_Nsi_140(Зах)_ТК-2011 АГМ+транспорт" xfId="646" xr:uid="{FFE43070-BD8C-4C8A-8EC7-7BDC1313CA59}"/>
    <cellStyle name="_Final_Book_010301_Nsi_140(Зах)_Форма по растениеводству (Акционеры) ИЛЧ" xfId="647" xr:uid="{B0DD6659-BA53-4E65-AE96-FC4BD1AA3E43}"/>
    <cellStyle name="_Final_Book_010301_Nsi_140_mod" xfId="648" xr:uid="{70F79123-F6AE-4BE3-9D33-BB033A58908C}"/>
    <cellStyle name="_Final_Book_010301_Nsi_140_mod 1" xfId="649" xr:uid="{84D47C86-306E-4055-9664-97BD0638CD47}"/>
    <cellStyle name="_Final_Book_010301_Nsi_140_mod 1_Копия Растениеводство форма(Акционеры)" xfId="650" xr:uid="{641F9183-629B-4E65-ACA5-EF211F5DA041}"/>
    <cellStyle name="_Final_Book_010301_Nsi_140_mod 1_М( ЗАР)" xfId="651" xr:uid="{9AE8CF63-CE78-4DF4-A7D4-A7C99E21B8FA}"/>
    <cellStyle name="_Final_Book_010301_Nsi_140_mod 1_Модель АгроГард на 5 лет" xfId="652" xr:uid="{F444AF44-C3BB-4C6C-AC03-62296595CDEA}"/>
    <cellStyle name="_Final_Book_010301_Nsi_140_mod 1_раст.-факт" xfId="653" xr:uid="{EDE0754A-6F2E-498A-BB73-3F87EB3ADD41}"/>
    <cellStyle name="_Final_Book_010301_Nsi_140_mod 1_Растениеводство форма( АГМ)" xfId="654" xr:uid="{EBC88AE9-750D-4417-A5BB-A72496C050BB}"/>
    <cellStyle name="_Final_Book_010301_Nsi_140_mod 1_Свод по Агрохоолдингу  (в т.ч КБН  )" xfId="655" xr:uid="{49C2C606-C259-482D-A171-7C22EA796D56}"/>
    <cellStyle name="_Final_Book_010301_Nsi_140_mod 1_Форма по растениеводству (Акционеры) ИЛЧ" xfId="656" xr:uid="{D165C802-3952-493B-8442-88E984743D7E}"/>
    <cellStyle name="_Final_Book_010301_Nsi_140_mod 2" xfId="657" xr:uid="{B66F20E3-C5E5-4A8A-9BB8-81C7231FF80D}"/>
    <cellStyle name="_Final_Book_010301_Nsi_140_mod 2_Копия Растениеводство форма(Акционеры)" xfId="658" xr:uid="{69F4E373-20BE-482D-84FB-EBCDEC2AF3F9}"/>
    <cellStyle name="_Final_Book_010301_Nsi_140_mod 2_М( ЗАР)" xfId="659" xr:uid="{DBB20F45-04F7-4857-B7EF-26F98ECBF147}"/>
    <cellStyle name="_Final_Book_010301_Nsi_140_mod 2_Модель АгроГард на 5 лет" xfId="660" xr:uid="{842F78A6-6590-4E3B-8B15-3411EE0DBF77}"/>
    <cellStyle name="_Final_Book_010301_Nsi_140_mod 2_раст.-факт" xfId="661" xr:uid="{D0D89307-1540-49A6-8E4A-C4C1E62C8ABE}"/>
    <cellStyle name="_Final_Book_010301_Nsi_140_mod 2_Растениеводство форма( АГМ)" xfId="662" xr:uid="{581BF328-984C-4C42-8891-F91195CB98C3}"/>
    <cellStyle name="_Final_Book_010301_Nsi_140_mod 2_Свод по Агрохоолдингу  (в т.ч КБН  )" xfId="663" xr:uid="{A79DAF6C-CF87-4D72-8A2F-386C125D51C0}"/>
    <cellStyle name="_Final_Book_010301_Nsi_140_mod 2_Форма по растениеводству (Акционеры) ИЛЧ" xfId="664" xr:uid="{B449C337-DC73-45F8-A96C-5E09F271E974}"/>
    <cellStyle name="_Final_Book_010301_Nsi_140_mod 3" xfId="665" xr:uid="{09760EB5-B5EF-48EC-89E1-B2C8975028C7}"/>
    <cellStyle name="_Final_Book_010301_Nsi_140_mod 3_Копия Растениеводство форма(Акционеры)" xfId="666" xr:uid="{28D82D01-6070-490F-A2B2-B2F6390FEDCC}"/>
    <cellStyle name="_Final_Book_010301_Nsi_140_mod 3_М( ЗАР)" xfId="667" xr:uid="{B970F2C8-4B39-4CBB-8DC7-D8CAA73A5440}"/>
    <cellStyle name="_Final_Book_010301_Nsi_140_mod 3_Модель АгроГард на 5 лет" xfId="668" xr:uid="{273D5E25-A8F3-4372-B260-0E8C213F3268}"/>
    <cellStyle name="_Final_Book_010301_Nsi_140_mod 3_раст.-факт" xfId="669" xr:uid="{8B1A2E06-1802-4894-A387-7B98539AE2A6}"/>
    <cellStyle name="_Final_Book_010301_Nsi_140_mod 3_Растениеводство форма( АГМ)" xfId="670" xr:uid="{305CEDC1-6DD7-4F1D-BE20-0D0DE431EF9B}"/>
    <cellStyle name="_Final_Book_010301_Nsi_140_mod 3_Свод по Агрохоолдингу  (в т.ч КБН  )" xfId="671" xr:uid="{A0CD16F8-08C0-45B4-A615-E75D0DA991B0}"/>
    <cellStyle name="_Final_Book_010301_Nsi_140_mod 3_Форма по растениеводству (Акционеры) ИЛЧ" xfId="672" xr:uid="{89C327D8-4D8E-45E2-BC1B-83AB56CEE1DC}"/>
    <cellStyle name="_Final_Book_010301_Nsi_140_mod_АГМ" xfId="673" xr:uid="{128779BB-A390-4689-97E3-5713A0A607CA}"/>
    <cellStyle name="_Final_Book_010301_Nsi_140_mod_Копия Растениеводство форма(Акционеры)" xfId="674" xr:uid="{CA001730-2EFA-442A-B039-A33F1CCE12BD}"/>
    <cellStyle name="_Final_Book_010301_Nsi_140_mod_М( ЗАР)" xfId="675" xr:uid="{9BF5AD54-5A7D-48C7-916A-1F5305DA5801}"/>
    <cellStyle name="_Final_Book_010301_Nsi_140_mod_Модель АгроГард на 5 лет" xfId="676" xr:uid="{FD630C04-EE7B-461D-869D-AF47964346CA}"/>
    <cellStyle name="_Final_Book_010301_Nsi_140_mod_НИК-09" xfId="677" xr:uid="{BC6C0358-5C7F-4DD9-897A-2EAE1EFD3DA0}"/>
    <cellStyle name="_Final_Book_010301_Nsi_140_mod_НИК-09 2" xfId="10221" xr:uid="{C653085E-057F-436E-96E7-9CAC5758430C}"/>
    <cellStyle name="_Final_Book_010301_Nsi_140_mod_раст.-факт" xfId="678" xr:uid="{CEB9110E-2DFE-4E16-86AD-95FA9E446025}"/>
    <cellStyle name="_Final_Book_010301_Nsi_140_mod_Растениеводство форма( АГМ)" xfId="679" xr:uid="{3F300048-A346-4AF5-9D6C-DD473E2DD7D3}"/>
    <cellStyle name="_Final_Book_010301_Nsi_140_mod_Свод по Агрохоолдингу  (в т.ч КБН  )" xfId="680" xr:uid="{83609BA5-ADFB-48B7-8979-658DF37E4281}"/>
    <cellStyle name="_Final_Book_010301_Nsi_140_mod_ТК-2011 АГМ+транспорт" xfId="681" xr:uid="{392B8535-7078-40AF-8C3D-60AF25F51C84}"/>
    <cellStyle name="_Final_Book_010301_Nsi_140_mod_Форма по растениеводству (Акционеры) ИЛЧ" xfId="682" xr:uid="{D6652245-6029-4171-8FC8-C49C297DEB88}"/>
    <cellStyle name="_Final_Book_010301_Nsi_140_АГМ" xfId="683" xr:uid="{D40CBEE8-FC5B-4BDB-9079-90661DF8C534}"/>
    <cellStyle name="_Final_Book_010301_Nsi_140_Копия Растениеводство форма(Акционеры)" xfId="684" xr:uid="{61330C0F-2F97-4D61-A6B0-7582BCAEDA97}"/>
    <cellStyle name="_Final_Book_010301_Nsi_140_М( ЗАР)" xfId="685" xr:uid="{C2F95A1E-B906-43AD-8B40-B1E870A5E910}"/>
    <cellStyle name="_Final_Book_010301_Nsi_140_Модель АгроГард на 5 лет" xfId="686" xr:uid="{5B01B065-8217-4989-B6EE-3A96A90544C2}"/>
    <cellStyle name="_Final_Book_010301_Nsi_140_НИК-09" xfId="687" xr:uid="{24E7DF31-ACCD-48C7-A0C1-F468C5E255C1}"/>
    <cellStyle name="_Final_Book_010301_Nsi_140_НИК-09 2" xfId="10222" xr:uid="{D7F620B9-8308-4773-B8C3-704AD75CE865}"/>
    <cellStyle name="_Final_Book_010301_Nsi_140_раст.-факт" xfId="688" xr:uid="{92DA737A-28AA-4A97-8FFA-FE7FF1954849}"/>
    <cellStyle name="_Final_Book_010301_Nsi_140_Растениеводство форма( АГМ)" xfId="689" xr:uid="{DD8CCF62-1A2C-4E1E-861F-F3BB0E00B9F2}"/>
    <cellStyle name="_Final_Book_010301_Nsi_140_Свод по Агрохоолдингу  (в т.ч КБН  )" xfId="690" xr:uid="{F7CBAC93-0708-47F2-A069-9EA8D1CB379E}"/>
    <cellStyle name="_Final_Book_010301_Nsi_140_ТК-2011 АГМ+транспорт" xfId="691" xr:uid="{266ECFDD-F61E-49CD-9C99-B847A3122F39}"/>
    <cellStyle name="_Final_Book_010301_Nsi_140_Форма по растениеводству (Акционеры) ИЛЧ" xfId="692" xr:uid="{1CC6CA38-5C6E-4E7C-84AD-5979E09F6AAC}"/>
    <cellStyle name="_Final_Book_010301_Nsi_АГМ" xfId="693" xr:uid="{7D1AA170-04D2-4194-9273-A890D3437CFF}"/>
    <cellStyle name="_Final_Book_010301_Nsi_Копия Растениеводство форма(Акционеры)" xfId="694" xr:uid="{D159A944-86FD-4C42-A96F-DE1821D8FFD8}"/>
    <cellStyle name="_Final_Book_010301_Nsi_М( ЗАР)" xfId="695" xr:uid="{BFCE94D1-8C19-449C-9822-0DE8BEAFCE9A}"/>
    <cellStyle name="_Final_Book_010301_Nsi_Модель АгроГард на 5 лет" xfId="696" xr:uid="{FE49D02D-59C3-4D78-BBF6-6BF95F8D89E7}"/>
    <cellStyle name="_Final_Book_010301_Nsi_НИК-09" xfId="697" xr:uid="{FFE9905D-1BEE-4810-B0B3-A754E04A8357}"/>
    <cellStyle name="_Final_Book_010301_Nsi_НИК-09 2" xfId="10223" xr:uid="{B59F80D7-D7E3-419F-8283-B6541A3B5F07}"/>
    <cellStyle name="_Final_Book_010301_Nsi_раст.-факт" xfId="698" xr:uid="{4ED892FF-C65C-4558-992D-F5F1DE1A33B9}"/>
    <cellStyle name="_Final_Book_010301_Nsi_Растениеводство форма( АГМ)" xfId="699" xr:uid="{7097C6D6-748A-42F7-8071-DC5AC09B253F}"/>
    <cellStyle name="_Final_Book_010301_Nsi_Свод по Агрохоолдингу  (в т.ч КБН  )" xfId="700" xr:uid="{684088A4-42B7-46CA-8D77-B0AD66A258EF}"/>
    <cellStyle name="_Final_Book_010301_Nsi_ТК-2011 АГМ+транспорт" xfId="701" xr:uid="{257086B9-CD9A-4F4F-B1C2-D689BF5F68ED}"/>
    <cellStyle name="_Final_Book_010301_Nsi_Форма по растениеводству (Акционеры) ИЛЧ" xfId="702" xr:uid="{2D8EF65E-8E63-44DB-996B-E14283F922AF}"/>
    <cellStyle name="_Final_Book_010301_Summary" xfId="703" xr:uid="{C2D25A14-CC54-4BE9-9180-89B2CB8ECF0F}"/>
    <cellStyle name="_Final_Book_010301_Summary 1" xfId="704" xr:uid="{4147C114-A4E6-492F-984A-E776FDB786C7}"/>
    <cellStyle name="_Final_Book_010301_Summary 1_Копия Растениеводство форма(Акционеры)" xfId="705" xr:uid="{961FE40D-AC58-49EF-8514-385272479B01}"/>
    <cellStyle name="_Final_Book_010301_Summary 1_М( ЗАР)" xfId="706" xr:uid="{9385400A-A9CF-4C90-9A57-103811BDC962}"/>
    <cellStyle name="_Final_Book_010301_Summary 1_Модель АгроГард на 5 лет" xfId="707" xr:uid="{8E603ED5-9253-4EBA-B1B4-E7BA567D1E02}"/>
    <cellStyle name="_Final_Book_010301_Summary 1_раст.-факт" xfId="708" xr:uid="{41D17052-6453-4AA8-A85C-B0C7921E44FD}"/>
    <cellStyle name="_Final_Book_010301_Summary 1_Растениеводство форма( АГМ)" xfId="709" xr:uid="{C7514941-E743-47ED-857A-69AB23F5D0EA}"/>
    <cellStyle name="_Final_Book_010301_Summary 1_Свод по Агрохоолдингу  (в т.ч КБН  )" xfId="710" xr:uid="{43C58C14-0A00-4509-9732-B18F832A0F7D}"/>
    <cellStyle name="_Final_Book_010301_Summary 1_Форма по растениеводству (Акционеры) ИЛЧ" xfId="711" xr:uid="{8AF0AD0E-4F3F-4928-8BEF-1C224D7CFE48}"/>
    <cellStyle name="_Final_Book_010301_Summary 2" xfId="712" xr:uid="{94C94DB1-F2B3-4810-9BCA-B4947EC2A4FB}"/>
    <cellStyle name="_Final_Book_010301_Summary 2_Копия Растениеводство форма(Акционеры)" xfId="713" xr:uid="{9DDD9715-27DE-4AA1-830E-7A7963C4457D}"/>
    <cellStyle name="_Final_Book_010301_Summary 2_М( ЗАР)" xfId="714" xr:uid="{E57F5A3A-2396-44F0-B85C-97B0C3B91CFD}"/>
    <cellStyle name="_Final_Book_010301_Summary 2_Модель АгроГард на 5 лет" xfId="715" xr:uid="{E92C8ACE-3366-47EB-9069-9BB92096E124}"/>
    <cellStyle name="_Final_Book_010301_Summary 2_раст.-факт" xfId="716" xr:uid="{6DD20EEA-2FF0-46E1-B3BC-4EF23F1B7239}"/>
    <cellStyle name="_Final_Book_010301_Summary 2_Растениеводство форма( АГМ)" xfId="717" xr:uid="{5CB61EFB-5607-459B-A9D1-F4BC438916D7}"/>
    <cellStyle name="_Final_Book_010301_Summary 2_Свод по Агрохоолдингу  (в т.ч КБН  )" xfId="718" xr:uid="{D19D35F6-2D60-4A6F-94D2-8AE4212A82F0}"/>
    <cellStyle name="_Final_Book_010301_Summary 2_Форма по растениеводству (Акционеры) ИЛЧ" xfId="719" xr:uid="{6E6C8231-9063-4767-BA59-D4422712387B}"/>
    <cellStyle name="_Final_Book_010301_Summary 3" xfId="720" xr:uid="{6B1F75BA-C9EB-4BFF-BD09-C6F8554EEA58}"/>
    <cellStyle name="_Final_Book_010301_Summary 3_Копия Растениеводство форма(Акционеры)" xfId="721" xr:uid="{51509630-270D-4375-99F4-90DC9054D30D}"/>
    <cellStyle name="_Final_Book_010301_Summary 3_М( ЗАР)" xfId="722" xr:uid="{30C93715-C198-494B-9A4A-3FA2F9113904}"/>
    <cellStyle name="_Final_Book_010301_Summary 3_Модель АгроГард на 5 лет" xfId="723" xr:uid="{F354CDB7-BEEF-4A54-AA68-D8CA45737736}"/>
    <cellStyle name="_Final_Book_010301_Summary 3_раст.-факт" xfId="724" xr:uid="{BA0257B0-0D13-4320-890A-E048F242216B}"/>
    <cellStyle name="_Final_Book_010301_Summary 3_Растениеводство форма( АГМ)" xfId="725" xr:uid="{45E4A59C-B310-4F98-9ECA-2A840208CE4F}"/>
    <cellStyle name="_Final_Book_010301_Summary 3_Свод по Агрохоолдингу  (в т.ч КБН  )" xfId="726" xr:uid="{3B919BA2-5FED-40B0-B53F-8BD549E7030C}"/>
    <cellStyle name="_Final_Book_010301_Summary 3_Форма по растениеводству (Акционеры) ИЛЧ" xfId="727" xr:uid="{4539A457-200A-48EC-87B2-51C24D4F71BF}"/>
    <cellStyle name="_Final_Book_010301_Summary_АГМ" xfId="728" xr:uid="{E7133A3A-46D6-4700-A677-FFCB252BBF89}"/>
    <cellStyle name="_Final_Book_010301_Summary_Копия Растениеводство форма(Акционеры)" xfId="729" xr:uid="{94BF4E08-730F-44B3-937B-B54950CC4FF5}"/>
    <cellStyle name="_Final_Book_010301_Summary_М( ЗАР)" xfId="730" xr:uid="{56CA2C20-C905-44B8-9CF6-D7F3F91308B6}"/>
    <cellStyle name="_Final_Book_010301_Summary_Модель АгроГард на 5 лет" xfId="731" xr:uid="{770EEBF4-B223-4307-A720-0676A0133CF0}"/>
    <cellStyle name="_Final_Book_010301_Summary_НИК-09" xfId="732" xr:uid="{1706EEF6-0205-4981-AB66-776259E64ADD}"/>
    <cellStyle name="_Final_Book_010301_Summary_НИК-09 2" xfId="10224" xr:uid="{CDBB2B3B-88B5-4785-91A7-F92A6DA728E7}"/>
    <cellStyle name="_Final_Book_010301_Summary_раст.-факт" xfId="733" xr:uid="{F4AA85B7-C4FD-4038-AAE9-C153FC0ADAE5}"/>
    <cellStyle name="_Final_Book_010301_Summary_Растениеводство форма( АГМ)" xfId="734" xr:uid="{6B506350-51C8-4712-83E2-20FD02427CF3}"/>
    <cellStyle name="_Final_Book_010301_Summary_Свод по Агрохоолдингу  (в т.ч КБН  )" xfId="735" xr:uid="{01B1BFE7-553C-4177-AE72-7DC944D5432D}"/>
    <cellStyle name="_Final_Book_010301_Summary_ТК-2011 АГМ+транспорт" xfId="736" xr:uid="{08F9BCF2-97F4-48FF-9CB8-8BF4FE17FB22}"/>
    <cellStyle name="_Final_Book_010301_Summary_Форма по растениеводству (Акционеры) ИЛЧ" xfId="737" xr:uid="{6F50003F-747A-404D-8A70-FAEA93B284E5}"/>
    <cellStyle name="_Final_Book_010301_Tax_form_1кв_3" xfId="738" xr:uid="{9A777BE1-BE8C-42D9-937A-243B50BF1BE2}"/>
    <cellStyle name="_Final_Book_010301_Tax_form_1кв_3 1" xfId="739" xr:uid="{7C1BA374-1C29-4F91-AC1F-9F5CF2E2CEEF}"/>
    <cellStyle name="_Final_Book_010301_Tax_form_1кв_3 1_Копия Растениеводство форма(Акционеры)" xfId="740" xr:uid="{86FC073F-599B-4D5C-9DD1-290BEB9CC7B5}"/>
    <cellStyle name="_Final_Book_010301_Tax_form_1кв_3 1_М( ЗАР)" xfId="741" xr:uid="{D8FCD70B-C37E-421E-9CF9-F22648324776}"/>
    <cellStyle name="_Final_Book_010301_Tax_form_1кв_3 1_Модель АгроГард на 5 лет" xfId="742" xr:uid="{EF7A6AEE-2564-4C81-88C9-7C65A5103CD7}"/>
    <cellStyle name="_Final_Book_010301_Tax_form_1кв_3 1_раст.-факт" xfId="743" xr:uid="{5EBC9A34-BCF8-4E4F-B1CF-EF6ED115C709}"/>
    <cellStyle name="_Final_Book_010301_Tax_form_1кв_3 1_Растениеводство форма( АГМ)" xfId="744" xr:uid="{CE237628-8550-42DF-B839-77CFCFF575D8}"/>
    <cellStyle name="_Final_Book_010301_Tax_form_1кв_3 1_Свод по Агрохоолдингу  (в т.ч КБН  )" xfId="745" xr:uid="{7289C5CD-A2B5-46A9-825A-5D68105FB7AA}"/>
    <cellStyle name="_Final_Book_010301_Tax_form_1кв_3 1_Форма по растениеводству (Акционеры) ИЛЧ" xfId="746" xr:uid="{4C737F3E-8E52-4A65-9950-EC4AE54FF361}"/>
    <cellStyle name="_Final_Book_010301_Tax_form_1кв_3 2" xfId="747" xr:uid="{98B2C52D-0E62-4A33-BB75-EBE1BDF15590}"/>
    <cellStyle name="_Final_Book_010301_Tax_form_1кв_3 2_Копия Растениеводство форма(Акционеры)" xfId="748" xr:uid="{7815991C-0BD8-40E2-95CC-594DB142E90E}"/>
    <cellStyle name="_Final_Book_010301_Tax_form_1кв_3 2_М( ЗАР)" xfId="749" xr:uid="{47E699DB-B40B-45DC-A1D8-77579229FE79}"/>
    <cellStyle name="_Final_Book_010301_Tax_form_1кв_3 2_Модель АгроГард на 5 лет" xfId="750" xr:uid="{EA6EEE4C-8035-48B4-A232-DA57A21DE1DF}"/>
    <cellStyle name="_Final_Book_010301_Tax_form_1кв_3 2_раст.-факт" xfId="751" xr:uid="{F81AF7C5-93E6-4626-8CA5-DFA2FDA0A62B}"/>
    <cellStyle name="_Final_Book_010301_Tax_form_1кв_3 2_Растениеводство форма( АГМ)" xfId="752" xr:uid="{712C65CF-7BD5-45BE-9216-0A0465676150}"/>
    <cellStyle name="_Final_Book_010301_Tax_form_1кв_3 2_Свод по Агрохоолдингу  (в т.ч КБН  )" xfId="753" xr:uid="{BC85CC27-B42C-4A72-AB0E-B16ECB9CCCF1}"/>
    <cellStyle name="_Final_Book_010301_Tax_form_1кв_3 2_Форма по растениеводству (Акционеры) ИЛЧ" xfId="754" xr:uid="{8144D661-1377-4814-8FE7-D221B135598E}"/>
    <cellStyle name="_Final_Book_010301_Tax_form_1кв_3 3" xfId="755" xr:uid="{14D9A083-8804-4286-88BF-BC8F01081ACC}"/>
    <cellStyle name="_Final_Book_010301_Tax_form_1кв_3 3_Копия Растениеводство форма(Акционеры)" xfId="756" xr:uid="{5ADBD8BF-E287-4B55-80DE-D07C1CE6DBAE}"/>
    <cellStyle name="_Final_Book_010301_Tax_form_1кв_3 3_М( ЗАР)" xfId="757" xr:uid="{A333C7B6-6C66-42AB-9566-12B4C69640C6}"/>
    <cellStyle name="_Final_Book_010301_Tax_form_1кв_3 3_Модель АгроГард на 5 лет" xfId="758" xr:uid="{2248D69C-992B-41BF-989A-0ED263680575}"/>
    <cellStyle name="_Final_Book_010301_Tax_form_1кв_3 3_раст.-факт" xfId="759" xr:uid="{70A8ACB2-0E94-424F-B71F-89CB0E261403}"/>
    <cellStyle name="_Final_Book_010301_Tax_form_1кв_3 3_Растениеводство форма( АГМ)" xfId="760" xr:uid="{401D1A8C-01EE-4182-B0FD-482AAAF48B52}"/>
    <cellStyle name="_Final_Book_010301_Tax_form_1кв_3 3_Свод по Агрохоолдингу  (в т.ч КБН  )" xfId="761" xr:uid="{50CD9A00-2AE1-4072-A7B0-2873D408685A}"/>
    <cellStyle name="_Final_Book_010301_Tax_form_1кв_3 3_Форма по растениеводству (Акционеры) ИЛЧ" xfId="762" xr:uid="{36728E4E-8D47-44B3-BD07-CB0069AE9377}"/>
    <cellStyle name="_Final_Book_010301_Tax_form_1кв_3_АГМ" xfId="763" xr:uid="{9FE1EE0C-66D8-4312-B69B-400D11268BDD}"/>
    <cellStyle name="_Final_Book_010301_Tax_form_1кв_3_Копия Растениеводство форма(Акционеры)" xfId="764" xr:uid="{A364871D-2F5D-44D1-8172-28772BF72089}"/>
    <cellStyle name="_Final_Book_010301_Tax_form_1кв_3_М( ЗАР)" xfId="765" xr:uid="{09529D7C-DEE7-4D2E-8DA9-C368B2F506C6}"/>
    <cellStyle name="_Final_Book_010301_Tax_form_1кв_3_Модель АгроГард на 5 лет" xfId="766" xr:uid="{6040E033-C65C-44A5-853E-188799245FBB}"/>
    <cellStyle name="_Final_Book_010301_Tax_form_1кв_3_НИК-09" xfId="767" xr:uid="{8BCAE6F2-53CF-4D53-8544-4A149E2E3BBC}"/>
    <cellStyle name="_Final_Book_010301_Tax_form_1кв_3_НИК-09 2" xfId="10225" xr:uid="{83C2C7CD-10CE-4C50-BF33-7A64984632C6}"/>
    <cellStyle name="_Final_Book_010301_Tax_form_1кв_3_раст.-факт" xfId="768" xr:uid="{15A88FCC-05C5-4D8F-BFAD-96C640B773E3}"/>
    <cellStyle name="_Final_Book_010301_Tax_form_1кв_3_Растениеводство форма( АГМ)" xfId="769" xr:uid="{EF2AF87D-D3E0-4E33-9DC9-F732C277CF47}"/>
    <cellStyle name="_Final_Book_010301_Tax_form_1кв_3_Свод по Агрохоолдингу  (в т.ч КБН  )" xfId="770" xr:uid="{88794C31-96CA-4909-933F-446A71E3D0CA}"/>
    <cellStyle name="_Final_Book_010301_Tax_form_1кв_3_ТК-2011 АГМ+транспорт" xfId="771" xr:uid="{EAB091E5-51FE-4C2C-86B9-24ED33CB8355}"/>
    <cellStyle name="_Final_Book_010301_Tax_form_1кв_3_Форма по растениеводству (Акционеры) ИЛЧ" xfId="772" xr:uid="{C4005C1D-EDA1-4275-8280-38CF9C38FFFD}"/>
    <cellStyle name="_Final_Book_010301_АГМ" xfId="773" xr:uid="{BA9E9F91-520D-4FCC-87AC-C835B5EC3969}"/>
    <cellStyle name="_Final_Book_010301_БКЭ" xfId="774" xr:uid="{17EF8DA7-2908-4F24-806F-325BAEB4BDCB}"/>
    <cellStyle name="_Final_Book_010301_БКЭ 1" xfId="775" xr:uid="{6AB6F2A6-1E63-4913-B2D5-ECAB03893EC1}"/>
    <cellStyle name="_Final_Book_010301_БКЭ 1_Копия Растениеводство форма(Акционеры)" xfId="776" xr:uid="{111FE189-066B-43CA-A904-A558ADB46993}"/>
    <cellStyle name="_Final_Book_010301_БКЭ 1_М( ЗАР)" xfId="777" xr:uid="{6ABCA00F-8F49-4087-AAC6-DBA9F211BE42}"/>
    <cellStyle name="_Final_Book_010301_БКЭ 1_Модель АгроГард на 5 лет" xfId="778" xr:uid="{A9D16635-DCA8-4ADF-8636-4D28883E9C9A}"/>
    <cellStyle name="_Final_Book_010301_БКЭ 1_раст.-факт" xfId="779" xr:uid="{04F64F5A-DF68-4634-A278-CD0C1BC6A637}"/>
    <cellStyle name="_Final_Book_010301_БКЭ 1_Растениеводство форма( АГМ)" xfId="780" xr:uid="{D0D02AF1-B489-4D8E-B94C-8FA1DA1D8021}"/>
    <cellStyle name="_Final_Book_010301_БКЭ 1_Свод по Агрохоолдингу  (в т.ч КБН  )" xfId="781" xr:uid="{959B6779-F3E0-4CCD-BAD2-92935B2F4582}"/>
    <cellStyle name="_Final_Book_010301_БКЭ 1_Форма по растениеводству (Акционеры) ИЛЧ" xfId="782" xr:uid="{EE11B670-809A-4DCA-A7A2-475D0F4F3A84}"/>
    <cellStyle name="_Final_Book_010301_БКЭ 2" xfId="783" xr:uid="{3965F7FA-6CF9-4C50-93CF-5A9C6BE0887F}"/>
    <cellStyle name="_Final_Book_010301_БКЭ 2_Копия Растениеводство форма(Акционеры)" xfId="784" xr:uid="{8BDACC74-487A-423E-A6B6-B8260A418D92}"/>
    <cellStyle name="_Final_Book_010301_БКЭ 2_М( ЗАР)" xfId="785" xr:uid="{709BE4D4-C675-437C-8930-59278B5AD5E2}"/>
    <cellStyle name="_Final_Book_010301_БКЭ 2_Модель АгроГард на 5 лет" xfId="786" xr:uid="{27529FEA-E07B-4D7C-AEC1-A44900295CDD}"/>
    <cellStyle name="_Final_Book_010301_БКЭ 2_раст.-факт" xfId="787" xr:uid="{9951F11B-BF5D-44AA-AE9F-ABA1456A3E89}"/>
    <cellStyle name="_Final_Book_010301_БКЭ 2_Растениеводство форма( АГМ)" xfId="788" xr:uid="{32094EFD-4311-4FAB-BF7F-2F0EC649972C}"/>
    <cellStyle name="_Final_Book_010301_БКЭ 2_Свод по Агрохоолдингу  (в т.ч КБН  )" xfId="789" xr:uid="{4E7E55C9-458E-449B-ADD8-602074ABE034}"/>
    <cellStyle name="_Final_Book_010301_БКЭ 2_Форма по растениеводству (Акционеры) ИЛЧ" xfId="790" xr:uid="{5D87261B-D252-4EE7-9AEF-BCE007363C32}"/>
    <cellStyle name="_Final_Book_010301_БКЭ 3" xfId="791" xr:uid="{C146C5A6-B472-45CA-8412-D50B1E701508}"/>
    <cellStyle name="_Final_Book_010301_БКЭ 3_Копия Растениеводство форма(Акционеры)" xfId="792" xr:uid="{6D5078D4-E1B7-4975-BF87-F57BB7D67680}"/>
    <cellStyle name="_Final_Book_010301_БКЭ 3_М( ЗАР)" xfId="793" xr:uid="{E670F793-6DFA-4616-B4EA-6554A4323191}"/>
    <cellStyle name="_Final_Book_010301_БКЭ 3_Модель АгроГард на 5 лет" xfId="794" xr:uid="{32D2B758-5009-455A-9571-3A69C101F4CA}"/>
    <cellStyle name="_Final_Book_010301_БКЭ 3_раст.-факт" xfId="795" xr:uid="{D9C273B9-F765-444D-A848-927DD813FD53}"/>
    <cellStyle name="_Final_Book_010301_БКЭ 3_Растениеводство форма( АГМ)" xfId="796" xr:uid="{9C85E48E-4DE2-4570-9D9F-6A7D6FAB175B}"/>
    <cellStyle name="_Final_Book_010301_БКЭ 3_Свод по Агрохоолдингу  (в т.ч КБН  )" xfId="797" xr:uid="{56F2F4C4-9530-491B-80B4-C19F526733CB}"/>
    <cellStyle name="_Final_Book_010301_БКЭ 3_Форма по растениеводству (Акционеры) ИЛЧ" xfId="798" xr:uid="{1AD9767D-5DD3-4FF2-B9EE-EC253A7D3B6E}"/>
    <cellStyle name="_Final_Book_010301_БКЭ_АГМ" xfId="799" xr:uid="{86793375-53B3-4A3D-A21E-821D02A1E7E3}"/>
    <cellStyle name="_Final_Book_010301_БКЭ_Копия Растениеводство форма(Акционеры)" xfId="800" xr:uid="{0CFD614A-A089-4389-9D61-7DED82D1B24E}"/>
    <cellStyle name="_Final_Book_010301_БКЭ_М( ЗАР)" xfId="801" xr:uid="{CB1DF642-8EA4-4099-8E59-207702E320CA}"/>
    <cellStyle name="_Final_Book_010301_БКЭ_Модель АгроГард на 5 лет" xfId="802" xr:uid="{951D3CF4-327D-446E-8166-E12A9A3AD6E4}"/>
    <cellStyle name="_Final_Book_010301_БКЭ_НИК-09" xfId="803" xr:uid="{44EECE0E-FC59-45DC-BE85-0251E810EF17}"/>
    <cellStyle name="_Final_Book_010301_БКЭ_НИК-09 2" xfId="10226" xr:uid="{A1C19DE5-9638-4DDF-9EF3-C45F24206151}"/>
    <cellStyle name="_Final_Book_010301_БКЭ_раст.-факт" xfId="804" xr:uid="{1896AB6A-A889-4695-BEE7-E557EACB0F76}"/>
    <cellStyle name="_Final_Book_010301_БКЭ_Растениеводство форма( АГМ)" xfId="805" xr:uid="{74F046A2-2399-469A-BC65-CEBC62448F7F}"/>
    <cellStyle name="_Final_Book_010301_БКЭ_Свод по Агрохоолдингу  (в т.ч КБН  )" xfId="806" xr:uid="{57DE13D3-021B-451A-90FC-46481A5E129C}"/>
    <cellStyle name="_Final_Book_010301_БКЭ_ТК-2011 АГМ+транспорт" xfId="807" xr:uid="{DFDEA065-0DC8-4296-87F5-848E4038F14A}"/>
    <cellStyle name="_Final_Book_010301_БКЭ_Форма по растениеводству (Акционеры) ИЛЧ" xfId="808" xr:uid="{92418C59-4863-4707-94E0-459103097366}"/>
    <cellStyle name="_Final_Book_010301_Копия Растениеводство форма(Акционеры)" xfId="809" xr:uid="{D4424C36-BFFF-4402-9407-86D5B32BF498}"/>
    <cellStyle name="_Final_Book_010301_М( ЗАР)" xfId="810" xr:uid="{5335E76B-5713-44AD-8392-5E32C30136EB}"/>
    <cellStyle name="_Final_Book_010301_Модель АгроГард на 5 лет" xfId="811" xr:uid="{498AB437-E75F-4CC4-9439-447A9A099C03}"/>
    <cellStyle name="_Final_Book_010301_НИК-09" xfId="812" xr:uid="{B01A3411-B23E-4070-94D8-EBB2BBD39D27}"/>
    <cellStyle name="_Final_Book_010301_НИК-09 2" xfId="10227" xr:uid="{2472140D-B1EE-434D-A0D1-DEA507BE4811}"/>
    <cellStyle name="_Final_Book_010301_раст.-факт" xfId="813" xr:uid="{E23AB3BE-F9BD-49C8-A9D2-D56557F12261}"/>
    <cellStyle name="_Final_Book_010301_Растениеводство форма( АГМ)" xfId="814" xr:uid="{069070CA-17B3-4DD1-A64F-8B89103F0170}"/>
    <cellStyle name="_Final_Book_010301_Свод по Агрохоолдингу  (в т.ч КБН  )" xfId="815" xr:uid="{94DA9C5C-E300-4D49-BD18-0496A40A4D7D}"/>
    <cellStyle name="_Final_Book_010301_ТК-2011 АГМ+транспорт" xfId="816" xr:uid="{C30D8BEA-E8CF-47DC-8292-0D6025754639}"/>
    <cellStyle name="_Final_Book_010301_Форма по растениеводству (Акционеры) ИЛЧ" xfId="817" xr:uid="{C5F437DA-964D-434E-A07C-F3D6AD8C6CD1}"/>
    <cellStyle name="_New_Sofi" xfId="818" xr:uid="{1C819BEF-6EFD-4104-AD5A-1B0BB2B8A16C}"/>
    <cellStyle name="_New_Sofi 1" xfId="819" xr:uid="{38C5307B-BB4A-4447-914A-478FFEF3C157}"/>
    <cellStyle name="_New_Sofi 1_Копия Растениеводство форма(Акционеры)" xfId="820" xr:uid="{0639975B-0C3C-4F84-A732-0F86DD87B82B}"/>
    <cellStyle name="_New_Sofi 1_М( ЗАР)" xfId="821" xr:uid="{D864FBDC-072E-4D78-BE91-4E68B06CD2BA}"/>
    <cellStyle name="_New_Sofi 1_Модель АгроГард на 5 лет" xfId="822" xr:uid="{E06A54DB-5A18-425C-8C4C-7607E268F56D}"/>
    <cellStyle name="_New_Sofi 1_раст.-факт" xfId="823" xr:uid="{5A8EA2DD-71E3-4CDA-956E-1F4771025358}"/>
    <cellStyle name="_New_Sofi 1_Растениеводство форма( АГМ)" xfId="824" xr:uid="{88B4B582-E715-4CB4-822D-C771A296F758}"/>
    <cellStyle name="_New_Sofi 1_Свод по Агрохоолдингу  (в т.ч КБН  )" xfId="825" xr:uid="{B2FC6754-16CD-4867-98A4-8F5836CE8C2B}"/>
    <cellStyle name="_New_Sofi 1_Форма по растениеводству (Акционеры) ИЛЧ" xfId="826" xr:uid="{2A49B0DF-9CA8-4C72-BFD6-A4C13451CA07}"/>
    <cellStyle name="_New_Sofi 2" xfId="827" xr:uid="{B56D5444-3046-4982-A88F-0812E367C711}"/>
    <cellStyle name="_New_Sofi 2_Копия Растениеводство форма(Акционеры)" xfId="828" xr:uid="{97B8853C-795E-4CE8-B18F-FBE3C122EB69}"/>
    <cellStyle name="_New_Sofi 2_М( ЗАР)" xfId="829" xr:uid="{6F35AAF7-DF3A-4A34-B867-C48BBE3D7CCB}"/>
    <cellStyle name="_New_Sofi 2_Модель АгроГард на 5 лет" xfId="830" xr:uid="{23DB77CA-01C3-4378-852F-ACE37F4CE70D}"/>
    <cellStyle name="_New_Sofi 2_раст.-факт" xfId="831" xr:uid="{A74381E4-42BF-4EF4-BFA3-35DCB9E34756}"/>
    <cellStyle name="_New_Sofi 2_Растениеводство форма( АГМ)" xfId="832" xr:uid="{9AEEE1E4-3275-4B9D-9751-6444BE81648F}"/>
    <cellStyle name="_New_Sofi 2_Свод по Агрохоолдингу  (в т.ч КБН  )" xfId="833" xr:uid="{8F5BA6F7-4C57-4A12-89F8-AE0AD65E1823}"/>
    <cellStyle name="_New_Sofi 2_Форма по растениеводству (Акционеры) ИЛЧ" xfId="834" xr:uid="{DEF0E94A-0ED9-44C0-B99E-442E966B16C0}"/>
    <cellStyle name="_New_Sofi 3" xfId="835" xr:uid="{671A8F78-F36C-4DB5-BA4F-3216AD801975}"/>
    <cellStyle name="_New_Sofi 3_Копия Растениеводство форма(Акционеры)" xfId="836" xr:uid="{B19E1092-2A97-4939-874A-869B72E42C31}"/>
    <cellStyle name="_New_Sofi 3_М( ЗАР)" xfId="837" xr:uid="{3F841F34-98E1-4F60-8932-A2A2C2C1A876}"/>
    <cellStyle name="_New_Sofi 3_Модель АгроГард на 5 лет" xfId="838" xr:uid="{08ECCBA4-96D3-4602-9979-C5F10A5D185D}"/>
    <cellStyle name="_New_Sofi 3_раст.-факт" xfId="839" xr:uid="{24F9EB52-05B3-4863-A4A8-E4EACC9763BE}"/>
    <cellStyle name="_New_Sofi 3_Растениеводство форма( АГМ)" xfId="840" xr:uid="{2F8DCE85-F932-4100-B05B-931DFE8C6F1B}"/>
    <cellStyle name="_New_Sofi 3_Свод по Агрохоолдингу  (в т.ч КБН  )" xfId="841" xr:uid="{901C1D8A-F114-438C-BA43-52BF8760DF3E}"/>
    <cellStyle name="_New_Sofi 3_Форма по растениеводству (Акционеры) ИЛЧ" xfId="842" xr:uid="{77F3B457-1295-4795-B7E9-245B18174E18}"/>
    <cellStyle name="_New_Sofi_FFF" xfId="843" xr:uid="{B69BE2A6-3E86-4AFC-B63E-AC35C016E751}"/>
    <cellStyle name="_New_Sofi_FFF 1" xfId="844" xr:uid="{DE4994C3-DCF8-438D-829A-9B954B71DE84}"/>
    <cellStyle name="_New_Sofi_FFF 1_Копия Растениеводство форма(Акционеры)" xfId="845" xr:uid="{124ECEC8-FDD9-44AF-964C-0DB4DB2EFB43}"/>
    <cellStyle name="_New_Sofi_FFF 1_М( ЗАР)" xfId="846" xr:uid="{8511B93A-40C8-4DF5-A775-08B60F728FCF}"/>
    <cellStyle name="_New_Sofi_FFF 1_Модель АгроГард на 5 лет" xfId="847" xr:uid="{3137E477-8CF2-4A83-91A0-02E87E3D5B7A}"/>
    <cellStyle name="_New_Sofi_FFF 1_раст.-факт" xfId="848" xr:uid="{DE8EE5AA-8317-48B0-B482-BDDDCF2A1DCA}"/>
    <cellStyle name="_New_Sofi_FFF 1_Растениеводство форма( АГМ)" xfId="849" xr:uid="{67411C27-56FF-4A69-90D4-1CD33C47FD0F}"/>
    <cellStyle name="_New_Sofi_FFF 1_Свод по Агрохоолдингу  (в т.ч КБН  )" xfId="850" xr:uid="{9865A516-C2C4-4D6B-84FF-C0E893A00163}"/>
    <cellStyle name="_New_Sofi_FFF 1_Форма по растениеводству (Акционеры) ИЛЧ" xfId="851" xr:uid="{69DA0529-706E-44AC-88E1-0626E1D73D5C}"/>
    <cellStyle name="_New_Sofi_FFF 2" xfId="852" xr:uid="{7A95A3CB-A5B7-41B4-93CC-C773683E3828}"/>
    <cellStyle name="_New_Sofi_FFF 2_Копия Растениеводство форма(Акционеры)" xfId="853" xr:uid="{AE4742A4-01C6-4875-9C04-E0B0F138E77A}"/>
    <cellStyle name="_New_Sofi_FFF 2_М( ЗАР)" xfId="854" xr:uid="{DDEDD685-4891-4AF9-BA7F-BC7EB93E4DF2}"/>
    <cellStyle name="_New_Sofi_FFF 2_Модель АгроГард на 5 лет" xfId="855" xr:uid="{CEECB611-A325-4142-8403-47A537A16B34}"/>
    <cellStyle name="_New_Sofi_FFF 2_раст.-факт" xfId="856" xr:uid="{9F04EA93-FC91-4852-A6FA-768D91F446B3}"/>
    <cellStyle name="_New_Sofi_FFF 2_Растениеводство форма( АГМ)" xfId="857" xr:uid="{F4F3DD0A-F0A5-4343-9A77-5B84C80F54B4}"/>
    <cellStyle name="_New_Sofi_FFF 2_Свод по Агрохоолдингу  (в т.ч КБН  )" xfId="858" xr:uid="{2CFF47C3-A09B-459E-8584-0F44A9957A5F}"/>
    <cellStyle name="_New_Sofi_FFF 2_Форма по растениеводству (Акционеры) ИЛЧ" xfId="859" xr:uid="{659AC6BD-985C-446A-AC2E-C78F93C5ACFE}"/>
    <cellStyle name="_New_Sofi_FFF 3" xfId="860" xr:uid="{C35760C0-E1D1-4538-AE0F-C7F9E5811442}"/>
    <cellStyle name="_New_Sofi_FFF 3_Копия Растениеводство форма(Акционеры)" xfId="861" xr:uid="{509AA15F-79AC-4574-82F6-51A784F47A08}"/>
    <cellStyle name="_New_Sofi_FFF 3_М( ЗАР)" xfId="862" xr:uid="{F87BF573-3F8C-45C5-B080-2B933F7B78D1}"/>
    <cellStyle name="_New_Sofi_FFF 3_Модель АгроГард на 5 лет" xfId="863" xr:uid="{EA8F80B0-A1A4-4493-8F60-537A82F9A093}"/>
    <cellStyle name="_New_Sofi_FFF 3_раст.-факт" xfId="864" xr:uid="{482C8A8E-C7D8-4DFA-ACDC-CEFFAD389953}"/>
    <cellStyle name="_New_Sofi_FFF 3_Растениеводство форма( АГМ)" xfId="865" xr:uid="{C8C0C632-4C8A-4932-88F9-B43E043923DA}"/>
    <cellStyle name="_New_Sofi_FFF 3_Свод по Агрохоолдингу  (в т.ч КБН  )" xfId="866" xr:uid="{B9E211AD-6E58-42EB-8331-0FCB733EC0B8}"/>
    <cellStyle name="_New_Sofi_FFF 3_Форма по растениеводству (Акционеры) ИЛЧ" xfId="867" xr:uid="{E03057D2-67FC-4C54-AF00-8A0A3ABEB79D}"/>
    <cellStyle name="_New_Sofi_FFF_АГМ" xfId="868" xr:uid="{3883D32B-F3A0-43F4-BD40-49149E529284}"/>
    <cellStyle name="_New_Sofi_FFF_Копия Растениеводство форма(Акционеры)" xfId="869" xr:uid="{82D77E43-7BE5-4E99-BB60-E5967021A23A}"/>
    <cellStyle name="_New_Sofi_FFF_М( ЗАР)" xfId="870" xr:uid="{556B3107-1E42-4D5C-B015-79205EFDD73F}"/>
    <cellStyle name="_New_Sofi_FFF_Модель АгроГард на 5 лет" xfId="871" xr:uid="{8F9312E7-CF0E-469B-930B-949B02012415}"/>
    <cellStyle name="_New_Sofi_FFF_НИК-09" xfId="872" xr:uid="{4B27E877-3A64-4366-9E8A-11E8EE1DF743}"/>
    <cellStyle name="_New_Sofi_FFF_НИК-09 2" xfId="10228" xr:uid="{EDD2C7E3-295F-474A-840A-9FA836F71391}"/>
    <cellStyle name="_New_Sofi_FFF_раст.-факт" xfId="873" xr:uid="{401C9F0D-FD30-4F87-9B79-36390072FDCD}"/>
    <cellStyle name="_New_Sofi_FFF_Растениеводство форма( АГМ)" xfId="874" xr:uid="{D2771CE5-2DCC-4625-AAF0-298E8A69D561}"/>
    <cellStyle name="_New_Sofi_FFF_Свод по Агрохоолдингу  (в т.ч КБН  )" xfId="875" xr:uid="{17EE24A0-E57C-4E86-BBAC-0BFCC1447CD0}"/>
    <cellStyle name="_New_Sofi_FFF_ТК-2011 АГМ+транспорт" xfId="876" xr:uid="{F88183C5-2E9E-4808-BB23-7A7D22050FE9}"/>
    <cellStyle name="_New_Sofi_FFF_Форма по растениеводству (Акционеры) ИЛЧ" xfId="877" xr:uid="{B57A617F-5CB7-494C-B5B9-8A9DC798B51B}"/>
    <cellStyle name="_New_Sofi_New Form10_2" xfId="878" xr:uid="{DF95C66A-B72E-4873-B085-1605D8772C44}"/>
    <cellStyle name="_New_Sofi_New Form10_2 1" xfId="879" xr:uid="{97F6FEC2-5720-4022-80F3-B581745C7A07}"/>
    <cellStyle name="_New_Sofi_New Form10_2 1_Копия Растениеводство форма(Акционеры)" xfId="880" xr:uid="{A1B149EE-E1AD-4957-86DA-D9A80CB85ED3}"/>
    <cellStyle name="_New_Sofi_New Form10_2 1_М( ЗАР)" xfId="881" xr:uid="{7E9FE488-7A31-498E-8C0F-61D69FFE582C}"/>
    <cellStyle name="_New_Sofi_New Form10_2 1_Модель АгроГард на 5 лет" xfId="882" xr:uid="{7E3AE15C-1B5B-4076-8B19-563264413CE4}"/>
    <cellStyle name="_New_Sofi_New Form10_2 1_раст.-факт" xfId="883" xr:uid="{05BD5841-4CB1-46B9-A483-C8C9A2419A4B}"/>
    <cellStyle name="_New_Sofi_New Form10_2 1_Растениеводство форма( АГМ)" xfId="884" xr:uid="{D4165D19-459C-4E55-AB14-A75FC5302223}"/>
    <cellStyle name="_New_Sofi_New Form10_2 1_Свод по Агрохоолдингу  (в т.ч КБН  )" xfId="885" xr:uid="{0737795A-6193-4179-BDDB-8BB11D63618A}"/>
    <cellStyle name="_New_Sofi_New Form10_2 1_Форма по растениеводству (Акционеры) ИЛЧ" xfId="886" xr:uid="{6CD8241B-380B-479B-B943-A85C8A3DD47A}"/>
    <cellStyle name="_New_Sofi_New Form10_2 2" xfId="887" xr:uid="{BF0F13E6-E967-40EF-834C-0BF8B601EC2E}"/>
    <cellStyle name="_New_Sofi_New Form10_2 2_Копия Растениеводство форма(Акционеры)" xfId="888" xr:uid="{B31FB7A9-50A5-4D9E-80C8-7680F6B6608F}"/>
    <cellStyle name="_New_Sofi_New Form10_2 2_М( ЗАР)" xfId="889" xr:uid="{E2481DDF-0BF2-4DF3-A18B-6E97F8889068}"/>
    <cellStyle name="_New_Sofi_New Form10_2 2_Модель АгроГард на 5 лет" xfId="890" xr:uid="{A53EDCB2-7A9F-45ED-9706-F29F17CBCE4B}"/>
    <cellStyle name="_New_Sofi_New Form10_2 2_раст.-факт" xfId="891" xr:uid="{9A3C33D8-A297-4F4D-9FC1-7A7136CC7878}"/>
    <cellStyle name="_New_Sofi_New Form10_2 2_Растениеводство форма( АГМ)" xfId="892" xr:uid="{A981BB0C-C3E6-492D-88F7-741034536981}"/>
    <cellStyle name="_New_Sofi_New Form10_2 2_Свод по Агрохоолдингу  (в т.ч КБН  )" xfId="893" xr:uid="{35BE2554-BEC8-42EA-8A80-C5338F17FD7D}"/>
    <cellStyle name="_New_Sofi_New Form10_2 2_Форма по растениеводству (Акционеры) ИЛЧ" xfId="894" xr:uid="{226C745B-63D4-4E6B-A750-1229AF911BA0}"/>
    <cellStyle name="_New_Sofi_New Form10_2 3" xfId="895" xr:uid="{E0390526-A262-4747-91CE-875E76F704DB}"/>
    <cellStyle name="_New_Sofi_New Form10_2 3_Копия Растениеводство форма(Акционеры)" xfId="896" xr:uid="{311A7923-F06E-4BE6-8C93-4C4B40BCED3F}"/>
    <cellStyle name="_New_Sofi_New Form10_2 3_М( ЗАР)" xfId="897" xr:uid="{68F66447-D22E-4D2E-99CC-405D052DFED8}"/>
    <cellStyle name="_New_Sofi_New Form10_2 3_Модель АгроГард на 5 лет" xfId="898" xr:uid="{92893CE9-6536-461D-B983-5587FEEF0661}"/>
    <cellStyle name="_New_Sofi_New Form10_2 3_раст.-факт" xfId="899" xr:uid="{89433ED4-E077-4BF0-BA3F-0F31F72735B1}"/>
    <cellStyle name="_New_Sofi_New Form10_2 3_Растениеводство форма( АГМ)" xfId="900" xr:uid="{426ABAB3-A71A-45E7-9E80-94EE2F0768D1}"/>
    <cellStyle name="_New_Sofi_New Form10_2 3_Свод по Агрохоолдингу  (в т.ч КБН  )" xfId="901" xr:uid="{10DFF296-690E-4875-8398-C8AF06EEF4D8}"/>
    <cellStyle name="_New_Sofi_New Form10_2 3_Форма по растениеводству (Акционеры) ИЛЧ" xfId="902" xr:uid="{53218423-AD42-4499-87E6-10EA9CD51119}"/>
    <cellStyle name="_New_Sofi_New Form10_2_АГМ" xfId="903" xr:uid="{20669E9E-BCEA-45BC-BB09-07F0B821A54C}"/>
    <cellStyle name="_New_Sofi_New Form10_2_Копия Растениеводство форма(Акционеры)" xfId="904" xr:uid="{BDD4AB64-EA57-4471-9DB1-10258F717EF7}"/>
    <cellStyle name="_New_Sofi_New Form10_2_М( ЗАР)" xfId="905" xr:uid="{D5733F1B-903C-43F9-94EA-4B87100A0577}"/>
    <cellStyle name="_New_Sofi_New Form10_2_Модель АгроГард на 5 лет" xfId="906" xr:uid="{573651F2-B361-4AD5-962A-15F95DDE4E98}"/>
    <cellStyle name="_New_Sofi_New Form10_2_НИК-09" xfId="907" xr:uid="{158A4CA6-494A-44B3-824B-470B3D51A889}"/>
    <cellStyle name="_New_Sofi_New Form10_2_НИК-09 2" xfId="10229" xr:uid="{1013AF1D-756E-4627-AEA7-8FA58E1625F2}"/>
    <cellStyle name="_New_Sofi_New Form10_2_раст.-факт" xfId="908" xr:uid="{6C9E0424-3D1E-4F89-8B41-AA53EE2C3E2A}"/>
    <cellStyle name="_New_Sofi_New Form10_2_Растениеводство форма( АГМ)" xfId="909" xr:uid="{642595BA-3E02-4296-B4B5-0568697C3530}"/>
    <cellStyle name="_New_Sofi_New Form10_2_Свод по Агрохоолдингу  (в т.ч КБН  )" xfId="910" xr:uid="{41091EDF-0120-4977-9548-DE7CC85920FE}"/>
    <cellStyle name="_New_Sofi_New Form10_2_ТК-2011 АГМ+транспорт" xfId="911" xr:uid="{5575A40C-C70C-4EAD-A63E-670F77052DDF}"/>
    <cellStyle name="_New_Sofi_New Form10_2_Форма по растениеводству (Акционеры) ИЛЧ" xfId="912" xr:uid="{A11987D7-6D86-4C1D-A048-E8F45D2D6F6E}"/>
    <cellStyle name="_New_Sofi_Nsi" xfId="913" xr:uid="{07B977A4-52C6-48AE-A058-D3C5C69CE26D}"/>
    <cellStyle name="_New_Sofi_Nsi 1" xfId="914" xr:uid="{07BAB96E-2460-46EB-811B-33777CFEE8FD}"/>
    <cellStyle name="_New_Sofi_Nsi 1_Копия Растениеводство форма(Акционеры)" xfId="915" xr:uid="{DC0A3556-7622-48BF-BA4A-460C1D37DD0A}"/>
    <cellStyle name="_New_Sofi_Nsi 1_М( ЗАР)" xfId="916" xr:uid="{2A9C8F7D-3803-4ECE-AC7F-8CFE31EB44F6}"/>
    <cellStyle name="_New_Sofi_Nsi 1_Модель АгроГард на 5 лет" xfId="917" xr:uid="{A52FE2DD-C6CC-4723-82D8-7FDB3B5DD5E1}"/>
    <cellStyle name="_New_Sofi_Nsi 1_раст.-факт" xfId="918" xr:uid="{B75FBB86-FE99-4FEC-8D20-B2CBB004C1AF}"/>
    <cellStyle name="_New_Sofi_Nsi 1_Растениеводство форма( АГМ)" xfId="919" xr:uid="{7B0C88BD-1991-49CF-AB22-841A3C93D939}"/>
    <cellStyle name="_New_Sofi_Nsi 1_Свод по Агрохоолдингу  (в т.ч КБН  )" xfId="920" xr:uid="{ECDFB61A-1898-42D2-BFF6-F55DAEB35065}"/>
    <cellStyle name="_New_Sofi_Nsi 1_Форма по растениеводству (Акционеры) ИЛЧ" xfId="921" xr:uid="{1D3F7D24-3282-45D1-BCFA-77BE97A108A3}"/>
    <cellStyle name="_New_Sofi_Nsi 2" xfId="922" xr:uid="{57DDE91F-C182-4831-A70C-4993C0C5A517}"/>
    <cellStyle name="_New_Sofi_Nsi 2_Копия Растениеводство форма(Акционеры)" xfId="923" xr:uid="{4A89E561-4F1B-4C94-880A-C34124A2A6B5}"/>
    <cellStyle name="_New_Sofi_Nsi 2_М( ЗАР)" xfId="924" xr:uid="{6FDFC368-1743-41B6-A72F-58944658CB44}"/>
    <cellStyle name="_New_Sofi_Nsi 2_Модель АгроГард на 5 лет" xfId="925" xr:uid="{3E84C20F-72EA-4BCA-89A8-A4AE17261971}"/>
    <cellStyle name="_New_Sofi_Nsi 2_раст.-факт" xfId="926" xr:uid="{BCFCA11A-6308-452A-9554-979521E19146}"/>
    <cellStyle name="_New_Sofi_Nsi 2_Растениеводство форма( АГМ)" xfId="927" xr:uid="{E81A8CA5-667E-4785-B831-618E9AFAAF55}"/>
    <cellStyle name="_New_Sofi_Nsi 2_Свод по Агрохоолдингу  (в т.ч КБН  )" xfId="928" xr:uid="{2E5E9A7B-E5F5-4740-8DA2-5BFC8E1BFBFB}"/>
    <cellStyle name="_New_Sofi_Nsi 2_Форма по растениеводству (Акционеры) ИЛЧ" xfId="929" xr:uid="{7E84519B-D6C2-480F-AEDE-419E0B801B5D}"/>
    <cellStyle name="_New_Sofi_Nsi 3" xfId="930" xr:uid="{C922E343-DEBD-4C86-8278-6589383A37B8}"/>
    <cellStyle name="_New_Sofi_Nsi 3_Копия Растениеводство форма(Акционеры)" xfId="931" xr:uid="{2886F40E-26A4-4E9D-BB26-6091431562F0}"/>
    <cellStyle name="_New_Sofi_Nsi 3_М( ЗАР)" xfId="932" xr:uid="{BEAC0843-5603-4E44-8523-12B110E2C9E9}"/>
    <cellStyle name="_New_Sofi_Nsi 3_Модель АгроГард на 5 лет" xfId="933" xr:uid="{6480B91E-9466-4280-83DE-0A4E7E28A2A3}"/>
    <cellStyle name="_New_Sofi_Nsi 3_раст.-факт" xfId="934" xr:uid="{D6165ABE-8DCE-4C07-8532-85AF810E75E1}"/>
    <cellStyle name="_New_Sofi_Nsi 3_Растениеводство форма( АГМ)" xfId="935" xr:uid="{441C04C5-87FB-4D38-9EA0-59BCAE788FDF}"/>
    <cellStyle name="_New_Sofi_Nsi 3_Свод по Агрохоолдингу  (в т.ч КБН  )" xfId="936" xr:uid="{FF2CDEE5-25AF-43BC-B3F7-75BF6C0FFCE8}"/>
    <cellStyle name="_New_Sofi_Nsi 3_Форма по растениеводству (Акционеры) ИЛЧ" xfId="937" xr:uid="{83516C23-5221-4451-A78B-35A82D33178F}"/>
    <cellStyle name="_New_Sofi_Nsi_1" xfId="938" xr:uid="{9403EFAB-4173-4508-85C6-2B1D7F10E2FA}"/>
    <cellStyle name="_New_Sofi_Nsi_1 1" xfId="939" xr:uid="{200AD988-A159-48F1-8392-A11BB5D61BE1}"/>
    <cellStyle name="_New_Sofi_Nsi_1 1_Копия Растениеводство форма(Акционеры)" xfId="940" xr:uid="{8033AF0A-A30D-4F1F-BD3F-2F7BA80867C7}"/>
    <cellStyle name="_New_Sofi_Nsi_1 1_М( ЗАР)" xfId="941" xr:uid="{E9D83CBE-88D4-4363-91E3-084147EA9452}"/>
    <cellStyle name="_New_Sofi_Nsi_1 1_Модель АгроГард на 5 лет" xfId="942" xr:uid="{DC592762-CCB3-4785-BB22-26BCB561B6D9}"/>
    <cellStyle name="_New_Sofi_Nsi_1 1_раст.-факт" xfId="943" xr:uid="{6683C8F8-61E8-4F89-A99E-A1740BC2621D}"/>
    <cellStyle name="_New_Sofi_Nsi_1 1_Растениеводство форма( АГМ)" xfId="944" xr:uid="{3AD5C803-3622-480F-8D40-A4326CF2F55B}"/>
    <cellStyle name="_New_Sofi_Nsi_1 1_Свод по Агрохоолдингу  (в т.ч КБН  )" xfId="945" xr:uid="{0F61AF73-961D-4AE5-8B9B-CF4A877C3E7C}"/>
    <cellStyle name="_New_Sofi_Nsi_1 1_Форма по растениеводству (Акционеры) ИЛЧ" xfId="946" xr:uid="{3D84AF38-CD7F-4ADF-A0BE-C1A0B39D380A}"/>
    <cellStyle name="_New_Sofi_Nsi_1 2" xfId="947" xr:uid="{9FD41AA3-40E4-4587-9C67-9FE9F0628721}"/>
    <cellStyle name="_New_Sofi_Nsi_1 2_Копия Растениеводство форма(Акционеры)" xfId="948" xr:uid="{D49E0BCE-0F5A-4848-A55D-D98CD1FC9686}"/>
    <cellStyle name="_New_Sofi_Nsi_1 2_М( ЗАР)" xfId="949" xr:uid="{A9EF323D-AB3F-4A1B-AF58-2DA485460350}"/>
    <cellStyle name="_New_Sofi_Nsi_1 2_Модель АгроГард на 5 лет" xfId="950" xr:uid="{0D900FC3-D313-48C6-82E3-C961957582CF}"/>
    <cellStyle name="_New_Sofi_Nsi_1 2_раст.-факт" xfId="951" xr:uid="{3CE28268-6243-4E4C-951D-330264773569}"/>
    <cellStyle name="_New_Sofi_Nsi_1 2_Растениеводство форма( АГМ)" xfId="952" xr:uid="{C5BF982A-E4E0-411E-B426-DB8ACBAEB6E3}"/>
    <cellStyle name="_New_Sofi_Nsi_1 2_Свод по Агрохоолдингу  (в т.ч КБН  )" xfId="953" xr:uid="{2608615A-FA12-4891-AD60-0FE13283ED08}"/>
    <cellStyle name="_New_Sofi_Nsi_1 2_Форма по растениеводству (Акционеры) ИЛЧ" xfId="954" xr:uid="{7B3689C1-B079-4987-95A9-7C51E284A600}"/>
    <cellStyle name="_New_Sofi_Nsi_1 3" xfId="955" xr:uid="{E4D9E3A4-335F-450C-9F67-875F436CCB5B}"/>
    <cellStyle name="_New_Sofi_Nsi_1 3_Копия Растениеводство форма(Акционеры)" xfId="956" xr:uid="{2C19F0E8-6383-46D9-872B-FCB822D90FCE}"/>
    <cellStyle name="_New_Sofi_Nsi_1 3_М( ЗАР)" xfId="957" xr:uid="{6EE951BB-AC7C-4E71-BCD0-623BB265230F}"/>
    <cellStyle name="_New_Sofi_Nsi_1 3_Модель АгроГард на 5 лет" xfId="958" xr:uid="{6FD4B476-4BD2-4AD5-907E-C3D7ED057ACB}"/>
    <cellStyle name="_New_Sofi_Nsi_1 3_раст.-факт" xfId="959" xr:uid="{0EA88D8E-C4D7-43BB-8423-C492BA7611B5}"/>
    <cellStyle name="_New_Sofi_Nsi_1 3_Растениеводство форма( АГМ)" xfId="960" xr:uid="{48D8B692-BB1C-451B-B22E-0AEEEA89729C}"/>
    <cellStyle name="_New_Sofi_Nsi_1 3_Свод по Агрохоолдингу  (в т.ч КБН  )" xfId="961" xr:uid="{3ABA5DB8-37A0-4DAC-AD5E-1F72A963D761}"/>
    <cellStyle name="_New_Sofi_Nsi_1 3_Форма по растениеводству (Акционеры) ИЛЧ" xfId="962" xr:uid="{64B856EB-C39F-4015-9DBA-7CF3CD275F14}"/>
    <cellStyle name="_New_Sofi_Nsi_1_АГМ" xfId="963" xr:uid="{F53A5185-E93B-4011-A857-40DF0292D6C8}"/>
    <cellStyle name="_New_Sofi_Nsi_1_Копия Растениеводство форма(Акционеры)" xfId="964" xr:uid="{B26796E5-9C64-4F9F-95D8-BC07FA838088}"/>
    <cellStyle name="_New_Sofi_Nsi_1_М( ЗАР)" xfId="965" xr:uid="{C44A8F6B-19D6-4FB0-A0FE-3F5E651ECA2D}"/>
    <cellStyle name="_New_Sofi_Nsi_1_Модель АгроГард на 5 лет" xfId="966" xr:uid="{23674FAC-A992-470B-A5F6-C1FEA0F731E9}"/>
    <cellStyle name="_New_Sofi_Nsi_1_НИК-09" xfId="967" xr:uid="{37EB9D80-222F-4489-9B8A-4186D513BA73}"/>
    <cellStyle name="_New_Sofi_Nsi_1_НИК-09 2" xfId="10230" xr:uid="{C105E094-C293-4453-867B-ED0D06531272}"/>
    <cellStyle name="_New_Sofi_Nsi_1_раст.-факт" xfId="968" xr:uid="{FB71E67D-B674-4E02-A39A-EE9B0F283497}"/>
    <cellStyle name="_New_Sofi_Nsi_1_Растениеводство форма( АГМ)" xfId="969" xr:uid="{D23F0F19-E38D-4275-9B16-B7C1A5BE4391}"/>
    <cellStyle name="_New_Sofi_Nsi_1_Свод по Агрохоолдингу  (в т.ч КБН  )" xfId="970" xr:uid="{2FC24F02-6931-4D94-8F06-215627D90C99}"/>
    <cellStyle name="_New_Sofi_Nsi_1_ТК-2011 АГМ+транспорт" xfId="971" xr:uid="{96E7D3CA-1713-42C8-A87B-D3BBB8B02210}"/>
    <cellStyle name="_New_Sofi_Nsi_1_Форма по растениеводству (Акционеры) ИЛЧ" xfId="972" xr:uid="{C4A87E53-09F4-44F3-9280-4685B38CBDD4}"/>
    <cellStyle name="_New_Sofi_Nsi_139" xfId="973" xr:uid="{FA010B22-1181-4E01-911A-F510061D4D43}"/>
    <cellStyle name="_New_Sofi_Nsi_139 1" xfId="974" xr:uid="{F36EEC9B-D6CF-4E9C-917E-2A8FAEFA5422}"/>
    <cellStyle name="_New_Sofi_Nsi_139 1_Копия Растениеводство форма(Акционеры)" xfId="975" xr:uid="{59F34EF4-4748-4A4F-8CE6-4E98A67CBE87}"/>
    <cellStyle name="_New_Sofi_Nsi_139 1_М( ЗАР)" xfId="976" xr:uid="{2F49DE8B-2C65-4073-9787-4FB96DA4B60F}"/>
    <cellStyle name="_New_Sofi_Nsi_139 1_Модель АгроГард на 5 лет" xfId="977" xr:uid="{D8122805-205B-4EEB-A537-77F5A939BB2D}"/>
    <cellStyle name="_New_Sofi_Nsi_139 1_раст.-факт" xfId="978" xr:uid="{F5DAC7E4-4838-4BC0-BEAB-3EBEDECF81C0}"/>
    <cellStyle name="_New_Sofi_Nsi_139 1_Растениеводство форма( АГМ)" xfId="979" xr:uid="{90333A8B-5CE9-46CD-A426-F71BF44B10E6}"/>
    <cellStyle name="_New_Sofi_Nsi_139 1_Свод по Агрохоолдингу  (в т.ч КБН  )" xfId="980" xr:uid="{042D3649-CD76-4A47-9426-68F5D76A2677}"/>
    <cellStyle name="_New_Sofi_Nsi_139 1_Форма по растениеводству (Акционеры) ИЛЧ" xfId="981" xr:uid="{2E2ED9DE-8315-4EE4-BF1F-B300A44BEA17}"/>
    <cellStyle name="_New_Sofi_Nsi_139 2" xfId="982" xr:uid="{09517C0A-C874-4588-A5F6-4AD03917681D}"/>
    <cellStyle name="_New_Sofi_Nsi_139 2_Копия Растениеводство форма(Акционеры)" xfId="983" xr:uid="{6645A548-8A44-4502-B297-52F999C1483E}"/>
    <cellStyle name="_New_Sofi_Nsi_139 2_М( ЗАР)" xfId="984" xr:uid="{706F9FB3-4E44-498D-BF36-91079F4EE0B9}"/>
    <cellStyle name="_New_Sofi_Nsi_139 2_Модель АгроГард на 5 лет" xfId="985" xr:uid="{288F020C-64DE-491C-A210-FC87F8EDD7A4}"/>
    <cellStyle name="_New_Sofi_Nsi_139 2_раст.-факт" xfId="986" xr:uid="{5B8BE171-3B91-412D-AC8F-269029B1189A}"/>
    <cellStyle name="_New_Sofi_Nsi_139 2_Растениеводство форма( АГМ)" xfId="987" xr:uid="{ADC9D5C5-22AC-4B36-9D26-19D4CAE1C040}"/>
    <cellStyle name="_New_Sofi_Nsi_139 2_Свод по Агрохоолдингу  (в т.ч КБН  )" xfId="988" xr:uid="{FB5F753E-E3EB-4643-A1AC-C763A0D48171}"/>
    <cellStyle name="_New_Sofi_Nsi_139 2_Форма по растениеводству (Акционеры) ИЛЧ" xfId="989" xr:uid="{E84FA368-6270-4988-9589-DC3E08ABC310}"/>
    <cellStyle name="_New_Sofi_Nsi_139 3" xfId="990" xr:uid="{9840D3A0-D5FA-46EA-A93F-A0B86F46D41E}"/>
    <cellStyle name="_New_Sofi_Nsi_139 3_Копия Растениеводство форма(Акционеры)" xfId="991" xr:uid="{553B3834-5C41-42B1-AC8F-EE7E023F0DEF}"/>
    <cellStyle name="_New_Sofi_Nsi_139 3_М( ЗАР)" xfId="992" xr:uid="{76164D82-B581-403F-ABFB-C83C598F79EB}"/>
    <cellStyle name="_New_Sofi_Nsi_139 3_Модель АгроГард на 5 лет" xfId="993" xr:uid="{2643A71E-33C3-4420-B786-B2C23D74F18B}"/>
    <cellStyle name="_New_Sofi_Nsi_139 3_раст.-факт" xfId="994" xr:uid="{AC60119A-5495-4E11-BD29-083D658FC746}"/>
    <cellStyle name="_New_Sofi_Nsi_139 3_Растениеводство форма( АГМ)" xfId="995" xr:uid="{CD04E8A8-ACC5-4EF0-AE10-36B295296538}"/>
    <cellStyle name="_New_Sofi_Nsi_139 3_Свод по Агрохоолдингу  (в т.ч КБН  )" xfId="996" xr:uid="{FE404819-D8B1-435D-ABC0-23BC010585A7}"/>
    <cellStyle name="_New_Sofi_Nsi_139 3_Форма по растениеводству (Акционеры) ИЛЧ" xfId="997" xr:uid="{1CC5B13E-F90B-4F6C-ADE6-A2E54E939D1C}"/>
    <cellStyle name="_New_Sofi_Nsi_139_АГМ" xfId="998" xr:uid="{9243B426-C1A4-439E-B646-88D05FCB7D27}"/>
    <cellStyle name="_New_Sofi_Nsi_139_Копия Растениеводство форма(Акционеры)" xfId="999" xr:uid="{EDDD10B9-6958-42E9-B7ED-23CA8DBBBBB0}"/>
    <cellStyle name="_New_Sofi_Nsi_139_М( ЗАР)" xfId="1000" xr:uid="{9513683B-0688-448D-A8C9-5CC5625A86B3}"/>
    <cellStyle name="_New_Sofi_Nsi_139_Модель АгроГард на 5 лет" xfId="1001" xr:uid="{4E78A317-2D11-4F6D-AC2B-ABD1584F168C}"/>
    <cellStyle name="_New_Sofi_Nsi_139_НИК-09" xfId="1002" xr:uid="{03E32363-4295-4819-955F-B56E9AE80CAF}"/>
    <cellStyle name="_New_Sofi_Nsi_139_НИК-09 2" xfId="10231" xr:uid="{7255799A-EFE3-4D22-8DEC-AAEE331EE8FC}"/>
    <cellStyle name="_New_Sofi_Nsi_139_раст.-факт" xfId="1003" xr:uid="{6397C10C-0EC9-4146-9087-17A7313FB749}"/>
    <cellStyle name="_New_Sofi_Nsi_139_Растениеводство форма( АГМ)" xfId="1004" xr:uid="{461EC9FA-B93E-4E67-ADB3-2A6EA440BEAA}"/>
    <cellStyle name="_New_Sofi_Nsi_139_Свод по Агрохоолдингу  (в т.ч КБН  )" xfId="1005" xr:uid="{72BC189E-D8B8-4B76-BE5F-C5DE2EF38DD6}"/>
    <cellStyle name="_New_Sofi_Nsi_139_ТК-2011 АГМ+транспорт" xfId="1006" xr:uid="{C95F4FDE-9A70-4FA9-9C05-62E3E93946B0}"/>
    <cellStyle name="_New_Sofi_Nsi_139_Форма по растениеводству (Акционеры) ИЛЧ" xfId="1007" xr:uid="{06398C1F-5F21-4EAF-AF3A-D689ACEC6ADF}"/>
    <cellStyle name="_New_Sofi_Nsi_140" xfId="1008" xr:uid="{AB4D4416-B28B-4678-A2D6-43438E7570B2}"/>
    <cellStyle name="_New_Sofi_Nsi_140 1" xfId="1009" xr:uid="{1C1DC6E0-4E11-4065-AF07-78DE46F9EA75}"/>
    <cellStyle name="_New_Sofi_Nsi_140 1_Копия Растениеводство форма(Акционеры)" xfId="1010" xr:uid="{F2CB0840-B944-4475-9DA2-C902B84494DE}"/>
    <cellStyle name="_New_Sofi_Nsi_140 1_М( ЗАР)" xfId="1011" xr:uid="{C809C62F-4EAE-4904-88C8-C8420A599CBE}"/>
    <cellStyle name="_New_Sofi_Nsi_140 1_Модель АгроГард на 5 лет" xfId="1012" xr:uid="{3E1B9DD0-4588-4449-BCEE-578293205115}"/>
    <cellStyle name="_New_Sofi_Nsi_140 1_раст.-факт" xfId="1013" xr:uid="{3024C10C-3474-4644-B88C-3CE4A99A08E4}"/>
    <cellStyle name="_New_Sofi_Nsi_140 1_Растениеводство форма( АГМ)" xfId="1014" xr:uid="{6CB147D9-649B-488F-BDDA-98139F0A2537}"/>
    <cellStyle name="_New_Sofi_Nsi_140 1_Свод по Агрохоолдингу  (в т.ч КБН  )" xfId="1015" xr:uid="{D8D0BB03-959C-4CAB-9624-2C14A1659155}"/>
    <cellStyle name="_New_Sofi_Nsi_140 1_Форма по растениеводству (Акционеры) ИЛЧ" xfId="1016" xr:uid="{65EFDA93-ABD2-4D94-871A-10423D7B1B43}"/>
    <cellStyle name="_New_Sofi_Nsi_140 2" xfId="1017" xr:uid="{DA9B2AE4-2F8B-49EE-A14B-DA5595C97A16}"/>
    <cellStyle name="_New_Sofi_Nsi_140 2_Копия Растениеводство форма(Акционеры)" xfId="1018" xr:uid="{6A114A8A-14E0-469C-8F04-D4B3671BB10C}"/>
    <cellStyle name="_New_Sofi_Nsi_140 2_М( ЗАР)" xfId="1019" xr:uid="{5590193B-0AF6-4FE8-8E57-EACCB50A6295}"/>
    <cellStyle name="_New_Sofi_Nsi_140 2_Модель АгроГард на 5 лет" xfId="1020" xr:uid="{DDADC404-129F-4FD5-B2EE-926309522FE9}"/>
    <cellStyle name="_New_Sofi_Nsi_140 2_раст.-факт" xfId="1021" xr:uid="{F415EEBA-CF07-4438-92F3-E02267016903}"/>
    <cellStyle name="_New_Sofi_Nsi_140 2_Растениеводство форма( АГМ)" xfId="1022" xr:uid="{50EF6A8E-E788-46B6-B52D-CD22E2E5E9E4}"/>
    <cellStyle name="_New_Sofi_Nsi_140 2_Свод по Агрохоолдингу  (в т.ч КБН  )" xfId="1023" xr:uid="{64E32D88-0B30-4169-968B-D501C045E6DB}"/>
    <cellStyle name="_New_Sofi_Nsi_140 2_Форма по растениеводству (Акционеры) ИЛЧ" xfId="1024" xr:uid="{87013FB5-3F46-41A8-9A21-469A68A6BF15}"/>
    <cellStyle name="_New_Sofi_Nsi_140 3" xfId="1025" xr:uid="{6F1D5F3A-50F3-4254-ADDF-E5CF65DC32FB}"/>
    <cellStyle name="_New_Sofi_Nsi_140 3_Копия Растениеводство форма(Акционеры)" xfId="1026" xr:uid="{15735255-5C49-40F6-9231-2E14F5DF5945}"/>
    <cellStyle name="_New_Sofi_Nsi_140 3_М( ЗАР)" xfId="1027" xr:uid="{EB655047-2942-498A-8331-76847D9F24CB}"/>
    <cellStyle name="_New_Sofi_Nsi_140 3_Модель АгроГард на 5 лет" xfId="1028" xr:uid="{EC3CA4B7-EF47-44BD-901A-535180D45F72}"/>
    <cellStyle name="_New_Sofi_Nsi_140 3_раст.-факт" xfId="1029" xr:uid="{F21DD8D9-1275-4433-AD28-798318B691B4}"/>
    <cellStyle name="_New_Sofi_Nsi_140 3_Растениеводство форма( АГМ)" xfId="1030" xr:uid="{BA93B09F-40CE-4C87-9F9C-591FD4FA5FA0}"/>
    <cellStyle name="_New_Sofi_Nsi_140 3_Свод по Агрохоолдингу  (в т.ч КБН  )" xfId="1031" xr:uid="{9E0A06C0-80B9-4E99-AE7E-552EE4742520}"/>
    <cellStyle name="_New_Sofi_Nsi_140 3_Форма по растениеводству (Акционеры) ИЛЧ" xfId="1032" xr:uid="{91ED2BAD-C0B1-4A54-8510-504BE76173EB}"/>
    <cellStyle name="_New_Sofi_Nsi_140(Зах)" xfId="1033" xr:uid="{C27A8D84-AC01-4749-80CD-0B63FF88D3D3}"/>
    <cellStyle name="_New_Sofi_Nsi_140(Зах) 1" xfId="1034" xr:uid="{42BAFE42-CD2F-4404-8A24-D5FF37B776AF}"/>
    <cellStyle name="_New_Sofi_Nsi_140(Зах) 1_Копия Растениеводство форма(Акционеры)" xfId="1035" xr:uid="{760BC5B8-EF49-4004-8556-E893B2E737CF}"/>
    <cellStyle name="_New_Sofi_Nsi_140(Зах) 1_М( ЗАР)" xfId="1036" xr:uid="{A48FB653-61F2-4AF1-B10E-349CF3826F3C}"/>
    <cellStyle name="_New_Sofi_Nsi_140(Зах) 1_Модель АгроГард на 5 лет" xfId="1037" xr:uid="{FBE23C3F-3ADD-4F04-9531-F24B7FE6B07E}"/>
    <cellStyle name="_New_Sofi_Nsi_140(Зах) 1_раст.-факт" xfId="1038" xr:uid="{97A2DF4E-0476-4F2E-9606-C05776A57302}"/>
    <cellStyle name="_New_Sofi_Nsi_140(Зах) 1_Растениеводство форма( АГМ)" xfId="1039" xr:uid="{8565AB9E-C0EB-4458-AB2E-4A133DE7CD52}"/>
    <cellStyle name="_New_Sofi_Nsi_140(Зах) 1_Свод по Агрохоолдингу  (в т.ч КБН  )" xfId="1040" xr:uid="{386AA765-DFBB-472A-A499-D6810ACF5402}"/>
    <cellStyle name="_New_Sofi_Nsi_140(Зах) 1_Форма по растениеводству (Акционеры) ИЛЧ" xfId="1041" xr:uid="{06A7408D-BE1D-406A-8F7E-28B08B151F4A}"/>
    <cellStyle name="_New_Sofi_Nsi_140(Зах) 2" xfId="1042" xr:uid="{D805FFF5-2C4A-487C-A232-1B28C77C8431}"/>
    <cellStyle name="_New_Sofi_Nsi_140(Зах) 2_Копия Растениеводство форма(Акционеры)" xfId="1043" xr:uid="{800F8850-A3D1-4424-ABA4-48A8B4CCD441}"/>
    <cellStyle name="_New_Sofi_Nsi_140(Зах) 2_М( ЗАР)" xfId="1044" xr:uid="{206CEAFF-C63C-48B1-994C-5114C8E389CF}"/>
    <cellStyle name="_New_Sofi_Nsi_140(Зах) 2_Модель АгроГард на 5 лет" xfId="1045" xr:uid="{BBB87E3D-38D6-4DEE-B9C8-C34728BD862A}"/>
    <cellStyle name="_New_Sofi_Nsi_140(Зах) 2_раст.-факт" xfId="1046" xr:uid="{1913089E-2C9A-4D17-A3E0-9F28F946D330}"/>
    <cellStyle name="_New_Sofi_Nsi_140(Зах) 2_Растениеводство форма( АГМ)" xfId="1047" xr:uid="{0D2074B8-6FEC-4A45-B3ED-F33A686656DF}"/>
    <cellStyle name="_New_Sofi_Nsi_140(Зах) 2_Свод по Агрохоолдингу  (в т.ч КБН  )" xfId="1048" xr:uid="{5CFB46D4-D8DC-418F-ABA1-74E8537D5054}"/>
    <cellStyle name="_New_Sofi_Nsi_140(Зах) 2_Форма по растениеводству (Акционеры) ИЛЧ" xfId="1049" xr:uid="{7F29B3C9-91EE-4120-B7A9-EAFD40EE2237}"/>
    <cellStyle name="_New_Sofi_Nsi_140(Зах) 3" xfId="1050" xr:uid="{52F170C7-4448-41E3-B0DB-1C2432C06D68}"/>
    <cellStyle name="_New_Sofi_Nsi_140(Зах) 3_Копия Растениеводство форма(Акционеры)" xfId="1051" xr:uid="{6ECF5232-9ED6-4675-A89F-F2EBE01942EB}"/>
    <cellStyle name="_New_Sofi_Nsi_140(Зах) 3_М( ЗАР)" xfId="1052" xr:uid="{4D0C629A-E551-4D25-A982-A2B5F5314C76}"/>
    <cellStyle name="_New_Sofi_Nsi_140(Зах) 3_Модель АгроГард на 5 лет" xfId="1053" xr:uid="{29EED477-64DA-45D8-9DFD-68DEBFBD556D}"/>
    <cellStyle name="_New_Sofi_Nsi_140(Зах) 3_раст.-факт" xfId="1054" xr:uid="{3E2B3D18-8E76-421C-BEF8-65BF331C01F5}"/>
    <cellStyle name="_New_Sofi_Nsi_140(Зах) 3_Растениеводство форма( АГМ)" xfId="1055" xr:uid="{F8E866DF-027A-4604-9983-BAA1FFBE648E}"/>
    <cellStyle name="_New_Sofi_Nsi_140(Зах) 3_Свод по Агрохоолдингу  (в т.ч КБН  )" xfId="1056" xr:uid="{5F5D4875-55AC-4DB5-851D-B1F5A30D5654}"/>
    <cellStyle name="_New_Sofi_Nsi_140(Зах) 3_Форма по растениеводству (Акционеры) ИЛЧ" xfId="1057" xr:uid="{B1E4866B-F0B1-4741-8DEA-CD82A0F4E411}"/>
    <cellStyle name="_New_Sofi_Nsi_140(Зах)_АГМ" xfId="1058" xr:uid="{A1E75A4B-82CF-4945-A8ED-E55D9D9D435A}"/>
    <cellStyle name="_New_Sofi_Nsi_140(Зах)_Копия Растениеводство форма(Акционеры)" xfId="1059" xr:uid="{FD1F58C7-E352-40EA-8AD7-D9D5BD5F91A9}"/>
    <cellStyle name="_New_Sofi_Nsi_140(Зах)_М( ЗАР)" xfId="1060" xr:uid="{3B0862B8-90CD-4E37-BA6B-F37F4D335580}"/>
    <cellStyle name="_New_Sofi_Nsi_140(Зах)_Модель АгроГард на 5 лет" xfId="1061" xr:uid="{C8514980-FC36-4CD5-9F89-50F2CDE3AE28}"/>
    <cellStyle name="_New_Sofi_Nsi_140(Зах)_НИК-09" xfId="1062" xr:uid="{BE8EB993-0AD1-4FA6-9D5F-FDA4B6381325}"/>
    <cellStyle name="_New_Sofi_Nsi_140(Зах)_НИК-09 2" xfId="10232" xr:uid="{5B33E27C-8F83-4FF6-97E0-AA61187ED22B}"/>
    <cellStyle name="_New_Sofi_Nsi_140(Зах)_раст.-факт" xfId="1063" xr:uid="{4FBACF6D-D497-4B6D-A0C4-C3F2ED4AE061}"/>
    <cellStyle name="_New_Sofi_Nsi_140(Зах)_Растениеводство форма( АГМ)" xfId="1064" xr:uid="{0280520A-F291-4607-9BD1-41973C3A585D}"/>
    <cellStyle name="_New_Sofi_Nsi_140(Зах)_Свод по Агрохоолдингу  (в т.ч КБН  )" xfId="1065" xr:uid="{7A2B6161-E9A5-4892-A973-A5E4A00C57B2}"/>
    <cellStyle name="_New_Sofi_Nsi_140(Зах)_ТК-2011 АГМ+транспорт" xfId="1066" xr:uid="{FFCF662B-22D7-4833-8865-CF4CFDC16C5F}"/>
    <cellStyle name="_New_Sofi_Nsi_140(Зах)_Форма по растениеводству (Акционеры) ИЛЧ" xfId="1067" xr:uid="{6E659E4A-94CC-4508-A8FA-46F611109DE6}"/>
    <cellStyle name="_New_Sofi_Nsi_140_mod" xfId="1068" xr:uid="{B77384E4-5C29-474A-ABDD-89F3B11215C5}"/>
    <cellStyle name="_New_Sofi_Nsi_140_mod 1" xfId="1069" xr:uid="{5F7CB3E5-81BF-448A-93FE-348B21F600DD}"/>
    <cellStyle name="_New_Sofi_Nsi_140_mod 1_Копия Растениеводство форма(Акционеры)" xfId="1070" xr:uid="{5667D3AD-83EF-4EE9-BAE6-763DAB82389E}"/>
    <cellStyle name="_New_Sofi_Nsi_140_mod 1_М( ЗАР)" xfId="1071" xr:uid="{6154DE3F-BA4C-4C3D-A9B5-3CDE47F38EEF}"/>
    <cellStyle name="_New_Sofi_Nsi_140_mod 1_Модель АгроГард на 5 лет" xfId="1072" xr:uid="{E2527AE7-BBBB-47F6-9C0E-B30162D36FE0}"/>
    <cellStyle name="_New_Sofi_Nsi_140_mod 1_раст.-факт" xfId="1073" xr:uid="{6A38AF85-F138-427F-96C5-2263B7CDEC32}"/>
    <cellStyle name="_New_Sofi_Nsi_140_mod 1_Растениеводство форма( АГМ)" xfId="1074" xr:uid="{F14E8A22-0A28-43D7-9E69-B980107A1DA5}"/>
    <cellStyle name="_New_Sofi_Nsi_140_mod 1_Свод по Агрохоолдингу  (в т.ч КБН  )" xfId="1075" xr:uid="{B7DA308F-705A-4055-864A-162241A3F1B5}"/>
    <cellStyle name="_New_Sofi_Nsi_140_mod 1_Форма по растениеводству (Акционеры) ИЛЧ" xfId="1076" xr:uid="{1B08C4F3-8447-4299-B318-82CF8CB40984}"/>
    <cellStyle name="_New_Sofi_Nsi_140_mod 2" xfId="1077" xr:uid="{95CEEDDD-C78D-4B06-BACF-D7D0BB67BB56}"/>
    <cellStyle name="_New_Sofi_Nsi_140_mod 2_Копия Растениеводство форма(Акционеры)" xfId="1078" xr:uid="{D41391E9-216A-4EA6-A658-8DAABEE31B70}"/>
    <cellStyle name="_New_Sofi_Nsi_140_mod 2_М( ЗАР)" xfId="1079" xr:uid="{057564E1-80ED-427A-8ED3-88C50690CE4C}"/>
    <cellStyle name="_New_Sofi_Nsi_140_mod 2_Модель АгроГард на 5 лет" xfId="1080" xr:uid="{333F6B90-6CB0-4013-9653-155BC5A26E0C}"/>
    <cellStyle name="_New_Sofi_Nsi_140_mod 2_раст.-факт" xfId="1081" xr:uid="{589E5986-92DC-41C2-9FB5-0EA1FC23E2BF}"/>
    <cellStyle name="_New_Sofi_Nsi_140_mod 2_Растениеводство форма( АГМ)" xfId="1082" xr:uid="{A98554D3-44B9-4556-86CE-1D7192BC0854}"/>
    <cellStyle name="_New_Sofi_Nsi_140_mod 2_Свод по Агрохоолдингу  (в т.ч КБН  )" xfId="1083" xr:uid="{2B6B760F-CB2D-4FCD-8C92-995718DEB7D1}"/>
    <cellStyle name="_New_Sofi_Nsi_140_mod 2_Форма по растениеводству (Акционеры) ИЛЧ" xfId="1084" xr:uid="{A6A60D51-2DD5-45DB-AC7F-B6C799B26C7E}"/>
    <cellStyle name="_New_Sofi_Nsi_140_mod 3" xfId="1085" xr:uid="{347F7CB9-FA94-4E2E-99C5-19D2C50A39A3}"/>
    <cellStyle name="_New_Sofi_Nsi_140_mod 3_Копия Растениеводство форма(Акционеры)" xfId="1086" xr:uid="{F050E721-CEB4-4DA0-A0F1-33E3C33F767C}"/>
    <cellStyle name="_New_Sofi_Nsi_140_mod 3_М( ЗАР)" xfId="1087" xr:uid="{45652933-0045-4E57-9AB2-EFF19978FFE6}"/>
    <cellStyle name="_New_Sofi_Nsi_140_mod 3_Модель АгроГард на 5 лет" xfId="1088" xr:uid="{F63614A0-C48C-4F23-A033-D111D49B74A2}"/>
    <cellStyle name="_New_Sofi_Nsi_140_mod 3_раст.-факт" xfId="1089" xr:uid="{C018F7A7-BE3F-4FBF-9778-F823AD4B96A4}"/>
    <cellStyle name="_New_Sofi_Nsi_140_mod 3_Растениеводство форма( АГМ)" xfId="1090" xr:uid="{E2D92201-BBFC-44F0-A40D-7EBFCAA8D463}"/>
    <cellStyle name="_New_Sofi_Nsi_140_mod 3_Свод по Агрохоолдингу  (в т.ч КБН  )" xfId="1091" xr:uid="{9DCF4861-EBF1-49BC-9DCB-1B6538FE125A}"/>
    <cellStyle name="_New_Sofi_Nsi_140_mod 3_Форма по растениеводству (Акционеры) ИЛЧ" xfId="1092" xr:uid="{39162147-82DB-4A5A-A11C-9F00D2F7052F}"/>
    <cellStyle name="_New_Sofi_Nsi_140_mod_АГМ" xfId="1093" xr:uid="{072E28D7-DDB0-4A17-BB7C-DE50EB7B1589}"/>
    <cellStyle name="_New_Sofi_Nsi_140_mod_Копия Растениеводство форма(Акционеры)" xfId="1094" xr:uid="{988A5CED-77B6-40A5-B3EF-5FF47F0F3CC5}"/>
    <cellStyle name="_New_Sofi_Nsi_140_mod_М( ЗАР)" xfId="1095" xr:uid="{9B8A4D7C-5D92-49CB-B33E-6662579D724C}"/>
    <cellStyle name="_New_Sofi_Nsi_140_mod_Модель АгроГард на 5 лет" xfId="1096" xr:uid="{FE180CA8-A6B2-48C4-99CC-69F5F1E7A321}"/>
    <cellStyle name="_New_Sofi_Nsi_140_mod_НИК-09" xfId="1097" xr:uid="{A5ECD2A6-89AA-4A2E-AA08-1B4CA0427957}"/>
    <cellStyle name="_New_Sofi_Nsi_140_mod_НИК-09 2" xfId="10233" xr:uid="{3BA76799-00AC-403B-A2DE-B65E74424A54}"/>
    <cellStyle name="_New_Sofi_Nsi_140_mod_раст.-факт" xfId="1098" xr:uid="{00847B30-674A-4FCA-ABD0-86977BD78C29}"/>
    <cellStyle name="_New_Sofi_Nsi_140_mod_Растениеводство форма( АГМ)" xfId="1099" xr:uid="{42067ADB-7A6F-4187-8DA4-C31A75A7B891}"/>
    <cellStyle name="_New_Sofi_Nsi_140_mod_Свод по Агрохоолдингу  (в т.ч КБН  )" xfId="1100" xr:uid="{2C0BC0FB-1933-44AF-9408-6187210BAD8B}"/>
    <cellStyle name="_New_Sofi_Nsi_140_mod_ТК-2011 АГМ+транспорт" xfId="1101" xr:uid="{3C11473F-FE72-4033-8643-6863F310F325}"/>
    <cellStyle name="_New_Sofi_Nsi_140_mod_Форма по растениеводству (Акционеры) ИЛЧ" xfId="1102" xr:uid="{24E55770-4D9B-4793-BDD3-38A8CF1F0ED7}"/>
    <cellStyle name="_New_Sofi_Nsi_140_АГМ" xfId="1103" xr:uid="{B58012EB-8BE4-461D-962B-EEA1D8DFB09B}"/>
    <cellStyle name="_New_Sofi_Nsi_140_Копия Растениеводство форма(Акционеры)" xfId="1104" xr:uid="{60288742-AF40-462B-B0E9-2D88214DC11E}"/>
    <cellStyle name="_New_Sofi_Nsi_140_М( ЗАР)" xfId="1105" xr:uid="{00075420-167A-4FD2-B05C-BDF22A31F6D4}"/>
    <cellStyle name="_New_Sofi_Nsi_140_Модель АгроГард на 5 лет" xfId="1106" xr:uid="{E566B5E0-7053-4B6B-8806-2BCCEFE3FEE6}"/>
    <cellStyle name="_New_Sofi_Nsi_140_НИК-09" xfId="1107" xr:uid="{01D435C3-A51D-4711-B0A9-63C37FAD417F}"/>
    <cellStyle name="_New_Sofi_Nsi_140_НИК-09 2" xfId="10234" xr:uid="{8C90DB09-6F5B-4C5D-A4C5-3F6C27A6DEE9}"/>
    <cellStyle name="_New_Sofi_Nsi_140_раст.-факт" xfId="1108" xr:uid="{1A667F6B-FF9D-43E5-92F4-BC975BD40540}"/>
    <cellStyle name="_New_Sofi_Nsi_140_Растениеводство форма( АГМ)" xfId="1109" xr:uid="{07193BD4-2E55-4928-8677-2A1A2A63F633}"/>
    <cellStyle name="_New_Sofi_Nsi_140_Свод по Агрохоолдингу  (в т.ч КБН  )" xfId="1110" xr:uid="{CBE850AF-6498-411A-B639-CD4B2D5A4A95}"/>
    <cellStyle name="_New_Sofi_Nsi_140_ТК-2011 АГМ+транспорт" xfId="1111" xr:uid="{1E032DDA-9AF5-4D73-9D8B-3A7012B06B70}"/>
    <cellStyle name="_New_Sofi_Nsi_140_Форма по растениеводству (Акционеры) ИЛЧ" xfId="1112" xr:uid="{82C7CF36-3222-4CFB-B5DA-7E47589EBAA1}"/>
    <cellStyle name="_New_Sofi_Nsi_АГМ" xfId="1113" xr:uid="{56B8B81C-366B-4EE0-8327-1584924F3A7B}"/>
    <cellStyle name="_New_Sofi_Nsi_Копия Растениеводство форма(Акционеры)" xfId="1114" xr:uid="{A6DD964A-009A-441B-8DFA-B4F7864B8D05}"/>
    <cellStyle name="_New_Sofi_Nsi_М( ЗАР)" xfId="1115" xr:uid="{68AD7349-DDAD-474F-B133-D88CA1AA411C}"/>
    <cellStyle name="_New_Sofi_Nsi_Модель АгроГард на 5 лет" xfId="1116" xr:uid="{0C7A11F7-FAED-4C6B-B541-D88DAA54A3E5}"/>
    <cellStyle name="_New_Sofi_Nsi_НИК-09" xfId="1117" xr:uid="{5818113D-06B0-41FD-A00A-396138ADEDB5}"/>
    <cellStyle name="_New_Sofi_Nsi_НИК-09 2" xfId="10235" xr:uid="{27E03601-39CC-49D5-9EC5-5E2164DE4822}"/>
    <cellStyle name="_New_Sofi_Nsi_раст.-факт" xfId="1118" xr:uid="{6FECBCB6-4AA3-41F2-8B80-94BEEA715704}"/>
    <cellStyle name="_New_Sofi_Nsi_Растениеводство форма( АГМ)" xfId="1119" xr:uid="{142D7622-CA77-4AFD-89B5-7868C6114111}"/>
    <cellStyle name="_New_Sofi_Nsi_Свод по Агрохоолдингу  (в т.ч КБН  )" xfId="1120" xr:uid="{81BF64BF-795A-444F-8DD4-966138FD4C22}"/>
    <cellStyle name="_New_Sofi_Nsi_ТК-2011 АГМ+транспорт" xfId="1121" xr:uid="{19C72DF3-DF80-454C-951D-F94455A73A23}"/>
    <cellStyle name="_New_Sofi_Nsi_Форма по растениеводству (Акционеры) ИЛЧ" xfId="1122" xr:uid="{5E05DBE0-120B-40D9-AF66-1A223E2253C7}"/>
    <cellStyle name="_New_Sofi_Summary" xfId="1123" xr:uid="{7B07750A-2A52-4FC9-B182-4321448CF965}"/>
    <cellStyle name="_New_Sofi_Summary 1" xfId="1124" xr:uid="{A7E2959F-6AE9-443B-BF0F-42A1AE6C08FC}"/>
    <cellStyle name="_New_Sofi_Summary 1_Копия Растениеводство форма(Акционеры)" xfId="1125" xr:uid="{CD4AE110-61D6-473F-AC66-E357CD9F91C6}"/>
    <cellStyle name="_New_Sofi_Summary 1_М( ЗАР)" xfId="1126" xr:uid="{40A04B3B-32E5-46E3-9AD8-AE56540BCE2B}"/>
    <cellStyle name="_New_Sofi_Summary 1_Модель АгроГард на 5 лет" xfId="1127" xr:uid="{7C1971B4-2E0E-46FA-A8B8-A6E02D02AAFD}"/>
    <cellStyle name="_New_Sofi_Summary 1_раст.-факт" xfId="1128" xr:uid="{E03BB106-BED8-47C2-8306-55137CDCA4D5}"/>
    <cellStyle name="_New_Sofi_Summary 1_Растениеводство форма( АГМ)" xfId="1129" xr:uid="{1CD8FDD6-A50A-433C-B6EC-80BA99CF524E}"/>
    <cellStyle name="_New_Sofi_Summary 1_Свод по Агрохоолдингу  (в т.ч КБН  )" xfId="1130" xr:uid="{407E5DFF-AF76-48F0-A6F7-BB24B756042E}"/>
    <cellStyle name="_New_Sofi_Summary 1_Форма по растениеводству (Акционеры) ИЛЧ" xfId="1131" xr:uid="{5646F056-A060-4964-8A4D-A44E31DDF538}"/>
    <cellStyle name="_New_Sofi_Summary 2" xfId="1132" xr:uid="{85561209-38A7-4735-B212-F514445C2F36}"/>
    <cellStyle name="_New_Sofi_Summary 2_Копия Растениеводство форма(Акционеры)" xfId="1133" xr:uid="{DB2A042C-02B1-442F-9A28-FD61DFA687C1}"/>
    <cellStyle name="_New_Sofi_Summary 2_М( ЗАР)" xfId="1134" xr:uid="{376EDA5A-81CD-41E0-BFC8-22758F3CFF50}"/>
    <cellStyle name="_New_Sofi_Summary 2_Модель АгроГард на 5 лет" xfId="1135" xr:uid="{6680E76D-8335-48A6-971D-8A114442355A}"/>
    <cellStyle name="_New_Sofi_Summary 2_раст.-факт" xfId="1136" xr:uid="{D5AA3D1E-3626-47BC-B529-509F4F4C8B1B}"/>
    <cellStyle name="_New_Sofi_Summary 2_Растениеводство форма( АГМ)" xfId="1137" xr:uid="{4CA319C3-A8D5-4B6B-AF8D-6666DD6B009E}"/>
    <cellStyle name="_New_Sofi_Summary 2_Свод по Агрохоолдингу  (в т.ч КБН  )" xfId="1138" xr:uid="{5ADD0482-BBE9-4E92-AE67-041D07C668EE}"/>
    <cellStyle name="_New_Sofi_Summary 2_Форма по растениеводству (Акционеры) ИЛЧ" xfId="1139" xr:uid="{F2F77CFF-A20F-4486-9BA9-AC43BDD5FC5A}"/>
    <cellStyle name="_New_Sofi_Summary 3" xfId="1140" xr:uid="{A0A627F3-E442-41C4-A9BE-A1A1C8A5564C}"/>
    <cellStyle name="_New_Sofi_Summary 3_Копия Растениеводство форма(Акционеры)" xfId="1141" xr:uid="{12793101-ABF2-42C6-8F8E-7C013D277FD6}"/>
    <cellStyle name="_New_Sofi_Summary 3_М( ЗАР)" xfId="1142" xr:uid="{E9D8EEC9-46C1-444C-83B5-A480258D98C7}"/>
    <cellStyle name="_New_Sofi_Summary 3_Модель АгроГард на 5 лет" xfId="1143" xr:uid="{C6C8C9A4-D022-444B-B005-BF3FB9F0DA29}"/>
    <cellStyle name="_New_Sofi_Summary 3_раст.-факт" xfId="1144" xr:uid="{D826B7EB-F1FE-4F26-95DC-1BBCD18FE8E3}"/>
    <cellStyle name="_New_Sofi_Summary 3_Растениеводство форма( АГМ)" xfId="1145" xr:uid="{638FDAB4-CEBD-4FEF-B4C2-C247595480F0}"/>
    <cellStyle name="_New_Sofi_Summary 3_Свод по Агрохоолдингу  (в т.ч КБН  )" xfId="1146" xr:uid="{B1F35B3B-DEA7-4576-93FD-6FD9530611B7}"/>
    <cellStyle name="_New_Sofi_Summary 3_Форма по растениеводству (Акционеры) ИЛЧ" xfId="1147" xr:uid="{7FF2F6A4-8746-4305-A278-E070D6A82D35}"/>
    <cellStyle name="_New_Sofi_Summary_АГМ" xfId="1148" xr:uid="{891AD388-181F-42BA-A403-C2211D580E00}"/>
    <cellStyle name="_New_Sofi_Summary_Копия Растениеводство форма(Акционеры)" xfId="1149" xr:uid="{76383ADD-9E8D-4A52-8FF4-30E6565E276A}"/>
    <cellStyle name="_New_Sofi_Summary_М( ЗАР)" xfId="1150" xr:uid="{6B14C817-5489-432D-A60C-3EBD982A6344}"/>
    <cellStyle name="_New_Sofi_Summary_Модель АгроГард на 5 лет" xfId="1151" xr:uid="{DF3DAA16-FF80-458A-8406-4CEE8E387A5D}"/>
    <cellStyle name="_New_Sofi_Summary_НИК-09" xfId="1152" xr:uid="{60B21755-1952-466F-AC63-8BF7BFADC444}"/>
    <cellStyle name="_New_Sofi_Summary_НИК-09 2" xfId="10236" xr:uid="{62BE82CA-5CA4-4E41-AAC5-1229CBAD519A}"/>
    <cellStyle name="_New_Sofi_Summary_раст.-факт" xfId="1153" xr:uid="{C79C9616-8678-45C2-8AFB-8579B4B706F6}"/>
    <cellStyle name="_New_Sofi_Summary_Растениеводство форма( АГМ)" xfId="1154" xr:uid="{FCD99464-7CF1-4E94-929B-536A71E5DD2A}"/>
    <cellStyle name="_New_Sofi_Summary_Свод по Агрохоолдингу  (в т.ч КБН  )" xfId="1155" xr:uid="{B933C595-77CF-4FC8-9BC7-7273F5D2F2B0}"/>
    <cellStyle name="_New_Sofi_Summary_ТК-2011 АГМ+транспорт" xfId="1156" xr:uid="{B4FC402D-49E8-4095-9D79-B50A1BA78217}"/>
    <cellStyle name="_New_Sofi_Summary_Форма по растениеводству (Акционеры) ИЛЧ" xfId="1157" xr:uid="{CBB392B2-9FF3-4D3B-8087-B744CC26859B}"/>
    <cellStyle name="_New_Sofi_Tax_form_1кв_3" xfId="1158" xr:uid="{DA92F3DF-4111-4846-9239-DFF4E0824E08}"/>
    <cellStyle name="_New_Sofi_Tax_form_1кв_3 1" xfId="1159" xr:uid="{C1897E03-2BBE-4EF7-97BD-9A66626C4881}"/>
    <cellStyle name="_New_Sofi_Tax_form_1кв_3 1_Копия Растениеводство форма(Акционеры)" xfId="1160" xr:uid="{2E73FBA7-8A30-4314-A59D-EC6D19E8969D}"/>
    <cellStyle name="_New_Sofi_Tax_form_1кв_3 1_М( ЗАР)" xfId="1161" xr:uid="{4EAE493B-28AD-42E5-9630-BB763B3F0B38}"/>
    <cellStyle name="_New_Sofi_Tax_form_1кв_3 1_Модель АгроГард на 5 лет" xfId="1162" xr:uid="{365FCF1F-34C7-428E-B843-3B7C71D8C880}"/>
    <cellStyle name="_New_Sofi_Tax_form_1кв_3 1_раст.-факт" xfId="1163" xr:uid="{A1A1D3FA-3DB2-4979-8D12-E073C4C6A456}"/>
    <cellStyle name="_New_Sofi_Tax_form_1кв_3 1_Растениеводство форма( АГМ)" xfId="1164" xr:uid="{714013E0-CEBE-4F31-91C4-A42670683807}"/>
    <cellStyle name="_New_Sofi_Tax_form_1кв_3 1_Свод по Агрохоолдингу  (в т.ч КБН  )" xfId="1165" xr:uid="{B930BD9F-0069-4018-ACA3-2A713FFF6460}"/>
    <cellStyle name="_New_Sofi_Tax_form_1кв_3 1_Форма по растениеводству (Акционеры) ИЛЧ" xfId="1166" xr:uid="{FEA05740-CD8A-451A-811B-44C9679853E1}"/>
    <cellStyle name="_New_Sofi_Tax_form_1кв_3 2" xfId="1167" xr:uid="{A0F73ABD-B232-45F9-9B6C-6F83C26C46FD}"/>
    <cellStyle name="_New_Sofi_Tax_form_1кв_3 2_Копия Растениеводство форма(Акционеры)" xfId="1168" xr:uid="{6F652428-34A8-40D1-9E7F-BF72D8E30CD4}"/>
    <cellStyle name="_New_Sofi_Tax_form_1кв_3 2_М( ЗАР)" xfId="1169" xr:uid="{45791C32-3657-46BB-8C58-73E5864A28D2}"/>
    <cellStyle name="_New_Sofi_Tax_form_1кв_3 2_Модель АгроГард на 5 лет" xfId="1170" xr:uid="{9409DB0D-D3C0-4CDE-BC6D-AE7786CBABCB}"/>
    <cellStyle name="_New_Sofi_Tax_form_1кв_3 2_раст.-факт" xfId="1171" xr:uid="{07AC2A7F-04FB-4F85-A065-5DD7FF774AF0}"/>
    <cellStyle name="_New_Sofi_Tax_form_1кв_3 2_Растениеводство форма( АГМ)" xfId="1172" xr:uid="{C9586D31-338B-49AB-9085-D92ECF11633F}"/>
    <cellStyle name="_New_Sofi_Tax_form_1кв_3 2_Свод по Агрохоолдингу  (в т.ч КБН  )" xfId="1173" xr:uid="{B2274C5A-A12B-4022-8C4A-A5AF9B48CC6A}"/>
    <cellStyle name="_New_Sofi_Tax_form_1кв_3 2_Форма по растениеводству (Акционеры) ИЛЧ" xfId="1174" xr:uid="{BDC415F9-9C3B-48F2-87F0-D744CF359573}"/>
    <cellStyle name="_New_Sofi_Tax_form_1кв_3 3" xfId="1175" xr:uid="{4EBB52F8-52E6-40BA-928C-3E5B46048FA6}"/>
    <cellStyle name="_New_Sofi_Tax_form_1кв_3 3_Копия Растениеводство форма(Акционеры)" xfId="1176" xr:uid="{F69E3368-C9BC-4C98-8EFD-8A419C87D1E8}"/>
    <cellStyle name="_New_Sofi_Tax_form_1кв_3 3_М( ЗАР)" xfId="1177" xr:uid="{57D05400-2B84-4D3A-BD4F-436A931A5054}"/>
    <cellStyle name="_New_Sofi_Tax_form_1кв_3 3_Модель АгроГард на 5 лет" xfId="1178" xr:uid="{CC5115C0-1899-497B-B044-5937379F6C0E}"/>
    <cellStyle name="_New_Sofi_Tax_form_1кв_3 3_раст.-факт" xfId="1179" xr:uid="{5C4E3290-588B-41BF-A754-7D7E5FBC821B}"/>
    <cellStyle name="_New_Sofi_Tax_form_1кв_3 3_Растениеводство форма( АГМ)" xfId="1180" xr:uid="{4AA75130-8296-40EC-8A1E-2AA7A3274090}"/>
    <cellStyle name="_New_Sofi_Tax_form_1кв_3 3_Свод по Агрохоолдингу  (в т.ч КБН  )" xfId="1181" xr:uid="{685EB6A5-6955-41FE-AEB8-763F041EA143}"/>
    <cellStyle name="_New_Sofi_Tax_form_1кв_3 3_Форма по растениеводству (Акционеры) ИЛЧ" xfId="1182" xr:uid="{47E77381-3F3B-418B-AA73-8756935B7B3B}"/>
    <cellStyle name="_New_Sofi_Tax_form_1кв_3_АГМ" xfId="1183" xr:uid="{FDAEF8A4-AAAA-48DA-AEC0-1815696CF448}"/>
    <cellStyle name="_New_Sofi_Tax_form_1кв_3_Копия Растениеводство форма(Акционеры)" xfId="1184" xr:uid="{C45D7774-D0F7-492E-8EAA-399284D1A735}"/>
    <cellStyle name="_New_Sofi_Tax_form_1кв_3_М( ЗАР)" xfId="1185" xr:uid="{2A0C75C0-7E09-4F73-9A63-50A1CB3994B9}"/>
    <cellStyle name="_New_Sofi_Tax_form_1кв_3_Модель АгроГард на 5 лет" xfId="1186" xr:uid="{3919C90F-319D-4AC8-A797-38AA4091CFE2}"/>
    <cellStyle name="_New_Sofi_Tax_form_1кв_3_НИК-09" xfId="1187" xr:uid="{69B4105A-4EF5-48C0-B586-EE9E26FEFA47}"/>
    <cellStyle name="_New_Sofi_Tax_form_1кв_3_НИК-09 2" xfId="10237" xr:uid="{151768E3-10F6-4972-83D5-0B821D4FB9A5}"/>
    <cellStyle name="_New_Sofi_Tax_form_1кв_3_раст.-факт" xfId="1188" xr:uid="{40ECC4AD-9666-4702-8BAC-F99CC2B7ED19}"/>
    <cellStyle name="_New_Sofi_Tax_form_1кв_3_Растениеводство форма( АГМ)" xfId="1189" xr:uid="{9D4BC958-89F4-4ED2-A1A6-AA80B6FA9708}"/>
    <cellStyle name="_New_Sofi_Tax_form_1кв_3_Свод по Агрохоолдингу  (в т.ч КБН  )" xfId="1190" xr:uid="{1700F653-F9B6-432A-B92D-894D4BCC57DB}"/>
    <cellStyle name="_New_Sofi_Tax_form_1кв_3_ТК-2011 АГМ+транспорт" xfId="1191" xr:uid="{CF0BB587-752A-4237-A7D6-7ACF45124F33}"/>
    <cellStyle name="_New_Sofi_Tax_form_1кв_3_Форма по растениеводству (Акционеры) ИЛЧ" xfId="1192" xr:uid="{1858ACCB-1188-48A4-8868-62FB4C83482C}"/>
    <cellStyle name="_New_Sofi_АГМ" xfId="1193" xr:uid="{3AD205BA-9E2A-44E2-9B46-AD06E49897E1}"/>
    <cellStyle name="_New_Sofi_БКЭ" xfId="1194" xr:uid="{2B5953B9-FC93-41C4-852D-DE9836912F34}"/>
    <cellStyle name="_New_Sofi_БКЭ 1" xfId="1195" xr:uid="{D1C0F3AC-7CAF-4E16-BFC7-E81864B389DA}"/>
    <cellStyle name="_New_Sofi_БКЭ 1_Копия Растениеводство форма(Акционеры)" xfId="1196" xr:uid="{1266EC13-B809-4BF9-A23F-86E6D09F63F2}"/>
    <cellStyle name="_New_Sofi_БКЭ 1_М( ЗАР)" xfId="1197" xr:uid="{E9B35810-B814-4DD5-BB70-06BAACB26968}"/>
    <cellStyle name="_New_Sofi_БКЭ 1_Модель АгроГард на 5 лет" xfId="1198" xr:uid="{BC178B9F-6973-4EB2-8631-09F8A36B8BC5}"/>
    <cellStyle name="_New_Sofi_БКЭ 1_раст.-факт" xfId="1199" xr:uid="{82D727A4-D3A8-4954-8531-D4BA801D05E1}"/>
    <cellStyle name="_New_Sofi_БКЭ 1_Растениеводство форма( АГМ)" xfId="1200" xr:uid="{69A734E2-ED37-4607-A655-112DD2B6FAD8}"/>
    <cellStyle name="_New_Sofi_БКЭ 1_Свод по Агрохоолдингу  (в т.ч КБН  )" xfId="1201" xr:uid="{B7379D66-108F-474C-A889-AD722E48F614}"/>
    <cellStyle name="_New_Sofi_БКЭ 1_Форма по растениеводству (Акционеры) ИЛЧ" xfId="1202" xr:uid="{855E0AED-4DA7-4653-B1FA-28E5E0166966}"/>
    <cellStyle name="_New_Sofi_БКЭ 2" xfId="1203" xr:uid="{5757E565-D30F-41BE-84FE-C8D6A11D53E3}"/>
    <cellStyle name="_New_Sofi_БКЭ 2_Копия Растениеводство форма(Акционеры)" xfId="1204" xr:uid="{924FA974-31E2-4DB8-AE33-6F6ED4454D25}"/>
    <cellStyle name="_New_Sofi_БКЭ 2_М( ЗАР)" xfId="1205" xr:uid="{E1A9D883-0DDA-4C42-85E6-52F5AE509310}"/>
    <cellStyle name="_New_Sofi_БКЭ 2_Модель АгроГард на 5 лет" xfId="1206" xr:uid="{1C3C2AC6-543A-4994-A281-90EA4D8F6EDC}"/>
    <cellStyle name="_New_Sofi_БКЭ 2_раст.-факт" xfId="1207" xr:uid="{507B8314-2CBA-4BDA-9940-34CB5C8484A3}"/>
    <cellStyle name="_New_Sofi_БКЭ 2_Растениеводство форма( АГМ)" xfId="1208" xr:uid="{9C7123EB-EC5D-4777-96CB-90B3BD6D9D3C}"/>
    <cellStyle name="_New_Sofi_БКЭ 2_Свод по Агрохоолдингу  (в т.ч КБН  )" xfId="1209" xr:uid="{ECDE5A7D-21C0-4778-A2C1-795A20D24AF0}"/>
    <cellStyle name="_New_Sofi_БКЭ 2_Форма по растениеводству (Акционеры) ИЛЧ" xfId="1210" xr:uid="{9BB4DEA4-A084-43FF-9134-DE3F32409C86}"/>
    <cellStyle name="_New_Sofi_БКЭ 3" xfId="1211" xr:uid="{E8D518BC-A049-4369-9C2D-1FD7A6A1CE35}"/>
    <cellStyle name="_New_Sofi_БКЭ 3_Копия Растениеводство форма(Акционеры)" xfId="1212" xr:uid="{CBA8B09D-D87A-40D8-B422-1A26F6DA43D5}"/>
    <cellStyle name="_New_Sofi_БКЭ 3_М( ЗАР)" xfId="1213" xr:uid="{30CF623E-702B-43EA-8E37-4EAA3D0E0F3F}"/>
    <cellStyle name="_New_Sofi_БКЭ 3_Модель АгроГард на 5 лет" xfId="1214" xr:uid="{32689DE9-D8CC-460A-AA73-C26E880CA2B1}"/>
    <cellStyle name="_New_Sofi_БКЭ 3_раст.-факт" xfId="1215" xr:uid="{08A871A4-5AAB-4D0F-A8C4-3C2C4B75F4A4}"/>
    <cellStyle name="_New_Sofi_БКЭ 3_Растениеводство форма( АГМ)" xfId="1216" xr:uid="{7E0C0E6F-C9E4-4206-9042-55F6BAA98D86}"/>
    <cellStyle name="_New_Sofi_БКЭ 3_Свод по Агрохоолдингу  (в т.ч КБН  )" xfId="1217" xr:uid="{E635B04B-8CDB-4D90-9E63-DE3AB5744C9B}"/>
    <cellStyle name="_New_Sofi_БКЭ 3_Форма по растениеводству (Акционеры) ИЛЧ" xfId="1218" xr:uid="{5FF1E843-B5FD-4B96-AAE1-4BE4558C7EB5}"/>
    <cellStyle name="_New_Sofi_БКЭ_АГМ" xfId="1219" xr:uid="{E8AABE86-5BE6-4972-BB4F-B3945A3F260D}"/>
    <cellStyle name="_New_Sofi_БКЭ_Копия Растениеводство форма(Акционеры)" xfId="1220" xr:uid="{C12F7412-BDDB-490C-A317-09163043DFF0}"/>
    <cellStyle name="_New_Sofi_БКЭ_М( ЗАР)" xfId="1221" xr:uid="{1E5C0C43-F946-423E-8215-E22BE7743990}"/>
    <cellStyle name="_New_Sofi_БКЭ_Модель АгроГард на 5 лет" xfId="1222" xr:uid="{52D24B85-853E-49B9-B644-5F61A34ACEBC}"/>
    <cellStyle name="_New_Sofi_БКЭ_НИК-09" xfId="1223" xr:uid="{33664D64-B1E9-4DC4-B7D2-5E384231F7CC}"/>
    <cellStyle name="_New_Sofi_БКЭ_НИК-09 2" xfId="10238" xr:uid="{86B2FF62-6A6F-4665-BC39-4751B6685B32}"/>
    <cellStyle name="_New_Sofi_БКЭ_раст.-факт" xfId="1224" xr:uid="{2A832FB4-F863-4EDD-B427-71C2C697D9E4}"/>
    <cellStyle name="_New_Sofi_БКЭ_Растениеводство форма( АГМ)" xfId="1225" xr:uid="{1C93842C-B868-488D-A965-5B311EC0BF90}"/>
    <cellStyle name="_New_Sofi_БКЭ_Свод по Агрохоолдингу  (в т.ч КБН  )" xfId="1226" xr:uid="{033B7E21-4DC2-4730-9535-F8AA498A69B1}"/>
    <cellStyle name="_New_Sofi_БКЭ_ТК-2011 АГМ+транспорт" xfId="1227" xr:uid="{560F538F-88FE-4C37-86B3-344AD0921781}"/>
    <cellStyle name="_New_Sofi_БКЭ_Форма по растениеводству (Акционеры) ИЛЧ" xfId="1228" xr:uid="{893B0B71-FDCF-4136-BD1E-B206DCFD07C3}"/>
    <cellStyle name="_New_Sofi_Копия Растениеводство форма(Акционеры)" xfId="1229" xr:uid="{78106D41-36C5-4C7A-BF84-B8E6E2A7C75E}"/>
    <cellStyle name="_New_Sofi_М( ЗАР)" xfId="1230" xr:uid="{504D7BEC-7635-41E6-955B-27060A0971D9}"/>
    <cellStyle name="_New_Sofi_Модель АгроГард на 5 лет" xfId="1231" xr:uid="{46DBED0C-6E19-412F-8DA7-95FDF40F0BAA}"/>
    <cellStyle name="_New_Sofi_НИК-09" xfId="1232" xr:uid="{D7FC5BA7-5826-466F-92EC-445AD7BC89A2}"/>
    <cellStyle name="_New_Sofi_НИК-09 2" xfId="10239" xr:uid="{1FCEC879-6275-41D3-996D-9261F60DFCE4}"/>
    <cellStyle name="_New_Sofi_раст.-факт" xfId="1233" xr:uid="{3861596F-23B2-49D2-9571-047835C8B418}"/>
    <cellStyle name="_New_Sofi_Растениеводство форма( АГМ)" xfId="1234" xr:uid="{DB2195FE-04EB-4C06-AF26-A49CBA60E6DD}"/>
    <cellStyle name="_New_Sofi_Свод по Агрохоолдингу  (в т.ч КБН  )" xfId="1235" xr:uid="{E326156E-3086-4BD7-B460-09A6EC983DB7}"/>
    <cellStyle name="_New_Sofi_ТК-2011 АГМ+транспорт" xfId="1236" xr:uid="{041C71D4-EA30-469A-AFCA-6BCEAD895D10}"/>
    <cellStyle name="_New_Sofi_Форма по растениеводству (Акционеры) ИЛЧ" xfId="1237" xr:uid="{7D9DD62D-5462-40F1-98E6-5B946E7E906E}"/>
    <cellStyle name="_Nsi" xfId="1238" xr:uid="{E42EA8AD-D2B2-451C-A2E9-5A4189E72DC6}"/>
    <cellStyle name="_Nsi 1" xfId="1239" xr:uid="{A532F11B-ACC4-417B-A500-B9F9F3646F55}"/>
    <cellStyle name="_Nsi 1_Копия Растениеводство форма(Акционеры)" xfId="1240" xr:uid="{D798633C-AE51-49BA-B016-154CA552D5D8}"/>
    <cellStyle name="_Nsi 1_М( ЗАР)" xfId="1241" xr:uid="{8EC4FB17-C5DD-4AF2-89E2-42E1FC54A9AB}"/>
    <cellStyle name="_Nsi 1_Модель АгроГард на 5 лет" xfId="1242" xr:uid="{B60762BE-1691-4DB0-9D7E-E8B998912290}"/>
    <cellStyle name="_Nsi 1_раст.-факт" xfId="1243" xr:uid="{9A0C5475-378C-47DA-B3D8-1E1436E5D796}"/>
    <cellStyle name="_Nsi 1_Растениеводство форма( АГМ)" xfId="1244" xr:uid="{56E14CB0-4565-422E-88BE-617CF545D8D8}"/>
    <cellStyle name="_Nsi 1_Свод по Агрохоолдингу  (в т.ч КБН  )" xfId="1245" xr:uid="{9FCDB026-BF0F-430D-AB87-F8932B918686}"/>
    <cellStyle name="_Nsi 1_Форма по растениеводству (Акционеры) ИЛЧ" xfId="1246" xr:uid="{82EDCC57-5FE9-4C6B-96D3-C45C7C445301}"/>
    <cellStyle name="_Nsi 2" xfId="1247" xr:uid="{FA99FB20-25B1-42D9-BCA3-2FB7619CFFC0}"/>
    <cellStyle name="_Nsi 2_Копия Растениеводство форма(Акционеры)" xfId="1248" xr:uid="{63FB3D15-50FE-48AE-BDB5-5FEBAFC4480B}"/>
    <cellStyle name="_Nsi 2_М( ЗАР)" xfId="1249" xr:uid="{1B620F57-0680-4643-B76B-8D5E9634CE5E}"/>
    <cellStyle name="_Nsi 2_Модель АгроГард на 5 лет" xfId="1250" xr:uid="{61DE8FCF-A83A-47BE-8CD4-1B11F8EE4F16}"/>
    <cellStyle name="_Nsi 2_раст.-факт" xfId="1251" xr:uid="{950DB630-6CDB-4A54-BA24-BA556E333B11}"/>
    <cellStyle name="_Nsi 2_Растениеводство форма( АГМ)" xfId="1252" xr:uid="{38D9962B-DB76-4DDC-8E9B-978C7580DA4C}"/>
    <cellStyle name="_Nsi 2_Свод по Агрохоолдингу  (в т.ч КБН  )" xfId="1253" xr:uid="{D4586350-3AFB-4B9D-A684-FBDAFC006593}"/>
    <cellStyle name="_Nsi 2_Форма по растениеводству (Акционеры) ИЛЧ" xfId="1254" xr:uid="{72AD4104-8F02-46EC-B0D2-B9EBC0B96990}"/>
    <cellStyle name="_Nsi 3" xfId="1255" xr:uid="{4C67D0B5-7A76-4DBB-BFCC-D11917CE3E15}"/>
    <cellStyle name="_Nsi 3_Копия Растениеводство форма(Акционеры)" xfId="1256" xr:uid="{5C983C6E-822F-4D0E-B7D1-12E6BA9FC4F8}"/>
    <cellStyle name="_Nsi 3_М( ЗАР)" xfId="1257" xr:uid="{6EDA16E1-67DE-4BCC-BA68-A3D0B11DDF99}"/>
    <cellStyle name="_Nsi 3_Модель АгроГард на 5 лет" xfId="1258" xr:uid="{CA19384F-45B9-43F3-B852-4647AB722F32}"/>
    <cellStyle name="_Nsi 3_раст.-факт" xfId="1259" xr:uid="{F1F894F8-CE52-4412-B333-98266BB6CD65}"/>
    <cellStyle name="_Nsi 3_Растениеводство форма( АГМ)" xfId="1260" xr:uid="{61D97DE7-AF3A-4EFC-A76F-1A7D4EDA19D1}"/>
    <cellStyle name="_Nsi 3_Свод по Агрохоолдингу  (в т.ч КБН  )" xfId="1261" xr:uid="{40E2CF02-483C-488C-A65A-59285DDF8F36}"/>
    <cellStyle name="_Nsi 3_Форма по растениеводству (Акционеры) ИЛЧ" xfId="1262" xr:uid="{241E2F68-A26C-4DD2-9D20-80AAFC78ED03}"/>
    <cellStyle name="_Nsi_АГМ" xfId="1263" xr:uid="{2A354F75-A528-4F67-8930-EE23668EED25}"/>
    <cellStyle name="_Nsi_Копия Растениеводство форма(Акционеры)" xfId="1264" xr:uid="{77B7F7C5-F79A-4B7E-BBD6-6AA21093C380}"/>
    <cellStyle name="_Nsi_М( ЗАР)" xfId="1265" xr:uid="{1EE779E9-BAB7-42A3-91B8-AC521515C6DE}"/>
    <cellStyle name="_Nsi_Модель АгроГард на 5 лет" xfId="1266" xr:uid="{5F3CA1A8-39E1-48B1-A6B8-CCEB5EE2D1E6}"/>
    <cellStyle name="_Nsi_НИК-09" xfId="1267" xr:uid="{F36CA42E-B27C-4CA6-97AF-9D8172DD0FF3}"/>
    <cellStyle name="_Nsi_НИК-09 2" xfId="10240" xr:uid="{4B233242-15B3-41C5-96AD-50AEB48BC0CF}"/>
    <cellStyle name="_Nsi_раст.-факт" xfId="1268" xr:uid="{ED719D72-BC73-4407-A385-32BDF0C1E2E7}"/>
    <cellStyle name="_Nsi_Растениеводство форма( АГМ)" xfId="1269" xr:uid="{A02F5BB0-CA69-43A3-9DB9-00D39986298F}"/>
    <cellStyle name="_Nsi_Свод по Агрохоолдингу  (в т.ч КБН  )" xfId="1270" xr:uid="{B0F3781A-B2A2-44FA-ADF7-F5191B86CB9C}"/>
    <cellStyle name="_Nsi_ТК-2011 АГМ+транспорт" xfId="1271" xr:uid="{461AED7B-324A-491D-B20C-399960A37916}"/>
    <cellStyle name="_Nsi_Форма по растениеводству (Акционеры) ИЛЧ" xfId="1272" xr:uid="{20E18CFA-8F22-438F-9F27-0B4C1D0D08CA}"/>
    <cellStyle name="_Книга3" xfId="1273" xr:uid="{EB8F1900-E35D-4800-8DC1-CACFA3E95D07}"/>
    <cellStyle name="_Книга3 1" xfId="1274" xr:uid="{515CC458-66BD-4D8E-9840-B011FCF6D94F}"/>
    <cellStyle name="_Книга3 1_Копия Растениеводство форма(Акционеры)" xfId="1275" xr:uid="{35E9BBE6-6BB2-46CB-9C7C-6636E523FCF5}"/>
    <cellStyle name="_Книга3 1_М( ЗАР)" xfId="1276" xr:uid="{2C0FEF4D-0378-4795-9DDA-B26B43C3851F}"/>
    <cellStyle name="_Книга3 1_Модель АгроГард на 5 лет" xfId="1277" xr:uid="{C54754A8-7510-4E8A-9D6A-1EE00057D53A}"/>
    <cellStyle name="_Книга3 1_раст.-факт" xfId="1278" xr:uid="{E40AB973-9345-44FD-894E-728F1A6136FC}"/>
    <cellStyle name="_Книга3 1_Растениеводство форма( АГМ)" xfId="1279" xr:uid="{FC8F15FF-D8AA-4142-9116-43FF88285520}"/>
    <cellStyle name="_Книга3 1_Свод по Агрохоолдингу  (в т.ч КБН  )" xfId="1280" xr:uid="{05A5A8CF-CED4-4CEE-B8FC-6928A0B7828E}"/>
    <cellStyle name="_Книга3 1_Форма по растениеводству (Акционеры) ИЛЧ" xfId="1281" xr:uid="{556F6286-D59B-401A-B24A-4AF9998033A3}"/>
    <cellStyle name="_Книга3 2" xfId="1282" xr:uid="{38748362-4D7F-4805-8035-DE62238CE885}"/>
    <cellStyle name="_Книга3 2_Копия Растениеводство форма(Акционеры)" xfId="1283" xr:uid="{D3FAD6C1-512F-476A-9926-A8313E1913A0}"/>
    <cellStyle name="_Книга3 2_М( ЗАР)" xfId="1284" xr:uid="{1C28B1DC-D17C-4DF9-BFB2-8F5145B21A83}"/>
    <cellStyle name="_Книга3 2_Модель АгроГард на 5 лет" xfId="1285" xr:uid="{ACD0A8D2-9971-4AC1-95BA-CFE5A0040046}"/>
    <cellStyle name="_Книга3 2_раст.-факт" xfId="1286" xr:uid="{113FFB9D-B389-45CD-BBD4-9CF481D751D6}"/>
    <cellStyle name="_Книга3 2_Растениеводство форма( АГМ)" xfId="1287" xr:uid="{EED7C7D5-A047-47F0-BE30-6381D13EE0A0}"/>
    <cellStyle name="_Книга3 2_Свод по Агрохоолдингу  (в т.ч КБН  )" xfId="1288" xr:uid="{5CE30A74-2789-4F0B-ACFE-4A01A4237299}"/>
    <cellStyle name="_Книга3 2_Форма по растениеводству (Акционеры) ИЛЧ" xfId="1289" xr:uid="{2BEDC454-2A6E-45C4-AF3F-8078ED9C7256}"/>
    <cellStyle name="_Книга3 3" xfId="1290" xr:uid="{E32BE38A-8009-4100-B69B-2718B0E935C5}"/>
    <cellStyle name="_Книга3 3_Копия Растениеводство форма(Акционеры)" xfId="1291" xr:uid="{786B0C5D-1070-4D76-8082-489B33F72ABF}"/>
    <cellStyle name="_Книга3 3_М( ЗАР)" xfId="1292" xr:uid="{8F48F4A7-D1C5-45B6-99F1-1B6AB70B2FCF}"/>
    <cellStyle name="_Книга3 3_Модель АгроГард на 5 лет" xfId="1293" xr:uid="{AF6FCFFF-85EA-454C-B79D-128CE372AB33}"/>
    <cellStyle name="_Книга3 3_раст.-факт" xfId="1294" xr:uid="{7477459D-49AA-44B8-ADEC-5AA1E94722F9}"/>
    <cellStyle name="_Книга3 3_Растениеводство форма( АГМ)" xfId="1295" xr:uid="{44237499-DB07-4A28-BE99-AE161825CF63}"/>
    <cellStyle name="_Книга3 3_Свод по Агрохоолдингу  (в т.ч КБН  )" xfId="1296" xr:uid="{94D116B2-F67E-4015-816D-00A85F8D8138}"/>
    <cellStyle name="_Книга3 3_Форма по растениеводству (Акционеры) ИЛЧ" xfId="1297" xr:uid="{5B5CE935-754B-48B6-A70C-69C36F9F27B9}"/>
    <cellStyle name="_Книга3_New Form10_2" xfId="1298" xr:uid="{A8AB657D-66B9-4379-BB0D-93A8676AC63B}"/>
    <cellStyle name="_Книга3_New Form10_2 1" xfId="1299" xr:uid="{7FE0C2EA-DE16-4DEB-8371-F0AB427B9B0F}"/>
    <cellStyle name="_Книга3_New Form10_2 1_Копия Растениеводство форма(Акционеры)" xfId="1300" xr:uid="{88504E5F-C698-48E4-AF5E-DD400CA20CB5}"/>
    <cellStyle name="_Книга3_New Form10_2 1_М( ЗАР)" xfId="1301" xr:uid="{BAB3CF63-262D-4074-8B5E-A78B142716D3}"/>
    <cellStyle name="_Книга3_New Form10_2 1_Модель АгроГард на 5 лет" xfId="1302" xr:uid="{C8F0139B-D1BC-446B-AAB5-3F82E5FD1D61}"/>
    <cellStyle name="_Книга3_New Form10_2 1_раст.-факт" xfId="1303" xr:uid="{8777B207-1F03-437A-A419-F70569975081}"/>
    <cellStyle name="_Книга3_New Form10_2 1_Растениеводство форма( АГМ)" xfId="1304" xr:uid="{6781BD87-FBC7-4918-89F5-DB7622732252}"/>
    <cellStyle name="_Книга3_New Form10_2 1_Свод по Агрохоолдингу  (в т.ч КБН  )" xfId="1305" xr:uid="{8A8DB85B-53F2-4269-87F1-07E32F135C99}"/>
    <cellStyle name="_Книга3_New Form10_2 1_Форма по растениеводству (Акционеры) ИЛЧ" xfId="1306" xr:uid="{A0035B03-8DB8-433B-8ADA-735620FD58AF}"/>
    <cellStyle name="_Книга3_New Form10_2 2" xfId="1307" xr:uid="{CEF9B049-D7E3-4A95-9D40-35F5B7995595}"/>
    <cellStyle name="_Книга3_New Form10_2 2_Копия Растениеводство форма(Акционеры)" xfId="1308" xr:uid="{8F7D2D01-D535-4E87-8D6D-45305C8F0E95}"/>
    <cellStyle name="_Книга3_New Form10_2 2_М( ЗАР)" xfId="1309" xr:uid="{A23698F4-CA30-4FD9-A2A0-48E3A1455BEA}"/>
    <cellStyle name="_Книга3_New Form10_2 2_Модель АгроГард на 5 лет" xfId="1310" xr:uid="{B1904161-567D-4359-B538-D9566301AF55}"/>
    <cellStyle name="_Книга3_New Form10_2 2_раст.-факт" xfId="1311" xr:uid="{8839FCCA-F920-405E-97AF-F55A2F2FB72E}"/>
    <cellStyle name="_Книга3_New Form10_2 2_Растениеводство форма( АГМ)" xfId="1312" xr:uid="{C3414ECE-B887-406F-8F7B-205F1BFAF76B}"/>
    <cellStyle name="_Книга3_New Form10_2 2_Свод по Агрохоолдингу  (в т.ч КБН  )" xfId="1313" xr:uid="{9C01A31A-E8B5-4C84-B55E-72714A5EBB41}"/>
    <cellStyle name="_Книга3_New Form10_2 2_Форма по растениеводству (Акционеры) ИЛЧ" xfId="1314" xr:uid="{1EB127EA-7768-4D88-9896-6E662D1C7C0A}"/>
    <cellStyle name="_Книга3_New Form10_2 3" xfId="1315" xr:uid="{21800F04-9B83-40EB-A292-AC1496E86E87}"/>
    <cellStyle name="_Книга3_New Form10_2 3_Копия Растениеводство форма(Акционеры)" xfId="1316" xr:uid="{59FD16C9-C919-4FFE-BB22-54D6E56A6632}"/>
    <cellStyle name="_Книга3_New Form10_2 3_М( ЗАР)" xfId="1317" xr:uid="{3EC019CB-5C23-4C3F-9B53-D031BB57DA71}"/>
    <cellStyle name="_Книга3_New Form10_2 3_Модель АгроГард на 5 лет" xfId="1318" xr:uid="{F1A80548-EB3C-459C-BD09-EAAE541577BA}"/>
    <cellStyle name="_Книга3_New Form10_2 3_раст.-факт" xfId="1319" xr:uid="{8A639673-7580-4108-B89B-F3721E314167}"/>
    <cellStyle name="_Книга3_New Form10_2 3_Растениеводство форма( АГМ)" xfId="1320" xr:uid="{872738AE-85E7-4FF4-B2BC-9607B9E48671}"/>
    <cellStyle name="_Книга3_New Form10_2 3_Свод по Агрохоолдингу  (в т.ч КБН  )" xfId="1321" xr:uid="{6C273B08-A568-43B5-937B-299916443079}"/>
    <cellStyle name="_Книга3_New Form10_2 3_Форма по растениеводству (Акционеры) ИЛЧ" xfId="1322" xr:uid="{D3A3EC21-5358-405C-B6BE-F70C0EECE558}"/>
    <cellStyle name="_Книга3_New Form10_2_АГМ" xfId="1323" xr:uid="{90B5FC0A-6261-4310-9574-876003A24050}"/>
    <cellStyle name="_Книга3_New Form10_2_Копия Растениеводство форма(Акционеры)" xfId="1324" xr:uid="{11B9E401-7731-4EC6-9D82-2BEE3D09EA08}"/>
    <cellStyle name="_Книга3_New Form10_2_М( ЗАР)" xfId="1325" xr:uid="{FAC9A1D8-C11A-4692-8AA8-4777993CB1D4}"/>
    <cellStyle name="_Книга3_New Form10_2_Модель АгроГард на 5 лет" xfId="1326" xr:uid="{2DE64CC2-B425-4D78-A341-BE334E1D2834}"/>
    <cellStyle name="_Книга3_New Form10_2_НИК-09" xfId="1327" xr:uid="{99291D79-ED5C-4C0D-BFD0-806E15070CED}"/>
    <cellStyle name="_Книга3_New Form10_2_НИК-09 2" xfId="10241" xr:uid="{8D72C18E-3C23-4A63-ADA5-11B680F5281B}"/>
    <cellStyle name="_Книга3_New Form10_2_раст.-факт" xfId="1328" xr:uid="{24DA07A8-4DBB-43EA-99B5-0993FCC6B464}"/>
    <cellStyle name="_Книга3_New Form10_2_Растениеводство форма( АГМ)" xfId="1329" xr:uid="{F3A12D55-564F-4D66-B44F-C72E1A0EA4A5}"/>
    <cellStyle name="_Книга3_New Form10_2_Свод по Агрохоолдингу  (в т.ч КБН  )" xfId="1330" xr:uid="{4AA663CA-9EB3-495B-8669-B2C46025B943}"/>
    <cellStyle name="_Книга3_New Form10_2_ТК-2011 АГМ+транспорт" xfId="1331" xr:uid="{2156F35E-29E5-4FB6-847A-1279CFFCD804}"/>
    <cellStyle name="_Книга3_New Form10_2_Форма по растениеводству (Акционеры) ИЛЧ" xfId="1332" xr:uid="{538A641E-302C-4A46-A614-36CCE97FBC20}"/>
    <cellStyle name="_Книга3_Nsi" xfId="1333" xr:uid="{3964CA64-5421-4F88-9CF6-B95BBBE58043}"/>
    <cellStyle name="_Книга3_Nsi 1" xfId="1334" xr:uid="{71A4FC07-DB78-42EF-8080-DA395B2298E1}"/>
    <cellStyle name="_Книга3_Nsi 1_Копия Растениеводство форма(Акционеры)" xfId="1335" xr:uid="{289184D1-7805-4FF7-BD46-C4A01C03D11C}"/>
    <cellStyle name="_Книга3_Nsi 1_М( ЗАР)" xfId="1336" xr:uid="{71A2BB79-00C8-4569-8916-752F944DD7B8}"/>
    <cellStyle name="_Книга3_Nsi 1_Модель АгроГард на 5 лет" xfId="1337" xr:uid="{858AF078-70CF-406E-A4B9-5FA49EF37742}"/>
    <cellStyle name="_Книга3_Nsi 1_раст.-факт" xfId="1338" xr:uid="{95B84311-4EA0-43C8-8CC7-63AB37D97218}"/>
    <cellStyle name="_Книга3_Nsi 1_Растениеводство форма( АГМ)" xfId="1339" xr:uid="{1130EE95-1477-4B01-A836-9D14D9B6FF2E}"/>
    <cellStyle name="_Книга3_Nsi 1_Свод по Агрохоолдингу  (в т.ч КБН  )" xfId="1340" xr:uid="{2B3C9662-28ED-4DB0-8DA1-0E7127E2E80F}"/>
    <cellStyle name="_Книга3_Nsi 1_Форма по растениеводству (Акционеры) ИЛЧ" xfId="1341" xr:uid="{904117EC-6E12-40CC-BAF2-C673C6539025}"/>
    <cellStyle name="_Книга3_Nsi 2" xfId="1342" xr:uid="{EC1734ED-BCE5-46D5-9F8D-5BB68C1F7641}"/>
    <cellStyle name="_Книга3_Nsi 2_Копия Растениеводство форма(Акционеры)" xfId="1343" xr:uid="{677DEE9A-2571-49D1-89E7-9A2978276843}"/>
    <cellStyle name="_Книга3_Nsi 2_М( ЗАР)" xfId="1344" xr:uid="{72CBDD73-1119-424A-B63B-707863BB8CF0}"/>
    <cellStyle name="_Книга3_Nsi 2_Модель АгроГард на 5 лет" xfId="1345" xr:uid="{88C4B8B1-638E-4394-81D9-279F429323B0}"/>
    <cellStyle name="_Книга3_Nsi 2_раст.-факт" xfId="1346" xr:uid="{410F11CB-BF6B-49BF-A23F-66CD8FD65812}"/>
    <cellStyle name="_Книга3_Nsi 2_Растениеводство форма( АГМ)" xfId="1347" xr:uid="{7BD625FB-0BAC-43EA-BBC5-7B1884CE8517}"/>
    <cellStyle name="_Книга3_Nsi 2_Свод по Агрохоолдингу  (в т.ч КБН  )" xfId="1348" xr:uid="{68B378F9-531E-45C0-8482-B8951D401F98}"/>
    <cellStyle name="_Книга3_Nsi 2_Форма по растениеводству (Акционеры) ИЛЧ" xfId="1349" xr:uid="{6D32B670-1200-4FC4-822E-CEDE0C9A049D}"/>
    <cellStyle name="_Книга3_Nsi 3" xfId="1350" xr:uid="{545D1D1B-FAA4-4AD3-ADC0-B194F1AC0358}"/>
    <cellStyle name="_Книга3_Nsi 3_Копия Растениеводство форма(Акционеры)" xfId="1351" xr:uid="{9EC261F0-7619-46FD-8FF0-0755FBF3DCAF}"/>
    <cellStyle name="_Книга3_Nsi 3_М( ЗАР)" xfId="1352" xr:uid="{17493E61-FDE4-4952-9CC7-ACE510DF427E}"/>
    <cellStyle name="_Книга3_Nsi 3_Модель АгроГард на 5 лет" xfId="1353" xr:uid="{BA812E67-6844-4341-A316-7BF8B9CD2940}"/>
    <cellStyle name="_Книга3_Nsi 3_раст.-факт" xfId="1354" xr:uid="{1A66A4D6-F8B6-4CBA-96F6-4DBA32CB2D7F}"/>
    <cellStyle name="_Книга3_Nsi 3_Растениеводство форма( АГМ)" xfId="1355" xr:uid="{72C93DA3-70C9-45DE-B221-1E686C4B3C36}"/>
    <cellStyle name="_Книга3_Nsi 3_Свод по Агрохоолдингу  (в т.ч КБН  )" xfId="1356" xr:uid="{76C1BE6F-2678-4441-89BC-D9398601D3AA}"/>
    <cellStyle name="_Книга3_Nsi 3_Форма по растениеводству (Акционеры) ИЛЧ" xfId="1357" xr:uid="{C48ED833-7311-4E26-A2C9-C42005D70696}"/>
    <cellStyle name="_Книга3_Nsi_1" xfId="1358" xr:uid="{D444D575-44B9-4F9E-83E6-433E216FC15C}"/>
    <cellStyle name="_Книга3_Nsi_1 1" xfId="1359" xr:uid="{2DEB3538-C18E-44CD-895F-1348C2D81D16}"/>
    <cellStyle name="_Книга3_Nsi_1 1_Копия Растениеводство форма(Акционеры)" xfId="1360" xr:uid="{31E3C898-8521-4DF1-90ED-174C7F116325}"/>
    <cellStyle name="_Книга3_Nsi_1 1_М( ЗАР)" xfId="1361" xr:uid="{12E9103D-C9A6-4C96-9338-EB77A4C30ED6}"/>
    <cellStyle name="_Книга3_Nsi_1 1_Модель АгроГард на 5 лет" xfId="1362" xr:uid="{DCBB7678-43C3-477A-8C1D-EEE164CCD55F}"/>
    <cellStyle name="_Книга3_Nsi_1 1_раст.-факт" xfId="1363" xr:uid="{1EFAD560-D3BF-4090-8FD8-546164A451A9}"/>
    <cellStyle name="_Книга3_Nsi_1 1_Растениеводство форма( АГМ)" xfId="1364" xr:uid="{0044DE41-BFE5-4CB8-8FEB-8A9FB852E05B}"/>
    <cellStyle name="_Книга3_Nsi_1 1_Свод по Агрохоолдингу  (в т.ч КБН  )" xfId="1365" xr:uid="{5647F7D6-14F0-4FF1-97F9-36FC75C21C72}"/>
    <cellStyle name="_Книга3_Nsi_1 1_Форма по растениеводству (Акционеры) ИЛЧ" xfId="1366" xr:uid="{F4AA58EA-C487-4AA9-B05A-FB42E1BAEB1E}"/>
    <cellStyle name="_Книга3_Nsi_1 2" xfId="1367" xr:uid="{30866F81-CBA1-4FC5-BA95-3D29013DA1E4}"/>
    <cellStyle name="_Книга3_Nsi_1 2_Копия Растениеводство форма(Акционеры)" xfId="1368" xr:uid="{2C083821-404E-4701-8BA9-A81D2D03B96A}"/>
    <cellStyle name="_Книга3_Nsi_1 2_М( ЗАР)" xfId="1369" xr:uid="{7C722979-8A17-4C05-A585-C300946946A0}"/>
    <cellStyle name="_Книга3_Nsi_1 2_Модель АгроГард на 5 лет" xfId="1370" xr:uid="{A0FF9430-54FC-463E-9D90-C94C5D85DF79}"/>
    <cellStyle name="_Книга3_Nsi_1 2_раст.-факт" xfId="1371" xr:uid="{C3EFCE1F-FD39-47DD-A3A2-85941ABDCA2F}"/>
    <cellStyle name="_Книга3_Nsi_1 2_Растениеводство форма( АГМ)" xfId="1372" xr:uid="{5FAE0766-B433-4A7D-B409-A36DCA6F5BFD}"/>
    <cellStyle name="_Книга3_Nsi_1 2_Свод по Агрохоолдингу  (в т.ч КБН  )" xfId="1373" xr:uid="{03E105C9-3FF2-4922-8A5A-72C079B2246C}"/>
    <cellStyle name="_Книга3_Nsi_1 2_Форма по растениеводству (Акционеры) ИЛЧ" xfId="1374" xr:uid="{CCE92F09-06C2-4766-8C03-59E3507D899B}"/>
    <cellStyle name="_Книга3_Nsi_1 3" xfId="1375" xr:uid="{7D0093C2-3C58-4A76-AFA5-354C34CFA7BB}"/>
    <cellStyle name="_Книга3_Nsi_1 3_Копия Растениеводство форма(Акционеры)" xfId="1376" xr:uid="{AE270AFE-64AA-4551-AF29-D5299C9A90CD}"/>
    <cellStyle name="_Книга3_Nsi_1 3_М( ЗАР)" xfId="1377" xr:uid="{C65BF8FB-1D8F-4B8E-B2AD-3360E067DA2D}"/>
    <cellStyle name="_Книга3_Nsi_1 3_Модель АгроГард на 5 лет" xfId="1378" xr:uid="{BF9BE094-DB50-460B-8F9F-D7B420614A14}"/>
    <cellStyle name="_Книга3_Nsi_1 3_раст.-факт" xfId="1379" xr:uid="{4924B655-566C-4D7B-B4E8-30D083015E36}"/>
    <cellStyle name="_Книга3_Nsi_1 3_Растениеводство форма( АГМ)" xfId="1380" xr:uid="{86FEF7CC-5DD6-42B5-BF29-A4FB5ED0B11D}"/>
    <cellStyle name="_Книга3_Nsi_1 3_Свод по Агрохоолдингу  (в т.ч КБН  )" xfId="1381" xr:uid="{02A9300E-ECB2-411F-9DD3-CD1BBE9C3D0A}"/>
    <cellStyle name="_Книга3_Nsi_1 3_Форма по растениеводству (Акционеры) ИЛЧ" xfId="1382" xr:uid="{A02BCE03-6F18-42D5-BFA3-23B693256DAB}"/>
    <cellStyle name="_Книга3_Nsi_1_АГМ" xfId="1383" xr:uid="{64DDEA07-4BAD-4B92-9A11-67874F23221E}"/>
    <cellStyle name="_Книга3_Nsi_1_Копия Растениеводство форма(Акционеры)" xfId="1384" xr:uid="{20C1F0B5-3949-4E3B-8C2A-60F7F36885BC}"/>
    <cellStyle name="_Книга3_Nsi_1_М( ЗАР)" xfId="1385" xr:uid="{CAFF2C0F-5D09-461B-900B-3CC1CCE4E86F}"/>
    <cellStyle name="_Книга3_Nsi_1_Модель АгроГард на 5 лет" xfId="1386" xr:uid="{7BBAB6DD-7956-4AF3-9BA5-D6B8B3DE6059}"/>
    <cellStyle name="_Книга3_Nsi_1_НИК-09" xfId="1387" xr:uid="{BF9311DD-4190-4509-87B1-E1B550A40C55}"/>
    <cellStyle name="_Книга3_Nsi_1_НИК-09 2" xfId="10242" xr:uid="{7AB9507E-F9F6-4359-B237-23E8290B9FF0}"/>
    <cellStyle name="_Книга3_Nsi_1_раст.-факт" xfId="1388" xr:uid="{5CCBC999-FFC8-4628-8823-FCADE172146C}"/>
    <cellStyle name="_Книга3_Nsi_1_Растениеводство форма( АГМ)" xfId="1389" xr:uid="{2C3EB7AA-6189-425E-A212-AB75D2022EE8}"/>
    <cellStyle name="_Книга3_Nsi_1_Свод по Агрохоолдингу  (в т.ч КБН  )" xfId="1390" xr:uid="{B7C120AC-2176-44A6-BFF0-F48FA930E1E7}"/>
    <cellStyle name="_Книга3_Nsi_1_ТК-2011 АГМ+транспорт" xfId="1391" xr:uid="{67E43E46-57EA-4209-8213-3CA0ABBC33E9}"/>
    <cellStyle name="_Книга3_Nsi_1_Форма по растениеводству (Акционеры) ИЛЧ" xfId="1392" xr:uid="{2CBB9132-3294-4123-B6F3-F5C3052741FD}"/>
    <cellStyle name="_Книга3_Nsi_139" xfId="1393" xr:uid="{043E67BA-3FA7-4B9C-AE06-72C479A25A57}"/>
    <cellStyle name="_Книга3_Nsi_139 1" xfId="1394" xr:uid="{9FE8DE03-B405-4DE3-90A4-B1DC70F7B161}"/>
    <cellStyle name="_Книга3_Nsi_139 1_Копия Растениеводство форма(Акционеры)" xfId="1395" xr:uid="{33015364-10A1-4CBE-B214-ADFB5A1BED39}"/>
    <cellStyle name="_Книга3_Nsi_139 1_М( ЗАР)" xfId="1396" xr:uid="{10C3BAB8-8CFF-48C6-B6AB-019EA7E34089}"/>
    <cellStyle name="_Книга3_Nsi_139 1_Модель АгроГард на 5 лет" xfId="1397" xr:uid="{F36C0174-CCB7-4B8E-BA2B-0AC033061A84}"/>
    <cellStyle name="_Книга3_Nsi_139 1_раст.-факт" xfId="1398" xr:uid="{77DA1AD7-5462-4513-A608-B418F0A9465A}"/>
    <cellStyle name="_Книга3_Nsi_139 1_Растениеводство форма( АГМ)" xfId="1399" xr:uid="{D227A99A-8335-4FEA-8274-79EA3DED0CF5}"/>
    <cellStyle name="_Книга3_Nsi_139 1_Свод по Агрохоолдингу  (в т.ч КБН  )" xfId="1400" xr:uid="{6B16ADC8-F9E8-4E4E-BA82-5580F0D8D60D}"/>
    <cellStyle name="_Книга3_Nsi_139 1_Форма по растениеводству (Акционеры) ИЛЧ" xfId="1401" xr:uid="{62C99DBF-4A05-4DCE-8243-CF97255A9D02}"/>
    <cellStyle name="_Книга3_Nsi_139 2" xfId="1402" xr:uid="{C32882E1-9B11-4219-B8D9-984E8CBA78A1}"/>
    <cellStyle name="_Книга3_Nsi_139 2_Копия Растениеводство форма(Акционеры)" xfId="1403" xr:uid="{E9C1E1AB-6B30-4821-AD44-DBE9904821BB}"/>
    <cellStyle name="_Книга3_Nsi_139 2_М( ЗАР)" xfId="1404" xr:uid="{C815A055-F93A-4AF0-8E6C-2D00780B9BCD}"/>
    <cellStyle name="_Книга3_Nsi_139 2_Модель АгроГард на 5 лет" xfId="1405" xr:uid="{D93A419E-3AA2-4E5A-B423-0701C8051039}"/>
    <cellStyle name="_Книга3_Nsi_139 2_раст.-факт" xfId="1406" xr:uid="{E2998A64-77C0-48F9-8D79-0BC7575316D2}"/>
    <cellStyle name="_Книга3_Nsi_139 2_Растениеводство форма( АГМ)" xfId="1407" xr:uid="{EA4D7503-868E-472C-8CE2-5517D749ED6F}"/>
    <cellStyle name="_Книга3_Nsi_139 2_Свод по Агрохоолдингу  (в т.ч КБН  )" xfId="1408" xr:uid="{411544DD-5D42-4500-B667-8142434C8113}"/>
    <cellStyle name="_Книга3_Nsi_139 2_Форма по растениеводству (Акционеры) ИЛЧ" xfId="1409" xr:uid="{528A4157-D6DD-4718-AD27-2A46118C7862}"/>
    <cellStyle name="_Книга3_Nsi_139 3" xfId="1410" xr:uid="{4C3B1233-0E11-4247-AABE-F9B6DB46EB4D}"/>
    <cellStyle name="_Книга3_Nsi_139 3_Копия Растениеводство форма(Акционеры)" xfId="1411" xr:uid="{A8C8BDD7-536D-43A8-9F0E-CD4E5A2B6875}"/>
    <cellStyle name="_Книга3_Nsi_139 3_М( ЗАР)" xfId="1412" xr:uid="{733BE6EE-4A78-4F7C-A1BC-5DC0EC481DC9}"/>
    <cellStyle name="_Книга3_Nsi_139 3_Модель АгроГард на 5 лет" xfId="1413" xr:uid="{2CB6D687-0FB2-4229-8F0D-0A3DAF0C30D7}"/>
    <cellStyle name="_Книга3_Nsi_139 3_раст.-факт" xfId="1414" xr:uid="{0A5D8FF1-0C6F-4E1B-948B-92C4F3693B7F}"/>
    <cellStyle name="_Книга3_Nsi_139 3_Растениеводство форма( АГМ)" xfId="1415" xr:uid="{0BA913FD-ABDF-4E13-8D7D-02247A2709B3}"/>
    <cellStyle name="_Книга3_Nsi_139 3_Свод по Агрохоолдингу  (в т.ч КБН  )" xfId="1416" xr:uid="{C40347FD-F59D-4429-B495-5B56ED28645D}"/>
    <cellStyle name="_Книга3_Nsi_139 3_Форма по растениеводству (Акционеры) ИЛЧ" xfId="1417" xr:uid="{D065C4FD-62F4-4EFD-BC46-460BA3132835}"/>
    <cellStyle name="_Книга3_Nsi_139_АГМ" xfId="1418" xr:uid="{EAA2B4F9-B3F2-4AF8-9F96-A81F7802ADC4}"/>
    <cellStyle name="_Книга3_Nsi_139_Копия Растениеводство форма(Акционеры)" xfId="1419" xr:uid="{6D90FA8D-76C6-4AE0-B467-806DAA8D4EF3}"/>
    <cellStyle name="_Книга3_Nsi_139_М( ЗАР)" xfId="1420" xr:uid="{FE7ACF4E-0B72-4DEB-91CB-0618932B76F5}"/>
    <cellStyle name="_Книга3_Nsi_139_Модель АгроГард на 5 лет" xfId="1421" xr:uid="{62BCF40B-F261-4BB5-B32C-526A0A4EF082}"/>
    <cellStyle name="_Книга3_Nsi_139_НИК-09" xfId="1422" xr:uid="{AD7A90CF-B931-499A-9734-0C9F29D34A0E}"/>
    <cellStyle name="_Книга3_Nsi_139_НИК-09 2" xfId="10243" xr:uid="{39EB9F0C-C42F-4378-BBF3-A941E35BB622}"/>
    <cellStyle name="_Книга3_Nsi_139_раст.-факт" xfId="1423" xr:uid="{ADA1602E-CDD4-4F08-87B4-30E0EB0B088B}"/>
    <cellStyle name="_Книга3_Nsi_139_Растениеводство форма( АГМ)" xfId="1424" xr:uid="{F838461F-38D7-490E-A9A7-63BCF08EF892}"/>
    <cellStyle name="_Книга3_Nsi_139_Свод по Агрохоолдингу  (в т.ч КБН  )" xfId="1425" xr:uid="{9157D9E3-30A5-4C37-92A4-9FBE17CF2AE0}"/>
    <cellStyle name="_Книга3_Nsi_139_ТК-2011 АГМ+транспорт" xfId="1426" xr:uid="{AAD9FA10-5C79-44DA-A8AD-C1EFD7B766A4}"/>
    <cellStyle name="_Книга3_Nsi_139_Форма по растениеводству (Акционеры) ИЛЧ" xfId="1427" xr:uid="{746E6D60-C8A3-4028-AE3B-F2F95DA7D825}"/>
    <cellStyle name="_Книга3_Nsi_140" xfId="1428" xr:uid="{3461BCEC-14AB-4917-A719-4D6AF3EF2188}"/>
    <cellStyle name="_Книга3_Nsi_140 1" xfId="1429" xr:uid="{6F0AF99B-7D4E-4FCB-A1C3-9A385E0C4865}"/>
    <cellStyle name="_Книга3_Nsi_140 1_Копия Растениеводство форма(Акционеры)" xfId="1430" xr:uid="{642AD454-03D3-4E7E-A438-6B50EBBB491E}"/>
    <cellStyle name="_Книга3_Nsi_140 1_М( ЗАР)" xfId="1431" xr:uid="{81E4032B-43F2-4B78-9896-34E472A70EE3}"/>
    <cellStyle name="_Книга3_Nsi_140 1_Модель АгроГард на 5 лет" xfId="1432" xr:uid="{A500D0CE-01B8-41FA-9593-66B388FDAA44}"/>
    <cellStyle name="_Книга3_Nsi_140 1_раст.-факт" xfId="1433" xr:uid="{B534506D-1E88-4C65-97D9-7AF1EB244B71}"/>
    <cellStyle name="_Книга3_Nsi_140 1_Растениеводство форма( АГМ)" xfId="1434" xr:uid="{2E053D90-C717-4D29-8F02-0BEA728F1E31}"/>
    <cellStyle name="_Книга3_Nsi_140 1_Свод по Агрохоолдингу  (в т.ч КБН  )" xfId="1435" xr:uid="{B7B9139E-8B99-4AFF-A72D-583B4C81C44C}"/>
    <cellStyle name="_Книга3_Nsi_140 1_Форма по растениеводству (Акционеры) ИЛЧ" xfId="1436" xr:uid="{F20AA359-8027-41F8-88F9-0FB43833DA56}"/>
    <cellStyle name="_Книга3_Nsi_140 2" xfId="1437" xr:uid="{D4DBDBEF-ACF2-46BD-9C95-E9470F1FCBCC}"/>
    <cellStyle name="_Книга3_Nsi_140 2_Копия Растениеводство форма(Акционеры)" xfId="1438" xr:uid="{C46DC7EA-04B7-45E1-BB00-EDA85E9080BD}"/>
    <cellStyle name="_Книга3_Nsi_140 2_М( ЗАР)" xfId="1439" xr:uid="{549CCD1F-D055-4F28-A219-8142E7E500A0}"/>
    <cellStyle name="_Книга3_Nsi_140 2_Модель АгроГард на 5 лет" xfId="1440" xr:uid="{D947B34E-2D7C-4E69-8F90-C8D1B712CF92}"/>
    <cellStyle name="_Книга3_Nsi_140 2_раст.-факт" xfId="1441" xr:uid="{F72E2ABE-60A0-41D0-BE8C-D071149C724C}"/>
    <cellStyle name="_Книга3_Nsi_140 2_Растениеводство форма( АГМ)" xfId="1442" xr:uid="{555C3895-56B2-4CB2-96B5-205016182C21}"/>
    <cellStyle name="_Книга3_Nsi_140 2_Свод по Агрохоолдингу  (в т.ч КБН  )" xfId="1443" xr:uid="{77C60F24-8C40-4B5D-BE33-F9736B4C2CC1}"/>
    <cellStyle name="_Книга3_Nsi_140 2_Форма по растениеводству (Акционеры) ИЛЧ" xfId="1444" xr:uid="{DD706F30-EE07-4F29-B2A7-97E2AC35C757}"/>
    <cellStyle name="_Книга3_Nsi_140 3" xfId="1445" xr:uid="{CE0C8A88-106D-4CB8-942E-7F324B7D5283}"/>
    <cellStyle name="_Книга3_Nsi_140 3_Копия Растениеводство форма(Акционеры)" xfId="1446" xr:uid="{4D0CA8DB-AB0F-480B-AF0A-369317A2F825}"/>
    <cellStyle name="_Книга3_Nsi_140 3_М( ЗАР)" xfId="1447" xr:uid="{D1DC3145-BB03-4B1F-9A1A-CD6C4C3363FC}"/>
    <cellStyle name="_Книга3_Nsi_140 3_Модель АгроГард на 5 лет" xfId="1448" xr:uid="{0D9AC6B7-4270-426B-9E2B-4A39D50233DE}"/>
    <cellStyle name="_Книга3_Nsi_140 3_раст.-факт" xfId="1449" xr:uid="{D11FAE3A-0DA3-4F6F-A104-1C285E7ABBE3}"/>
    <cellStyle name="_Книга3_Nsi_140 3_Растениеводство форма( АГМ)" xfId="1450" xr:uid="{C0C9DA34-8EB9-470C-AE33-6494F3CBD700}"/>
    <cellStyle name="_Книга3_Nsi_140 3_Свод по Агрохоолдингу  (в т.ч КБН  )" xfId="1451" xr:uid="{E9F9BD20-917F-4CB9-A62C-17162AD4F184}"/>
    <cellStyle name="_Книга3_Nsi_140 3_Форма по растениеводству (Акционеры) ИЛЧ" xfId="1452" xr:uid="{C45CA165-10AF-40C5-A1B5-4F49A8C0F1C8}"/>
    <cellStyle name="_Книга3_Nsi_140(Зах)" xfId="1453" xr:uid="{67179C21-6F3E-4E32-9438-D83E4E9D5A62}"/>
    <cellStyle name="_Книга3_Nsi_140(Зах) 1" xfId="1454" xr:uid="{61D05BDD-FB99-4475-8922-47D5F5CF4DFA}"/>
    <cellStyle name="_Книга3_Nsi_140(Зах) 1_Копия Растениеводство форма(Акционеры)" xfId="1455" xr:uid="{A72940CB-77A3-4032-A59A-45C387B5F7DF}"/>
    <cellStyle name="_Книга3_Nsi_140(Зах) 1_М( ЗАР)" xfId="1456" xr:uid="{E36AB1DC-1024-4E20-9583-380B4646FBD8}"/>
    <cellStyle name="_Книга3_Nsi_140(Зах) 1_Модель АгроГард на 5 лет" xfId="1457" xr:uid="{E17853F2-39DF-4BBC-B8B8-70B970258EDD}"/>
    <cellStyle name="_Книга3_Nsi_140(Зах) 1_раст.-факт" xfId="1458" xr:uid="{343FAEF0-0018-4474-97F6-F7B4E8A2EFF1}"/>
    <cellStyle name="_Книга3_Nsi_140(Зах) 1_Растениеводство форма( АГМ)" xfId="1459" xr:uid="{725BED55-9910-43A2-89B4-E19E63B07167}"/>
    <cellStyle name="_Книга3_Nsi_140(Зах) 1_Свод по Агрохоолдингу  (в т.ч КБН  )" xfId="1460" xr:uid="{E562DD86-6F76-4E6D-84C1-B590003182B1}"/>
    <cellStyle name="_Книга3_Nsi_140(Зах) 1_Форма по растениеводству (Акционеры) ИЛЧ" xfId="1461" xr:uid="{AB24A44F-CC20-4A63-9592-90EDBFA7F81B}"/>
    <cellStyle name="_Книга3_Nsi_140(Зах) 2" xfId="1462" xr:uid="{76DE20D3-91BB-4404-98D3-578B830B55DE}"/>
    <cellStyle name="_Книга3_Nsi_140(Зах) 2_Копия Растениеводство форма(Акционеры)" xfId="1463" xr:uid="{2E341F85-BA5E-4730-B5B3-A6BC17CAD9E2}"/>
    <cellStyle name="_Книга3_Nsi_140(Зах) 2_М( ЗАР)" xfId="1464" xr:uid="{562E80EC-A92E-415D-A3C7-389A1B1474A0}"/>
    <cellStyle name="_Книга3_Nsi_140(Зах) 2_Модель АгроГард на 5 лет" xfId="1465" xr:uid="{E6756EB9-5DA3-483C-AF65-9F3492CF910C}"/>
    <cellStyle name="_Книга3_Nsi_140(Зах) 2_раст.-факт" xfId="1466" xr:uid="{C3F40A6A-5055-4A51-A32C-67728E3D6247}"/>
    <cellStyle name="_Книга3_Nsi_140(Зах) 2_Растениеводство форма( АГМ)" xfId="1467" xr:uid="{F7059479-7D4F-4B18-8636-B69968CC92EE}"/>
    <cellStyle name="_Книга3_Nsi_140(Зах) 2_Свод по Агрохоолдингу  (в т.ч КБН  )" xfId="1468" xr:uid="{BD8510FB-8F53-4475-AC46-BCEE98C8B2A1}"/>
    <cellStyle name="_Книга3_Nsi_140(Зах) 2_Форма по растениеводству (Акционеры) ИЛЧ" xfId="1469" xr:uid="{AF48268A-1F58-4A37-A0DB-F91AD8320402}"/>
    <cellStyle name="_Книга3_Nsi_140(Зах) 3" xfId="1470" xr:uid="{51C771B7-1908-40F2-AB51-9038BA98079C}"/>
    <cellStyle name="_Книга3_Nsi_140(Зах) 3_Копия Растениеводство форма(Акционеры)" xfId="1471" xr:uid="{3645F004-A51F-4DC9-A6EF-2D6DB8978E2E}"/>
    <cellStyle name="_Книга3_Nsi_140(Зах) 3_М( ЗАР)" xfId="1472" xr:uid="{81617003-2A58-40D3-9CB6-0C73233A1F50}"/>
    <cellStyle name="_Книга3_Nsi_140(Зах) 3_Модель АгроГард на 5 лет" xfId="1473" xr:uid="{2DCD869E-063C-4AFB-B193-4A2D97AD3CA6}"/>
    <cellStyle name="_Книга3_Nsi_140(Зах) 3_раст.-факт" xfId="1474" xr:uid="{2912462F-1FDD-47C1-B375-4F8860BEB661}"/>
    <cellStyle name="_Книга3_Nsi_140(Зах) 3_Растениеводство форма( АГМ)" xfId="1475" xr:uid="{C1D96FA3-1774-4AC7-8AAB-EB658F4AFBA6}"/>
    <cellStyle name="_Книга3_Nsi_140(Зах) 3_Свод по Агрохоолдингу  (в т.ч КБН  )" xfId="1476" xr:uid="{2B107B0E-B92B-41CA-B740-0919F9A6609C}"/>
    <cellStyle name="_Книга3_Nsi_140(Зах) 3_Форма по растениеводству (Акционеры) ИЛЧ" xfId="1477" xr:uid="{413CA646-2628-4DEC-9EA2-ECAF9DFD2806}"/>
    <cellStyle name="_Книга3_Nsi_140(Зах)_АГМ" xfId="1478" xr:uid="{258C1676-AAB1-4722-9A1D-247C76770EA2}"/>
    <cellStyle name="_Книга3_Nsi_140(Зах)_Копия Растениеводство форма(Акционеры)" xfId="1479" xr:uid="{DF001CD9-850E-4620-B3CF-568C87590EF8}"/>
    <cellStyle name="_Книга3_Nsi_140(Зах)_М( ЗАР)" xfId="1480" xr:uid="{8A052B19-A60F-4428-9545-C8EAB6BFF2B7}"/>
    <cellStyle name="_Книга3_Nsi_140(Зах)_Модель АгроГард на 5 лет" xfId="1481" xr:uid="{B0EDBAE2-726C-409E-B8E9-D14B2CB3C84B}"/>
    <cellStyle name="_Книга3_Nsi_140(Зах)_НИК-09" xfId="1482" xr:uid="{672C994B-3F19-4A54-9BE1-331A4A63DB5E}"/>
    <cellStyle name="_Книга3_Nsi_140(Зах)_НИК-09 2" xfId="10244" xr:uid="{A9B6C386-83DB-4B3D-9A52-9618067338A3}"/>
    <cellStyle name="_Книга3_Nsi_140(Зах)_раст.-факт" xfId="1483" xr:uid="{07B9ECE5-D154-4DFE-9A86-09E75F0930DB}"/>
    <cellStyle name="_Книга3_Nsi_140(Зах)_Растениеводство форма( АГМ)" xfId="1484" xr:uid="{E5E022CB-D15F-4A3A-970E-83246E3B7A18}"/>
    <cellStyle name="_Книга3_Nsi_140(Зах)_Свод по Агрохоолдингу  (в т.ч КБН  )" xfId="1485" xr:uid="{FBC91726-BE69-41E2-8864-715BB93F0B51}"/>
    <cellStyle name="_Книга3_Nsi_140(Зах)_ТК-2011 АГМ+транспорт" xfId="1486" xr:uid="{8333F5A7-189E-443B-AE26-F5BBB0E32618}"/>
    <cellStyle name="_Книга3_Nsi_140(Зах)_Форма по растениеводству (Акционеры) ИЛЧ" xfId="1487" xr:uid="{B4AA95BC-6483-4077-ACB5-DF2591B51EC9}"/>
    <cellStyle name="_Книга3_Nsi_140_mod" xfId="1488" xr:uid="{BFD122EC-71F9-4765-AA9A-A08DB4585D4C}"/>
    <cellStyle name="_Книга3_Nsi_140_mod 1" xfId="1489" xr:uid="{EEBE729D-C317-45F1-ACA7-757ECD4B7775}"/>
    <cellStyle name="_Книга3_Nsi_140_mod 1_Копия Растениеводство форма(Акционеры)" xfId="1490" xr:uid="{E93C4EC2-EDFA-42F8-AF99-8CFC3576B6F8}"/>
    <cellStyle name="_Книга3_Nsi_140_mod 1_М( ЗАР)" xfId="1491" xr:uid="{57824A2A-836A-4348-B018-1141CE682436}"/>
    <cellStyle name="_Книга3_Nsi_140_mod 1_Модель АгроГард на 5 лет" xfId="1492" xr:uid="{3C3D8693-F534-4EF1-BDA5-A183C356EEB0}"/>
    <cellStyle name="_Книга3_Nsi_140_mod 1_раст.-факт" xfId="1493" xr:uid="{F2B58027-F02C-483B-A76D-F6AA66D3F7F3}"/>
    <cellStyle name="_Книга3_Nsi_140_mod 1_Растениеводство форма( АГМ)" xfId="1494" xr:uid="{F6E10E53-4824-40EC-857E-20F815639806}"/>
    <cellStyle name="_Книга3_Nsi_140_mod 1_Свод по Агрохоолдингу  (в т.ч КБН  )" xfId="1495" xr:uid="{BCC289B5-D235-41D2-966C-1C8801CDF172}"/>
    <cellStyle name="_Книга3_Nsi_140_mod 1_Форма по растениеводству (Акционеры) ИЛЧ" xfId="1496" xr:uid="{2D37C7DB-9A1D-4214-82D1-7AB470305493}"/>
    <cellStyle name="_Книга3_Nsi_140_mod 2" xfId="1497" xr:uid="{82CF8A9A-975C-44ED-95A6-A90DA6786763}"/>
    <cellStyle name="_Книга3_Nsi_140_mod 2_Копия Растениеводство форма(Акционеры)" xfId="1498" xr:uid="{84F20E5D-5BE2-436C-954E-FD7C52CB227F}"/>
    <cellStyle name="_Книга3_Nsi_140_mod 2_М( ЗАР)" xfId="1499" xr:uid="{D9338FF5-C495-4DFA-9326-F3F81CD9FDCF}"/>
    <cellStyle name="_Книга3_Nsi_140_mod 2_Модель АгроГард на 5 лет" xfId="1500" xr:uid="{0DC0C322-85E0-4BD3-BC1B-36DA29DBD00D}"/>
    <cellStyle name="_Книга3_Nsi_140_mod 2_раст.-факт" xfId="1501" xr:uid="{97E20A85-B87B-4EA9-A7DE-21412034A124}"/>
    <cellStyle name="_Книга3_Nsi_140_mod 2_Растениеводство форма( АГМ)" xfId="1502" xr:uid="{E1165AF6-DFE3-4E37-9C72-AF1DBCFAD2EE}"/>
    <cellStyle name="_Книга3_Nsi_140_mod 2_Свод по Агрохоолдингу  (в т.ч КБН  )" xfId="1503" xr:uid="{3D0E3D4B-99D5-4CCA-AD2F-3D31B3A69B29}"/>
    <cellStyle name="_Книга3_Nsi_140_mod 2_Форма по растениеводству (Акционеры) ИЛЧ" xfId="1504" xr:uid="{3BEB90DD-6383-462D-9F71-1CE838C9EBD6}"/>
    <cellStyle name="_Книга3_Nsi_140_mod 3" xfId="1505" xr:uid="{969245A1-C3C0-45B3-92C6-23650DACE644}"/>
    <cellStyle name="_Книга3_Nsi_140_mod 3_Копия Растениеводство форма(Акционеры)" xfId="1506" xr:uid="{4E86848F-3987-4C57-9821-C0A89948A72A}"/>
    <cellStyle name="_Книга3_Nsi_140_mod 3_М( ЗАР)" xfId="1507" xr:uid="{26638288-BA7F-4E11-AEF3-1946373A726C}"/>
    <cellStyle name="_Книга3_Nsi_140_mod 3_Модель АгроГард на 5 лет" xfId="1508" xr:uid="{1307C3D2-66B3-4DF6-B97A-B43D5FD69CC6}"/>
    <cellStyle name="_Книга3_Nsi_140_mod 3_раст.-факт" xfId="1509" xr:uid="{FE74A6E8-B608-4343-BCD0-BA76D4CB6E6F}"/>
    <cellStyle name="_Книга3_Nsi_140_mod 3_Растениеводство форма( АГМ)" xfId="1510" xr:uid="{E74BF555-F3E6-4F5C-A514-35AF2BC41A2B}"/>
    <cellStyle name="_Книга3_Nsi_140_mod 3_Свод по Агрохоолдингу  (в т.ч КБН  )" xfId="1511" xr:uid="{3F4D77AA-A0F6-49C1-8E1B-05751EBD9F3E}"/>
    <cellStyle name="_Книга3_Nsi_140_mod 3_Форма по растениеводству (Акционеры) ИЛЧ" xfId="1512" xr:uid="{DFC67773-B74F-4360-B739-13B2E02E6054}"/>
    <cellStyle name="_Книга3_Nsi_140_mod_АГМ" xfId="1513" xr:uid="{1A54F64E-3E53-475C-9DAD-09FF7CBB2CF7}"/>
    <cellStyle name="_Книга3_Nsi_140_mod_Копия Растениеводство форма(Акционеры)" xfId="1514" xr:uid="{4ABBAECC-1AE9-434A-881D-A143993E56E1}"/>
    <cellStyle name="_Книга3_Nsi_140_mod_М( ЗАР)" xfId="1515" xr:uid="{F413F6D1-7CCF-406A-9A27-B16EC1F8253F}"/>
    <cellStyle name="_Книга3_Nsi_140_mod_Модель АгроГард на 5 лет" xfId="1516" xr:uid="{FF8F9296-9D2A-47ED-91DB-D3E84C0FCCDA}"/>
    <cellStyle name="_Книга3_Nsi_140_mod_НИК-09" xfId="1517" xr:uid="{78C83BE3-8B2B-4EF4-8794-767BA7EC30A4}"/>
    <cellStyle name="_Книга3_Nsi_140_mod_НИК-09 2" xfId="10245" xr:uid="{78999117-89C5-4B83-998B-19F9B0D47E1C}"/>
    <cellStyle name="_Книга3_Nsi_140_mod_раст.-факт" xfId="1518" xr:uid="{8AAA97A3-F10F-4398-A17D-13D8D0AFD0E2}"/>
    <cellStyle name="_Книга3_Nsi_140_mod_Растениеводство форма( АГМ)" xfId="1519" xr:uid="{FBA5F2FB-A425-468D-A6EF-FF1B4E90D9CD}"/>
    <cellStyle name="_Книга3_Nsi_140_mod_Свод по Агрохоолдингу  (в т.ч КБН  )" xfId="1520" xr:uid="{A19FA0C4-A16C-41F4-83C6-580740233D63}"/>
    <cellStyle name="_Книга3_Nsi_140_mod_ТК-2011 АГМ+транспорт" xfId="1521" xr:uid="{A57A10F5-344A-4F0B-8D14-99462EA1B454}"/>
    <cellStyle name="_Книга3_Nsi_140_mod_Форма по растениеводству (Акционеры) ИЛЧ" xfId="1522" xr:uid="{528BCCA7-02EE-4B11-97F4-011355716708}"/>
    <cellStyle name="_Книга3_Nsi_140_АГМ" xfId="1523" xr:uid="{6F1A0539-A7F8-4051-9445-C7BCEBC6ED47}"/>
    <cellStyle name="_Книга3_Nsi_140_Копия Растениеводство форма(Акционеры)" xfId="1524" xr:uid="{34BD303C-0440-46D5-A90E-33D485983649}"/>
    <cellStyle name="_Книга3_Nsi_140_М( ЗАР)" xfId="1525" xr:uid="{3BC8BC85-3BEB-4F40-8665-57935CAA3142}"/>
    <cellStyle name="_Книга3_Nsi_140_Модель АгроГард на 5 лет" xfId="1526" xr:uid="{87175B62-69AC-4679-BCF4-DF32D990A14D}"/>
    <cellStyle name="_Книга3_Nsi_140_НИК-09" xfId="1527" xr:uid="{A377ADEC-3CC7-45C0-AF19-D48EDCFB78A9}"/>
    <cellStyle name="_Книга3_Nsi_140_НИК-09 2" xfId="10246" xr:uid="{9B4A07B9-E2CD-4E33-94F7-330ADD777B1F}"/>
    <cellStyle name="_Книга3_Nsi_140_раст.-факт" xfId="1528" xr:uid="{41788DBF-CF67-4D6B-84F2-9D0FC48A23E2}"/>
    <cellStyle name="_Книга3_Nsi_140_Растениеводство форма( АГМ)" xfId="1529" xr:uid="{ED2CCB79-4924-452E-A0F1-138EB0B74D82}"/>
    <cellStyle name="_Книга3_Nsi_140_Свод по Агрохоолдингу  (в т.ч КБН  )" xfId="1530" xr:uid="{84952273-A86B-469A-AC78-98B43D2E94BD}"/>
    <cellStyle name="_Книга3_Nsi_140_ТК-2011 АГМ+транспорт" xfId="1531" xr:uid="{079605F9-15F3-4B90-AD78-DBA0F1DEDEDB}"/>
    <cellStyle name="_Книга3_Nsi_140_Форма по растениеводству (Акционеры) ИЛЧ" xfId="1532" xr:uid="{96021DB6-11C0-4421-A877-2148684A2B25}"/>
    <cellStyle name="_Книга3_Nsi_АГМ" xfId="1533" xr:uid="{96F4F33B-8666-47E7-82AD-D71D2912D6F4}"/>
    <cellStyle name="_Книга3_Nsi_Копия Растениеводство форма(Акционеры)" xfId="1534" xr:uid="{6F7CB86B-EC1C-44BE-A6E2-64E6433358D3}"/>
    <cellStyle name="_Книга3_Nsi_М( ЗАР)" xfId="1535" xr:uid="{79FF9899-EC27-414A-8DFF-A814E040F30C}"/>
    <cellStyle name="_Книга3_Nsi_Модель АгроГард на 5 лет" xfId="1536" xr:uid="{C33DD97C-15C5-44DD-AFEE-A6B89A5ADEBA}"/>
    <cellStyle name="_Книга3_Nsi_НИК-09" xfId="1537" xr:uid="{084F345A-15C3-4FB4-8345-CC00ADCA17A1}"/>
    <cellStyle name="_Книга3_Nsi_НИК-09 2" xfId="10247" xr:uid="{F6FFBDF0-8422-437B-BAE7-29521DBAF983}"/>
    <cellStyle name="_Книга3_Nsi_раст.-факт" xfId="1538" xr:uid="{40305771-3253-4D38-A097-DA17B6C7A20C}"/>
    <cellStyle name="_Книга3_Nsi_Растениеводство форма( АГМ)" xfId="1539" xr:uid="{C1AC5ECA-32FA-4AF2-9797-77D8934E5ACF}"/>
    <cellStyle name="_Книга3_Nsi_Свод по Агрохоолдингу  (в т.ч КБН  )" xfId="1540" xr:uid="{2B30AB5F-7A23-41F6-90F0-932EFA204217}"/>
    <cellStyle name="_Книга3_Nsi_ТК-2011 АГМ+транспорт" xfId="1541" xr:uid="{8B6A409E-81A5-458D-AE6C-421DF61BCC71}"/>
    <cellStyle name="_Книга3_Nsi_Форма по растениеводству (Акционеры) ИЛЧ" xfId="1542" xr:uid="{A4569C6F-4591-49FB-88DF-E30565557B7C}"/>
    <cellStyle name="_Книга3_Summary" xfId="1543" xr:uid="{89E243AA-8BE3-436E-BFA9-55C2CE0C5A31}"/>
    <cellStyle name="_Книга3_Summary 1" xfId="1544" xr:uid="{11188B90-735C-486F-B436-E92A0FD4C2CF}"/>
    <cellStyle name="_Книга3_Summary 1_Копия Растениеводство форма(Акционеры)" xfId="1545" xr:uid="{EC64032B-5697-4061-93FA-EC00D7E33C46}"/>
    <cellStyle name="_Книга3_Summary 1_М( ЗАР)" xfId="1546" xr:uid="{68472FAB-EEDE-49D2-94DA-CE138726037C}"/>
    <cellStyle name="_Книга3_Summary 1_Модель АгроГард на 5 лет" xfId="1547" xr:uid="{48012B19-A791-43C3-A381-CF1D40F84D67}"/>
    <cellStyle name="_Книга3_Summary 1_раст.-факт" xfId="1548" xr:uid="{6F3FB562-B7E3-4C61-AE71-52448AFE2F54}"/>
    <cellStyle name="_Книга3_Summary 1_Растениеводство форма( АГМ)" xfId="1549" xr:uid="{99141926-2F96-4F09-918D-E10D76C0175C}"/>
    <cellStyle name="_Книга3_Summary 1_Свод по Агрохоолдингу  (в т.ч КБН  )" xfId="1550" xr:uid="{AFCDC1A4-DB4C-436F-AF22-D5725B5EDECB}"/>
    <cellStyle name="_Книга3_Summary 1_Форма по растениеводству (Акционеры) ИЛЧ" xfId="1551" xr:uid="{86BB2A2E-1FE5-4B04-95BB-7D9CE6BA7615}"/>
    <cellStyle name="_Книга3_Summary 2" xfId="1552" xr:uid="{A3086B10-482C-4F00-AD96-10352337C7F1}"/>
    <cellStyle name="_Книга3_Summary 2_Копия Растениеводство форма(Акционеры)" xfId="1553" xr:uid="{6142A9F2-7BBA-4DDF-9714-D8271BD99FED}"/>
    <cellStyle name="_Книга3_Summary 2_М( ЗАР)" xfId="1554" xr:uid="{5462C073-8728-411D-A6DB-B39BEED04CD9}"/>
    <cellStyle name="_Книга3_Summary 2_Модель АгроГард на 5 лет" xfId="1555" xr:uid="{58CC63CF-4099-49AF-8CB5-55036FA5EC6A}"/>
    <cellStyle name="_Книга3_Summary 2_раст.-факт" xfId="1556" xr:uid="{7616FF20-521D-43B2-A9D6-6FDEC5522C49}"/>
    <cellStyle name="_Книга3_Summary 2_Растениеводство форма( АГМ)" xfId="1557" xr:uid="{97C66E43-4D73-4A76-ACB6-DF74C793CA39}"/>
    <cellStyle name="_Книга3_Summary 2_Свод по Агрохоолдингу  (в т.ч КБН  )" xfId="1558" xr:uid="{76004886-5087-4B21-BABA-663C8DF4D05D}"/>
    <cellStyle name="_Книга3_Summary 2_Форма по растениеводству (Акционеры) ИЛЧ" xfId="1559" xr:uid="{2CBEF434-CE3D-4BF8-BB5E-4E683E728FCD}"/>
    <cellStyle name="_Книга3_Summary 3" xfId="1560" xr:uid="{6851B81A-41C5-4A51-93B2-748A0FF13518}"/>
    <cellStyle name="_Книга3_Summary 3_Копия Растениеводство форма(Акционеры)" xfId="1561" xr:uid="{26DA45F6-E7A1-4A0D-9B09-9FC8D7290E76}"/>
    <cellStyle name="_Книга3_Summary 3_М( ЗАР)" xfId="1562" xr:uid="{7AE69085-07A6-4D6E-8120-AF6A33B69B81}"/>
    <cellStyle name="_Книга3_Summary 3_Модель АгроГард на 5 лет" xfId="1563" xr:uid="{F98032AA-6B3D-4B57-9C7E-6444AF801BDA}"/>
    <cellStyle name="_Книга3_Summary 3_раст.-факт" xfId="1564" xr:uid="{574768A8-C17B-4A94-9C24-4A2B93175DA3}"/>
    <cellStyle name="_Книга3_Summary 3_Растениеводство форма( АГМ)" xfId="1565" xr:uid="{5495B8AB-E0A4-41A2-82DA-6B5D8E554E9D}"/>
    <cellStyle name="_Книга3_Summary 3_Свод по Агрохоолдингу  (в т.ч КБН  )" xfId="1566" xr:uid="{547023C2-442B-46A5-BECD-A46094BC90CF}"/>
    <cellStyle name="_Книга3_Summary 3_Форма по растениеводству (Акционеры) ИЛЧ" xfId="1567" xr:uid="{FCBADA34-D319-49C8-B6F0-DE5C45575CFC}"/>
    <cellStyle name="_Книга3_Summary_АГМ" xfId="1568" xr:uid="{84B51748-F940-450A-87E2-C0DAA1B23CC1}"/>
    <cellStyle name="_Книга3_Summary_Копия Растениеводство форма(Акционеры)" xfId="1569" xr:uid="{9BCA1D94-2E29-4E29-A221-B1776935E6A0}"/>
    <cellStyle name="_Книга3_Summary_М( ЗАР)" xfId="1570" xr:uid="{A4FD9A57-7670-4C2C-89A9-05B4E2E18ED8}"/>
    <cellStyle name="_Книга3_Summary_Модель АгроГард на 5 лет" xfId="1571" xr:uid="{083EFA4F-2CB3-4B3C-B497-715ED7B12286}"/>
    <cellStyle name="_Книга3_Summary_НИК-09" xfId="1572" xr:uid="{EAB4B614-E346-4F06-9C2D-DEC00C39951E}"/>
    <cellStyle name="_Книга3_Summary_НИК-09 2" xfId="10248" xr:uid="{03012AEE-2ACC-4252-AE3F-A8962977A796}"/>
    <cellStyle name="_Книга3_Summary_раст.-факт" xfId="1573" xr:uid="{551059ED-F83B-4723-A143-B40087DAB86A}"/>
    <cellStyle name="_Книга3_Summary_Растениеводство форма( АГМ)" xfId="1574" xr:uid="{7E103375-616D-4486-9CB4-0843391361F0}"/>
    <cellStyle name="_Книга3_Summary_Свод по Агрохоолдингу  (в т.ч КБН  )" xfId="1575" xr:uid="{C4AA3E63-55B6-40D7-8DE7-1872FBFA4042}"/>
    <cellStyle name="_Книга3_Summary_ТК-2011 АГМ+транспорт" xfId="1576" xr:uid="{1E5B4C08-8101-49AD-B50A-262F6ECEAE57}"/>
    <cellStyle name="_Книга3_Summary_Форма по растениеводству (Акционеры) ИЛЧ" xfId="1577" xr:uid="{B6721C3A-57BF-4C43-9B3C-95933A316CF1}"/>
    <cellStyle name="_Книга3_Tax_form_1кв_3" xfId="1578" xr:uid="{A6334BAB-F428-4B4F-AA8B-36F404DB0E67}"/>
    <cellStyle name="_Книга3_Tax_form_1кв_3 1" xfId="1579" xr:uid="{28495EAB-4F11-4779-A3DE-0D7C55408889}"/>
    <cellStyle name="_Книга3_Tax_form_1кв_3 1_Копия Растениеводство форма(Акционеры)" xfId="1580" xr:uid="{DF6A5F0B-31B1-4CCB-8B62-B6D79FB887C3}"/>
    <cellStyle name="_Книга3_Tax_form_1кв_3 1_М( ЗАР)" xfId="1581" xr:uid="{50D6B5C8-EC9F-4A99-A579-E56E1B0103E1}"/>
    <cellStyle name="_Книга3_Tax_form_1кв_3 1_Модель АгроГард на 5 лет" xfId="1582" xr:uid="{653E6024-F53C-40E6-ABA4-783BF1E59EAD}"/>
    <cellStyle name="_Книга3_Tax_form_1кв_3 1_раст.-факт" xfId="1583" xr:uid="{4E529B30-B79B-438F-9933-5421701889FF}"/>
    <cellStyle name="_Книга3_Tax_form_1кв_3 1_Растениеводство форма( АГМ)" xfId="1584" xr:uid="{D9522DA9-FAF0-42FF-86D1-1ACCDB8EE0FB}"/>
    <cellStyle name="_Книга3_Tax_form_1кв_3 1_Свод по Агрохоолдингу  (в т.ч КБН  )" xfId="1585" xr:uid="{F47036F6-10F5-4D03-B9D4-D1FFD7CD7A3C}"/>
    <cellStyle name="_Книга3_Tax_form_1кв_3 1_Форма по растениеводству (Акционеры) ИЛЧ" xfId="1586" xr:uid="{07B63C3C-6D68-45B2-B7F1-3D7124322C78}"/>
    <cellStyle name="_Книга3_Tax_form_1кв_3 2" xfId="1587" xr:uid="{B3E12031-613E-4146-AEE0-60F5A112BAC3}"/>
    <cellStyle name="_Книга3_Tax_form_1кв_3 2_Копия Растениеводство форма(Акционеры)" xfId="1588" xr:uid="{F2BB75D0-5928-4A2A-B20F-E1FF2ADD1CCB}"/>
    <cellStyle name="_Книга3_Tax_form_1кв_3 2_М( ЗАР)" xfId="1589" xr:uid="{09D7401F-8019-4DAB-BA4A-9D7EA1422461}"/>
    <cellStyle name="_Книга3_Tax_form_1кв_3 2_Модель АгроГард на 5 лет" xfId="1590" xr:uid="{A84DDA82-803C-4037-92EC-D51F7EB37BA7}"/>
    <cellStyle name="_Книга3_Tax_form_1кв_3 2_раст.-факт" xfId="1591" xr:uid="{E3FD5946-074F-4FA3-BC07-AD8604C42A10}"/>
    <cellStyle name="_Книга3_Tax_form_1кв_3 2_Растениеводство форма( АГМ)" xfId="1592" xr:uid="{E6D4D273-3391-4A82-93F4-D0E4606E4DA0}"/>
    <cellStyle name="_Книга3_Tax_form_1кв_3 2_Свод по Агрохоолдингу  (в т.ч КБН  )" xfId="1593" xr:uid="{098FC4BE-CA0E-4268-9654-8603FF9576AE}"/>
    <cellStyle name="_Книга3_Tax_form_1кв_3 2_Форма по растениеводству (Акционеры) ИЛЧ" xfId="1594" xr:uid="{17E2D004-7E93-4CF7-BE1D-EA0F744E1E85}"/>
    <cellStyle name="_Книга3_Tax_form_1кв_3 3" xfId="1595" xr:uid="{27C690AB-B068-41F1-8631-15F2E62D594A}"/>
    <cellStyle name="_Книга3_Tax_form_1кв_3 3_Копия Растениеводство форма(Акционеры)" xfId="1596" xr:uid="{49337D26-5059-4AFD-BCCA-AC760ABB42C9}"/>
    <cellStyle name="_Книга3_Tax_form_1кв_3 3_М( ЗАР)" xfId="1597" xr:uid="{2BE733D3-E364-4A04-A2AA-E6EF040F409A}"/>
    <cellStyle name="_Книга3_Tax_form_1кв_3 3_Модель АгроГард на 5 лет" xfId="1598" xr:uid="{1A5068CB-2012-42BA-9365-FA8A30BF6C59}"/>
    <cellStyle name="_Книга3_Tax_form_1кв_3 3_раст.-факт" xfId="1599" xr:uid="{854301EE-703B-44B7-8082-A0FFB2DF6FD6}"/>
    <cellStyle name="_Книга3_Tax_form_1кв_3 3_Растениеводство форма( АГМ)" xfId="1600" xr:uid="{0CE28CBB-4123-47EC-8157-2AB6FC074B2A}"/>
    <cellStyle name="_Книга3_Tax_form_1кв_3 3_Свод по Агрохоолдингу  (в т.ч КБН  )" xfId="1601" xr:uid="{32817D23-F6DB-4D13-9628-3EBE1E2B3672}"/>
    <cellStyle name="_Книга3_Tax_form_1кв_3 3_Форма по растениеводству (Акционеры) ИЛЧ" xfId="1602" xr:uid="{47B33C8E-F228-4300-94FA-E1FF2A4CCA1E}"/>
    <cellStyle name="_Книга3_Tax_form_1кв_3_АГМ" xfId="1603" xr:uid="{5E351EA7-7F20-4F0D-989C-2DCC9651B682}"/>
    <cellStyle name="_Книга3_Tax_form_1кв_3_Копия Растениеводство форма(Акционеры)" xfId="1604" xr:uid="{64028329-3760-4A0C-A33A-CB7C973B9166}"/>
    <cellStyle name="_Книга3_Tax_form_1кв_3_М( ЗАР)" xfId="1605" xr:uid="{750E73C7-D7B6-4F73-A976-0B1870FF99C6}"/>
    <cellStyle name="_Книга3_Tax_form_1кв_3_Модель АгроГард на 5 лет" xfId="1606" xr:uid="{6CB2EB10-EC15-4F77-AEA5-CD4B747C4B45}"/>
    <cellStyle name="_Книга3_Tax_form_1кв_3_НИК-09" xfId="1607" xr:uid="{599809C7-3D04-4311-AC44-8B0CE90CCF7C}"/>
    <cellStyle name="_Книга3_Tax_form_1кв_3_НИК-09 2" xfId="10249" xr:uid="{6A6FA0A0-CE2C-4BBE-8657-261D34F6C4FC}"/>
    <cellStyle name="_Книга3_Tax_form_1кв_3_раст.-факт" xfId="1608" xr:uid="{A8B900DE-F714-41B6-8D0F-253D1AC8FF8C}"/>
    <cellStyle name="_Книга3_Tax_form_1кв_3_Растениеводство форма( АГМ)" xfId="1609" xr:uid="{F94E0AFC-F99C-4D18-8480-3078170A83DC}"/>
    <cellStyle name="_Книга3_Tax_form_1кв_3_Свод по Агрохоолдингу  (в т.ч КБН  )" xfId="1610" xr:uid="{D8D61878-F14F-4FC4-B519-F6DFAA64D32C}"/>
    <cellStyle name="_Книга3_Tax_form_1кв_3_ТК-2011 АГМ+транспорт" xfId="1611" xr:uid="{C11F3943-E542-4B56-A99C-920E7C11C4B4}"/>
    <cellStyle name="_Книга3_Tax_form_1кв_3_Форма по растениеводству (Акционеры) ИЛЧ" xfId="1612" xr:uid="{E5938E71-ACA3-436B-9F1B-72CED950EFF8}"/>
    <cellStyle name="_Книга3_АГМ" xfId="1613" xr:uid="{CEF4CCC6-9F52-4938-B86B-80042E0C7C20}"/>
    <cellStyle name="_Книга3_БКЭ" xfId="1614" xr:uid="{C07A110E-5B05-4755-B195-89F3A32769DE}"/>
    <cellStyle name="_Книга3_БКЭ 1" xfId="1615" xr:uid="{FA8A4BAE-BD0A-4849-BA8D-483593C793D8}"/>
    <cellStyle name="_Книга3_БКЭ 1_Копия Растениеводство форма(Акционеры)" xfId="1616" xr:uid="{994CEC95-8D5B-4DD2-8F4D-3C91EDC4E69D}"/>
    <cellStyle name="_Книга3_БКЭ 1_М( ЗАР)" xfId="1617" xr:uid="{70C5A153-EF6C-419F-AF02-9CDBEEB9CEA0}"/>
    <cellStyle name="_Книга3_БКЭ 1_Модель АгроГард на 5 лет" xfId="1618" xr:uid="{B4F46C05-E776-43D1-AFBE-9683FF831047}"/>
    <cellStyle name="_Книга3_БКЭ 1_раст.-факт" xfId="1619" xr:uid="{F8F1AE1F-1686-42C5-A2DA-AF87F142987B}"/>
    <cellStyle name="_Книга3_БКЭ 1_Растениеводство форма( АГМ)" xfId="1620" xr:uid="{5E01DED5-E1FF-4D00-B4FE-DF91E3B006CC}"/>
    <cellStyle name="_Книга3_БКЭ 1_Свод по Агрохоолдингу  (в т.ч КБН  )" xfId="1621" xr:uid="{D694FDB0-467F-4315-AD85-7ADCAD62D5E9}"/>
    <cellStyle name="_Книга3_БКЭ 1_Форма по растениеводству (Акционеры) ИЛЧ" xfId="1622" xr:uid="{BDE34866-FAAA-48D4-BFD6-C4BD8F59CD55}"/>
    <cellStyle name="_Книга3_БКЭ 2" xfId="1623" xr:uid="{29F4AED1-EE1A-49A2-B424-A7CBB49842B1}"/>
    <cellStyle name="_Книга3_БКЭ 2_Копия Растениеводство форма(Акционеры)" xfId="1624" xr:uid="{1EAE5C1E-9A04-4E0C-A8CE-F43B46BC1DF7}"/>
    <cellStyle name="_Книга3_БКЭ 2_М( ЗАР)" xfId="1625" xr:uid="{996ED112-55A2-48B7-8A9A-669F7E413455}"/>
    <cellStyle name="_Книга3_БКЭ 2_Модель АгроГард на 5 лет" xfId="1626" xr:uid="{960BE1CC-2259-4DF0-9A55-A227B4849FEF}"/>
    <cellStyle name="_Книга3_БКЭ 2_раст.-факт" xfId="1627" xr:uid="{D082495B-AC32-4DE1-BF96-3EB8ACDABCB5}"/>
    <cellStyle name="_Книга3_БКЭ 2_Растениеводство форма( АГМ)" xfId="1628" xr:uid="{F68076D0-2D30-4439-88B1-A9A6FA2E446F}"/>
    <cellStyle name="_Книга3_БКЭ 2_Свод по Агрохоолдингу  (в т.ч КБН  )" xfId="1629" xr:uid="{B24E9EC5-2D42-4D5D-8EA0-2106CD8BAAF0}"/>
    <cellStyle name="_Книга3_БКЭ 2_Форма по растениеводству (Акционеры) ИЛЧ" xfId="1630" xr:uid="{93F53446-701A-42B7-85A8-29A20EC0367F}"/>
    <cellStyle name="_Книга3_БКЭ 3" xfId="1631" xr:uid="{9660C729-3494-4DBD-9910-8F38AF249E50}"/>
    <cellStyle name="_Книга3_БКЭ 3_Копия Растениеводство форма(Акционеры)" xfId="1632" xr:uid="{EB5FCD71-D2DE-4B89-AB97-2AFD4B44DBE5}"/>
    <cellStyle name="_Книга3_БКЭ 3_М( ЗАР)" xfId="1633" xr:uid="{217914BA-C759-454B-8F2C-0AEFF5E530AD}"/>
    <cellStyle name="_Книга3_БКЭ 3_Модель АгроГард на 5 лет" xfId="1634" xr:uid="{5C868382-0E85-4AF6-BDD6-8C7C9FE14F5C}"/>
    <cellStyle name="_Книга3_БКЭ 3_раст.-факт" xfId="1635" xr:uid="{148FE5C7-E2FE-4FCE-8858-CAD42D17B603}"/>
    <cellStyle name="_Книга3_БКЭ 3_Растениеводство форма( АГМ)" xfId="1636" xr:uid="{B40FD7DE-0688-4AA7-BFDB-75C83582A84C}"/>
    <cellStyle name="_Книга3_БКЭ 3_Свод по Агрохоолдингу  (в т.ч КБН  )" xfId="1637" xr:uid="{9E1C8A38-A47C-41E6-91B9-EFD1169CD68C}"/>
    <cellStyle name="_Книга3_БКЭ 3_Форма по растениеводству (Акционеры) ИЛЧ" xfId="1638" xr:uid="{2324213C-849B-4F65-81D3-52A8EF118BB8}"/>
    <cellStyle name="_Книга3_БКЭ_АГМ" xfId="1639" xr:uid="{2585D3E7-4F74-4771-9CC3-E4E866C88D5C}"/>
    <cellStyle name="_Книга3_БКЭ_Копия Растениеводство форма(Акционеры)" xfId="1640" xr:uid="{5C9BF02B-2448-493E-9979-0D4F21E9DA0C}"/>
    <cellStyle name="_Книга3_БКЭ_М( ЗАР)" xfId="1641" xr:uid="{3B1302CB-7C68-4268-B3E0-BD6C420424C2}"/>
    <cellStyle name="_Книга3_БКЭ_Модель АгроГард на 5 лет" xfId="1642" xr:uid="{4660A8ED-4D7D-4DD6-B63C-A145ACC11996}"/>
    <cellStyle name="_Книга3_БКЭ_НИК-09" xfId="1643" xr:uid="{5337BE75-989F-417A-A495-C3C716043CDF}"/>
    <cellStyle name="_Книга3_БКЭ_НИК-09 2" xfId="10250" xr:uid="{9B174317-A738-4721-9A5D-B3B49C48C3B6}"/>
    <cellStyle name="_Книга3_БКЭ_раст.-факт" xfId="1644" xr:uid="{04BB2797-35C1-473F-BEB7-415E8E1A0D8C}"/>
    <cellStyle name="_Книга3_БКЭ_Растениеводство форма( АГМ)" xfId="1645" xr:uid="{662FFAE0-07BE-4C86-92C3-732529F15564}"/>
    <cellStyle name="_Книга3_БКЭ_Свод по Агрохоолдингу  (в т.ч КБН  )" xfId="1646" xr:uid="{FC55013C-72A8-49D8-A30C-5D4BAF0120F8}"/>
    <cellStyle name="_Книга3_БКЭ_ТК-2011 АГМ+транспорт" xfId="1647" xr:uid="{EDE605FD-B6E7-4D37-A020-AD32AFA01BBC}"/>
    <cellStyle name="_Книга3_БКЭ_Форма по растениеводству (Акционеры) ИЛЧ" xfId="1648" xr:uid="{72363C25-7087-43EB-A56E-22BB955228D6}"/>
    <cellStyle name="_Книга3_Копия Растениеводство форма(Акционеры)" xfId="1649" xr:uid="{CC4A75E6-E9E6-49D1-971C-231B6EAE5C21}"/>
    <cellStyle name="_Книга3_М( ЗАР)" xfId="1650" xr:uid="{20EB3886-D918-4DBE-A651-93E27C944B08}"/>
    <cellStyle name="_Книга3_Модель АгроГард на 5 лет" xfId="1651" xr:uid="{9FFCD58D-8012-4EE4-BC46-258D5C8CAF3C}"/>
    <cellStyle name="_Книга3_НИК-09" xfId="1652" xr:uid="{D1834AC1-F2A8-4589-B462-3F9B04FE1D52}"/>
    <cellStyle name="_Книга3_НИК-09 2" xfId="10251" xr:uid="{B6328267-DFCD-43D2-AD97-848EED56659E}"/>
    <cellStyle name="_Книга3_раст.-факт" xfId="1653" xr:uid="{C9E62473-65D2-446D-8174-72FF2AA0D641}"/>
    <cellStyle name="_Книга3_Растениеводство форма( АГМ)" xfId="1654" xr:uid="{C2CCD931-FFD6-4E41-95EB-59FE5AD73DA5}"/>
    <cellStyle name="_Книга3_Свод по Агрохоолдингу  (в т.ч КБН  )" xfId="1655" xr:uid="{CFCE5640-296B-4C99-9D53-5C8354DFD95C}"/>
    <cellStyle name="_Книга3_ТК-2011 АГМ+транспорт" xfId="1656" xr:uid="{7DC59DD3-6F6C-4F95-BF55-5456344EB26C}"/>
    <cellStyle name="_Книга3_Форма по растениеводству (Акционеры) ИЛЧ" xfId="1657" xr:uid="{3602F677-3086-44A5-9ABF-5F081072697A}"/>
    <cellStyle name="_Книга7" xfId="1658" xr:uid="{8ABD1156-45CC-4D8C-97D5-C639AE546CB3}"/>
    <cellStyle name="_Книга7 1" xfId="1659" xr:uid="{DA333915-0723-48C7-86AE-827EF4C68F60}"/>
    <cellStyle name="_Книга7 1_Копия Растениеводство форма(Акционеры)" xfId="1660" xr:uid="{53A73912-7C38-49CA-B406-750F78EE318D}"/>
    <cellStyle name="_Книга7 1_М( ЗАР)" xfId="1661" xr:uid="{38BBBE23-6FEE-4ACB-AA0C-586A83DD1593}"/>
    <cellStyle name="_Книга7 1_Модель АгроГард на 5 лет" xfId="1662" xr:uid="{21EA128C-6BD5-40B9-BC6E-44B735A09827}"/>
    <cellStyle name="_Книга7 1_раст.-факт" xfId="1663" xr:uid="{D4EF6C5B-B7AD-44CA-AEB8-1F2DD97B758B}"/>
    <cellStyle name="_Книга7 1_Растениеводство форма( АГМ)" xfId="1664" xr:uid="{EABB8245-A9F0-4C7D-867F-118D2A37B76C}"/>
    <cellStyle name="_Книга7 1_Свод по Агрохоолдингу  (в т.ч КБН  )" xfId="1665" xr:uid="{428C68F9-315F-4A58-AB12-B43D2837A6D7}"/>
    <cellStyle name="_Книга7 1_Форма по растениеводству (Акционеры) ИЛЧ" xfId="1666" xr:uid="{3D9F7885-AC35-4629-B4DD-0C22EED991E1}"/>
    <cellStyle name="_Книга7 2" xfId="1667" xr:uid="{3AE94D13-3548-4789-B9B2-4BDBF5F027A6}"/>
    <cellStyle name="_Книга7 2_Копия Растениеводство форма(Акционеры)" xfId="1668" xr:uid="{F088AF8F-22A1-492F-BF33-06CC6F19E302}"/>
    <cellStyle name="_Книга7 2_М( ЗАР)" xfId="1669" xr:uid="{B1808074-82AC-44B3-BA66-0E15688B1032}"/>
    <cellStyle name="_Книга7 2_Модель АгроГард на 5 лет" xfId="1670" xr:uid="{E9B2BE18-6C33-4EB5-943A-71717427F4AD}"/>
    <cellStyle name="_Книга7 2_раст.-факт" xfId="1671" xr:uid="{BF70213B-2033-4534-925E-2FC2C9FC6E14}"/>
    <cellStyle name="_Книга7 2_Растениеводство форма( АГМ)" xfId="1672" xr:uid="{6DFBBDFE-E845-4581-8522-B58499D51235}"/>
    <cellStyle name="_Книга7 2_Свод по Агрохоолдингу  (в т.ч КБН  )" xfId="1673" xr:uid="{8B95AA16-226E-4EEF-9030-7E1A9CD51DD2}"/>
    <cellStyle name="_Книга7 2_Форма по растениеводству (Акционеры) ИЛЧ" xfId="1674" xr:uid="{23610A9A-DF10-48C0-8B4B-5C8586AB415B}"/>
    <cellStyle name="_Книга7 3" xfId="1675" xr:uid="{8463C784-7D55-47C1-B048-99A50AA066F1}"/>
    <cellStyle name="_Книга7 3_Копия Растениеводство форма(Акционеры)" xfId="1676" xr:uid="{854E0E77-49E0-4F24-B5EA-BCB8A35DE96E}"/>
    <cellStyle name="_Книга7 3_М( ЗАР)" xfId="1677" xr:uid="{FC9DA222-5122-4B40-AC90-8AB577035B7C}"/>
    <cellStyle name="_Книга7 3_Модель АгроГард на 5 лет" xfId="1678" xr:uid="{866F9114-979D-4955-9897-7EBFC6104B38}"/>
    <cellStyle name="_Книга7 3_раст.-факт" xfId="1679" xr:uid="{A32ADBC0-143C-481C-819E-0F0C033D9687}"/>
    <cellStyle name="_Книга7 3_Растениеводство форма( АГМ)" xfId="1680" xr:uid="{D2835644-EC27-449E-805A-587B3796B3C1}"/>
    <cellStyle name="_Книга7 3_Свод по Агрохоолдингу  (в т.ч КБН  )" xfId="1681" xr:uid="{520D3176-7645-4562-AF07-8AC1D0A6802A}"/>
    <cellStyle name="_Книга7 3_Форма по растениеводству (Акционеры) ИЛЧ" xfId="1682" xr:uid="{D21B901A-C356-49FA-9F86-DA253445FF67}"/>
    <cellStyle name="_Книга7_New Form10_2" xfId="1683" xr:uid="{96D11ED4-E8FB-4156-875E-1C972F653691}"/>
    <cellStyle name="_Книга7_New Form10_2 1" xfId="1684" xr:uid="{6876AE51-442D-4C5B-9564-CCF592153BAC}"/>
    <cellStyle name="_Книга7_New Form10_2 1_Копия Растениеводство форма(Акционеры)" xfId="1685" xr:uid="{06431BF5-F633-4350-AD9A-56DD703EEABD}"/>
    <cellStyle name="_Книга7_New Form10_2 1_М( ЗАР)" xfId="1686" xr:uid="{A8CAD1FA-1B00-4B63-BCA8-771BAED2D15D}"/>
    <cellStyle name="_Книга7_New Form10_2 1_Модель АгроГард на 5 лет" xfId="1687" xr:uid="{B957ED65-7F96-4567-8FCA-3CA24D0FDA21}"/>
    <cellStyle name="_Книга7_New Form10_2 1_раст.-факт" xfId="1688" xr:uid="{07458A58-A672-4C0A-97BB-2798B68C365D}"/>
    <cellStyle name="_Книга7_New Form10_2 1_Растениеводство форма( АГМ)" xfId="1689" xr:uid="{3B70CBF9-1CC4-44C8-A82A-39D124E402DD}"/>
    <cellStyle name="_Книга7_New Form10_2 1_Свод по Агрохоолдингу  (в т.ч КБН  )" xfId="1690" xr:uid="{34E8C9FB-7995-44EC-80BF-6113B6354531}"/>
    <cellStyle name="_Книга7_New Form10_2 1_Форма по растениеводству (Акционеры) ИЛЧ" xfId="1691" xr:uid="{16894364-63B0-4BFB-ACAB-04B69B6A44AF}"/>
    <cellStyle name="_Книга7_New Form10_2 2" xfId="1692" xr:uid="{776D1450-8DE3-4F05-A435-494EC1FE7B89}"/>
    <cellStyle name="_Книга7_New Form10_2 2_Копия Растениеводство форма(Акционеры)" xfId="1693" xr:uid="{501A214E-068C-4C80-83DB-314E5F9BF1F8}"/>
    <cellStyle name="_Книга7_New Form10_2 2_М( ЗАР)" xfId="1694" xr:uid="{C5398497-29C6-4A4B-B697-3DEFB407C8CD}"/>
    <cellStyle name="_Книга7_New Form10_2 2_Модель АгроГард на 5 лет" xfId="1695" xr:uid="{7BAA4BF7-7D89-4703-9686-F87EDB30C60B}"/>
    <cellStyle name="_Книга7_New Form10_2 2_раст.-факт" xfId="1696" xr:uid="{19ED579E-9E75-46E2-B0E2-5CE4DA4BAE27}"/>
    <cellStyle name="_Книга7_New Form10_2 2_Растениеводство форма( АГМ)" xfId="1697" xr:uid="{929CACEF-968C-4B68-A158-DC2C1F6A92E9}"/>
    <cellStyle name="_Книга7_New Form10_2 2_Свод по Агрохоолдингу  (в т.ч КБН  )" xfId="1698" xr:uid="{55E7AFEF-D9BF-4156-B9B8-6539F321879D}"/>
    <cellStyle name="_Книга7_New Form10_2 2_Форма по растениеводству (Акционеры) ИЛЧ" xfId="1699" xr:uid="{1E6C72CB-2397-4439-AF16-3544E64FFFFD}"/>
    <cellStyle name="_Книга7_New Form10_2 3" xfId="1700" xr:uid="{7AB2F6F8-52D5-417E-9361-8C870C69B4BD}"/>
    <cellStyle name="_Книга7_New Form10_2 3_Копия Растениеводство форма(Акционеры)" xfId="1701" xr:uid="{DB671588-5E02-447C-AAD0-899AEF6C3765}"/>
    <cellStyle name="_Книга7_New Form10_2 3_М( ЗАР)" xfId="1702" xr:uid="{5EB81AE8-3219-42EB-95A2-90F495F20922}"/>
    <cellStyle name="_Книга7_New Form10_2 3_Модель АгроГард на 5 лет" xfId="1703" xr:uid="{2EDB2DE7-3CAA-4606-AA59-F59D813AFF17}"/>
    <cellStyle name="_Книга7_New Form10_2 3_раст.-факт" xfId="1704" xr:uid="{30FEFA0B-E723-44E8-BD33-F6B9CC1B0031}"/>
    <cellStyle name="_Книга7_New Form10_2 3_Растениеводство форма( АГМ)" xfId="1705" xr:uid="{118B04D6-51A8-4535-9B45-F0256236920D}"/>
    <cellStyle name="_Книга7_New Form10_2 3_Свод по Агрохоолдингу  (в т.ч КБН  )" xfId="1706" xr:uid="{238B0DE7-8F06-44D0-8E83-1EF4F1F82F8A}"/>
    <cellStyle name="_Книга7_New Form10_2 3_Форма по растениеводству (Акционеры) ИЛЧ" xfId="1707" xr:uid="{A3738E5B-4CD8-4B45-9D07-6842B85B1352}"/>
    <cellStyle name="_Книга7_New Form10_2_АГМ" xfId="1708" xr:uid="{DDC4B937-C5B9-4857-80C6-FB56F3C0FDA3}"/>
    <cellStyle name="_Книга7_New Form10_2_Копия Растениеводство форма(Акционеры)" xfId="1709" xr:uid="{14CF9CB4-01C3-4026-9E7A-C4342D5C3CE7}"/>
    <cellStyle name="_Книга7_New Form10_2_М( ЗАР)" xfId="1710" xr:uid="{643D0359-D2A5-41D4-898B-8F566E34F00B}"/>
    <cellStyle name="_Книга7_New Form10_2_Модель АгроГард на 5 лет" xfId="1711" xr:uid="{DF2AA85B-27BB-4F1E-A11F-91EEF479328B}"/>
    <cellStyle name="_Книга7_New Form10_2_НИК-09" xfId="1712" xr:uid="{FA9115EA-067E-40A7-A9D6-572CBDCCDCA3}"/>
    <cellStyle name="_Книга7_New Form10_2_НИК-09 2" xfId="10252" xr:uid="{5B11B5E5-EDF1-4DE5-BDAE-212976BDB3D5}"/>
    <cellStyle name="_Книга7_New Form10_2_раст.-факт" xfId="1713" xr:uid="{56B640B4-1C6B-4A97-BC75-69CE99934A89}"/>
    <cellStyle name="_Книга7_New Form10_2_Растениеводство форма( АГМ)" xfId="1714" xr:uid="{93A636F3-8176-436F-A905-7AB9F0A628E5}"/>
    <cellStyle name="_Книга7_New Form10_2_Свод по Агрохоолдингу  (в т.ч КБН  )" xfId="1715" xr:uid="{7684A378-E7C7-40B4-BB0C-50AD1F0EE26D}"/>
    <cellStyle name="_Книга7_New Form10_2_ТК-2011 АГМ+транспорт" xfId="1716" xr:uid="{58AF8E39-D2EE-4E48-A511-0F6E1DCD91FD}"/>
    <cellStyle name="_Книга7_New Form10_2_Форма по растениеводству (Акционеры) ИЛЧ" xfId="1717" xr:uid="{A4220167-F03A-4157-AF40-913E3F4EE8ED}"/>
    <cellStyle name="_Книга7_Nsi" xfId="1718" xr:uid="{8DCC3FDA-6837-4182-928C-054E3852C1FF}"/>
    <cellStyle name="_Книга7_Nsi 1" xfId="1719" xr:uid="{5AABC553-5FF3-4BB6-AD12-FBB9CEDF0296}"/>
    <cellStyle name="_Книга7_Nsi 1_Копия Растениеводство форма(Акционеры)" xfId="1720" xr:uid="{AA3E3A02-99A6-4475-AF7A-880A70715052}"/>
    <cellStyle name="_Книга7_Nsi 1_М( ЗАР)" xfId="1721" xr:uid="{563A409A-1DE3-43C0-A9C3-FB4CF382FA02}"/>
    <cellStyle name="_Книга7_Nsi 1_Модель АгроГард на 5 лет" xfId="1722" xr:uid="{68106076-8691-4323-B34E-11E5EF2C3F31}"/>
    <cellStyle name="_Книга7_Nsi 1_раст.-факт" xfId="1723" xr:uid="{CB7B25CC-E6D1-4827-B412-39470CDC5AB1}"/>
    <cellStyle name="_Книга7_Nsi 1_Растениеводство форма( АГМ)" xfId="1724" xr:uid="{928FDCFB-B3C9-4516-B1F2-9CF1F2DAA62E}"/>
    <cellStyle name="_Книга7_Nsi 1_Свод по Агрохоолдингу  (в т.ч КБН  )" xfId="1725" xr:uid="{771E3939-5625-4514-B937-5497F4657589}"/>
    <cellStyle name="_Книга7_Nsi 1_Форма по растениеводству (Акционеры) ИЛЧ" xfId="1726" xr:uid="{3A0BD8D3-F6F6-426A-B2B5-E049CAAAD42C}"/>
    <cellStyle name="_Книга7_Nsi 2" xfId="1727" xr:uid="{C5CC1C03-DE1A-4C64-AD81-1759795A71DD}"/>
    <cellStyle name="_Книга7_Nsi 2_Копия Растениеводство форма(Акционеры)" xfId="1728" xr:uid="{D9D656A3-04F1-4E92-AF46-11D2B41AB7FF}"/>
    <cellStyle name="_Книга7_Nsi 2_М( ЗАР)" xfId="1729" xr:uid="{B63DEA86-E818-425E-A778-6221F4D248C5}"/>
    <cellStyle name="_Книга7_Nsi 2_Модель АгроГард на 5 лет" xfId="1730" xr:uid="{61BACC3C-01A8-4153-8E7D-B25585E331BA}"/>
    <cellStyle name="_Книга7_Nsi 2_раст.-факт" xfId="1731" xr:uid="{DCF6E4C0-10BD-4DE4-9088-BDE42519EC9F}"/>
    <cellStyle name="_Книга7_Nsi 2_Растениеводство форма( АГМ)" xfId="1732" xr:uid="{09479EAB-6636-40CC-8E3E-978349C0A227}"/>
    <cellStyle name="_Книга7_Nsi 2_Свод по Агрохоолдингу  (в т.ч КБН  )" xfId="1733" xr:uid="{11C5623A-AAB4-400F-AE89-0143CFA31414}"/>
    <cellStyle name="_Книга7_Nsi 2_Форма по растениеводству (Акционеры) ИЛЧ" xfId="1734" xr:uid="{0F8AB0FF-0C34-447B-BA8A-CB4643ACDB6C}"/>
    <cellStyle name="_Книга7_Nsi 3" xfId="1735" xr:uid="{85AB7256-9E8A-4FF9-B74D-E33502E0011F}"/>
    <cellStyle name="_Книга7_Nsi 3_Копия Растениеводство форма(Акционеры)" xfId="1736" xr:uid="{77CC759A-F4D2-41C3-A46A-E1429B676B50}"/>
    <cellStyle name="_Книга7_Nsi 3_М( ЗАР)" xfId="1737" xr:uid="{5184ABF9-AB31-4142-A53E-A68495309CA4}"/>
    <cellStyle name="_Книга7_Nsi 3_Модель АгроГард на 5 лет" xfId="1738" xr:uid="{BA91A860-9304-491F-AED4-2494BF8ABEE2}"/>
    <cellStyle name="_Книга7_Nsi 3_раст.-факт" xfId="1739" xr:uid="{9C99FC39-28BE-4576-B4C7-205CF892DE85}"/>
    <cellStyle name="_Книга7_Nsi 3_Растениеводство форма( АГМ)" xfId="1740" xr:uid="{B4033E85-1463-4B98-BFF2-97C673D1F987}"/>
    <cellStyle name="_Книга7_Nsi 3_Свод по Агрохоолдингу  (в т.ч КБН  )" xfId="1741" xr:uid="{285B4895-DAE1-46E6-88A7-05316B68737A}"/>
    <cellStyle name="_Книга7_Nsi 3_Форма по растениеводству (Акционеры) ИЛЧ" xfId="1742" xr:uid="{1B89838D-D5A7-40A1-A971-B351989F690D}"/>
    <cellStyle name="_Книга7_Nsi_1" xfId="1743" xr:uid="{BA570A3A-3630-4120-8EB6-4418C80E81EF}"/>
    <cellStyle name="_Книга7_Nsi_1 1" xfId="1744" xr:uid="{FB7085B2-39DC-4BCB-90A8-2C716E7F19BD}"/>
    <cellStyle name="_Книга7_Nsi_1 1_Копия Растениеводство форма(Акционеры)" xfId="1745" xr:uid="{0DE4C5BD-1FB0-42F2-9D6B-B83F09B0E848}"/>
    <cellStyle name="_Книга7_Nsi_1 1_М( ЗАР)" xfId="1746" xr:uid="{07556866-0851-4B32-AE86-D5033C1EED8C}"/>
    <cellStyle name="_Книга7_Nsi_1 1_Модель АгроГард на 5 лет" xfId="1747" xr:uid="{3AA124BD-C6E1-4DC8-94A1-FFE913673F24}"/>
    <cellStyle name="_Книга7_Nsi_1 1_раст.-факт" xfId="1748" xr:uid="{C293F2D2-460A-43FF-9CB7-62A7F85B8334}"/>
    <cellStyle name="_Книга7_Nsi_1 1_Растениеводство форма( АГМ)" xfId="1749" xr:uid="{48D4F5CC-CDCF-472B-BF79-FB6EF76DD245}"/>
    <cellStyle name="_Книга7_Nsi_1 1_Свод по Агрохоолдингу  (в т.ч КБН  )" xfId="1750" xr:uid="{530652E3-7C27-4710-A073-5D22EBCB5509}"/>
    <cellStyle name="_Книга7_Nsi_1 1_Форма по растениеводству (Акционеры) ИЛЧ" xfId="1751" xr:uid="{E17E0A93-AD2D-4BAD-8883-B34F90B568D3}"/>
    <cellStyle name="_Книга7_Nsi_1 2" xfId="1752" xr:uid="{01598989-62D9-4159-B65C-F5071B264245}"/>
    <cellStyle name="_Книга7_Nsi_1 2_Копия Растениеводство форма(Акционеры)" xfId="1753" xr:uid="{BF5468FD-BDC8-4A16-9C3E-7889D4D1DBA7}"/>
    <cellStyle name="_Книга7_Nsi_1 2_М( ЗАР)" xfId="1754" xr:uid="{F49DA710-CDF9-44D7-AE29-53F1949E7D81}"/>
    <cellStyle name="_Книга7_Nsi_1 2_Модель АгроГард на 5 лет" xfId="1755" xr:uid="{D6F8DB9C-9250-4A3D-8648-C3F8623F98F5}"/>
    <cellStyle name="_Книга7_Nsi_1 2_раст.-факт" xfId="1756" xr:uid="{19A807F2-EA73-46F5-AF26-FA37C8852A6C}"/>
    <cellStyle name="_Книга7_Nsi_1 2_Растениеводство форма( АГМ)" xfId="1757" xr:uid="{2F5AA076-D90B-4BBE-97FA-368E7833530E}"/>
    <cellStyle name="_Книга7_Nsi_1 2_Свод по Агрохоолдингу  (в т.ч КБН  )" xfId="1758" xr:uid="{74F6A998-D169-40B5-ABC5-EBB74CF282D6}"/>
    <cellStyle name="_Книга7_Nsi_1 2_Форма по растениеводству (Акционеры) ИЛЧ" xfId="1759" xr:uid="{194CF441-7EC4-4E76-A8DA-5960BA3BFD4E}"/>
    <cellStyle name="_Книга7_Nsi_1 3" xfId="1760" xr:uid="{808372CF-BB9A-4633-A998-374262BEC627}"/>
    <cellStyle name="_Книга7_Nsi_1 3_Копия Растениеводство форма(Акционеры)" xfId="1761" xr:uid="{9EBEE5F1-4A17-447A-AB20-AC5D3568062E}"/>
    <cellStyle name="_Книга7_Nsi_1 3_М( ЗАР)" xfId="1762" xr:uid="{0125203D-DF32-4341-90E3-007AD6CD00F5}"/>
    <cellStyle name="_Книга7_Nsi_1 3_Модель АгроГард на 5 лет" xfId="1763" xr:uid="{3420DEAB-EF68-44E8-8778-4766C58068DD}"/>
    <cellStyle name="_Книга7_Nsi_1 3_раст.-факт" xfId="1764" xr:uid="{63189DF1-B5B6-497C-9C6C-EC68BEAD5F44}"/>
    <cellStyle name="_Книга7_Nsi_1 3_Растениеводство форма( АГМ)" xfId="1765" xr:uid="{FE590761-22E5-4CC1-8D17-87C9E6127694}"/>
    <cellStyle name="_Книга7_Nsi_1 3_Свод по Агрохоолдингу  (в т.ч КБН  )" xfId="1766" xr:uid="{AB98CF7B-DEA5-4542-A47F-157E22535289}"/>
    <cellStyle name="_Книга7_Nsi_1 3_Форма по растениеводству (Акционеры) ИЛЧ" xfId="1767" xr:uid="{CDFCD594-D3BA-403A-BBEC-E442DB415B42}"/>
    <cellStyle name="_Книга7_Nsi_1_АГМ" xfId="1768" xr:uid="{F90C16B2-02AF-4E52-B674-4CF86146F30A}"/>
    <cellStyle name="_Книга7_Nsi_1_Копия Растениеводство форма(Акционеры)" xfId="1769" xr:uid="{2237AA2E-68D8-437D-BEFB-764A8B897B68}"/>
    <cellStyle name="_Книга7_Nsi_1_М( ЗАР)" xfId="1770" xr:uid="{4DFFCD24-8F8F-4954-8502-9C806F7F1A1A}"/>
    <cellStyle name="_Книга7_Nsi_1_Модель АгроГард на 5 лет" xfId="1771" xr:uid="{C83BC132-85A3-44EF-8EF5-BC482889FCEB}"/>
    <cellStyle name="_Книга7_Nsi_1_НИК-09" xfId="1772" xr:uid="{92F2FADE-C5F2-402F-95E3-6135FF869394}"/>
    <cellStyle name="_Книга7_Nsi_1_НИК-09 2" xfId="10253" xr:uid="{BBB7A941-22AC-4E41-9D8F-7E4E80BD43CF}"/>
    <cellStyle name="_Книга7_Nsi_1_раст.-факт" xfId="1773" xr:uid="{DD6F9837-A43B-4E54-870C-FAF8AC87920D}"/>
    <cellStyle name="_Книга7_Nsi_1_Растениеводство форма( АГМ)" xfId="1774" xr:uid="{577B1C23-3463-45EB-8536-79CB392B190C}"/>
    <cellStyle name="_Книга7_Nsi_1_Свод по Агрохоолдингу  (в т.ч КБН  )" xfId="1775" xr:uid="{9FDD02FC-D0E5-46C7-8CCA-C9601D2402DB}"/>
    <cellStyle name="_Книга7_Nsi_1_ТК-2011 АГМ+транспорт" xfId="1776" xr:uid="{89974AF3-8DC8-41E2-B8C0-A40D7C450807}"/>
    <cellStyle name="_Книга7_Nsi_1_Форма по растениеводству (Акционеры) ИЛЧ" xfId="1777" xr:uid="{06771882-029A-4625-B7D4-F3463CAA8CE3}"/>
    <cellStyle name="_Книга7_Nsi_139" xfId="1778" xr:uid="{CD07B823-9386-4A40-B702-18480FA5EB8A}"/>
    <cellStyle name="_Книга7_Nsi_139 1" xfId="1779" xr:uid="{AFB4133E-6413-4AC4-8AEF-889F5C52B2E0}"/>
    <cellStyle name="_Книга7_Nsi_139 1_Копия Растениеводство форма(Акционеры)" xfId="1780" xr:uid="{006502CA-4C25-4F2A-B85C-29E1C53C13DE}"/>
    <cellStyle name="_Книга7_Nsi_139 1_М( ЗАР)" xfId="1781" xr:uid="{E5D818EF-2805-489F-B486-C2FA959F168C}"/>
    <cellStyle name="_Книга7_Nsi_139 1_Модель АгроГард на 5 лет" xfId="1782" xr:uid="{3D837A35-AB5B-494A-BCE2-7D996807423E}"/>
    <cellStyle name="_Книга7_Nsi_139 1_раст.-факт" xfId="1783" xr:uid="{3EE54224-C4B9-4C76-A9AC-04066D198EA7}"/>
    <cellStyle name="_Книга7_Nsi_139 1_Растениеводство форма( АГМ)" xfId="1784" xr:uid="{449C4727-E178-4C59-80B6-411F8F24732F}"/>
    <cellStyle name="_Книга7_Nsi_139 1_Свод по Агрохоолдингу  (в т.ч КБН  )" xfId="1785" xr:uid="{A3A1E3D1-EAA7-40F6-8E84-74487C6C8D0F}"/>
    <cellStyle name="_Книга7_Nsi_139 1_Форма по растениеводству (Акционеры) ИЛЧ" xfId="1786" xr:uid="{C3635856-EB22-44F9-A410-5BD196626C51}"/>
    <cellStyle name="_Книга7_Nsi_139 2" xfId="1787" xr:uid="{95E05976-8D3A-4AFD-AFE2-51F6F98AE46F}"/>
    <cellStyle name="_Книга7_Nsi_139 2_Копия Растениеводство форма(Акционеры)" xfId="1788" xr:uid="{80DCAF09-24C6-4A79-B86C-61FCB2CC5854}"/>
    <cellStyle name="_Книга7_Nsi_139 2_М( ЗАР)" xfId="1789" xr:uid="{708FE7A7-F44A-4A18-9A3C-9BAFC86AAA8D}"/>
    <cellStyle name="_Книга7_Nsi_139 2_Модель АгроГард на 5 лет" xfId="1790" xr:uid="{93AEFD35-5FFA-44A2-835B-85395DEFCB71}"/>
    <cellStyle name="_Книга7_Nsi_139 2_раст.-факт" xfId="1791" xr:uid="{7CFECFF4-AF47-4840-952D-78337E5E80BF}"/>
    <cellStyle name="_Книга7_Nsi_139 2_Растениеводство форма( АГМ)" xfId="1792" xr:uid="{281A5367-0174-4048-9237-BF411CEB2E68}"/>
    <cellStyle name="_Книга7_Nsi_139 2_Свод по Агрохоолдингу  (в т.ч КБН  )" xfId="1793" xr:uid="{2833ECF4-DCDD-4F44-B79D-D08A294F135C}"/>
    <cellStyle name="_Книга7_Nsi_139 2_Форма по растениеводству (Акционеры) ИЛЧ" xfId="1794" xr:uid="{7349B02E-7C29-4B7C-A1D7-FBADB1E14DD0}"/>
    <cellStyle name="_Книга7_Nsi_139 3" xfId="1795" xr:uid="{A491D2A6-2BEA-4FD7-8D2E-B3C34F1FBA54}"/>
    <cellStyle name="_Книга7_Nsi_139 3_Копия Растениеводство форма(Акционеры)" xfId="1796" xr:uid="{BFED0147-62A5-40C6-80C8-1C78F46FC492}"/>
    <cellStyle name="_Книга7_Nsi_139 3_М( ЗАР)" xfId="1797" xr:uid="{44ECD4BD-105C-4406-80D8-B1091CB70F32}"/>
    <cellStyle name="_Книга7_Nsi_139 3_Модель АгроГард на 5 лет" xfId="1798" xr:uid="{B677B879-0598-4103-AC17-37B54AC009D5}"/>
    <cellStyle name="_Книга7_Nsi_139 3_раст.-факт" xfId="1799" xr:uid="{B760E722-4E23-42FF-A365-B336018E5CE8}"/>
    <cellStyle name="_Книга7_Nsi_139 3_Растениеводство форма( АГМ)" xfId="1800" xr:uid="{15E28312-3B71-49CF-B919-38F288A43F15}"/>
    <cellStyle name="_Книга7_Nsi_139 3_Свод по Агрохоолдингу  (в т.ч КБН  )" xfId="1801" xr:uid="{B3F0C4CB-97EE-4C8B-9A4A-FE28A28D426B}"/>
    <cellStyle name="_Книга7_Nsi_139 3_Форма по растениеводству (Акционеры) ИЛЧ" xfId="1802" xr:uid="{09491A60-18D1-4E5C-B5DB-94D3B21ABE4D}"/>
    <cellStyle name="_Книга7_Nsi_139_АГМ" xfId="1803" xr:uid="{38F78533-A170-44DD-856F-486BF49C9B18}"/>
    <cellStyle name="_Книга7_Nsi_139_Копия Растениеводство форма(Акционеры)" xfId="1804" xr:uid="{91D29FE5-B346-45AE-BC55-C306FFE46761}"/>
    <cellStyle name="_Книга7_Nsi_139_М( ЗАР)" xfId="1805" xr:uid="{D621FE2A-99F1-41E1-A8C7-A88743B1A494}"/>
    <cellStyle name="_Книга7_Nsi_139_Модель АгроГард на 5 лет" xfId="1806" xr:uid="{C0269A7D-1C31-4552-8444-A033F2D13149}"/>
    <cellStyle name="_Книга7_Nsi_139_НИК-09" xfId="1807" xr:uid="{1A0535BA-1A5C-41AF-A52A-415E15F56EB1}"/>
    <cellStyle name="_Книга7_Nsi_139_НИК-09 2" xfId="10254" xr:uid="{56744422-E6D8-4F83-A5F6-0114FE75B2D5}"/>
    <cellStyle name="_Книга7_Nsi_139_раст.-факт" xfId="1808" xr:uid="{602828B6-AF5D-4095-89FF-2CF1BCC8D0AF}"/>
    <cellStyle name="_Книга7_Nsi_139_Растениеводство форма( АГМ)" xfId="1809" xr:uid="{258B1785-EC71-4F5D-B367-5861A638F64A}"/>
    <cellStyle name="_Книга7_Nsi_139_Свод по Агрохоолдингу  (в т.ч КБН  )" xfId="1810" xr:uid="{7B21FB58-1AAE-4F96-9886-DA742E64019A}"/>
    <cellStyle name="_Книга7_Nsi_139_ТК-2011 АГМ+транспорт" xfId="1811" xr:uid="{D217B5EA-6E7F-45BA-B974-A5DD8EE2F0C1}"/>
    <cellStyle name="_Книга7_Nsi_139_Форма по растениеводству (Акционеры) ИЛЧ" xfId="1812" xr:uid="{68F1C91B-BB0B-49CA-B22C-4EE68AA09916}"/>
    <cellStyle name="_Книга7_Nsi_140" xfId="1813" xr:uid="{7C8F55DF-B9A9-4F46-9B87-51882EB60C23}"/>
    <cellStyle name="_Книга7_Nsi_140 1" xfId="1814" xr:uid="{73CBCD28-4BD8-4B58-9C94-ECEBCC3D6742}"/>
    <cellStyle name="_Книга7_Nsi_140 1_Копия Растениеводство форма(Акционеры)" xfId="1815" xr:uid="{ED3625DC-0B7D-467D-B3F2-82519B893C2E}"/>
    <cellStyle name="_Книга7_Nsi_140 1_М( ЗАР)" xfId="1816" xr:uid="{39E39B36-099D-48D8-AAD6-4CEA3A15C10F}"/>
    <cellStyle name="_Книга7_Nsi_140 1_Модель АгроГард на 5 лет" xfId="1817" xr:uid="{8C54E624-BD0D-468B-8EFD-2100342CCD8F}"/>
    <cellStyle name="_Книга7_Nsi_140 1_раст.-факт" xfId="1818" xr:uid="{2D8D1A6A-A0AF-4CB4-84CB-E52AAF037299}"/>
    <cellStyle name="_Книга7_Nsi_140 1_Растениеводство форма( АГМ)" xfId="1819" xr:uid="{9B29726A-BA09-46C1-BAFD-78DE48ED1600}"/>
    <cellStyle name="_Книга7_Nsi_140 1_Свод по Агрохоолдингу  (в т.ч КБН  )" xfId="1820" xr:uid="{6AD2F9E4-593B-499B-8CF1-68B521550D57}"/>
    <cellStyle name="_Книга7_Nsi_140 1_Форма по растениеводству (Акционеры) ИЛЧ" xfId="1821" xr:uid="{55F569CA-D79A-4C74-8A18-FDDCADF46B3D}"/>
    <cellStyle name="_Книга7_Nsi_140 2" xfId="1822" xr:uid="{E13587C4-E1C5-4458-B66E-A504D474F481}"/>
    <cellStyle name="_Книга7_Nsi_140 2_Копия Растениеводство форма(Акционеры)" xfId="1823" xr:uid="{F64AC5D9-44D8-4670-9028-7130405CFC1B}"/>
    <cellStyle name="_Книга7_Nsi_140 2_М( ЗАР)" xfId="1824" xr:uid="{502BA55A-7D6D-4BA8-A4A3-A027FE4A676A}"/>
    <cellStyle name="_Книга7_Nsi_140 2_Модель АгроГард на 5 лет" xfId="1825" xr:uid="{DD1DE7F3-E607-4855-80CD-1D3844892905}"/>
    <cellStyle name="_Книга7_Nsi_140 2_раст.-факт" xfId="1826" xr:uid="{BB82C10B-C9C4-4B88-8B84-E483ABAB48F9}"/>
    <cellStyle name="_Книга7_Nsi_140 2_Растениеводство форма( АГМ)" xfId="1827" xr:uid="{181E2A9D-4CE7-48E2-81AD-4A1DFAE50BCE}"/>
    <cellStyle name="_Книга7_Nsi_140 2_Свод по Агрохоолдингу  (в т.ч КБН  )" xfId="1828" xr:uid="{4CA4A724-20A0-45EE-BC19-472448FB147C}"/>
    <cellStyle name="_Книга7_Nsi_140 2_Форма по растениеводству (Акционеры) ИЛЧ" xfId="1829" xr:uid="{E1C64FD2-F1E3-477C-B627-8090FE5F0CAA}"/>
    <cellStyle name="_Книга7_Nsi_140 3" xfId="1830" xr:uid="{F7771C44-F296-42AD-8227-4CB2C22C8DE4}"/>
    <cellStyle name="_Книга7_Nsi_140 3_Копия Растениеводство форма(Акционеры)" xfId="1831" xr:uid="{79D2EE06-1102-4372-8CB6-9B369E77BBA1}"/>
    <cellStyle name="_Книга7_Nsi_140 3_М( ЗАР)" xfId="1832" xr:uid="{82B72984-B48D-4B7E-BC0A-5BC412301A28}"/>
    <cellStyle name="_Книга7_Nsi_140 3_Модель АгроГард на 5 лет" xfId="1833" xr:uid="{2672C2DC-2A27-4299-B5D4-5ABD38E527A3}"/>
    <cellStyle name="_Книга7_Nsi_140 3_раст.-факт" xfId="1834" xr:uid="{54ED386F-1F74-4471-86BF-76CF99981EED}"/>
    <cellStyle name="_Книга7_Nsi_140 3_Растениеводство форма( АГМ)" xfId="1835" xr:uid="{8955F3C9-0E26-4120-9B2D-9137634EE22F}"/>
    <cellStyle name="_Книга7_Nsi_140 3_Свод по Агрохоолдингу  (в т.ч КБН  )" xfId="1836" xr:uid="{00452074-9C44-49DD-B186-D14CD0380383}"/>
    <cellStyle name="_Книга7_Nsi_140 3_Форма по растениеводству (Акционеры) ИЛЧ" xfId="1837" xr:uid="{3E303F4E-384D-4A3D-97D1-05D1FE0B07FF}"/>
    <cellStyle name="_Книга7_Nsi_140(Зах)" xfId="1838" xr:uid="{CDA289A2-2DCD-4B32-B84A-C36CAEFFF5A9}"/>
    <cellStyle name="_Книга7_Nsi_140(Зах) 1" xfId="1839" xr:uid="{69286FEC-07CB-4B77-B9BA-48F5A5303EE9}"/>
    <cellStyle name="_Книга7_Nsi_140(Зах) 1_Копия Растениеводство форма(Акционеры)" xfId="1840" xr:uid="{BA234E02-4C2D-4ACA-A292-9BDC115A56C4}"/>
    <cellStyle name="_Книга7_Nsi_140(Зах) 1_М( ЗАР)" xfId="1841" xr:uid="{3B087762-D914-4182-82B3-B1761602889E}"/>
    <cellStyle name="_Книга7_Nsi_140(Зах) 1_Модель АгроГард на 5 лет" xfId="1842" xr:uid="{930F721D-AC7C-4BB2-94FD-4B5A8D62CC87}"/>
    <cellStyle name="_Книга7_Nsi_140(Зах) 1_раст.-факт" xfId="1843" xr:uid="{0AFE26A1-8C5C-4C53-B7C0-BB481CDB2F59}"/>
    <cellStyle name="_Книга7_Nsi_140(Зах) 1_Растениеводство форма( АГМ)" xfId="1844" xr:uid="{E52F894A-D112-4195-A94A-F4151C6577E7}"/>
    <cellStyle name="_Книга7_Nsi_140(Зах) 1_Свод по Агрохоолдингу  (в т.ч КБН  )" xfId="1845" xr:uid="{BED16DB0-4D81-477B-87A1-84405B53B242}"/>
    <cellStyle name="_Книга7_Nsi_140(Зах) 1_Форма по растениеводству (Акционеры) ИЛЧ" xfId="1846" xr:uid="{5E903834-1AA1-4B66-912F-81F1539FDA3D}"/>
    <cellStyle name="_Книга7_Nsi_140(Зах) 2" xfId="1847" xr:uid="{6E7A8CE9-D743-472D-870F-5C9DD89912F2}"/>
    <cellStyle name="_Книга7_Nsi_140(Зах) 2_Копия Растениеводство форма(Акционеры)" xfId="1848" xr:uid="{76F5DAA1-7215-4F70-A4EE-42881A1A1D85}"/>
    <cellStyle name="_Книга7_Nsi_140(Зах) 2_М( ЗАР)" xfId="1849" xr:uid="{7A221B19-4BC2-4C6E-ABB1-E10D8106C243}"/>
    <cellStyle name="_Книга7_Nsi_140(Зах) 2_Модель АгроГард на 5 лет" xfId="1850" xr:uid="{1F15A668-B656-44FF-80E6-4F1BE49F3438}"/>
    <cellStyle name="_Книга7_Nsi_140(Зах) 2_раст.-факт" xfId="1851" xr:uid="{75AB92E5-1CCC-403C-8660-9C6CA4EB29B0}"/>
    <cellStyle name="_Книга7_Nsi_140(Зах) 2_Растениеводство форма( АГМ)" xfId="1852" xr:uid="{452EDB0D-ACEE-4892-B75D-5AB0BD427130}"/>
    <cellStyle name="_Книга7_Nsi_140(Зах) 2_Свод по Агрохоолдингу  (в т.ч КБН  )" xfId="1853" xr:uid="{FB4E52A2-6CE1-46D2-B586-CD444B1423D3}"/>
    <cellStyle name="_Книга7_Nsi_140(Зах) 2_Форма по растениеводству (Акционеры) ИЛЧ" xfId="1854" xr:uid="{04E73EF1-2871-4CDE-A443-E2F2309689B2}"/>
    <cellStyle name="_Книга7_Nsi_140(Зах) 3" xfId="1855" xr:uid="{2597D46B-FA92-44AD-9BFD-308390F11745}"/>
    <cellStyle name="_Книга7_Nsi_140(Зах) 3_Копия Растениеводство форма(Акционеры)" xfId="1856" xr:uid="{9C6EBC9A-30DA-490C-8818-D7AEA44FC342}"/>
    <cellStyle name="_Книга7_Nsi_140(Зах) 3_М( ЗАР)" xfId="1857" xr:uid="{28D9544D-0D54-4B51-93A1-4E43935A53B8}"/>
    <cellStyle name="_Книга7_Nsi_140(Зах) 3_Модель АгроГард на 5 лет" xfId="1858" xr:uid="{E984363E-088A-44A1-8B26-5A3B6BD05609}"/>
    <cellStyle name="_Книга7_Nsi_140(Зах) 3_раст.-факт" xfId="1859" xr:uid="{7DC43AEA-59EF-4649-83CA-10CF183034EB}"/>
    <cellStyle name="_Книга7_Nsi_140(Зах) 3_Растениеводство форма( АГМ)" xfId="1860" xr:uid="{35257860-D10D-4E5E-97B1-61A30086FBD2}"/>
    <cellStyle name="_Книга7_Nsi_140(Зах) 3_Свод по Агрохоолдингу  (в т.ч КБН  )" xfId="1861" xr:uid="{1A1AB4AF-D66D-4723-BFC4-C6727166B23E}"/>
    <cellStyle name="_Книга7_Nsi_140(Зах) 3_Форма по растениеводству (Акционеры) ИЛЧ" xfId="1862" xr:uid="{BD492B61-FA3F-428D-88A8-7D1077DD89DF}"/>
    <cellStyle name="_Книга7_Nsi_140(Зах)_АГМ" xfId="1863" xr:uid="{4FCE9B89-1C1F-4965-87F9-F956E3B8D5CB}"/>
    <cellStyle name="_Книга7_Nsi_140(Зах)_Копия Растениеводство форма(Акционеры)" xfId="1864" xr:uid="{03AE6EC9-E8D2-4D3B-9E4E-15B7BE81FAEC}"/>
    <cellStyle name="_Книга7_Nsi_140(Зах)_М( ЗАР)" xfId="1865" xr:uid="{03B3C492-4311-41CA-8B8F-B7FA490FCC0B}"/>
    <cellStyle name="_Книга7_Nsi_140(Зах)_Модель АгроГард на 5 лет" xfId="1866" xr:uid="{0F833172-5FC3-4BB2-8D9C-4DDDB1CB5759}"/>
    <cellStyle name="_Книга7_Nsi_140(Зах)_НИК-09" xfId="1867" xr:uid="{81CE9DCC-99F1-499C-9BD5-88AB842880D9}"/>
    <cellStyle name="_Книга7_Nsi_140(Зах)_НИК-09 2" xfId="10255" xr:uid="{2AAB5A19-90EB-4790-9881-75D6B3B2CFE7}"/>
    <cellStyle name="_Книга7_Nsi_140(Зах)_раст.-факт" xfId="1868" xr:uid="{E242CB4B-A259-4DF2-A557-3A6FE2AE4565}"/>
    <cellStyle name="_Книга7_Nsi_140(Зах)_Растениеводство форма( АГМ)" xfId="1869" xr:uid="{8F169069-B3E0-45B0-BAB4-C842884F3531}"/>
    <cellStyle name="_Книга7_Nsi_140(Зах)_Свод по Агрохоолдингу  (в т.ч КБН  )" xfId="1870" xr:uid="{C0B30DF9-9A8F-402B-99C4-30228040A8AB}"/>
    <cellStyle name="_Книга7_Nsi_140(Зах)_ТК-2011 АГМ+транспорт" xfId="1871" xr:uid="{693E2BB2-6851-47B9-88FC-DEEE612C47E8}"/>
    <cellStyle name="_Книга7_Nsi_140(Зах)_Форма по растениеводству (Акционеры) ИЛЧ" xfId="1872" xr:uid="{F00D7E3F-CC11-46D8-99E1-38D444CFC9C8}"/>
    <cellStyle name="_Книга7_Nsi_140_mod" xfId="1873" xr:uid="{958BFE54-E264-42B6-8B28-08D48BE2EAED}"/>
    <cellStyle name="_Книга7_Nsi_140_mod 1" xfId="1874" xr:uid="{BDE2E0DD-B1A5-4089-9D00-463B4D47AE38}"/>
    <cellStyle name="_Книга7_Nsi_140_mod 1_Копия Растениеводство форма(Акционеры)" xfId="1875" xr:uid="{62736524-7A90-4A6E-96A0-1D2BAF5BA14C}"/>
    <cellStyle name="_Книга7_Nsi_140_mod 1_М( ЗАР)" xfId="1876" xr:uid="{27E4D2AD-A939-45B6-91BF-8A10DE229B9A}"/>
    <cellStyle name="_Книга7_Nsi_140_mod 1_Модель АгроГард на 5 лет" xfId="1877" xr:uid="{08E46CCF-E78D-4E26-A792-9D7AB7F37BA6}"/>
    <cellStyle name="_Книга7_Nsi_140_mod 1_раст.-факт" xfId="1878" xr:uid="{1DED06AC-C65C-4F41-B5FE-152AB5E9EE96}"/>
    <cellStyle name="_Книга7_Nsi_140_mod 1_Растениеводство форма( АГМ)" xfId="1879" xr:uid="{B74BB887-E73A-4B0B-9B5D-0D7583A75A38}"/>
    <cellStyle name="_Книга7_Nsi_140_mod 1_Свод по Агрохоолдингу  (в т.ч КБН  )" xfId="1880" xr:uid="{93347EBA-8947-498E-B09A-2ADFAF3B4A14}"/>
    <cellStyle name="_Книга7_Nsi_140_mod 1_Форма по растениеводству (Акционеры) ИЛЧ" xfId="1881" xr:uid="{6BC1AB01-1146-4732-B270-C6D7F94BC578}"/>
    <cellStyle name="_Книга7_Nsi_140_mod 2" xfId="1882" xr:uid="{FFC59D5E-307C-4927-ACB8-B9A32965C39D}"/>
    <cellStyle name="_Книга7_Nsi_140_mod 2_Копия Растениеводство форма(Акционеры)" xfId="1883" xr:uid="{0B57FCC9-E653-453D-8A91-939BEC94E259}"/>
    <cellStyle name="_Книга7_Nsi_140_mod 2_М( ЗАР)" xfId="1884" xr:uid="{EB78B2B4-FCEB-47D6-88D2-B954C58211D9}"/>
    <cellStyle name="_Книга7_Nsi_140_mod 2_Модель АгроГард на 5 лет" xfId="1885" xr:uid="{DFB11B91-AE88-48C6-83AB-2A5F3B066014}"/>
    <cellStyle name="_Книга7_Nsi_140_mod 2_раст.-факт" xfId="1886" xr:uid="{BAEA76EC-60BA-47AC-87FA-48A286A81B23}"/>
    <cellStyle name="_Книга7_Nsi_140_mod 2_Растениеводство форма( АГМ)" xfId="1887" xr:uid="{9B60F0D0-634F-4F08-8D50-F1A598AB02EB}"/>
    <cellStyle name="_Книга7_Nsi_140_mod 2_Свод по Агрохоолдингу  (в т.ч КБН  )" xfId="1888" xr:uid="{CB50F75C-CB95-4B97-B08E-CCE26F7D6D43}"/>
    <cellStyle name="_Книга7_Nsi_140_mod 2_Форма по растениеводству (Акционеры) ИЛЧ" xfId="1889" xr:uid="{43A435D4-A4F0-480C-A227-069C572181AC}"/>
    <cellStyle name="_Книга7_Nsi_140_mod 3" xfId="1890" xr:uid="{2095F2F5-475B-45B5-AF6E-2DCA04A08FFA}"/>
    <cellStyle name="_Книга7_Nsi_140_mod 3_Копия Растениеводство форма(Акционеры)" xfId="1891" xr:uid="{916C4046-8F34-4B9D-97E0-513D5A7BDCC1}"/>
    <cellStyle name="_Книга7_Nsi_140_mod 3_М( ЗАР)" xfId="1892" xr:uid="{FEA5C5C1-E30A-441F-9E6C-9D1E643EEB8F}"/>
    <cellStyle name="_Книга7_Nsi_140_mod 3_Модель АгроГард на 5 лет" xfId="1893" xr:uid="{74035C9B-87C0-47F9-9AF5-939F2B295F3D}"/>
    <cellStyle name="_Книга7_Nsi_140_mod 3_раст.-факт" xfId="1894" xr:uid="{9CB6A58C-772E-42F3-BFA1-349EAC78BA1C}"/>
    <cellStyle name="_Книга7_Nsi_140_mod 3_Растениеводство форма( АГМ)" xfId="1895" xr:uid="{4B1E265A-F591-4001-A08D-388868BB66DD}"/>
    <cellStyle name="_Книга7_Nsi_140_mod 3_Свод по Агрохоолдингу  (в т.ч КБН  )" xfId="1896" xr:uid="{10740BFE-5B4C-4337-8CA6-F384B409A8FC}"/>
    <cellStyle name="_Книга7_Nsi_140_mod 3_Форма по растениеводству (Акционеры) ИЛЧ" xfId="1897" xr:uid="{99D5E111-4802-49C3-B4BC-DA07C0EDE01F}"/>
    <cellStyle name="_Книга7_Nsi_140_mod_АГМ" xfId="1898" xr:uid="{67C989EB-FF8B-48A6-AE17-65D63DD0135F}"/>
    <cellStyle name="_Книга7_Nsi_140_mod_Копия Растениеводство форма(Акционеры)" xfId="1899" xr:uid="{5D8FD397-6EED-49E7-9B9F-CC40663B89D1}"/>
    <cellStyle name="_Книга7_Nsi_140_mod_М( ЗАР)" xfId="1900" xr:uid="{6F8C8044-77AB-43FB-BF3A-3697D6388FCE}"/>
    <cellStyle name="_Книга7_Nsi_140_mod_Модель АгроГард на 5 лет" xfId="1901" xr:uid="{5BAE550B-A38F-49FC-BEDA-68099B30807C}"/>
    <cellStyle name="_Книга7_Nsi_140_mod_НИК-09" xfId="1902" xr:uid="{179B4B4E-83D5-4A8C-B939-8A37A0485082}"/>
    <cellStyle name="_Книга7_Nsi_140_mod_НИК-09 2" xfId="10256" xr:uid="{F994CA56-F55E-456A-8077-204288DFD53F}"/>
    <cellStyle name="_Книга7_Nsi_140_mod_раст.-факт" xfId="1903" xr:uid="{BEF0D124-A58E-4113-AEB2-C1C1A621DC06}"/>
    <cellStyle name="_Книга7_Nsi_140_mod_Растениеводство форма( АГМ)" xfId="1904" xr:uid="{1358CC21-E690-4F84-B267-315CF1D96848}"/>
    <cellStyle name="_Книга7_Nsi_140_mod_Свод по Агрохоолдингу  (в т.ч КБН  )" xfId="1905" xr:uid="{3A07BB76-3973-4996-9A09-69A5F4BEDC76}"/>
    <cellStyle name="_Книга7_Nsi_140_mod_ТК-2011 АГМ+транспорт" xfId="1906" xr:uid="{4725DBE3-1024-4E75-BB42-74EF6ACB4F38}"/>
    <cellStyle name="_Книга7_Nsi_140_mod_Форма по растениеводству (Акционеры) ИЛЧ" xfId="1907" xr:uid="{05EBA01D-8D0B-4031-9A15-56289FCDED49}"/>
    <cellStyle name="_Книга7_Nsi_140_АГМ" xfId="1908" xr:uid="{7E8CD2D8-85A9-4CF6-8632-886EE3812824}"/>
    <cellStyle name="_Книга7_Nsi_140_Копия Растениеводство форма(Акционеры)" xfId="1909" xr:uid="{4885E699-B6A2-4959-AFAE-C337315BFA81}"/>
    <cellStyle name="_Книга7_Nsi_140_М( ЗАР)" xfId="1910" xr:uid="{CE4E8C6F-84D4-4164-8C86-B8FEC29205B4}"/>
    <cellStyle name="_Книга7_Nsi_140_Модель АгроГард на 5 лет" xfId="1911" xr:uid="{ED399258-0826-4241-AB08-005053B8A231}"/>
    <cellStyle name="_Книга7_Nsi_140_НИК-09" xfId="1912" xr:uid="{AB637778-C5E0-41A5-85F8-0789C56D8FB3}"/>
    <cellStyle name="_Книга7_Nsi_140_НИК-09 2" xfId="10257" xr:uid="{F58CAFD4-2920-4BE6-85B9-F78A355F66FE}"/>
    <cellStyle name="_Книга7_Nsi_140_раст.-факт" xfId="1913" xr:uid="{1B8D46C4-B46A-45F8-BCE9-1F752D7A67B6}"/>
    <cellStyle name="_Книга7_Nsi_140_Растениеводство форма( АГМ)" xfId="1914" xr:uid="{A6317B19-180D-4A53-8355-3FA5DB70F9EF}"/>
    <cellStyle name="_Книга7_Nsi_140_Свод по Агрохоолдингу  (в т.ч КБН  )" xfId="1915" xr:uid="{F820FE9A-6B54-45DE-A5A1-0E452CA89D45}"/>
    <cellStyle name="_Книга7_Nsi_140_ТК-2011 АГМ+транспорт" xfId="1916" xr:uid="{1127B8C1-3789-46AC-BFE0-535E29D1664E}"/>
    <cellStyle name="_Книга7_Nsi_140_Форма по растениеводству (Акционеры) ИЛЧ" xfId="1917" xr:uid="{A61AEB0E-7F64-4C8B-A0A7-3AEF9B1ABE54}"/>
    <cellStyle name="_Книга7_Nsi_АГМ" xfId="1918" xr:uid="{BEF0783F-5DCE-47B8-AC1A-4272970A9FD6}"/>
    <cellStyle name="_Книга7_Nsi_Копия Растениеводство форма(Акционеры)" xfId="1919" xr:uid="{5DB2FBC1-BFFD-43F3-B9C9-6D1B6A63E924}"/>
    <cellStyle name="_Книга7_Nsi_М( ЗАР)" xfId="1920" xr:uid="{33CFB49B-C0C2-4E95-A9AB-C3E66867880F}"/>
    <cellStyle name="_Книга7_Nsi_Модель АгроГард на 5 лет" xfId="1921" xr:uid="{8DF159BB-B958-4EDD-9783-8DF5E6B4411B}"/>
    <cellStyle name="_Книга7_Nsi_НИК-09" xfId="1922" xr:uid="{176F8BD5-3826-4F1A-ADDA-52695451AF58}"/>
    <cellStyle name="_Книга7_Nsi_НИК-09 2" xfId="10258" xr:uid="{7B56CD41-5640-4A82-BE06-0756232C0386}"/>
    <cellStyle name="_Книга7_Nsi_раст.-факт" xfId="1923" xr:uid="{227EEE1A-B982-4593-8E98-DD68F2948967}"/>
    <cellStyle name="_Книга7_Nsi_Растениеводство форма( АГМ)" xfId="1924" xr:uid="{1A7038F0-42F3-43D8-838F-D8AA43981B8C}"/>
    <cellStyle name="_Книга7_Nsi_Свод по Агрохоолдингу  (в т.ч КБН  )" xfId="1925" xr:uid="{58484C93-7C01-4837-AC9F-06E0FA244D64}"/>
    <cellStyle name="_Книга7_Nsi_ТК-2011 АГМ+транспорт" xfId="1926" xr:uid="{A79359BF-A644-4789-8DEE-3C2675C458A7}"/>
    <cellStyle name="_Книга7_Nsi_Форма по растениеводству (Акционеры) ИЛЧ" xfId="1927" xr:uid="{9799EDA0-7805-4B6E-8035-5F3DE4EEEE21}"/>
    <cellStyle name="_Книга7_Summary" xfId="1928" xr:uid="{1578C86D-5203-48E7-AA11-C76820E289A4}"/>
    <cellStyle name="_Книга7_Summary 1" xfId="1929" xr:uid="{2D42FA8D-F623-48E9-ADE1-C07480E24954}"/>
    <cellStyle name="_Книга7_Summary 1_Копия Растениеводство форма(Акционеры)" xfId="1930" xr:uid="{3578B2DF-1BC6-4B00-9A61-9735F38FA10B}"/>
    <cellStyle name="_Книга7_Summary 1_М( ЗАР)" xfId="1931" xr:uid="{0BF2A5E4-D4E2-4CB8-B32C-E08960CD0345}"/>
    <cellStyle name="_Книга7_Summary 1_Модель АгроГард на 5 лет" xfId="1932" xr:uid="{EA23F614-01ED-464A-A44D-6A286DF6906E}"/>
    <cellStyle name="_Книга7_Summary 1_раст.-факт" xfId="1933" xr:uid="{43577AC9-CA2E-4981-BDF5-284A80129B7D}"/>
    <cellStyle name="_Книга7_Summary 1_Растениеводство форма( АГМ)" xfId="1934" xr:uid="{03D51DB3-993B-44AD-87ED-2246E891002C}"/>
    <cellStyle name="_Книга7_Summary 1_Свод по Агрохоолдингу  (в т.ч КБН  )" xfId="1935" xr:uid="{F0958857-460E-40B1-AD08-B4D7F9A91CFA}"/>
    <cellStyle name="_Книга7_Summary 1_Форма по растениеводству (Акционеры) ИЛЧ" xfId="1936" xr:uid="{B20681C2-C514-43DC-AE32-37728746441C}"/>
    <cellStyle name="_Книга7_Summary 2" xfId="1937" xr:uid="{8A2F9B91-A60A-46B9-8E10-A190171727B8}"/>
    <cellStyle name="_Книга7_Summary 2_Копия Растениеводство форма(Акционеры)" xfId="1938" xr:uid="{49C32E7B-AD08-4B35-A8DC-25219A466DF6}"/>
    <cellStyle name="_Книга7_Summary 2_М( ЗАР)" xfId="1939" xr:uid="{8C81EA23-9E62-4886-83A5-E69EC7E6757A}"/>
    <cellStyle name="_Книга7_Summary 2_Модель АгроГард на 5 лет" xfId="1940" xr:uid="{4B86088B-E89A-478F-8B4F-80E239EDEB26}"/>
    <cellStyle name="_Книга7_Summary 2_раст.-факт" xfId="1941" xr:uid="{8B8F5196-6634-44E8-A272-DA32D3AD0665}"/>
    <cellStyle name="_Книга7_Summary 2_Растениеводство форма( АГМ)" xfId="1942" xr:uid="{6ACB10C9-0115-42BE-8B7D-606851691466}"/>
    <cellStyle name="_Книга7_Summary 2_Свод по Агрохоолдингу  (в т.ч КБН  )" xfId="1943" xr:uid="{AA06F8BB-D752-4BDF-96C0-18BAB016B269}"/>
    <cellStyle name="_Книга7_Summary 2_Форма по растениеводству (Акционеры) ИЛЧ" xfId="1944" xr:uid="{52E9B990-2B1E-4772-9668-130E19B2C77A}"/>
    <cellStyle name="_Книга7_Summary 3" xfId="1945" xr:uid="{DC6C31DD-DF41-4056-9B3A-DB9DEDC77107}"/>
    <cellStyle name="_Книга7_Summary 3_Копия Растениеводство форма(Акционеры)" xfId="1946" xr:uid="{70686F2B-016F-4BA6-A459-BFCA3654AA99}"/>
    <cellStyle name="_Книга7_Summary 3_М( ЗАР)" xfId="1947" xr:uid="{BE673EE7-BA30-489A-BA76-E5A7015F0C23}"/>
    <cellStyle name="_Книга7_Summary 3_Модель АгроГард на 5 лет" xfId="1948" xr:uid="{8497743B-DF05-48FD-8CB5-0752A6174400}"/>
    <cellStyle name="_Книга7_Summary 3_раст.-факт" xfId="1949" xr:uid="{A3ACBAAD-04AA-4363-AE04-8B69BF390762}"/>
    <cellStyle name="_Книга7_Summary 3_Растениеводство форма( АГМ)" xfId="1950" xr:uid="{639A6CC3-43DB-4B9E-9FE6-3578803AA8BF}"/>
    <cellStyle name="_Книга7_Summary 3_Свод по Агрохоолдингу  (в т.ч КБН  )" xfId="1951" xr:uid="{20885E41-5403-4A52-9002-A903675DA9E8}"/>
    <cellStyle name="_Книга7_Summary 3_Форма по растениеводству (Акционеры) ИЛЧ" xfId="1952" xr:uid="{64FF002A-C839-4697-90D2-731C92B4F8E3}"/>
    <cellStyle name="_Книга7_Summary_АГМ" xfId="1953" xr:uid="{F7C41F15-7A98-47CF-A602-B2CE279F9085}"/>
    <cellStyle name="_Книга7_Summary_Копия Растениеводство форма(Акционеры)" xfId="1954" xr:uid="{1A4FB2DA-5808-4237-9EAB-AEDB3B43E8DB}"/>
    <cellStyle name="_Книга7_Summary_М( ЗАР)" xfId="1955" xr:uid="{E555E7FC-0D82-48DA-A24E-2CD4BA538502}"/>
    <cellStyle name="_Книга7_Summary_Модель АгроГард на 5 лет" xfId="1956" xr:uid="{945643B9-4D29-4ABD-8799-18966914E27E}"/>
    <cellStyle name="_Книга7_Summary_НИК-09" xfId="1957" xr:uid="{48F086B3-52D3-4AA5-B61C-B03C8B50995C}"/>
    <cellStyle name="_Книга7_Summary_НИК-09 2" xfId="10259" xr:uid="{36317416-C7EF-4596-A7A3-12DAD79F11A2}"/>
    <cellStyle name="_Книга7_Summary_раст.-факт" xfId="1958" xr:uid="{6E56F233-BC60-4617-AC95-AA82044990E4}"/>
    <cellStyle name="_Книга7_Summary_Растениеводство форма( АГМ)" xfId="1959" xr:uid="{5F1001EE-F450-4E73-A2FB-8C4834FF434E}"/>
    <cellStyle name="_Книга7_Summary_Свод по Агрохоолдингу  (в т.ч КБН  )" xfId="1960" xr:uid="{B97C326A-4963-47BC-AF4E-E1F435273274}"/>
    <cellStyle name="_Книга7_Summary_ТК-2011 АГМ+транспорт" xfId="1961" xr:uid="{42D71BF8-29F2-4679-A64C-207EF7B4FC0E}"/>
    <cellStyle name="_Книга7_Summary_Форма по растениеводству (Акционеры) ИЛЧ" xfId="1962" xr:uid="{A74E56E7-EAE7-406A-BC58-D8C3F34D12A7}"/>
    <cellStyle name="_Книга7_Tax_form_1кв_3" xfId="1963" xr:uid="{1AAC889F-B837-4CAF-8171-B7E9A41D7523}"/>
    <cellStyle name="_Книга7_Tax_form_1кв_3 1" xfId="1964" xr:uid="{D71EC72B-D9CE-49AF-B41C-CF8D3FB3439E}"/>
    <cellStyle name="_Книга7_Tax_form_1кв_3 1_Копия Растениеводство форма(Акционеры)" xfId="1965" xr:uid="{836078AD-3167-46C2-87AF-0380D3D666C6}"/>
    <cellStyle name="_Книга7_Tax_form_1кв_3 1_М( ЗАР)" xfId="1966" xr:uid="{FB02553A-6AC0-4D8C-880B-F3E983E3BC62}"/>
    <cellStyle name="_Книга7_Tax_form_1кв_3 1_Модель АгроГард на 5 лет" xfId="1967" xr:uid="{84DAED19-AA81-4FB8-AC75-00E0542D6780}"/>
    <cellStyle name="_Книга7_Tax_form_1кв_3 1_раст.-факт" xfId="1968" xr:uid="{F96A4321-E972-4545-BBF9-872745B8E8E6}"/>
    <cellStyle name="_Книга7_Tax_form_1кв_3 1_Растениеводство форма( АГМ)" xfId="1969" xr:uid="{F8399D4C-6FDF-41C9-B13B-62EBD3463A76}"/>
    <cellStyle name="_Книга7_Tax_form_1кв_3 1_Свод по Агрохоолдингу  (в т.ч КБН  )" xfId="1970" xr:uid="{46FC3DE0-DA36-472B-81D8-F05D1D134DF6}"/>
    <cellStyle name="_Книга7_Tax_form_1кв_3 1_Форма по растениеводству (Акционеры) ИЛЧ" xfId="1971" xr:uid="{EBCE1FE2-B1A3-4F0D-83D1-F57B2349E809}"/>
    <cellStyle name="_Книга7_Tax_form_1кв_3 2" xfId="1972" xr:uid="{E7249E97-F834-4BFF-8113-4DD676D5971D}"/>
    <cellStyle name="_Книга7_Tax_form_1кв_3 2_Копия Растениеводство форма(Акционеры)" xfId="1973" xr:uid="{015BCAE4-9985-4E44-923A-83DC57C71E7F}"/>
    <cellStyle name="_Книга7_Tax_form_1кв_3 2_М( ЗАР)" xfId="1974" xr:uid="{58FA9BFB-A276-48DF-8D92-C372B4D7F2AD}"/>
    <cellStyle name="_Книга7_Tax_form_1кв_3 2_Модель АгроГард на 5 лет" xfId="1975" xr:uid="{966A7D32-1608-45DF-87F1-479A0C602A5C}"/>
    <cellStyle name="_Книга7_Tax_form_1кв_3 2_раст.-факт" xfId="1976" xr:uid="{1684195F-1AB7-4A83-84A4-3A83E03A18FC}"/>
    <cellStyle name="_Книга7_Tax_form_1кв_3 2_Растениеводство форма( АГМ)" xfId="1977" xr:uid="{F25D1706-8396-43F8-ABAB-F879882A6652}"/>
    <cellStyle name="_Книга7_Tax_form_1кв_3 2_Свод по Агрохоолдингу  (в т.ч КБН  )" xfId="1978" xr:uid="{6BE58853-17ED-4C3D-8669-12C29909AD9A}"/>
    <cellStyle name="_Книга7_Tax_form_1кв_3 2_Форма по растениеводству (Акционеры) ИЛЧ" xfId="1979" xr:uid="{6A1621D4-F485-4219-815C-F9FD720CB7EA}"/>
    <cellStyle name="_Книга7_Tax_form_1кв_3 3" xfId="1980" xr:uid="{0A0A2217-63AB-469C-9201-D089665924B4}"/>
    <cellStyle name="_Книга7_Tax_form_1кв_3 3_Копия Растениеводство форма(Акционеры)" xfId="1981" xr:uid="{471DE710-FAFA-44CD-B1EA-A40E15EF5B98}"/>
    <cellStyle name="_Книга7_Tax_form_1кв_3 3_М( ЗАР)" xfId="1982" xr:uid="{DED9EC83-0EC6-4C0D-A2FE-A35BBDD31019}"/>
    <cellStyle name="_Книга7_Tax_form_1кв_3 3_Модель АгроГард на 5 лет" xfId="1983" xr:uid="{35651BA9-C8BB-489D-AAE6-80C0A9182371}"/>
    <cellStyle name="_Книга7_Tax_form_1кв_3 3_раст.-факт" xfId="1984" xr:uid="{02652866-D163-48EB-A7E3-41B62AF839AE}"/>
    <cellStyle name="_Книга7_Tax_form_1кв_3 3_Растениеводство форма( АГМ)" xfId="1985" xr:uid="{FE7501B4-5280-48BD-96B9-4AB1CF25C318}"/>
    <cellStyle name="_Книга7_Tax_form_1кв_3 3_Свод по Агрохоолдингу  (в т.ч КБН  )" xfId="1986" xr:uid="{AECCCD9C-DD63-4EF0-B844-390CA8FAF10C}"/>
    <cellStyle name="_Книга7_Tax_form_1кв_3 3_Форма по растениеводству (Акционеры) ИЛЧ" xfId="1987" xr:uid="{0DA0560C-0071-4AC4-89C0-AA9EBA358326}"/>
    <cellStyle name="_Книга7_Tax_form_1кв_3_АГМ" xfId="1988" xr:uid="{F8DB38E4-1D4F-4535-BE9C-B8F078CBFCF1}"/>
    <cellStyle name="_Книга7_Tax_form_1кв_3_Копия Растениеводство форма(Акционеры)" xfId="1989" xr:uid="{AB1B0324-84CA-4332-8CDA-1EC05CCB1203}"/>
    <cellStyle name="_Книга7_Tax_form_1кв_3_М( ЗАР)" xfId="1990" xr:uid="{FDC1AAA7-3FC4-4701-A60F-D7F38C086764}"/>
    <cellStyle name="_Книга7_Tax_form_1кв_3_Модель АгроГард на 5 лет" xfId="1991" xr:uid="{9345B267-C54A-4450-ACBB-CDC6E1263904}"/>
    <cellStyle name="_Книга7_Tax_form_1кв_3_НИК-09" xfId="1992" xr:uid="{DBA965B4-73F4-4DC1-8976-B8033C0DAA6D}"/>
    <cellStyle name="_Книга7_Tax_form_1кв_3_НИК-09 2" xfId="10260" xr:uid="{57BD95BA-48A2-4D9C-93EF-57C09D45E087}"/>
    <cellStyle name="_Книга7_Tax_form_1кв_3_раст.-факт" xfId="1993" xr:uid="{00E91854-7E2D-4CC0-B108-B3453F0798C4}"/>
    <cellStyle name="_Книга7_Tax_form_1кв_3_Растениеводство форма( АГМ)" xfId="1994" xr:uid="{E5961406-B1FB-4AE3-A4F5-324B2EA10A40}"/>
    <cellStyle name="_Книга7_Tax_form_1кв_3_Свод по Агрохоолдингу  (в т.ч КБН  )" xfId="1995" xr:uid="{DBA1A01C-8BB9-49FD-AC2A-C7E3EDC15A71}"/>
    <cellStyle name="_Книга7_Tax_form_1кв_3_ТК-2011 АГМ+транспорт" xfId="1996" xr:uid="{80B838BF-0245-4358-ACE6-A081A43F410B}"/>
    <cellStyle name="_Книга7_Tax_form_1кв_3_Форма по растениеводству (Акционеры) ИЛЧ" xfId="1997" xr:uid="{F435F314-2F55-4042-815D-64D7228FEC33}"/>
    <cellStyle name="_Книга7_АГМ" xfId="1998" xr:uid="{6670FE43-8125-4740-9A5D-54476C670A7D}"/>
    <cellStyle name="_Книга7_БКЭ" xfId="1999" xr:uid="{408D4608-6A46-4B72-BD3A-05DF37CA1C47}"/>
    <cellStyle name="_Книга7_БКЭ 1" xfId="2000" xr:uid="{B0359CB1-0BCC-4D95-A740-E9448E1A7A96}"/>
    <cellStyle name="_Книга7_БКЭ 1_Копия Растениеводство форма(Акционеры)" xfId="2001" xr:uid="{9047D564-012F-46FC-8F29-0BC8BF4B5745}"/>
    <cellStyle name="_Книга7_БКЭ 1_М( ЗАР)" xfId="2002" xr:uid="{D6485460-DD32-4D20-8AD1-47514F3A5E4B}"/>
    <cellStyle name="_Книга7_БКЭ 1_Модель АгроГард на 5 лет" xfId="2003" xr:uid="{9AD59B05-4317-49D9-8BA6-D332CEE5B303}"/>
    <cellStyle name="_Книга7_БКЭ 1_раст.-факт" xfId="2004" xr:uid="{C2A6D909-2DFA-4A59-ADED-5A36C57DB6FE}"/>
    <cellStyle name="_Книга7_БКЭ 1_Растениеводство форма( АГМ)" xfId="2005" xr:uid="{6EC602F6-A078-4468-9DA6-D875B557D6FC}"/>
    <cellStyle name="_Книга7_БКЭ 1_Свод по Агрохоолдингу  (в т.ч КБН  )" xfId="2006" xr:uid="{14475234-F45A-4A6B-9974-82D2B32A7C90}"/>
    <cellStyle name="_Книга7_БКЭ 1_Форма по растениеводству (Акционеры) ИЛЧ" xfId="2007" xr:uid="{57939E25-8753-41D8-8349-12F34608BAEF}"/>
    <cellStyle name="_Книга7_БКЭ 2" xfId="2008" xr:uid="{7A634A98-B321-433E-B5BF-E3B70DBCF01C}"/>
    <cellStyle name="_Книга7_БКЭ 2_Копия Растениеводство форма(Акционеры)" xfId="2009" xr:uid="{72A31613-7538-4452-9A8F-94D3C8426092}"/>
    <cellStyle name="_Книга7_БКЭ 2_М( ЗАР)" xfId="2010" xr:uid="{BE169797-9263-490D-934A-CC1D2539900F}"/>
    <cellStyle name="_Книга7_БКЭ 2_Модель АгроГард на 5 лет" xfId="2011" xr:uid="{AF3096FB-DDAF-4B73-9CAF-37F93F00EBDA}"/>
    <cellStyle name="_Книга7_БКЭ 2_раст.-факт" xfId="2012" xr:uid="{33EFEDD2-24D8-4367-A0E2-33760C0262ED}"/>
    <cellStyle name="_Книга7_БКЭ 2_Растениеводство форма( АГМ)" xfId="2013" xr:uid="{233332FD-64F3-46CA-A80B-D6C470B9E33C}"/>
    <cellStyle name="_Книга7_БКЭ 2_Свод по Агрохоолдингу  (в т.ч КБН  )" xfId="2014" xr:uid="{D4B3084A-5EFF-4685-A07F-A92AF73F4AEB}"/>
    <cellStyle name="_Книга7_БКЭ 2_Форма по растениеводству (Акционеры) ИЛЧ" xfId="2015" xr:uid="{73E2AA65-1F25-4641-973F-31A0D3F4652C}"/>
    <cellStyle name="_Книга7_БКЭ 3" xfId="2016" xr:uid="{9EFF7206-27F1-4DA6-B533-4D18064C8469}"/>
    <cellStyle name="_Книга7_БКЭ 3_Копия Растениеводство форма(Акционеры)" xfId="2017" xr:uid="{A08F7DEB-8004-405E-97B3-B0D0D5842630}"/>
    <cellStyle name="_Книга7_БКЭ 3_М( ЗАР)" xfId="2018" xr:uid="{F6623527-E500-473B-ADF7-601C4EE4F48D}"/>
    <cellStyle name="_Книга7_БКЭ 3_Модель АгроГард на 5 лет" xfId="2019" xr:uid="{25AB617E-A846-4ED4-9ACE-68B440CB87F0}"/>
    <cellStyle name="_Книга7_БКЭ 3_раст.-факт" xfId="2020" xr:uid="{638B4AC3-1A6E-416D-9B7D-E3F2C33854F7}"/>
    <cellStyle name="_Книга7_БКЭ 3_Растениеводство форма( АГМ)" xfId="2021" xr:uid="{CDA4539F-46E8-4459-9FA5-F2F06FC3B239}"/>
    <cellStyle name="_Книга7_БКЭ 3_Свод по Агрохоолдингу  (в т.ч КБН  )" xfId="2022" xr:uid="{49FBEDA3-4B82-44BE-A21B-F32B2C86DE8D}"/>
    <cellStyle name="_Книга7_БКЭ 3_Форма по растениеводству (Акционеры) ИЛЧ" xfId="2023" xr:uid="{09F0A076-71AC-4890-A430-D5A0FB025629}"/>
    <cellStyle name="_Книга7_БКЭ_АГМ" xfId="2024" xr:uid="{ACB6DC9E-D597-4B6F-8DC9-94E2D5D3DE62}"/>
    <cellStyle name="_Книга7_БКЭ_Копия Растениеводство форма(Акционеры)" xfId="2025" xr:uid="{8329631C-7A34-488B-B9EA-94EF120B7CB1}"/>
    <cellStyle name="_Книга7_БКЭ_М( ЗАР)" xfId="2026" xr:uid="{C999A621-E037-4E7B-BF40-377C30305D2F}"/>
    <cellStyle name="_Книга7_БКЭ_Модель АгроГард на 5 лет" xfId="2027" xr:uid="{02C81FB8-FE27-442F-807E-90D000B00149}"/>
    <cellStyle name="_Книга7_БКЭ_НИК-09" xfId="2028" xr:uid="{E86CEAD7-5782-444B-9B13-F9ACF71A85AC}"/>
    <cellStyle name="_Книга7_БКЭ_НИК-09 2" xfId="10261" xr:uid="{E03DA423-AA6A-4468-B8B1-CA4200FCC5A2}"/>
    <cellStyle name="_Книга7_БКЭ_раст.-факт" xfId="2029" xr:uid="{C4C027F1-4790-41E3-B0E1-D84324E08626}"/>
    <cellStyle name="_Книга7_БКЭ_Растениеводство форма( АГМ)" xfId="2030" xr:uid="{5CE4565B-B063-4EA7-9C8F-F258B588305F}"/>
    <cellStyle name="_Книга7_БКЭ_Свод по Агрохоолдингу  (в т.ч КБН  )" xfId="2031" xr:uid="{1123B170-EC0D-4BDD-BE09-F7BDD2E04CB8}"/>
    <cellStyle name="_Книга7_БКЭ_ТК-2011 АГМ+транспорт" xfId="2032" xr:uid="{B8571C07-BEE8-4422-9D0F-674DD0FBC42C}"/>
    <cellStyle name="_Книга7_БКЭ_Форма по растениеводству (Акционеры) ИЛЧ" xfId="2033" xr:uid="{4766ECBC-9121-4D28-9BB8-3296DFFCA66D}"/>
    <cellStyle name="_Книга7_Копия Растениеводство форма(Акционеры)" xfId="2034" xr:uid="{7FF1D418-4E5C-46F0-8E34-8EA57959F0B3}"/>
    <cellStyle name="_Книга7_М( ЗАР)" xfId="2035" xr:uid="{59A3DC30-4D2F-4920-AF39-BBF4FFDB89E3}"/>
    <cellStyle name="_Книга7_Модель АгроГард на 5 лет" xfId="2036" xr:uid="{882B405C-9415-42E7-9FD4-A11A0ECC4245}"/>
    <cellStyle name="_Книга7_НИК-09" xfId="2037" xr:uid="{A8354384-4E69-4CFC-892C-FBF3EF25A9BC}"/>
    <cellStyle name="_Книга7_НИК-09 2" xfId="10262" xr:uid="{D3549313-ED90-482B-AFFA-D72DA2A37BD7}"/>
    <cellStyle name="_Книга7_раст.-факт" xfId="2038" xr:uid="{467BBE02-536E-4141-9DB8-DC3F3D80FAA6}"/>
    <cellStyle name="_Книга7_Растениеводство форма( АГМ)" xfId="2039" xr:uid="{62F442A5-E665-4298-8BF4-ECCD7FDD717D}"/>
    <cellStyle name="_Книга7_Свод по Агрохоолдингу  (в т.ч КБН  )" xfId="2040" xr:uid="{B4FBB0C7-8409-446D-995E-60FB42473D0E}"/>
    <cellStyle name="_Книга7_ТК-2011 АГМ+транспорт" xfId="2041" xr:uid="{9DDCFA0C-4709-4537-AA15-BAB7871B088E}"/>
    <cellStyle name="_Книга7_Форма по растениеводству (Акционеры) ИЛЧ" xfId="2042" xr:uid="{7C3D19EF-FA76-4A51-B439-83F5FFC7588B}"/>
    <cellStyle name="0,00;0;" xfId="2043" xr:uid="{88D794A3-6CF9-43CA-979B-3C177A2C6B04}"/>
    <cellStyle name="0,00;0; 1" xfId="2044" xr:uid="{C9F9F61C-2E8A-446D-999F-CBF4E9C8D4A0}"/>
    <cellStyle name="0,00;0; 1 2" xfId="10264" xr:uid="{FAA97C43-DD82-4F7A-96E1-9D4B7B219033}"/>
    <cellStyle name="0,00;0; 2" xfId="2045" xr:uid="{3E54D997-2933-4DD8-B4B4-D2665DAFB8DA}"/>
    <cellStyle name="0,00;0; 2 2" xfId="10265" xr:uid="{913E3FEA-7511-4D52-8AB9-687418D4D4C2}"/>
    <cellStyle name="0,00;0; 3" xfId="2046" xr:uid="{901A874A-E603-402F-B0BB-01DF91DDC472}"/>
    <cellStyle name="0,00;0; 3 2" xfId="10266" xr:uid="{AF3CFFA1-80D9-46A7-9E69-6E6630887239}"/>
    <cellStyle name="0,00;0; 4" xfId="10263" xr:uid="{11E37B6B-971B-4B78-9A41-592CD3264C38}"/>
    <cellStyle name="0,00;0;_АГМ" xfId="2047" xr:uid="{108C9424-6619-438B-82C5-77D2B18187F2}"/>
    <cellStyle name="1Normal" xfId="2048" xr:uid="{8DEC56C4-CA3D-4F0A-82E3-C52A9A5FCA45}"/>
    <cellStyle name="1Normal 1" xfId="2049" xr:uid="{A717E58E-9B6C-4BDB-9E97-583649B0B695}"/>
    <cellStyle name="1Normal 1 2" xfId="10267" xr:uid="{2D208495-E223-4746-94DA-30BFCCF75865}"/>
    <cellStyle name="1Normal 2" xfId="2050" xr:uid="{7F030265-7C67-4188-B22C-EDB3320A7415}"/>
    <cellStyle name="1Normal 2 2" xfId="10268" xr:uid="{249DF6FD-36DB-40F1-82F7-6424F868FEC3}"/>
    <cellStyle name="1Normal 3" xfId="2051" xr:uid="{526568A6-34A4-4BA3-9716-50594121C6E2}"/>
    <cellStyle name="1Normal 3 2" xfId="10269" xr:uid="{F9352554-C3AC-4091-9F6D-F6A9096BF1A9}"/>
    <cellStyle name="1Normal_АГМ" xfId="2052" xr:uid="{9393F5F5-9AA6-410A-B49B-C3FF49669670}"/>
    <cellStyle name="20% - Accent1" xfId="2053" xr:uid="{CB310F4D-C205-4610-B0F9-95AC5B3DBF13}"/>
    <cellStyle name="20% - Accent1 2" xfId="10270" xr:uid="{2FD4FDA6-CF9F-486E-856F-15725DEF2CB9}"/>
    <cellStyle name="20% - Accent2" xfId="2054" xr:uid="{E6CADC27-4440-4427-BAAE-6E976D90EB8A}"/>
    <cellStyle name="20% - Accent2 2" xfId="10271" xr:uid="{9F141189-69F7-4DCB-AB5B-BDFFA5741C45}"/>
    <cellStyle name="20% - Accent3" xfId="2055" xr:uid="{594EB524-AE8C-4C3D-B036-8230DF570111}"/>
    <cellStyle name="20% - Accent3 2" xfId="10272" xr:uid="{27115D1A-4BAA-465F-826C-20D8D08BC225}"/>
    <cellStyle name="20% - Accent4" xfId="2056" xr:uid="{A3F2A398-2DDA-4276-BB1A-35D089B6B032}"/>
    <cellStyle name="20% - Accent4 2" xfId="10273" xr:uid="{959D1EB2-002E-4164-8C88-92885D4E6227}"/>
    <cellStyle name="20% - Accent5" xfId="2057" xr:uid="{74A005B8-C184-4724-8D01-45E26D9BD874}"/>
    <cellStyle name="20% - Accent5 2" xfId="10274" xr:uid="{2E21F2A6-CB6E-4A2A-ADA4-559A32022B9E}"/>
    <cellStyle name="20% - Accent6" xfId="2058" xr:uid="{6E97D842-1833-4B49-BBB6-8473A727FF92}"/>
    <cellStyle name="20% - Accent6 2" xfId="10275" xr:uid="{197333A2-2565-40A5-AAD8-78CE15D4BE36}"/>
    <cellStyle name="20% - Акцент1 1" xfId="2059" xr:uid="{A939DFCC-DE21-4382-ADE5-506DA3ABA4B5}"/>
    <cellStyle name="20% - Акцент1 2" xfId="2060" xr:uid="{C9D45482-DB48-4CEE-A77F-F3077E0577CD}"/>
    <cellStyle name="20% - Акцент1 2 2" xfId="10276" xr:uid="{407D91D4-EB1F-49BA-9657-299549588625}"/>
    <cellStyle name="20% - Акцент1 3" xfId="2061" xr:uid="{FFF0D4A8-5C20-4211-B85D-A7C6481BFB90}"/>
    <cellStyle name="20% - Акцент1 4" xfId="2062" xr:uid="{01FF1126-68AB-4B7E-9089-D55390985E1A}"/>
    <cellStyle name="20% - Акцент2 1" xfId="2063" xr:uid="{8F24B5E4-06C6-4863-B3F6-7699CDBE2BB4}"/>
    <cellStyle name="20% - Акцент2 2" xfId="2064" xr:uid="{3422C4E3-E413-4D4B-B05B-5ED17F8D00C3}"/>
    <cellStyle name="20% - Акцент2 2 2" xfId="10277" xr:uid="{36DD7F29-1FC9-4630-B07D-366FD6640B3C}"/>
    <cellStyle name="20% - Акцент2 3" xfId="2065" xr:uid="{F2F2F1AB-4B07-49F8-92B3-F9F5BB8FA137}"/>
    <cellStyle name="20% - Акцент2 4" xfId="2066" xr:uid="{643B24F6-B70B-40A3-9A72-4EDD66FA082D}"/>
    <cellStyle name="20% - Акцент3 1" xfId="2067" xr:uid="{8F9E7CAB-B50B-42EC-BF6F-A256EF979567}"/>
    <cellStyle name="20% - Акцент3 2" xfId="2068" xr:uid="{C6D516FA-201B-4E52-A96E-8CE91C2617B3}"/>
    <cellStyle name="20% - Акцент3 2 2" xfId="10278" xr:uid="{A5D7841A-159C-4F09-9F97-969203058E2C}"/>
    <cellStyle name="20% - Акцент3 3" xfId="2069" xr:uid="{C628B03E-F958-499C-AEFD-0B88A1EF7C9A}"/>
    <cellStyle name="20% - Акцент3 4" xfId="2070" xr:uid="{045B05CA-5F0A-4EF3-955A-A52D34A962E1}"/>
    <cellStyle name="20% - Акцент4 1" xfId="2071" xr:uid="{5BE4F947-207A-46E8-A283-81F9C1B37ECA}"/>
    <cellStyle name="20% - Акцент4 2" xfId="2072" xr:uid="{76D17ACF-B4D4-4C8E-84E6-DBE840772F7B}"/>
    <cellStyle name="20% - Акцент4 2 2" xfId="10279" xr:uid="{A221347B-BE11-4E1A-8C2F-08A0D488007A}"/>
    <cellStyle name="20% - Акцент4 3" xfId="2073" xr:uid="{8B79195A-502B-45CD-B97A-9C9340C377F2}"/>
    <cellStyle name="20% - Акцент4 4" xfId="2074" xr:uid="{A92AC3D0-5F6E-4A1D-8228-B0C3F85D229F}"/>
    <cellStyle name="20% - Акцент5 1" xfId="2075" xr:uid="{AE3BD2BC-C315-4A48-8651-92E84C942DDA}"/>
    <cellStyle name="20% - Акцент5 2" xfId="2076" xr:uid="{323BE12A-02BD-479F-B4B1-79110477DB28}"/>
    <cellStyle name="20% - Акцент5 2 2" xfId="10280" xr:uid="{808536FF-529A-4B55-9802-F0A55CB2AA4A}"/>
    <cellStyle name="20% - Акцент5 3" xfId="2077" xr:uid="{5CCDFA46-BF9F-4306-832A-1F9DD934E843}"/>
    <cellStyle name="20% - Акцент5 4" xfId="2078" xr:uid="{D75DD9A1-92F5-4048-A164-DEFB86DA8184}"/>
    <cellStyle name="20% - Акцент6 1" xfId="2079" xr:uid="{7AE07771-3B23-4060-9125-73B04928E83E}"/>
    <cellStyle name="20% - Акцент6 2" xfId="2080" xr:uid="{8846F969-E25D-4157-8417-220C75058687}"/>
    <cellStyle name="20% - Акцент6 2 2" xfId="10281" xr:uid="{BFDEF635-7DAE-4B82-94AD-D854A01650D0}"/>
    <cellStyle name="20% - Акцент6 3" xfId="2081" xr:uid="{10B82A58-8E75-4F90-A68F-3F7F6D88C3E5}"/>
    <cellStyle name="20% - Акцент6 4" xfId="2082" xr:uid="{802E456B-FCA3-4D56-8FB3-0BA75AC35E5F}"/>
    <cellStyle name="40% - Accent1" xfId="2083" xr:uid="{5CF37DB3-6184-4931-9384-6D6C905DB691}"/>
    <cellStyle name="40% - Accent1 2" xfId="10282" xr:uid="{4C875F52-A97E-4AAB-83EC-652F7771C92C}"/>
    <cellStyle name="40% - Accent2" xfId="2084" xr:uid="{A5A8A6D4-28CB-4EFB-A2EB-591DDFC51991}"/>
    <cellStyle name="40% - Accent2 2" xfId="10283" xr:uid="{D5FCB066-75A7-470E-A98C-35F2FC9FEAD1}"/>
    <cellStyle name="40% - Accent3" xfId="2085" xr:uid="{A023222C-92C5-4226-8414-C5BEADA0BA95}"/>
    <cellStyle name="40% - Accent3 2" xfId="10284" xr:uid="{09D50620-6B96-49DE-A031-BE70419C6B08}"/>
    <cellStyle name="40% - Accent4" xfId="2086" xr:uid="{4B70D77E-AE20-4072-9A2C-0BACC4FFF26C}"/>
    <cellStyle name="40% - Accent4 2" xfId="10285" xr:uid="{CD8555E0-52AE-4EA9-8186-5B1899BD44F6}"/>
    <cellStyle name="40% - Accent5" xfId="2087" xr:uid="{B32411C8-921B-4D0D-B941-E9134E5D3867}"/>
    <cellStyle name="40% - Accent5 2" xfId="10286" xr:uid="{F5261647-58B4-4F14-B352-3DA7B05C8B66}"/>
    <cellStyle name="40% - Accent6" xfId="2088" xr:uid="{86F518F3-BDDE-428C-B208-83FF25AEA7F0}"/>
    <cellStyle name="40% - Accent6 2" xfId="10287" xr:uid="{4D667571-FB37-4521-AEFA-1D15AA3B73C5}"/>
    <cellStyle name="40% - Акцент1 1" xfId="2089" xr:uid="{D88F7966-4341-4545-8D43-7A0FC9AE33DB}"/>
    <cellStyle name="40% - Акцент1 2" xfId="2090" xr:uid="{CD20ECA8-E979-44CB-99BC-08E869E755D6}"/>
    <cellStyle name="40% - Акцент1 2 2" xfId="10288" xr:uid="{602F1409-1904-486D-B6AC-B41592119F59}"/>
    <cellStyle name="40% - Акцент1 3" xfId="2091" xr:uid="{3DBC5A2F-5B71-4CE5-89FB-85D098E2F237}"/>
    <cellStyle name="40% - Акцент1 4" xfId="2092" xr:uid="{AF463F86-BAF2-4A0C-9406-B0ACCF64FE26}"/>
    <cellStyle name="40% - Акцент2 1" xfId="2093" xr:uid="{DDE12BCA-FEEF-4384-9A93-D65E48ADE788}"/>
    <cellStyle name="40% - Акцент2 2" xfId="2094" xr:uid="{1E98F221-3B16-4B80-81F8-8CFFD649B9D4}"/>
    <cellStyle name="40% - Акцент2 2 2" xfId="10289" xr:uid="{F223121C-F7FE-4992-BCE6-4A8B1388E4A4}"/>
    <cellStyle name="40% - Акцент2 3" xfId="2095" xr:uid="{E15509AD-1DE7-441A-8463-14BF9A2D1EAE}"/>
    <cellStyle name="40% - Акцент2 4" xfId="2096" xr:uid="{7B8DAC3B-181B-4FE1-A57C-6E4C92333FCF}"/>
    <cellStyle name="40% - Акцент3 1" xfId="2097" xr:uid="{4838F2AB-A31A-4944-9A30-A084FCBD7E36}"/>
    <cellStyle name="40% - Акцент3 2" xfId="2098" xr:uid="{E3E1E4DD-2162-490C-B9CE-B1B72627EBD2}"/>
    <cellStyle name="40% - Акцент3 2 2" xfId="10290" xr:uid="{371E16FB-1F77-4F95-B8FD-37179665874C}"/>
    <cellStyle name="40% - Акцент3 3" xfId="2099" xr:uid="{7327DDD7-D448-4F1F-BF88-902FF2A7BEC1}"/>
    <cellStyle name="40% - Акцент3 4" xfId="2100" xr:uid="{E3297EAF-DA37-4ED1-804C-FC0AC8894EC8}"/>
    <cellStyle name="40% - Акцент4 1" xfId="2101" xr:uid="{6E8C9169-E268-475C-AE81-560C6A691FE4}"/>
    <cellStyle name="40% - Акцент4 2" xfId="2102" xr:uid="{AE453424-F01A-4DAE-ADBF-66C8234212F6}"/>
    <cellStyle name="40% - Акцент4 2 2" xfId="10291" xr:uid="{449F7083-B540-41A6-9769-92986FFA8124}"/>
    <cellStyle name="40% - Акцент4 3" xfId="2103" xr:uid="{71357E18-2315-4A3F-B203-7A132941439F}"/>
    <cellStyle name="40% - Акцент4 4" xfId="2104" xr:uid="{83077536-F8EB-4A00-9883-A163AE990FC0}"/>
    <cellStyle name="40% - Акцент5 1" xfId="2105" xr:uid="{148C5931-A233-4CC6-8DD2-90874E925285}"/>
    <cellStyle name="40% - Акцент5 2" xfId="2106" xr:uid="{DF4A9CDD-C5B9-42AB-8E4F-4A99AA80CB62}"/>
    <cellStyle name="40% - Акцент5 2 2" xfId="10292" xr:uid="{B25E115E-227E-4B32-940A-B2F674BCE0FD}"/>
    <cellStyle name="40% - Акцент5 3" xfId="2107" xr:uid="{97B80DA6-C660-47F5-8A4D-07617F2E1CCB}"/>
    <cellStyle name="40% - Акцент5 4" xfId="2108" xr:uid="{4FBC6F05-FAC0-45D5-AB1B-856842F1567C}"/>
    <cellStyle name="40% - Акцент6 1" xfId="2109" xr:uid="{93491AD2-B146-4AD3-80F6-10C5F5FEFCDA}"/>
    <cellStyle name="40% - Акцент6 2" xfId="2110" xr:uid="{5A69EA15-0579-4705-8884-EBC1A12164D5}"/>
    <cellStyle name="40% - Акцент6 2 2" xfId="10293" xr:uid="{6F3EFBEF-9C54-40A3-A83D-139029970044}"/>
    <cellStyle name="40% - Акцент6 3" xfId="2111" xr:uid="{C3A5F9B2-FF70-437F-9610-E51B6E179D6B}"/>
    <cellStyle name="40% - Акцент6 4" xfId="2112" xr:uid="{EAF505FC-D078-4D28-860F-2BE544E60BF8}"/>
    <cellStyle name="60% - Accent1" xfId="2113" xr:uid="{23A0654D-9220-45B3-98F4-DFAB2AF6B2B8}"/>
    <cellStyle name="60% - Accent1 2" xfId="10294" xr:uid="{BA901771-3E4F-4829-80C8-C34CE0C5D0D0}"/>
    <cellStyle name="60% - Accent2" xfId="2114" xr:uid="{A9233380-48F4-492D-A902-10DBF14DF54A}"/>
    <cellStyle name="60% - Accent2 2" xfId="10295" xr:uid="{DADB46A9-DFF2-4152-B20C-009C07E5F165}"/>
    <cellStyle name="60% - Accent3" xfId="2115" xr:uid="{EE13C0BE-B545-4EC8-A658-F429FFE161EB}"/>
    <cellStyle name="60% - Accent3 2" xfId="10296" xr:uid="{701F223F-B8C7-4B1D-A900-E1B5D71DC7E9}"/>
    <cellStyle name="60% - Accent4" xfId="2116" xr:uid="{96395EF8-4042-4729-A1CC-E37A3267392F}"/>
    <cellStyle name="60% - Accent4 2" xfId="10297" xr:uid="{29E18634-040E-4884-BFAF-93C1501E8E21}"/>
    <cellStyle name="60% - Accent5" xfId="2117" xr:uid="{C9829503-3E20-457D-8794-2CF89CF3B29E}"/>
    <cellStyle name="60% - Accent5 2" xfId="10298" xr:uid="{BA4F9F3F-3E9D-4BE0-AE31-45009E23C4F4}"/>
    <cellStyle name="60% - Accent6" xfId="2118" xr:uid="{FD98A0B1-9FF4-4486-AB5E-305393357CE5}"/>
    <cellStyle name="60% - Accent6 2" xfId="10299" xr:uid="{6518262C-53DA-45F6-8D2B-35988D989D4E}"/>
    <cellStyle name="60% - Акцент1 1" xfId="2119" xr:uid="{4FEED7BE-3472-4BAE-9D91-D626C387935C}"/>
    <cellStyle name="60% - Акцент1 2" xfId="2120" xr:uid="{AA87F9BC-9EDC-41D4-BB43-5FCE18A6940B}"/>
    <cellStyle name="60% - Акцент1 2 2" xfId="10300" xr:uid="{2695E2BF-17D9-4FD6-82CF-C195A9B6EEDE}"/>
    <cellStyle name="60% - Акцент1 3" xfId="2121" xr:uid="{46A8FD08-3444-4714-909F-773C06424143}"/>
    <cellStyle name="60% - Акцент1 4" xfId="2122" xr:uid="{F56328BE-38E7-44E9-AB68-DC43D7702EF2}"/>
    <cellStyle name="60% - Акцент2 1" xfId="2123" xr:uid="{CB513BC2-499F-42F7-9DDF-929739693778}"/>
    <cellStyle name="60% - Акцент2 2" xfId="2124" xr:uid="{36B31CCF-96F4-4A8D-A6C9-B6107CFEDD27}"/>
    <cellStyle name="60% - Акцент2 2 2" xfId="10301" xr:uid="{357B5DDF-24E5-46BF-A00F-AC2DD198FB59}"/>
    <cellStyle name="60% - Акцент2 3" xfId="2125" xr:uid="{5F494A97-E3AE-4703-A765-7C60DA67CA71}"/>
    <cellStyle name="60% - Акцент2 4" xfId="2126" xr:uid="{D2BE5073-2EB5-4314-9435-92D870228EF9}"/>
    <cellStyle name="60% - Акцент3 1" xfId="2127" xr:uid="{EFA6D210-ADD1-473C-9DD5-DB6DBE4C8964}"/>
    <cellStyle name="60% - Акцент3 2" xfId="2128" xr:uid="{9DA8ABD8-1EFD-45BC-9C1D-A190E9C87855}"/>
    <cellStyle name="60% - Акцент3 2 2" xfId="10302" xr:uid="{F292AC83-0868-4711-8BE5-5047075DA383}"/>
    <cellStyle name="60% - Акцент3 3" xfId="2129" xr:uid="{3F2DDB07-5890-425F-A9AF-4F6744C17A16}"/>
    <cellStyle name="60% - Акцент3 4" xfId="2130" xr:uid="{36864614-5327-481B-BDA2-2C50D6B3E0CD}"/>
    <cellStyle name="60% - Акцент4 1" xfId="2131" xr:uid="{BF214D5C-2AF7-4FFF-B3F8-7F0D2E962618}"/>
    <cellStyle name="60% - Акцент4 2" xfId="2132" xr:uid="{DD3300C7-A314-4657-9C6F-529F5147CEC6}"/>
    <cellStyle name="60% - Акцент4 2 2" xfId="10303" xr:uid="{43DDE3BF-AD4B-468F-BB4A-4E844816600F}"/>
    <cellStyle name="60% - Акцент4 3" xfId="2133" xr:uid="{449039BD-4521-4570-97D5-AC877A92EEAE}"/>
    <cellStyle name="60% - Акцент4 4" xfId="2134" xr:uid="{2AA7F711-F66C-46AC-B626-E1B18897A00F}"/>
    <cellStyle name="60% - Акцент5 1" xfId="2135" xr:uid="{AC8C1843-7EBE-41BF-8011-F30A788D8191}"/>
    <cellStyle name="60% - Акцент5 2" xfId="2136" xr:uid="{15A23EAA-569C-4CEF-AB5C-E9D272E9A29B}"/>
    <cellStyle name="60% - Акцент5 2 2" xfId="10304" xr:uid="{C61BABC1-D66C-4FF7-BD95-DA0F4E780213}"/>
    <cellStyle name="60% - Акцент5 3" xfId="2137" xr:uid="{F2D64A56-53C3-43F8-AAF3-387FD0FE46FD}"/>
    <cellStyle name="60% - Акцент5 4" xfId="2138" xr:uid="{7BC47546-0B43-433B-ADF6-30D0206A3AC3}"/>
    <cellStyle name="60% - Акцент6 1" xfId="2139" xr:uid="{69780422-A04B-47B5-A4D1-9A7F1D4E8D82}"/>
    <cellStyle name="60% - Акцент6 2" xfId="2140" xr:uid="{E4E2714D-E377-4498-BA67-CDBFB5908DF3}"/>
    <cellStyle name="60% - Акцент6 2 2" xfId="10305" xr:uid="{CDA7233C-3A37-487B-9B1D-66D2ECE5FF1C}"/>
    <cellStyle name="60% - Акцент6 3" xfId="2141" xr:uid="{DA94F656-BA76-4727-8EE0-CC102B62278C}"/>
    <cellStyle name="60% - Акцент6 4" xfId="2142" xr:uid="{49DC98F9-F318-4A04-8D95-C06A60E37360}"/>
    <cellStyle name="Accent1" xfId="2143" xr:uid="{707178AF-B324-4A63-9D9C-46F03090D024}"/>
    <cellStyle name="Accent1 2" xfId="10306" xr:uid="{3F957706-5674-4535-8B60-08C779C5E619}"/>
    <cellStyle name="Accent2" xfId="2144" xr:uid="{C7F5242A-7FD2-4FC2-B3E3-02913F5B7003}"/>
    <cellStyle name="Accent2 2" xfId="10307" xr:uid="{69513646-7774-4BB7-A446-8EDD8036D003}"/>
    <cellStyle name="Accent3" xfId="2145" xr:uid="{968FF930-B4E0-462E-AABF-79FA6F31B077}"/>
    <cellStyle name="Accent3 2" xfId="10308" xr:uid="{0B1EB519-C780-43DC-A5DA-1A6B3488AB4D}"/>
    <cellStyle name="Accent4" xfId="2146" xr:uid="{75BB248F-A8A3-4D07-AF9E-2DFABD059EFB}"/>
    <cellStyle name="Accent4 2" xfId="10309" xr:uid="{C684EFAE-8A5A-4B3C-ADFE-3DE96C71B1BF}"/>
    <cellStyle name="Accent5" xfId="2147" xr:uid="{1C106BC3-62D4-4656-A914-19BF8D7120D5}"/>
    <cellStyle name="Accent5 2" xfId="10310" xr:uid="{24066537-7CA2-4140-8256-41F88CCFEDB4}"/>
    <cellStyle name="Accent6" xfId="2148" xr:uid="{B5FAE561-F0F9-47B8-89FF-4204267C91BB}"/>
    <cellStyle name="Accent6 2" xfId="10311" xr:uid="{089D324E-0342-4168-9DBA-632101B8BEEE}"/>
    <cellStyle name="Aeia?nnueea" xfId="2149" xr:uid="{4D891219-E72B-46BB-AB94-02EF69C53AD4}"/>
    <cellStyle name="Aeia?nnueea 1" xfId="2150" xr:uid="{6BA59BC5-6242-4790-AB8B-52927A948FA9}"/>
    <cellStyle name="Aeia?nnueea 2" xfId="2151" xr:uid="{5C36592B-E858-4485-8CAD-D3EFA5D249AC}"/>
    <cellStyle name="Aeia?nnueea 3" xfId="2152" xr:uid="{CE530ACD-3349-4D83-A4E0-AB40EF7E5688}"/>
    <cellStyle name="Aeia?nnueea_АГМ" xfId="2153" xr:uid="{25787DDC-D809-419D-AB3E-F4F0C473F5D2}"/>
    <cellStyle name="Bad" xfId="2154" xr:uid="{65BF332F-B547-4101-8611-D96053258F4C}"/>
    <cellStyle name="Bad 2" xfId="10312" xr:uid="{0895A54A-3001-4F11-AD2D-80AE8D12446F}"/>
    <cellStyle name="Balance" xfId="2155" xr:uid="{1B919A08-8757-46A2-B6AD-D914E625B32C}"/>
    <cellStyle name="Balance 1" xfId="2156" xr:uid="{7C8AC96C-5155-423B-AC38-5D465BAC5E9B}"/>
    <cellStyle name="Balance 1 2" xfId="10313" xr:uid="{320045C4-F9B9-45C5-8284-E0BA142C86AC}"/>
    <cellStyle name="Balance 2" xfId="2157" xr:uid="{535B8E3B-A68E-4DF3-A886-42346417A3A0}"/>
    <cellStyle name="Balance 2 2" xfId="10314" xr:uid="{D27E122A-D10A-47D2-8B93-DD67D81F909C}"/>
    <cellStyle name="Balance 3" xfId="2158" xr:uid="{07260D81-B824-47E8-87CC-AD900B8CE33B}"/>
    <cellStyle name="Balance 3 2" xfId="10315" xr:uid="{FEB3A670-B0A2-44DA-A79B-D0C94B6FE91B}"/>
    <cellStyle name="Balance_АГМ" xfId="2159" xr:uid="{9F2B4F0A-702C-46FF-8DB1-ABD774F7442F}"/>
    <cellStyle name="BalanceBold" xfId="2160" xr:uid="{8516108D-7FDD-4F91-A5A0-402BBB703694}"/>
    <cellStyle name="BalanceBold 1" xfId="2161" xr:uid="{65E37C98-A0AF-4A38-85B2-42F5AD581C8C}"/>
    <cellStyle name="BalanceBold 1 2" xfId="10317" xr:uid="{CA863FD7-AEF6-4D94-8F80-356BB913D558}"/>
    <cellStyle name="BalanceBold 2" xfId="2162" xr:uid="{1F740166-0472-4E04-A228-7A1ED421D258}"/>
    <cellStyle name="BalanceBold 2 2" xfId="10318" xr:uid="{2C694AAC-05B8-4E57-B1B4-891B69813401}"/>
    <cellStyle name="BalanceBold 3" xfId="2163" xr:uid="{34211E17-F559-41DA-8C8A-F3B23EEF5E30}"/>
    <cellStyle name="BalanceBold 3 2" xfId="10319" xr:uid="{4A72D635-F4A1-4883-A429-781BE57BA5A6}"/>
    <cellStyle name="BalanceBold 4" xfId="10316" xr:uid="{CDCB266D-1D41-48C7-A972-6824B5692221}"/>
    <cellStyle name="BalanceBold_АГМ" xfId="2164" xr:uid="{BF04A39D-2339-4983-BA0F-1ACE63A55CE7}"/>
    <cellStyle name="Calc Currency (0)" xfId="2165" xr:uid="{FEFC1D7A-7E55-46D3-9688-ED553A3A3434}"/>
    <cellStyle name="Calc Currency (0) 1" xfId="2166" xr:uid="{0D8DD378-4A8A-4A03-AFA5-F7596F60BD9B}"/>
    <cellStyle name="Calc Currency (0) 2" xfId="2167" xr:uid="{9F089FF1-F533-4574-AF24-C609F644DAE2}"/>
    <cellStyle name="Calc Currency (0) 3" xfId="2168" xr:uid="{776429CD-D1EA-4B75-9AEA-A38E97423A7A}"/>
    <cellStyle name="Calc Currency (0)_АГМ" xfId="2169" xr:uid="{BAC100D0-3E2C-4537-9F9E-A1D8A52111D3}"/>
    <cellStyle name="Calculation" xfId="2170" xr:uid="{D113FE3C-65A6-4801-987E-A68E7A11232F}"/>
    <cellStyle name="Calculation 10" xfId="3654" xr:uid="{D2D84BA9-7685-4DD8-80C3-03B63A478D20}"/>
    <cellStyle name="Calculation 10 2" xfId="2974" xr:uid="{7FB70879-E386-442A-A4A4-B3F513B4B2ED}"/>
    <cellStyle name="Calculation 10 2 2" xfId="8270" xr:uid="{B5086990-8E86-4ACD-8726-5A41EC5D5560}"/>
    <cellStyle name="Calculation 10 2 2 2" xfId="10839" xr:uid="{C80EFFE6-F297-494B-995B-79F019B4FA94}"/>
    <cellStyle name="Calculation 10 2 2 2 2" xfId="27669" xr:uid="{0891A627-9E3C-40F4-881F-78F274DB49EF}"/>
    <cellStyle name="Calculation 10 2 2 2 3" xfId="40820" xr:uid="{7B0C8AF5-C3B0-4BE8-B079-26B0000C9FC5}"/>
    <cellStyle name="Calculation 10 2 2 3" xfId="25778" xr:uid="{F19A2DAC-B1E5-44A5-A8CA-9262F8A88E00}"/>
    <cellStyle name="Calculation 10 2 2 4" xfId="38854" xr:uid="{6F4D3AB4-BADE-4D72-BA82-9818A2003122}"/>
    <cellStyle name="Calculation 10 2 3" xfId="6637" xr:uid="{449D9665-A110-47FB-874C-4DA3A9CF7D7F}"/>
    <cellStyle name="Calculation 10 2 3 2" xfId="15349" xr:uid="{41934432-666F-4D4A-BF18-BE449F5B4F04}"/>
    <cellStyle name="Calculation 10 2 3 2 2" xfId="31506" xr:uid="{41EAFBEF-768B-441B-9A60-38B53B4B3D84}"/>
    <cellStyle name="Calculation 10 2 3 2 3" xfId="44992" xr:uid="{EE98E408-7C49-4FFB-90BB-111B2955BB50}"/>
    <cellStyle name="Calculation 10 2 3 3" xfId="24269" xr:uid="{869F8130-0767-4652-8835-BD62BABD43CB}"/>
    <cellStyle name="Calculation 10 2 3 4" xfId="37350" xr:uid="{C14CAC7D-E389-425A-9396-3AB012CBC057}"/>
    <cellStyle name="Calculation 10 2 4" xfId="12073" xr:uid="{908F5FF7-F036-48AB-A7D4-FCADA9875108}"/>
    <cellStyle name="Calculation 10 2 4 2" xfId="28773" xr:uid="{AC9E94BE-F08E-4B2A-B4DB-317B2313BF81}"/>
    <cellStyle name="Calculation 10 2 4 3" xfId="41993" xr:uid="{A865B750-60B0-4E9C-854F-0F1BE45D15DF}"/>
    <cellStyle name="Calculation 10 2 5" xfId="21021" xr:uid="{74523999-9155-4808-AC05-46A93100408D}"/>
    <cellStyle name="Calculation 10 2 6" xfId="34044" xr:uid="{03356227-2537-4BE7-9A96-723FF93A064F}"/>
    <cellStyle name="Calculation 10 3" xfId="4608" xr:uid="{87A05CD3-0061-49C6-81B6-CB6F5184CEE4}"/>
    <cellStyle name="Calculation 10 3 2" xfId="7289" xr:uid="{B1EECC36-4475-4AD4-AFC3-896AA4D1E984}"/>
    <cellStyle name="Calculation 10 3 2 2" xfId="14506" xr:uid="{ACBEADBC-9E83-49A7-86F9-C0DE9DE428CC}"/>
    <cellStyle name="Calculation 10 3 2 2 2" xfId="30825" xr:uid="{F0912385-92B5-4ECC-AB18-C8928001D48B}"/>
    <cellStyle name="Calculation 10 3 2 2 3" xfId="44234" xr:uid="{1A3D59DE-8B05-4344-B2E2-CE7E041846DF}"/>
    <cellStyle name="Calculation 10 3 2 3" xfId="24856" xr:uid="{40B66277-C9AF-4AAD-B28C-9B4EEA8E44A2}"/>
    <cellStyle name="Calculation 10 3 2 4" xfId="37937" xr:uid="{8C3CB0CF-02F2-4711-B785-50B158DD7512}"/>
    <cellStyle name="Calculation 10 3 3" xfId="15631" xr:uid="{72780CA8-4332-439E-8883-1DA5DAD52EBA}"/>
    <cellStyle name="Calculation 10 3 3 2" xfId="31751" xr:uid="{4EEAE053-A717-46CB-94D3-8F91AA04A54A}"/>
    <cellStyle name="Calculation 10 3 3 3" xfId="45255" xr:uid="{A449B791-D8E8-4AAC-BB04-5601B2E0A781}"/>
    <cellStyle name="Calculation 10 3 4" xfId="22421" xr:uid="{D237416E-D428-44F0-B72C-23BFA69D0DE5}"/>
    <cellStyle name="Calculation 10 3 5" xfId="35471" xr:uid="{FA996B26-2D16-45E3-8643-FF30D543E44E}"/>
    <cellStyle name="Calculation 10 4" xfId="5670" xr:uid="{0DA94E42-8EDA-4CF0-BCEA-E3A1EE8C2570}"/>
    <cellStyle name="Calculation 10 4 2" xfId="8855" xr:uid="{108EB65B-686F-4BA9-8213-A9C030F3FFF0}"/>
    <cellStyle name="Calculation 10 4 2 2" xfId="15166" xr:uid="{8189B2C3-930C-4CAB-B2A0-EADC1CAEAEBF}"/>
    <cellStyle name="Calculation 10 4 2 2 2" xfId="31357" xr:uid="{455EF0CF-4C01-4C73-90E0-9E0DDC4588C0}"/>
    <cellStyle name="Calculation 10 4 2 2 3" xfId="44823" xr:uid="{96D089C9-021E-4BAA-9C59-C2F475ADC1EB}"/>
    <cellStyle name="Calculation 10 4 2 3" xfId="26345" xr:uid="{753D00CF-9623-4F89-800A-8D739C1626F7}"/>
    <cellStyle name="Calculation 10 4 2 4" xfId="39421" xr:uid="{4354FE16-8475-4204-8EF8-451AF9B2229F}"/>
    <cellStyle name="Calculation 10 4 3" xfId="16559" xr:uid="{B765D024-8FF8-4F08-9526-3B81DBB32C89}"/>
    <cellStyle name="Calculation 10 4 3 2" xfId="32494" xr:uid="{47860E3F-606B-46E1-86B3-E1FA8219037E}"/>
    <cellStyle name="Calculation 10 4 3 3" xfId="46106" xr:uid="{5C2F182D-C120-41D7-B191-4BFAA4F7A8D2}"/>
    <cellStyle name="Calculation 10 4 4" xfId="23317" xr:uid="{D9ECC24E-71C0-4EE7-8E49-7A904A5A4BFD}"/>
    <cellStyle name="Calculation 10 4 5" xfId="36398" xr:uid="{37C6DBE9-CBBD-4428-AAAC-F5CD09B0901D}"/>
    <cellStyle name="Calculation 10 5" xfId="12922" xr:uid="{168F6F86-1ED2-4C82-A9D5-B7D011EBA8B0}"/>
    <cellStyle name="Calculation 10 5 2" xfId="29467" xr:uid="{B1A67051-48F8-481E-A628-20716BD6D952}"/>
    <cellStyle name="Calculation 10 5 3" xfId="42763" xr:uid="{7A710D9F-2AB7-42AA-927E-F35788AD787A}"/>
    <cellStyle name="Calculation 10 6" xfId="21579" xr:uid="{55334B1A-A401-42B5-BDD6-79AA891CB42D}"/>
    <cellStyle name="Calculation 10 7" xfId="34633" xr:uid="{196B2A11-D3B7-4B5F-A9EE-3D8E564B9DCD}"/>
    <cellStyle name="Calculation 11" xfId="3627" xr:uid="{8018EF66-4878-421B-8E3E-788135082134}"/>
    <cellStyle name="Calculation 11 2" xfId="2952" xr:uid="{D14E4E68-9713-4288-A7BC-369C42338115}"/>
    <cellStyle name="Calculation 11 2 2" xfId="8248" xr:uid="{FE81CC09-D071-44BD-938E-3E127191274C}"/>
    <cellStyle name="Calculation 11 2 2 2" xfId="13934" xr:uid="{3C190963-7478-45CD-8265-2FD257CD1AC2}"/>
    <cellStyle name="Calculation 11 2 2 2 2" xfId="30323" xr:uid="{0C667FA1-7AE1-4B87-8039-10E2EE8F93FE}"/>
    <cellStyle name="Calculation 11 2 2 2 3" xfId="43699" xr:uid="{79D0B88C-F2D5-4013-867D-0B9A59458818}"/>
    <cellStyle name="Calculation 11 2 2 3" xfId="25757" xr:uid="{64E2D48D-F9B5-4DC5-9843-AC9F5931E077}"/>
    <cellStyle name="Calculation 11 2 2 4" xfId="38833" xr:uid="{AE8C7E19-E2AD-489A-98D2-B10BFAB0069B}"/>
    <cellStyle name="Calculation 11 2 3" xfId="6615" xr:uid="{FFBCDD5A-2847-405F-BC66-270BAFEA6BDF}"/>
    <cellStyle name="Calculation 11 2 3 2" xfId="16949" xr:uid="{231B3A91-46F4-443E-84D7-90914684C9EF}"/>
    <cellStyle name="Calculation 11 2 3 2 2" xfId="32789" xr:uid="{93400527-F02E-45B4-943C-C617F2F548E9}"/>
    <cellStyle name="Calculation 11 2 3 2 3" xfId="46491" xr:uid="{2FDE51CB-A416-447A-BFD9-6B199A2EDB5A}"/>
    <cellStyle name="Calculation 11 2 3 3" xfId="24248" xr:uid="{E6F344CB-6800-47A9-B6F3-6F103A751ADD}"/>
    <cellStyle name="Calculation 11 2 3 4" xfId="37329" xr:uid="{831950CA-47DB-4E5D-BA10-0193E1BA1F49}"/>
    <cellStyle name="Calculation 11 2 4" xfId="14374" xr:uid="{0C5CA800-6446-41A9-A661-E12D3EF0AEA9}"/>
    <cellStyle name="Calculation 11 2 4 2" xfId="30706" xr:uid="{649002CF-E50D-425A-AE18-66E7BA89EA97}"/>
    <cellStyle name="Calculation 11 2 4 3" xfId="44104" xr:uid="{70340279-75B7-4809-A3D5-AB23342EC229}"/>
    <cellStyle name="Calculation 11 2 5" xfId="21000" xr:uid="{F1258750-3C34-4A08-B0DB-22487E844DC1}"/>
    <cellStyle name="Calculation 11 2 6" xfId="34023" xr:uid="{F260C476-A916-4F38-9EF2-5DDAB5365708}"/>
    <cellStyle name="Calculation 11 3" xfId="4683" xr:uid="{2D1FDF32-DB0F-4BFA-9CE1-7E8A11958E9E}"/>
    <cellStyle name="Calculation 11 3 2" xfId="7262" xr:uid="{F847B7E7-4564-4814-835B-4800EA23B329}"/>
    <cellStyle name="Calculation 11 3 2 2" xfId="15336" xr:uid="{960A7E2B-31BA-4E28-A2AF-3A510A77BAC7}"/>
    <cellStyle name="Calculation 11 3 2 2 2" xfId="31493" xr:uid="{BB2F138C-93ED-4C31-A588-1AC1D06AAEEF}"/>
    <cellStyle name="Calculation 11 3 2 2 3" xfId="44979" xr:uid="{178838EA-1A38-4127-95B2-B136FF42DE4E}"/>
    <cellStyle name="Calculation 11 3 2 3" xfId="24842" xr:uid="{28109F63-6D18-4E25-8CD7-C8225CC259CB}"/>
    <cellStyle name="Calculation 11 3 2 4" xfId="37923" xr:uid="{C35460F2-6F8D-46C9-9F9D-5A291E4C1F15}"/>
    <cellStyle name="Calculation 11 3 3" xfId="14657" xr:uid="{2F1D4AAE-8E23-48F5-90BB-16578135A6BA}"/>
    <cellStyle name="Calculation 11 3 3 2" xfId="30951" xr:uid="{E30EB4F2-9652-4454-AF83-8F9437699C3E}"/>
    <cellStyle name="Calculation 11 3 3 3" xfId="44372" xr:uid="{F6C6738C-0515-47DE-A9E0-1AC3C49F009B}"/>
    <cellStyle name="Calculation 11 3 4" xfId="22491" xr:uid="{6AF2C398-2154-4761-8B2F-F8A8F1490D0F}"/>
    <cellStyle name="Calculation 11 3 5" xfId="35544" xr:uid="{D5C70893-BCBD-4702-97C0-1F096A86483E}"/>
    <cellStyle name="Calculation 11 4" xfId="5656" xr:uid="{BBF524F3-61D6-46C0-9DEC-7A79CF180C45}"/>
    <cellStyle name="Calculation 11 4 2" xfId="8840" xr:uid="{DF6E5100-7F3A-4537-BD41-307313539C17}"/>
    <cellStyle name="Calculation 11 4 2 2" xfId="13233" xr:uid="{62F29E2B-18CE-4071-8709-294E00376DDE}"/>
    <cellStyle name="Calculation 11 4 2 2 2" xfId="29730" xr:uid="{033752E2-7811-4DF4-BDC8-4E310E70234B}"/>
    <cellStyle name="Calculation 11 4 2 2 3" xfId="43052" xr:uid="{D81A5AC5-6FCB-4B6C-8E54-9B961BFD142D}"/>
    <cellStyle name="Calculation 11 4 2 3" xfId="26331" xr:uid="{E5BAC6DE-5A13-4C75-93D6-27E56BFCA6EA}"/>
    <cellStyle name="Calculation 11 4 2 4" xfId="39407" xr:uid="{64BAD6A6-ED31-49D1-B965-CE49D68A4EEE}"/>
    <cellStyle name="Calculation 11 4 3" xfId="15240" xr:uid="{93376F82-3377-4317-9714-A4D4E17BF892}"/>
    <cellStyle name="Calculation 11 4 3 2" xfId="31416" xr:uid="{53421AEB-C395-4422-A732-761ED0596BF4}"/>
    <cellStyle name="Calculation 11 4 3 3" xfId="44891" xr:uid="{E161374E-83A5-4709-88C3-3B8B5168351D}"/>
    <cellStyle name="Calculation 11 4 4" xfId="23303" xr:uid="{A7816D82-A101-4AD9-90E8-EC754069E6F2}"/>
    <cellStyle name="Calculation 11 4 5" xfId="36384" xr:uid="{1747569B-8CE7-4CC2-9E18-E79C823F7DE1}"/>
    <cellStyle name="Calculation 11 5" xfId="12601" xr:uid="{3884D6A8-EA38-47BD-8E12-83F827E63CE3}"/>
    <cellStyle name="Calculation 11 5 2" xfId="29215" xr:uid="{81B0B736-306B-4841-AB79-3D36E933AB0C}"/>
    <cellStyle name="Calculation 11 5 3" xfId="42479" xr:uid="{B42053E9-45E8-4B97-95AC-E482686F7AB7}"/>
    <cellStyle name="Calculation 11 6" xfId="21565" xr:uid="{EA2A4E6E-3422-480D-8A48-4256E049C436}"/>
    <cellStyle name="Calculation 11 7" xfId="34619" xr:uid="{13FE2067-8A4E-4A6B-B890-0EF7E08899E0}"/>
    <cellStyle name="Calculation 12" xfId="3636" xr:uid="{D3718170-29A6-44A6-ADFE-AE3BB10AF726}"/>
    <cellStyle name="Calculation 12 2" xfId="2960" xr:uid="{C5F3FF8E-425D-4864-9E59-D766DB5872DA}"/>
    <cellStyle name="Calculation 12 2 2" xfId="8256" xr:uid="{7DED4EC0-87E7-4E7A-B7EA-EB1C70E5F2DD}"/>
    <cellStyle name="Calculation 12 2 2 2" xfId="10749" xr:uid="{995C62F2-025A-4832-B3A4-4C4DA0CE46BC}"/>
    <cellStyle name="Calculation 12 2 2 2 2" xfId="27589" xr:uid="{A64B890B-65A2-46AE-BF71-280CB06FF0DF}"/>
    <cellStyle name="Calculation 12 2 2 2 3" xfId="40730" xr:uid="{EAC2C1B2-D4B1-4889-89FB-12E838A3FAAD}"/>
    <cellStyle name="Calculation 12 2 2 3" xfId="25765" xr:uid="{563FD2E5-7F4C-46B9-A336-CCD0D9F0CE65}"/>
    <cellStyle name="Calculation 12 2 2 4" xfId="38841" xr:uid="{3D6715CC-E0C9-4A5E-AE97-371BA99251F2}"/>
    <cellStyle name="Calculation 12 2 3" xfId="6623" xr:uid="{722E0439-89D4-41F6-AAC3-6FD5970245E9}"/>
    <cellStyle name="Calculation 12 2 3 2" xfId="15453" xr:uid="{D89F842B-3521-46F4-B445-86C90D59847A}"/>
    <cellStyle name="Calculation 12 2 3 2 2" xfId="31598" xr:uid="{441A0C46-8306-49B1-A892-59BEF4F29BBF}"/>
    <cellStyle name="Calculation 12 2 3 2 3" xfId="45093" xr:uid="{6C1C938C-3343-4E1C-95EF-B53E404D1D4F}"/>
    <cellStyle name="Calculation 12 2 3 3" xfId="24256" xr:uid="{CB74A058-31A3-4707-973C-D8113D9FEE6B}"/>
    <cellStyle name="Calculation 12 2 3 4" xfId="37337" xr:uid="{3F22F426-5A92-4270-8C94-B8C14F89A73C}"/>
    <cellStyle name="Calculation 12 2 4" xfId="11516" xr:uid="{B6050FF3-65FD-4B11-956A-DEBB9645AB0A}"/>
    <cellStyle name="Calculation 12 2 4 2" xfId="28275" xr:uid="{FF038DBB-0A46-4B31-9BCF-9C06D6CB3E71}"/>
    <cellStyle name="Calculation 12 2 4 3" xfId="41472" xr:uid="{9D944585-69B0-4406-909E-1879ADDA11CB}"/>
    <cellStyle name="Calculation 12 2 5" xfId="21008" xr:uid="{6455342E-6DE1-44D1-8AD2-B2BB5043933A}"/>
    <cellStyle name="Calculation 12 2 6" xfId="34031" xr:uid="{A413A1F6-6714-4A5B-A646-AC715909FB83}"/>
    <cellStyle name="Calculation 12 3" xfId="4688" xr:uid="{B1ED020A-A680-452F-8DAA-5562D4E67232}"/>
    <cellStyle name="Calculation 12 3 2" xfId="7271" xr:uid="{0D3F387F-B040-4F79-9B5B-BFB89613C925}"/>
    <cellStyle name="Calculation 12 3 2 2" xfId="17264" xr:uid="{AE3370FA-8BE8-473A-809B-7EA16544360F}"/>
    <cellStyle name="Calculation 12 3 2 2 2" xfId="33023" xr:uid="{E4A51DB8-CB81-4964-99B4-0B8A458E1E9A}"/>
    <cellStyle name="Calculation 12 3 2 2 3" xfId="46798" xr:uid="{24E672D8-6896-4743-A52E-8629B6946594}"/>
    <cellStyle name="Calculation 12 3 2 3" xfId="24847" xr:uid="{D6E1EF25-C119-4B49-B03A-873BEFFE4396}"/>
    <cellStyle name="Calculation 12 3 2 4" xfId="37928" xr:uid="{FB8A7724-05D6-4253-A78F-E5046A3C713C}"/>
    <cellStyle name="Calculation 12 3 3" xfId="12210" xr:uid="{9AF9C421-C839-4A61-AEFB-BB0B372CC740}"/>
    <cellStyle name="Calculation 12 3 3 2" xfId="28897" xr:uid="{C0CC7F02-B6F4-42E4-A6F0-052159C51BFA}"/>
    <cellStyle name="Calculation 12 3 3 3" xfId="42127" xr:uid="{BD5EA98F-CFCA-4516-A7D8-7F456AC69051}"/>
    <cellStyle name="Calculation 12 3 4" xfId="22496" xr:uid="{E2845BF9-5380-43BA-B75A-1564E03097C8}"/>
    <cellStyle name="Calculation 12 3 5" xfId="35549" xr:uid="{E608E103-DC56-4BEC-AE78-79A89F790D00}"/>
    <cellStyle name="Calculation 12 4" xfId="5661" xr:uid="{F1DEC9BC-A4F9-478C-801B-A4108FC3800E}"/>
    <cellStyle name="Calculation 12 4 2" xfId="8845" xr:uid="{77E4D455-8CF5-47EE-9531-59A7F1ABE5DA}"/>
    <cellStyle name="Calculation 12 4 2 2" xfId="17201" xr:uid="{310B8599-A7A2-4847-9F40-21703753CCFE}"/>
    <cellStyle name="Calculation 12 4 2 2 2" xfId="32964" xr:uid="{A588A79D-878F-4292-BDF0-03752E0A78A2}"/>
    <cellStyle name="Calculation 12 4 2 2 3" xfId="46736" xr:uid="{ED3719FA-A1C3-48EA-98CE-A1B946BEA1C0}"/>
    <cellStyle name="Calculation 12 4 2 3" xfId="26336" xr:uid="{CC235E77-4A10-472B-81E2-94BC3FDD0281}"/>
    <cellStyle name="Calculation 12 4 2 4" xfId="39412" xr:uid="{01858AB1-D54C-4832-AAA2-962038B2301D}"/>
    <cellStyle name="Calculation 12 4 3" xfId="12334" xr:uid="{9E86B51E-DEDC-4BFB-8CAB-322F55949A24}"/>
    <cellStyle name="Calculation 12 4 3 2" xfId="29002" xr:uid="{99A820BF-DFD2-419A-946D-F547550CFE4A}"/>
    <cellStyle name="Calculation 12 4 3 3" xfId="42242" xr:uid="{ACF99F9C-83FA-4F63-A02B-C1C083DB575F}"/>
    <cellStyle name="Calculation 12 4 4" xfId="23308" xr:uid="{7CA6CD62-B899-4AFE-928E-1A8169D12DCF}"/>
    <cellStyle name="Calculation 12 4 5" xfId="36389" xr:uid="{A5B641D0-7C4B-47FB-AFC0-FC6421E97C50}"/>
    <cellStyle name="Calculation 12 5" xfId="12998" xr:uid="{C29A34F7-E0F4-43EB-9756-03823C5DAE44}"/>
    <cellStyle name="Calculation 12 5 2" xfId="29534" xr:uid="{0507B6A6-F362-4EC2-9559-7D9318B5037A}"/>
    <cellStyle name="Calculation 12 5 3" xfId="42835" xr:uid="{FBF7E9C4-82D1-454A-86E4-7F1EB0B9BA02}"/>
    <cellStyle name="Calculation 12 6" xfId="21570" xr:uid="{AB05DA89-D01B-4A7A-8CAC-CF05B2420AD0}"/>
    <cellStyle name="Calculation 12 7" xfId="34624" xr:uid="{C947599B-CFCE-4488-8F39-7C75E19CC534}"/>
    <cellStyle name="Calculation 13" xfId="3628" xr:uid="{04B0E778-816B-4CD3-B433-7F8DEDDF35BE}"/>
    <cellStyle name="Calculation 13 2" xfId="2953" xr:uid="{DDB1A6EC-33CA-47A2-A699-D1028E72A8D9}"/>
    <cellStyle name="Calculation 13 2 2" xfId="8249" xr:uid="{4D8E99D7-DE80-4A37-A65C-D4DD4518781D}"/>
    <cellStyle name="Calculation 13 2 2 2" xfId="10847" xr:uid="{380C99A3-0D1B-4E30-8F8D-6BFFDCCFDF3F}"/>
    <cellStyle name="Calculation 13 2 2 2 2" xfId="27676" xr:uid="{09058095-2DB2-4285-8F80-0984A876771E}"/>
    <cellStyle name="Calculation 13 2 2 2 3" xfId="40828" xr:uid="{F55A89F7-5E56-4C5B-8840-6D10110E32F7}"/>
    <cellStyle name="Calculation 13 2 2 3" xfId="25758" xr:uid="{DDA90603-DE0B-4026-9B40-269EED124AE5}"/>
    <cellStyle name="Calculation 13 2 2 4" xfId="38834" xr:uid="{32FF79F9-AC7C-47A1-B794-27ED7E17A47B}"/>
    <cellStyle name="Calculation 13 2 3" xfId="6616" xr:uid="{E45F9EC5-125F-4BEE-A8EB-01735FF35F87}"/>
    <cellStyle name="Calculation 13 2 3 2" xfId="14811" xr:uid="{074C7966-3CD8-44D3-AD56-633F9DFEDC34}"/>
    <cellStyle name="Calculation 13 2 3 2 2" xfId="31073" xr:uid="{5FB47A2E-0387-4129-949E-30E64C06A30E}"/>
    <cellStyle name="Calculation 13 2 3 2 3" xfId="44508" xr:uid="{E2F03E9A-84B4-4FDC-822E-0A8EC31CAC50}"/>
    <cellStyle name="Calculation 13 2 3 3" xfId="24249" xr:uid="{DC93CAFB-0124-4481-9B6C-D53736D16F34}"/>
    <cellStyle name="Calculation 13 2 3 4" xfId="37330" xr:uid="{F9BE28DE-E7BF-4E36-BECC-15929EAE94A2}"/>
    <cellStyle name="Calculation 13 2 4" xfId="13549" xr:uid="{BDB83DDE-3A07-40A1-9E92-78F8E47ADEE6}"/>
    <cellStyle name="Calculation 13 2 4 2" xfId="29995" xr:uid="{84978128-3C67-487B-897F-A104DC71AE73}"/>
    <cellStyle name="Calculation 13 2 4 3" xfId="43344" xr:uid="{C5576B89-1DA0-4F0B-B08E-F964E13FD137}"/>
    <cellStyle name="Calculation 13 2 5" xfId="21001" xr:uid="{0623CE26-F503-4374-9589-068DC81A8369}"/>
    <cellStyle name="Calculation 13 2 6" xfId="34024" xr:uid="{68913C8C-87B4-4445-BAA4-0F6556BC7F20}"/>
    <cellStyle name="Calculation 13 3" xfId="4684" xr:uid="{41FEEF10-971B-4D46-A186-1F202D9B0274}"/>
    <cellStyle name="Calculation 13 3 2" xfId="7263" xr:uid="{3EAC1F0F-FC0F-49F9-A044-A640A950BB3A}"/>
    <cellStyle name="Calculation 13 3 2 2" xfId="16696" xr:uid="{586EC771-6B1B-46F2-A399-C033B4ECA445}"/>
    <cellStyle name="Calculation 13 3 2 2 2" xfId="32582" xr:uid="{A60D26DD-F4DF-4AFC-B7A7-46C66A137591}"/>
    <cellStyle name="Calculation 13 3 2 2 3" xfId="46241" xr:uid="{020CDA46-BEA2-4569-9302-AC6CB88915E6}"/>
    <cellStyle name="Calculation 13 3 2 3" xfId="24843" xr:uid="{51D70A6E-4479-4EA0-B112-26AEC47D4799}"/>
    <cellStyle name="Calculation 13 3 2 4" xfId="37924" xr:uid="{A832CBA2-2373-4D9B-B2F5-9DCC7A1B7126}"/>
    <cellStyle name="Calculation 13 3 3" xfId="15219" xr:uid="{A2D3A124-84A0-4D50-88DF-6C1D9C037FB3}"/>
    <cellStyle name="Calculation 13 3 3 2" xfId="31397" xr:uid="{EC47B9BE-9DF0-4FE5-808C-8134B22EE20F}"/>
    <cellStyle name="Calculation 13 3 3 3" xfId="44870" xr:uid="{760B59CA-18B9-49F3-A5C9-B1A8067D4E45}"/>
    <cellStyle name="Calculation 13 3 4" xfId="22492" xr:uid="{7818D6A8-0E1A-4A1F-B9A2-BA524B46BB80}"/>
    <cellStyle name="Calculation 13 3 5" xfId="35545" xr:uid="{1FDF45FB-D97B-4EF7-936B-D2B5943CAD9B}"/>
    <cellStyle name="Calculation 13 4" xfId="5657" xr:uid="{D6703E91-0AA0-4225-B077-43C2EE363A2E}"/>
    <cellStyle name="Calculation 13 4 2" xfId="8841" xr:uid="{A133C096-13D3-4414-9853-26E3F97D3FFB}"/>
    <cellStyle name="Calculation 13 4 2 2" xfId="14543" xr:uid="{4B111507-482C-4D36-A906-FF06D477AF0A}"/>
    <cellStyle name="Calculation 13 4 2 2 2" xfId="30854" xr:uid="{71C4E27E-56BC-4D2A-AE2B-BC7FE0066E61}"/>
    <cellStyle name="Calculation 13 4 2 2 3" xfId="44266" xr:uid="{77E97B2E-D3B3-498E-AB01-ED4D42D55D6E}"/>
    <cellStyle name="Calculation 13 4 2 3" xfId="26332" xr:uid="{BB7316F4-6106-490B-A1CA-B355AE52D2AA}"/>
    <cellStyle name="Calculation 13 4 2 4" xfId="39408" xr:uid="{AF65DB31-CAA8-41EC-B03C-AE5C16D859FF}"/>
    <cellStyle name="Calculation 13 4 3" xfId="11348" xr:uid="{6D5EC3AA-58A4-40D8-8598-98B5D65425C0}"/>
    <cellStyle name="Calculation 13 4 3 2" xfId="28127" xr:uid="{F89DE242-028F-404C-9887-6DCE5FF71370}"/>
    <cellStyle name="Calculation 13 4 3 3" xfId="41315" xr:uid="{CDF38EA5-6562-4613-97B4-C6A7B300CA15}"/>
    <cellStyle name="Calculation 13 4 4" xfId="23304" xr:uid="{12EB2BC6-4379-41F9-A1A6-4569DF831432}"/>
    <cellStyle name="Calculation 13 4 5" xfId="36385" xr:uid="{C5A44168-A789-4B71-BFBA-660D56CFD4E3}"/>
    <cellStyle name="Calculation 13 5" xfId="14220" xr:uid="{9A820E7B-5A26-4BD7-AA5F-155311FC4DB1}"/>
    <cellStyle name="Calculation 13 5 2" xfId="30565" xr:uid="{39759991-0485-49DC-B809-62BEC18B81C2}"/>
    <cellStyle name="Calculation 13 5 3" xfId="43957" xr:uid="{F6211D65-1BED-4EC2-B282-C6D37B60862C}"/>
    <cellStyle name="Calculation 13 6" xfId="21566" xr:uid="{261D1FDE-DE16-40CF-BBF8-C400181219EA}"/>
    <cellStyle name="Calculation 13 7" xfId="34620" xr:uid="{20F85339-C42D-4E3D-9F14-7FCB94AE511A}"/>
    <cellStyle name="Calculation 14" xfId="3594" xr:uid="{7EC6EAC6-B296-470C-A369-8212FCD4CF4F}"/>
    <cellStyle name="Calculation 14 2" xfId="2928" xr:uid="{C55F5076-82E1-41B9-B03D-6586EC28BF45}"/>
    <cellStyle name="Calculation 14 2 2" xfId="8224" xr:uid="{63C489DA-FAF6-49A1-B083-8463D1BE1DFC}"/>
    <cellStyle name="Calculation 14 2 2 2" xfId="17386" xr:uid="{E8E0ADC7-477A-460E-8D72-6FD471BC1DA7}"/>
    <cellStyle name="Calculation 14 2 2 2 2" xfId="33140" xr:uid="{1EC2C752-A801-4450-9322-305DCF49BD9A}"/>
    <cellStyle name="Calculation 14 2 2 2 3" xfId="46916" xr:uid="{AED57834-4865-40E9-AF9E-0B64B91DC42C}"/>
    <cellStyle name="Calculation 14 2 2 3" xfId="25735" xr:uid="{13FA6AB2-6CD7-4025-B920-44807A82A4F8}"/>
    <cellStyle name="Calculation 14 2 2 4" xfId="38811" xr:uid="{6CAD08E3-A2A1-471F-8428-18DBE4E08559}"/>
    <cellStyle name="Calculation 14 2 3" xfId="6591" xr:uid="{0E4B37AF-8327-4AB5-8D56-1DE8F8844901}"/>
    <cellStyle name="Calculation 14 2 3 2" xfId="14485" xr:uid="{3379579F-2C99-4DD1-AF94-80D6BD6868A5}"/>
    <cellStyle name="Calculation 14 2 3 2 2" xfId="30808" xr:uid="{BE6D67F1-1526-4F5B-98C4-63284B48F6F2}"/>
    <cellStyle name="Calculation 14 2 3 2 3" xfId="44214" xr:uid="{44832238-4DC3-4BF6-B6DE-A9BFE6629882}"/>
    <cellStyle name="Calculation 14 2 3 3" xfId="24226" xr:uid="{2B2CDA5E-4F3F-46F3-A7CF-4D2102E15D3B}"/>
    <cellStyle name="Calculation 14 2 3 4" xfId="37307" xr:uid="{F3D057E5-CD7D-4B02-A63D-0497C6EB1C3F}"/>
    <cellStyle name="Calculation 14 2 4" xfId="15504" xr:uid="{C2F4ED7D-F912-40E1-A358-B2C249E8E063}"/>
    <cellStyle name="Calculation 14 2 4 2" xfId="31642" xr:uid="{A79E0AF0-7017-4422-9F69-E3AD2E1C98ED}"/>
    <cellStyle name="Calculation 14 2 4 3" xfId="45140" xr:uid="{9FA9CDF2-65E5-47B4-87DC-921861F3A8FD}"/>
    <cellStyle name="Calculation 14 2 5" xfId="20978" xr:uid="{5ED7F632-466A-445F-A7F8-87BE71E37BEC}"/>
    <cellStyle name="Calculation 14 2 6" xfId="34001" xr:uid="{0E684453-707B-4C39-A5BF-4201EB8FFC1C}"/>
    <cellStyle name="Calculation 14 3" xfId="4672" xr:uid="{94EB1EEC-98F4-4C84-94E7-B8C9A626A3B2}"/>
    <cellStyle name="Calculation 14 3 2" xfId="7230" xr:uid="{22E4EF8D-7EE5-4DBD-8A40-5CD43E4B02D4}"/>
    <cellStyle name="Calculation 14 3 2 2" xfId="15421" xr:uid="{EC930F9F-823C-447C-B06C-2047C5FC0C7F}"/>
    <cellStyle name="Calculation 14 3 2 2 2" xfId="31570" xr:uid="{0B9CE36C-D526-4896-BB0D-0194DA9AFC0B}"/>
    <cellStyle name="Calculation 14 3 2 2 3" xfId="45063" xr:uid="{A5F5BC49-690F-461C-8C7C-A14EA26FB2B0}"/>
    <cellStyle name="Calculation 14 3 2 3" xfId="24824" xr:uid="{23F7FFD5-272B-4A7B-A935-772AA012B86C}"/>
    <cellStyle name="Calculation 14 3 2 4" xfId="37905" xr:uid="{9D826E07-A34D-4C56-B975-148E566EF646}"/>
    <cellStyle name="Calculation 14 3 3" xfId="14594" xr:uid="{1AECF287-152A-4F5F-9427-F57AB297553B}"/>
    <cellStyle name="Calculation 14 3 3 2" xfId="30894" xr:uid="{BAB96E06-2913-4A71-A336-385517C61BFE}"/>
    <cellStyle name="Calculation 14 3 3 3" xfId="44313" xr:uid="{B80FDD23-02E5-4E85-86A8-3601E41847C3}"/>
    <cellStyle name="Calculation 14 3 4" xfId="22482" xr:uid="{476A7993-D2FF-488F-BBF4-6F49926F5B86}"/>
    <cellStyle name="Calculation 14 3 5" xfId="35535" xr:uid="{BBC7347E-712E-404F-8F8F-02F6E4073566}"/>
    <cellStyle name="Calculation 14 4" xfId="5638" xr:uid="{C8D26731-8DAE-4407-840A-E6C903A6E511}"/>
    <cellStyle name="Calculation 14 4 2" xfId="8820" xr:uid="{7284D0EB-2EF1-4988-B3F1-584CFC540E85}"/>
    <cellStyle name="Calculation 14 4 2 2" xfId="12305" xr:uid="{40BADFA2-4EE9-49C1-893B-12B591335261}"/>
    <cellStyle name="Calculation 14 4 2 2 2" xfId="28977" xr:uid="{379C88C7-88A7-4549-86E7-9FB89BD65E1F}"/>
    <cellStyle name="Calculation 14 4 2 2 3" xfId="42214" xr:uid="{6951D425-5A29-4371-9BC1-1DA039B482CB}"/>
    <cellStyle name="Calculation 14 4 2 3" xfId="26313" xr:uid="{56D67C13-656A-4CF1-A1EA-087EC4A548DD}"/>
    <cellStyle name="Calculation 14 4 2 4" xfId="39389" xr:uid="{D0BC0900-A7DF-437C-81CE-2F99AF2B911C}"/>
    <cellStyle name="Calculation 14 4 3" xfId="15235" xr:uid="{24E715A6-EA8E-4C9C-9F2E-8620AFD120BD}"/>
    <cellStyle name="Calculation 14 4 3 2" xfId="31411" xr:uid="{0D37F5CE-9D4E-42F2-9E0F-29647E4A5F41}"/>
    <cellStyle name="Calculation 14 4 3 3" xfId="44886" xr:uid="{BE61C8E9-AF0B-4DDC-9265-E61EEBC73980}"/>
    <cellStyle name="Calculation 14 4 4" xfId="23285" xr:uid="{3989C832-7D0B-4390-BEE0-344DC07FD32C}"/>
    <cellStyle name="Calculation 14 4 5" xfId="36366" xr:uid="{8DB586C1-8411-497B-BA42-0335E7D904BE}"/>
    <cellStyle name="Calculation 14 5" xfId="11958" xr:uid="{4C943A43-2960-4F30-B1CA-EA5AC5F184EE}"/>
    <cellStyle name="Calculation 14 5 2" xfId="28667" xr:uid="{F3AA1686-F5B1-4A79-B6A1-777E22A164C2}"/>
    <cellStyle name="Calculation 14 5 3" xfId="41885" xr:uid="{C7145450-16D8-48C1-B43A-94CC613A8864}"/>
    <cellStyle name="Calculation 14 6" xfId="21547" xr:uid="{1A61C63F-D0A6-42CF-BCA5-64FF56808432}"/>
    <cellStyle name="Calculation 14 7" xfId="34601" xr:uid="{C36ABA8D-1C4A-40D3-95B0-614E3C0DF814}"/>
    <cellStyle name="Calculation 15" xfId="3629" xr:uid="{64037239-5B64-4624-AF29-E2225CE60F2A}"/>
    <cellStyle name="Calculation 15 2" xfId="2954" xr:uid="{C89FA01A-EBBB-4A0B-83B1-988FD437ACA6}"/>
    <cellStyle name="Calculation 15 2 2" xfId="8250" xr:uid="{32D85F35-59DF-425C-94C7-0DA00EF09E91}"/>
    <cellStyle name="Calculation 15 2 2 2" xfId="13013" xr:uid="{E6D330F4-6D66-479E-8C5A-5ADEED954485}"/>
    <cellStyle name="Calculation 15 2 2 2 2" xfId="29545" xr:uid="{49F62CA1-C832-4B4B-9F04-A8F9D1F28C55}"/>
    <cellStyle name="Calculation 15 2 2 2 3" xfId="42847" xr:uid="{17DD99C4-B1D5-40BC-9EC7-6618EB44BA66}"/>
    <cellStyle name="Calculation 15 2 2 3" xfId="25759" xr:uid="{7792E0B4-C5DE-4241-BC42-F050ECBF8A51}"/>
    <cellStyle name="Calculation 15 2 2 4" xfId="38835" xr:uid="{FB7162F9-7135-42A5-9DB6-4804C6BAB4B5}"/>
    <cellStyle name="Calculation 15 2 3" xfId="6617" xr:uid="{320EEF71-A772-47D9-83B9-2CD4F7DAF71E}"/>
    <cellStyle name="Calculation 15 2 3 2" xfId="16875" xr:uid="{B6691592-5D17-40A7-98FA-5AF9A5273271}"/>
    <cellStyle name="Calculation 15 2 3 2 2" xfId="32752" xr:uid="{4A091B31-F447-4336-A683-CF044C430570}"/>
    <cellStyle name="Calculation 15 2 3 2 3" xfId="46417" xr:uid="{E9C8B1E8-318C-45E9-B48E-2C9DE28C92D7}"/>
    <cellStyle name="Calculation 15 2 3 3" xfId="24250" xr:uid="{F7E344BC-2BBA-456B-A7AD-65EB191B9659}"/>
    <cellStyle name="Calculation 15 2 3 4" xfId="37331" xr:uid="{10347A00-87B0-4941-8CE5-8D85FB8ADBB9}"/>
    <cellStyle name="Calculation 15 2 4" xfId="16382" xr:uid="{F3D01EAE-C470-4A18-8EA0-BE81F9A7AE61}"/>
    <cellStyle name="Calculation 15 2 4 2" xfId="32402" xr:uid="{036F14F0-B5E3-4282-9C73-B4DFF5E875B2}"/>
    <cellStyle name="Calculation 15 2 4 3" xfId="45936" xr:uid="{F83090CB-9005-43C5-A2B5-005B2DDD2944}"/>
    <cellStyle name="Calculation 15 2 5" xfId="21002" xr:uid="{56A0198D-737E-4F6C-9692-1663B93D64EA}"/>
    <cellStyle name="Calculation 15 2 6" xfId="34025" xr:uid="{39857030-92CE-494D-B153-DEE9FBC6036D}"/>
    <cellStyle name="Calculation 15 3" xfId="4685" xr:uid="{D4915988-4757-4936-A12E-EB63206ACCA1}"/>
    <cellStyle name="Calculation 15 3 2" xfId="7264" xr:uid="{FDA5E4C6-225F-4B22-A37A-E971CB023DD5}"/>
    <cellStyle name="Calculation 15 3 2 2" xfId="15433" xr:uid="{E9A87CD5-5B54-4747-B2DD-E0D4928E9BB2}"/>
    <cellStyle name="Calculation 15 3 2 2 2" xfId="31580" xr:uid="{9D07257A-C244-4144-8C3A-6373751DB429}"/>
    <cellStyle name="Calculation 15 3 2 2 3" xfId="45075" xr:uid="{BF804F73-00E5-4CEA-98B0-0C212B6819C9}"/>
    <cellStyle name="Calculation 15 3 2 3" xfId="24844" xr:uid="{240ACCCD-AF7C-4170-8442-B326A2DBFC8E}"/>
    <cellStyle name="Calculation 15 3 2 4" xfId="37925" xr:uid="{63E20CC1-315E-45AF-8161-5631A5C6C6B1}"/>
    <cellStyle name="Calculation 15 3 3" xfId="11874" xr:uid="{7DB7736E-8257-47C0-9D94-4714BDA7CB8C}"/>
    <cellStyle name="Calculation 15 3 3 2" xfId="28590" xr:uid="{6F870851-3BC2-42A5-8CB2-281174A5CCCB}"/>
    <cellStyle name="Calculation 15 3 3 3" xfId="41806" xr:uid="{3EC72619-EC53-4CD7-8987-4B0576E1753F}"/>
    <cellStyle name="Calculation 15 3 4" xfId="22493" xr:uid="{0A8C649D-5AFE-4B52-A88E-7091E87705F6}"/>
    <cellStyle name="Calculation 15 3 5" xfId="35546" xr:uid="{50ACCCD7-42CD-401A-9FCA-657385FC4D41}"/>
    <cellStyle name="Calculation 15 4" xfId="5658" xr:uid="{11558DE2-DCF6-4EB4-BF8A-0E38BAB50A2B}"/>
    <cellStyle name="Calculation 15 4 2" xfId="8842" xr:uid="{2045DA64-8BA7-473B-8336-1E691DE134F7}"/>
    <cellStyle name="Calculation 15 4 2 2" xfId="14732" xr:uid="{88F15F2D-D1A9-40B9-A454-774E94D6BF1C}"/>
    <cellStyle name="Calculation 15 4 2 2 2" xfId="31014" xr:uid="{F9FFF397-29D6-4B2E-9CCE-114DADAD7756}"/>
    <cellStyle name="Calculation 15 4 2 2 3" xfId="44439" xr:uid="{6BBBC781-412D-41ED-BDD1-17EB9E40B627}"/>
    <cellStyle name="Calculation 15 4 2 3" xfId="26333" xr:uid="{90F3C3FE-6DD1-48D1-A647-A586B7D4736C}"/>
    <cellStyle name="Calculation 15 4 2 4" xfId="39409" xr:uid="{E2CC26A2-F6F5-4691-8C62-8C5683FCE07A}"/>
    <cellStyle name="Calculation 15 4 3" xfId="16646" xr:uid="{7505002C-9A4C-4303-B584-73537F00B8D0}"/>
    <cellStyle name="Calculation 15 4 3 2" xfId="32552" xr:uid="{A21E956F-A064-4F27-8720-536444FBA1C2}"/>
    <cellStyle name="Calculation 15 4 3 3" xfId="46193" xr:uid="{0DC9AD85-7680-47B9-AE0E-5156CBFB7866}"/>
    <cellStyle name="Calculation 15 4 4" xfId="23305" xr:uid="{436E174A-2AEB-4D81-8982-E0D281021E0F}"/>
    <cellStyle name="Calculation 15 4 5" xfId="36386" xr:uid="{B921F670-9B51-431D-B393-6ECEF5B71E1C}"/>
    <cellStyle name="Calculation 15 5" xfId="11265" xr:uid="{1D0B2F60-C25F-4CDD-A5E5-FF2E421EF6DC}"/>
    <cellStyle name="Calculation 15 5 2" xfId="28052" xr:uid="{BA08AFB9-CCC8-4841-AA83-ECE22C0B1275}"/>
    <cellStyle name="Calculation 15 5 3" xfId="41234" xr:uid="{4FA31675-C291-438A-AE63-099DBB96B11E}"/>
    <cellStyle name="Calculation 15 6" xfId="21567" xr:uid="{60812C1E-A017-4B68-82F0-2614FDCF90B8}"/>
    <cellStyle name="Calculation 15 7" xfId="34621" xr:uid="{8F3769B7-C324-453A-8958-300939D094D2}"/>
    <cellStyle name="Calculation 16" xfId="3930" xr:uid="{BCBA1805-7C69-4CE9-B094-F674252C5192}"/>
    <cellStyle name="Calculation 16 2" xfId="3192" xr:uid="{C7D4D8F1-2052-446F-A846-5F2376930F2F}"/>
    <cellStyle name="Calculation 16 2 2" xfId="8484" xr:uid="{58A8D19E-1B8A-427B-98B3-33DC7EA367A3}"/>
    <cellStyle name="Calculation 16 2 2 2" xfId="10751" xr:uid="{9569C166-C137-4991-AF5F-EDEC9C837253}"/>
    <cellStyle name="Calculation 16 2 2 2 2" xfId="27591" xr:uid="{B069C061-6E1B-4588-972F-4CA344ADB284}"/>
    <cellStyle name="Calculation 16 2 2 2 3" xfId="40732" xr:uid="{6EA5CAF7-C586-48B1-B573-7DEB4B9E0F28}"/>
    <cellStyle name="Calculation 16 2 2 3" xfId="25984" xr:uid="{634FFBCF-B08A-4BD8-94D4-C8027C4080BD}"/>
    <cellStyle name="Calculation 16 2 2 4" xfId="39060" xr:uid="{98973EB8-9FF0-4361-BC6D-574A5DF59E56}"/>
    <cellStyle name="Calculation 16 2 3" xfId="6851" xr:uid="{CF7E2AD0-C435-46E3-9017-BBEDC15A006E}"/>
    <cellStyle name="Calculation 16 2 3 2" xfId="12688" xr:uid="{25A2330E-60BF-4FB0-BB01-2196869878D0}"/>
    <cellStyle name="Calculation 16 2 3 2 2" xfId="29281" xr:uid="{FDDC4870-1EA2-4FF8-8AD1-207459B82343}"/>
    <cellStyle name="Calculation 16 2 3 2 3" xfId="42554" xr:uid="{3CB82658-CA30-474D-8467-80F12286C459}"/>
    <cellStyle name="Calculation 16 2 3 3" xfId="24475" xr:uid="{567EA0D6-EAFC-442F-8D62-BC38455716A0}"/>
    <cellStyle name="Calculation 16 2 3 4" xfId="37556" xr:uid="{44F37732-ECA9-4A46-934B-B22A215FDD1B}"/>
    <cellStyle name="Calculation 16 2 4" xfId="15375" xr:uid="{7A4FBCB1-43A0-48E0-9085-1EF961ACBC9A}"/>
    <cellStyle name="Calculation 16 2 4 2" xfId="31531" xr:uid="{8B0F585A-D1F4-41DA-85BE-FC88D587E444}"/>
    <cellStyle name="Calculation 16 2 4 3" xfId="45018" xr:uid="{69BDB773-79D6-4E2E-9051-82420753B364}"/>
    <cellStyle name="Calculation 16 2 5" xfId="21227" xr:uid="{ED8B1317-17A2-4102-85C3-1B139B0D85F0}"/>
    <cellStyle name="Calculation 16 2 6" xfId="34250" xr:uid="{0608F620-41A6-496F-A557-291F9CA13773}"/>
    <cellStyle name="Calculation 16 3" xfId="4854" xr:uid="{1EEE57BB-0FA8-4D92-96FE-02FD36F1915C}"/>
    <cellStyle name="Calculation 16 3 2" xfId="7510" xr:uid="{36232CC7-D396-4CD4-AC01-A6ADC4A53B82}"/>
    <cellStyle name="Calculation 16 3 2 2" xfId="14136" xr:uid="{2577B2A5-4C02-4370-9585-1E36D9FFACF2}"/>
    <cellStyle name="Calculation 16 3 2 2 2" xfId="30499" xr:uid="{DC576B52-6961-4609-9EAC-42FFDB5A3B1F}"/>
    <cellStyle name="Calculation 16 3 2 2 3" xfId="43883" xr:uid="{2EA342AC-C260-44C9-B2C9-E2F4104B5B74}"/>
    <cellStyle name="Calculation 16 3 2 3" xfId="25053" xr:uid="{B51C3282-BB43-4071-83C9-5B01C79C7745}"/>
    <cellStyle name="Calculation 16 3 2 4" xfId="38129" xr:uid="{AD680958-DCA5-4EBF-8970-8D837B78B40A}"/>
    <cellStyle name="Calculation 16 3 3" xfId="16079" xr:uid="{FF9C63AC-85C9-417D-99BF-005AD5ABA2F4}"/>
    <cellStyle name="Calculation 16 3 3 2" xfId="32139" xr:uid="{6207B604-DB7B-4116-91FF-DDEB4468169C}"/>
    <cellStyle name="Calculation 16 3 3 3" xfId="45659" xr:uid="{0F5980E1-8677-4674-9528-46A44F01AEDB}"/>
    <cellStyle name="Calculation 16 3 4" xfId="22654" xr:uid="{8CD34F68-45E4-4725-ABF7-803D2C10FB0E}"/>
    <cellStyle name="Calculation 16 3 5" xfId="35707" xr:uid="{2681DD09-5BF1-4294-8E7D-F4BABFC0AB26}"/>
    <cellStyle name="Calculation 16 4" xfId="5879" xr:uid="{D19564EA-2851-4814-86A2-F22680457CAD}"/>
    <cellStyle name="Calculation 16 4 2" xfId="9039" xr:uid="{53F8CC2E-5EA7-4F89-9A2F-11C6B03720FB}"/>
    <cellStyle name="Calculation 16 4 2 2" xfId="12747" xr:uid="{97D30C58-5F5C-4735-A610-EA5A380A55E5}"/>
    <cellStyle name="Calculation 16 4 2 2 2" xfId="29325" xr:uid="{F699FC5F-527F-4A60-AD72-1BA4F594CD0B}"/>
    <cellStyle name="Calculation 16 4 2 2 3" xfId="42604" xr:uid="{F82AA895-A066-42CF-9F7E-4DEC838B59F6}"/>
    <cellStyle name="Calculation 16 4 2 3" xfId="26522" xr:uid="{F2A379A2-36C4-4E93-9A60-62C018366724}"/>
    <cellStyle name="Calculation 16 4 2 4" xfId="39598" xr:uid="{AFCC6F2C-6252-47D2-905D-E4AA57D12746}"/>
    <cellStyle name="Calculation 16 4 3" xfId="12632" xr:uid="{9CEE4F2E-0B33-472E-AB30-2C4A995F0E7A}"/>
    <cellStyle name="Calculation 16 4 3 2" xfId="29238" xr:uid="{1AF131D0-2387-4C3A-8BE9-FFE095183997}"/>
    <cellStyle name="Calculation 16 4 3 3" xfId="42505" xr:uid="{D51121A1-740D-43AB-970E-817C9D2C702E}"/>
    <cellStyle name="Calculation 16 4 4" xfId="23526" xr:uid="{4BDEC3F2-F22E-4B32-A7EA-4422122C9347}"/>
    <cellStyle name="Calculation 16 4 5" xfId="36607" xr:uid="{27386DF8-E490-4F36-8B5C-66E900D379F9}"/>
    <cellStyle name="Calculation 16 5" xfId="13731" xr:uid="{EFE69F05-BA94-4464-A06F-135206B4D744}"/>
    <cellStyle name="Calculation 16 5 2" xfId="30146" xr:uid="{D4EE92FF-94A5-41AF-A8E9-8ADBA8D010A1}"/>
    <cellStyle name="Calculation 16 5 3" xfId="43508" xr:uid="{D0E20C64-C3CA-4920-8149-AA1243F5E0CE}"/>
    <cellStyle name="Calculation 16 6" xfId="21792" xr:uid="{B32D3BA4-93F3-412F-B8E4-DFB1E343914C}"/>
    <cellStyle name="Calculation 16 7" xfId="34842" xr:uid="{E8A641A0-0B18-41C3-9B2D-9DF298D4DC6D}"/>
    <cellStyle name="Calculation 17" xfId="3931" xr:uid="{A37A1DB1-CA53-406E-8F56-6EEF5A3DD65D}"/>
    <cellStyle name="Calculation 17 2" xfId="3193" xr:uid="{FAAC8C62-F0FB-451D-945E-6F815104D8A6}"/>
    <cellStyle name="Calculation 17 2 2" xfId="8485" xr:uid="{8665537D-EA07-488B-B57F-FF0760FB3C8A}"/>
    <cellStyle name="Calculation 17 2 2 2" xfId="13866" xr:uid="{2F711568-319B-4145-B34A-149DFF246FBB}"/>
    <cellStyle name="Calculation 17 2 2 2 2" xfId="30264" xr:uid="{2C8C86DA-7FEE-423B-97AE-881327A97136}"/>
    <cellStyle name="Calculation 17 2 2 2 3" xfId="43636" xr:uid="{7CF32E3C-BAC6-4C23-A011-0E68CAE20B9E}"/>
    <cellStyle name="Calculation 17 2 2 3" xfId="25985" xr:uid="{935B0BA3-4D98-439A-99DA-CE4F9C4389BA}"/>
    <cellStyle name="Calculation 17 2 2 4" xfId="39061" xr:uid="{378A4A5C-4AF2-43AB-B1D5-12A169584FB9}"/>
    <cellStyle name="Calculation 17 2 3" xfId="6852" xr:uid="{59CEB099-BAB8-435A-AE24-3E2FE6247471}"/>
    <cellStyle name="Calculation 17 2 3 2" xfId="11340" xr:uid="{B8FCDA85-C1BA-4477-A579-BE40280E5E80}"/>
    <cellStyle name="Calculation 17 2 3 2 2" xfId="28119" xr:uid="{25938AC2-1533-4FDE-AA7F-715B10E6082F}"/>
    <cellStyle name="Calculation 17 2 3 2 3" xfId="41307" xr:uid="{BE317C6D-2904-4993-93BC-02E0902FAA8D}"/>
    <cellStyle name="Calculation 17 2 3 3" xfId="24476" xr:uid="{4F27E5CE-6720-4B97-AA24-19717DD49444}"/>
    <cellStyle name="Calculation 17 2 3 4" xfId="37557" xr:uid="{3DF5CC69-FF05-4703-9D0D-C3E9082D7416}"/>
    <cellStyle name="Calculation 17 2 4" xfId="12094" xr:uid="{A7D4784B-E1BE-4C88-838C-CB94B976DF55}"/>
    <cellStyle name="Calculation 17 2 4 2" xfId="28794" xr:uid="{FE4F700C-47D5-4638-8909-D9C6A227F4D3}"/>
    <cellStyle name="Calculation 17 2 4 3" xfId="42014" xr:uid="{17FF5B13-B84B-40B9-B19E-8FC7E75F5B73}"/>
    <cellStyle name="Calculation 17 2 5" xfId="21228" xr:uid="{25AEC002-D871-4317-B280-6AD8EC0302D4}"/>
    <cellStyle name="Calculation 17 2 6" xfId="34251" xr:uid="{67F0D924-06DC-48BD-9FC4-B50685416EA7}"/>
    <cellStyle name="Calculation 17 3" xfId="4855" xr:uid="{7DC4AD06-C734-46D8-AAC6-395A86F4CF42}"/>
    <cellStyle name="Calculation 17 3 2" xfId="7511" xr:uid="{E04D078C-3B00-4CB8-B394-4FAF6CDAE9C5}"/>
    <cellStyle name="Calculation 17 3 2 2" xfId="14919" xr:uid="{C19FD8A3-3611-4F37-BE8C-DA2743A6996A}"/>
    <cellStyle name="Calculation 17 3 2 2 2" xfId="31165" xr:uid="{8661D57D-31D9-40B4-AE7E-0628E45BD0D8}"/>
    <cellStyle name="Calculation 17 3 2 2 3" xfId="44608" xr:uid="{00CD1BFB-F07B-4A64-A1AA-69E14F7AE037}"/>
    <cellStyle name="Calculation 17 3 2 3" xfId="25054" xr:uid="{1B3AF31A-7376-4AD1-A940-59A2535025B4}"/>
    <cellStyle name="Calculation 17 3 2 4" xfId="38130" xr:uid="{AACF49AB-D518-403A-BA71-E54DF89BC1BB}"/>
    <cellStyle name="Calculation 17 3 3" xfId="12474" xr:uid="{6FE19000-3A53-45B7-BDF8-BE6DB2A80424}"/>
    <cellStyle name="Calculation 17 3 3 2" xfId="29113" xr:uid="{5936096B-580E-43AA-A70C-80868A5F30D5}"/>
    <cellStyle name="Calculation 17 3 3 3" xfId="42366" xr:uid="{BF02F04E-7B09-4DF4-9032-71424150FA7F}"/>
    <cellStyle name="Calculation 17 3 4" xfId="22655" xr:uid="{654978B5-630C-430B-9B24-746FF157F67F}"/>
    <cellStyle name="Calculation 17 3 5" xfId="35708" xr:uid="{AED7A668-D870-4360-A864-D2C321710730}"/>
    <cellStyle name="Calculation 17 4" xfId="5880" xr:uid="{4E640EC3-4392-4298-9ECB-8729B3A9FC00}"/>
    <cellStyle name="Calculation 17 4 2" xfId="9040" xr:uid="{184CF3A8-91E8-4DDD-985D-7E90CF2A41B3}"/>
    <cellStyle name="Calculation 17 4 2 2" xfId="10802" xr:uid="{3FD00D01-D934-4424-A56C-44E2952D7958}"/>
    <cellStyle name="Calculation 17 4 2 2 2" xfId="27635" xr:uid="{F7D471B7-2357-467D-870C-02BBC05171A8}"/>
    <cellStyle name="Calculation 17 4 2 2 3" xfId="40783" xr:uid="{D9D2085D-5839-4ECE-84E1-31EBA9E7010B}"/>
    <cellStyle name="Calculation 17 4 2 3" xfId="26523" xr:uid="{E82FEB87-5487-40CE-9486-7D8306D4203C}"/>
    <cellStyle name="Calculation 17 4 2 4" xfId="39599" xr:uid="{3490BF0B-EA8F-400E-AEC8-DB7C4A72C6D2}"/>
    <cellStyle name="Calculation 17 4 3" xfId="15609" xr:uid="{9BD05C30-F3E9-4D55-A499-E6FADBA7194F}"/>
    <cellStyle name="Calculation 17 4 3 2" xfId="31732" xr:uid="{CD458679-047A-40B5-A36D-502202D396C5}"/>
    <cellStyle name="Calculation 17 4 3 3" xfId="45236" xr:uid="{2A9D98E5-A5D7-4395-9B37-F59CF29271D8}"/>
    <cellStyle name="Calculation 17 4 4" xfId="23527" xr:uid="{3148B767-94D2-42F5-9000-22A0DA095DAD}"/>
    <cellStyle name="Calculation 17 4 5" xfId="36608" xr:uid="{84B82128-3C3E-4257-9E1B-D301B99B63E2}"/>
    <cellStyle name="Calculation 17 5" xfId="15130" xr:uid="{A06E1111-FA12-4FD8-9009-97D64E5C0776}"/>
    <cellStyle name="Calculation 17 5 2" xfId="31331" xr:uid="{9F1953AE-520D-4EE1-BDDA-2DA1D56E3C98}"/>
    <cellStyle name="Calculation 17 5 3" xfId="44794" xr:uid="{239340BB-F8B8-454F-AE8C-1D9FC63C3ABB}"/>
    <cellStyle name="Calculation 17 6" xfId="21793" xr:uid="{E86EF57D-472A-41BB-955E-A1DA836BF481}"/>
    <cellStyle name="Calculation 17 7" xfId="34843" xr:uid="{D6C82108-6E75-4941-9519-82296A3EC201}"/>
    <cellStyle name="Calculation 18" xfId="3929" xr:uid="{AF07DD2B-4041-494D-B25C-D2090E67A51A}"/>
    <cellStyle name="Calculation 18 2" xfId="3191" xr:uid="{674671FC-05AF-4BF2-96E9-DF2FE8CD5B80}"/>
    <cellStyle name="Calculation 18 2 2" xfId="8483" xr:uid="{71C49A5C-F458-41D4-B2E1-6E26B1B1DCEF}"/>
    <cellStyle name="Calculation 18 2 2 2" xfId="14517" xr:uid="{F1E7F45C-5CDA-4C02-A069-6FA43F30EB6D}"/>
    <cellStyle name="Calculation 18 2 2 2 2" xfId="30834" xr:uid="{CD1C4CE5-1909-46B1-9EED-A1FE9012559F}"/>
    <cellStyle name="Calculation 18 2 2 2 3" xfId="44245" xr:uid="{20E2FA9E-49D3-44BB-9153-0B16A2D70061}"/>
    <cellStyle name="Calculation 18 2 2 3" xfId="25983" xr:uid="{C59CF01A-FDCB-4064-A7C6-EDB83BB1E682}"/>
    <cellStyle name="Calculation 18 2 2 4" xfId="39059" xr:uid="{232C9B83-2F82-42CE-AA6A-E39932099E17}"/>
    <cellStyle name="Calculation 18 2 3" xfId="6850" xr:uid="{424A225A-5101-4CC1-ACC8-016808D0DAEC}"/>
    <cellStyle name="Calculation 18 2 3 2" xfId="11338" xr:uid="{2C34FD67-E147-461C-8A21-9B48493B8BF4}"/>
    <cellStyle name="Calculation 18 2 3 2 2" xfId="28117" xr:uid="{8D7E3F3B-4FDF-4B01-AD00-3C264C073126}"/>
    <cellStyle name="Calculation 18 2 3 2 3" xfId="41305" xr:uid="{7D85E57B-F251-4E7E-AB6B-2F20D04A2440}"/>
    <cellStyle name="Calculation 18 2 3 3" xfId="24474" xr:uid="{0F3F6A8A-4F39-4B0D-9559-D853ECF4A449}"/>
    <cellStyle name="Calculation 18 2 3 4" xfId="37555" xr:uid="{02371972-5EFD-41E6-BD00-71B01DE931AF}"/>
    <cellStyle name="Calculation 18 2 4" xfId="14362" xr:uid="{C8DFB60E-B6D9-4D0C-9480-71D85E5AEF16}"/>
    <cellStyle name="Calculation 18 2 4 2" xfId="30695" xr:uid="{A849A6F3-0DC2-4331-9550-685ED20895B8}"/>
    <cellStyle name="Calculation 18 2 4 3" xfId="44092" xr:uid="{1230206D-19E0-40B9-A566-BD9F4F09F0DA}"/>
    <cellStyle name="Calculation 18 2 5" xfId="21226" xr:uid="{00D44644-6EF1-4C21-9EE1-40B0E28AE445}"/>
    <cellStyle name="Calculation 18 2 6" xfId="34249" xr:uid="{4356A5FF-99A3-4E78-8802-D589853FEE76}"/>
    <cellStyle name="Calculation 18 3" xfId="4853" xr:uid="{D4E2AC06-DF8D-4854-BCA4-10C0D0D20944}"/>
    <cellStyle name="Calculation 18 3 2" xfId="7509" xr:uid="{9B6896EC-FD45-4A9F-A6DD-8AA4D10E0186}"/>
    <cellStyle name="Calculation 18 3 2 2" xfId="16370" xr:uid="{A53AB168-DAF7-472E-A506-74BE7732B440}"/>
    <cellStyle name="Calculation 18 3 2 2 2" xfId="32391" xr:uid="{5018FAD7-2B59-4157-A360-DFEE1BAE96F8}"/>
    <cellStyle name="Calculation 18 3 2 2 3" xfId="45924" xr:uid="{FDBD541A-D7AC-4145-BE23-5F95BC69E623}"/>
    <cellStyle name="Calculation 18 3 2 3" xfId="25052" xr:uid="{64738E39-8D56-47E7-9C39-2D7573285EED}"/>
    <cellStyle name="Calculation 18 3 2 4" xfId="38128" xr:uid="{7E5B8373-E3AB-473A-968D-B0961C3B6DF2}"/>
    <cellStyle name="Calculation 18 3 3" xfId="13251" xr:uid="{141F4941-5DA7-420A-A74A-06B459409044}"/>
    <cellStyle name="Calculation 18 3 3 2" xfId="29745" xr:uid="{212A7E46-AB71-403C-9A58-21F7C4C173EF}"/>
    <cellStyle name="Calculation 18 3 3 3" xfId="43069" xr:uid="{F237C71D-DD11-46CF-B6B8-DAA5F487A494}"/>
    <cellStyle name="Calculation 18 3 4" xfId="22653" xr:uid="{477D1D8D-8E87-4ACF-958F-02A18334EC0E}"/>
    <cellStyle name="Calculation 18 3 5" xfId="35706" xr:uid="{77E86643-0E77-4461-BDD8-2A04F6B02C4B}"/>
    <cellStyle name="Calculation 18 4" xfId="5878" xr:uid="{63A852C7-B806-4042-ACF8-96E74517CC1A}"/>
    <cellStyle name="Calculation 18 4 2" xfId="9038" xr:uid="{49A39F4F-6F97-4D75-9877-858C5D9D1260}"/>
    <cellStyle name="Calculation 18 4 2 2" xfId="10854" xr:uid="{4218A2E6-33D6-43C5-84BD-19A2A99CEA25}"/>
    <cellStyle name="Calculation 18 4 2 2 2" xfId="27682" xr:uid="{5FDDB7AD-7DAD-4AB2-B9AF-951579E8AD97}"/>
    <cellStyle name="Calculation 18 4 2 2 3" xfId="40835" xr:uid="{4612D2F5-3153-4BC3-957B-3C495DE1341D}"/>
    <cellStyle name="Calculation 18 4 2 3" xfId="26521" xr:uid="{16F0FDE8-EC86-43AD-8A28-2A9938E137AD}"/>
    <cellStyle name="Calculation 18 4 2 4" xfId="39597" xr:uid="{39C6CC03-8540-4A9F-93DA-0E144F82730E}"/>
    <cellStyle name="Calculation 18 4 3" xfId="11374" xr:uid="{A228AA4A-40C5-4265-B7C8-0582CCC40064}"/>
    <cellStyle name="Calculation 18 4 3 2" xfId="28150" xr:uid="{B839E9FF-4673-4675-9BC9-0D0099B225A5}"/>
    <cellStyle name="Calculation 18 4 3 3" xfId="41339" xr:uid="{CF60F614-135F-4330-BF97-319A7C5281E8}"/>
    <cellStyle name="Calculation 18 4 4" xfId="23525" xr:uid="{5203A031-DFAE-4265-B26F-3C3F35EBBE14}"/>
    <cellStyle name="Calculation 18 4 5" xfId="36606" xr:uid="{581577D3-B832-44B3-A0A9-D4F5CAD3B87E}"/>
    <cellStyle name="Calculation 18 5" xfId="16764" xr:uid="{0BDADFBC-C100-4E71-A8C8-CE332E1D448F}"/>
    <cellStyle name="Calculation 18 5 2" xfId="32646" xr:uid="{F1807DF7-81FC-43C0-AEC6-3DD41F4C8A97}"/>
    <cellStyle name="Calculation 18 5 3" xfId="46307" xr:uid="{DF3ACA34-92F1-49BA-A9F2-D479089110DF}"/>
    <cellStyle name="Calculation 18 6" xfId="21791" xr:uid="{C2EC51FF-7B92-4ED7-AC16-F142F407FA41}"/>
    <cellStyle name="Calculation 18 7" xfId="34841" xr:uid="{AC436050-F030-42C5-BD8D-32ECAFCA64DA}"/>
    <cellStyle name="Calculation 19" xfId="3932" xr:uid="{5843B823-3AEE-42AA-8360-9255EA24F98F}"/>
    <cellStyle name="Calculation 19 2" xfId="3194" xr:uid="{2BA070EB-FB47-4635-A99B-329272EF94FA}"/>
    <cellStyle name="Calculation 19 2 2" xfId="8486" xr:uid="{BED29B39-0AA6-4B9B-9B62-97C836BA0F7F}"/>
    <cellStyle name="Calculation 19 2 2 2" xfId="10716" xr:uid="{B3620F9F-5C3B-4FFC-87A7-2146C8569FF3}"/>
    <cellStyle name="Calculation 19 2 2 2 2" xfId="27561" xr:uid="{09D3CFF2-5224-4EAE-9937-116FD95121DD}"/>
    <cellStyle name="Calculation 19 2 2 2 3" xfId="40697" xr:uid="{236B8667-4C36-41D4-9D7B-1CC3E50E422E}"/>
    <cellStyle name="Calculation 19 2 2 3" xfId="25986" xr:uid="{17507C00-5BDC-40E7-8FF0-DD35D11AE63C}"/>
    <cellStyle name="Calculation 19 2 2 4" xfId="39062" xr:uid="{486E61C6-8C84-4544-B7AE-456C7D00AC36}"/>
    <cellStyle name="Calculation 19 2 3" xfId="6853" xr:uid="{EDE7D26B-A747-4D01-B4B4-770B91329EF0}"/>
    <cellStyle name="Calculation 19 2 3 2" xfId="13094" xr:uid="{C2213902-8264-42CE-ADE7-3073267590FA}"/>
    <cellStyle name="Calculation 19 2 3 2 2" xfId="29610" xr:uid="{8C12A37E-19B3-49D0-8F93-291BF91E87A3}"/>
    <cellStyle name="Calculation 19 2 3 2 3" xfId="42921" xr:uid="{8C1AA107-660D-49F2-A460-61622A68CD0C}"/>
    <cellStyle name="Calculation 19 2 3 3" xfId="24477" xr:uid="{5B3C888D-63EE-40D9-8337-01485256728D}"/>
    <cellStyle name="Calculation 19 2 3 4" xfId="37558" xr:uid="{0E59327C-46E6-4DB0-8433-CB482B5EBDFA}"/>
    <cellStyle name="Calculation 19 2 4" xfId="13132" xr:uid="{C5105C69-7C7E-42CD-9045-168AA61269E1}"/>
    <cellStyle name="Calculation 19 2 4 2" xfId="29646" xr:uid="{CEE6E97D-4ACE-4DBF-AC62-41B4FCE4796A}"/>
    <cellStyle name="Calculation 19 2 4 3" xfId="42958" xr:uid="{43BC3416-CBAA-4EC2-B93A-D0629912C175}"/>
    <cellStyle name="Calculation 19 2 5" xfId="21229" xr:uid="{38BF252C-6122-4E17-8BE5-28532143DBB3}"/>
    <cellStyle name="Calculation 19 2 6" xfId="34252" xr:uid="{B3F70B10-9C36-4251-98D4-CED3BCC1CCDF}"/>
    <cellStyle name="Calculation 19 3" xfId="4856" xr:uid="{1B1B066C-2B9C-485E-9DC5-B69854FFB3F5}"/>
    <cellStyle name="Calculation 19 3 2" xfId="7512" xr:uid="{4DC14D26-976F-4207-A59C-FA24A0383F3F}"/>
    <cellStyle name="Calculation 19 3 2 2" xfId="11357" xr:uid="{962975C5-88C1-4496-9E08-6A8E66CAB66C}"/>
    <cellStyle name="Calculation 19 3 2 2 2" xfId="28136" xr:uid="{68A8EEC1-EB8C-452A-972D-D299CE691B55}"/>
    <cellStyle name="Calculation 19 3 2 2 3" xfId="41324" xr:uid="{C817D1C8-6057-4828-8A3B-6B684C57B776}"/>
    <cellStyle name="Calculation 19 3 2 3" xfId="25055" xr:uid="{8CB17625-F53F-4BBE-A562-32173B6D6638}"/>
    <cellStyle name="Calculation 19 3 2 4" xfId="38131" xr:uid="{A64FCF03-B0BC-4125-B7B5-12F4EF1947C7}"/>
    <cellStyle name="Calculation 19 3 3" xfId="11217" xr:uid="{AEBC4D35-1A57-48AE-9F24-6A65B1AE569E}"/>
    <cellStyle name="Calculation 19 3 3 2" xfId="28011" xr:uid="{9454E02E-271B-4E20-847B-782286706EFE}"/>
    <cellStyle name="Calculation 19 3 3 3" xfId="41193" xr:uid="{22189A19-1678-48EA-8A69-E6AAB8E3DB57}"/>
    <cellStyle name="Calculation 19 3 4" xfId="22656" xr:uid="{0F0A1651-42BD-4505-959D-9EC56177E1AD}"/>
    <cellStyle name="Calculation 19 3 5" xfId="35709" xr:uid="{187D1B03-7F0B-4E70-BBC5-C22D28098804}"/>
    <cellStyle name="Calculation 19 4" xfId="5881" xr:uid="{CAFC143D-011C-43F0-A015-16C713672319}"/>
    <cellStyle name="Calculation 19 4 2" xfId="9041" xr:uid="{6387B9F1-FCEB-4E8B-AB33-5DED3921EDF1}"/>
    <cellStyle name="Calculation 19 4 2 2" xfId="17438" xr:uid="{7299A263-4F08-4AA8-86FB-5BFCAC12C975}"/>
    <cellStyle name="Calculation 19 4 2 2 2" xfId="33192" xr:uid="{8B6FBFA4-E898-4752-8B12-351548B6D87E}"/>
    <cellStyle name="Calculation 19 4 2 2 3" xfId="46968" xr:uid="{466F013B-3048-48E4-B6B2-F5DF9386E65F}"/>
    <cellStyle name="Calculation 19 4 2 3" xfId="26524" xr:uid="{7FC35F9B-8D5D-4013-85F2-01282CBC0FCE}"/>
    <cellStyle name="Calculation 19 4 2 4" xfId="39600" xr:uid="{37AC7A68-F580-49A1-A0AC-DE367A2B5ADE}"/>
    <cellStyle name="Calculation 19 4 3" xfId="16412" xr:uid="{28C02E0F-A0FF-455E-B572-EF71E4ACE662}"/>
    <cellStyle name="Calculation 19 4 3 2" xfId="32427" xr:uid="{B70C58C4-E2C6-41EC-BE66-D669D06C8316}"/>
    <cellStyle name="Calculation 19 4 3 3" xfId="45963" xr:uid="{760FF008-7009-445C-9EA0-D36646F0A704}"/>
    <cellStyle name="Calculation 19 4 4" xfId="23528" xr:uid="{72DF4B70-8ADA-426A-BF30-6AEF430985E4}"/>
    <cellStyle name="Calculation 19 4 5" xfId="36609" xr:uid="{A9F80A07-8662-4384-A716-0469BC0E19C2}"/>
    <cellStyle name="Calculation 19 5" xfId="14801" xr:uid="{9C424B8A-E155-492C-8495-BB60E7019601}"/>
    <cellStyle name="Calculation 19 5 2" xfId="31064" xr:uid="{AAB4559A-E5FF-4DFB-8539-BBE5AEFEDFC7}"/>
    <cellStyle name="Calculation 19 5 3" xfId="44498" xr:uid="{04C61CB3-688E-437F-8B49-014516BF7542}"/>
    <cellStyle name="Calculation 19 6" xfId="21794" xr:uid="{970E67EB-20B8-447C-8DDA-D813804CD1CC}"/>
    <cellStyle name="Calculation 19 7" xfId="34844" xr:uid="{7FA69792-FA07-48E1-9C92-5C542F5887E5}"/>
    <cellStyle name="Calculation 2" xfId="3385" xr:uid="{49D00ED8-550E-449C-8ACF-CBDF9C30EE83}"/>
    <cellStyle name="Calculation 2 10" xfId="20480" xr:uid="{8EEDD953-3BF5-43AC-9AFC-24ED937F02A1}"/>
    <cellStyle name="Calculation 2 11" xfId="34415" xr:uid="{9CF5EEF7-B68C-4ABC-9965-D73CBECC9ECD}"/>
    <cellStyle name="Calculation 2 2" xfId="2736" xr:uid="{26C35B5A-9528-4D9A-B11A-1DFA4051267A}"/>
    <cellStyle name="Calculation 2 2 2" xfId="5087" xr:uid="{296B0DF8-095D-4AAD-8A9E-B6B541FC3B9C}"/>
    <cellStyle name="Calculation 2 2 2 2" xfId="8032" xr:uid="{F70D71B9-8D91-4805-A063-23229B346CC7}"/>
    <cellStyle name="Calculation 2 2 2 2 2" xfId="16826" xr:uid="{580DA55B-12F5-43D5-AB83-2AF1FEE87DD0}"/>
    <cellStyle name="Calculation 2 2 2 2 2 2" xfId="32706" xr:uid="{12920B39-10A4-4DD9-93BF-F92A09FE8A91}"/>
    <cellStyle name="Calculation 2 2 2 2 2 3" xfId="46369" xr:uid="{ED590194-EDCA-4B5B-9C16-50CFADC8F874}"/>
    <cellStyle name="Calculation 2 2 2 2 3" xfId="25545" xr:uid="{93BE81AC-867E-4BD0-895B-9DB660FCD79F}"/>
    <cellStyle name="Calculation 2 2 2 2 4" xfId="38621" xr:uid="{2C98C060-9A23-4A85-B364-008844388426}"/>
    <cellStyle name="Calculation 2 2 2 3" xfId="15519" xr:uid="{22E15397-798A-4A82-BBEA-3CF398BB157C}"/>
    <cellStyle name="Calculation 2 2 2 3 2" xfId="31656" xr:uid="{510EADAE-0E1F-420A-9EC6-CF89EBF42D34}"/>
    <cellStyle name="Calculation 2 2 2 3 3" xfId="45154" xr:uid="{C69D473C-00E0-482B-90E2-07207068FAAC}"/>
    <cellStyle name="Calculation 2 2 2 4" xfId="22817" xr:uid="{F1FFF494-C844-4435-AF90-0373F1BBA04F}"/>
    <cellStyle name="Calculation 2 2 2 5" xfId="35887" xr:uid="{E7FD1CD7-F964-4B40-98C0-638DB2085592}"/>
    <cellStyle name="Calculation 2 2 3" xfId="6399" xr:uid="{24157CBC-F2B9-4A2F-B051-5E787D78BCEF}"/>
    <cellStyle name="Calculation 2 2 3 2" xfId="12080" xr:uid="{9EB46BAA-5F22-4443-9E83-61B8D5DF65CC}"/>
    <cellStyle name="Calculation 2 2 3 2 2" xfId="28780" xr:uid="{EE860559-79E8-4011-89B9-ED1ED366FDB1}"/>
    <cellStyle name="Calculation 2 2 3 2 3" xfId="42000" xr:uid="{20405EE1-A85C-4CC8-A2BB-D2D04883AC68}"/>
    <cellStyle name="Calculation 2 2 3 3" xfId="24036" xr:uid="{4A660036-CB60-44C8-881F-795515E2D49B}"/>
    <cellStyle name="Calculation 2 2 3 4" xfId="37117" xr:uid="{E3C18452-266B-42E2-860B-F7F16CD1F438}"/>
    <cellStyle name="Calculation 2 2 4" xfId="16647" xr:uid="{2918B430-31DD-44C3-A90E-95582D2AF51C}"/>
    <cellStyle name="Calculation 2 2 4 2" xfId="32553" xr:uid="{E161CB5F-062F-4836-8544-30F209240E67}"/>
    <cellStyle name="Calculation 2 2 4 3" xfId="46194" xr:uid="{4AAE5A69-F607-4B3B-A930-6BD1712DCFFA}"/>
    <cellStyle name="Calculation 2 2 5" xfId="20788" xr:uid="{A0156236-CE36-4A1C-A82D-6DF7452A436F}"/>
    <cellStyle name="Calculation 2 2 6" xfId="33811" xr:uid="{B4484AFD-BA10-4081-A8DB-AC2F06047CDD}"/>
    <cellStyle name="Calculation 2 3" xfId="2527" xr:uid="{6FADCE9F-AF2A-4484-8AF5-6151865CB8FA}"/>
    <cellStyle name="Calculation 2 3 2" xfId="5184" xr:uid="{2ABC1362-8B38-4949-955E-D44DE9BA1483}"/>
    <cellStyle name="Calculation 2 3 2 2" xfId="6136" xr:uid="{5B192684-DB8A-4FA3-AB58-20D02BAAFF89}"/>
    <cellStyle name="Calculation 2 3 2 2 2" xfId="15885" xr:uid="{BCC47899-8782-4A54-B33B-B2EDA837A6B5}"/>
    <cellStyle name="Calculation 2 3 2 2 2 2" xfId="31970" xr:uid="{C618BC32-63BC-4C9F-A273-8B646875FD7F}"/>
    <cellStyle name="Calculation 2 3 2 2 2 3" xfId="45485" xr:uid="{DBCAAD3B-DC3A-4A6B-AF31-B32B8AA04D04}"/>
    <cellStyle name="Calculation 2 3 2 2 3" xfId="23781" xr:uid="{D279C748-E860-4664-BF8A-4A1B3CDCE3A8}"/>
    <cellStyle name="Calculation 2 3 2 2 4" xfId="36862" xr:uid="{12358C23-5C81-4C08-BD5C-55BD86ADB68A}"/>
    <cellStyle name="Calculation 2 3 2 3" xfId="11736" xr:uid="{E7F52997-71EC-4346-AA0E-91D999836969}"/>
    <cellStyle name="Calculation 2 3 2 3 2" xfId="28463" xr:uid="{7F89B857-7F05-4FA3-80F3-26750765A968}"/>
    <cellStyle name="Calculation 2 3 2 3 3" xfId="41674" xr:uid="{9ED1C863-2476-49F3-8543-995AEAF5FC4B}"/>
    <cellStyle name="Calculation 2 3 2 4" xfId="22864" xr:uid="{59DCE0CA-B7D3-4ABD-8D78-6C31A941C829}"/>
    <cellStyle name="Calculation 2 3 2 5" xfId="35933" xr:uid="{DBA219A3-92E8-4AD0-B557-E45D6BD76B4A}"/>
    <cellStyle name="Calculation 2 3 3" xfId="6193" xr:uid="{FB06199B-7DE0-4A2D-A6DF-07005BBA84E2}"/>
    <cellStyle name="Calculation 2 3 3 2" xfId="12618" xr:uid="{3FC3F29E-F3D3-40E4-B85A-702EB9F80658}"/>
    <cellStyle name="Calculation 2 3 3 2 2" xfId="29228" xr:uid="{95FC6F5E-3EA5-4B1A-A3F2-D3EBE4303079}"/>
    <cellStyle name="Calculation 2 3 3 2 3" xfId="42493" xr:uid="{4B632111-9434-4ED2-86D4-6286C5AA4200}"/>
    <cellStyle name="Calculation 2 3 3 3" xfId="23838" xr:uid="{E6726531-1BF6-455E-981E-20469EAC4BBD}"/>
    <cellStyle name="Calculation 2 3 3 4" xfId="36919" xr:uid="{47073F6A-1C89-443F-869F-F68E86DD4E6A}"/>
    <cellStyle name="Calculation 2 3 4" xfId="11948" xr:uid="{9CB5BFC5-3E7F-4767-A1EB-0C876C13B0A0}"/>
    <cellStyle name="Calculation 2 3 4 2" xfId="28658" xr:uid="{9A60C396-70C7-4396-962D-E3F8F7C3F189}"/>
    <cellStyle name="Calculation 2 3 4 3" xfId="41876" xr:uid="{CF682DB0-2B74-4163-AE46-91DCC6E90215}"/>
    <cellStyle name="Calculation 2 3 5" xfId="20590" xr:uid="{A89F7777-EA3E-4639-B596-5F7342E81506}"/>
    <cellStyle name="Calculation 2 3 6" xfId="33613" xr:uid="{AD09F87C-0668-4B9C-858F-A16DB3BBD870}"/>
    <cellStyle name="Calculation 2 4" xfId="2599" xr:uid="{82F83958-9FCA-4088-9E44-ED7574547053}"/>
    <cellStyle name="Calculation 2 4 2" xfId="4997" xr:uid="{6F08584A-FF25-4BC5-A578-5A2080B3975F}"/>
    <cellStyle name="Calculation 2 4 2 2" xfId="7896" xr:uid="{9837E6E8-26AB-494F-899E-DC75C6520DEA}"/>
    <cellStyle name="Calculation 2 4 2 2 2" xfId="11773" xr:uid="{AB94D8DE-43CF-4B08-B1AC-5FE6B66FB659}"/>
    <cellStyle name="Calculation 2 4 2 2 2 2" xfId="28497" xr:uid="{C9415FAD-760E-481C-AD0C-F8747030F6C3}"/>
    <cellStyle name="Calculation 2 4 2 2 2 3" xfId="41708" xr:uid="{CAF05B01-BB55-4D5B-81DC-89495EB23479}"/>
    <cellStyle name="Calculation 2 4 2 2 3" xfId="25413" xr:uid="{30348E27-3ABA-4FEB-94C0-917E3A6C9128}"/>
    <cellStyle name="Calculation 2 4 2 2 4" xfId="38489" xr:uid="{27B512BC-AD3A-46AB-BEDC-E61583D59103}"/>
    <cellStyle name="Calculation 2 4 2 3" xfId="12469" xr:uid="{DBBAC991-EA63-4749-8E08-8400C3A6C2D1}"/>
    <cellStyle name="Calculation 2 4 2 3 2" xfId="29110" xr:uid="{F5D38645-D698-4031-9ADD-01D471347D4D}"/>
    <cellStyle name="Calculation 2 4 2 3 3" xfId="42362" xr:uid="{A416EC88-2EE6-43E4-AE5E-FDEBE3C8FDB5}"/>
    <cellStyle name="Calculation 2 4 2 4" xfId="22766" xr:uid="{D72B691B-1A95-4FE3-B855-BA3020C88418}"/>
    <cellStyle name="Calculation 2 4 2 5" xfId="35825" xr:uid="{41280D42-E79A-4976-A3BB-1EB72FE97DE3}"/>
    <cellStyle name="Calculation 2 4 3" xfId="6263" xr:uid="{DB8A46EB-BD24-44FA-BC0A-3A6FE5524517}"/>
    <cellStyle name="Calculation 2 4 3 2" xfId="17231" xr:uid="{8990FD86-89FC-49BD-9BF2-1593F673C5DD}"/>
    <cellStyle name="Calculation 2 4 3 2 2" xfId="32990" xr:uid="{F193C775-0DB3-469B-ADF1-7243CAE87F9E}"/>
    <cellStyle name="Calculation 2 4 3 2 3" xfId="46765" xr:uid="{8D59480E-B623-4319-BDE6-315CB54F2EC3}"/>
    <cellStyle name="Calculation 2 4 3 3" xfId="23904" xr:uid="{5E9875DD-1E55-4BAC-9CA9-9BFA4CB63DAE}"/>
    <cellStyle name="Calculation 2 4 3 4" xfId="36985" xr:uid="{24DF6B73-A8B0-40BE-B830-40E6A53A9C8E}"/>
    <cellStyle name="Calculation 2 4 4" xfId="15655" xr:uid="{692C709E-DDDA-4727-B842-6B5C8DC11E84}"/>
    <cellStyle name="Calculation 2 4 4 2" xfId="31773" xr:uid="{D8E80943-CA2F-4D6A-A52C-C1B62C52812A}"/>
    <cellStyle name="Calculation 2 4 4 3" xfId="45278" xr:uid="{B0D133F2-D129-4B8E-91B5-6F8B9FF18211}"/>
    <cellStyle name="Calculation 2 4 5" xfId="20656" xr:uid="{F1C3B759-C168-4F0B-9851-B3B0342118D0}"/>
    <cellStyle name="Calculation 2 4 6" xfId="33679" xr:uid="{8BE4595B-A1C9-4291-8191-1530E2A19BE9}"/>
    <cellStyle name="Calculation 2 5" xfId="4243" xr:uid="{177C9633-DAA2-414A-B7F0-537455101E44}"/>
    <cellStyle name="Calculation 2 5 2" xfId="5233" xr:uid="{493D8F11-25F4-4CFA-9EA8-68ED8F8E6E91}"/>
    <cellStyle name="Calculation 2 5 2 2" xfId="9295" xr:uid="{4838284C-0283-48F1-924A-EDE0E94C722A}"/>
    <cellStyle name="Calculation 2 5 2 2 2" xfId="12721" xr:uid="{10E9D69C-FC41-4590-B118-2EF496E5715A}"/>
    <cellStyle name="Calculation 2 5 2 2 2 2" xfId="29304" xr:uid="{F1C82D96-B23E-4065-9BDF-2D8CA1899EA7}"/>
    <cellStyle name="Calculation 2 5 2 2 2 3" xfId="42581" xr:uid="{50C85E18-AD12-4C1F-906B-967D7FEFF637}"/>
    <cellStyle name="Calculation 2 5 2 2 3" xfId="26768" xr:uid="{129E1842-D349-4EC2-B3AE-33E4ED6C2EB5}"/>
    <cellStyle name="Calculation 2 5 2 2 4" xfId="39844" xr:uid="{CD9924CA-3E7F-4848-93D1-9138B7617A02}"/>
    <cellStyle name="Calculation 2 5 2 3" xfId="14866" xr:uid="{76EEAAA8-E1F8-4175-BB86-24C5D5CE0B87}"/>
    <cellStyle name="Calculation 2 5 2 3 2" xfId="31120" xr:uid="{03BE4556-719B-41E8-8B3A-905B90EAB2C8}"/>
    <cellStyle name="Calculation 2 5 2 3 3" xfId="44559" xr:uid="{F0F99E57-7735-4E84-8CA6-B34354B52438}"/>
    <cellStyle name="Calculation 2 5 2 4" xfId="22899" xr:uid="{E50000EC-584A-4E00-B708-A75924A72C32}"/>
    <cellStyle name="Calculation 2 5 2 5" xfId="35973" xr:uid="{AC915C61-1C94-47DB-A0F7-548432AB1070}"/>
    <cellStyle name="Calculation 2 5 3" xfId="7807" xr:uid="{D751256D-E298-4ED8-BCB0-AA8C6C423A1C}"/>
    <cellStyle name="Calculation 2 5 3 2" xfId="15809" xr:uid="{6A9D38A7-B1EC-4CC3-913C-94F4197B7D4A}"/>
    <cellStyle name="Calculation 2 5 3 2 2" xfId="31906" xr:uid="{6866A22C-7121-4B93-A4D1-6270AF6B8D9B}"/>
    <cellStyle name="Calculation 2 5 3 2 3" xfId="45418" xr:uid="{087AC36A-CB8D-4E6F-B9A6-CFB082683797}"/>
    <cellStyle name="Calculation 2 5 3 3" xfId="25327" xr:uid="{5DCAA88B-4152-481B-A5B4-7EE905ADA574}"/>
    <cellStyle name="Calculation 2 5 3 4" xfId="38403" xr:uid="{79EAE991-D254-476E-98FF-C5FA7B9B39E3}"/>
    <cellStyle name="Calculation 2 5 4" xfId="14613" xr:uid="{B147C3DB-97EC-4895-B1F9-2B698FC9772D}"/>
    <cellStyle name="Calculation 2 5 4 2" xfId="30912" xr:uid="{A6561F14-D431-444A-8E30-0888B991D626}"/>
    <cellStyle name="Calculation 2 5 4 3" xfId="44332" xr:uid="{DA6DA796-454F-4A8F-9145-A700150D9EFB}"/>
    <cellStyle name="Calculation 2 5 5" xfId="22068" xr:uid="{5B629BD1-9122-452B-AAB1-7C7EA107A697}"/>
    <cellStyle name="Calculation 2 5 6" xfId="35117" xr:uid="{A3429C3E-C857-455B-AEEF-AC02B8D919A9}"/>
    <cellStyle name="Calculation 2 6" xfId="4400" xr:uid="{07EFEAF4-6409-42D5-9573-968DD19179BA}"/>
    <cellStyle name="Calculation 2 6 2" xfId="7031" xr:uid="{D1DC0570-57D0-4324-904E-2BF31728B25D}"/>
    <cellStyle name="Calculation 2 6 2 2" xfId="16061" xr:uid="{3570E86D-BBFB-4BA6-A95A-8390D091BC00}"/>
    <cellStyle name="Calculation 2 6 2 2 2" xfId="32122" xr:uid="{3AD39F69-851D-46C9-A324-874276F904BF}"/>
    <cellStyle name="Calculation 2 6 2 2 3" xfId="45641" xr:uid="{F04D2F18-C225-457F-B83F-5B4492363343}"/>
    <cellStyle name="Calculation 2 6 2 3" xfId="24640" xr:uid="{F0C89337-D75F-4024-8DEA-CB24772B026C}"/>
    <cellStyle name="Calculation 2 6 2 4" xfId="37721" xr:uid="{5E30AA03-C049-49C0-9F89-0D2FDACDB62C}"/>
    <cellStyle name="Calculation 2 6 3" xfId="17223" xr:uid="{56632103-FCB8-4303-8CBB-95F8627CFA50}"/>
    <cellStyle name="Calculation 2 6 3 2" xfId="32982" xr:uid="{4A86BFEB-9D7D-4899-8251-450790CB1D92}"/>
    <cellStyle name="Calculation 2 6 3 3" xfId="46757" xr:uid="{85DF98B4-C6A7-4812-960A-F6456CB63EED}"/>
    <cellStyle name="Calculation 2 6 4" xfId="22219" xr:uid="{DB87F4F7-3552-41A2-AC71-A55204450762}"/>
    <cellStyle name="Calculation 2 6 5" xfId="35268" xr:uid="{06852343-CBAB-40C5-965E-C4C52B641941}"/>
    <cellStyle name="Calculation 2 7" xfId="5454" xr:uid="{5887DAEA-99FB-4EF8-A4A6-C6072365EA77}"/>
    <cellStyle name="Calculation 2 7 2" xfId="8634" xr:uid="{35CDDEBB-79DF-44F3-8335-DFC688701C83}"/>
    <cellStyle name="Calculation 2 7 2 2" xfId="16187" xr:uid="{EA94399A-CF80-4E49-B497-343794BCEF4E}"/>
    <cellStyle name="Calculation 2 7 2 2 2" xfId="32232" xr:uid="{B24F54AD-094A-40BD-AC81-D0638B3C6026}"/>
    <cellStyle name="Calculation 2 7 2 2 3" xfId="45755" xr:uid="{FCA73FE9-C68F-4A19-801E-F0FCC01FFA0E}"/>
    <cellStyle name="Calculation 2 7 2 3" xfId="26129" xr:uid="{5D19FB6D-B111-4EC4-A856-2066A04E0C25}"/>
    <cellStyle name="Calculation 2 7 2 4" xfId="39205" xr:uid="{DC863887-935C-45A7-9D11-9FBBFE30502D}"/>
    <cellStyle name="Calculation 2 7 3" xfId="14977" xr:uid="{78364F9E-2EA8-4380-96D8-D7825D5493BE}"/>
    <cellStyle name="Calculation 2 7 3 2" xfId="31213" xr:uid="{EDB40C90-20DD-4A14-A44C-C5E4F2B54729}"/>
    <cellStyle name="Calculation 2 7 3 3" xfId="44661" xr:uid="{BF951528-5E98-4B80-B293-DDAED778E32D}"/>
    <cellStyle name="Calculation 2 7 4" xfId="23101" xr:uid="{EB0063DE-C1C5-43A8-9EE1-3D4ADB6BAAAE}"/>
    <cellStyle name="Calculation 2 7 5" xfId="36182" xr:uid="{DCE3F13C-D86A-42C4-9352-34EA5B7C5310}"/>
    <cellStyle name="Calculation 2 8" xfId="14167" xr:uid="{BD4ABB96-9402-4E4D-A65A-0F19F8FBEAF7}"/>
    <cellStyle name="Calculation 2 8 2" xfId="30522" xr:uid="{35BF5659-DABD-420B-B08E-30A83134533B}"/>
    <cellStyle name="Calculation 2 8 3" xfId="43908" xr:uid="{8FE9E35A-CBEF-4A2F-AFD1-031953EC72A6}"/>
    <cellStyle name="Calculation 2 9" xfId="17727" xr:uid="{0F0A7256-36F1-483C-828F-C65CFD696A04}"/>
    <cellStyle name="Calculation 2 9 2" xfId="33449" xr:uid="{0C4AA247-DDEB-4DD8-B530-42CA65F771AA}"/>
    <cellStyle name="Calculation 2 9 3" xfId="47233" xr:uid="{58FABF89-3B5A-4FEA-9DE2-A887BC86C36D}"/>
    <cellStyle name="Calculation 20" xfId="3072" xr:uid="{61F3DD31-9580-445D-BAD4-C2EA5085121E}"/>
    <cellStyle name="Calculation 20 2" xfId="4967" xr:uid="{4F9A325D-B98A-4776-96E1-57EE1F3ECF02}"/>
    <cellStyle name="Calculation 20 2 2" xfId="8368" xr:uid="{6CCECDE3-D657-4FBD-A00E-5BFD49F4E2E1}"/>
    <cellStyle name="Calculation 20 2 2 2" xfId="14077" xr:uid="{1DBF33B9-95F8-4DAD-BFBE-E37F990D802B}"/>
    <cellStyle name="Calculation 20 2 2 2 2" xfId="30445" xr:uid="{6DE0A852-7E6A-43D7-BE8E-BF3669D1EDC0}"/>
    <cellStyle name="Calculation 20 2 2 2 3" xfId="43828" xr:uid="{0AB68C42-F1D1-4504-9638-C25724209FA5}"/>
    <cellStyle name="Calculation 20 2 2 3" xfId="25872" xr:uid="{451E804F-2D29-42E7-A7D3-E6CFA8AA6C67}"/>
    <cellStyle name="Calculation 20 2 2 4" xfId="38948" xr:uid="{F83C1F29-8642-4E5E-A90E-369803BD78D9}"/>
    <cellStyle name="Calculation 20 2 3" xfId="15050" xr:uid="{D327C0F9-8BF8-415A-B910-F88A7BCE20A5}"/>
    <cellStyle name="Calculation 20 2 3 2" xfId="31264" xr:uid="{68DC925F-7593-42E1-BA0B-A696962051F2}"/>
    <cellStyle name="Calculation 20 2 3 3" xfId="44720" xr:uid="{EC87052B-1962-46FB-9013-452FEF0CCAAA}"/>
    <cellStyle name="Calculation 20 2 4" xfId="22744" xr:uid="{FB8B6AB2-3DAB-4823-BB06-62DCB31C8F55}"/>
    <cellStyle name="Calculation 20 2 5" xfId="35800" xr:uid="{8E9CA361-51C7-48FE-A3AB-5A0DC7437A77}"/>
    <cellStyle name="Calculation 20 3" xfId="6735" xr:uid="{371A5D39-267A-4720-82D9-1A8FFFF90D17}"/>
    <cellStyle name="Calculation 20 3 2" xfId="12574" xr:uid="{A35DC5DB-9698-42B0-9CAB-E097F0BA6F98}"/>
    <cellStyle name="Calculation 20 3 2 2" xfId="29191" xr:uid="{2A6E1EF6-E4C5-446D-B98C-4FA97301BD93}"/>
    <cellStyle name="Calculation 20 3 2 3" xfId="42453" xr:uid="{6FC0B2A0-6638-409F-AC7B-49273E5776CC}"/>
    <cellStyle name="Calculation 20 3 3" xfId="24363" xr:uid="{17D7852C-6198-4655-A61E-55DDE5BD734B}"/>
    <cellStyle name="Calculation 20 3 4" xfId="37444" xr:uid="{3764A10B-67DA-4A19-B3C1-BF03B5A322C9}"/>
    <cellStyle name="Calculation 20 4" xfId="13838" xr:uid="{441C450C-691A-45B8-886A-78CB3903B332}"/>
    <cellStyle name="Calculation 20 4 2" xfId="30240" xr:uid="{F5A76679-34D5-4E4B-98B1-05B3E93DA0C7}"/>
    <cellStyle name="Calculation 20 4 3" xfId="43610" xr:uid="{91335C74-6EDC-4877-9968-17D82CAFC1C0}"/>
    <cellStyle name="Calculation 20 5" xfId="21115" xr:uid="{279FCE8B-A4ED-40EC-91C8-02D3178D938B}"/>
    <cellStyle name="Calculation 20 6" xfId="34138" xr:uid="{003DDF4A-A9B3-4A87-ADC0-F35C8CFA193B}"/>
    <cellStyle name="Calculation 21" xfId="2609" xr:uid="{DA6BA5D1-B08C-4478-AB0C-52C28B728C8E}"/>
    <cellStyle name="Calculation 21 2" xfId="7906" xr:uid="{AB8318B8-1FEC-4D7F-8425-5DCAAB701496}"/>
    <cellStyle name="Calculation 21 2 2" xfId="11529" xr:uid="{6886AB38-87FC-4DCA-BA7D-4852692AFF06}"/>
    <cellStyle name="Calculation 21 2 2 2" xfId="28287" xr:uid="{76C54A4F-54D0-4529-9322-67072571A0A8}"/>
    <cellStyle name="Calculation 21 2 2 3" xfId="41484" xr:uid="{042BD826-1CC5-4B13-94B0-7A7A01E42818}"/>
    <cellStyle name="Calculation 21 2 3" xfId="25423" xr:uid="{27ABD0F5-4A07-42F7-ABF8-96C82FD7D1FB}"/>
    <cellStyle name="Calculation 21 2 4" xfId="38499" xr:uid="{8F2B8DF4-4727-4EEE-B06D-6828B044C088}"/>
    <cellStyle name="Calculation 21 3" xfId="6273" xr:uid="{19216BB7-3C02-412F-AAFB-940513097B92}"/>
    <cellStyle name="Calculation 21 3 2" xfId="15464" xr:uid="{45819BA3-9D82-4D6B-B49D-E0F5F03E8CCF}"/>
    <cellStyle name="Calculation 21 3 2 2" xfId="31608" xr:uid="{F75C141F-75B0-4E14-88ED-88E9E44D9F4A}"/>
    <cellStyle name="Calculation 21 3 2 3" xfId="45103" xr:uid="{1F824752-22CB-43F8-8E82-4BA6D3E22C31}"/>
    <cellStyle name="Calculation 21 3 3" xfId="23914" xr:uid="{05662BA4-A84D-4D8B-A2E8-4B2E4E0ECABB}"/>
    <cellStyle name="Calculation 21 3 4" xfId="36995" xr:uid="{4326B54E-8483-4DF9-B0F1-D6855BB07FCE}"/>
    <cellStyle name="Calculation 21 4" xfId="12668" xr:uid="{7C0A0281-C4B5-4C4F-BBB3-F67B8AECD697}"/>
    <cellStyle name="Calculation 21 4 2" xfId="29266" xr:uid="{5CBB3895-9615-4FFD-B75E-B2C43AE25851}"/>
    <cellStyle name="Calculation 21 4 3" xfId="42537" xr:uid="{3E0B9E92-CD36-4CEB-AA2A-94773CB3775C}"/>
    <cellStyle name="Calculation 21 5" xfId="20666" xr:uid="{EB098285-5F5D-4413-9CEA-A0C529E9E238}"/>
    <cellStyle name="Calculation 21 6" xfId="33689" xr:uid="{11CD4D0D-E1E3-45DC-AEF5-10948AB25535}"/>
    <cellStyle name="Calculation 22" xfId="4150" xr:uid="{1DED6A60-62C1-4A1B-84E7-951628A51599}"/>
    <cellStyle name="Calculation 22 2" xfId="9202" xr:uid="{344AAE3E-E9A5-48A1-92A3-65493CB63499}"/>
    <cellStyle name="Calculation 22 2 2" xfId="12676" xr:uid="{587B7527-DD69-4014-8932-A3A2F44FAB63}"/>
    <cellStyle name="Calculation 22 2 2 2" xfId="29271" xr:uid="{539F12B5-3162-4981-A040-BBF13F18EFB1}"/>
    <cellStyle name="Calculation 22 2 2 3" xfId="42544" xr:uid="{2F3FB618-5C91-458B-A3F9-655B84814BDE}"/>
    <cellStyle name="Calculation 22 2 3" xfId="26678" xr:uid="{ED9F64EE-E1B7-4C7F-85E7-A5F7465F55E7}"/>
    <cellStyle name="Calculation 22 2 4" xfId="39754" xr:uid="{EAEE823C-AAD8-4889-8077-59403BFBFA46}"/>
    <cellStyle name="Calculation 22 3" xfId="7714" xr:uid="{F21C5D91-4301-4FCD-A2C1-9D093CAF1EBA}"/>
    <cellStyle name="Calculation 22 3 2" xfId="15257" xr:uid="{145703E4-544B-4A9B-BD92-8F4ED72F9685}"/>
    <cellStyle name="Calculation 22 3 2 2" xfId="31432" xr:uid="{354B9112-9DFC-4407-9837-30E8BFE3A19C}"/>
    <cellStyle name="Calculation 22 3 2 3" xfId="44908" xr:uid="{2F173615-DBC6-490D-A903-8210BB8F1D6B}"/>
    <cellStyle name="Calculation 22 3 3" xfId="25237" xr:uid="{A6F85320-8414-4611-9C5A-D6490F130C12}"/>
    <cellStyle name="Calculation 22 3 4" xfId="38313" xr:uid="{94258753-65A0-4228-98B6-2F1ED7476AE6}"/>
    <cellStyle name="Calculation 22 4" xfId="12502" xr:uid="{AC003CB4-A720-49AF-B81A-F433C89CBE26}"/>
    <cellStyle name="Calculation 22 4 2" xfId="29136" xr:uid="{43B835A3-73CE-44AD-A672-6C05E8F3CD2A}"/>
    <cellStyle name="Calculation 22 4 3" xfId="42390" xr:uid="{4646438D-DD8C-4130-BF7B-D501A2C97886}"/>
    <cellStyle name="Calculation 22 5" xfId="21978" xr:uid="{09CE241A-4034-4D84-B2C1-64EECAB2D0B5}"/>
    <cellStyle name="Calculation 22 6" xfId="35027" xr:uid="{E83C6DB2-E947-4720-B0C0-4892FEB168C4}"/>
    <cellStyle name="Calculation 23" xfId="2537" xr:uid="{769CFD9C-AEFA-4E87-962C-DAEF1AB5C73B}"/>
    <cellStyle name="Calculation 23 2" xfId="7835" xr:uid="{236C9582-157B-4AD6-9A8E-786FA905250B}"/>
    <cellStyle name="Calculation 23 2 2" xfId="13816" xr:uid="{CBEDFDDC-DCCC-4C8D-8FCD-B1F23D9AD37F}"/>
    <cellStyle name="Calculation 23 2 2 2" xfId="30219" xr:uid="{EDFC98AB-B1B4-4B40-9B0B-C42948609361}"/>
    <cellStyle name="Calculation 23 2 2 3" xfId="43588" xr:uid="{650A25A1-B22E-437C-96FB-25143F04B220}"/>
    <cellStyle name="Calculation 23 2 3" xfId="25355" xr:uid="{844D41C3-AE26-44D5-80EC-DECF09A6CD34}"/>
    <cellStyle name="Calculation 23 2 4" xfId="38431" xr:uid="{5AA6422F-FD30-4892-B37A-C3164FA4F51A}"/>
    <cellStyle name="Calculation 23 3" xfId="6202" xr:uid="{4FAEC985-9B2D-4073-B358-93DBC334BC55}"/>
    <cellStyle name="Calculation 23 3 2" xfId="11294" xr:uid="{AFC86DCF-1780-4E8F-844A-CC9D8F08C62C}"/>
    <cellStyle name="Calculation 23 3 2 2" xfId="28078" xr:uid="{89E86E19-A905-4983-ADD9-5201E0773EED}"/>
    <cellStyle name="Calculation 23 3 2 3" xfId="41261" xr:uid="{1254592B-861A-4372-85AF-F2DC5D38354B}"/>
    <cellStyle name="Calculation 23 3 3" xfId="23846" xr:uid="{061FE69D-98CD-4259-8DB2-D78A09D05BEE}"/>
    <cellStyle name="Calculation 23 3 4" xfId="36927" xr:uid="{B0D8591C-23EE-42B9-A117-04631E9017DD}"/>
    <cellStyle name="Calculation 23 4" xfId="15913" xr:uid="{FFD1E1D8-2335-4906-8AD0-8105E75A3073}"/>
    <cellStyle name="Calculation 23 4 2" xfId="31995" xr:uid="{6C9E7BBA-32E3-4559-8D4F-E639F12CEAD0}"/>
    <cellStyle name="Calculation 23 4 3" xfId="45511" xr:uid="{C390A253-1FCE-4662-AEE5-647A364FBEE2}"/>
    <cellStyle name="Calculation 23 5" xfId="20598" xr:uid="{F0200D27-C7EE-44F8-B959-7BD6A7C5C493}"/>
    <cellStyle name="Calculation 23 6" xfId="33621" xr:uid="{017EB143-C672-40C4-970E-D0FBF9CD345B}"/>
    <cellStyle name="Calculation 24" xfId="4258" xr:uid="{FE9E66AE-E5DC-4295-8A4B-3FA9F470C450}"/>
    <cellStyle name="Calculation 24 2" xfId="9310" xr:uid="{CF11FBA4-5961-45F3-9949-495383EC08D7}"/>
    <cellStyle name="Calculation 24 2 2" xfId="11815" xr:uid="{A196C4F5-42B4-4996-9D4A-65361C0C7791}"/>
    <cellStyle name="Calculation 24 2 2 2" xfId="28536" xr:uid="{BD0B4029-9993-4C82-A0CF-5DD8F5669720}"/>
    <cellStyle name="Calculation 24 2 2 3" xfId="41748" xr:uid="{66A16586-24CC-449B-8F89-8200D45027AE}"/>
    <cellStyle name="Calculation 24 2 3" xfId="26783" xr:uid="{B913A1B2-0085-4F24-B84B-C10EEC7D29C6}"/>
    <cellStyle name="Calculation 24 2 4" xfId="39859" xr:uid="{062739B8-38FC-43D9-8715-8262497574CE}"/>
    <cellStyle name="Calculation 24 3" xfId="7822" xr:uid="{E25D9803-2902-478B-8A51-8D33DBCD2A3E}"/>
    <cellStyle name="Calculation 24 3 2" xfId="16347" xr:uid="{88D11A60-75C0-4882-8025-987A977680DC}"/>
    <cellStyle name="Calculation 24 3 2 2" xfId="32370" xr:uid="{BEF0DD71-0E9C-4A08-AF13-F4D6FFB6E91A}"/>
    <cellStyle name="Calculation 24 3 2 3" xfId="45902" xr:uid="{718A3025-1123-48D4-AEF2-1C2C2C6F616C}"/>
    <cellStyle name="Calculation 24 3 3" xfId="25342" xr:uid="{0333BA1C-C97A-4705-9C8F-C36065808030}"/>
    <cellStyle name="Calculation 24 3 4" xfId="38418" xr:uid="{8C7E1999-EFE0-4A2A-9B83-CDB6F17A06E9}"/>
    <cellStyle name="Calculation 24 4" xfId="16865" xr:uid="{9ADD5A89-20B1-4A8E-827F-579CB507A1BE}"/>
    <cellStyle name="Calculation 24 4 2" xfId="32742" xr:uid="{D6A45B72-BF88-4A16-8C6B-AC7F17C98C31}"/>
    <cellStyle name="Calculation 24 4 3" xfId="46407" xr:uid="{3F5C1824-ED16-4977-9646-277687AC2A08}"/>
    <cellStyle name="Calculation 24 5" xfId="22083" xr:uid="{199D015A-C17B-4188-AFB3-F002174B4E1F}"/>
    <cellStyle name="Calculation 24 6" xfId="35132" xr:uid="{C7F7E097-8E29-40B3-9D43-0B691EA59FA9}"/>
    <cellStyle name="Calculation 25" xfId="4279" xr:uid="{B309AA87-F1ED-4384-B450-4D2CC293BD5F}"/>
    <cellStyle name="Calculation 25 2" xfId="6148" xr:uid="{CB85F04F-D9B0-401A-8607-743C76D4F81E}"/>
    <cellStyle name="Calculation 25 2 2" xfId="17046" xr:uid="{3F0AF74C-60A2-4EF5-9B84-A606F7B4F969}"/>
    <cellStyle name="Calculation 25 2 2 2" xfId="32819" xr:uid="{F48F21F9-1C3C-4F7D-8D69-9CAAD647CA5B}"/>
    <cellStyle name="Calculation 25 2 2 3" xfId="46588" xr:uid="{0146D2C0-7DA5-4AAB-92D4-E6CA1229D6DE}"/>
    <cellStyle name="Calculation 25 2 3" xfId="23793" xr:uid="{1869DB31-EFD3-4939-B4B5-9FEE5C46B8E7}"/>
    <cellStyle name="Calculation 25 2 4" xfId="36874" xr:uid="{242EBB62-4DE6-4C8F-93C0-3C60AF879B2D}"/>
    <cellStyle name="Calculation 25 3" xfId="11721" xr:uid="{97FF00C1-7B0D-48F2-9101-980207170FBD}"/>
    <cellStyle name="Calculation 25 3 2" xfId="28450" xr:uid="{81539D24-333C-4D13-938C-B77C69E41106}"/>
    <cellStyle name="Calculation 25 3 3" xfId="41660" xr:uid="{DA248783-088E-4BB0-886F-849330A5C58E}"/>
    <cellStyle name="Calculation 25 4" xfId="22100" xr:uid="{338209BF-FD8A-422B-9E3D-7259AC3363C1}"/>
    <cellStyle name="Calculation 25 5" xfId="35149" xr:uid="{AAC1AF4F-D909-43A1-AF5C-E11C0C10A50A}"/>
    <cellStyle name="Calculation 26" xfId="5254" xr:uid="{EC89CEFF-6380-4E83-8C17-EB472AD22351}"/>
    <cellStyle name="Calculation 26 2" xfId="9687" xr:uid="{2A54CECF-CA80-4A12-A1B8-D3984E050F2E}"/>
    <cellStyle name="Calculation 26 2 2" xfId="10731" xr:uid="{57874CE5-BCB2-47B8-8D5A-52A11BF04BD4}"/>
    <cellStyle name="Calculation 26 2 2 2" xfId="27572" xr:uid="{300FB8B7-18FB-4C3B-A7A6-1EE0AC8EFF50}"/>
    <cellStyle name="Calculation 26 2 2 3" xfId="40712" xr:uid="{70A76912-5FE6-42FB-9B82-426C19AFD481}"/>
    <cellStyle name="Calculation 26 2 3" xfId="26991" xr:uid="{418B40E0-3272-4057-BCA2-92CDF5D6CBBE}"/>
    <cellStyle name="Calculation 26 2 4" xfId="40103" xr:uid="{D440E19E-B4B3-4D86-AE6E-37F0D67D332E}"/>
    <cellStyle name="Calculation 26 3" xfId="14826" xr:uid="{25D05A75-3832-4BC8-84F4-EBA288E7AC8A}"/>
    <cellStyle name="Calculation 26 3 2" xfId="31087" xr:uid="{E7523D07-8F7C-493D-9C83-F2FFEB1D7B10}"/>
    <cellStyle name="Calculation 26 3 3" xfId="44523" xr:uid="{4CB506A3-A441-4419-886D-3098C0E6394D}"/>
    <cellStyle name="Calculation 26 4" xfId="22910" xr:uid="{529A0B1A-0C4B-4FB1-9686-C91919C67597}"/>
    <cellStyle name="Calculation 26 5" xfId="35984" xr:uid="{1E665D14-E4EE-4ED0-A713-C74F5719BB9D}"/>
    <cellStyle name="Calculation 27" xfId="10320" xr:uid="{99FE617D-FFA7-40FF-957C-2573CBED06B7}"/>
    <cellStyle name="Calculation 27 2" xfId="17581" xr:uid="{6EF20D33-A977-47F2-9B96-F951CD637E22}"/>
    <cellStyle name="Calculation 27 2 2" xfId="33318" xr:uid="{0A84090B-0AC6-451D-A71F-446EA7DA82E9}"/>
    <cellStyle name="Calculation 27 2 3" xfId="47106" xr:uid="{29DAA1CE-EACA-48B7-BA08-A9B9A089390D}"/>
    <cellStyle name="Calculation 27 3" xfId="27392" xr:uid="{B763BC4A-88C1-490C-ACA4-1A2237AB863B}"/>
    <cellStyle name="Calculation 27 4" xfId="40511" xr:uid="{D82B4FDC-8CFE-459C-864B-3BC2789CF5FC}"/>
    <cellStyle name="Calculation 28" xfId="10205" xr:uid="{6BCD6386-B544-40C9-905A-DFB17D0AA37E}"/>
    <cellStyle name="Calculation 28 2" xfId="10825" xr:uid="{FA0CC82A-54E7-4F54-A347-9232B264CB82}"/>
    <cellStyle name="Calculation 28 2 2" xfId="27657" xr:uid="{58A4F991-4623-47DA-9A38-46D9DFB9F61A}"/>
    <cellStyle name="Calculation 28 2 3" xfId="40806" xr:uid="{E3210FAB-165C-430A-93CA-F4DCAF84C726}"/>
    <cellStyle name="Calculation 28 3" xfId="27391" xr:uid="{FF5D11A2-472F-4D23-A99C-1D8DCAC8FB4A}"/>
    <cellStyle name="Calculation 28 4" xfId="40510" xr:uid="{2C2A1C24-209A-4CAF-94B0-BBE177CEBCAE}"/>
    <cellStyle name="Calculation 29" xfId="11906" xr:uid="{6C7BD826-2CFF-40EF-AC00-0567EDB3DEA3}"/>
    <cellStyle name="Calculation 29 2" xfId="28621" xr:uid="{68C32CDC-FFEB-4049-A8FB-31C87CC526E4}"/>
    <cellStyle name="Calculation 29 3" xfId="41837" xr:uid="{C75A27EF-6B91-42B5-8965-205972A09AE9}"/>
    <cellStyle name="Calculation 3" xfId="3376" xr:uid="{4BCD9B24-678A-44BB-8653-CD49BAFA557F}"/>
    <cellStyle name="Calculation 3 10" xfId="34412" xr:uid="{6B0631C5-D3AE-41ED-B458-7144CF00532A}"/>
    <cellStyle name="Calculation 3 2" xfId="2732" xr:uid="{2C6DA713-EE83-4024-A6DF-548C0B1CA81A}"/>
    <cellStyle name="Calculation 3 2 2" xfId="8028" xr:uid="{ECE3A9D8-EE79-42A3-B402-82BD201B6866}"/>
    <cellStyle name="Calculation 3 2 2 2" xfId="11735" xr:uid="{F8A8F202-4BBF-4194-98EF-59733625D8C8}"/>
    <cellStyle name="Calculation 3 2 2 2 2" xfId="28462" xr:uid="{C01336CD-F812-4CB1-B12E-FD9096990029}"/>
    <cellStyle name="Calculation 3 2 2 2 3" xfId="41673" xr:uid="{52AF4358-87DD-47BD-899D-5A8FE167B31C}"/>
    <cellStyle name="Calculation 3 2 2 3" xfId="25541" xr:uid="{3D0FDF59-BBB2-4B78-855F-91FF62321257}"/>
    <cellStyle name="Calculation 3 2 2 4" xfId="38617" xr:uid="{36D81866-F18F-47C0-8487-AEB06DA90BD2}"/>
    <cellStyle name="Calculation 3 2 3" xfId="6395" xr:uid="{389946E3-1867-48D8-8954-B1A014C6EB6E}"/>
    <cellStyle name="Calculation 3 2 3 2" xfId="16217" xr:uid="{EE1B3374-FFC0-45F9-B34D-5934D84D5300}"/>
    <cellStyle name="Calculation 3 2 3 2 2" xfId="32256" xr:uid="{BE59A89D-4812-457A-BBE2-9F3A31404419}"/>
    <cellStyle name="Calculation 3 2 3 2 3" xfId="45784" xr:uid="{F1BF00E4-DEFA-43DF-902A-6BB04D21BDB6}"/>
    <cellStyle name="Calculation 3 2 3 3" xfId="24032" xr:uid="{92A6A915-FAC9-4C64-924A-740177AE7BBB}"/>
    <cellStyle name="Calculation 3 2 3 4" xfId="37113" xr:uid="{589B3369-BC1A-42EE-B872-C1FAC3D2B179}"/>
    <cellStyle name="Calculation 3 2 4" xfId="12346" xr:uid="{6930388F-00B8-47A1-98A8-293DE4C7B5FC}"/>
    <cellStyle name="Calculation 3 2 4 2" xfId="29013" xr:uid="{1AE1E0CD-150A-4B54-8123-0B0853F71A80}"/>
    <cellStyle name="Calculation 3 2 4 3" xfId="42253" xr:uid="{CE857D40-B04F-402B-BBF3-710C336F3A9B}"/>
    <cellStyle name="Calculation 3 2 5" xfId="20784" xr:uid="{9E0DAB6A-ADA7-409D-B9A9-84B88F3A6C33}"/>
    <cellStyle name="Calculation 3 2 6" xfId="33807" xr:uid="{1F32BB87-7EDC-4AE0-9671-648FEAE5FDAF}"/>
    <cellStyle name="Calculation 3 3" xfId="3256" xr:uid="{525D4604-C329-480E-871F-F8A146DEE71C}"/>
    <cellStyle name="Calculation 3 3 2" xfId="8544" xr:uid="{9D81D37E-1E6E-4766-95EA-5DA705BE6BA8}"/>
    <cellStyle name="Calculation 3 3 2 2" xfId="10696" xr:uid="{F27F38DB-5BA3-49EC-A76E-8B986DA0F0E6}"/>
    <cellStyle name="Calculation 3 3 2 2 2" xfId="27541" xr:uid="{36018DA9-323A-4A66-AA32-25FE5D9C1614}"/>
    <cellStyle name="Calculation 3 3 2 2 3" xfId="40677" xr:uid="{FE4A2FE4-E05A-4DB8-A68E-7898C6602D07}"/>
    <cellStyle name="Calculation 3 3 2 3" xfId="26043" xr:uid="{6A2540C6-1491-4D54-B9F0-39BD01B093FD}"/>
    <cellStyle name="Calculation 3 3 2 4" xfId="39119" xr:uid="{8235DAEA-2730-42F7-8E38-95CBDB3EA417}"/>
    <cellStyle name="Calculation 3 3 3" xfId="6915" xr:uid="{5ECB5EDB-0E7E-4D32-9479-0059A6690F8A}"/>
    <cellStyle name="Calculation 3 3 3 2" xfId="11100" xr:uid="{2FF50D1A-BF49-45D1-82EE-DB72F7296C66}"/>
    <cellStyle name="Calculation 3 3 3 2 2" xfId="27901" xr:uid="{019701E2-9BA0-4FDB-8680-75EAFD68771E}"/>
    <cellStyle name="Calculation 3 3 3 2 3" xfId="41079" xr:uid="{724096E0-6F85-4119-A563-8C76EC83A29A}"/>
    <cellStyle name="Calculation 3 3 3 3" xfId="24538" xr:uid="{81FB9EA4-B63A-4153-8B74-5A36BF9FEAC8}"/>
    <cellStyle name="Calculation 3 3 3 4" xfId="37619" xr:uid="{E5805607-04D4-49DF-831A-4732A255881E}"/>
    <cellStyle name="Calculation 3 3 4" xfId="12243" xr:uid="{83BF3F35-1B46-46D2-94D8-A3030E0B573F}"/>
    <cellStyle name="Calculation 3 3 4 2" xfId="28924" xr:uid="{E9507E61-C5C5-4093-954E-9B446E6178F8}"/>
    <cellStyle name="Calculation 3 3 4 3" xfId="42157" xr:uid="{C0F67B1F-1D98-42B3-95D7-317A435ED776}"/>
    <cellStyle name="Calculation 3 3 5" xfId="21290" xr:uid="{DD9DCE97-D760-4A48-87D3-CD749613B251}"/>
    <cellStyle name="Calculation 3 3 6" xfId="34313" xr:uid="{8EB81586-0811-4352-A6AB-00421C02B098}"/>
    <cellStyle name="Calculation 3 4" xfId="2598" xr:uid="{FCC729C9-F2E2-43DB-8DA0-7FBBF223F8D5}"/>
    <cellStyle name="Calculation 3 4 2" xfId="7895" xr:uid="{7A59E49E-B40E-4DF5-AC4B-416C3B54D1FB}"/>
    <cellStyle name="Calculation 3 4 2 2" xfId="12477" xr:uid="{8800F9A1-8C79-41B3-B62F-09F74109DC6F}"/>
    <cellStyle name="Calculation 3 4 2 2 2" xfId="29116" xr:uid="{239E0886-FF5B-4092-94A5-8468E7F216E9}"/>
    <cellStyle name="Calculation 3 4 2 2 3" xfId="42369" xr:uid="{B845F638-E797-43DC-BC53-7A737984C707}"/>
    <cellStyle name="Calculation 3 4 2 3" xfId="25412" xr:uid="{9491A0C7-01E0-40AE-8B38-1F574D861AE4}"/>
    <cellStyle name="Calculation 3 4 2 4" xfId="38488" xr:uid="{C01A2889-FAD3-49C0-A9EE-1840C69E36C1}"/>
    <cellStyle name="Calculation 3 4 3" xfId="6262" xr:uid="{47171733-7DA1-4CF8-AE6D-B37AF47C5952}"/>
    <cellStyle name="Calculation 3 4 3 2" xfId="11741" xr:uid="{C38DD6FD-5710-4256-9E70-318906121166}"/>
    <cellStyle name="Calculation 3 4 3 2 2" xfId="28468" xr:uid="{FD53972F-B407-42DB-82C0-E4FA15BD1960}"/>
    <cellStyle name="Calculation 3 4 3 2 3" xfId="41679" xr:uid="{91F02D42-4C20-4894-ABE0-9A1C049B0943}"/>
    <cellStyle name="Calculation 3 4 3 3" xfId="23903" xr:uid="{E770BD67-C64D-4B29-98B0-86D544AEC22A}"/>
    <cellStyle name="Calculation 3 4 3 4" xfId="36984" xr:uid="{96C58DAD-93C6-48B1-A66D-4E98B790A03C}"/>
    <cellStyle name="Calculation 3 4 4" xfId="12731" xr:uid="{FC1CC924-54E4-4820-AA3C-458C1F34C1AC}"/>
    <cellStyle name="Calculation 3 4 4 2" xfId="29312" xr:uid="{B5E4BE42-CB35-4D22-B34B-D78F9D96A171}"/>
    <cellStyle name="Calculation 3 4 4 3" xfId="42589" xr:uid="{08C7AE6E-1257-4D72-A83F-0E47FDCCA705}"/>
    <cellStyle name="Calculation 3 4 5" xfId="20655" xr:uid="{D54E2AAB-8B4A-49B0-8CA9-571C84401F3F}"/>
    <cellStyle name="Calculation 3 4 6" xfId="33678" xr:uid="{AD3C3C06-DFF6-43D5-A32A-93438B8A86EE}"/>
    <cellStyle name="Calculation 3 5" xfId="4123" xr:uid="{4642DA1D-2DE9-4AE6-9A9E-29902EE875FF}"/>
    <cellStyle name="Calculation 3 5 2" xfId="9175" xr:uid="{5B7FD123-98AD-4CA3-A773-50BB8A1B324B}"/>
    <cellStyle name="Calculation 3 5 2 2" xfId="13773" xr:uid="{FF293CA4-8357-4369-9F85-E0E6D10D02E4}"/>
    <cellStyle name="Calculation 3 5 2 2 2" xfId="30182" xr:uid="{6B69BEB7-043C-4F53-9177-1B66E821EE48}"/>
    <cellStyle name="Calculation 3 5 2 2 3" xfId="43546" xr:uid="{5FA289E9-CDE2-4822-82B7-30447AF1E372}"/>
    <cellStyle name="Calculation 3 5 2 3" xfId="26655" xr:uid="{BB625EAD-DAEE-4DD3-9BE3-854E7462599A}"/>
    <cellStyle name="Calculation 3 5 2 4" xfId="39731" xr:uid="{FA1D7B50-52B0-4ACE-ABB2-684ADC344902}"/>
    <cellStyle name="Calculation 3 5 3" xfId="7687" xr:uid="{51CDCE4E-EF7E-4508-84B2-A716CE0CC3E9}"/>
    <cellStyle name="Calculation 3 5 3 2" xfId="15882" xr:uid="{8EDE973B-9855-4B05-A988-E74AF11B1038}"/>
    <cellStyle name="Calculation 3 5 3 2 2" xfId="31967" xr:uid="{6AA96982-96A9-4D58-8BC4-3FA2419F9246}"/>
    <cellStyle name="Calculation 3 5 3 2 3" xfId="45482" xr:uid="{6B9C7D03-2BEA-4834-BBC9-651F428D0B65}"/>
    <cellStyle name="Calculation 3 5 3 3" xfId="25214" xr:uid="{E2800BBC-BE29-47B0-86D9-0CC31A211F29}"/>
    <cellStyle name="Calculation 3 5 3 4" xfId="38290" xr:uid="{4184FFAB-1847-46FE-8187-3CE4ABA331F3}"/>
    <cellStyle name="Calculation 3 5 4" xfId="15014" xr:uid="{A77A9175-19C5-4EAA-A5BE-940E6DC40FF6}"/>
    <cellStyle name="Calculation 3 5 4 2" xfId="31240" xr:uid="{B3E3520A-794D-47A2-A345-23E13006B285}"/>
    <cellStyle name="Calculation 3 5 4 3" xfId="44690" xr:uid="{296AD3D0-94EA-4F11-AF5B-67A102169E8A}"/>
    <cellStyle name="Calculation 3 5 5" xfId="21955" xr:uid="{1E47C543-A799-48C9-90CC-41A653D75FA7}"/>
    <cellStyle name="Calculation 3 5 6" xfId="35004" xr:uid="{70380AE1-ADAC-41F9-A0D0-BC19B3F17A6D}"/>
    <cellStyle name="Calculation 3 6" xfId="4397" xr:uid="{9556AC63-6FA3-4BFC-B451-9AA52D181560}"/>
    <cellStyle name="Calculation 3 6 2" xfId="7022" xr:uid="{76419536-CFCD-4F9F-8A75-492698AD4FB5}"/>
    <cellStyle name="Calculation 3 6 2 2" xfId="17365" xr:uid="{147ED09F-9B91-48AE-88FC-3BD656A71532}"/>
    <cellStyle name="Calculation 3 6 2 2 2" xfId="33119" xr:uid="{5B7AC419-C262-42AE-BAEC-11C211846382}"/>
    <cellStyle name="Calculation 3 6 2 2 3" xfId="46895" xr:uid="{182D7B8E-FDC2-4AE4-BFA3-0997AAC87616}"/>
    <cellStyle name="Calculation 3 6 2 3" xfId="24637" xr:uid="{229210C4-C753-4F87-B7E5-23C8B020D540}"/>
    <cellStyle name="Calculation 3 6 2 4" xfId="37718" xr:uid="{EAFB758A-6734-46C2-8608-073911A77909}"/>
    <cellStyle name="Calculation 3 6 3" xfId="15094" xr:uid="{547F5114-28AC-4D26-88D8-E6271AA6B556}"/>
    <cellStyle name="Calculation 3 6 3 2" xfId="31300" xr:uid="{BB22BAF7-CC3B-4E00-AF62-F3ECC13BB745}"/>
    <cellStyle name="Calculation 3 6 3 3" xfId="44761" xr:uid="{6E102823-BFE0-480B-8BE1-671C455F947D}"/>
    <cellStyle name="Calculation 3 6 4" xfId="22216" xr:uid="{118D3DB0-1C18-4D60-8FF0-31299CFB7720}"/>
    <cellStyle name="Calculation 3 6 5" xfId="35265" xr:uid="{1492084B-4F8F-450E-8E98-879EF9B035BA}"/>
    <cellStyle name="Calculation 3 7" xfId="5451" xr:uid="{05B5E660-6879-4A62-BE50-B7D07A9D67F1}"/>
    <cellStyle name="Calculation 3 7 2" xfId="8631" xr:uid="{B6B88C28-647F-47EE-A5A1-AF46D7983B64}"/>
    <cellStyle name="Calculation 3 7 2 2" xfId="10703" xr:uid="{A23200FF-511E-4071-85EA-F17742AD68D1}"/>
    <cellStyle name="Calculation 3 7 2 2 2" xfId="27548" xr:uid="{3543E11F-F6C6-4B85-B8C6-8C53904687AA}"/>
    <cellStyle name="Calculation 3 7 2 2 3" xfId="40684" xr:uid="{35714E63-BBBB-43C2-AA8F-09A02C81A3EF}"/>
    <cellStyle name="Calculation 3 7 2 3" xfId="26126" xr:uid="{0318FAFA-7E5E-42AB-91BF-D2C180605286}"/>
    <cellStyle name="Calculation 3 7 2 4" xfId="39202" xr:uid="{6685C385-693D-4293-82BA-62FD6E018078}"/>
    <cellStyle name="Calculation 3 7 3" xfId="17178" xr:uid="{88F67815-712E-4981-9EC8-81D0956C2CD4}"/>
    <cellStyle name="Calculation 3 7 3 2" xfId="32941" xr:uid="{E072FA79-229F-4BB8-807F-9F9E1EBC9647}"/>
    <cellStyle name="Calculation 3 7 3 3" xfId="46713" xr:uid="{F4CC834C-9E83-41A3-AB53-589F7062E486}"/>
    <cellStyle name="Calculation 3 7 4" xfId="23098" xr:uid="{4808D262-BABE-4ED4-9E79-12FF6DE0DEB4}"/>
    <cellStyle name="Calculation 3 7 5" xfId="36179" xr:uid="{0C803D4D-7D8C-4D77-B73A-B1ADFEA5F3B2}"/>
    <cellStyle name="Calculation 3 8" xfId="14840" xr:uid="{CD760F88-A454-4FC2-8968-3AB3F0478B39}"/>
    <cellStyle name="Calculation 3 8 2" xfId="31097" xr:uid="{BEFF5C3B-66F1-4191-8B04-51C8D219D8BE}"/>
    <cellStyle name="Calculation 3 8 3" xfId="44535" xr:uid="{57CC3E95-8A74-46E5-8C60-390C5897933A}"/>
    <cellStyle name="Calculation 3 9" xfId="21389" xr:uid="{F735145F-B73B-4FEE-80FF-7DE7D11E2CC5}"/>
    <cellStyle name="Calculation 30" xfId="16710" xr:uid="{4204CAE8-4C05-46C6-AF42-5D30D59863BF}"/>
    <cellStyle name="Calculation 30 2" xfId="32594" xr:uid="{359194F0-0A9F-4E3F-B90E-FD2261B1EE05}"/>
    <cellStyle name="Calculation 30 3" xfId="46254" xr:uid="{71CD5AE4-09E9-43AC-8911-1ECAD782146D}"/>
    <cellStyle name="Calculation 31" xfId="10877" xr:uid="{72B3F026-8922-45ED-AE0F-F535F661CA23}"/>
    <cellStyle name="Calculation 31 2" xfId="27702" xr:uid="{56579097-50CD-4748-9401-DA4C1605654F}"/>
    <cellStyle name="Calculation 31 3" xfId="40857" xr:uid="{CDE1C7AF-9B5B-436C-81D3-2E7ACE7E225C}"/>
    <cellStyle name="Calculation 32" xfId="17643" xr:uid="{81B75C1D-C7D4-4B03-867F-7F6DB10DD6D0}"/>
    <cellStyle name="Calculation 32 2" xfId="33370" xr:uid="{327489E2-8513-4E4B-8D0F-09524D2E31E9}"/>
    <cellStyle name="Calculation 32 3" xfId="47159" xr:uid="{941D4D1B-EFEB-4BC2-9CBD-79265605313F}"/>
    <cellStyle name="Calculation 33" xfId="33544" xr:uid="{02A54F39-2B0D-4527-91A0-D46AD706965A}"/>
    <cellStyle name="Calculation 4" xfId="3387" xr:uid="{52A6E127-5138-4E15-BDA7-F486AE6D6E53}"/>
    <cellStyle name="Calculation 4 10" xfId="34417" xr:uid="{656AAC9D-E167-4855-92BD-1B0035E34684}"/>
    <cellStyle name="Calculation 4 2" xfId="2738" xr:uid="{451ED8D7-8226-4733-A2C4-18924CEF5C23}"/>
    <cellStyle name="Calculation 4 2 2" xfId="8034" xr:uid="{46D03FBA-5988-496B-9010-139D27416D39}"/>
    <cellStyle name="Calculation 4 2 2 2" xfId="15365" xr:uid="{4BE8CF46-91D9-4A3A-862F-0268B40CA66B}"/>
    <cellStyle name="Calculation 4 2 2 2 2" xfId="31522" xr:uid="{69A6053A-5E6E-4DC2-9ACB-30DB08065591}"/>
    <cellStyle name="Calculation 4 2 2 2 3" xfId="45008" xr:uid="{E373F86A-82E6-4BC2-9295-E901A68157BE}"/>
    <cellStyle name="Calculation 4 2 2 3" xfId="25547" xr:uid="{4AA9D0F2-F7BE-45B3-93F2-BB6ACDD1E771}"/>
    <cellStyle name="Calculation 4 2 2 4" xfId="38623" xr:uid="{4A707922-8873-4DDD-B259-BBB2CF35CFB8}"/>
    <cellStyle name="Calculation 4 2 3" xfId="6401" xr:uid="{53A9A3C1-7358-4C26-8946-730BF5A204D1}"/>
    <cellStyle name="Calculation 4 2 3 2" xfId="15274" xr:uid="{4DB41AD1-5F34-424A-922E-3214342E379F}"/>
    <cellStyle name="Calculation 4 2 3 2 2" xfId="31448" xr:uid="{FD0F2346-ADBF-4D7E-B78A-3486D4ADDCEF}"/>
    <cellStyle name="Calculation 4 2 3 2 3" xfId="44924" xr:uid="{91ECC21C-7C96-4273-A7D6-DD9A0E25CEDD}"/>
    <cellStyle name="Calculation 4 2 3 3" xfId="24038" xr:uid="{3204C461-DAC2-432B-A981-45EDD50D4C0D}"/>
    <cellStyle name="Calculation 4 2 3 4" xfId="37119" xr:uid="{416B5097-E983-4C5A-AC2C-39C8511E7864}"/>
    <cellStyle name="Calculation 4 2 4" xfId="16365" xr:uid="{0E1D448C-F181-4F2D-882F-33FA1E971902}"/>
    <cellStyle name="Calculation 4 2 4 2" xfId="32386" xr:uid="{5038E2FE-87C8-4119-8D2B-14A9880F6FC3}"/>
    <cellStyle name="Calculation 4 2 4 3" xfId="45919" xr:uid="{68CD8FD0-41B2-47F0-8D22-F20C4FD5A1AE}"/>
    <cellStyle name="Calculation 4 2 5" xfId="20790" xr:uid="{34BCC423-C18D-47C7-A254-D4A3162BC3B7}"/>
    <cellStyle name="Calculation 4 2 6" xfId="33813" xr:uid="{EDFAED55-493B-4B1F-A21B-5B76AC26348C}"/>
    <cellStyle name="Calculation 4 3" xfId="2526" xr:uid="{9239811E-C45A-4CA3-8ECC-5DC3DCD91451}"/>
    <cellStyle name="Calculation 4 3 2" xfId="6137" xr:uid="{B83A820A-3D54-4B38-B1DA-2976FB5B4101}"/>
    <cellStyle name="Calculation 4 3 2 2" xfId="13473" xr:uid="{46685F46-C1C7-49F3-BF9C-A9C52F86AA69}"/>
    <cellStyle name="Calculation 4 3 2 2 2" xfId="29934" xr:uid="{EEDDEDF2-68A1-4372-9E2B-248D6CD0674B}"/>
    <cellStyle name="Calculation 4 3 2 2 3" xfId="43274" xr:uid="{3E31B041-1C18-4930-859C-6DC428F3A9E6}"/>
    <cellStyle name="Calculation 4 3 2 3" xfId="23782" xr:uid="{79DF89AD-3473-4922-AC34-FB3D4A6CD009}"/>
    <cellStyle name="Calculation 4 3 2 4" xfId="36863" xr:uid="{05D75DF2-AFF4-484E-A7D5-3D3C71C95DBA}"/>
    <cellStyle name="Calculation 4 3 3" xfId="6192" xr:uid="{448323D9-32EA-43D4-88ED-579657182D03}"/>
    <cellStyle name="Calculation 4 3 3 2" xfId="14139" xr:uid="{EFAB065E-57CE-4E2E-ACCE-BFDB3F099CF1}"/>
    <cellStyle name="Calculation 4 3 3 2 2" xfId="30502" xr:uid="{AA03D66D-978A-4B31-9BA9-B02E6164A4B1}"/>
    <cellStyle name="Calculation 4 3 3 2 3" xfId="43886" xr:uid="{4B29B2A1-E668-426F-8914-DA82D8FB91AA}"/>
    <cellStyle name="Calculation 4 3 3 3" xfId="23837" xr:uid="{FA2EF18E-31C6-432C-8E52-0E6ED0A45048}"/>
    <cellStyle name="Calculation 4 3 3 4" xfId="36918" xr:uid="{E57C70EA-5BC6-4CE3-B2DA-4664D821F6E4}"/>
    <cellStyle name="Calculation 4 3 4" xfId="16787" xr:uid="{FB127680-061F-4C1B-8318-FA375B2872E5}"/>
    <cellStyle name="Calculation 4 3 4 2" xfId="32668" xr:uid="{8643E317-2C3E-43E4-9052-BFDA477A7C05}"/>
    <cellStyle name="Calculation 4 3 4 3" xfId="46330" xr:uid="{03D84D0D-BA23-4E99-A49F-C5AD58E92182}"/>
    <cellStyle name="Calculation 4 3 5" xfId="20589" xr:uid="{911F4157-945D-4998-9C92-06CE5352566F}"/>
    <cellStyle name="Calculation 4 3 6" xfId="33612" xr:uid="{7860C505-D0C7-4EA3-A183-693E81374829}"/>
    <cellStyle name="Calculation 4 4" xfId="2600" xr:uid="{480DDCF8-D214-400F-910B-11D7F531EAD4}"/>
    <cellStyle name="Calculation 4 4 2" xfId="7897" xr:uid="{BD11610F-EC62-4FF8-BA1E-CBFA618680BE}"/>
    <cellStyle name="Calculation 4 4 2 2" xfId="16803" xr:uid="{3503305E-F305-4314-9534-E9D3FC223799}"/>
    <cellStyle name="Calculation 4 4 2 2 2" xfId="32683" xr:uid="{E69BC297-58A6-4E4C-A8B5-D8D1F8BB3B61}"/>
    <cellStyle name="Calculation 4 4 2 2 3" xfId="46346" xr:uid="{98076323-3995-477C-BAAB-C23D9E1A0F63}"/>
    <cellStyle name="Calculation 4 4 2 3" xfId="25414" xr:uid="{0E3449EE-7F1E-442C-97A0-8B893EF4CAF9}"/>
    <cellStyle name="Calculation 4 4 2 4" xfId="38490" xr:uid="{5F652E00-CE9F-4010-BF03-45D65EF31811}"/>
    <cellStyle name="Calculation 4 4 3" xfId="6264" xr:uid="{806E7AA5-11EF-4F06-BEF9-264959A58106}"/>
    <cellStyle name="Calculation 4 4 3 2" xfId="14667" xr:uid="{ACE7F465-274A-4334-898A-7436D9CF65BD}"/>
    <cellStyle name="Calculation 4 4 3 2 2" xfId="30961" xr:uid="{696DACD0-3626-4184-96E0-309CDA853472}"/>
    <cellStyle name="Calculation 4 4 3 2 3" xfId="44382" xr:uid="{2406259F-A877-4E16-A3F0-88B6EE2A3694}"/>
    <cellStyle name="Calculation 4 4 3 3" xfId="23905" xr:uid="{545D36D7-A2E0-4B27-A6BE-D44436574433}"/>
    <cellStyle name="Calculation 4 4 3 4" xfId="36986" xr:uid="{14B998D4-BA95-478C-BE52-1D37E08121AC}"/>
    <cellStyle name="Calculation 4 4 4" xfId="13459" xr:uid="{5C98D8D4-724E-4324-BFD1-C8C5DF11006B}"/>
    <cellStyle name="Calculation 4 4 4 2" xfId="29922" xr:uid="{7CA5E03F-FB3C-4D0D-8CD6-19006B3EE842}"/>
    <cellStyle name="Calculation 4 4 4 3" xfId="43261" xr:uid="{D120079F-57E6-427B-BD63-D857D00CA469}"/>
    <cellStyle name="Calculation 4 4 5" xfId="20657" xr:uid="{033882B7-130F-48FF-BB5B-25B6BFF67A4A}"/>
    <cellStyle name="Calculation 4 4 6" xfId="33680" xr:uid="{090D0797-0B96-4DFF-B143-804C49119851}"/>
    <cellStyle name="Calculation 4 5" xfId="4253" xr:uid="{E695F971-3EBF-4A01-8BBD-6BBE869BF5CB}"/>
    <cellStyle name="Calculation 4 5 2" xfId="9305" xr:uid="{F869EFF0-18B2-4134-9D85-13A5EECA6131}"/>
    <cellStyle name="Calculation 4 5 2 2" xfId="13049" xr:uid="{0D41945F-2A00-4FAA-B238-9A5615079DC8}"/>
    <cellStyle name="Calculation 4 5 2 2 2" xfId="29574" xr:uid="{9B332CEB-AABB-4561-AE13-DEC281DB4403}"/>
    <cellStyle name="Calculation 4 5 2 2 3" xfId="42879" xr:uid="{AA45BA76-AF4B-48E3-A60C-78BCECEA0A21}"/>
    <cellStyle name="Calculation 4 5 2 3" xfId="26778" xr:uid="{A7155EDE-5889-4806-8232-7E19745165A7}"/>
    <cellStyle name="Calculation 4 5 2 4" xfId="39854" xr:uid="{E71A4DAB-06B4-4CCA-BB87-73A6BD2CF132}"/>
    <cellStyle name="Calculation 4 5 3" xfId="7817" xr:uid="{82E69869-0781-4EAF-BCAD-3973656D34F2}"/>
    <cellStyle name="Calculation 4 5 3 2" xfId="15702" xr:uid="{59CFF4BC-83FD-4787-9751-F3671F94D5B3}"/>
    <cellStyle name="Calculation 4 5 3 2 2" xfId="31814" xr:uid="{FFB3D979-292E-487F-B404-6B62DCEA3DFA}"/>
    <cellStyle name="Calculation 4 5 3 2 3" xfId="45322" xr:uid="{52227C74-C57C-4371-A191-579915F0D44B}"/>
    <cellStyle name="Calculation 4 5 3 3" xfId="25337" xr:uid="{5BA2EF9E-46AA-4F7D-B714-B7CFFA91684B}"/>
    <cellStyle name="Calculation 4 5 3 4" xfId="38413" xr:uid="{CCD36A34-F15E-4D04-A0AD-1A44CF4BEFBB}"/>
    <cellStyle name="Calculation 4 5 4" xfId="12067" xr:uid="{99407889-6589-4010-93F9-190A9F25E846}"/>
    <cellStyle name="Calculation 4 5 4 2" xfId="28767" xr:uid="{13F78C70-F9DD-4887-B406-718F0B9F6BF4}"/>
    <cellStyle name="Calculation 4 5 4 3" xfId="41987" xr:uid="{0BE1127A-9C6B-40E3-9D92-F901685C1129}"/>
    <cellStyle name="Calculation 4 5 5" xfId="22078" xr:uid="{A6553AA5-6ADF-4C09-ACAB-5333601FA2C1}"/>
    <cellStyle name="Calculation 4 5 6" xfId="35127" xr:uid="{E0EB3F6F-3205-4BF3-8571-8546DC563646}"/>
    <cellStyle name="Calculation 4 6" xfId="4402" xr:uid="{B7FC7E44-5B57-4C8F-BB5F-3FB32B06AF80}"/>
    <cellStyle name="Calculation 4 6 2" xfId="7033" xr:uid="{7B293306-53D5-4949-AA4A-E3FFFCDA0C95}"/>
    <cellStyle name="Calculation 4 6 2 2" xfId="13897" xr:uid="{2791AF85-35F3-4A0C-AB24-DA425F3EF3F9}"/>
    <cellStyle name="Calculation 4 6 2 2 2" xfId="30289" xr:uid="{962DB0DA-F548-4DDD-986A-6A27028CA9F7}"/>
    <cellStyle name="Calculation 4 6 2 2 3" xfId="43662" xr:uid="{B078CACA-934D-40E3-8DED-160C0922A270}"/>
    <cellStyle name="Calculation 4 6 2 3" xfId="24642" xr:uid="{E2370D3F-3106-430C-A074-8B22C90F60C0}"/>
    <cellStyle name="Calculation 4 6 2 4" xfId="37723" xr:uid="{6DE8D34E-1A98-4598-9792-28FEFAF5C155}"/>
    <cellStyle name="Calculation 4 6 3" xfId="13831" xr:uid="{7E422334-F46B-419B-AE0A-1194CAFAAFFE}"/>
    <cellStyle name="Calculation 4 6 3 2" xfId="30233" xr:uid="{BBE263AF-68CC-436E-B7D6-DB2D324F2AF7}"/>
    <cellStyle name="Calculation 4 6 3 3" xfId="43603" xr:uid="{A22906D6-EA9E-484D-8A62-AFA755455623}"/>
    <cellStyle name="Calculation 4 6 4" xfId="22221" xr:uid="{F3B3BFCA-211D-4D4F-A203-FC21F144D121}"/>
    <cellStyle name="Calculation 4 6 5" xfId="35270" xr:uid="{69EECA60-373F-478B-B496-F0D88365B161}"/>
    <cellStyle name="Calculation 4 7" xfId="5456" xr:uid="{CAC21308-D227-4759-A5A7-FB1DE5F14F91}"/>
    <cellStyle name="Calculation 4 7 2" xfId="8636" xr:uid="{691D85EC-8E50-4300-BA7A-22495A657F36}"/>
    <cellStyle name="Calculation 4 7 2 2" xfId="10932" xr:uid="{AAD853B9-9580-4C3D-A1E4-3612A8D86D05}"/>
    <cellStyle name="Calculation 4 7 2 2 2" xfId="27750" xr:uid="{D0B98663-9067-453D-A214-CD4B99B93BAC}"/>
    <cellStyle name="Calculation 4 7 2 2 3" xfId="40912" xr:uid="{7ED36A58-46F5-460F-A733-67E4A6FA0D74}"/>
    <cellStyle name="Calculation 4 7 2 3" xfId="26131" xr:uid="{3BC2CAAB-DCB7-4645-A916-77A5E7E26E77}"/>
    <cellStyle name="Calculation 4 7 2 4" xfId="39207" xr:uid="{573271C6-CD3E-495C-BC5A-C1F7B2A111A6}"/>
    <cellStyle name="Calculation 4 7 3" xfId="11162" xr:uid="{38006481-B9C0-4EBE-AB8E-B6C5ED688DA7}"/>
    <cellStyle name="Calculation 4 7 3 2" xfId="27956" xr:uid="{7D58406C-1F91-4B09-BFCA-8E1B3AB8B333}"/>
    <cellStyle name="Calculation 4 7 3 3" xfId="41138" xr:uid="{7E7BEF3F-DDF8-4B53-8D79-67C125AF82BD}"/>
    <cellStyle name="Calculation 4 7 4" xfId="23103" xr:uid="{EF7E064E-A07D-4835-9E1C-099F1E8C3FF7}"/>
    <cellStyle name="Calculation 4 7 5" xfId="36184" xr:uid="{489EE2C4-5F13-4C14-8A97-E44467326E59}"/>
    <cellStyle name="Calculation 4 8" xfId="11599" xr:uid="{7E4538A9-AF88-4805-B188-92CD6E4C23FE}"/>
    <cellStyle name="Calculation 4 8 2" xfId="28348" xr:uid="{2EBD8208-B430-436E-B0E4-E4B3F014E2B7}"/>
    <cellStyle name="Calculation 4 8 3" xfId="41549" xr:uid="{C8853E66-FB83-4903-B54F-7BF4C4D1FD6A}"/>
    <cellStyle name="Calculation 4 9" xfId="21393" xr:uid="{BD4FD4EC-5B55-4B2B-A1CC-A25885F33AF3}"/>
    <cellStyle name="Calculation 5" xfId="3378" xr:uid="{525455AC-7B83-43BC-9053-08671B60E9E0}"/>
    <cellStyle name="Calculation 5 2" xfId="2734" xr:uid="{6A3366B3-761D-4CCA-A7DB-19C30D27A89C}"/>
    <cellStyle name="Calculation 5 2 2" xfId="8030" xr:uid="{A15D1C8A-634C-4066-8395-46307C17C3A4}"/>
    <cellStyle name="Calculation 5 2 2 2" xfId="11404" xr:uid="{2CEE3147-C39A-4AD3-AE55-65F9F13C31B2}"/>
    <cellStyle name="Calculation 5 2 2 2 2" xfId="28175" xr:uid="{3783EC4C-7B01-4B4D-A654-8269F120EE53}"/>
    <cellStyle name="Calculation 5 2 2 2 3" xfId="41366" xr:uid="{522E4EA7-162C-46B3-92BB-25B6CEDB0867}"/>
    <cellStyle name="Calculation 5 2 2 3" xfId="25543" xr:uid="{5428F04D-0697-42E5-BF88-1C3212D257F9}"/>
    <cellStyle name="Calculation 5 2 2 4" xfId="38619" xr:uid="{B16544AB-B41F-480E-B1A7-8C2EFA9FE11E}"/>
    <cellStyle name="Calculation 5 2 3" xfId="6397" xr:uid="{7654DC7C-D131-4E28-BBC8-08E33D9AEBD6}"/>
    <cellStyle name="Calculation 5 2 3 2" xfId="13110" xr:uid="{128E05A7-C549-47FE-9AAA-E427835B7E58}"/>
    <cellStyle name="Calculation 5 2 3 2 2" xfId="29625" xr:uid="{29711E34-D237-4AB4-B102-DD5A67DA40C6}"/>
    <cellStyle name="Calculation 5 2 3 2 3" xfId="42936" xr:uid="{C84290C4-09FD-446E-875E-F3DA52E8D515}"/>
    <cellStyle name="Calculation 5 2 3 3" xfId="24034" xr:uid="{6D61DE9B-533C-4EB1-BAA8-BDABEE9E7FBF}"/>
    <cellStyle name="Calculation 5 2 3 4" xfId="37115" xr:uid="{82ACEC8D-A8BD-4D04-88A1-E8D4713E8887}"/>
    <cellStyle name="Calculation 5 2 4" xfId="14213" xr:uid="{9BC7DDA0-1C1D-4B42-9324-AB1402520E31}"/>
    <cellStyle name="Calculation 5 2 4 2" xfId="30558" xr:uid="{763B37D9-32A4-4889-9F28-5F9C6E57FF1E}"/>
    <cellStyle name="Calculation 5 2 4 3" xfId="43950" xr:uid="{DED2709D-458E-4A7D-BB66-5771484F54A1}"/>
    <cellStyle name="Calculation 5 2 5" xfId="20786" xr:uid="{2CC67ABF-0F86-4057-90A1-377868B2B11F}"/>
    <cellStyle name="Calculation 5 2 6" xfId="33809" xr:uid="{7E187D7B-BA47-4235-9720-E1EF39FE2FAE}"/>
    <cellStyle name="Calculation 5 3" xfId="4399" xr:uid="{EC0BF347-E6C8-444B-84B4-F0535863A048}"/>
    <cellStyle name="Calculation 5 3 2" xfId="7024" xr:uid="{047950A1-017B-4152-BCB3-556204830B55}"/>
    <cellStyle name="Calculation 5 3 2 2" xfId="17364" xr:uid="{3F92C8AE-0327-4C59-9B81-18C7FE194A20}"/>
    <cellStyle name="Calculation 5 3 2 2 2" xfId="33118" xr:uid="{C74A0B8A-6C28-410B-B0BA-148771809B90}"/>
    <cellStyle name="Calculation 5 3 2 2 3" xfId="46894" xr:uid="{4749FA34-5CAC-412B-A853-50EE7C55BBF6}"/>
    <cellStyle name="Calculation 5 3 2 3" xfId="24639" xr:uid="{252AEA36-91B2-4753-B5F2-06409C62C11D}"/>
    <cellStyle name="Calculation 5 3 2 4" xfId="37720" xr:uid="{C21E3F73-F614-494E-8EB3-66659F9EED2C}"/>
    <cellStyle name="Calculation 5 3 3" xfId="11160" xr:uid="{6F36243D-2B7F-4371-BCF5-10D12D8336CD}"/>
    <cellStyle name="Calculation 5 3 3 2" xfId="27954" xr:uid="{4EF693C7-AD25-4197-8D2E-53BE80B608AC}"/>
    <cellStyle name="Calculation 5 3 3 3" xfId="41136" xr:uid="{C184D823-0E5D-4FDB-9FC1-3A5B2EC80A9A}"/>
    <cellStyle name="Calculation 5 3 4" xfId="22218" xr:uid="{EDFFF275-1224-490B-8A99-05A9969DC185}"/>
    <cellStyle name="Calculation 5 3 5" xfId="35267" xr:uid="{8FE41247-BAD3-4B2C-815A-5109B8512B7A}"/>
    <cellStyle name="Calculation 5 4" xfId="5453" xr:uid="{DD98162D-755C-443B-8AA3-D2F6AA4045F2}"/>
    <cellStyle name="Calculation 5 4 2" xfId="8633" xr:uid="{5A6B66D1-D8FD-4A42-A97E-1305E436655F}"/>
    <cellStyle name="Calculation 5 4 2 2" xfId="17433" xr:uid="{7BA22BCD-0831-4F42-86F7-8AFAAC0C5533}"/>
    <cellStyle name="Calculation 5 4 2 2 2" xfId="33187" xr:uid="{47A22A93-C978-4B66-B537-9FB67E70C939}"/>
    <cellStyle name="Calculation 5 4 2 2 3" xfId="46963" xr:uid="{045C66F5-391B-463B-9A0A-3C3DD7478F88}"/>
    <cellStyle name="Calculation 5 4 2 3" xfId="26128" xr:uid="{40F9225B-3EE3-475D-8610-928976967562}"/>
    <cellStyle name="Calculation 5 4 2 4" xfId="39204" xr:uid="{1E1F92ED-F0C5-4018-A8AE-855B49BF0690}"/>
    <cellStyle name="Calculation 5 4 3" xfId="14851" xr:uid="{9103FDCA-E987-4887-A6CC-C54FE687C4E8}"/>
    <cellStyle name="Calculation 5 4 3 2" xfId="31108" xr:uid="{C1C050AF-0438-4B46-B6A6-C9F37F58BB97}"/>
    <cellStyle name="Calculation 5 4 3 3" xfId="44546" xr:uid="{FFECC126-B525-41C1-8E65-8B234B9A889A}"/>
    <cellStyle name="Calculation 5 4 4" xfId="23100" xr:uid="{65E71F36-0BEC-4CC6-9055-4487653F0925}"/>
    <cellStyle name="Calculation 5 4 5" xfId="36181" xr:uid="{E933E604-DAB5-4DC8-BDD3-6BD57232F55B}"/>
    <cellStyle name="Calculation 5 5" xfId="13146" xr:uid="{206BA701-5AF6-48F6-BCB7-F97462134F50}"/>
    <cellStyle name="Calculation 5 5 2" xfId="29660" xr:uid="{6FC5EE4A-76E5-43DE-B483-FF14A0C7AD5A}"/>
    <cellStyle name="Calculation 5 5 3" xfId="42972" xr:uid="{B9FDA737-2F35-49FA-8D17-DDC156A75A9F}"/>
    <cellStyle name="Calculation 5 6" xfId="21391" xr:uid="{228A0C60-24D8-4D30-A98B-C1CA4184308A}"/>
    <cellStyle name="Calculation 5 7" xfId="34414" xr:uid="{C24AF56C-4213-45CD-8CE5-1C9F6C1076DF}"/>
    <cellStyle name="Calculation 6" xfId="3367" xr:uid="{47E02924-4CC9-442F-AB6E-5F1C650FE229}"/>
    <cellStyle name="Calculation 6 2" xfId="2726" xr:uid="{557393F6-846B-45EA-9D03-BC6B28B758E6}"/>
    <cellStyle name="Calculation 6 2 2" xfId="8022" xr:uid="{C5DDAF5E-0337-4B5B-A3C7-3BAE74C8E982}"/>
    <cellStyle name="Calculation 6 2 2 2" xfId="13475" xr:uid="{B87B2462-284F-4CA5-B45D-B6CA21CCE78C}"/>
    <cellStyle name="Calculation 6 2 2 2 2" xfId="29936" xr:uid="{A2F9C97E-4722-4450-8776-EC8819878697}"/>
    <cellStyle name="Calculation 6 2 2 2 3" xfId="43276" xr:uid="{98F45E08-BDF9-49B6-B304-144261849910}"/>
    <cellStyle name="Calculation 6 2 2 3" xfId="25535" xr:uid="{2F7BF13A-AC2C-473A-B960-B7BE0EEB9C97}"/>
    <cellStyle name="Calculation 6 2 2 4" xfId="38611" xr:uid="{299F01E3-5772-46C4-892D-32E0A99B1E1D}"/>
    <cellStyle name="Calculation 6 2 3" xfId="6389" xr:uid="{B2BC012C-4DD8-4A90-8A9A-60C99C1F4B87}"/>
    <cellStyle name="Calculation 6 2 3 2" xfId="15229" xr:uid="{4BA9E46C-0995-48DE-B937-DF9542A6F030}"/>
    <cellStyle name="Calculation 6 2 3 2 2" xfId="31405" xr:uid="{A9BE5929-1C25-4F06-A49B-FA8D9001FC32}"/>
    <cellStyle name="Calculation 6 2 3 2 3" xfId="44880" xr:uid="{567E6894-99E2-4A9A-9C2F-B182FFA6EED7}"/>
    <cellStyle name="Calculation 6 2 3 3" xfId="24026" xr:uid="{AA4C0013-C1F4-4B30-8C61-872BE5DE3614}"/>
    <cellStyle name="Calculation 6 2 3 4" xfId="37107" xr:uid="{EF3260E8-77E4-4176-BD41-2A87D0E9CF6F}"/>
    <cellStyle name="Calculation 6 2 4" xfId="11876" xr:uid="{7353E91E-216B-4A66-B4AB-EB1E03D43A2D}"/>
    <cellStyle name="Calculation 6 2 4 2" xfId="28592" xr:uid="{544C6175-6377-4AA0-91ED-457B93B62F92}"/>
    <cellStyle name="Calculation 6 2 4 3" xfId="41808" xr:uid="{945A9253-170B-403D-975C-ECD947F652B8}"/>
    <cellStyle name="Calculation 6 2 5" xfId="20778" xr:uid="{4DAFC20F-CF77-42A3-BA59-6451E1F748F4}"/>
    <cellStyle name="Calculation 6 2 6" xfId="33801" xr:uid="{919CF2B6-8565-46BF-A38E-C8CE033B4A3F}"/>
    <cellStyle name="Calculation 6 3" xfId="4392" xr:uid="{3AC1AE76-3623-4E4C-8C24-284C1F413559}"/>
    <cellStyle name="Calculation 6 3 2" xfId="7017" xr:uid="{C0D4BDC7-D6FB-428B-AC5E-0CFF1ABC6684}"/>
    <cellStyle name="Calculation 6 3 2 2" xfId="13154" xr:uid="{C5A566ED-0895-4E63-915D-E0E00827AD59}"/>
    <cellStyle name="Calculation 6 3 2 2 2" xfId="29667" xr:uid="{2A3269FA-EAA9-4C8E-A1A2-219A302ED4C7}"/>
    <cellStyle name="Calculation 6 3 2 2 3" xfId="42979" xr:uid="{E4613A34-F4F5-4FAE-8037-0738867F0656}"/>
    <cellStyle name="Calculation 6 3 2 3" xfId="24632" xr:uid="{3C574EC4-CFE1-47E7-99BF-8CBF9B99E063}"/>
    <cellStyle name="Calculation 6 3 2 4" xfId="37713" xr:uid="{D008DD5A-A3FA-442E-8DB8-2F5A0293D6F1}"/>
    <cellStyle name="Calculation 6 3 3" xfId="15560" xr:uid="{0D470C02-32BD-4DEF-9401-E5FE4BAE0F75}"/>
    <cellStyle name="Calculation 6 3 3 2" xfId="31690" xr:uid="{B4851F54-63C0-4C66-88CA-24D149DAFF10}"/>
    <cellStyle name="Calculation 6 3 3 3" xfId="45192" xr:uid="{41F68B62-C4BA-45C4-809D-94205BB5C52B}"/>
    <cellStyle name="Calculation 6 3 4" xfId="22211" xr:uid="{8FC03DEE-F8E5-4712-BE0A-3054563E560A}"/>
    <cellStyle name="Calculation 6 3 5" xfId="35260" xr:uid="{60F7BE61-7FB0-4DD4-9EA5-BF94D142E920}"/>
    <cellStyle name="Calculation 6 4" xfId="5446" xr:uid="{379F989F-4555-49E2-AD9D-A884847924F9}"/>
    <cellStyle name="Calculation 6 4 2" xfId="8626" xr:uid="{9788F58B-7CA0-4AF9-9E30-B17B61288B71}"/>
    <cellStyle name="Calculation 6 4 2 2" xfId="16372" xr:uid="{149F471A-6D3C-4D0C-833D-8409B3EBC1E1}"/>
    <cellStyle name="Calculation 6 4 2 2 2" xfId="32392" xr:uid="{C905B6CD-3AF7-48D6-AA7C-D99715449FF7}"/>
    <cellStyle name="Calculation 6 4 2 2 3" xfId="45926" xr:uid="{88C605B5-27C9-4C81-BFAD-E3751D89C39B}"/>
    <cellStyle name="Calculation 6 4 2 3" xfId="26121" xr:uid="{DD8F2553-EEEF-4B58-9F72-7FD90FF1DD1B}"/>
    <cellStyle name="Calculation 6 4 2 4" xfId="39197" xr:uid="{317CEFFB-5C07-42B8-A54C-0C2C9A4CEA7C}"/>
    <cellStyle name="Calculation 6 4 3" xfId="13622" xr:uid="{15767F0F-91AB-4DAA-B1BB-9EF8AB51A4B6}"/>
    <cellStyle name="Calculation 6 4 3 2" xfId="30059" xr:uid="{50D56AE7-F03B-4704-A4EF-DE821F46D0F7}"/>
    <cellStyle name="Calculation 6 4 3 3" xfId="43413" xr:uid="{D9C75423-CB72-4D0A-8428-0DD6124B56A9}"/>
    <cellStyle name="Calculation 6 4 4" xfId="23093" xr:uid="{ACB8FAC6-11D2-4532-AAA3-5FFAA9EACE34}"/>
    <cellStyle name="Calculation 6 4 5" xfId="36174" xr:uid="{93E2F53B-4E6A-4243-9FA8-6757A0937521}"/>
    <cellStyle name="Calculation 6 5" xfId="15495" xr:uid="{1DBDCBB4-6045-4C48-9215-32ED4370EC49}"/>
    <cellStyle name="Calculation 6 5 2" xfId="31634" xr:uid="{30D12181-9BF0-47A1-8B62-1FEAE4310C9F}"/>
    <cellStyle name="Calculation 6 5 3" xfId="45131" xr:uid="{B5E8D230-434D-427D-95B6-4537D3AAEC54}"/>
    <cellStyle name="Calculation 6 6" xfId="21384" xr:uid="{565F70F1-1206-44EA-909B-0B05CEB9AC9F}"/>
    <cellStyle name="Calculation 6 7" xfId="34407" xr:uid="{032224FC-FD47-4E88-8A7D-8220E3670F22}"/>
    <cellStyle name="Calculation 7" xfId="3377" xr:uid="{932F8BF8-D03C-48C7-BEBA-13054670CDC9}"/>
    <cellStyle name="Calculation 7 2" xfId="2733" xr:uid="{58A395DA-9413-415D-AE4F-36BD3F1AAC80}"/>
    <cellStyle name="Calculation 7 2 2" xfId="8029" xr:uid="{D10ACE98-FE27-490E-9853-0F4E283A28F4}"/>
    <cellStyle name="Calculation 7 2 2 2" xfId="14957" xr:uid="{FACD1231-432A-4365-BA70-A600AE35FD07}"/>
    <cellStyle name="Calculation 7 2 2 2 2" xfId="31196" xr:uid="{17DDE92A-30C8-4A61-B66F-E3FCC48CF1DA}"/>
    <cellStyle name="Calculation 7 2 2 2 3" xfId="44643" xr:uid="{F49D3E6B-350D-4C72-B7BF-94A23AA3CA09}"/>
    <cellStyle name="Calculation 7 2 2 3" xfId="25542" xr:uid="{83FC0015-CAA0-453C-BD27-61A75D72545C}"/>
    <cellStyle name="Calculation 7 2 2 4" xfId="38618" xr:uid="{B234B6C6-F204-4040-88F1-A2515BA9EC41}"/>
    <cellStyle name="Calculation 7 2 3" xfId="6396" xr:uid="{53EA2481-C728-48DD-9078-216C394A4600}"/>
    <cellStyle name="Calculation 7 2 3 2" xfId="16579" xr:uid="{FA142E2B-5353-4492-BCCC-334EF5DAD4E0}"/>
    <cellStyle name="Calculation 7 2 3 2 2" xfId="32502" xr:uid="{8CEEF23D-6AE0-45D4-90B8-67CE6DC73AC0}"/>
    <cellStyle name="Calculation 7 2 3 2 3" xfId="46126" xr:uid="{38F5B2C1-8896-454D-940A-5013237BF823}"/>
    <cellStyle name="Calculation 7 2 3 3" xfId="24033" xr:uid="{FE5A95E9-EAE0-49C5-A2F4-3F034A16684B}"/>
    <cellStyle name="Calculation 7 2 3 4" xfId="37114" xr:uid="{FD93B790-D04C-44C1-AD00-B7B23EEE3771}"/>
    <cellStyle name="Calculation 7 2 4" xfId="17579" xr:uid="{C5DB7608-3689-40B1-A7E6-D78467BC6544}"/>
    <cellStyle name="Calculation 7 2 4 2" xfId="33316" xr:uid="{465B7D8F-D3ED-4454-A30C-15066ED630F8}"/>
    <cellStyle name="Calculation 7 2 4 3" xfId="47104" xr:uid="{649EB5F7-EE98-46DA-AF3B-B5F5F19AA5BA}"/>
    <cellStyle name="Calculation 7 2 5" xfId="20785" xr:uid="{84FA03DE-867B-4920-BB69-61EAE3079B8D}"/>
    <cellStyle name="Calculation 7 2 6" xfId="33808" xr:uid="{6FACEDA9-FFBB-4290-9F71-9889519A9864}"/>
    <cellStyle name="Calculation 7 3" xfId="4398" xr:uid="{4BC4F96E-0D87-477C-B0A0-984F6A31D3F1}"/>
    <cellStyle name="Calculation 7 3 2" xfId="7023" xr:uid="{1DF70DAA-C6D3-4078-A084-154A7C9A90E1}"/>
    <cellStyle name="Calculation 7 3 2 2" xfId="12540" xr:uid="{7691C431-40AB-4771-A800-BA496C78475E}"/>
    <cellStyle name="Calculation 7 3 2 2 2" xfId="29165" xr:uid="{ACA12DD7-F4F2-49CB-B7AA-46716E8F2196}"/>
    <cellStyle name="Calculation 7 3 2 2 3" xfId="42424" xr:uid="{12FCAD8F-23FF-4EAD-83F5-50926606CED3}"/>
    <cellStyle name="Calculation 7 3 2 3" xfId="24638" xr:uid="{99F031C0-9DAB-4AC0-992C-877E454538DE}"/>
    <cellStyle name="Calculation 7 3 2 4" xfId="37719" xr:uid="{CCF73CF5-B386-4B64-9705-09164C0FF85D}"/>
    <cellStyle name="Calculation 7 3 3" xfId="15092" xr:uid="{2B01D4C9-DE12-443B-AAE3-A01DA29978CF}"/>
    <cellStyle name="Calculation 7 3 3 2" xfId="31298" xr:uid="{9591E7C3-4A15-4E96-B074-79AC6D33E5A8}"/>
    <cellStyle name="Calculation 7 3 3 3" xfId="44759" xr:uid="{56B8C4FC-4BC5-415D-A7CD-1A26111362E8}"/>
    <cellStyle name="Calculation 7 3 4" xfId="22217" xr:uid="{B57CEFB5-1B4E-49DC-996F-BFA87F716433}"/>
    <cellStyle name="Calculation 7 3 5" xfId="35266" xr:uid="{1DC949A0-1DC6-454A-8269-2400417DAE39}"/>
    <cellStyle name="Calculation 7 4" xfId="5452" xr:uid="{C5C5CB1A-7F75-4564-A1F0-DFC310CD87D8}"/>
    <cellStyle name="Calculation 7 4 2" xfId="8632" xr:uid="{395D19A8-A54D-48A9-B957-EFFDB47A5E26}"/>
    <cellStyle name="Calculation 7 4 2 2" xfId="10985" xr:uid="{4349DE6F-3459-4FA2-807F-1F23A6B848E6}"/>
    <cellStyle name="Calculation 7 4 2 2 2" xfId="27793" xr:uid="{63CA14FF-E691-443C-93E8-5F6BAD717386}"/>
    <cellStyle name="Calculation 7 4 2 2 3" xfId="40965" xr:uid="{016872BB-16A3-475A-98B7-90FE30CBEF2C}"/>
    <cellStyle name="Calculation 7 4 2 3" xfId="26127" xr:uid="{DAC1CB72-7A2B-4101-AAAE-70385BEA354F}"/>
    <cellStyle name="Calculation 7 4 2 4" xfId="39203" xr:uid="{ECDD8E08-74E0-4711-95EE-2D013EEB7183}"/>
    <cellStyle name="Calculation 7 4 3" xfId="13020" xr:uid="{D98E69F9-EFBC-4E6F-9EB5-4BCA3DAFE0DC}"/>
    <cellStyle name="Calculation 7 4 3 2" xfId="29552" xr:uid="{16E03EBA-1A61-456C-B8DD-E173AEABB49D}"/>
    <cellStyle name="Calculation 7 4 3 3" xfId="42854" xr:uid="{7045F0C2-3CD1-4D2B-ACF8-02614AFCEDD5}"/>
    <cellStyle name="Calculation 7 4 4" xfId="23099" xr:uid="{8B0AABA2-E433-4572-90A4-BDE1CD28DA08}"/>
    <cellStyle name="Calculation 7 4 5" xfId="36180" xr:uid="{B0DF8CB8-24C6-4602-8C0F-C05C0C0F52ED}"/>
    <cellStyle name="Calculation 7 5" xfId="13861" xr:uid="{E33A00E0-7C53-43F2-803E-DF8A255076BC}"/>
    <cellStyle name="Calculation 7 5 2" xfId="30260" xr:uid="{1F8BC98E-58F2-4BB6-922D-4DA7EB24C546}"/>
    <cellStyle name="Calculation 7 5 3" xfId="43631" xr:uid="{449363B3-1F08-4D97-991C-DB448AB42762}"/>
    <cellStyle name="Calculation 7 6" xfId="21390" xr:uid="{FD4E8A3D-3EE6-45A9-9DB8-B4E63158DC61}"/>
    <cellStyle name="Calculation 7 7" xfId="34413" xr:uid="{6C1C93FB-8B96-419F-B738-98985FB7E1E0}"/>
    <cellStyle name="Calculation 8" xfId="3361" xr:uid="{1668BAF0-DE39-441B-9037-19FC94A29A8F}"/>
    <cellStyle name="Calculation 8 2" xfId="2723" xr:uid="{DE4F1F30-1E43-4F1B-B103-2A42ACE3DBFA}"/>
    <cellStyle name="Calculation 8 2 2" xfId="8019" xr:uid="{EA5C56B7-F4A7-42B1-94DE-416D843DB4CF}"/>
    <cellStyle name="Calculation 8 2 2 2" xfId="16775" xr:uid="{27AB6D8A-3B8D-455E-96AD-FA1AB28F798E}"/>
    <cellStyle name="Calculation 8 2 2 2 2" xfId="32656" xr:uid="{7F169E37-FF72-42A3-9E6D-7AB6766170EE}"/>
    <cellStyle name="Calculation 8 2 2 2 3" xfId="46318" xr:uid="{18026999-00ED-4BEB-BA22-D074359E5068}"/>
    <cellStyle name="Calculation 8 2 2 3" xfId="25532" xr:uid="{FBC66D9E-DBCD-444E-A0CC-CFA0120DBEE4}"/>
    <cellStyle name="Calculation 8 2 2 4" xfId="38608" xr:uid="{873D5557-5AD0-4B4D-B8EB-0E6897F60792}"/>
    <cellStyle name="Calculation 8 2 3" xfId="6386" xr:uid="{04DAC758-F6A3-49A8-B40E-50052EC4CFE6}"/>
    <cellStyle name="Calculation 8 2 3 2" xfId="10583" xr:uid="{8AC2741D-7839-4E88-BBF8-8E1BEB0546A6}"/>
    <cellStyle name="Calculation 8 2 3 2 2" xfId="27442" xr:uid="{AEBF0D91-6AFB-4579-975A-779BAB7B2ABB}"/>
    <cellStyle name="Calculation 8 2 3 2 3" xfId="40564" xr:uid="{4B19EB5E-2409-43BD-A809-6F234B2B89E9}"/>
    <cellStyle name="Calculation 8 2 3 3" xfId="24023" xr:uid="{A96A5602-D4F7-420F-B123-B7BB9BDD3B78}"/>
    <cellStyle name="Calculation 8 2 3 4" xfId="37104" xr:uid="{5A4B4439-1EFA-43A2-94B6-B0502CF58789}"/>
    <cellStyle name="Calculation 8 2 4" xfId="13659" xr:uid="{C4F07F14-24B4-4504-BAF1-5296139579DC}"/>
    <cellStyle name="Calculation 8 2 4 2" xfId="30085" xr:uid="{1299AADF-E147-4499-9607-D22A4BDB710A}"/>
    <cellStyle name="Calculation 8 2 4 3" xfId="43444" xr:uid="{4CFC8B91-5BD8-477A-A202-4C3702B54E0E}"/>
    <cellStyle name="Calculation 8 2 5" xfId="20775" xr:uid="{B487CD55-8F1E-49C1-B827-128E3C29A18C}"/>
    <cellStyle name="Calculation 8 2 6" xfId="33798" xr:uid="{9291F99F-5307-4122-B167-29790859E8C4}"/>
    <cellStyle name="Calculation 8 3" xfId="4390" xr:uid="{5B416C0B-6303-4EAF-BCF6-D2C14200026C}"/>
    <cellStyle name="Calculation 8 3 2" xfId="7011" xr:uid="{8689B9BD-EC10-4AEB-BC8E-E14433683066}"/>
    <cellStyle name="Calculation 8 3 2 2" xfId="12129" xr:uid="{C021874B-649C-4A22-90E0-8B49DDDDF437}"/>
    <cellStyle name="Calculation 8 3 2 2 2" xfId="28829" xr:uid="{54BB4D5D-5B97-48A5-B1AB-76DF2086F787}"/>
    <cellStyle name="Calculation 8 3 2 2 3" xfId="42049" xr:uid="{9F90F199-8F5B-4312-904E-624BA24B72CC}"/>
    <cellStyle name="Calculation 8 3 2 3" xfId="24630" xr:uid="{AD765577-0A3C-4A10-AD7F-F75E50E0952C}"/>
    <cellStyle name="Calculation 8 3 2 4" xfId="37711" xr:uid="{C3DE91F5-DE01-495B-A2DE-8E3B6EE87ED8}"/>
    <cellStyle name="Calculation 8 3 3" xfId="10770" xr:uid="{36008E67-8A2D-41E6-8C81-37A9AE3CB67A}"/>
    <cellStyle name="Calculation 8 3 3 2" xfId="27605" xr:uid="{FCA68034-5A92-4374-B01C-AB8394FF135C}"/>
    <cellStyle name="Calculation 8 3 3 3" xfId="40751" xr:uid="{F72B4BF8-11CE-4402-A8C3-705DD0A59E11}"/>
    <cellStyle name="Calculation 8 3 4" xfId="22209" xr:uid="{393D9546-003D-47A2-BB89-3A188A8B6FCA}"/>
    <cellStyle name="Calculation 8 3 5" xfId="35258" xr:uid="{45669A16-7895-4F95-9565-822D817C032C}"/>
    <cellStyle name="Calculation 8 4" xfId="5444" xr:uid="{72E37AF0-B69B-4072-9B74-EE014DB1939F}"/>
    <cellStyle name="Calculation 8 4 2" xfId="8624" xr:uid="{E35C6F88-9D81-41B5-985B-D0FBB2196F8D}"/>
    <cellStyle name="Calculation 8 4 2 2" xfId="14432" xr:uid="{B0C94C6B-1E25-414F-A17C-09CC0AA7038E}"/>
    <cellStyle name="Calculation 8 4 2 2 2" xfId="30762" xr:uid="{603E4128-F4C6-4450-B99C-08ADD74173D9}"/>
    <cellStyle name="Calculation 8 4 2 2 3" xfId="44162" xr:uid="{91BF291E-5DED-43F8-BD3D-5F2F8AD44C77}"/>
    <cellStyle name="Calculation 8 4 2 3" xfId="26119" xr:uid="{F5CC47B2-487E-46BF-A00D-34B2DE83F4CF}"/>
    <cellStyle name="Calculation 8 4 2 4" xfId="39195" xr:uid="{A5621C6B-7816-469E-9587-A4D13DE99F16}"/>
    <cellStyle name="Calculation 8 4 3" xfId="14802" xr:uid="{6D412E85-71B1-4483-8AA6-789BE0F4A3DD}"/>
    <cellStyle name="Calculation 8 4 3 2" xfId="31065" xr:uid="{A1B2CB35-52AB-4D03-B8D5-D38518F36124}"/>
    <cellStyle name="Calculation 8 4 3 3" xfId="44499" xr:uid="{A53CD143-341C-4047-AA3C-BA0BC7F8780E}"/>
    <cellStyle name="Calculation 8 4 4" xfId="23091" xr:uid="{D84BAE84-160B-4348-959E-065A4B4058CB}"/>
    <cellStyle name="Calculation 8 4 5" xfId="36172" xr:uid="{69E4D64D-6F5B-424E-99DD-E718856BFEF7}"/>
    <cellStyle name="Calculation 8 5" xfId="11778" xr:uid="{ABF09B2D-7E52-403C-8FA6-28394A8650A6}"/>
    <cellStyle name="Calculation 8 5 2" xfId="28502" xr:uid="{66D82A34-6638-4DFA-B721-2FDD29C90142}"/>
    <cellStyle name="Calculation 8 5 3" xfId="41713" xr:uid="{9B7D241D-AAFF-4A62-9DE8-5CF46C419ADC}"/>
    <cellStyle name="Calculation 8 6" xfId="21382" xr:uid="{F11F1A3C-DCCF-419C-A318-A480D688D519}"/>
    <cellStyle name="Calculation 8 7" xfId="34405" xr:uid="{F2A6F3F5-5922-4111-8F01-B0F160E2604C}"/>
    <cellStyle name="Calculation 9" xfId="3626" xr:uid="{E903F543-F102-43B4-8AE3-AA281C96B360}"/>
    <cellStyle name="Calculation 9 2" xfId="2951" xr:uid="{D4799CB3-81CA-4EAE-9541-BA42FC3535E0}"/>
    <cellStyle name="Calculation 9 2 2" xfId="8247" xr:uid="{2AB7A454-DDD9-45F5-8ADF-EC592233A66B}"/>
    <cellStyle name="Calculation 9 2 2 2" xfId="15987" xr:uid="{B9A4B3F9-4F87-4F79-B967-23E38641B1C4}"/>
    <cellStyle name="Calculation 9 2 2 2 2" xfId="32061" xr:uid="{E462AFFB-8FFB-4918-81F5-BF27B63273DE}"/>
    <cellStyle name="Calculation 9 2 2 2 3" xfId="45580" xr:uid="{63C6B509-3D5F-4B4B-8E66-52980EC88A23}"/>
    <cellStyle name="Calculation 9 2 2 3" xfId="25756" xr:uid="{3F61DCFC-C9E6-4C11-928E-E937B90F626F}"/>
    <cellStyle name="Calculation 9 2 2 4" xfId="38832" xr:uid="{AE2052E7-8331-4734-8CDF-B68AF4188E46}"/>
    <cellStyle name="Calculation 9 2 3" xfId="6614" xr:uid="{92A00C31-66A1-49AF-9905-8FCA3CD38C81}"/>
    <cellStyle name="Calculation 9 2 3 2" xfId="11535" xr:uid="{F79CFC94-D914-4A1F-A4A0-CFFC6AC66B3F}"/>
    <cellStyle name="Calculation 9 2 3 2 2" xfId="28293" xr:uid="{A60C11CD-3801-4F91-9B4F-3B37D892CF2D}"/>
    <cellStyle name="Calculation 9 2 3 2 3" xfId="41490" xr:uid="{45A9E791-3418-4657-834D-39E1ADECE014}"/>
    <cellStyle name="Calculation 9 2 3 3" xfId="24247" xr:uid="{4E35150A-6972-4706-ACE3-3526993996CB}"/>
    <cellStyle name="Calculation 9 2 3 4" xfId="37328" xr:uid="{ACF11B37-C337-419C-BF74-F22DBFD19251}"/>
    <cellStyle name="Calculation 9 2 4" xfId="15145" xr:uid="{0B4AB349-CAC8-4DB0-9808-978CA9F53ED1}"/>
    <cellStyle name="Calculation 9 2 4 2" xfId="31344" xr:uid="{8BFC2B83-69FC-4824-9B9E-4FB74D60F98E}"/>
    <cellStyle name="Calculation 9 2 4 3" xfId="44808" xr:uid="{023C45E6-052A-46C9-B254-A353869E76CE}"/>
    <cellStyle name="Calculation 9 2 5" xfId="20999" xr:uid="{09F0C7F7-65E9-4E84-B867-B209A5A5C5B7}"/>
    <cellStyle name="Calculation 9 2 6" xfId="34022" xr:uid="{063289AE-15A0-4924-A67D-1E397ACA48FB}"/>
    <cellStyle name="Calculation 9 3" xfId="4536" xr:uid="{40418206-1926-459F-8F15-2ABBB48348D8}"/>
    <cellStyle name="Calculation 9 3 2" xfId="7261" xr:uid="{E26D985A-0024-48C0-9972-2E8F6FFF6337}"/>
    <cellStyle name="Calculation 9 3 2 2" xfId="17343" xr:uid="{60E3D79E-BD6F-4ED0-8AAF-8EE7B19C475B}"/>
    <cellStyle name="Calculation 9 3 2 2 2" xfId="33097" xr:uid="{D91BD57F-1C00-4529-9DDF-6AE0A3A144C1}"/>
    <cellStyle name="Calculation 9 3 2 2 3" xfId="46873" xr:uid="{787737F2-945A-4E69-B76D-D4117ABF7C39}"/>
    <cellStyle name="Calculation 9 3 2 3" xfId="24841" xr:uid="{5B027618-A919-4C5E-90E2-2A2A96DE3D04}"/>
    <cellStyle name="Calculation 9 3 2 4" xfId="37922" xr:uid="{42D0599E-A362-43BB-A8E7-4C419BB90A91}"/>
    <cellStyle name="Calculation 9 3 3" xfId="13598" xr:uid="{0BC739E0-51C9-45B6-BEDF-871004E10040}"/>
    <cellStyle name="Calculation 9 3 3 2" xfId="30038" xr:uid="{8E48DD9F-B263-4D0D-8A00-01E62131D277}"/>
    <cellStyle name="Calculation 9 3 3 3" xfId="43390" xr:uid="{A8AA2D5E-C897-42E5-B3A0-814D68ADFAFD}"/>
    <cellStyle name="Calculation 9 3 4" xfId="22352" xr:uid="{0E54F58F-B088-496E-AACC-0DE5D1BEF93C}"/>
    <cellStyle name="Calculation 9 3 5" xfId="35401" xr:uid="{0B2C5F9D-9876-4B28-8EEB-18860A7878A4}"/>
    <cellStyle name="Calculation 9 4" xfId="5655" xr:uid="{613027CD-6C00-4511-BD9A-A0EA75F43CC4}"/>
    <cellStyle name="Calculation 9 4 2" xfId="8839" xr:uid="{16BCA0C6-42F8-477E-A775-47443BF10564}"/>
    <cellStyle name="Calculation 9 4 2 2" xfId="17478" xr:uid="{019AAB77-0009-431E-8FC5-BF463846CA05}"/>
    <cellStyle name="Calculation 9 4 2 2 2" xfId="33221" xr:uid="{EE16B65E-7851-49A2-832F-3EF74B656D89}"/>
    <cellStyle name="Calculation 9 4 2 2 3" xfId="47007" xr:uid="{0AE714F3-2C7B-460B-99A0-64C8BE301C8D}"/>
    <cellStyle name="Calculation 9 4 2 3" xfId="26330" xr:uid="{F94E913F-45E3-4930-A343-52C690DF8FEF}"/>
    <cellStyle name="Calculation 9 4 2 4" xfId="39406" xr:uid="{E984F7E9-6641-4B3E-BC72-8CE8E3A437AC}"/>
    <cellStyle name="Calculation 9 4 3" xfId="16524" xr:uid="{29F808B7-CC6C-4FA9-8F13-18A8A61573DF}"/>
    <cellStyle name="Calculation 9 4 3 2" xfId="32482" xr:uid="{01EDDAA1-78BE-4F7A-BC53-8CC3B31311F1}"/>
    <cellStyle name="Calculation 9 4 3 3" xfId="46071" xr:uid="{557D2A12-1135-4E9B-B049-41AC97332853}"/>
    <cellStyle name="Calculation 9 4 4" xfId="23302" xr:uid="{89DA41D7-593C-4B62-982B-6F2038C93F2E}"/>
    <cellStyle name="Calculation 9 4 5" xfId="36383" xr:uid="{0ED241C1-D331-4CB1-9420-0EB341335D09}"/>
    <cellStyle name="Calculation 9 5" xfId="17044" xr:uid="{C11B7055-F881-4734-8294-E2D7AC4FB7ED}"/>
    <cellStyle name="Calculation 9 5 2" xfId="32817" xr:uid="{72E7E74A-7AD6-4DA0-AB7B-821474E249AA}"/>
    <cellStyle name="Calculation 9 5 3" xfId="46586" xr:uid="{5187FB8F-56A9-4E83-A400-4D2956EB5A27}"/>
    <cellStyle name="Calculation 9 6" xfId="21564" xr:uid="{82A5D4B9-8A44-402E-B1D1-6B9480AD6F92}"/>
    <cellStyle name="Calculation 9 7" xfId="34618" xr:uid="{421F6A70-658E-4A55-865A-AE8FE4E20F3F}"/>
    <cellStyle name="Check Cell" xfId="2171" xr:uid="{B56802AD-EC1B-4682-BE42-3328B7E33BED}"/>
    <cellStyle name="Check Cell 2" xfId="10321" xr:uid="{80B76E42-3283-4148-A83B-4297647EF644}"/>
    <cellStyle name="Comma [0]_0_Cash" xfId="2172" xr:uid="{C51269B5-0C78-4708-B4D6-08FC38F728BC}"/>
    <cellStyle name="Comma_0_Cash" xfId="2173" xr:uid="{647730D5-12BB-46F3-A421-D0CAB02C0E68}"/>
    <cellStyle name="Currency [0]_0_Cash" xfId="2174" xr:uid="{3770D7BE-A870-4655-8B8F-10665169D33E}"/>
    <cellStyle name="Currency_0_Cash" xfId="2175" xr:uid="{E4A6BCF3-771B-43F0-BE04-95096CF6B67F}"/>
    <cellStyle name="Data" xfId="2176" xr:uid="{9D884837-D35C-43FF-8E4F-FD439CF7B4F4}"/>
    <cellStyle name="Data 1" xfId="2177" xr:uid="{6A99683D-7F46-4CE7-BC6E-2EBD43967A72}"/>
    <cellStyle name="Data 1 2" xfId="10322" xr:uid="{BEA48A26-D63A-4DBE-AE45-23D2E045374B}"/>
    <cellStyle name="Data 2" xfId="2178" xr:uid="{058C7EA7-D70B-4841-9BD7-C3A025387D44}"/>
    <cellStyle name="Data 2 2" xfId="10323" xr:uid="{97B3A6B3-2531-40E9-912F-F3A8968B3BC3}"/>
    <cellStyle name="Data 3" xfId="2179" xr:uid="{D59FADA9-07EA-4C17-B2A5-8C098A542A97}"/>
    <cellStyle name="Data 3 2" xfId="10324" xr:uid="{9CD74EF9-1B66-4835-ADE3-BB7618D7ABBE}"/>
    <cellStyle name="Data_АГМ" xfId="2180" xr:uid="{57AF2733-B53E-468E-B528-7A52BF18BE34}"/>
    <cellStyle name="DataBold" xfId="2181" xr:uid="{3C928E07-8521-4A39-A2AD-8957C507879E}"/>
    <cellStyle name="DataBold 1" xfId="2182" xr:uid="{5BAC2012-A8EF-4C58-B356-3CFB4E989816}"/>
    <cellStyle name="DataBold 1 2" xfId="10326" xr:uid="{F020D105-C5A2-4A80-B38E-62AECBA53F75}"/>
    <cellStyle name="DataBold 2" xfId="2183" xr:uid="{4842D1E5-B170-474A-9817-2ECDE5934FEA}"/>
    <cellStyle name="DataBold 2 2" xfId="10327" xr:uid="{C8E13CDA-F5E4-4A39-A237-AAD01990FFB5}"/>
    <cellStyle name="DataBold 3" xfId="2184" xr:uid="{F47AA15B-205F-4EEA-AE44-33CF6CC34059}"/>
    <cellStyle name="DataBold 3 2" xfId="10328" xr:uid="{8FF6FC0A-11D0-4B3A-BFE3-A2553A2BDEA7}"/>
    <cellStyle name="DataBold 4" xfId="10325" xr:uid="{07017112-DB85-400C-A8D3-9B386C455882}"/>
    <cellStyle name="DataBold_АГМ" xfId="2185" xr:uid="{09256709-27B2-4CFB-8F02-648B7A408E35}"/>
    <cellStyle name="date" xfId="2186" xr:uid="{60652275-1171-4367-B808-1EBE39AE0082}"/>
    <cellStyle name="date 1" xfId="2187" xr:uid="{AD1A6D9F-A714-4598-9EF6-E51D8F1A0EEB}"/>
    <cellStyle name="date 1 2" xfId="10330" xr:uid="{F1513EA7-C859-4103-8F1F-BAD285D75AB1}"/>
    <cellStyle name="date 2" xfId="2188" xr:uid="{784D849D-18E3-4167-ACF1-450283D1B153}"/>
    <cellStyle name="date 2 2" xfId="10331" xr:uid="{BFFCD96C-390B-4EAF-9FE4-03CB38598BF5}"/>
    <cellStyle name="date 3" xfId="2189" xr:uid="{1146967E-4168-4495-A337-B5D21587CA63}"/>
    <cellStyle name="date 3 2" xfId="10332" xr:uid="{3E1B39F8-9667-4C47-B4C5-54C942A0F859}"/>
    <cellStyle name="date 4" xfId="10329" xr:uid="{3DC3FF77-6CB6-4BB5-BAB8-B51F2A957EDE}"/>
    <cellStyle name="date_АГМ" xfId="2190" xr:uid="{B96F9198-156D-4683-96E5-A73A4839ED3C}"/>
    <cellStyle name="E&amp;Y House" xfId="2191" xr:uid="{7ACB1E2A-E295-4FCE-8F23-1DDEF45BC1DB}"/>
    <cellStyle name="E&amp;Y House 1" xfId="2192" xr:uid="{0ED356B9-6C08-45A9-A794-9B043C6F0000}"/>
    <cellStyle name="E&amp;Y House 2" xfId="2193" xr:uid="{15F0A123-6CBE-496B-B2DD-EF99E9B0104F}"/>
    <cellStyle name="E&amp;Y House 3" xfId="2194" xr:uid="{75315BEF-33B5-4CA6-B187-B150A6FF95DF}"/>
    <cellStyle name="E&amp;Y House_АГМ" xfId="2195" xr:uid="{C535F3B6-AB92-4733-AD83-530A1C368E34}"/>
    <cellStyle name="Euro" xfId="2196" xr:uid="{8CAC17CA-CEF8-4E42-A3CB-1BC1D7E2F80C}"/>
    <cellStyle name="Euro 1" xfId="2197" xr:uid="{5C7C199F-17BE-4F88-959D-4F7FA437A427}"/>
    <cellStyle name="Euro 1 2" xfId="10334" xr:uid="{CFFD686F-2CE1-4FE0-A55B-001606044BB6}"/>
    <cellStyle name="Euro 2" xfId="2198" xr:uid="{EBB2C8AA-15AB-42A7-AE52-78807E0399D8}"/>
    <cellStyle name="Euro 2 2" xfId="5088" xr:uid="{73E4C5C7-DEE0-4ED4-BDDB-49D72275D6B4}"/>
    <cellStyle name="Euro 2 3" xfId="10335" xr:uid="{11A3A0C3-A8B9-4A88-8587-F59A378E50C5}"/>
    <cellStyle name="Euro 3" xfId="2199" xr:uid="{0619F3C7-C598-4B78-B94C-EB3D259C6834}"/>
    <cellStyle name="Euro 3 2" xfId="10336" xr:uid="{374A9429-C8ED-4AF8-8201-88308C11B26A}"/>
    <cellStyle name="Euro 4" xfId="10333" xr:uid="{7D111049-91CE-4111-BA58-B3A235489B18}"/>
    <cellStyle name="Euro_АГМ" xfId="2200" xr:uid="{C980C316-8390-4DFC-8A65-58C9C81EBC45}"/>
    <cellStyle name="Excel Built-in Normal 1" xfId="2486" xr:uid="{0889BE28-C3F0-4FAB-9CC9-DF36C53934D0}"/>
    <cellStyle name="Explanatory Text" xfId="2201" xr:uid="{F8C1ECC5-3B2B-433F-A961-FDADD8EF22A8}"/>
    <cellStyle name="Followed Hyperlink_Draft-forms" xfId="2202" xr:uid="{19D15A57-65FA-47CE-9FEC-1D60D60458D5}"/>
    <cellStyle name="Good" xfId="2203" xr:uid="{4F9FBF19-532A-4BEA-A6E2-37779805F7CB}"/>
    <cellStyle name="Good 2" xfId="10337" xr:uid="{06F361DB-D73D-4EA1-A580-C2B96EDF4DE7}"/>
    <cellStyle name="Header1" xfId="2204" xr:uid="{27FE5EE1-C6BA-470B-80CF-53BA82F251F4}"/>
    <cellStyle name="Header1 1" xfId="2205" xr:uid="{21D738E3-014B-4332-B3EB-2F11C556794C}"/>
    <cellStyle name="Header1 1 10" xfId="3669" xr:uid="{7A59431F-9AD1-4CE9-94C2-8DE81B38C91E}"/>
    <cellStyle name="Header1 1 10 2" xfId="7304" xr:uid="{FF4C180B-E533-44ED-B7E8-2C72B821A07A}"/>
    <cellStyle name="Header1 1 10 2 2" xfId="12423" xr:uid="{58470459-F617-4B4F-ADB3-1A027CD134AA}"/>
    <cellStyle name="Header1 1 10 2 3" xfId="12670" xr:uid="{E5DCCE7D-0C0D-4D3A-A711-80B4BAC36CFD}"/>
    <cellStyle name="Header1 1 10 3" xfId="12285" xr:uid="{9244E2CB-FF2E-4CDD-8333-4729D77CAF65}"/>
    <cellStyle name="Header1 1 10 4" xfId="12190" xr:uid="{16820078-49C1-4756-A520-C51007A01A59}"/>
    <cellStyle name="Header1 1 11" xfId="3624" xr:uid="{E30E5461-C817-4267-90F8-195FA7470BBD}"/>
    <cellStyle name="Header1 1 11 2" xfId="7259" xr:uid="{56D53481-3C4A-43C0-BB4D-A12A272DF168}"/>
    <cellStyle name="Header1 1 11 2 2" xfId="14152" xr:uid="{7CE13326-B5DC-415F-AD54-DDB934CC7CBB}"/>
    <cellStyle name="Header1 1 11 2 3" xfId="16168" xr:uid="{32A84B84-C16B-4009-B191-8FCBEE6769C4}"/>
    <cellStyle name="Header1 1 11 3" xfId="14711" xr:uid="{3DAB7B7D-4306-4917-BA67-D139983F87AF}"/>
    <cellStyle name="Header1 1 11 4" xfId="14527" xr:uid="{A393A6AC-D491-4E10-88C5-C49BCC05F560}"/>
    <cellStyle name="Header1 1 12" xfId="3605" xr:uid="{C776DD37-1AEF-407E-864C-8639E0D7734D}"/>
    <cellStyle name="Header1 1 12 2" xfId="7241" xr:uid="{FBD482BD-6CCB-4E24-9A79-DBF2BC6B80BF}"/>
    <cellStyle name="Header1 1 12 2 2" xfId="12881" xr:uid="{97006144-31C1-49BF-9C07-42FA5566797B}"/>
    <cellStyle name="Header1 1 12 2 3" xfId="14928" xr:uid="{E454FA00-A2B6-481A-84CF-3A4A936AAC85}"/>
    <cellStyle name="Header1 1 12 3" xfId="14113" xr:uid="{27F8E931-1189-40E0-B163-A1952CE8CB9B}"/>
    <cellStyle name="Header1 1 12 4" xfId="16181" xr:uid="{511314E5-F587-40BF-9F56-3C4B2E894FCF}"/>
    <cellStyle name="Header1 1 13" xfId="3651" xr:uid="{6CA8B13C-8026-4DF3-B4CC-BDDEBCD4BDC6}"/>
    <cellStyle name="Header1 1 13 2" xfId="7286" xr:uid="{812BAE46-2F38-494A-BC03-059B1660043C}"/>
    <cellStyle name="Header1 1 13 2 2" xfId="14729" xr:uid="{5F008B99-659D-4112-A631-2AAC9DD4FDCE}"/>
    <cellStyle name="Header1 1 13 2 3" xfId="16279" xr:uid="{4288C924-E773-49CC-9985-293AAD90E6EC}"/>
    <cellStyle name="Header1 1 13 3" xfId="12663" xr:uid="{4666C273-B87C-464B-990A-AF76A9614057}"/>
    <cellStyle name="Header1 1 13 4" xfId="14536" xr:uid="{92C63ADB-D98F-4038-9743-A3F94F4B565D}"/>
    <cellStyle name="Header1 1 14" xfId="3631" xr:uid="{A941AEE8-0C4E-4F8A-8B35-BB60BBD67AFF}"/>
    <cellStyle name="Header1 1 14 2" xfId="7266" xr:uid="{BA255FFF-BCF0-4B98-A242-38DEA72E584F}"/>
    <cellStyle name="Header1 1 14 2 2" xfId="16147" xr:uid="{2C1BB4BF-4BE5-4160-988D-31C82873DA94}"/>
    <cellStyle name="Header1 1 14 2 3" xfId="11375" xr:uid="{8AF32CCE-AF01-480B-A6A1-D178AD409339}"/>
    <cellStyle name="Header1 1 14 3" xfId="13291" xr:uid="{556157BE-C763-45B4-BA52-2E7AA2996BC6}"/>
    <cellStyle name="Header1 1 14 4" xfId="15484" xr:uid="{5CA6F0BA-C8A7-4DFA-95F5-2E6227F60E41}"/>
    <cellStyle name="Header1 1 15" xfId="3553" xr:uid="{032F9A74-EC28-4C9C-9589-33B3F7D22B52}"/>
    <cellStyle name="Header1 1 15 2" xfId="7195" xr:uid="{D6103A2B-97B5-4C87-8E03-1577F0115D89}"/>
    <cellStyle name="Header1 1 15 2 2" xfId="14153" xr:uid="{63E7433B-E6B1-42DC-98B2-47E8F959E297}"/>
    <cellStyle name="Header1 1 15 2 3" xfId="14965" xr:uid="{4A74FBDF-B3D6-4D4E-B3ED-2BFBAA8BE11B}"/>
    <cellStyle name="Header1 1 15 3" xfId="15874" xr:uid="{379EA0D9-D74C-4D73-829D-A44AE1A78987}"/>
    <cellStyle name="Header1 1 15 4" xfId="11645" xr:uid="{DB2CC625-23F3-40A6-B1AF-184B0F7B2104}"/>
    <cellStyle name="Header1 1 16" xfId="3640" xr:uid="{439E930C-6C9C-4315-AC67-4CF549F911A9}"/>
    <cellStyle name="Header1 1 16 2" xfId="7275" xr:uid="{26BA3319-4495-431E-AF31-0E2FFB4C1AA3}"/>
    <cellStyle name="Header1 1 16 2 2" xfId="14160" xr:uid="{72E45BA9-CED2-4419-8875-6E96A2A8880D}"/>
    <cellStyle name="Header1 1 16 2 3" xfId="12813" xr:uid="{0695A7BF-1106-45FB-81CC-11CCBD518D96}"/>
    <cellStyle name="Header1 1 16 3" xfId="14652" xr:uid="{E94E18F0-BB22-4115-BE18-D5F564EC8CFD}"/>
    <cellStyle name="Header1 1 16 4" xfId="11941" xr:uid="{883C2A61-3311-4E24-B42A-B1C6E603F794}"/>
    <cellStyle name="Header1 1 17" xfId="3924" xr:uid="{F1E90232-2CB8-4F64-B373-FB617299F5F7}"/>
    <cellStyle name="Header1 1 17 2" xfId="7504" xr:uid="{9788D07E-15D4-4891-BA6B-0DA58B8A32E8}"/>
    <cellStyle name="Header1 1 17 2 2" xfId="15015" xr:uid="{04AF5740-EE54-444D-BE54-4A95D5CDC6CD}"/>
    <cellStyle name="Header1 1 17 2 3" xfId="13881" xr:uid="{CB11899E-1ECB-4CE7-93A2-2E0A45912F70}"/>
    <cellStyle name="Header1 1 17 3" xfId="15436" xr:uid="{C196266B-AC0E-4FAC-9CEC-33D9777878DB}"/>
    <cellStyle name="Header1 1 17 4" xfId="17107" xr:uid="{8BAF363C-BD8A-4D30-B6F4-F0433C30E625}"/>
    <cellStyle name="Header1 1 18" xfId="3938" xr:uid="{68BA86CC-4418-4539-B0A3-DB507E3D0AC9}"/>
    <cellStyle name="Header1 1 18 2" xfId="7518" xr:uid="{6B7936D1-68E1-4BC9-AA2B-94F2C194F78C}"/>
    <cellStyle name="Header1 1 18 2 2" xfId="13697" xr:uid="{6DE868BD-4C7B-4AB3-B07C-475A1A40EA37}"/>
    <cellStyle name="Header1 1 18 2 3" xfId="13026" xr:uid="{A4BBF3E2-1448-48D4-A7A3-732AA7185440}"/>
    <cellStyle name="Header1 1 18 3" xfId="15939" xr:uid="{0584A8A9-B9B5-465B-9058-D1E4B0EC2EB1}"/>
    <cellStyle name="Header1 1 18 4" xfId="11592" xr:uid="{B5E5CC81-61FA-4F25-9573-686CDDEF0792}"/>
    <cellStyle name="Header1 1 19" xfId="3915" xr:uid="{89DBA653-8F47-4E90-91C8-3AD3F45DC8AD}"/>
    <cellStyle name="Header1 1 19 2" xfId="7495" xr:uid="{2AF523CC-7345-44F7-8E52-7EFD936959C8}"/>
    <cellStyle name="Header1 1 19 2 2" xfId="12454" xr:uid="{011DB447-3AC3-4F41-8985-C8532C239391}"/>
    <cellStyle name="Header1 1 19 2 3" xfId="11254" xr:uid="{47681F47-7FD8-4BD0-806A-62A7E41BB1B6}"/>
    <cellStyle name="Header1 1 19 3" xfId="13366" xr:uid="{C680B7C9-570D-469A-A9A5-1D5EA94A6887}"/>
    <cellStyle name="Header1 1 19 4" xfId="13387" xr:uid="{C67650AC-C244-4262-9DB3-031AC0CCB607}"/>
    <cellStyle name="Header1 1 2" xfId="3402" xr:uid="{C98654E0-9358-4185-BF5D-2C665F8E5311}"/>
    <cellStyle name="Header1 1 2 10" xfId="15201" xr:uid="{0B7D91E1-6D26-472A-9143-B47B291FEEEE}"/>
    <cellStyle name="Header1 1 2 11" xfId="15546" xr:uid="{C893412B-D1DB-4B35-B38E-3767AB555773}"/>
    <cellStyle name="Header1 1 2 2" xfId="5090" xr:uid="{173A5C57-5658-41B6-A040-71AE1E70E0CB}"/>
    <cellStyle name="Header1 1 2 2 2" xfId="16050" xr:uid="{73F3F90A-9D3E-425C-A302-AE9E18B63E83}"/>
    <cellStyle name="Header1 1 2 2 3" xfId="11488" xr:uid="{6940C377-2255-42D2-9E26-4A91378E8989}"/>
    <cellStyle name="Header1 1 2 3" xfId="5186" xr:uid="{81564A77-AF29-4163-A07D-B0367BD7127F}"/>
    <cellStyle name="Header1 1 2 3 2" xfId="14925" xr:uid="{8DA648C5-0760-48AD-8724-2BA1D77D88AF}"/>
    <cellStyle name="Header1 1 2 3 3" xfId="13635" xr:uid="{C2420258-C8BF-4BEC-8A6E-333C92C77AEE}"/>
    <cellStyle name="Header1 1 2 4" xfId="5030" xr:uid="{B37F6870-EDEB-47FB-AAF9-E571C03ACD88}"/>
    <cellStyle name="Header1 1 2 4 2" xfId="14774" xr:uid="{AFB6D82C-9119-41B4-B5EA-CA2069BFEA1A}"/>
    <cellStyle name="Header1 1 2 4 3" xfId="12853" xr:uid="{8373B500-ED09-4F75-B7EF-B16CC4D42B0E}"/>
    <cellStyle name="Header1 1 2 5" xfId="4951" xr:uid="{21A20ABA-8A9A-4EC5-9FE7-B9B5B6F86209}"/>
    <cellStyle name="Header1 1 2 5 2" xfId="15038" xr:uid="{555110FE-C296-474E-A8E2-F8D6CE38E357}"/>
    <cellStyle name="Header1 1 2 5 3" xfId="13220" xr:uid="{EAB20FDC-EE97-4AA0-894E-BC364A01F793}"/>
    <cellStyle name="Header1 1 2 6" xfId="4999" xr:uid="{AA3EA6DD-F176-4AAD-85FA-47EC2B20A37A}"/>
    <cellStyle name="Header1 1 2 6 2" xfId="15891" xr:uid="{A6DF91E6-37DF-4B35-91FD-4307F16867D6}"/>
    <cellStyle name="Header1 1 2 6 3" xfId="11631" xr:uid="{60B0B0B3-461F-4D4D-B084-7E8786D49460}"/>
    <cellStyle name="Header1 1 2 7" xfId="4941" xr:uid="{7DD09D3D-E67C-42C5-AC92-26DA4581BA7B}"/>
    <cellStyle name="Header1 1 2 7 2" xfId="13187" xr:uid="{5111E2D7-8C62-4E14-A563-843E9B1B8B96}"/>
    <cellStyle name="Header1 1 2 7 3" xfId="13083" xr:uid="{71B6CA7B-FA84-4351-B5FA-1054ABE5A6E9}"/>
    <cellStyle name="Header1 1 2 8" xfId="5049" xr:uid="{0FD33F98-D073-4441-8573-A7138F0183D9}"/>
    <cellStyle name="Header1 1 2 8 2" xfId="12929" xr:uid="{75CE97CD-702D-4860-A0DB-3BFE461FB28C}"/>
    <cellStyle name="Header1 1 2 8 3" xfId="15044" xr:uid="{8E3BAD77-510D-4B02-8998-F87372E23801}"/>
    <cellStyle name="Header1 1 2 9" xfId="4959" xr:uid="{A6981524-ED27-40A6-8953-D8C189E92E3C}"/>
    <cellStyle name="Header1 1 2 9 2" xfId="13738" xr:uid="{6A86AAEA-E2B5-4606-AA10-D0A008A243E0}"/>
    <cellStyle name="Header1 1 2 9 3" xfId="16108" xr:uid="{214866D0-19EE-4F7A-A74B-D732733EDA31}"/>
    <cellStyle name="Header1 1 20" xfId="3947" xr:uid="{E962F73E-9C13-4F0A-BA34-626CBADA7814}"/>
    <cellStyle name="Header1 1 20 2" xfId="7527" xr:uid="{533E8AE2-C044-4455-B9B1-8E1C7D08A0A8}"/>
    <cellStyle name="Header1 1 20 2 2" xfId="14999" xr:uid="{05458870-E004-4ED0-954C-9ECE346B9475}"/>
    <cellStyle name="Header1 1 20 2 3" xfId="11371" xr:uid="{9BB8228F-A0F8-4E15-AC69-7F2BD95F2CBE}"/>
    <cellStyle name="Header1 1 20 3" xfId="12541" xr:uid="{1A14838D-6592-4CF3-8645-7570044A132B}"/>
    <cellStyle name="Header1 1 20 4" xfId="12010" xr:uid="{1C351E94-B648-472E-9A3E-53F22E661C25}"/>
    <cellStyle name="Header1 1 21" xfId="3927" xr:uid="{F0D1D4D7-FD15-4010-B375-1B61E04FDABC}"/>
    <cellStyle name="Header1 1 21 2" xfId="7507" xr:uid="{AD915594-5258-4A4C-BF0D-72B95F7253CD}"/>
    <cellStyle name="Header1 1 21 2 2" xfId="13691" xr:uid="{8FAFD1B4-E891-4051-A331-416672389530}"/>
    <cellStyle name="Header1 1 21 2 3" xfId="15921" xr:uid="{FBB3A6E3-3507-4BF4-A1B8-1F7A865A2418}"/>
    <cellStyle name="Header1 1 21 3" xfId="13199" xr:uid="{FA911ACC-EF27-499F-BC46-DB68BBEB99CE}"/>
    <cellStyle name="Header1 1 21 4" xfId="14267" xr:uid="{5657626B-92CE-4B50-BEF2-E39F8072E37D}"/>
    <cellStyle name="Header1 1 22" xfId="3934" xr:uid="{4FE93397-06D6-486A-BA5E-49C414EEDD92}"/>
    <cellStyle name="Header1 1 22 2" xfId="7514" xr:uid="{6C1D7193-9F78-4B04-B922-14B6D68CA1DD}"/>
    <cellStyle name="Header1 1 22 2 2" xfId="13704" xr:uid="{BCDA0DEA-EF37-4697-AA33-52CF46053A6D}"/>
    <cellStyle name="Header1 1 22 2 3" xfId="13382" xr:uid="{F7C8CE27-E161-46CF-9233-B97D29F2EDD7}"/>
    <cellStyle name="Header1 1 22 3" xfId="14308" xr:uid="{CCCD8E58-3CBD-441E-8DA7-4ADC5705FEEE}"/>
    <cellStyle name="Header1 1 22 4" xfId="12464" xr:uid="{B097EAFB-9322-4ECC-BE53-89DBB5E0C95A}"/>
    <cellStyle name="Header1 1 23" xfId="3074" xr:uid="{DDFACB6C-A808-4E0C-B001-A062FE2481EB}"/>
    <cellStyle name="Header1 1 23 2" xfId="12945" xr:uid="{91BB5E59-8667-4B1C-89E3-677760E38EEE}"/>
    <cellStyle name="Header1 1 23 3" xfId="14904" xr:uid="{F4D3595B-FC49-4B4B-8C00-4037BEDAB7C0}"/>
    <cellStyle name="Header1 1 24" xfId="10339" xr:uid="{45E13486-DFA9-4771-801E-6C5A74E73924}"/>
    <cellStyle name="Header1 1 24 2" xfId="17313" xr:uid="{448044BC-76EB-41CB-9125-0FD1E1AD4813}"/>
    <cellStyle name="Header1 1 24 3" xfId="17500" xr:uid="{463C99DC-4E15-42C8-9526-724F31136DDE}"/>
    <cellStyle name="Header1 1 25" xfId="17645" xr:uid="{5CEDD92C-8D87-4934-9D0C-5A43324C65B6}"/>
    <cellStyle name="Header1 1 3" xfId="3374" xr:uid="{51ACB603-1606-4211-BFF1-7605C7FDE10B}"/>
    <cellStyle name="Header1 1 3 10" xfId="16833" xr:uid="{497B8E24-34C6-40AC-82EB-E6EEF856A6C1}"/>
    <cellStyle name="Header1 1 3 2" xfId="5085" xr:uid="{024535DB-7F16-44C7-9A53-44CFC27B458C}"/>
    <cellStyle name="Header1 1 3 2 2" xfId="13356" xr:uid="{9F93685A-63C7-4230-906F-FA60A7864DEF}"/>
    <cellStyle name="Header1 1 3 2 3" xfId="16092" xr:uid="{2533CED4-4AFF-4A1C-9555-AFF9550BDC9C}"/>
    <cellStyle name="Header1 1 3 3" xfId="5182" xr:uid="{730FD5AA-F75D-43AF-B8A0-0A222D5260AD}"/>
    <cellStyle name="Header1 1 3 3 2" xfId="16291" xr:uid="{EFF842E6-2517-4A25-A466-FFBA29F24D6D}"/>
    <cellStyle name="Header1 1 3 3 3" xfId="11241" xr:uid="{B1A2B597-2970-41B2-AF87-65037A17A1B3}"/>
    <cellStyle name="Header1 1 3 4" xfId="5063" xr:uid="{DE32B5DD-3B0C-47C9-90CC-75827376853F}"/>
    <cellStyle name="Header1 1 3 4 2" xfId="15589" xr:uid="{3982027D-EDA6-49CF-88CE-50F8AB4E2B90}"/>
    <cellStyle name="Header1 1 3 4 3" xfId="14151" xr:uid="{E8AFB1D4-2B36-451E-96D0-2B267D7F7232}"/>
    <cellStyle name="Header1 1 3 5" xfId="5023" xr:uid="{6561B60F-B6F8-4D19-93C1-D443CD711AD5}"/>
    <cellStyle name="Header1 1 3 5 2" xfId="15800" xr:uid="{2C7CBE2A-C31B-47D9-B43E-FED311923CA0}"/>
    <cellStyle name="Header1 1 3 5 3" xfId="11729" xr:uid="{49C7C4DE-C186-4A93-9035-680B9755374F}"/>
    <cellStyle name="Header1 1 3 6" xfId="5236" xr:uid="{DD6454DC-0250-4D3C-9A1E-55EFD8DECF4D}"/>
    <cellStyle name="Header1 1 3 6 2" xfId="12408" xr:uid="{DA398984-32A0-405C-95DC-B68ADB19C63E}"/>
    <cellStyle name="Header1 1 3 6 3" xfId="13163" xr:uid="{B922CEA5-4FC9-4820-9791-A290DAACEE12}"/>
    <cellStyle name="Header1 1 3 7" xfId="5025" xr:uid="{8924130D-320B-4D46-B140-12B5949BCD84}"/>
    <cellStyle name="Header1 1 3 7 2" xfId="12909" xr:uid="{6022C709-D509-410A-B54B-13FB975601FD}"/>
    <cellStyle name="Header1 1 3 7 3" xfId="15533" xr:uid="{25ACE8A8-75CA-4ED5-8273-EF7781E88DBF}"/>
    <cellStyle name="Header1 1 3 8" xfId="5175" xr:uid="{D0EC9942-BCA5-4C8F-B753-8CE05EBDE6BF}"/>
    <cellStyle name="Header1 1 3 8 2" xfId="14247" xr:uid="{06106157-3AD1-4DFF-8236-2024FA1B927E}"/>
    <cellStyle name="Header1 1 3 8 3" xfId="16029" xr:uid="{CBCBB55C-A17A-4576-A31E-A114AAC52482}"/>
    <cellStyle name="Header1 1 3 9" xfId="12549" xr:uid="{EDEF43D5-C3D5-435B-8918-C0D56C8C9735}"/>
    <cellStyle name="Header1 1 4" xfId="3410" xr:uid="{EE0CF526-4657-4E83-BC32-43C7E3F0BC0A}"/>
    <cellStyle name="Header1 1 4 2" xfId="7052" xr:uid="{50D12AA6-660B-46D9-B4D2-F4560DB29DC3}"/>
    <cellStyle name="Header1 1 4 2 2" xfId="14011" xr:uid="{0453E864-822D-4F74-953E-783711B82E2E}"/>
    <cellStyle name="Header1 1 4 2 3" xfId="15613" xr:uid="{84AC05C6-3166-4AB0-9654-ADAF73ABFA04}"/>
    <cellStyle name="Header1 1 4 3" xfId="15113" xr:uid="{3E9C510A-5851-4AC8-9356-10F2912BC4E6}"/>
    <cellStyle name="Header1 1 4 4" xfId="14726" xr:uid="{7AEF744E-706D-41E7-9934-E637A4ECDD59}"/>
    <cellStyle name="Header1 1 5" xfId="3365" xr:uid="{E81F1F76-ADE3-43EF-AD4D-7FDDF0FD852E}"/>
    <cellStyle name="Header1 1 5 2" xfId="7015" xr:uid="{FE9D3536-0728-4598-AC19-E80623D7142C}"/>
    <cellStyle name="Header1 1 5 2 2" xfId="14877" xr:uid="{560A9586-9092-410A-B5FE-A230EA914447}"/>
    <cellStyle name="Header1 1 5 2 3" xfId="11973" xr:uid="{0A7EE8B5-2E63-4375-8EF2-E229830D5E5E}"/>
    <cellStyle name="Header1 1 5 3" xfId="15961" xr:uid="{CAA5A443-36E4-4E22-AB6D-D8B29DB74036}"/>
    <cellStyle name="Header1 1 5 4" xfId="11568" xr:uid="{DA297CB3-61C6-4499-8A42-BDFFF633B940}"/>
    <cellStyle name="Header1 1 6" xfId="3389" xr:uid="{7250F656-2AAA-4A08-B414-E6D28B2259EF}"/>
    <cellStyle name="Header1 1 6 2" xfId="7035" xr:uid="{ADCCF60F-CCC4-452C-9B57-AB8B3A93E49B}"/>
    <cellStyle name="Header1 1 6 2 2" xfId="16014" xr:uid="{7C06754F-9155-4AED-8C18-4C6E34E7DB75}"/>
    <cellStyle name="Header1 1 6 2 3" xfId="14048" xr:uid="{CE6639E3-B8B6-4BDE-9A02-7652687D19E0}"/>
    <cellStyle name="Header1 1 6 3" xfId="15861" xr:uid="{A1408361-21E2-471D-8477-07C121BB83AC}"/>
    <cellStyle name="Header1 1 6 4" xfId="11660" xr:uid="{F03135BA-1C76-4317-B3C2-C335EFC3602A}"/>
    <cellStyle name="Header1 1 7" xfId="3383" xr:uid="{F344EF9C-2F7A-4593-A04D-6A3CA987A600}"/>
    <cellStyle name="Header1 1 7 2" xfId="7029" xr:uid="{9B652D4A-5FA4-4805-B829-86E405E3C56F}"/>
    <cellStyle name="Header1 1 7 2 2" xfId="14981" xr:uid="{F7B70A08-5185-403B-8198-892352C04EE2}"/>
    <cellStyle name="Header1 1 7 2 3" xfId="14694" xr:uid="{4A129469-BE70-4344-81DD-5B8E9ECBC246}"/>
    <cellStyle name="Header1 1 7 3" xfId="13003" xr:uid="{9E46F3A8-A362-4421-AFCB-49E638E90FDC}"/>
    <cellStyle name="Header1 1 7 4" xfId="14650" xr:uid="{64C22986-1073-488F-B045-1822C6F9B0DE}"/>
    <cellStyle name="Header1 1 8" xfId="3379" xr:uid="{1F9995AC-234F-4761-A3CA-B736AC0BC3F7}"/>
    <cellStyle name="Header1 1 8 2" xfId="7025" xr:uid="{3ACC6D43-58D4-4D50-B5D4-31F19F2A70BB}"/>
    <cellStyle name="Header1 1 8 2 2" xfId="12422" xr:uid="{1551E335-5E13-4709-B258-E3BB64A7DF4F}"/>
    <cellStyle name="Header1 1 8 2 3" xfId="12239" xr:uid="{CB38ED32-D143-4B8C-8C05-22AE1719E018}"/>
    <cellStyle name="Header1 1 8 3" xfId="13585" xr:uid="{0CE9249D-3CE9-4A90-A37D-3F58C47696C1}"/>
    <cellStyle name="Header1 1 8 4" xfId="16293" xr:uid="{8B1FD386-2BD7-4CEE-9488-6B386B19858E}"/>
    <cellStyle name="Header1 1 9" xfId="3619" xr:uid="{6554BFBB-1D40-4526-9B6A-59C1478C3646}"/>
    <cellStyle name="Header1 1 9 2" xfId="7254" xr:uid="{5BFD7D0D-3A4B-42F4-A234-8C02FAA4283A}"/>
    <cellStyle name="Header1 1 9 2 2" xfId="14737" xr:uid="{79F50725-5937-4912-897A-DCDED9A49187}"/>
    <cellStyle name="Header1 1 9 2 3" xfId="13954" xr:uid="{994CEA82-7E8E-4B97-B3B8-8C93B29D000A}"/>
    <cellStyle name="Header1 1 9 3" xfId="12939" xr:uid="{E863CACB-F914-497F-BBD9-0FA59712E0C8}"/>
    <cellStyle name="Header1 1 9 4" xfId="16328" xr:uid="{995A8F35-6BE1-4857-9E57-8B17FDBEB182}"/>
    <cellStyle name="Header1 10" xfId="3523" xr:uid="{7D35875B-8E2F-41F3-96B8-0402FE199286}"/>
    <cellStyle name="Header1 10 2" xfId="7165" xr:uid="{1832CF14-8BF4-494D-B857-F37E6CDF1E39}"/>
    <cellStyle name="Header1 10 2 2" xfId="13629" xr:uid="{83BCBA05-CC61-436E-9D4A-2C09CD4F80A9}"/>
    <cellStyle name="Header1 10 2 3" xfId="15307" xr:uid="{C3E695B8-F138-45A0-AD9E-A1A38BEC89E7}"/>
    <cellStyle name="Header1 10 3" xfId="15458" xr:uid="{71213C3B-BB8B-4B55-82E6-3A6477EF9235}"/>
    <cellStyle name="Header1 10 4" xfId="17099" xr:uid="{25AEF3D7-7A28-4DCF-BF78-FF1C506DA1A0}"/>
    <cellStyle name="Header1 11" xfId="3620" xr:uid="{327F165B-77EF-4C25-94ED-805B9D3E68FF}"/>
    <cellStyle name="Header1 11 2" xfId="7255" xr:uid="{301D19AD-FE12-4C46-B086-B96790F0731B}"/>
    <cellStyle name="Header1 11 2 2" xfId="15770" xr:uid="{9DFB7D90-E217-4819-9750-5302F45FBFFD}"/>
    <cellStyle name="Header1 11 2 3" xfId="11605" xr:uid="{612BFA34-C961-40DB-9BFD-3E50EBA69512}"/>
    <cellStyle name="Header1 11 3" xfId="16127" xr:uid="{35BFE575-329A-4048-86BA-9066BC154894}"/>
    <cellStyle name="Header1 11 4" xfId="11405" xr:uid="{340101DD-6EF6-48D2-9362-34DF80B941A8}"/>
    <cellStyle name="Header1 12" xfId="3668" xr:uid="{3B5D4B00-7D6A-4E1C-A0B3-10A4D38C8EE3}"/>
    <cellStyle name="Header1 12 2" xfId="7303" xr:uid="{7E1E105F-FC0C-4D4B-BB78-AC8DA8C88D6C}"/>
    <cellStyle name="Header1 12 2 2" xfId="15764" xr:uid="{B3F3FB40-8970-4129-9C93-051089C130A8}"/>
    <cellStyle name="Header1 12 2 3" xfId="11771" xr:uid="{0F49EC67-C021-46E8-B6E6-292FC93CB21B}"/>
    <cellStyle name="Header1 12 3" xfId="15623" xr:uid="{A8EF7DED-7F71-428E-BEFC-DF70BC0BB6D3}"/>
    <cellStyle name="Header1 12 4" xfId="11888" xr:uid="{D1C3223A-32F1-4055-BA89-8B1BF99AD3CF}"/>
    <cellStyle name="Header1 13" xfId="3625" xr:uid="{B8D35CD0-FB0F-4A67-9E3C-727C5FD3A86E}"/>
    <cellStyle name="Header1 13 2" xfId="7260" xr:uid="{E90D60E3-CC52-4F6E-BB98-1DB238C39931}"/>
    <cellStyle name="Header1 13 2 2" xfId="15163" xr:uid="{40C3493D-0AC0-455B-B20E-5C98CBF09A73}"/>
    <cellStyle name="Header1 13 2 3" xfId="14998" xr:uid="{9C994686-A3F3-46C0-9B20-DBF078A52E65}"/>
    <cellStyle name="Header1 13 3" xfId="15748" xr:uid="{F1863428-C83B-432B-914E-571BBE342AC0}"/>
    <cellStyle name="Header1 13 4" xfId="11786" xr:uid="{7D971FD1-A5F3-43A0-9FE3-C12C258956F5}"/>
    <cellStyle name="Header1 14" xfId="3606" xr:uid="{4D5AC57A-DBE7-4B90-AC5F-173BE98252DC}"/>
    <cellStyle name="Header1 14 2" xfId="7242" xr:uid="{52F11586-A60F-4080-8CAA-C9D4F896709E}"/>
    <cellStyle name="Header1 14 2 2" xfId="16115" xr:uid="{9F97964A-E56C-41D6-AB9C-EBF935679FB8}"/>
    <cellStyle name="Header1 14 2 3" xfId="11258" xr:uid="{FD3DC7A4-A6A7-4082-953F-FE577A5F9D8B}"/>
    <cellStyle name="Header1 14 3" xfId="15114" xr:uid="{A73DD00C-B3F6-4D9B-AA1E-87F3802DA434}"/>
    <cellStyle name="Header1 14 4" xfId="15760" xr:uid="{D56A4EA5-1675-43B4-A4B9-319FA9BDD177}"/>
    <cellStyle name="Header1 15" xfId="3650" xr:uid="{79060DDC-1235-447C-A1A9-9E33696D880F}"/>
    <cellStyle name="Header1 15 2" xfId="7285" xr:uid="{EFE37E83-5526-4B1C-8153-015271E48FD3}"/>
    <cellStyle name="Header1 15 2 2" xfId="13427" xr:uid="{F0E27949-0697-4956-A140-4F084D1BFF65}"/>
    <cellStyle name="Header1 15 2 3" xfId="13202" xr:uid="{FD953809-F4A4-4FA3-9CA3-BF76EE630C13}"/>
    <cellStyle name="Header1 15 3" xfId="12260" xr:uid="{EB76E379-A51B-4D3C-B588-988E1F3C3F1D}"/>
    <cellStyle name="Header1 15 4" xfId="13398" xr:uid="{F1138D57-591D-449D-825F-C4437709E60F}"/>
    <cellStyle name="Header1 16" xfId="3630" xr:uid="{AD7B8185-6F56-4D10-AFB1-D5FBE9BE324B}"/>
    <cellStyle name="Header1 16 2" xfId="7265" xr:uid="{DAA74816-880B-4379-BA26-22ADB07389D1}"/>
    <cellStyle name="Header1 16 2 2" xfId="12889" xr:uid="{CEEF95A2-C9DE-4280-906A-1783F6B433A9}"/>
    <cellStyle name="Header1 16 2 3" xfId="13890" xr:uid="{D2150A3E-DC2F-4D55-BA34-B89D7A36F751}"/>
    <cellStyle name="Header1 16 3" xfId="14945" xr:uid="{5A5A94A3-2071-489A-A553-E68DA3E6A2CA}"/>
    <cellStyle name="Header1 16 4" xfId="15154" xr:uid="{146C61F1-B0AA-432B-ADAA-FD51D733C3F2}"/>
    <cellStyle name="Header1 17" xfId="3559" xr:uid="{BB63C710-037C-4696-A9A1-E8B4E7A63DDE}"/>
    <cellStyle name="Header1 17 2" xfId="7201" xr:uid="{CE7CB1A4-7D32-4BF4-972D-F39D4A8755D4}"/>
    <cellStyle name="Header1 17 2 2" xfId="12890" xr:uid="{CE0C1AEE-0428-46D2-B6D7-363B61E3DE91}"/>
    <cellStyle name="Header1 17 2 3" xfId="16007" xr:uid="{EE00E34A-FD0E-402E-9A6E-E6CC01AB9577}"/>
    <cellStyle name="Header1 17 3" xfId="13655" xr:uid="{C3441575-939C-441D-B29D-CE0AB5259C7E}"/>
    <cellStyle name="Header1 17 4" xfId="15034" xr:uid="{C955901E-2EE7-4DF0-BB5F-6A25250AB7E6}"/>
    <cellStyle name="Header1 18" xfId="3639" xr:uid="{55435F8C-79C9-4440-A362-66687B8C5359}"/>
    <cellStyle name="Header1 18 2" xfId="7274" xr:uid="{E1D33349-FB26-481C-992B-AB01136355F7}"/>
    <cellStyle name="Header1 18 2 2" xfId="16164" xr:uid="{78550268-1F32-4DC8-B0F9-AFF7DF9F92B4}"/>
    <cellStyle name="Header1 18 2 3" xfId="11421" xr:uid="{8F7A3B25-16E6-4F7F-A686-E34320B6DA8D}"/>
    <cellStyle name="Header1 18 3" xfId="13392" xr:uid="{6528AC18-DF28-485B-8207-0D392D82F735}"/>
    <cellStyle name="Header1 18 4" xfId="12765" xr:uid="{ABFE480D-ACFB-428C-A2B8-15DA32AC2236}"/>
    <cellStyle name="Header1 19" xfId="3925" xr:uid="{8028F96E-C3CB-48E8-9343-8D5BA0838813}"/>
    <cellStyle name="Header1 19 2" xfId="7505" xr:uid="{263A8679-72B4-4D2C-9C81-26CBCA5AAE8D}"/>
    <cellStyle name="Header1 19 2 2" xfId="12730" xr:uid="{C244A39C-B97F-4508-98F8-49FD30A71685}"/>
    <cellStyle name="Header1 19 2 3" xfId="12900" xr:uid="{981A81A7-CA45-422D-AE36-7D0B04A75567}"/>
    <cellStyle name="Header1 19 3" xfId="16390" xr:uid="{10C198C4-A4EA-4ABF-A570-80D6B4F5E5E9}"/>
    <cellStyle name="Header1 19 4" xfId="11153" xr:uid="{8287F7C6-7BC3-4216-B187-A3C0522BCD11}"/>
    <cellStyle name="Header1 2" xfId="2206" xr:uid="{E13582D6-105D-441C-B4C5-7D59F871A899}"/>
    <cellStyle name="Header1 2 10" xfId="3670" xr:uid="{E4417AE2-087D-4C45-AFB2-BD0B5A5940C9}"/>
    <cellStyle name="Header1 2 10 2" xfId="7305" xr:uid="{410F7419-8075-4481-8CDA-3216D7F35623}"/>
    <cellStyle name="Header1 2 10 2 2" xfId="12861" xr:uid="{690FD834-A0B5-4EDB-B266-2292AFE587BD}"/>
    <cellStyle name="Header1 2 10 2 3" xfId="15740" xr:uid="{69E9E39E-966D-4747-A5D6-3C15DB9223DF}"/>
    <cellStyle name="Header1 2 10 3" xfId="15441" xr:uid="{ED473154-3916-475F-8B14-878961D0AA0D}"/>
    <cellStyle name="Header1 2 10 4" xfId="17104" xr:uid="{751E8E9E-0BC4-40B2-A54D-0FF0DC8B9BAF}"/>
    <cellStyle name="Header1 2 11" xfId="3623" xr:uid="{2624A7C0-CF1E-4341-A7AD-698CF3A4F495}"/>
    <cellStyle name="Header1 2 11 2" xfId="7258" xr:uid="{77A6498D-FDC7-4E38-98FA-145FB5EABD33}"/>
    <cellStyle name="Header1 2 11 2 2" xfId="16157" xr:uid="{16A14107-89CF-4F86-90BC-96B56F279AEF}"/>
    <cellStyle name="Header1 2 11 2 3" xfId="11255" xr:uid="{359BB388-371F-44BE-A8CC-70D46D86F3B5}"/>
    <cellStyle name="Header1 2 11 3" xfId="13438" xr:uid="{65B9567E-3A01-4F19-A8E3-8D0CCC4A0774}"/>
    <cellStyle name="Header1 2 11 4" xfId="15664" xr:uid="{8596A296-A001-4FFF-A6B2-29BA9C688FBD}"/>
    <cellStyle name="Header1 2 12" xfId="3604" xr:uid="{AB0FA779-32C3-4CD2-9042-7300A2484708}"/>
    <cellStyle name="Header1 2 12 2" xfId="7240" xr:uid="{5CEBE161-A5B3-4728-B21C-1353B04EB34B}"/>
    <cellStyle name="Header1 2 12 2 2" xfId="12438" xr:uid="{8DCF1584-A136-47C5-92A7-9851192BAA38}"/>
    <cellStyle name="Header1 2 12 2 3" xfId="12192" xr:uid="{721BE18C-FE75-45EF-915B-57A31F774101}"/>
    <cellStyle name="Header1 2 12 3" xfId="16119" xr:uid="{B224140B-6434-41FD-B43E-49EBF9BE26C2}"/>
    <cellStyle name="Header1 2 12 4" xfId="11415" xr:uid="{0A955CEF-03BE-43EA-BE2B-A68A680E0E21}"/>
    <cellStyle name="Header1 2 13" xfId="3652" xr:uid="{901ED0F1-9190-4633-8337-922FC6C71E9D}"/>
    <cellStyle name="Header1 2 13 2" xfId="7287" xr:uid="{3191B9E5-B75B-4BEE-922C-FB0454DAF799}"/>
    <cellStyle name="Header1 2 13 2 2" xfId="15765" xr:uid="{06A03157-0FC3-4FA4-9754-391EAA9A5BAE}"/>
    <cellStyle name="Header1 2 13 2 3" xfId="11757" xr:uid="{C7FB644E-2679-4A53-99FE-3DDEB2D102C0}"/>
    <cellStyle name="Header1 2 13 3" xfId="16046" xr:uid="{742D441D-9A0F-4C14-8A46-3E962235C802}"/>
    <cellStyle name="Header1 2 13 4" xfId="11491" xr:uid="{FD17BCE9-1CF0-49E9-B2B1-70F2577E5EE3}"/>
    <cellStyle name="Header1 2 14" xfId="3632" xr:uid="{BFB3CA41-CACB-4136-9A66-34DC0CBEB53A}"/>
    <cellStyle name="Header1 2 14 2" xfId="7267" xr:uid="{B6B78D58-C49B-4347-A582-9A8240EE4A42}"/>
    <cellStyle name="Header1 2 14 2 2" xfId="14142" xr:uid="{FCD17412-C53E-4FE5-AA71-76161F924BE5}"/>
    <cellStyle name="Header1 2 14 2 3" xfId="16680" xr:uid="{EE103473-6A05-474E-85C2-A707EBE7E3D3}"/>
    <cellStyle name="Header1 2 14 3" xfId="14542" xr:uid="{75EBAE0F-42B6-43B7-862B-5CF40A28F573}"/>
    <cellStyle name="Header1 2 14 4" xfId="14132" xr:uid="{57A70655-4C53-42AA-BA05-7A747567A20D}"/>
    <cellStyle name="Header1 2 15" xfId="3558" xr:uid="{1362F713-CAB3-4146-919A-B1F7C5E998C9}"/>
    <cellStyle name="Header1 2 15 2" xfId="7200" xr:uid="{D5BE7351-90D4-4EE7-A36A-5DDCA723D669}"/>
    <cellStyle name="Header1 2 15 2 2" xfId="12446" xr:uid="{546407E9-9219-40F6-A365-A7FE75000837}"/>
    <cellStyle name="Header1 2 15 2 3" xfId="14500" xr:uid="{EE0D3400-07EA-4E78-B01C-09C7A51F652A}"/>
    <cellStyle name="Header1 2 15 3" xfId="15326" xr:uid="{9E32135A-E9C3-42E7-823B-52AF1FC1104D}"/>
    <cellStyle name="Header1 2 15 4" xfId="13756" xr:uid="{FD837902-9008-4368-8576-ED869149A36F}"/>
    <cellStyle name="Header1 2 16" xfId="3641" xr:uid="{4475437D-07AC-4D81-996C-9FF6714CDABA}"/>
    <cellStyle name="Header1 2 16 2" xfId="7276" xr:uid="{B20B0A0B-4663-4808-BB8C-06E77866FAF5}"/>
    <cellStyle name="Header1 2 16 2 2" xfId="15175" xr:uid="{E5E7B84A-91F3-4DDB-96E4-3E9B75CBE182}"/>
    <cellStyle name="Header1 2 16 2 3" xfId="15165" xr:uid="{4EDE6088-709D-4572-BE61-B6B95959FA44}"/>
    <cellStyle name="Header1 2 16 3" xfId="15687" xr:uid="{B323C380-1710-4BA1-9164-E23CA0553FBC}"/>
    <cellStyle name="Header1 2 16 4" xfId="17073" xr:uid="{0C6A8774-DF82-4B14-88B1-A952C36CDF0C}"/>
    <cellStyle name="Header1 2 17" xfId="3923" xr:uid="{0166A0A5-4C75-4F85-9B23-8C7D6A3C0DAF}"/>
    <cellStyle name="Header1 2 17 2" xfId="7503" xr:uid="{A31102A1-DFDC-47EA-BEDF-63BEFCC54080}"/>
    <cellStyle name="Header1 2 17 2 2" xfId="12696" xr:uid="{B7AA55DE-657A-4608-BF78-70D1BAC2282C}"/>
    <cellStyle name="Header1 2 17 2 3" xfId="11376" xr:uid="{0958EFA2-9C22-4F13-9C83-C9C027F65EBA}"/>
    <cellStyle name="Header1 2 17 3" xfId="12227" xr:uid="{054077D7-353D-4A54-ACE3-9F96DC8F45D4}"/>
    <cellStyle name="Header1 2 17 4" xfId="16203" xr:uid="{3D85DDBE-7EAC-450C-8DB4-9FCDF7458356}"/>
    <cellStyle name="Header1 2 18" xfId="3939" xr:uid="{FCDA7110-09D7-4251-80FE-8ED86281B25A}"/>
    <cellStyle name="Header1 2 18 2" xfId="7519" xr:uid="{D18BF249-599D-4756-8DC2-BAE4EC798EC0}"/>
    <cellStyle name="Header1 2 18 2 2" xfId="13753" xr:uid="{D793F75F-FFAB-491E-8304-99C05343B15D}"/>
    <cellStyle name="Header1 2 18 2 3" xfId="11380" xr:uid="{F0A110A5-3132-48D5-9E36-EB95B80DA049}"/>
    <cellStyle name="Header1 2 18 3" xfId="12604" xr:uid="{CE7B2944-24A6-47B0-8A9A-99B9C1203582}"/>
    <cellStyle name="Header1 2 18 4" xfId="12000" xr:uid="{66260D78-BA52-4A79-9A1A-08417843F08A}"/>
    <cellStyle name="Header1 2 19" xfId="3914" xr:uid="{B8BDC1A3-7E2F-4664-836C-81ACE88D802B}"/>
    <cellStyle name="Header1 2 19 2" xfId="7494" xr:uid="{06D780F5-AA3B-441F-B05B-08EFA56FE218}"/>
    <cellStyle name="Header1 2 19 2 2" xfId="15792" xr:uid="{6AFCCA5D-3F7B-4757-935F-768D5FD53DFE}"/>
    <cellStyle name="Header1 2 19 2 3" xfId="15270" xr:uid="{C7FDA823-F819-4241-8E7F-24376F63C8A9}"/>
    <cellStyle name="Header1 2 19 3" xfId="15043" xr:uid="{F0DE2FA4-4598-4C45-AF69-E306CB9D6C97}"/>
    <cellStyle name="Header1 2 19 4" xfId="13150" xr:uid="{C000C155-964A-4228-892F-CED42E5CFB06}"/>
    <cellStyle name="Header1 2 2" xfId="3403" xr:uid="{022004D4-BBAA-45FA-BD0C-A907766A7ABD}"/>
    <cellStyle name="Header1 2 2 10" xfId="13557" xr:uid="{F9D4C42D-E7A8-468E-9B12-BD8E2836151D}"/>
    <cellStyle name="Header1 2 2 11" xfId="12607" xr:uid="{24764121-5496-4074-AF23-89A9510EF532}"/>
    <cellStyle name="Header1 2 2 2" xfId="5091" xr:uid="{8F4E939F-CD49-4F82-9781-4A816045AD67}"/>
    <cellStyle name="Header1 2 2 2 2" xfId="14047" xr:uid="{D3BFE172-D95C-463F-AB99-AFA9B991337D}"/>
    <cellStyle name="Header1 2 2 2 3" xfId="14574" xr:uid="{8A0805C1-514A-447F-BCF5-BDF648AED0E1}"/>
    <cellStyle name="Header1 2 2 3" xfId="5187" xr:uid="{085D42FE-6802-44A8-9493-222F9ECF0551}"/>
    <cellStyle name="Header1 2 2 3 2" xfId="15956" xr:uid="{C458FCBC-F0A6-4BB1-8B39-2FB43CD58DB5}"/>
    <cellStyle name="Header1 2 2 3 3" xfId="11572" xr:uid="{D519D0CD-D286-4689-93FC-9EADE7C2BB36}"/>
    <cellStyle name="Header1 2 2 4" xfId="5031" xr:uid="{C7D61502-3198-41DC-9B30-C6AB70340C25}"/>
    <cellStyle name="Header1 2 2 4 2" xfId="15813" xr:uid="{367FB404-DD8E-4B07-9ECD-32362C17E182}"/>
    <cellStyle name="Header1 2 2 4 3" xfId="11719" xr:uid="{07D4B851-A9DD-436C-BF8C-F33C8662657E}"/>
    <cellStyle name="Header1 2 2 5" xfId="4950" xr:uid="{8CF0139F-CEC6-4274-B528-47A1E4B95894}"/>
    <cellStyle name="Header1 2 2 5 2" xfId="14034" xr:uid="{E117E2D8-47DA-466A-A4BB-88AF2B850963}"/>
    <cellStyle name="Header1 2 2 5 3" xfId="12621" xr:uid="{8E7061A5-0B07-4B90-B57C-587A63229A60}"/>
    <cellStyle name="Header1 2 2 6" xfId="5000" xr:uid="{0BFAD5E9-9A01-4E8D-8CFA-7FF40EDDB71C}"/>
    <cellStyle name="Header1 2 2 6 2" xfId="12559" xr:uid="{34E1AC05-49A6-4145-9DBE-BD89711F8AC6}"/>
    <cellStyle name="Header1 2 2 6 3" xfId="14320" xr:uid="{83EA43F3-3B20-4DAB-86B1-055F6AB91686}"/>
    <cellStyle name="Header1 2 2 7" xfId="5223" xr:uid="{CEDC48F7-5C4F-43CE-8C0C-BACD3ABEE35B}"/>
    <cellStyle name="Header1 2 2 7 2" xfId="14177" xr:uid="{554EC70B-0421-41A5-83DB-F8BFDA9C67D8}"/>
    <cellStyle name="Header1 2 2 7 3" xfId="17124" xr:uid="{1A87953A-A25C-4C1A-AC94-EEB66E2B5065}"/>
    <cellStyle name="Header1 2 2 8" xfId="4977" xr:uid="{9CED7427-2A47-4117-A76A-852A56F017C7}"/>
    <cellStyle name="Header1 2 2 8 2" xfId="13081" xr:uid="{1EA82FEF-2C86-4944-9672-F279BF91781F}"/>
    <cellStyle name="Header1 2 2 8 3" xfId="16179" xr:uid="{87E726F9-69AA-46E1-853A-F273B370D322}"/>
    <cellStyle name="Header1 2 2 9" xfId="5240" xr:uid="{1F43E9C9-6CC6-42A7-A94B-AA72D82668BF}"/>
    <cellStyle name="Header1 2 2 9 2" xfId="15204" xr:uid="{B4B04D27-D440-45AD-91C5-D2FEE28E54C3}"/>
    <cellStyle name="Header1 2 2 9 3" xfId="15647" xr:uid="{3FCF55A8-5ACA-42E7-8609-D586196ABAE8}"/>
    <cellStyle name="Header1 2 20" xfId="3948" xr:uid="{48F2737E-9F8B-471E-82C7-9176BBE74348}"/>
    <cellStyle name="Header1 2 20 2" xfId="7528" xr:uid="{61931B5F-183D-40DB-8D08-893B11540062}"/>
    <cellStyle name="Header1 2 20 2 2" xfId="12711" xr:uid="{ECBD681A-79DA-4DE4-9603-668BDD5D4DFE}"/>
    <cellStyle name="Header1 2 20 2 3" xfId="11980" xr:uid="{9959209A-18BB-4582-B1E7-FF2E0CC19D53}"/>
    <cellStyle name="Header1 2 20 3" xfId="13028" xr:uid="{D50C8665-B16B-4A3D-82CF-8F2096FFDB1A}"/>
    <cellStyle name="Header1 2 20 4" xfId="16446" xr:uid="{38B008A7-6C91-4CC6-BE20-A95BE276483C}"/>
    <cellStyle name="Header1 2 21" xfId="3926" xr:uid="{1F2A958F-5F2F-4A2B-BEBB-8134D9AE6597}"/>
    <cellStyle name="Header1 2 21 2" xfId="7506" xr:uid="{451F6413-C2CC-48B1-A358-6CEBD8EF0490}"/>
    <cellStyle name="Header1 2 21 2 2" xfId="13688" xr:uid="{F4780816-60C9-43B4-A1B4-533DE8B4BF76}"/>
    <cellStyle name="Header1 2 21 2 3" xfId="12764" xr:uid="{B4F940E9-EDB9-49EC-A361-26678BF5A816}"/>
    <cellStyle name="Header1 2 21 3" xfId="13872" xr:uid="{159CFB07-78D8-444C-A483-704336FB5C36}"/>
    <cellStyle name="Header1 2 21 4" xfId="16218" xr:uid="{291B9A28-230C-43E7-99A8-B539E1C6A1F5}"/>
    <cellStyle name="Header1 2 22" xfId="3935" xr:uid="{FD18BF62-4A1E-4A64-AE27-FB28BC6835A7}"/>
    <cellStyle name="Header1 2 22 2" xfId="7515" xr:uid="{F3BB0C6C-703D-45C8-9FBA-8874741E9981}"/>
    <cellStyle name="Header1 2 22 2 2" xfId="13715" xr:uid="{3D4EA99F-5B5A-487C-8E6C-938DDCEE4EFE}"/>
    <cellStyle name="Header1 2 22 2 3" xfId="15385" xr:uid="{60F3EF0F-CF54-4E00-B6B2-24F1540C86B3}"/>
    <cellStyle name="Header1 2 22 3" xfId="15333" xr:uid="{199F4C4C-0672-42E6-A687-FA10B31DD30B}"/>
    <cellStyle name="Header1 2 22 4" xfId="15156" xr:uid="{9018655E-485C-45BB-ACEB-5F4A806A6EA9}"/>
    <cellStyle name="Header1 2 23" xfId="3075" xr:uid="{507FC1BF-C0D9-43CF-BC5F-263047A7B9FF}"/>
    <cellStyle name="Header1 2 23 2" xfId="17209" xr:uid="{2266F098-3A4D-43A6-BAB8-B299073041A6}"/>
    <cellStyle name="Header1 2 23 3" xfId="17452" xr:uid="{DE66962C-13AA-4B4C-A848-C0CB06DF7B7C}"/>
    <cellStyle name="Header1 2 24" xfId="10340" xr:uid="{001E9B65-E579-451B-9AC3-53EB05CA4BED}"/>
    <cellStyle name="Header1 2 24 2" xfId="17314" xr:uid="{1912E40E-5F1A-4E30-AEF5-9FEE342FC6FA}"/>
    <cellStyle name="Header1 2 24 3" xfId="17501" xr:uid="{1DA56B4A-C485-485B-AE33-07A3C07F01DD}"/>
    <cellStyle name="Header1 2 25" xfId="17646" xr:uid="{70D890A3-6E0C-4345-96C3-52AFB3B146A6}"/>
    <cellStyle name="Header1 2 3" xfId="3373" xr:uid="{CCF67EFA-BB59-43F4-B265-E449A655AC5E}"/>
    <cellStyle name="Header1 2 3 10" xfId="11637" xr:uid="{A487A591-FF08-4C70-96F3-5EF324F1E25E}"/>
    <cellStyle name="Header1 2 3 2" xfId="5084" xr:uid="{5CC3E856-6CD1-48E1-85A7-3B64E0D6E0ED}"/>
    <cellStyle name="Header1 2 3 2 2" xfId="15033" xr:uid="{F8D94CBF-6BFB-4E13-87D2-C414F8D66E73}"/>
    <cellStyle name="Header1 2 3 2 3" xfId="14005" xr:uid="{E95114C5-6B8B-4DE3-88DB-18277AA2A6A5}"/>
    <cellStyle name="Header1 2 3 3" xfId="5181" xr:uid="{9FB2CC9F-0446-4F19-9A0B-B44D63C69DB5}"/>
    <cellStyle name="Header1 2 3 3 2" xfId="13012" xr:uid="{3EBD4A32-9ED0-4219-BE3F-6A3042E669F5}"/>
    <cellStyle name="Header1 2 3 3 3" xfId="13372" xr:uid="{AD52293D-4788-458A-A9DB-00DC0D5950E4}"/>
    <cellStyle name="Header1 2 3 4" xfId="5166" xr:uid="{F87A6DCD-696E-4077-9C2E-1983B0220675}"/>
    <cellStyle name="Header1 2 3 4 2" xfId="16300" xr:uid="{BDB2D642-44B6-47F4-AD2C-DFC33DB1735E}"/>
    <cellStyle name="Header1 2 3 4 3" xfId="11236" xr:uid="{1A569EE0-76A3-4965-91E5-98B0A03CCE3F}"/>
    <cellStyle name="Header1 2 3 5" xfId="5065" xr:uid="{069DABB8-07E7-4F04-B8C9-B34A56233AD3}"/>
    <cellStyle name="Header1 2 3 5 2" xfId="12662" xr:uid="{079DF76B-70D7-425D-A6BC-2B739D45DE56}"/>
    <cellStyle name="Header1 2 3 5 3" xfId="16348" xr:uid="{E00C9B30-34B3-4812-98C3-5C0D1F5BED9A}"/>
    <cellStyle name="Header1 2 3 6" xfId="5174" xr:uid="{581B7D6F-331D-4DE1-AD6E-05B5DAAF8C47}"/>
    <cellStyle name="Header1 2 3 6 2" xfId="16234" xr:uid="{F807F606-8B04-4939-870B-36F6232DD9FA}"/>
    <cellStyle name="Header1 2 3 6 3" xfId="11287" xr:uid="{15A55438-E967-4B07-9EE4-8CCAFA28FDF5}"/>
    <cellStyle name="Header1 2 3 7" xfId="4975" xr:uid="{A42DA540-FC70-49BC-97BA-2FFCB737E032}"/>
    <cellStyle name="Header1 2 3 7 2" xfId="15934" xr:uid="{1DB9BE00-07C9-4F48-AAEC-AA971E4D8A93}"/>
    <cellStyle name="Header1 2 3 7 3" xfId="11595" xr:uid="{2826914C-CC78-446D-8632-4634EC01E02D}"/>
    <cellStyle name="Header1 2 3 8" xfId="4966" xr:uid="{FDC137BC-CACB-4CBE-B8CC-4A33CD0BBE96}"/>
    <cellStyle name="Header1 2 3 8 2" xfId="15661" xr:uid="{63EAFA43-2B44-4D65-83E4-806764C9565D}"/>
    <cellStyle name="Header1 2 3 8 3" xfId="11860" xr:uid="{39C367F3-A666-4DCF-8080-C8AC8B98EF62}"/>
    <cellStyle name="Header1 2 3 9" xfId="15881" xr:uid="{34FD491E-841F-4EE0-A238-1E51FD507C7B}"/>
    <cellStyle name="Header1 2 4" xfId="3411" xr:uid="{7DB2B4F1-A80B-4208-9B0E-33BF490CA71E}"/>
    <cellStyle name="Header1 2 4 2" xfId="7053" xr:uid="{B290715B-CD00-44DE-93F3-806F8DF16116}"/>
    <cellStyle name="Header1 2 4 2 2" xfId="15006" xr:uid="{A432B0F8-6A69-45FE-898A-A2178F5E608B}"/>
    <cellStyle name="Header1 2 4 2 3" xfId="14768" xr:uid="{39EDE341-9AF5-4063-B55D-EF0F56BDE62C}"/>
    <cellStyle name="Header1 2 4 3" xfId="13504" xr:uid="{6A1758CC-1977-4F7C-B193-AC1D2B481B7D}"/>
    <cellStyle name="Header1 2 4 4" xfId="12343" xr:uid="{06E8D19C-9903-4B3E-B2B1-D4EC1374D5AE}"/>
    <cellStyle name="Header1 2 5" xfId="3363" xr:uid="{2010F2E1-28AB-4D4D-85D1-83F15DE5B491}"/>
    <cellStyle name="Header1 2 5 2" xfId="7013" xr:uid="{23E4DE4D-B341-4EB1-8D16-09B2E13E1EA0}"/>
    <cellStyle name="Header1 2 5 2 2" xfId="15288" xr:uid="{120D9625-FD05-49A3-9D22-618D5764C41B}"/>
    <cellStyle name="Header1 2 5 2 3" xfId="13505" xr:uid="{5DEC67D3-418B-418C-A5B8-520E3D515FC6}"/>
    <cellStyle name="Header1 2 5 3" xfId="13656" xr:uid="{0E0F2AAD-4B56-4124-A59B-4C6B71CDDAC9}"/>
    <cellStyle name="Header1 2 5 4" xfId="13357" xr:uid="{49B1C019-E3FD-49A6-A9BD-C74FAFFBCDEB}"/>
    <cellStyle name="Header1 2 6" xfId="3390" xr:uid="{81737F2A-265A-4042-9982-D7DE401A3E5F}"/>
    <cellStyle name="Header1 2 6 2" xfId="7036" xr:uid="{B468B649-5110-4109-AEC3-E2969ADF7F36}"/>
    <cellStyle name="Header1 2 6 2 2" xfId="14014" xr:uid="{2A67E884-24EE-4FA4-B16A-024969DD3BE8}"/>
    <cellStyle name="Header1 2 6 2 3" xfId="12298" xr:uid="{EFAF1185-5D64-43A2-9953-F4860302D46A}"/>
    <cellStyle name="Header1 2 6 3" xfId="12522" xr:uid="{294AB18A-9514-4C5C-A8A4-DEFA819C6333}"/>
    <cellStyle name="Header1 2 6 4" xfId="13692" xr:uid="{1E73BA68-8E43-4F5A-8333-5F6993B33695}"/>
    <cellStyle name="Header1 2 7" xfId="3499" xr:uid="{C0A50609-5A18-44C5-8952-DB29F68AD547}"/>
    <cellStyle name="Header1 2 7 2" xfId="7141" xr:uid="{A4B1B334-C492-4786-B520-F6E6BE4DA5D7}"/>
    <cellStyle name="Header1 2 7 2 2" xfId="13638" xr:uid="{600B402B-3FE1-4C1A-803E-8B386F94AA1D}"/>
    <cellStyle name="Header1 2 7 2 3" xfId="12503" xr:uid="{C273EFB6-4D79-49C6-AB2A-E771AF480BD1}"/>
    <cellStyle name="Header1 2 7 3" xfId="16726" xr:uid="{6335CFC2-1E80-4748-B8F5-6DF2F179291D}"/>
    <cellStyle name="Header1 2 7 4" xfId="10863" xr:uid="{BCBA7181-A048-4344-9315-DBF4124C1874}"/>
    <cellStyle name="Header1 2 8" xfId="3380" xr:uid="{93173C19-1198-4079-B332-8B3AE68FCF71}"/>
    <cellStyle name="Header1 2 8 2" xfId="7026" xr:uid="{F4673D33-DA69-40E0-8CEF-FE5FC3A2BCD0}"/>
    <cellStyle name="Header1 2 8 2 2" xfId="12860" xr:uid="{BE2CDBDC-2A43-4CAF-B6D7-E1620DE35757}"/>
    <cellStyle name="Header1 2 8 2 3" xfId="15616" xr:uid="{CEB230B9-2581-4100-92EC-C8852ECC7E14}"/>
    <cellStyle name="Header1 2 8 3" xfId="14828" xr:uid="{DECC0A38-39B1-4B02-9740-30EB3768E471}"/>
    <cellStyle name="Header1 2 8 4" xfId="12700" xr:uid="{EA11B5A7-1A77-4BE9-9760-894A7FB8F2D2}"/>
    <cellStyle name="Header1 2 9" xfId="3618" xr:uid="{7A346B41-3D57-4BF5-886F-0D1E64F43328}"/>
    <cellStyle name="Header1 2 9 2" xfId="7253" xr:uid="{CEC014C3-2613-4098-8DE4-2338ECC65780}"/>
    <cellStyle name="Header1 2 9 2 2" xfId="13522" xr:uid="{9BA741EF-1CC4-4FFA-8C35-4211AEEF1731}"/>
    <cellStyle name="Header1 2 9 2 3" xfId="12413" xr:uid="{A2868A4D-7598-4F36-9A56-1FDB0ECF9013}"/>
    <cellStyle name="Header1 2 9 3" xfId="12486" xr:uid="{ADB3B1E7-D43A-4C03-BC9F-70A9D0DB4EE2}"/>
    <cellStyle name="Header1 2 9 4" xfId="15213" xr:uid="{83A8D81E-5077-4BF6-A859-31E98906E7E5}"/>
    <cellStyle name="Header1 20" xfId="3937" xr:uid="{6D41D989-7FAA-4AEC-9F1D-427913D8F9D4}"/>
    <cellStyle name="Header1 20 2" xfId="7517" xr:uid="{72F8DCD5-05CA-43C4-9E76-2A25B028ADC7}"/>
    <cellStyle name="Header1 20 2 2" xfId="13730" xr:uid="{A59F4B58-F9DA-41E1-87EB-FF3D19DC0308}"/>
    <cellStyle name="Header1 20 2 3" xfId="15586" xr:uid="{FC0209B6-39D7-4927-9D47-44C8CAD24460}"/>
    <cellStyle name="Header1 20 3" xfId="14903" xr:uid="{29722653-737B-4957-BE64-7C87CD6DEB24}"/>
    <cellStyle name="Header1 20 4" xfId="16321" xr:uid="{31888F84-12A1-4A1C-838E-F0A9FB7ABF72}"/>
    <cellStyle name="Header1 21" xfId="3916" xr:uid="{C7D1FF1B-7A3E-4C32-B062-1B052340E405}"/>
    <cellStyle name="Header1 21 2" xfId="7496" xr:uid="{B0213490-A0C1-4AD0-BEBB-F92FFE36CA4C}"/>
    <cellStyle name="Header1 21 2 2" xfId="12901" xr:uid="{C113DC3F-48E0-4A4D-AF16-4CA0FC7BF87C}"/>
    <cellStyle name="Header1 21 2 3" xfId="14164" xr:uid="{ED400327-67FB-4C46-8DFA-CCD383D6999D}"/>
    <cellStyle name="Header1 21 3" xfId="15480" xr:uid="{33B3DE2E-F6F6-417D-9BC1-B98D02DE5CB8}"/>
    <cellStyle name="Header1 21 4" xfId="14584" xr:uid="{40D78FDF-418B-4A35-8E71-40A27B132BB6}"/>
    <cellStyle name="Header1 22" xfId="3946" xr:uid="{14155211-301E-466F-BA45-3A206D5D878E}"/>
    <cellStyle name="Header1 22 2" xfId="7526" xr:uid="{B5CAF209-5071-4A71-BCEB-683314CC8569}"/>
    <cellStyle name="Header1 22 2 2" xfId="12708" xr:uid="{B7D0F0F2-B0D5-44CF-8B57-7EAB3E942337}"/>
    <cellStyle name="Header1 22 2 3" xfId="14063" xr:uid="{F2C3EEAE-F6EE-43D4-B4CE-380A2391E3D7}"/>
    <cellStyle name="Header1 22 3" xfId="15876" xr:uid="{4BCC92B1-31FF-4500-9014-304810938938}"/>
    <cellStyle name="Header1 22 4" xfId="11644" xr:uid="{8587D449-7C26-48F7-95A0-3278901E1453}"/>
    <cellStyle name="Header1 23" xfId="3928" xr:uid="{46EF83C4-E370-4689-878A-CE05DAC0A67E}"/>
    <cellStyle name="Header1 23 2" xfId="7508" xr:uid="{F3357374-E679-4D07-A27E-92631001018D}"/>
    <cellStyle name="Header1 23 2 2" xfId="13896" xr:uid="{619D9603-B9F0-4AC9-AE2A-4B61272AC69A}"/>
    <cellStyle name="Header1 23 2 3" xfId="11752" xr:uid="{A39A289C-07D1-4FDE-9B59-F13F48A70C1E}"/>
    <cellStyle name="Header1 23 3" xfId="14629" xr:uid="{ED56BDBC-15AA-40A1-A42D-BFC2BA67FAF5}"/>
    <cellStyle name="Header1 23 4" xfId="16678" xr:uid="{D9FC1F62-9B7A-43A3-8518-65E41BBFF3EE}"/>
    <cellStyle name="Header1 24" xfId="3933" xr:uid="{CF2E0746-FD0C-411F-96FA-C9777E220574}"/>
    <cellStyle name="Header1 24 2" xfId="7513" xr:uid="{3DB51086-AD68-4365-B333-190F3896EAA2}"/>
    <cellStyle name="Header1 24 2 2" xfId="12703" xr:uid="{64B7FF16-5DAF-4E97-A308-64E0771450F2}"/>
    <cellStyle name="Header1 24 2 3" xfId="13530" xr:uid="{4C58771B-E7BB-40EE-B89D-BD679853BAC3}"/>
    <cellStyle name="Header1 24 3" xfId="16305" xr:uid="{10294647-6240-41DC-BD5E-CC92D36BD630}"/>
    <cellStyle name="Header1 24 4" xfId="11231" xr:uid="{594227FB-6A01-4D62-BB33-0ABAAFC24F8F}"/>
    <cellStyle name="Header1 25" xfId="3073" xr:uid="{ED64A423-7964-45F5-929A-087EA154FF93}"/>
    <cellStyle name="Header1 25 2" xfId="12491" xr:uid="{E24E5F6F-6589-4C72-8DB8-3CA1B08F2E5F}"/>
    <cellStyle name="Header1 25 3" xfId="14798" xr:uid="{F3B5DF13-53DB-4227-BA00-AE088F76F09F}"/>
    <cellStyle name="Header1 26" xfId="10338" xr:uid="{8DFF2A41-B94F-4AFC-8037-608375D5C51E}"/>
    <cellStyle name="Header1 26 2" xfId="17312" xr:uid="{C8C66E31-71A7-4EEF-83D1-FB3B4F845EC8}"/>
    <cellStyle name="Header1 26 3" xfId="17499" xr:uid="{3A6DAD7E-FB48-4091-A06F-29907C119B9E}"/>
    <cellStyle name="Header1 27" xfId="17644" xr:uid="{40647292-9276-43A7-AB27-DB7CFD03659B}"/>
    <cellStyle name="Header1 3" xfId="2207" xr:uid="{235DCDDF-A234-407E-A7B4-BC093F81B9AC}"/>
    <cellStyle name="Header1 3 10" xfId="3671" xr:uid="{FBD84ED6-7422-40FD-AE6F-6E1055A71E7F}"/>
    <cellStyle name="Header1 3 10 2" xfId="7306" xr:uid="{C02A251B-6CD2-4AE2-B3C0-200D513EDCA7}"/>
    <cellStyle name="Header1 3 10 2 2" xfId="15992" xr:uid="{E537C9D8-6C44-45D7-B13C-C8955C9E07B8}"/>
    <cellStyle name="Header1 3 10 2 3" xfId="11361" xr:uid="{0BC8EF9C-4362-4040-87FE-9B432AE9DB97}"/>
    <cellStyle name="Header1 3 10 3" xfId="16394" xr:uid="{156524C4-F0EC-492B-BFC1-D9C47C6947A7}"/>
    <cellStyle name="Header1 3 10 4" xfId="11150" xr:uid="{83C4F487-F55D-4793-82F0-C97F6C203B20}"/>
    <cellStyle name="Header1 3 11" xfId="3622" xr:uid="{B2712EAE-36E9-4B55-86E2-FB0ABE8384A0}"/>
    <cellStyle name="Header1 3 11 2" xfId="7257" xr:uid="{16F4AFCF-CAD4-4A33-9652-D5FE328015B4}"/>
    <cellStyle name="Header1 3 11 2 2" xfId="12874" xr:uid="{4CFBF370-DFC9-4F0B-AE3B-34DBAC3E6033}"/>
    <cellStyle name="Header1 3 11 2 3" xfId="13604" xr:uid="{076D5DD9-B5DC-4F6C-BFCE-667BC92173B2}"/>
    <cellStyle name="Header1 3 11 3" xfId="15122" xr:uid="{3521C245-532C-425A-88BE-E6E413BFDE5C}"/>
    <cellStyle name="Header1 3 11 4" xfId="15304" xr:uid="{A66BE6E3-5FAA-4D90-AAE2-F3F086B85DF7}"/>
    <cellStyle name="Header1 3 12" xfId="3603" xr:uid="{5B70E901-E7A8-4AD5-B3CF-63753E445080}"/>
    <cellStyle name="Header1 3 12 2" xfId="7239" xr:uid="{4F15DE30-3219-4554-84ED-5AE8F6866718}"/>
    <cellStyle name="Header1 3 12 2 2" xfId="15776" xr:uid="{FFA6E217-BA8A-4BC4-85BB-171D38A94534}"/>
    <cellStyle name="Header1 3 12 2 3" xfId="11565" xr:uid="{B95F4737-005F-4F7B-84B0-C9F4FD3B6DB1}"/>
    <cellStyle name="Header1 3 12 3" xfId="12925" xr:uid="{94583A57-8A3E-4BA3-8984-2765328A12D3}"/>
    <cellStyle name="Header1 3 12 4" xfId="15567" xr:uid="{439EE9AD-0D6F-413E-814E-A0F1752BEC1B}"/>
    <cellStyle name="Header1 3 13" xfId="3653" xr:uid="{19E0B1FE-0426-4FD9-996A-384E2DDE6F91}"/>
    <cellStyle name="Header1 3 13 2" xfId="7288" xr:uid="{FA0EAFFA-9E69-45C1-B84F-ED9051E8E874}"/>
    <cellStyle name="Header1 3 13 2 2" xfId="12424" xr:uid="{140A8604-C0F3-4274-A587-893DF36B4113}"/>
    <cellStyle name="Header1 3 13 2 3" xfId="12572" xr:uid="{8DB55E8B-321C-4EA5-8CA9-AAC535C7A71E}"/>
    <cellStyle name="Header1 3 13 3" xfId="14043" xr:uid="{B4706416-9910-4947-B237-C201ACA69E95}"/>
    <cellStyle name="Header1 3 13 4" xfId="15536" xr:uid="{17D957D9-1E01-4FAA-94C6-F291C976F800}"/>
    <cellStyle name="Header1 3 14" xfId="3633" xr:uid="{09FD3A22-B8C1-425A-9608-E8118A2E2DB9}"/>
    <cellStyle name="Header1 3 14 2" xfId="7268" xr:uid="{44A7E288-D8BA-4953-8ADB-5F0899AB241B}"/>
    <cellStyle name="Header1 3 14 2 2" xfId="15141" xr:uid="{1DF09023-49FA-4626-8C47-6193E3578BE0}"/>
    <cellStyle name="Header1 3 14 2 3" xfId="16146" xr:uid="{B17DEABE-16A8-48C2-B2E8-57A1178F3966}"/>
    <cellStyle name="Header1 3 14 3" xfId="15578" xr:uid="{8D05D559-4683-4291-8EE0-05FFC0DA4E2E}"/>
    <cellStyle name="Header1 3 14 4" xfId="14738" xr:uid="{984B2496-1EF8-49F1-A020-1A97679A6100}"/>
    <cellStyle name="Header1 3 15" xfId="3829" xr:uid="{EB01435E-248E-46A9-AE4B-863D1D278151}"/>
    <cellStyle name="Header1 3 15 2" xfId="7416" xr:uid="{74E23C59-36CF-4946-B659-6051D0E72D14}"/>
    <cellStyle name="Header1 3 15 2 2" xfId="12727" xr:uid="{DCA4E03D-E1F9-44A7-BD0A-7CFEB51A9739}"/>
    <cellStyle name="Header1 3 15 2 3" xfId="12315" xr:uid="{A5200629-F887-4C24-90F2-6AFDA24660F2}"/>
    <cellStyle name="Header1 3 15 3" xfId="14674" xr:uid="{8520D9B1-9C03-4F17-9785-8C8C53606D90}"/>
    <cellStyle name="Header1 3 15 4" xfId="12687" xr:uid="{E1825B88-0316-4A01-8EC8-787C6AE18CBC}"/>
    <cellStyle name="Header1 3 16" xfId="3642" xr:uid="{AFCFC9AA-6648-486F-8898-6417E3C76A1C}"/>
    <cellStyle name="Header1 3 16 2" xfId="7277" xr:uid="{4C0359C2-D061-43A6-9EB5-7A65242383A8}"/>
    <cellStyle name="Header1 3 16 2 2" xfId="13469" xr:uid="{A0B82B60-CE19-4C74-8DF6-646837036C64}"/>
    <cellStyle name="Header1 3 16 2 3" xfId="15060" xr:uid="{EA25EDEC-E64C-47FD-A9F4-F7237944C812}"/>
    <cellStyle name="Header1 3 16 3" xfId="12350" xr:uid="{0DCB7312-8493-400B-B9B9-1F4E357531E1}"/>
    <cellStyle name="Header1 3 16 4" xfId="12493" xr:uid="{275A306C-9175-4285-BE80-78D7F263699A}"/>
    <cellStyle name="Header1 3 17" xfId="3922" xr:uid="{BB15F24A-1D8C-4CD4-85F3-844E4BFE8D2B}"/>
    <cellStyle name="Header1 3 17 2" xfId="7502" xr:uid="{24AAFC12-6969-4B44-9941-7FAE13A1DB27}"/>
    <cellStyle name="Header1 3 17 2 2" xfId="14991" xr:uid="{342539AD-A157-4A3E-B043-164F441965C2}"/>
    <cellStyle name="Header1 3 17 2 3" xfId="13242" xr:uid="{41267A03-F257-4BB5-9E8D-E2F92640B755}"/>
    <cellStyle name="Header1 3 17 3" xfId="13741" xr:uid="{51F695C4-7805-4E3A-A0AF-EF52D8F9812F}"/>
    <cellStyle name="Header1 3 17 4" xfId="13496" xr:uid="{3939AC8F-085D-4A4C-AC4B-23EFACFA8FD9}"/>
    <cellStyle name="Header1 3 18" xfId="3940" xr:uid="{DF5C75A6-E81A-4670-AA6D-B1C653BF7595}"/>
    <cellStyle name="Header1 3 18 2" xfId="7520" xr:uid="{E8BADB2F-139B-4190-ADAF-472020A3A815}"/>
    <cellStyle name="Header1 3 18 2 2" xfId="13858" xr:uid="{69B2114B-2F09-48E0-AA3C-C4ADC89FF2F4}"/>
    <cellStyle name="Header1 3 18 2 3" xfId="13786" xr:uid="{43349B15-5657-40DD-A449-24A90F116318}"/>
    <cellStyle name="Header1 3 18 3" xfId="13084" xr:uid="{773BB474-EE72-4B78-B56B-A6762194845B}"/>
    <cellStyle name="Header1 3 18 4" xfId="15807" xr:uid="{2129F1ED-2B07-4456-B51D-E19763DD26C9}"/>
    <cellStyle name="Header1 3 19" xfId="3913" xr:uid="{DAF12CD1-A7DF-4F83-9515-436400163F09}"/>
    <cellStyle name="Header1 3 19 2" xfId="7493" xr:uid="{BA74EDC7-5663-47DF-936D-35CD02E8B8E7}"/>
    <cellStyle name="Header1 3 19 2 2" xfId="14755" xr:uid="{8DB294C0-2D48-408F-B6C0-C4AA3031EFCB}"/>
    <cellStyle name="Header1 3 19 2 3" xfId="13098" xr:uid="{2AACA043-3A94-477D-A19B-C31716EFF0A7}"/>
    <cellStyle name="Header1 3 19 3" xfId="14039" xr:uid="{96E35F3F-29B1-48C3-BA80-CDFC0A91BB4F}"/>
    <cellStyle name="Header1 3 19 4" xfId="13991" xr:uid="{79D9ABF1-7954-4C56-A650-0F3B32B3C9F3}"/>
    <cellStyle name="Header1 3 2" xfId="3404" xr:uid="{F67F19DC-40A8-4B22-B3F3-C2CCEF49B668}"/>
    <cellStyle name="Header1 3 2 10" xfId="14781" xr:uid="{54FD9BB0-914C-4079-A6AE-A60B82110E3B}"/>
    <cellStyle name="Header1 3 2 11" xfId="11936" xr:uid="{0A535585-BCC3-416E-B2C1-4DC27FD170C6}"/>
    <cellStyle name="Header1 3 2 2" xfId="5092" xr:uid="{C71CDF03-7A0B-4C4E-A991-DA1D264535EC}"/>
    <cellStyle name="Header1 3 2 2 2" xfId="15052" xr:uid="{9A39BEB2-4975-4ED2-B0F3-E35983BC5560}"/>
    <cellStyle name="Header1 3 2 2 3" xfId="13266" xr:uid="{977998F7-54A7-4C91-A084-7F87F81C4A20}"/>
    <cellStyle name="Header1 3 2 3" xfId="5188" xr:uid="{85A4209E-717E-4445-A2D7-7DCD50B8D4BE}"/>
    <cellStyle name="Header1 3 2 3 2" xfId="12628" xr:uid="{E68F775C-0F85-4F26-A933-6B5CE144703F}"/>
    <cellStyle name="Header1 3 2 3 3" xfId="15051" xr:uid="{E2FEE401-9712-4259-A7EE-32913301D9C3}"/>
    <cellStyle name="Header1 3 2 4" xfId="5032" xr:uid="{1A2701FA-4431-4778-B96D-0C25D1608F54}"/>
    <cellStyle name="Header1 3 2 4 2" xfId="12470" xr:uid="{F764C8DE-94AC-4323-AE5A-31A5287D08F6}"/>
    <cellStyle name="Header1 3 2 4 3" xfId="12639" xr:uid="{B6705651-5C14-44C0-91AC-8C5A1531B2D7}"/>
    <cellStyle name="Header1 3 2 5" xfId="4949" xr:uid="{DDBA39CB-2180-4FD0-8A64-596F33C5D7DF}"/>
    <cellStyle name="Header1 3 2 5 2" xfId="16037" xr:uid="{C9AC90E4-9823-4BD7-8B84-74E491E122E7}"/>
    <cellStyle name="Header1 3 2 5 3" xfId="11499" xr:uid="{AC06737A-4E4D-416D-92DF-FCA34ED590F0}"/>
    <cellStyle name="Header1 3 2 6" xfId="5001" xr:uid="{844500C6-A35E-4263-B6BF-8D3DAAC84A42}"/>
    <cellStyle name="Header1 3 2 6 2" xfId="13040" xr:uid="{D21D1921-6B0A-42AF-B829-3D798887501F}"/>
    <cellStyle name="Header1 3 2 6 3" xfId="14438" xr:uid="{E3F401C7-088B-46D2-9ED4-DF236EDE3E27}"/>
    <cellStyle name="Header1 3 2 7" xfId="4957" xr:uid="{7F355782-A023-479B-80BB-67AC2AA160EC}"/>
    <cellStyle name="Header1 3 2 7 2" xfId="14520" xr:uid="{EC6412DF-5554-4DD3-BE70-2B8138217C43}"/>
    <cellStyle name="Header1 3 2 7 3" xfId="14275" xr:uid="{D6DFA011-474A-472F-B20F-C2E668F7E633}"/>
    <cellStyle name="Header1 3 2 8" xfId="4978" xr:uid="{0E940CCB-09F4-4869-95D0-97DACD3BB37A}"/>
    <cellStyle name="Header1 3 2 8 2" xfId="16253" xr:uid="{C7C3C4AC-70EE-46C8-B3BC-D41B366C54BB}"/>
    <cellStyle name="Header1 3 2 8 3" xfId="17049" xr:uid="{5439232E-B785-4BCA-969F-81E7185C4AAF}"/>
    <cellStyle name="Header1 3 2 9" xfId="5243" xr:uid="{23EE1A59-3FA7-465C-927E-00E6AF5771FD}"/>
    <cellStyle name="Header1 3 2 9 2" xfId="15822" xr:uid="{2299844F-E231-42C7-ACB9-C7078AA8BB8B}"/>
    <cellStyle name="Header1 3 2 9 3" xfId="11709" xr:uid="{41A0B049-8F53-4C25-AF7F-85FF7311D049}"/>
    <cellStyle name="Header1 3 20" xfId="3949" xr:uid="{19154E6F-DEB1-4EEB-AD90-39D026763A08}"/>
    <cellStyle name="Header1 3 20 2" xfId="7529" xr:uid="{6F15C43C-94BD-4BB3-BA1C-FA68810A3048}"/>
    <cellStyle name="Header1 3 20 2 2" xfId="15004" xr:uid="{E56B4D1E-9608-4BDA-832B-826834AB44F9}"/>
    <cellStyle name="Header1 3 20 2 3" xfId="14983" xr:uid="{8D369F9E-F8D5-4110-A7DE-F035C64EEEAC}"/>
    <cellStyle name="Header1 3 20 3" xfId="16295" xr:uid="{1B4B30DB-24DC-43DF-B46F-A059D281EA73}"/>
    <cellStyle name="Header1 3 20 4" xfId="11239" xr:uid="{00930297-9DC8-465A-8654-66F06A3D3F87}"/>
    <cellStyle name="Header1 3 21" xfId="3917" xr:uid="{E78C0326-57DF-4622-9888-EF66B480B27B}"/>
    <cellStyle name="Header1 3 21 2" xfId="7497" xr:uid="{F8832898-EDFE-476A-AC9D-1D64743B8599}"/>
    <cellStyle name="Header1 3 21 2 2" xfId="11929" xr:uid="{D98A5C4B-A5EC-48AD-B1F6-93797A36175A}"/>
    <cellStyle name="Header1 3 21 2 3" xfId="12709" xr:uid="{9445EB9C-8F23-4CED-921D-D0EAACBBC00B}"/>
    <cellStyle name="Header1 3 21 3" xfId="16434" xr:uid="{0D6D538D-FAC8-440C-A187-9D42B55A3664}"/>
    <cellStyle name="Header1 3 21 4" xfId="11118" xr:uid="{D317E998-D620-4A90-B028-968525C37551}"/>
    <cellStyle name="Header1 3 22" xfId="3936" xr:uid="{CCDA2D42-1047-4DA1-8B0E-97CA6BB58741}"/>
    <cellStyle name="Header1 3 22 2" xfId="7516" xr:uid="{4BD7D273-DC5C-47FC-837A-8454A98C507C}"/>
    <cellStyle name="Header1 3 22 2 2" xfId="13880" xr:uid="{A56CA9F5-E302-4C7F-97F1-E2EF3E5DBB25}"/>
    <cellStyle name="Header1 3 22 2 3" xfId="11800" xr:uid="{44EB0634-A95F-4565-ADBC-2A21EE1CBD00}"/>
    <cellStyle name="Header1 3 22 3" xfId="13663" xr:uid="{4F3893CD-9478-4ECA-917E-EE37F1731202}"/>
    <cellStyle name="Header1 3 22 4" xfId="15485" xr:uid="{B9D35481-0699-438F-BF74-E5D0F3EE34AC}"/>
    <cellStyle name="Header1 3 23" xfId="3076" xr:uid="{C0003BFE-DC3F-4399-9640-91A97E5A1AB8}"/>
    <cellStyle name="Header1 3 23 2" xfId="16513" xr:uid="{78F0350B-DC8E-42CE-A28B-9F4A2F211F50}"/>
    <cellStyle name="Header1 3 23 3" xfId="11047" xr:uid="{351A1F50-AE0F-470B-B621-1D465F3F28FB}"/>
    <cellStyle name="Header1 3 24" xfId="10341" xr:uid="{B649E317-643B-4C53-9659-55943593DD9B}"/>
    <cellStyle name="Header1 3 24 2" xfId="17315" xr:uid="{6AC0715B-3664-4B1F-8A73-A3CFB0FA3A67}"/>
    <cellStyle name="Header1 3 24 3" xfId="17502" xr:uid="{9B9C3C33-A41F-44F2-91E5-5631144E09DF}"/>
    <cellStyle name="Header1 3 25" xfId="17647" xr:uid="{9E0B9255-75F9-458C-8309-4186BBCE3A01}"/>
    <cellStyle name="Header1 3 3" xfId="3372" xr:uid="{6F593684-B2BA-4A2F-A663-FC7F07EC191D}"/>
    <cellStyle name="Header1 3 3 10" xfId="15993" xr:uid="{80F0097D-456C-4E48-BE51-88E2EAD6DF31}"/>
    <cellStyle name="Header1 3 3 2" xfId="5083" xr:uid="{F6384A6E-011B-463E-B696-0ABCE1FC6781}"/>
    <cellStyle name="Header1 3 3 2 2" xfId="14031" xr:uid="{6BD99C63-767F-40C8-93B5-F474475C9501}"/>
    <cellStyle name="Header1 3 3 2 3" xfId="14743" xr:uid="{F9B2D9CE-BDB7-4F2D-A28A-45D9C52451B7}"/>
    <cellStyle name="Header1 3 3 3" xfId="5180" xr:uid="{18E95C20-34BA-40F1-8767-FEA94FB2F2AD}"/>
    <cellStyle name="Header1 3 3 3 2" xfId="12529" xr:uid="{E3F55ACB-4293-44F3-BCA1-2B0A6D0203C8}"/>
    <cellStyle name="Header1 3 3 3 3" xfId="15218" xr:uid="{0D05654C-BC86-47C6-8B97-094026D059FD}"/>
    <cellStyle name="Header1 3 3 4" xfId="5062" xr:uid="{0F581B0F-E29A-4CBB-8233-3115F56E6B67}"/>
    <cellStyle name="Header1 3 3 4 2" xfId="14552" xr:uid="{04059DA8-F9CC-4E34-86BA-6955CF7603D7}"/>
    <cellStyle name="Header1 3 3 4 3" xfId="12461" xr:uid="{2D317623-4E44-4EF2-9645-B44E5A3AF4EA}"/>
    <cellStyle name="Header1 3 3 5" xfId="5024" xr:uid="{45EB2529-4040-4053-B315-D5BB0E7CC6AA}"/>
    <cellStyle name="Header1 3 3 5 2" xfId="12460" xr:uid="{2A60350E-293A-4A12-8570-311DE05B4C83}"/>
    <cellStyle name="Header1 3 3 5 3" xfId="12611" xr:uid="{2F6D904C-DE16-4610-A61C-3CE337936FA8}"/>
    <cellStyle name="Header1 3 3 6" xfId="5226" xr:uid="{CB1D2748-1868-4E2D-A047-EF8E81D959C1}"/>
    <cellStyle name="Header1 3 3 6 2" xfId="14773" xr:uid="{9711B2EE-E2DA-499D-9AE5-1856D3BC5238}"/>
    <cellStyle name="Header1 3 3 6 3" xfId="12419" xr:uid="{55654955-9422-48E6-993E-1C68AAB539B2}"/>
    <cellStyle name="Header1 3 3 7" xfId="5020" xr:uid="{83D72DCE-5872-4751-A8CD-55A614EF65B0}"/>
    <cellStyle name="Header1 3 3 7 2" xfId="15183" xr:uid="{5C591CFD-FE56-4322-A7F8-3BCC805DB768}"/>
    <cellStyle name="Header1 3 3 7 3" xfId="12297" xr:uid="{6D01C1BF-CFCB-41FA-8147-A29DAB41C58B}"/>
    <cellStyle name="Header1 3 3 8" xfId="5227" xr:uid="{EE59F877-BFF0-47AD-B9DD-991BA61A6680}"/>
    <cellStyle name="Header1 3 3 8 2" xfId="15812" xr:uid="{900B1AF0-45B2-4997-A6EB-25A69087E027}"/>
    <cellStyle name="Header1 3 3 8 3" xfId="11720" xr:uid="{3F75F282-2B89-4762-A5D3-716BBDBA55C4}"/>
    <cellStyle name="Header1 3 3 9" xfId="14858" xr:uid="{CF8846C0-02F1-470F-B22B-3B10A13EDC66}"/>
    <cellStyle name="Header1 3 4" xfId="3412" xr:uid="{377F20C6-6A32-41C9-83D8-EEACEE9B2D71}"/>
    <cellStyle name="Header1 3 4 2" xfId="7054" xr:uid="{AEE4C2E4-5490-4BD3-881E-7A12F65EA62A}"/>
    <cellStyle name="Header1 3 4 2 2" xfId="13335" xr:uid="{59D91377-CCD0-495D-8A13-66594B38F30D}"/>
    <cellStyle name="Header1 3 4 2 3" xfId="11950" xr:uid="{C178F168-EC77-4A81-80E6-D79B5FE0BDA8}"/>
    <cellStyle name="Header1 3 4 3" xfId="14702" xr:uid="{92307EB0-9DF5-41C6-A588-98825EA4757C}"/>
    <cellStyle name="Header1 3 4 4" xfId="17112" xr:uid="{1CC982FD-F435-48B8-82C0-A49AF5C72907}"/>
    <cellStyle name="Header1 3 5" xfId="3362" xr:uid="{1F060FE2-313D-459B-A37A-F257123DCAA0}"/>
    <cellStyle name="Header1 3 5 2" xfId="7012" xr:uid="{A7E8D64E-40E2-4F93-90BD-5DF82225F932}"/>
    <cellStyle name="Header1 3 5 2 2" xfId="14277" xr:uid="{72111AEF-1C05-4D7A-94BF-11F47B8E576A}"/>
    <cellStyle name="Header1 3 5 2 3" xfId="15599" xr:uid="{0893B008-BB37-4069-B1F5-DA3FC4B137F3}"/>
    <cellStyle name="Header1 3 5 3" xfId="15327" xr:uid="{D6CE55F6-D8E4-4CB2-9182-F66482433BDF}"/>
    <cellStyle name="Header1 3 5 4" xfId="13860" xr:uid="{F85D8E58-4942-40B0-BD15-ECEF715806D3}"/>
    <cellStyle name="Header1 3 6" xfId="3391" xr:uid="{70FEA355-E679-4DEB-ABC6-CE9E7E84A4A7}"/>
    <cellStyle name="Header1 3 6 2" xfId="7037" xr:uid="{17E06BB3-AED0-40FC-8D3F-147C734E5A38}"/>
    <cellStyle name="Header1 3 6 2 2" xfId="15010" xr:uid="{F3C53814-266D-4A2C-8327-AB3052CC54E3}"/>
    <cellStyle name="Header1 3 6 2 3" xfId="14183" xr:uid="{E1E6676D-0568-4357-9BF8-F84E8A7DA8D6}"/>
    <cellStyle name="Header1 3 6 3" xfId="13007" xr:uid="{A53A0E02-A0BE-444D-9737-8060E94B9340}"/>
    <cellStyle name="Header1 3 6 4" xfId="14079" xr:uid="{8CE558B5-E42A-42C5-8430-C479C2A530D1}"/>
    <cellStyle name="Header1 3 7" xfId="3384" xr:uid="{A5597327-5AE0-48F0-BEB9-7D4B748ACF30}"/>
    <cellStyle name="Header1 3 7 2" xfId="7030" xr:uid="{2CE1BF8B-57DE-45ED-854C-308EF2732B74}"/>
    <cellStyle name="Header1 3 7 2 2" xfId="13320" xr:uid="{3361CEB5-401B-467A-8637-2FC15D815B24}"/>
    <cellStyle name="Header1 3 7 2 3" xfId="12405" xr:uid="{FFB425CD-977C-40A7-9A15-3885AA2111D8}"/>
    <cellStyle name="Header1 3 7 3" xfId="16228" xr:uid="{202E28C0-99DF-4B15-8702-41DE14EBBF34}"/>
    <cellStyle name="Header1 3 7 4" xfId="11293" xr:uid="{0FD1B3CD-A61C-4627-BF42-93028971719C}"/>
    <cellStyle name="Header1 3 8" xfId="3381" xr:uid="{A4D66C42-F6B9-47F7-A27D-B7CD49877BA9}"/>
    <cellStyle name="Header1 3 8 2" xfId="7027" xr:uid="{E3262938-2E6D-4D9D-8A51-FF7CC6F87AEF}"/>
    <cellStyle name="Header1 3 8 2 2" xfId="15991" xr:uid="{1D2E8BB0-9BAD-471A-B002-5BA4DE7C197D}"/>
    <cellStyle name="Header1 3 8 2 3" xfId="16057" xr:uid="{1E4828A6-E42F-4D0B-A228-FAC6C4A8E2B1}"/>
    <cellStyle name="Header1 3 8 3" xfId="15856" xr:uid="{DE901073-F78B-4114-9DC2-C28C22398E9E}"/>
    <cellStyle name="Header1 3 8 4" xfId="11663" xr:uid="{00D52C6D-6AEB-431E-94A4-25D572A16348}"/>
    <cellStyle name="Header1 3 9" xfId="3617" xr:uid="{6BA2D71E-2E82-4099-9296-62672E0E31B7}"/>
    <cellStyle name="Header1 3 9 2" xfId="7252" xr:uid="{81C82052-A707-436B-AC45-8CEBAB6CEA81}"/>
    <cellStyle name="Header1 3 9 2 2" xfId="15151" xr:uid="{11E661BF-BBD8-4C0D-8CB4-7D1DA0C13D1F}"/>
    <cellStyle name="Header1 3 9 2 3" xfId="12862" xr:uid="{B418A817-FE3D-4F8D-B61E-1957071B38CB}"/>
    <cellStyle name="Header1 3 9 3" xfId="15829" xr:uid="{123ACEBD-0248-4188-9B91-8583266429D7}"/>
    <cellStyle name="Header1 3 9 4" xfId="11700" xr:uid="{E780DDCE-BFD2-4C5E-B9FD-F159A26269D8}"/>
    <cellStyle name="Header1 4" xfId="3401" xr:uid="{B389B140-44D5-4C9A-A6BB-A98EC990C256}"/>
    <cellStyle name="Header1 4 10" xfId="14186" xr:uid="{46E26946-D6F0-48C9-89BF-2826C28C87BD}"/>
    <cellStyle name="Header1 4 11" xfId="14718" xr:uid="{CB384642-6765-4EE7-9D4B-6A84B13763E1}"/>
    <cellStyle name="Header1 4 2" xfId="5089" xr:uid="{8C6126CA-CB87-4F6E-B7BC-247F5F0F0D91}"/>
    <cellStyle name="Header1 4 2 2" xfId="12744" xr:uid="{31C49FE6-86D2-4F8F-B153-CDF5719DDCE8}"/>
    <cellStyle name="Header1 4 2 3" xfId="13300" xr:uid="{3A644184-C33A-4DA3-BF40-3FA197FB76F2}"/>
    <cellStyle name="Header1 4 3" xfId="5185" xr:uid="{657CFA82-CC3F-4D07-A3A0-94785E28BE5E}"/>
    <cellStyle name="Header1 4 3 2" xfId="13648" xr:uid="{190AA5F4-786C-456B-A958-772B4BE6761C}"/>
    <cellStyle name="Header1 4 3 3" xfId="14959" xr:uid="{020C2E93-17DF-4AA7-844A-D661DE982C60}"/>
    <cellStyle name="Header1 4 4" xfId="5029" xr:uid="{F61769F3-9DF9-4D86-BFEF-418793693309}"/>
    <cellStyle name="Header1 4 4 2" xfId="13550" xr:uid="{CD0D4166-65F0-428D-8321-52C09EDDB182}"/>
    <cellStyle name="Header1 4 4 3" xfId="14861" xr:uid="{E99E14F0-C6C7-4144-9A5E-2EFD042E2B3D}"/>
    <cellStyle name="Header1 4 5" xfId="4952" xr:uid="{96C61106-3071-45BA-9CF1-695B3DD691B8}"/>
    <cellStyle name="Header1 4 5 2" xfId="13361" xr:uid="{8E4A34E0-DD4C-4631-BF14-DF423902FCCD}"/>
    <cellStyle name="Header1 4 5 3" xfId="15706" xr:uid="{BF103327-EA02-4988-B026-7ABD07F69B7C}"/>
    <cellStyle name="Header1 4 6" xfId="4998" xr:uid="{DCA691E1-1E63-4A45-AEAA-23CAC36C9131}"/>
    <cellStyle name="Header1 4 6 2" xfId="14870" xr:uid="{7C3DF538-6052-42DC-9747-3F122EC9A5AD}"/>
    <cellStyle name="Header1 4 6 3" xfId="16022" xr:uid="{1DCD3F72-4971-4B34-9D74-B2B82903EBFC}"/>
    <cellStyle name="Header1 4 7" xfId="5215" xr:uid="{027CA403-EED1-4541-9838-AA0C564DF531}"/>
    <cellStyle name="Header1 4 7 2" xfId="14169" xr:uid="{AF4F7353-35A6-4881-BC4E-D8486DBF832F}"/>
    <cellStyle name="Header1 4 7 3" xfId="11970" xr:uid="{A36018D5-C472-4AD3-8F1A-8A69312F65C6}"/>
    <cellStyle name="Header1 4 8" xfId="4976" xr:uid="{DF72B5E6-CA12-457D-B1F0-2BCEE6BEC997}"/>
    <cellStyle name="Header1 4 8 2" xfId="12600" xr:uid="{C244C7CC-5487-422C-813E-A4A51DBDA6D7}"/>
    <cellStyle name="Header1 4 8 3" xfId="12002" xr:uid="{D134F36A-009B-4FE6-9DD2-30FB88C68B76}"/>
    <cellStyle name="Header1 4 9" xfId="4960" xr:uid="{E5308A98-9A83-49A0-8ED1-8C28F43B849F}"/>
    <cellStyle name="Header1 4 9 2" xfId="12224" xr:uid="{84D4AFCB-1F88-442E-8966-ED55E4EB8F10}"/>
    <cellStyle name="Header1 4 9 3" xfId="13493" xr:uid="{73789CDB-F4D0-4C30-9885-BC9773A0843B}"/>
    <cellStyle name="Header1 5" xfId="3375" xr:uid="{57421C55-94A0-471B-9D30-0C545E003409}"/>
    <cellStyle name="Header1 5 10" xfId="13175" xr:uid="{F1B44BC4-4A90-4AB9-88E0-AABED7CF7792}"/>
    <cellStyle name="Header1 5 2" xfId="5086" xr:uid="{35353A39-569A-41F3-910B-89FCD865A84A}"/>
    <cellStyle name="Header1 5 2 2" xfId="14622" xr:uid="{8181BB3F-A266-4516-A532-9A16527CA206}"/>
    <cellStyle name="Header1 5 2 3" xfId="16701" xr:uid="{02EE7892-563F-4A18-B106-AE7785488FA8}"/>
    <cellStyle name="Header1 5 3" xfId="5183" xr:uid="{6702C00A-9E22-454B-931C-99133B2561CE}"/>
    <cellStyle name="Header1 5 3 2" xfId="14296" xr:uid="{BB665F8A-6F83-4ECB-AD19-278AFB9D3CF0}"/>
    <cellStyle name="Header1 5 3 3" xfId="14758" xr:uid="{FA4FAFD8-88FA-4CB2-B073-4824AF1240A2}"/>
    <cellStyle name="Header1 5 4" xfId="5064" xr:uid="{DB57EBA1-60AD-483A-9395-3533CE020830}"/>
    <cellStyle name="Header1 5 4 2" xfId="12258" xr:uid="{7956D874-51A6-46BD-9060-EB01A90BC428}"/>
    <cellStyle name="Header1 5 4 3" xfId="14070" xr:uid="{253981B7-C184-4DA9-9136-E6091258FF13}"/>
    <cellStyle name="Header1 5 5" xfId="4996" xr:uid="{F2B84CF6-727F-4585-9E9B-D8241054A37E}"/>
    <cellStyle name="Header1 5 5 2" xfId="15280" xr:uid="{C75B89EE-4C5A-49FB-9080-C535DBE134D5}"/>
    <cellStyle name="Header1 5 5 3" xfId="15164" xr:uid="{D133B129-1C0B-4D24-9425-220948ED466B}"/>
    <cellStyle name="Header1 5 6" xfId="5237" xr:uid="{28794A3C-433F-46BA-988B-757B496500B0}"/>
    <cellStyle name="Header1 5 6 2" xfId="12834" xr:uid="{55581185-5762-4CE6-B8AB-5A1E1F8F9E34}"/>
    <cellStyle name="Header1 5 6 3" xfId="12480" xr:uid="{304424D1-2144-4168-AFEF-40EF82472F86}"/>
    <cellStyle name="Header1 5 7" xfId="4942" xr:uid="{AE8B8452-1C3F-4D49-B1E1-87F22AFA2573}"/>
    <cellStyle name="Header1 5 7 2" xfId="14532" xr:uid="{B46C8588-54CA-4F8E-BE9B-688F9172BBDF}"/>
    <cellStyle name="Header1 5 7 3" xfId="14689" xr:uid="{92AA7669-D6E7-4680-B094-572D85064724}"/>
    <cellStyle name="Header1 5 8" xfId="4937" xr:uid="{80E101D8-A96B-43C4-81CD-AFF37E8BD605}"/>
    <cellStyle name="Header1 5 8 2" xfId="15514" xr:uid="{BBC00F5B-201D-46F1-825C-76070B6F94CF}"/>
    <cellStyle name="Header1 5 8 3" xfId="12209" xr:uid="{235007C1-8B49-4C4A-A117-EB2EFF48619C}"/>
    <cellStyle name="Header1 5 9" xfId="13035" xr:uid="{7F7FAC84-2732-4048-A14E-B9563342FF3D}"/>
    <cellStyle name="Header1 6" xfId="3409" xr:uid="{4306DDC0-DC4D-463C-8CE0-250E4DEE31AE}"/>
    <cellStyle name="Header1 6 2" xfId="7051" xr:uid="{58F73A31-1FF5-40ED-897B-91777F696174}"/>
    <cellStyle name="Header1 6 2 2" xfId="16010" xr:uid="{97E0B4B9-D2B1-4D9A-A9FC-F0E6F34231DE}"/>
    <cellStyle name="Header1 6 2 3" xfId="14553" xr:uid="{6AB7C180-EBFD-443F-ADCF-359B15EC2469}"/>
    <cellStyle name="Header1 6 3" xfId="14112" xr:uid="{0D2DC671-BD35-4C78-B050-713FA7C819F7}"/>
    <cellStyle name="Header1 6 4" xfId="12906" xr:uid="{191366EC-A807-4024-BED0-38D4F232ECDF}"/>
    <cellStyle name="Header1 7" xfId="3366" xr:uid="{D23BDC2A-260C-46F8-8A8F-68175F565881}"/>
    <cellStyle name="Header1 7 2" xfId="7016" xr:uid="{1769CC58-DF0B-4AC3-BB57-2999A2547417}"/>
    <cellStyle name="Header1 7 2 2" xfId="15905" xr:uid="{D12EB0F1-9972-42C2-A02B-FCA7249B14FD}"/>
    <cellStyle name="Header1 7 2 3" xfId="16013" xr:uid="{2B47A71E-999E-45B4-98EB-9BD79CD1C22F}"/>
    <cellStyle name="Header1 7 3" xfId="12636" xr:uid="{02B737D7-F086-4780-BB0F-C1B668DA7A07}"/>
    <cellStyle name="Header1 7 4" xfId="16399" xr:uid="{00DA1564-F703-45EA-A2B6-9A8F1A5715C7}"/>
    <cellStyle name="Header1 8" xfId="3388" xr:uid="{C9855C32-9A4A-4E5F-92C7-2E1F6865A1A1}"/>
    <cellStyle name="Header1 8 2" xfId="7034" xr:uid="{CFB76BBC-84D9-4F01-8CD8-CDD28BFD5937}"/>
    <cellStyle name="Header1 8 2 2" xfId="12686" xr:uid="{717B5D4C-E385-47E8-9B3D-2DDDF8F32888}"/>
    <cellStyle name="Header1 8 2 3" xfId="11520" xr:uid="{1093FD8D-8858-4BE3-ABF9-85CEF24B0566}"/>
    <cellStyle name="Header1 8 3" xfId="14831" xr:uid="{81A46A12-D5C4-452B-8120-C741AB9DEE08}"/>
    <cellStyle name="Header1 8 4" xfId="16443" xr:uid="{69D7E360-C304-4722-A3F0-713B6F1E07F5}"/>
    <cellStyle name="Header1 9" xfId="3382" xr:uid="{5D869DF0-17C4-40F7-BA97-C08E3BB4F4E1}"/>
    <cellStyle name="Header1 9 2" xfId="7028" xr:uid="{07B4947A-A503-442A-99F0-51C37C9254E5}"/>
    <cellStyle name="Header1 9 2 2" xfId="13994" xr:uid="{0BCC5F2E-8467-40E4-8D7A-BEBE76A2213C}"/>
    <cellStyle name="Header1 9 2 3" xfId="12547" xr:uid="{79ACA5EE-5B14-4844-948B-0FCCE629F66E}"/>
    <cellStyle name="Header1 9 3" xfId="12518" xr:uid="{272ACF27-946C-4492-AA47-8195AF78473E}"/>
    <cellStyle name="Header1 9 4" xfId="12017" xr:uid="{08F33D25-C226-42CC-8F86-C8C5649043A0}"/>
    <cellStyle name="Header1_АГМ" xfId="2208" xr:uid="{37AA222C-0442-46AA-AA0A-704613F18B93}"/>
    <cellStyle name="Header2" xfId="2209" xr:uid="{3A6F7048-466C-42A7-BD23-B8204FCDA540}"/>
    <cellStyle name="Header2 1" xfId="2210" xr:uid="{B92BB497-AB60-4643-88BA-8DF76A39A4F3}"/>
    <cellStyle name="Header2 1 10" xfId="3673" xr:uid="{AA90F6C5-F1F3-407A-B273-1C04EF75CB3A}"/>
    <cellStyle name="Header2 1 10 2" xfId="2989" xr:uid="{4B68D386-6E15-44AA-9253-4B58CB1B644C}"/>
    <cellStyle name="Header2 1 10 2 2" xfId="8285" xr:uid="{403C209E-44E5-4EF1-993D-4BC524DCE332}"/>
    <cellStyle name="Header2 1 10 2 2 2" xfId="12793" xr:uid="{CC5C28F7-0E5E-4C4E-86EC-70C1F370F8E3}"/>
    <cellStyle name="Header2 1 10 2 2 2 2" xfId="29368" xr:uid="{0B077177-83E5-4C36-837C-2A3DC385D002}"/>
    <cellStyle name="Header2 1 10 2 2 2 3" xfId="42648" xr:uid="{5E62A920-B30E-4733-B717-BB53F803DBB1}"/>
    <cellStyle name="Header2 1 10 2 2 3" xfId="25791" xr:uid="{121C075F-A11F-4A8D-87DA-5B130E5EE3F2}"/>
    <cellStyle name="Header2 1 10 2 2 4" xfId="38867" xr:uid="{A3ABCFE8-6676-405F-B615-2CE7E332CA3D}"/>
    <cellStyle name="Header2 1 10 2 3" xfId="6652" xr:uid="{212C9B88-8B99-4039-9090-CA678AC2B741}"/>
    <cellStyle name="Header2 1 10 2 3 2" xfId="15478" xr:uid="{A7B7ED6B-DEB1-49E3-879E-EBD7E83AD0F9}"/>
    <cellStyle name="Header2 1 10 2 3 2 2" xfId="31620" xr:uid="{031A85E4-FA54-45F6-8688-36639C7674D7}"/>
    <cellStyle name="Header2 1 10 2 3 2 3" xfId="45117" xr:uid="{7064C16A-0637-4209-BC87-E4973DAC6805}"/>
    <cellStyle name="Header2 1 10 2 3 3" xfId="24282" xr:uid="{109B8128-6A73-43A2-AE78-D461CA832801}"/>
    <cellStyle name="Header2 1 10 2 3 4" xfId="37363" xr:uid="{00FE95F4-5417-46E9-BA26-040C319473A1}"/>
    <cellStyle name="Header2 1 10 2 4" xfId="12733" xr:uid="{631EBECF-B651-440E-BA95-250B83DDA72D}"/>
    <cellStyle name="Header2 1 10 2 4 2" xfId="29314" xr:uid="{6FD3508A-9BD6-426C-8E6D-F99289F5386E}"/>
    <cellStyle name="Header2 1 10 2 4 3" xfId="42591" xr:uid="{74430360-9868-4B70-90EC-2AA9CFD56737}"/>
    <cellStyle name="Header2 1 10 2 5" xfId="21034" xr:uid="{51514089-1958-4383-B018-B513CDD0A92E}"/>
    <cellStyle name="Header2 1 10 2 6" xfId="34057" xr:uid="{7CB74B52-2626-4BDF-BD49-E4EE217D2011}"/>
    <cellStyle name="Header2 1 10 3" xfId="4610" xr:uid="{BE7303F7-7528-4B73-9038-7C0FB1D55B4A}"/>
    <cellStyle name="Header2 1 10 3 2" xfId="7308" xr:uid="{FF83830F-DF93-46C2-A4B8-7384AD60CC2E}"/>
    <cellStyle name="Header2 1 10 3 2 2" xfId="15733" xr:uid="{4F16847C-188C-466B-8EB5-78CF6B2BAE05}"/>
    <cellStyle name="Header2 1 10 3 2 2 2" xfId="31842" xr:uid="{DD2921AD-F9BF-43A9-80A4-3D746B04C092}"/>
    <cellStyle name="Header2 1 10 3 2 2 3" xfId="45352" xr:uid="{6D6221DA-7147-4F11-AAE0-1954C28774E8}"/>
    <cellStyle name="Header2 1 10 3 2 3" xfId="24869" xr:uid="{CAA56E43-31A8-4EE0-A8E4-74BB4C1EBA4D}"/>
    <cellStyle name="Header2 1 10 3 2 4" xfId="37949" xr:uid="{51134A48-334F-4B1E-8079-EBC97B01A600}"/>
    <cellStyle name="Header2 1 10 3 3" xfId="10996" xr:uid="{42EB68CA-8AD4-4319-A97E-02F7E9D3A364}"/>
    <cellStyle name="Header2 1 10 3 3 2" xfId="27803" xr:uid="{CAFA1501-BADD-46CA-A999-BC8FBFE8FC0A}"/>
    <cellStyle name="Header2 1 10 3 3 3" xfId="40976" xr:uid="{4EC06A72-C23F-46F1-B5E4-BEC9CE67871A}"/>
    <cellStyle name="Header2 1 10 3 4" xfId="22423" xr:uid="{5B383ED7-D5B4-4E04-A18E-F48B272DC057}"/>
    <cellStyle name="Header2 1 10 3 5" xfId="35473" xr:uid="{60719EFC-E963-4972-A2CA-A482E44F6FA6}"/>
    <cellStyle name="Header2 1 10 4" xfId="5682" xr:uid="{3AF5FBBC-E910-4251-8DDB-2898F336B518}"/>
    <cellStyle name="Header2 1 10 4 2" xfId="8869" xr:uid="{19F584E3-8A29-43A1-8F17-FAA88B244100}"/>
    <cellStyle name="Header2 1 10 4 2 2" xfId="11190" xr:uid="{3FF8A3E4-4806-434A-9584-A43F7B52BAAF}"/>
    <cellStyle name="Header2 1 10 4 2 2 2" xfId="27984" xr:uid="{FD543199-6910-47A7-9BC1-46D30747C2CD}"/>
    <cellStyle name="Header2 1 10 4 2 2 3" xfId="41166" xr:uid="{90C25D56-AC49-4C22-A594-800B5EB47607}"/>
    <cellStyle name="Header2 1 10 4 2 3" xfId="26357" xr:uid="{40C6B70A-815A-4AAB-9363-C30891C38C39}"/>
    <cellStyle name="Header2 1 10 4 2 4" xfId="39433" xr:uid="{9AF4FE9F-BE82-4258-BB0E-748F128077E0}"/>
    <cellStyle name="Header2 1 10 4 3" xfId="11453" xr:uid="{E894A4EC-044A-4B1B-9860-5002AB364A91}"/>
    <cellStyle name="Header2 1 10 4 3 2" xfId="28218" xr:uid="{FB9C225E-6EC5-4F24-AAFE-092518AA593A}"/>
    <cellStyle name="Header2 1 10 4 3 3" xfId="41412" xr:uid="{343EB45C-B794-4AA7-86ED-7D6D0B00EC00}"/>
    <cellStyle name="Header2 1 10 4 4" xfId="23329" xr:uid="{EE9601A8-C470-47BB-9A61-733D73323AE8}"/>
    <cellStyle name="Header2 1 10 4 5" xfId="36410" xr:uid="{409143EE-D0F6-4F08-BC33-AE4E7528DB02}"/>
    <cellStyle name="Header2 1 10 5" xfId="10592" xr:uid="{2DC8DCE0-6DA7-4870-9E05-02608508F011}"/>
    <cellStyle name="Header2 1 10 5 2" xfId="27451" xr:uid="{E3419D71-2038-49DB-A2A9-3762CB74CE41}"/>
    <cellStyle name="Header2 1 10 5 3" xfId="40573" xr:uid="{09A87414-9554-4E93-B373-9366B0AF3086}"/>
    <cellStyle name="Header2 1 10 6" xfId="21591" xr:uid="{D430EA36-63A4-4A6F-A5EE-BF96AE4E3E7D}"/>
    <cellStyle name="Header2 1 10 7" xfId="34645" xr:uid="{4899DD24-E64D-4181-93BC-35FC6272F9FC}"/>
    <cellStyle name="Header2 1 11" xfId="3612" xr:uid="{7B6C69D4-3218-4CF7-8A53-733C19BC8769}"/>
    <cellStyle name="Header2 1 11 2" xfId="2942" xr:uid="{A1F30647-42B8-48D6-AE73-825DEFAEE4EF}"/>
    <cellStyle name="Header2 1 11 2 2" xfId="8238" xr:uid="{1F504487-0110-446A-8DCA-40254FE3BB98}"/>
    <cellStyle name="Header2 1 11 2 2 2" xfId="16836" xr:uid="{1E58CC9A-345B-4FC3-8416-AD40F9541A40}"/>
    <cellStyle name="Header2 1 11 2 2 2 2" xfId="32714" xr:uid="{E03174CC-34BD-40D4-B84B-B46F0B51171B}"/>
    <cellStyle name="Header2 1 11 2 2 2 3" xfId="46378" xr:uid="{8EC718C2-BCA5-4F17-8E8E-33F74E46E5D8}"/>
    <cellStyle name="Header2 1 11 2 2 3" xfId="25747" xr:uid="{56D3355E-F553-4255-BE2B-9C6CA3840263}"/>
    <cellStyle name="Header2 1 11 2 2 4" xfId="38823" xr:uid="{C6DE9E5E-D657-4BA1-BE57-AEA0E58F7B55}"/>
    <cellStyle name="Header2 1 11 2 3" xfId="6605" xr:uid="{6FFA5446-92ED-4DA2-A416-3151F4A6A9E3}"/>
    <cellStyle name="Header2 1 11 2 3 2" xfId="16698" xr:uid="{BCB7537E-0F9B-408D-809A-7731F39BBB77}"/>
    <cellStyle name="Header2 1 11 2 3 2 2" xfId="32584" xr:uid="{CEBC0FB2-2CD8-4956-AAA2-EA3DDFCFE948}"/>
    <cellStyle name="Header2 1 11 2 3 2 3" xfId="46243" xr:uid="{18E1B356-EB08-4368-A645-F9F51E4AB4D6}"/>
    <cellStyle name="Header2 1 11 2 3 3" xfId="24238" xr:uid="{A11E04C8-B8AA-4902-8075-C1C8B3959CF1}"/>
    <cellStyle name="Header2 1 11 2 3 4" xfId="37319" xr:uid="{0DA6377C-7C81-4459-B35B-A872C64AC1D2}"/>
    <cellStyle name="Header2 1 11 2 4" xfId="16744" xr:uid="{84832652-C626-4D18-8772-934BF82D7F5A}"/>
    <cellStyle name="Header2 1 11 2 4 2" xfId="32626" xr:uid="{F45C65C0-201F-400A-9FC7-9CDDCCC8E045}"/>
    <cellStyle name="Header2 1 11 2 4 3" xfId="46287" xr:uid="{94AA286C-FFDD-4CDB-9D72-70942BB47F03}"/>
    <cellStyle name="Header2 1 11 2 5" xfId="20990" xr:uid="{47CC9757-F5D7-4B97-A78F-F8E6252B92D7}"/>
    <cellStyle name="Header2 1 11 2 6" xfId="34013" xr:uid="{FC2E4D4E-B14F-49B5-838D-EDE66F584574}"/>
    <cellStyle name="Header2 1 11 3" xfId="4681" xr:uid="{FEE03E0F-F918-4365-A0A7-E3860643BCDA}"/>
    <cellStyle name="Header2 1 11 3 2" xfId="7247" xr:uid="{5CB4FA68-5292-4E58-A761-A33AE45896F6}"/>
    <cellStyle name="Header2 1 11 3 2 2" xfId="17174" xr:uid="{E8225804-253E-4D1B-B36C-4E162D0A79E0}"/>
    <cellStyle name="Header2 1 11 3 2 2 2" xfId="32937" xr:uid="{C6DDE8A9-DA5C-4E0F-A895-D07EF6A29ECF}"/>
    <cellStyle name="Header2 1 11 3 2 2 3" xfId="46709" xr:uid="{D4A5A775-53BA-414E-B951-5BF512EEEDCE}"/>
    <cellStyle name="Header2 1 11 3 2 3" xfId="24835" xr:uid="{2FF4C307-96CB-4902-B9EF-24A9E510350D}"/>
    <cellStyle name="Header2 1 11 3 2 4" xfId="37916" xr:uid="{BC342091-0E7E-44BB-A110-59164B819232}"/>
    <cellStyle name="Header2 1 11 3 3" xfId="17069" xr:uid="{DCE9B83E-731E-4CAA-81CD-FC879D6D765E}"/>
    <cellStyle name="Header2 1 11 3 3 2" xfId="32840" xr:uid="{7E25598C-725C-4D08-B202-D186AE5959CD}"/>
    <cellStyle name="Header2 1 11 3 3 3" xfId="46610" xr:uid="{96E597BC-D46C-408F-8E3E-D08D52686744}"/>
    <cellStyle name="Header2 1 11 3 4" xfId="22489" xr:uid="{3D304010-A5A2-43AD-9EB2-FF3095363949}"/>
    <cellStyle name="Header2 1 11 3 5" xfId="35542" xr:uid="{8BE8C05B-DCA7-41BF-B484-BBA521B66969}"/>
    <cellStyle name="Header2 1 11 4" xfId="5649" xr:uid="{BB7D4F4D-04F4-4368-AE4F-FAA62CD8929C}"/>
    <cellStyle name="Header2 1 11 4 2" xfId="8833" xr:uid="{AD62AF52-042A-4B42-B3F5-62D159BCA644}"/>
    <cellStyle name="Header2 1 11 4 2 2" xfId="14474" xr:uid="{B1A65A8F-9E98-4C7D-BE03-B9EE9D5AD906}"/>
    <cellStyle name="Header2 1 11 4 2 2 2" xfId="30798" xr:uid="{6C1B70B2-6B85-4071-B4F0-DAEF9331C03B}"/>
    <cellStyle name="Header2 1 11 4 2 2 3" xfId="44203" xr:uid="{11FA25D0-D0A8-4D57-A5AC-01B00E9DA63B}"/>
    <cellStyle name="Header2 1 11 4 2 3" xfId="26324" xr:uid="{F3667022-D0FE-4B19-BD24-C621AAA81251}"/>
    <cellStyle name="Header2 1 11 4 2 4" xfId="39400" xr:uid="{C384C4F2-9F8F-47C1-8D38-A0A2CC9946A6}"/>
    <cellStyle name="Header2 1 11 4 3" xfId="11905" xr:uid="{56D9AC51-CF1A-4005-84A4-9D82A6A9538E}"/>
    <cellStyle name="Header2 1 11 4 3 2" xfId="28620" xr:uid="{8CB8DA8F-314F-4587-A4C2-0BE3208A3D46}"/>
    <cellStyle name="Header2 1 11 4 3 3" xfId="41836" xr:uid="{525DB38C-E768-413E-8646-999FEAB8A3E7}"/>
    <cellStyle name="Header2 1 11 4 4" xfId="23296" xr:uid="{78572289-D89F-4FD7-81F6-92DA29C437AB}"/>
    <cellStyle name="Header2 1 11 4 5" xfId="36377" xr:uid="{10A76432-A6AD-4F3C-BB4F-5382CE10238F}"/>
    <cellStyle name="Header2 1 11 5" xfId="12392" xr:uid="{619F5AFF-EAC3-41FF-964A-0BFA767B0CA4}"/>
    <cellStyle name="Header2 1 11 5 2" xfId="29057" xr:uid="{12FE4DE7-A99F-4674-AEF9-5899B96DE182}"/>
    <cellStyle name="Header2 1 11 5 3" xfId="42298" xr:uid="{B42ED83A-43FF-49E9-9FB3-411DBA0F3586}"/>
    <cellStyle name="Header2 1 11 6" xfId="21558" xr:uid="{17948FA4-7ABD-4E26-A46E-8F2F7A805AC3}"/>
    <cellStyle name="Header2 1 11 7" xfId="34612" xr:uid="{6D9362B9-EBDF-46DD-B79B-5262082513FC}"/>
    <cellStyle name="Header2 1 12" xfId="3656" xr:uid="{EB6F4CD9-86DF-4229-93CD-C88D66EB4A82}"/>
    <cellStyle name="Header2 1 12 2" xfId="2976" xr:uid="{821ADC8E-E814-4578-BC87-35BF711F5944}"/>
    <cellStyle name="Header2 1 12 2 2" xfId="8272" xr:uid="{650568E0-B86F-4C6F-BC8C-D6D8165235C9}"/>
    <cellStyle name="Header2 1 12 2 2 2" xfId="16616" xr:uid="{1D44EFA8-FDA1-4A2D-A517-CE0F844DC4FF}"/>
    <cellStyle name="Header2 1 12 2 2 2 2" xfId="32524" xr:uid="{59662ADE-CB96-40DC-B273-982E1AE88085}"/>
    <cellStyle name="Header2 1 12 2 2 2 3" xfId="46163" xr:uid="{820DF61E-8512-48ED-8C58-FD96ACCE2DD2}"/>
    <cellStyle name="Header2 1 12 2 2 3" xfId="25780" xr:uid="{1C424183-A513-4585-ACE1-A716197D965E}"/>
    <cellStyle name="Header2 1 12 2 2 4" xfId="38856" xr:uid="{0E783EA2-7E3A-42D1-82A8-B0BDE3498A04}"/>
    <cellStyle name="Header2 1 12 2 3" xfId="6639" xr:uid="{6DF930C7-E1EF-41AB-BEB2-3A1036C68431}"/>
    <cellStyle name="Header2 1 12 2 3 2" xfId="14245" xr:uid="{DED4196B-A967-46A0-8FB8-F1702C131DAB}"/>
    <cellStyle name="Header2 1 12 2 3 2 2" xfId="30590" xr:uid="{25BB2322-2DAB-4F78-9787-427F354A27F0}"/>
    <cellStyle name="Header2 1 12 2 3 2 3" xfId="43982" xr:uid="{CD734D34-BB15-4D6E-A687-81C1ADA0DE5A}"/>
    <cellStyle name="Header2 1 12 2 3 3" xfId="24271" xr:uid="{1BF49855-4255-4EC8-A464-E6A949204D06}"/>
    <cellStyle name="Header2 1 12 2 3 4" xfId="37352" xr:uid="{F04429D1-A713-4B21-A978-F36F63384D8C}"/>
    <cellStyle name="Header2 1 12 2 4" xfId="11387" xr:uid="{0F55994C-FDF0-4D17-9CA9-607A7B75E8B2}"/>
    <cellStyle name="Header2 1 12 2 4 2" xfId="28159" xr:uid="{4972C7E2-C448-41C1-86F1-B559156BF101}"/>
    <cellStyle name="Header2 1 12 2 4 3" xfId="41349" xr:uid="{C09B39DC-A575-4513-8BE6-9A91AE25056F}"/>
    <cellStyle name="Header2 1 12 2 5" xfId="21023" xr:uid="{0DF10C59-8ABB-43E7-AC5F-95852A4DD88E}"/>
    <cellStyle name="Header2 1 12 2 6" xfId="34046" xr:uid="{9D2531CE-0661-44F9-9C2F-8F454B5F74CC}"/>
    <cellStyle name="Header2 1 12 3" xfId="4699" xr:uid="{E77F6170-8A8B-46DD-857F-3B5D14A6234C}"/>
    <cellStyle name="Header2 1 12 3 2" xfId="7291" xr:uid="{E0F65AFD-BFB2-418A-B4F4-D5896832234F}"/>
    <cellStyle name="Header2 1 12 3 2 2" xfId="12371" xr:uid="{0C346F63-FD57-4BD6-B209-B91219D023BF}"/>
    <cellStyle name="Header2 1 12 3 2 2 2" xfId="29037" xr:uid="{0CE637A0-3E46-4064-B914-DFEB63FCB603}"/>
    <cellStyle name="Header2 1 12 3 2 2 3" xfId="42277" xr:uid="{DAFAF18F-E552-4D8A-BD27-ED289F5CE49A}"/>
    <cellStyle name="Header2 1 12 3 2 3" xfId="24858" xr:uid="{52288851-700B-4232-A230-0C8F1F9FC925}"/>
    <cellStyle name="Header2 1 12 3 2 4" xfId="37939" xr:uid="{EA334057-1D6D-414A-89C3-FD4F5B4A2C03}"/>
    <cellStyle name="Header2 1 12 3 3" xfId="17465" xr:uid="{4E84943D-CE14-43C7-BEC0-C71B89C80466}"/>
    <cellStyle name="Header2 1 12 3 3 2" xfId="33208" xr:uid="{D90A896D-E975-404C-9BB1-80B7CA78320D}"/>
    <cellStyle name="Header2 1 12 3 3 3" xfId="46994" xr:uid="{631716AA-5C80-43ED-B5C4-CB2B4C3A56D1}"/>
    <cellStyle name="Header2 1 12 3 4" xfId="22506" xr:uid="{1C65D98F-272A-4570-A530-BF23FB8042FF}"/>
    <cellStyle name="Header2 1 12 3 5" xfId="35559" xr:uid="{FB3B44EA-FFE6-48F7-82F8-416B86AB4B8B}"/>
    <cellStyle name="Header2 1 12 4" xfId="5672" xr:uid="{B7D705F8-6B8D-460F-8A3B-2DEE16BC78AA}"/>
    <cellStyle name="Header2 1 12 4 2" xfId="8857" xr:uid="{34757701-3429-4864-8010-486EBE4DA930}"/>
    <cellStyle name="Header2 1 12 4 2 2" xfId="11558" xr:uid="{9BA33395-50C1-45B2-AD76-1BC642FD549C}"/>
    <cellStyle name="Header2 1 12 4 2 2 2" xfId="28315" xr:uid="{A563826A-A9D9-4DB6-B0D8-96CD5B624641}"/>
    <cellStyle name="Header2 1 12 4 2 2 3" xfId="41513" xr:uid="{A2D8AA32-2017-49C8-9612-72AACDC2825C}"/>
    <cellStyle name="Header2 1 12 4 2 3" xfId="26347" xr:uid="{3CEA6DCC-85A8-4DB5-9C73-BF287C2E91B6}"/>
    <cellStyle name="Header2 1 12 4 2 4" xfId="39423" xr:uid="{4466D03D-B506-4E7D-82DF-92050EEB8997}"/>
    <cellStyle name="Header2 1 12 4 3" xfId="11723" xr:uid="{4C549C36-700D-4114-BBB3-E3CC3D18C54A}"/>
    <cellStyle name="Header2 1 12 4 3 2" xfId="28452" xr:uid="{AC523EC8-B6E9-48DA-B3BE-B5D812AD8BEB}"/>
    <cellStyle name="Header2 1 12 4 3 3" xfId="41662" xr:uid="{06143454-FA4C-4CE7-8EAD-96B6297DD9EA}"/>
    <cellStyle name="Header2 1 12 4 4" xfId="23319" xr:uid="{B9B97AC4-9966-40DA-A6BD-50FEE4DFD5FE}"/>
    <cellStyle name="Header2 1 12 4 5" xfId="36400" xr:uid="{5C8F8DC4-8262-46D9-A112-F0CD44C54B14}"/>
    <cellStyle name="Header2 1 12 5" xfId="10617" xr:uid="{76237227-80B7-4C18-AABD-FD7CD26093AE}"/>
    <cellStyle name="Header2 1 12 5 2" xfId="27476" xr:uid="{94E5013B-7310-40F3-8228-83C94565B6D0}"/>
    <cellStyle name="Header2 1 12 5 3" xfId="40598" xr:uid="{FFC3DD53-A84B-46F2-95BA-30DA7C52BF98}"/>
    <cellStyle name="Header2 1 12 6" xfId="21581" xr:uid="{0EFE5986-D4B1-4E6A-BE4F-2EB84DE21430}"/>
    <cellStyle name="Header2 1 12 7" xfId="34635" xr:uid="{DE5DE0F6-6474-422C-B559-84C170B0FC91}"/>
    <cellStyle name="Header2 1 13" xfId="3635" xr:uid="{4193A7F1-A574-492A-BB33-DC9263BFB0BB}"/>
    <cellStyle name="Header2 1 13 2" xfId="2959" xr:uid="{790B4383-0242-477E-9473-559E0D34328D}"/>
    <cellStyle name="Header2 1 13 2 2" xfId="8255" xr:uid="{BE2E1518-CE51-4ADC-9261-D9B44378B503}"/>
    <cellStyle name="Header2 1 13 2 2 2" xfId="15236" xr:uid="{0C7F7573-6B32-4256-9785-3C39F380B947}"/>
    <cellStyle name="Header2 1 13 2 2 2 2" xfId="31412" xr:uid="{A85DC0CF-8BCB-426D-88B3-9EC2CBF8E946}"/>
    <cellStyle name="Header2 1 13 2 2 2 3" xfId="44887" xr:uid="{DBB66146-AFCF-4B65-B58F-7FC9253F6B24}"/>
    <cellStyle name="Header2 1 13 2 2 3" xfId="25764" xr:uid="{119A1970-F1E0-480D-9D65-44B0D3879E09}"/>
    <cellStyle name="Header2 1 13 2 2 4" xfId="38840" xr:uid="{1B2BD80F-A709-418F-9433-7F9F89141F51}"/>
    <cellStyle name="Header2 1 13 2 3" xfId="6622" xr:uid="{01B58E79-0A12-4E08-B04D-999057AFB405}"/>
    <cellStyle name="Header2 1 13 2 3 2" xfId="14206" xr:uid="{A8C0EFD8-A625-4571-9625-E69B4E601B1E}"/>
    <cellStyle name="Header2 1 13 2 3 2 2" xfId="30551" xr:uid="{04BA3250-ECED-4FDC-B6BC-AA089B803DC8}"/>
    <cellStyle name="Header2 1 13 2 3 2 3" xfId="43943" xr:uid="{7621B85A-E1DF-4995-A72D-07342323AD47}"/>
    <cellStyle name="Header2 1 13 2 3 3" xfId="24255" xr:uid="{EA3E0CA5-BADE-48DC-B273-20A6D51C078C}"/>
    <cellStyle name="Header2 1 13 2 3 4" xfId="37336" xr:uid="{6D8D246E-BD84-4E17-9E94-5374A3C744FD}"/>
    <cellStyle name="Header2 1 13 2 4" xfId="14258" xr:uid="{464550A4-0FB9-4F16-A440-BB81C189872B}"/>
    <cellStyle name="Header2 1 13 2 4 2" xfId="30602" xr:uid="{40D669FB-3F3B-4E0C-8A4B-DADB51BE050D}"/>
    <cellStyle name="Header2 1 13 2 4 3" xfId="43994" xr:uid="{A6C7C26E-A244-435B-B1E8-9DE654AA3BD3}"/>
    <cellStyle name="Header2 1 13 2 5" xfId="21007" xr:uid="{3474B00D-ABF1-4DC6-B15B-56D90C0080F6}"/>
    <cellStyle name="Header2 1 13 2 6" xfId="34030" xr:uid="{120C30B5-C3C2-4550-B302-A6155CEC6A65}"/>
    <cellStyle name="Header2 1 13 3" xfId="4687" xr:uid="{02B4DA6B-D0AC-48DD-A62E-6EDA464A366C}"/>
    <cellStyle name="Header2 1 13 3 2" xfId="7270" xr:uid="{3C115821-8842-4BF3-94AA-4BDE5FE300C8}"/>
    <cellStyle name="Header2 1 13 3 2 2" xfId="10613" xr:uid="{7475B5E5-7661-4AAC-AD3D-852D7DA8BEF5}"/>
    <cellStyle name="Header2 1 13 3 2 2 2" xfId="27472" xr:uid="{56C52747-3A13-4D99-BF54-59C033F61361}"/>
    <cellStyle name="Header2 1 13 3 2 2 3" xfId="40594" xr:uid="{9512078F-E375-4259-96CE-57857C19069E}"/>
    <cellStyle name="Header2 1 13 3 2 3" xfId="24846" xr:uid="{7259069B-F29C-4FED-B580-A0DB25A6ADE0}"/>
    <cellStyle name="Header2 1 13 3 2 4" xfId="37927" xr:uid="{F6296724-BF9E-4415-B35D-3418A602A000}"/>
    <cellStyle name="Header2 1 13 3 3" xfId="14487" xr:uid="{66BA2BFD-08B9-4FE7-AAF9-FE8969EFF184}"/>
    <cellStyle name="Header2 1 13 3 3 2" xfId="30810" xr:uid="{681F54D6-2C4F-4006-8699-94F187463348}"/>
    <cellStyle name="Header2 1 13 3 3 3" xfId="44216" xr:uid="{10123A7A-58F6-4989-9D85-643EC02885E9}"/>
    <cellStyle name="Header2 1 13 3 4" xfId="22495" xr:uid="{B1512854-2F31-44AE-9707-F2A86F1C699D}"/>
    <cellStyle name="Header2 1 13 3 5" xfId="35548" xr:uid="{E43BDD0B-BBFD-426E-B40D-3B9A69513F2E}"/>
    <cellStyle name="Header2 1 13 4" xfId="5660" xr:uid="{4FB73916-DCBD-48B4-A9AA-6D423C29B646}"/>
    <cellStyle name="Header2 1 13 4 2" xfId="8844" xr:uid="{6C726BEE-C71E-4A10-A242-FCF7B1B58E7C}"/>
    <cellStyle name="Header2 1 13 4 2 2" xfId="13911" xr:uid="{DC5F5B6E-6882-4FAC-8A77-6580E2ED27A2}"/>
    <cellStyle name="Header2 1 13 4 2 2 2" xfId="30302" xr:uid="{F46C4605-4852-4761-B247-D744C46F0461}"/>
    <cellStyle name="Header2 1 13 4 2 2 3" xfId="43676" xr:uid="{004660A4-5561-4A11-99E1-61A0E3E058CC}"/>
    <cellStyle name="Header2 1 13 4 2 3" xfId="26335" xr:uid="{337654BB-CA90-4066-8771-D3B854CBAA11}"/>
    <cellStyle name="Header2 1 13 4 2 4" xfId="39411" xr:uid="{51E0B61E-38B6-45A3-A2A2-4270D5212F4B}"/>
    <cellStyle name="Header2 1 13 4 3" xfId="16830" xr:uid="{0DA40ADD-9A5E-4ADE-8BD6-0BFFEEB1E89E}"/>
    <cellStyle name="Header2 1 13 4 3 2" xfId="32710" xr:uid="{24E0FCFD-B886-45D1-8F4B-6235B75AFF14}"/>
    <cellStyle name="Header2 1 13 4 3 3" xfId="46373" xr:uid="{05ECF465-5599-4800-AAD0-0ABB0CF7E9DE}"/>
    <cellStyle name="Header2 1 13 4 4" xfId="23307" xr:uid="{E3D83FA1-3AD6-4129-9074-02365356FAA8}"/>
    <cellStyle name="Header2 1 13 4 5" xfId="36388" xr:uid="{6AEEF4EC-0B8A-41E7-94C2-A82F932E502E}"/>
    <cellStyle name="Header2 1 13 5" xfId="12229" xr:uid="{1AF39C7B-B086-4A53-9DFF-9DBFDAA1BEFC}"/>
    <cellStyle name="Header2 1 13 5 2" xfId="28911" xr:uid="{47F4A520-10F6-4EE4-864B-5B25D9B3ED61}"/>
    <cellStyle name="Header2 1 13 5 3" xfId="42144" xr:uid="{C8262019-E929-4B44-AE89-65C5225D55A0}"/>
    <cellStyle name="Header2 1 13 6" xfId="21569" xr:uid="{70A2003E-F0CB-47A4-81EE-F0A2FCEE77CB}"/>
    <cellStyle name="Header2 1 13 7" xfId="34623" xr:uid="{9AB828B9-2014-4BCC-8AFE-646DF27FC1CC}"/>
    <cellStyle name="Header2 1 14" xfId="3556" xr:uid="{3A1B4526-8ED5-4CE7-A845-965AB7E32DAE}"/>
    <cellStyle name="Header2 1 14 2" xfId="2897" xr:uid="{92D06300-7D58-4D8C-8975-3F5024FECF88}"/>
    <cellStyle name="Header2 1 14 2 2" xfId="8193" xr:uid="{A9B5B70C-48C6-43CE-AD51-06F88C0076E9}"/>
    <cellStyle name="Header2 1 14 2 2 2" xfId="14410" xr:uid="{2AD083F7-B063-403C-AFD2-294B7C470580}"/>
    <cellStyle name="Header2 1 14 2 2 2 2" xfId="30740" xr:uid="{FEB8A5CB-D2A6-4CB7-BFD3-FF15D615176C}"/>
    <cellStyle name="Header2 1 14 2 2 2 3" xfId="44140" xr:uid="{7D70E7A8-3416-4270-A34F-49752BE5C68C}"/>
    <cellStyle name="Header2 1 14 2 2 3" xfId="25704" xr:uid="{AE2FFDBD-BFF0-4B7A-A08E-C782D34CC5EA}"/>
    <cellStyle name="Header2 1 14 2 2 4" xfId="38780" xr:uid="{4715AFBA-803E-4F27-A524-BA829A19C843}"/>
    <cellStyle name="Header2 1 14 2 3" xfId="6560" xr:uid="{22093F7D-0B03-4856-A6CD-81C858BF653A}"/>
    <cellStyle name="Header2 1 14 2 3 2" xfId="14606" xr:uid="{F9A5BB92-3BD4-4F4E-B6A3-C2954FF5FF90}"/>
    <cellStyle name="Header2 1 14 2 3 2 2" xfId="30906" xr:uid="{D7D9A868-1C73-4307-8DAF-5174206476FB}"/>
    <cellStyle name="Header2 1 14 2 3 2 3" xfId="44325" xr:uid="{82529DAE-CF70-462D-A3BF-D7EC83681A66}"/>
    <cellStyle name="Header2 1 14 2 3 3" xfId="24195" xr:uid="{E075E353-05F3-489F-BBB9-46DE1D98FF2C}"/>
    <cellStyle name="Header2 1 14 2 3 4" xfId="37276" xr:uid="{BE8E27B0-78BB-4954-B89F-7BE79F3A8AC0}"/>
    <cellStyle name="Header2 1 14 2 4" xfId="12434" xr:uid="{B2298B0E-0077-4207-B754-54CAD9F1D554}"/>
    <cellStyle name="Header2 1 14 2 4 2" xfId="29088" xr:uid="{8C217322-37A7-4428-80FB-F066187B9CB8}"/>
    <cellStyle name="Header2 1 14 2 4 3" xfId="42333" xr:uid="{48F3EF2B-A0BF-4D16-9C61-DA380E0742D3}"/>
    <cellStyle name="Header2 1 14 2 5" xfId="20947" xr:uid="{77C499FB-30D0-4237-BA14-248037BFC870}"/>
    <cellStyle name="Header2 1 14 2 6" xfId="33970" xr:uid="{6811BE61-F701-4395-A695-48A96014C1A0}"/>
    <cellStyle name="Header2 1 14 3" xfId="4658" xr:uid="{7F6DA294-0BA0-4A4F-87A3-1D2E889D0653}"/>
    <cellStyle name="Header2 1 14 3 2" xfId="7198" xr:uid="{94B64C4E-4A89-4C0F-A443-5F4439B7F71C}"/>
    <cellStyle name="Header2 1 14 3 2 2" xfId="14329" xr:uid="{01E20C3C-65B4-4D62-B49E-56609018222B}"/>
    <cellStyle name="Header2 1 14 3 2 2 2" xfId="30664" xr:uid="{12D180D9-CB66-4532-8EDC-829C92DBA054}"/>
    <cellStyle name="Header2 1 14 3 2 2 3" xfId="44059" xr:uid="{ACB8EBB6-E89D-49B9-A097-DA1E863317D4}"/>
    <cellStyle name="Header2 1 14 3 2 3" xfId="24794" xr:uid="{A438AE49-D611-4879-AC6B-BD5684D12E6E}"/>
    <cellStyle name="Header2 1 14 3 2 4" xfId="37875" xr:uid="{372D03FF-4D0B-4082-81DB-8742EF639995}"/>
    <cellStyle name="Header2 1 14 3 3" xfId="15742" xr:uid="{558503C4-6C15-41B3-BAB3-1AA128DB2889}"/>
    <cellStyle name="Header2 1 14 3 3 2" xfId="31850" xr:uid="{0A24C9E3-DD1F-4594-8779-681E79BFAA25}"/>
    <cellStyle name="Header2 1 14 3 3 3" xfId="45360" xr:uid="{2093176A-4564-4D95-B23C-09014B3E11F3}"/>
    <cellStyle name="Header2 1 14 3 4" xfId="22468" xr:uid="{81156D91-BF10-4E83-8A2A-9B173DE5B464}"/>
    <cellStyle name="Header2 1 14 3 5" xfId="35521" xr:uid="{4438101B-E54F-4B90-BB00-78436D722183}"/>
    <cellStyle name="Header2 1 14 4" xfId="5608" xr:uid="{B629AD27-29C2-4095-A107-05267F98A054}"/>
    <cellStyle name="Header2 1 14 4 2" xfId="8790" xr:uid="{0D9063E9-1243-41BD-AE5A-6A5B20F0332A}"/>
    <cellStyle name="Header2 1 14 4 2 2" xfId="14471" xr:uid="{4C8435F3-C188-4CBB-B226-4EF13BFBF44F}"/>
    <cellStyle name="Header2 1 14 4 2 2 2" xfId="30795" xr:uid="{0668F7AC-03A8-4EB5-A461-ABEA213B2729}"/>
    <cellStyle name="Header2 1 14 4 2 2 3" xfId="44200" xr:uid="{CA43DFF4-1B50-4DF1-9A81-216EAD8E310F}"/>
    <cellStyle name="Header2 1 14 4 2 3" xfId="26283" xr:uid="{B12F39F0-B13D-4AA5-98E2-79931E2ABB74}"/>
    <cellStyle name="Header2 1 14 4 2 4" xfId="39359" xr:uid="{254F5828-3786-44A1-B4F9-78294A402A4B}"/>
    <cellStyle name="Header2 1 14 4 3" xfId="14081" xr:uid="{D6D0BBD0-6139-4CD3-81AF-2C4814BBC932}"/>
    <cellStyle name="Header2 1 14 4 3 2" xfId="30448" xr:uid="{096AB4E1-4E05-43CF-9E0C-549A65B95529}"/>
    <cellStyle name="Header2 1 14 4 3 3" xfId="43831" xr:uid="{C5EFC26A-F348-4FD6-8058-7DA0E551F169}"/>
    <cellStyle name="Header2 1 14 4 4" xfId="23255" xr:uid="{83DDF1E2-0C34-43EA-AF19-B2A401B46EF3}"/>
    <cellStyle name="Header2 1 14 4 5" xfId="36336" xr:uid="{948345B0-B2EA-42D0-BFBF-705A1F41A617}"/>
    <cellStyle name="Header2 1 14 5" xfId="14744" xr:uid="{88EF8CE6-9514-4A5D-98C5-4E10126C51DE}"/>
    <cellStyle name="Header2 1 14 5 2" xfId="31022" xr:uid="{3FE611DE-F57E-4553-9831-C328DC73E578}"/>
    <cellStyle name="Header2 1 14 5 3" xfId="44448" xr:uid="{E1BE0124-82D9-45C6-BBD3-FF663A9B96D4}"/>
    <cellStyle name="Header2 1 14 6" xfId="21517" xr:uid="{AA1DFCB6-9533-453F-8275-7076FBC3D93B}"/>
    <cellStyle name="Header2 1 14 7" xfId="34569" xr:uid="{0C09BAD8-927E-47E6-B4F7-81D9BB5FC3FE}"/>
    <cellStyle name="Header2 1 15" xfId="3645" xr:uid="{8E1BD921-9372-4FEE-A8E6-46DB5AE4A258}"/>
    <cellStyle name="Header2 1 15 2" xfId="2966" xr:uid="{6643415F-B7F8-42D1-A7CD-47C153332F40}"/>
    <cellStyle name="Header2 1 15 2 2" xfId="8262" xr:uid="{247A4C49-5BEE-4139-BE87-F12ABF29F7AF}"/>
    <cellStyle name="Header2 1 15 2 2 2" xfId="12970" xr:uid="{05004AA4-53EA-4DB3-BC9D-8869B5CB7A00}"/>
    <cellStyle name="Header2 1 15 2 2 2 2" xfId="29508" xr:uid="{6950788D-F616-4229-9CB7-0066BDDD6B7B}"/>
    <cellStyle name="Header2 1 15 2 2 2 3" xfId="42807" xr:uid="{6B422976-A891-4832-B153-0031836644DD}"/>
    <cellStyle name="Header2 1 15 2 2 3" xfId="25771" xr:uid="{C7148A1D-2732-45A4-9D18-31A4590133C0}"/>
    <cellStyle name="Header2 1 15 2 2 4" xfId="38847" xr:uid="{42581360-E2DF-4297-BA00-C3032C427DFC}"/>
    <cellStyle name="Header2 1 15 2 3" xfId="6629" xr:uid="{3BE8047E-F92E-4240-BC68-91C35568DAFC}"/>
    <cellStyle name="Header2 1 15 2 3 2" xfId="17196" xr:uid="{4D927E84-78AA-4D32-BC45-3ADD9D51C0D4}"/>
    <cellStyle name="Header2 1 15 2 3 2 2" xfId="32959" xr:uid="{29592798-38E4-4175-9692-617D96863187}"/>
    <cellStyle name="Header2 1 15 2 3 2 3" xfId="46731" xr:uid="{202B23FA-1DD5-49FB-978C-5A046473E7CE}"/>
    <cellStyle name="Header2 1 15 2 3 3" xfId="24262" xr:uid="{5D599A4A-085D-4F28-A494-36AAE6C943C7}"/>
    <cellStyle name="Header2 1 15 2 3 4" xfId="37343" xr:uid="{F3D99C6F-245F-4D58-8039-813A1A071BB6}"/>
    <cellStyle name="Header2 1 15 2 4" xfId="13894" xr:uid="{833F6AF5-95E7-4C88-87C9-B65640798C1C}"/>
    <cellStyle name="Header2 1 15 2 4 2" xfId="30287" xr:uid="{4E2DCF7E-77F9-4067-94FD-B1915B378D13}"/>
    <cellStyle name="Header2 1 15 2 4 3" xfId="43660" xr:uid="{A4A2EBD6-CFF4-482D-8D65-63A6974EB21F}"/>
    <cellStyle name="Header2 1 15 2 5" xfId="21014" xr:uid="{C2ECDDEA-8590-474F-B2DE-DB8FC2CD8498}"/>
    <cellStyle name="Header2 1 15 2 6" xfId="34037" xr:uid="{5249A447-4DFE-4FF5-968D-308C4DCE7A92}"/>
    <cellStyle name="Header2 1 15 3" xfId="4693" xr:uid="{8837E17C-1017-416A-99D2-D70788871E27}"/>
    <cellStyle name="Header2 1 15 3 2" xfId="7280" xr:uid="{91629EB8-69EC-4046-BB25-91CA1CD081FE}"/>
    <cellStyle name="Header2 1 15 3 2 2" xfId="15184" xr:uid="{2ED64A1E-C237-48C0-B93D-7FE6B79A84BC}"/>
    <cellStyle name="Header2 1 15 3 2 2 2" xfId="31369" xr:uid="{0BC1770E-A46D-448B-AFC2-6DDE40C9BB32}"/>
    <cellStyle name="Header2 1 15 3 2 2 3" xfId="44839" xr:uid="{D406F2D3-DEC5-4D2B-9609-911DF37CBDEE}"/>
    <cellStyle name="Header2 1 15 3 2 3" xfId="24852" xr:uid="{D3FCC138-12A9-473A-9832-048984309A82}"/>
    <cellStyle name="Header2 1 15 3 2 4" xfId="37933" xr:uid="{980C6D8B-6CDC-4B87-B24F-09A81D9E9370}"/>
    <cellStyle name="Header2 1 15 3 3" xfId="12437" xr:uid="{76FCA4F8-DE74-4B8C-8E1C-C68FE252B88C}"/>
    <cellStyle name="Header2 1 15 3 3 2" xfId="29091" xr:uid="{818536D9-D30A-4ACF-AF73-BDE22C91393D}"/>
    <cellStyle name="Header2 1 15 3 3 3" xfId="42336" xr:uid="{31ED4470-D90D-45A7-8CAB-EC19A57B6C53}"/>
    <cellStyle name="Header2 1 15 3 4" xfId="22501" xr:uid="{102D6D11-EA64-409D-AC77-05E7ADCF2FE2}"/>
    <cellStyle name="Header2 1 15 3 5" xfId="35554" xr:uid="{11D513D6-F8AC-49C1-AC49-D880E6994A4B}"/>
    <cellStyle name="Header2 1 15 4" xfId="5666" xr:uid="{3D7B85D7-AC5E-46DF-AEEB-F49E4900E359}"/>
    <cellStyle name="Header2 1 15 4 2" xfId="8850" xr:uid="{2F885402-90DC-4321-A6F9-366E94C59422}"/>
    <cellStyle name="Header2 1 15 4 2 2" xfId="12232" xr:uid="{BBFBB77A-C7E2-4587-939B-F935062EC546}"/>
    <cellStyle name="Header2 1 15 4 2 2 2" xfId="28914" xr:uid="{30F7CB3F-784A-4335-844E-DAB7E13E8CB7}"/>
    <cellStyle name="Header2 1 15 4 2 2 3" xfId="42147" xr:uid="{2457F763-6851-4289-A135-E4F3EC27AFF9}"/>
    <cellStyle name="Header2 1 15 4 2 3" xfId="26341" xr:uid="{3118611D-E856-4749-800E-0F8E735FFEAD}"/>
    <cellStyle name="Header2 1 15 4 2 4" xfId="39417" xr:uid="{3EB403BC-6554-497B-8576-43345D3BDF04}"/>
    <cellStyle name="Header2 1 15 4 3" xfId="13464" xr:uid="{267D33A3-A844-47BC-81D2-55204F6809B2}"/>
    <cellStyle name="Header2 1 15 4 3 2" xfId="29927" xr:uid="{E06A8943-D692-4628-BF1D-4B7D1CB2CA64}"/>
    <cellStyle name="Header2 1 15 4 3 3" xfId="43266" xr:uid="{C92329D6-1907-4DE2-B8C3-15CB60D488A0}"/>
    <cellStyle name="Header2 1 15 4 4" xfId="23313" xr:uid="{C0E1F164-ACD0-44A0-B145-E87F08007983}"/>
    <cellStyle name="Header2 1 15 4 5" xfId="36394" xr:uid="{A7845FC7-A2C3-4A02-B55F-3F499FE43AC5}"/>
    <cellStyle name="Header2 1 15 5" xfId="13406" xr:uid="{8C649C1B-24A9-406C-B178-7050D56A1861}"/>
    <cellStyle name="Header2 1 15 5 2" xfId="29875" xr:uid="{C62935DF-8AE5-40F9-B98D-E527EEDDC3E6}"/>
    <cellStyle name="Header2 1 15 5 3" xfId="43210" xr:uid="{8588892F-2007-4623-81F2-3943198DF5CA}"/>
    <cellStyle name="Header2 1 15 6" xfId="21575" xr:uid="{26C1C3E8-C732-4A59-98E4-B74657015E56}"/>
    <cellStyle name="Header2 1 15 7" xfId="34629" xr:uid="{F472C590-F10E-4027-BC19-D15D8AEDC1DA}"/>
    <cellStyle name="Header2 1 16" xfId="3920" xr:uid="{51FED9BD-C687-4262-B373-768A7E59ACA7}"/>
    <cellStyle name="Header2 1 16 2" xfId="3187" xr:uid="{308B14E2-F07D-4E1E-A2F3-FD61D043749A}"/>
    <cellStyle name="Header2 1 16 2 2" xfId="8479" xr:uid="{4C10896D-6B3D-4110-AB4A-953BCBFB7590}"/>
    <cellStyle name="Header2 1 16 2 2 2" xfId="16325" xr:uid="{1EE44A55-9A3F-4225-9453-5ECCC2E1FDD8}"/>
    <cellStyle name="Header2 1 16 2 2 2 2" xfId="32350" xr:uid="{E300BB48-FED9-41B6-AFFC-9FC058461447}"/>
    <cellStyle name="Header2 1 16 2 2 2 3" xfId="45881" xr:uid="{EE33101C-DA1F-4381-9491-5B732B3003BD}"/>
    <cellStyle name="Header2 1 16 2 2 3" xfId="25979" xr:uid="{748D4711-872C-404B-B6D9-50DB44522F61}"/>
    <cellStyle name="Header2 1 16 2 2 4" xfId="39055" xr:uid="{9D62C2C5-46B9-4300-A33A-E53DA03675AD}"/>
    <cellStyle name="Header2 1 16 2 3" xfId="6846" xr:uid="{2FFEF788-74C3-4A0E-8ADA-95670B2917B1}"/>
    <cellStyle name="Header2 1 16 2 3 2" xfId="12928" xr:uid="{229B6467-7650-45A3-91A2-3BB81C1BA442}"/>
    <cellStyle name="Header2 1 16 2 3 2 2" xfId="29472" xr:uid="{A145DDBB-383B-4D78-9E14-DF46FFD4B0B7}"/>
    <cellStyle name="Header2 1 16 2 3 2 3" xfId="42768" xr:uid="{75AAAD4C-B5C6-4C36-B7BB-6C103CB036CF}"/>
    <cellStyle name="Header2 1 16 2 3 3" xfId="24470" xr:uid="{143D1FAD-EFA4-4C21-999C-F68CB5D8DAA4}"/>
    <cellStyle name="Header2 1 16 2 3 4" xfId="37551" xr:uid="{4CEC7A16-8718-4817-8684-F71005A6B995}"/>
    <cellStyle name="Header2 1 16 2 4" xfId="13967" xr:uid="{F3A7D787-D4EB-4E37-A391-57B4785741D4}"/>
    <cellStyle name="Header2 1 16 2 4 2" xfId="30354" xr:uid="{3A3CF2ED-F4C4-4FD0-9ACE-19B54777CD71}"/>
    <cellStyle name="Header2 1 16 2 4 3" xfId="43731" xr:uid="{FFF65F66-5BA0-4281-980E-DA9B0B4CDF06}"/>
    <cellStyle name="Header2 1 16 2 5" xfId="21222" xr:uid="{157144E9-FB84-4C25-A088-BB39C67B42CE}"/>
    <cellStyle name="Header2 1 16 2 6" xfId="34245" xr:uid="{56247BEE-FD93-4ED7-BA18-9693E1607215}"/>
    <cellStyle name="Header2 1 16 3" xfId="4851" xr:uid="{49986147-964D-47B2-BD76-FB5B983DD732}"/>
    <cellStyle name="Header2 1 16 3 2" xfId="7500" xr:uid="{8F00B496-F249-4F18-9CD0-14E009022C52}"/>
    <cellStyle name="Header2 1 16 3 2 2" xfId="16618" xr:uid="{C878EE2E-B90B-442C-BA2F-DDD1B0FA71CF}"/>
    <cellStyle name="Header2 1 16 3 2 2 2" xfId="32526" xr:uid="{FAA9F5C5-A142-4E2F-B83F-D40B862ECDF7}"/>
    <cellStyle name="Header2 1 16 3 2 2 3" xfId="46165" xr:uid="{B388AC48-2378-4945-B9DF-CFF41A62A0C9}"/>
    <cellStyle name="Header2 1 16 3 2 3" xfId="25050" xr:uid="{96BA981C-85D9-440A-A197-6F04D455D08F}"/>
    <cellStyle name="Header2 1 16 3 2 4" xfId="38126" xr:uid="{2D2E0653-2F7F-4E1B-9A84-4D48F26B9978}"/>
    <cellStyle name="Header2 1 16 3 3" xfId="17541" xr:uid="{61D65634-0A2E-49A5-B1F4-BFF0AFDFAC33}"/>
    <cellStyle name="Header2 1 16 3 3 2" xfId="33279" xr:uid="{36EC836B-A33E-4B16-9713-AF2E413CAA5E}"/>
    <cellStyle name="Header2 1 16 3 3 3" xfId="47066" xr:uid="{B56E30BD-E734-42F7-97DE-EE58F7F7EA6F}"/>
    <cellStyle name="Header2 1 16 3 4" xfId="22651" xr:uid="{22E1AC7E-F398-4ECC-B0D3-8826D2E6F58E}"/>
    <cellStyle name="Header2 1 16 3 5" xfId="35704" xr:uid="{4A3CE054-A96C-44AA-BB83-344092569CC5}"/>
    <cellStyle name="Header2 1 16 4" xfId="5876" xr:uid="{2CAD7F1F-C5FF-43D5-9760-2617D82EF844}"/>
    <cellStyle name="Header2 1 16 4 2" xfId="9036" xr:uid="{0CAFCF97-61B0-412C-9F1E-E274C5672AE4}"/>
    <cellStyle name="Header2 1 16 4 2 2" xfId="16024" xr:uid="{BA083BC5-E9C2-430C-86CB-0EABC19116DC}"/>
    <cellStyle name="Header2 1 16 4 2 2 2" xfId="32090" xr:uid="{D1631582-F6B0-450F-9B36-6ABB3B91127B}"/>
    <cellStyle name="Header2 1 16 4 2 2 3" xfId="45609" xr:uid="{B98BE46F-DC5E-4558-AD5F-9FB944A194ED}"/>
    <cellStyle name="Header2 1 16 4 2 3" xfId="26519" xr:uid="{85164CA9-0583-48A4-A7D0-ECFD193E0DE5}"/>
    <cellStyle name="Header2 1 16 4 2 4" xfId="39595" xr:uid="{68F813D2-A8B9-4511-A119-292D51CE0B28}"/>
    <cellStyle name="Header2 1 16 4 3" xfId="17062" xr:uid="{4FB3E30C-2E14-44C4-85CC-27C9739EEA23}"/>
    <cellStyle name="Header2 1 16 4 3 2" xfId="32833" xr:uid="{0614DCBB-9675-4ED1-92C0-7236C4F712D0}"/>
    <cellStyle name="Header2 1 16 4 3 3" xfId="46603" xr:uid="{0477BA8B-2E59-41DF-9545-497A69DF22CC}"/>
    <cellStyle name="Header2 1 16 4 4" xfId="23523" xr:uid="{693F46C6-2108-45C2-95D1-44DA3B9C99AC}"/>
    <cellStyle name="Header2 1 16 4 5" xfId="36604" xr:uid="{F476510F-7F3F-43CA-B463-7C1799E65C4C}"/>
    <cellStyle name="Header2 1 16 5" xfId="16575" xr:uid="{A54B3328-76FB-4406-96A1-864C95E42320}"/>
    <cellStyle name="Header2 1 16 5 2" xfId="32498" xr:uid="{653E6A03-87A2-4608-B3C1-06D67B625E3C}"/>
    <cellStyle name="Header2 1 16 5 3" xfId="46122" xr:uid="{1F12ECA2-771F-48A5-B7AA-C81F04C1CB28}"/>
    <cellStyle name="Header2 1 16 6" xfId="21789" xr:uid="{D042DE85-C2F1-40DF-99E6-F45BD69A77CF}"/>
    <cellStyle name="Header2 1 16 7" xfId="34839" xr:uid="{B704C3D4-D83D-4E26-BA28-E29647CC43C7}"/>
    <cellStyle name="Header2 1 17" xfId="3942" xr:uid="{859E5AF1-05F1-4433-B06F-4CE4D70A7285}"/>
    <cellStyle name="Header2 1 17 2" xfId="3198" xr:uid="{10700755-4B30-4FCB-B2C8-E7FB2E32A281}"/>
    <cellStyle name="Header2 1 17 2 2" xfId="8490" xr:uid="{860A19C1-4562-406B-A92B-EDF7708221ED}"/>
    <cellStyle name="Header2 1 17 2 2 2" xfId="13545" xr:uid="{EC02AA12-4E7E-45AB-988F-0E4F0E00A523}"/>
    <cellStyle name="Header2 1 17 2 2 2 2" xfId="29991" xr:uid="{8720614B-E762-4A5E-AA76-CE6A90E54E84}"/>
    <cellStyle name="Header2 1 17 2 2 2 3" xfId="43340" xr:uid="{FA3463AA-6B01-478A-A72F-DAC853201D62}"/>
    <cellStyle name="Header2 1 17 2 2 3" xfId="25990" xr:uid="{FC994F27-7179-4156-B80E-A08A58D21FE7}"/>
    <cellStyle name="Header2 1 17 2 2 4" xfId="39066" xr:uid="{606A86E0-0E40-40AC-B879-B78D2060E672}"/>
    <cellStyle name="Header2 1 17 2 3" xfId="6857" xr:uid="{FBF12C29-699F-4B76-99B3-20F3BBD3DFBF}"/>
    <cellStyle name="Header2 1 17 2 3 2" xfId="16884" xr:uid="{8A0DBD09-F1D2-4BE7-90DB-5020E11F0BCE}"/>
    <cellStyle name="Header2 1 17 2 3 2 2" xfId="32761" xr:uid="{80130B40-13C2-4C1C-B2B3-274EFA3AE59B}"/>
    <cellStyle name="Header2 1 17 2 3 2 3" xfId="46426" xr:uid="{43CD13BD-53B9-4293-ABA3-163CC4691B96}"/>
    <cellStyle name="Header2 1 17 2 3 3" xfId="24481" xr:uid="{89C4FC80-9FFB-45AD-B69E-174B18C56C57}"/>
    <cellStyle name="Header2 1 17 2 3 4" xfId="37562" xr:uid="{1E551593-E244-433D-855F-EA36E841E34C}"/>
    <cellStyle name="Header2 1 17 2 4" xfId="11861" xr:uid="{8AC44ED1-BDE0-4757-AFA2-94F62586BB69}"/>
    <cellStyle name="Header2 1 17 2 4 2" xfId="28577" xr:uid="{1286A80A-165B-4309-8F4E-88639E12E571}"/>
    <cellStyle name="Header2 1 17 2 4 3" xfId="41793" xr:uid="{55F830F6-246D-446D-B9A4-931E3FB99508}"/>
    <cellStyle name="Header2 1 17 2 5" xfId="21233" xr:uid="{7B009F2E-6935-4220-9102-5A8537EB9841}"/>
    <cellStyle name="Header2 1 17 2 6" xfId="34256" xr:uid="{F4648051-F457-4577-BBAA-F7806C86A7F3}"/>
    <cellStyle name="Header2 1 17 3" xfId="4858" xr:uid="{E3E4C4D7-F3E0-4F5D-8F90-00B2495F2FD6}"/>
    <cellStyle name="Header2 1 17 3 2" xfId="7522" xr:uid="{BE9B3987-AA25-42DF-BE1B-6A45B61B7F62}"/>
    <cellStyle name="Header2 1 17 3 2 2" xfId="11152" xr:uid="{FB099477-863D-4D4F-A9B4-C2B425104690}"/>
    <cellStyle name="Header2 1 17 3 2 2 2" xfId="27948" xr:uid="{B87731CD-DD05-4546-81CF-D1B9BF6A0C23}"/>
    <cellStyle name="Header2 1 17 3 2 2 3" xfId="41129" xr:uid="{91E82CB9-EFFB-4714-AB01-E708D53DC180}"/>
    <cellStyle name="Header2 1 17 3 2 3" xfId="25057" xr:uid="{31A9F1BE-FBD1-48B1-ADAE-170DA5A15032}"/>
    <cellStyle name="Header2 1 17 3 2 4" xfId="38133" xr:uid="{535A115E-DE7E-4B72-B028-0976A455061D}"/>
    <cellStyle name="Header2 1 17 3 3" xfId="12175" xr:uid="{9007333B-0DEC-4AC3-9C5F-76D38396C2CF}"/>
    <cellStyle name="Header2 1 17 3 3 2" xfId="28870" xr:uid="{DF2DEF44-FCD7-48FF-A1A1-1C832EF859EC}"/>
    <cellStyle name="Header2 1 17 3 3 3" xfId="42095" xr:uid="{4C7ABAC8-F085-4AFC-A844-D1D0FC78B51E}"/>
    <cellStyle name="Header2 1 17 3 4" xfId="22658" xr:uid="{A3FB104B-8FD3-4B50-860F-B083CACC0A93}"/>
    <cellStyle name="Header2 1 17 3 5" xfId="35711" xr:uid="{B075BF7A-71BB-464B-970F-20479D89370A}"/>
    <cellStyle name="Header2 1 17 4" xfId="5883" xr:uid="{32FE3DAD-C420-47D0-A2A6-608BDBA0FEB6}"/>
    <cellStyle name="Header2 1 17 4 2" xfId="9043" xr:uid="{3FB71A75-FCEB-4F85-86C6-664F10826020}"/>
    <cellStyle name="Header2 1 17 4 2 2" xfId="16426" xr:uid="{3C2DAA83-6F05-46DF-B3F1-E234044DCA05}"/>
    <cellStyle name="Header2 1 17 4 2 2 2" xfId="32440" xr:uid="{027B1CD5-0DD6-47C9-BCAC-4CE65724C2B7}"/>
    <cellStyle name="Header2 1 17 4 2 2 3" xfId="45977" xr:uid="{2F86F489-5DD5-4F15-8CF1-9FE624648A31}"/>
    <cellStyle name="Header2 1 17 4 2 3" xfId="26526" xr:uid="{62DBE367-1684-488C-9C78-1F48F33B217B}"/>
    <cellStyle name="Header2 1 17 4 2 4" xfId="39602" xr:uid="{D63F9596-DA13-4AEE-865A-DBF5D2FF7F34}"/>
    <cellStyle name="Header2 1 17 4 3" xfId="11427" xr:uid="{14DD5229-D024-45EC-B8EF-F546910E2812}"/>
    <cellStyle name="Header2 1 17 4 3 2" xfId="28195" xr:uid="{08B8140A-EBE9-4B8C-901D-E7CD203F6E4F}"/>
    <cellStyle name="Header2 1 17 4 3 3" xfId="41386" xr:uid="{DC55FE43-9C2E-4699-BEEC-C7BE41837072}"/>
    <cellStyle name="Header2 1 17 4 4" xfId="23530" xr:uid="{97B7EB67-BF92-4625-B410-3A1CC347060B}"/>
    <cellStyle name="Header2 1 17 4 5" xfId="36611" xr:uid="{A662FD39-F197-44F2-921C-1E137EB717EC}"/>
    <cellStyle name="Header2 1 17 5" xfId="16170" xr:uid="{619E3CE1-FF50-4E1B-8A1D-7CC024D32029}"/>
    <cellStyle name="Header2 1 17 5 2" xfId="32218" xr:uid="{E760F16B-12AB-4217-89A0-157C1E0126E8}"/>
    <cellStyle name="Header2 1 17 5 3" xfId="45740" xr:uid="{118C9EDA-E3EF-41F4-8B18-BC77DC1B19DA}"/>
    <cellStyle name="Header2 1 17 6" xfId="21796" xr:uid="{D072EC4F-75CC-41C5-8DD7-07D2CB1A4AD5}"/>
    <cellStyle name="Header2 1 17 7" xfId="34846" xr:uid="{955041A4-28DD-46B6-965B-5EB21C192B10}"/>
    <cellStyle name="Header2 1 18" xfId="3910" xr:uid="{2C84CAA2-143C-43C6-BE98-6FA6F6FE05A9}"/>
    <cellStyle name="Header2 1 18 2" xfId="3178" xr:uid="{92474CA4-9076-4EC5-9981-312A48CEEFD8}"/>
    <cellStyle name="Header2 1 18 2 2" xfId="8470" xr:uid="{F5E2D797-F6B7-4893-89A1-C0BABA074085}"/>
    <cellStyle name="Header2 1 18 2 2 2" xfId="15080" xr:uid="{9848E7CD-55CA-484E-8118-F1853610705C}"/>
    <cellStyle name="Header2 1 18 2 2 2 2" xfId="31288" xr:uid="{08611813-4F79-42EC-8846-C46A45866853}"/>
    <cellStyle name="Header2 1 18 2 2 2 3" xfId="44747" xr:uid="{842E921A-84F3-4C26-9898-B76B65C89D08}"/>
    <cellStyle name="Header2 1 18 2 2 3" xfId="25970" xr:uid="{48CE38CF-094F-4628-B0A5-2C78BCD95EF6}"/>
    <cellStyle name="Header2 1 18 2 2 4" xfId="39046" xr:uid="{AED3D3A2-74E6-4D11-9D50-FCAC5CE46AC1}"/>
    <cellStyle name="Header2 1 18 2 3" xfId="6837" xr:uid="{D0CDA4C8-F958-4DC8-B55E-54878F196776}"/>
    <cellStyle name="Header2 1 18 2 3 2" xfId="16682" xr:uid="{A34396C4-3294-4666-A719-89C556B7A7B7}"/>
    <cellStyle name="Header2 1 18 2 3 2 2" xfId="32570" xr:uid="{C479B707-9A5E-4D45-9A03-D3A2EC0630C9}"/>
    <cellStyle name="Header2 1 18 2 3 2 3" xfId="46227" xr:uid="{BA615A3E-170B-4C0B-BBB5-0D1DB7E88818}"/>
    <cellStyle name="Header2 1 18 2 3 3" xfId="24461" xr:uid="{9D7B5E3D-3331-4E4B-9F1D-5A9A2C24674A}"/>
    <cellStyle name="Header2 1 18 2 3 4" xfId="37542" xr:uid="{E2C94F64-25DB-49A3-8233-815D9764F6DB}"/>
    <cellStyle name="Header2 1 18 2 4" xfId="16700" xr:uid="{E52BC119-8017-42EC-A1E4-A1BF80580E05}"/>
    <cellStyle name="Header2 1 18 2 4 2" xfId="32586" xr:uid="{1B98D75A-6AC0-418E-AF71-51C8FB356A83}"/>
    <cellStyle name="Header2 1 18 2 4 3" xfId="46245" xr:uid="{1646B6FE-6090-4095-93F2-C9554B3D7C8C}"/>
    <cellStyle name="Header2 1 18 2 5" xfId="21213" xr:uid="{8F3A8365-9E02-44AD-A1D0-E0DB5FC9C77F}"/>
    <cellStyle name="Header2 1 18 2 6" xfId="34236" xr:uid="{9FE27BC2-40DD-4151-A227-653D3277D671}"/>
    <cellStyle name="Header2 1 18 3" xfId="4846" xr:uid="{6257DB7B-D8FD-46EB-82B0-2F8801306851}"/>
    <cellStyle name="Header2 1 18 3 2" xfId="7490" xr:uid="{44B79095-A414-403D-B179-C6FF7F043EAE}"/>
    <cellStyle name="Header2 1 18 3 2 2" xfId="11782" xr:uid="{1DD9D08B-4F9E-430D-AC67-97178E403023}"/>
    <cellStyle name="Header2 1 18 3 2 2 2" xfId="28505" xr:uid="{6950B86F-0DD5-46EF-A63F-52FF46C9E417}"/>
    <cellStyle name="Header2 1 18 3 2 2 3" xfId="41717" xr:uid="{EF39B304-CB0B-4EBB-963C-2D9A52DA5A0B}"/>
    <cellStyle name="Header2 1 18 3 2 3" xfId="25045" xr:uid="{BE3169E1-F433-4F4B-A55D-AABC6B28DAFA}"/>
    <cellStyle name="Header2 1 18 3 2 4" xfId="38121" xr:uid="{911B15BC-EA6A-4973-AD97-A67A6F267225}"/>
    <cellStyle name="Header2 1 18 3 3" xfId="17540" xr:uid="{E1D64798-500E-4463-AE5E-50883374552E}"/>
    <cellStyle name="Header2 1 18 3 3 2" xfId="33278" xr:uid="{EA53E92C-77CF-49AA-ADB3-D43C6E2488D8}"/>
    <cellStyle name="Header2 1 18 3 3 3" xfId="47065" xr:uid="{2D0A48DA-B85B-4C9E-80FF-6FC0888DFF1A}"/>
    <cellStyle name="Header2 1 18 3 4" xfId="22646" xr:uid="{710D850A-6B16-4FC8-932F-5D5D9484802A}"/>
    <cellStyle name="Header2 1 18 3 5" xfId="35699" xr:uid="{6853B980-BB7C-4060-8CE7-B461B2EFAD47}"/>
    <cellStyle name="Header2 1 18 4" xfId="5871" xr:uid="{DEBB162E-CA56-4601-8469-28FA671AA3E2}"/>
    <cellStyle name="Header2 1 18 4 2" xfId="9031" xr:uid="{E237B331-8140-4708-BE9F-F958543FF9ED}"/>
    <cellStyle name="Header2 1 18 4 2 2" xfId="12166" xr:uid="{4B611E36-52EF-4AEB-AD4F-8BE166BB7A27}"/>
    <cellStyle name="Header2 1 18 4 2 2 2" xfId="28862" xr:uid="{02BD10E3-EE69-4B15-B4D7-D599DCC15986}"/>
    <cellStyle name="Header2 1 18 4 2 2 3" xfId="42086" xr:uid="{55829A89-BE05-42EB-8468-38A01A078D7F}"/>
    <cellStyle name="Header2 1 18 4 2 3" xfId="26514" xr:uid="{007D0955-389D-40B9-BE69-B80D452F5A45}"/>
    <cellStyle name="Header2 1 18 4 2 4" xfId="39590" xr:uid="{1DD66695-D716-4211-9D54-372C7E8CE828}"/>
    <cellStyle name="Header2 1 18 4 3" xfId="14343" xr:uid="{38F846AF-D7CF-47E6-B058-C1BA1AFB2CB5}"/>
    <cellStyle name="Header2 1 18 4 3 2" xfId="30677" xr:uid="{8BF61C54-AF42-4E71-874C-631410154795}"/>
    <cellStyle name="Header2 1 18 4 3 3" xfId="44073" xr:uid="{754BD2B5-0204-4710-959C-FFF82DF368B5}"/>
    <cellStyle name="Header2 1 18 4 4" xfId="23518" xr:uid="{EAE633A9-E609-41A2-A1F6-729E0BAE884D}"/>
    <cellStyle name="Header2 1 18 4 5" xfId="36599" xr:uid="{E0298348-7E76-4D15-818A-7B06B0988F44}"/>
    <cellStyle name="Header2 1 18 5" xfId="12004" xr:uid="{B59396A3-ACB4-4E79-AE97-CA385A0EB420}"/>
    <cellStyle name="Header2 1 18 5 2" xfId="28708" xr:uid="{B32599CB-A9B2-4B2D-9A8F-7D46E5E8FB27}"/>
    <cellStyle name="Header2 1 18 5 3" xfId="41926" xr:uid="{5ADDEC07-B85B-48A3-8344-5B12FDB7974D}"/>
    <cellStyle name="Header2 1 18 6" xfId="21784" xr:uid="{FD3D0751-5BFC-4CB5-A8C9-EFE8AEEAF53B}"/>
    <cellStyle name="Header2 1 18 7" xfId="34834" xr:uid="{FF545A9B-9DE7-4A09-85BF-AB432CC2A3AC}"/>
    <cellStyle name="Header2 1 19" xfId="3951" xr:uid="{8DFDD607-2590-4FB5-B34A-784C0687C714}"/>
    <cellStyle name="Header2 1 19 2" xfId="3292" xr:uid="{8E251C71-5AEA-421A-A203-D291D183F750}"/>
    <cellStyle name="Header2 1 19 2 2" xfId="8558" xr:uid="{D73B7D91-4F34-4FC9-A67C-01D089D17BD6}"/>
    <cellStyle name="Header2 1 19 2 2 2" xfId="10980" xr:uid="{BAB06A06-E780-4050-92D7-F53DBA56EF72}"/>
    <cellStyle name="Header2 1 19 2 2 2 2" xfId="27789" xr:uid="{70D2499A-38B3-49DE-AD5C-8DB64D1C8BC7}"/>
    <cellStyle name="Header2 1 19 2 2 2 3" xfId="40960" xr:uid="{B9ACE73E-A620-4B4A-B37C-C3386485EC9D}"/>
    <cellStyle name="Header2 1 19 2 2 3" xfId="26056" xr:uid="{3C1CBDCD-C27B-47F6-BB31-8CCEB36163B0}"/>
    <cellStyle name="Header2 1 19 2 2 4" xfId="39132" xr:uid="{E24185C3-439D-4B29-9A21-82DA781F141C}"/>
    <cellStyle name="Header2 1 19 2 3" xfId="6943" xr:uid="{221946C4-5DF8-429E-924A-F989DEFB3CAF}"/>
    <cellStyle name="Header2 1 19 2 3 2" xfId="11977" xr:uid="{B587259C-322D-4D6E-A5F3-DE31F36677F8}"/>
    <cellStyle name="Header2 1 19 2 3 2 2" xfId="28684" xr:uid="{D272AFBF-F843-4C90-B794-90E59014A50B}"/>
    <cellStyle name="Header2 1 19 2 3 2 3" xfId="41902" xr:uid="{3B466FBD-A5A0-4ECA-8669-0768903E5824}"/>
    <cellStyle name="Header2 1 19 2 3 3" xfId="24565" xr:uid="{1ABCAEA8-C465-4497-9600-029668FF97F5}"/>
    <cellStyle name="Header2 1 19 2 3 4" xfId="37646" xr:uid="{71DF4DAE-1377-45FE-B96E-D070E7B2B0A1}"/>
    <cellStyle name="Header2 1 19 2 4" xfId="11506" xr:uid="{DE7B2185-06AE-41C2-B223-5C42D42AD7B2}"/>
    <cellStyle name="Header2 1 19 2 4 2" xfId="28265" xr:uid="{B33546B8-0E7C-4F00-A85F-1E54D10F5C3E}"/>
    <cellStyle name="Header2 1 19 2 4 3" xfId="41462" xr:uid="{9449AFC8-B547-4DCF-9DD5-F48443F061C6}"/>
    <cellStyle name="Header2 1 19 2 5" xfId="21317" xr:uid="{2D6B7723-5C8A-4355-AA73-A7BE08D840C1}"/>
    <cellStyle name="Header2 1 19 2 6" xfId="34340" xr:uid="{0881E5D4-747F-4D41-92C8-D733760AF7EF}"/>
    <cellStyle name="Header2 1 19 3" xfId="4863" xr:uid="{429F67BF-F4F0-4600-A196-7A4672155BC0}"/>
    <cellStyle name="Header2 1 19 3 2" xfId="7531" xr:uid="{E60B7571-43ED-43AB-8C1C-0831777881F1}"/>
    <cellStyle name="Header2 1 19 3 2 2" xfId="10916" xr:uid="{0C44BCFA-0593-4885-A37D-CAC4694914B1}"/>
    <cellStyle name="Header2 1 19 3 2 2 2" xfId="27734" xr:uid="{851D3567-C812-4DE7-8024-F8179D35B67F}"/>
    <cellStyle name="Header2 1 19 3 2 2 3" xfId="40896" xr:uid="{3DA0E53A-8B0A-48B3-A56A-441AD63E7591}"/>
    <cellStyle name="Header2 1 19 3 2 3" xfId="25062" xr:uid="{BD207199-E3FC-4A0C-8FBF-00B7F138B0D6}"/>
    <cellStyle name="Header2 1 19 3 2 4" xfId="38138" xr:uid="{C6C8D8E6-6C68-4009-A56D-AF74B5906C5B}"/>
    <cellStyle name="Header2 1 19 3 3" xfId="15541" xr:uid="{91D63533-0BB5-4561-9E22-7AD9EC9A368F}"/>
    <cellStyle name="Header2 1 19 3 3 2" xfId="31675" xr:uid="{3E75D1F8-26AC-4069-80BE-739CB9429292}"/>
    <cellStyle name="Header2 1 19 3 3 3" xfId="45174" xr:uid="{741E72EC-678E-4A01-A420-C511F39FF9B3}"/>
    <cellStyle name="Header2 1 19 3 4" xfId="22663" xr:uid="{B54992C7-4427-45C8-B31A-F746B7B2E3CD}"/>
    <cellStyle name="Header2 1 19 3 5" xfId="35716" xr:uid="{5507B93A-0504-456A-8B34-2A949C079C3F}"/>
    <cellStyle name="Header2 1 19 4" xfId="5888" xr:uid="{C3212083-3A93-4785-B23F-ADE691A11801}"/>
    <cellStyle name="Header2 1 19 4 2" xfId="9048" xr:uid="{6CDFBB61-FB88-4F7B-9B2A-AABBD9442DEA}"/>
    <cellStyle name="Header2 1 19 4 2 2" xfId="11206" xr:uid="{4F28E6B6-CD34-45C1-A4FA-27FB10D52876}"/>
    <cellStyle name="Header2 1 19 4 2 2 2" xfId="28000" xr:uid="{66DBD267-3244-4353-945A-61B755D62F5F}"/>
    <cellStyle name="Header2 1 19 4 2 2 3" xfId="41182" xr:uid="{690ADF86-86B3-4BEA-B2DB-E832DC91B3C1}"/>
    <cellStyle name="Header2 1 19 4 2 3" xfId="26531" xr:uid="{6B100763-31DE-42A2-95B6-365384F8E203}"/>
    <cellStyle name="Header2 1 19 4 2 4" xfId="39607" xr:uid="{A1B90473-4419-4B7D-95F2-3016BCB426E8}"/>
    <cellStyle name="Header2 1 19 4 3" xfId="14717" xr:uid="{ADD0D69D-82E5-4508-A2E0-10FACA77A2CA}"/>
    <cellStyle name="Header2 1 19 4 3 2" xfId="31004" xr:uid="{310BFEFF-9617-4362-B420-E49FC25F1652}"/>
    <cellStyle name="Header2 1 19 4 3 3" xfId="44427" xr:uid="{58C563DE-226A-4B18-846C-1EF0F650130D}"/>
    <cellStyle name="Header2 1 19 4 4" xfId="23535" xr:uid="{A7728F9F-4E8B-459C-BA79-A80475A6CF0D}"/>
    <cellStyle name="Header2 1 19 4 5" xfId="36616" xr:uid="{B396767C-2BA9-40BB-B768-EF9DDB6BAEE9}"/>
    <cellStyle name="Header2 1 19 5" xfId="13435" xr:uid="{0372B983-C304-4DD2-8739-AF74B86C3F7A}"/>
    <cellStyle name="Header2 1 19 5 2" xfId="29900" xr:uid="{DCFFDB43-13C3-4FAA-AC21-501DB3E29A42}"/>
    <cellStyle name="Header2 1 19 5 3" xfId="43238" xr:uid="{B08140C3-419B-4CC3-BCC5-032B661B9895}"/>
    <cellStyle name="Header2 1 19 6" xfId="21801" xr:uid="{A78D7285-154D-45C7-B4AB-D5780F268D6A}"/>
    <cellStyle name="Header2 1 19 7" xfId="34851" xr:uid="{F7A03122-7394-4900-9F9C-1C9E960D2582}"/>
    <cellStyle name="Header2 1 2" xfId="3406" xr:uid="{8AC7E781-5813-436D-8840-731E45CF2E87}"/>
    <cellStyle name="Header2 1 2 10" xfId="20482" xr:uid="{1A4F9213-3C29-4068-9795-A8CA4071775C}"/>
    <cellStyle name="Header2 1 2 11" xfId="34428" xr:uid="{D46894D9-F81A-4473-89F0-38176FD94878}"/>
    <cellStyle name="Header2 1 2 2" xfId="2751" xr:uid="{0C1DC116-FAAF-41DC-BF0E-A0CE8977A1F6}"/>
    <cellStyle name="Header2 1 2 2 2" xfId="5094" xr:uid="{57C849E0-C73F-48B1-9770-516EB677F649}"/>
    <cellStyle name="Header2 1 2 2 2 2" xfId="8047" xr:uid="{E39EA53B-DCED-463C-B5C8-62645F76B489}"/>
    <cellStyle name="Header2 1 2 2 2 2 2" xfId="11245" xr:uid="{95C71F81-DF49-451B-9F3F-7EFD413DF903}"/>
    <cellStyle name="Header2 1 2 2 2 2 2 2" xfId="28035" xr:uid="{6B6DE350-BD70-42E7-A375-A981C3E23042}"/>
    <cellStyle name="Header2 1 2 2 2 2 2 3" xfId="41217" xr:uid="{CEAA697D-2211-41AE-8C7F-21E3A5C00300}"/>
    <cellStyle name="Header2 1 2 2 2 2 3" xfId="25560" xr:uid="{55E31A38-EE64-4D50-BC96-61CDCB5746E6}"/>
    <cellStyle name="Header2 1 2 2 2 2 4" xfId="38636" xr:uid="{C7D016E1-85F3-449A-9A7C-35C2BE5E7275}"/>
    <cellStyle name="Header2 1 2 2 2 3" xfId="11607" xr:uid="{D5535DF3-A14E-4DBA-B090-1A2E00CB0E7D}"/>
    <cellStyle name="Header2 1 2 2 2 3 2" xfId="28355" xr:uid="{97DFFDB5-0265-44E2-8750-F91752718EB3}"/>
    <cellStyle name="Header2 1 2 2 2 3 3" xfId="41556" xr:uid="{2F2967AF-CFCC-4B3D-AEF2-8B44FB4BE992}"/>
    <cellStyle name="Header2 1 2 2 2 4" xfId="22819" xr:uid="{33B6CF03-A236-489B-B2A5-4F40DB1D4079}"/>
    <cellStyle name="Header2 1 2 2 2 5" xfId="35889" xr:uid="{3425F730-A727-439F-9657-5E8DEB306F55}"/>
    <cellStyle name="Header2 1 2 2 3" xfId="6414" xr:uid="{EC1D9EF6-344F-4B45-B37B-BF48B5105B28}"/>
    <cellStyle name="Header2 1 2 2 3 2" xfId="16893" xr:uid="{14DD96AE-DDAE-4964-93BF-F8D134C7B68D}"/>
    <cellStyle name="Header2 1 2 2 3 2 2" xfId="32769" xr:uid="{F8C6DE3F-117E-469B-9E1C-9E0821249342}"/>
    <cellStyle name="Header2 1 2 2 3 2 3" xfId="46435" xr:uid="{816D8E1B-B2FD-4001-BBB1-6A84D2C92259}"/>
    <cellStyle name="Header2 1 2 2 3 3" xfId="24051" xr:uid="{08E125F7-1432-4D45-8729-1BAA1EC904E7}"/>
    <cellStyle name="Header2 1 2 2 3 4" xfId="37132" xr:uid="{3D3C0B80-1AFE-43D8-8820-F8C5F12DB98E}"/>
    <cellStyle name="Header2 1 2 2 4" xfId="11323" xr:uid="{19B7AC33-B60D-46FB-B668-C34F05683FE4}"/>
    <cellStyle name="Header2 1 2 2 4 2" xfId="28102" xr:uid="{F0379151-519D-480B-B0FC-EC386A1596E6}"/>
    <cellStyle name="Header2 1 2 2 4 3" xfId="41290" xr:uid="{C7D9808C-9581-419D-B82B-7526C4366758}"/>
    <cellStyle name="Header2 1 2 2 5" xfId="20803" xr:uid="{827F35AF-98C5-4E59-98FD-001D106EE9B1}"/>
    <cellStyle name="Header2 1 2 2 6" xfId="33826" xr:uid="{3F74734A-F87A-4CA0-BEA2-756F274C0791}"/>
    <cellStyle name="Header2 1 2 3" xfId="4047" xr:uid="{E5CBE3BC-76FB-44FB-8F53-157A34248011}"/>
    <cellStyle name="Header2 1 2 3 2" xfId="5190" xr:uid="{5AA202C7-A779-47B0-818C-D367F9ECBF83}"/>
    <cellStyle name="Header2 1 2 3 2 2" xfId="9100" xr:uid="{8A6C6777-54AB-4B6B-AFB6-AB486AACDE79}"/>
    <cellStyle name="Header2 1 2 3 2 2 2" xfId="14397" xr:uid="{02FAB9FA-3094-422C-8BC6-99E61585E583}"/>
    <cellStyle name="Header2 1 2 3 2 2 2 2" xfId="30729" xr:uid="{B07B8C70-4047-4EEF-968B-8D0AEC3B205A}"/>
    <cellStyle name="Header2 1 2 3 2 2 2 3" xfId="44127" xr:uid="{B1E3A65D-24C5-4E01-B219-577CD3F57E0D}"/>
    <cellStyle name="Header2 1 2 3 2 2 3" xfId="26581" xr:uid="{2440EE89-2916-4772-9306-0A31ADF6D5D9}"/>
    <cellStyle name="Header2 1 2 3 2 2 4" xfId="39657" xr:uid="{80AF668F-4EB6-4E73-AF0D-BA5E3D24864A}"/>
    <cellStyle name="Header2 1 2 3 2 3" xfId="14075" xr:uid="{5D2489C0-DF63-4527-97C8-0365DABEC37A}"/>
    <cellStyle name="Header2 1 2 3 2 3 2" xfId="30443" xr:uid="{A6E88C48-3655-4F4A-B986-0134F3C1C27C}"/>
    <cellStyle name="Header2 1 2 3 2 3 3" xfId="43826" xr:uid="{1D920B9A-AA61-4E83-AD20-7D60EC44C82F}"/>
    <cellStyle name="Header2 1 2 3 2 4" xfId="22866" xr:uid="{F16DDCE7-6A3D-4552-BDB2-1BD6D5E878A8}"/>
    <cellStyle name="Header2 1 2 3 2 5" xfId="35935" xr:uid="{8FBF8079-08B1-45F9-BDC4-B60C77017EBE}"/>
    <cellStyle name="Header2 1 2 3 3" xfId="7612" xr:uid="{96329DEB-32E2-4D79-B3FC-964F7DCBE0AD}"/>
    <cellStyle name="Header2 1 2 3 3 2" xfId="17161" xr:uid="{E6FF52B0-C87E-450A-BC18-7C9C8CC3CD1A}"/>
    <cellStyle name="Header2 1 2 3 3 2 2" xfId="32924" xr:uid="{93450DC0-6A70-4FFE-99E4-814152A90ACE}"/>
    <cellStyle name="Header2 1 2 3 3 2 3" xfId="46696" xr:uid="{62921D1D-060D-49FB-A8BF-4E624116FA6C}"/>
    <cellStyle name="Header2 1 2 3 3 3" xfId="25140" xr:uid="{623B2AF6-8572-4125-A923-62575BD258EB}"/>
    <cellStyle name="Header2 1 2 3 3 4" xfId="38216" xr:uid="{AEC8B196-0437-4D2C-BE7A-FF3BE1683CC8}"/>
    <cellStyle name="Header2 1 2 3 4" xfId="12761" xr:uid="{1A1E26A8-96CD-428A-AD62-8218BAC8D4D2}"/>
    <cellStyle name="Header2 1 2 3 4 2" xfId="29338" xr:uid="{77EDB161-64F6-44B7-B61D-3426127D67EF}"/>
    <cellStyle name="Header2 1 2 3 4 3" xfId="42618" xr:uid="{5033F5B3-DFCC-4E98-AADF-5613F3AF13B0}"/>
    <cellStyle name="Header2 1 2 3 5" xfId="21881" xr:uid="{E021053A-8C1D-4D5B-AC43-CCEC3405F090}"/>
    <cellStyle name="Header2 1 2 3 6" xfId="34930" xr:uid="{4659CFD2-D2BF-42DF-9509-CFB68BD0E9CD}"/>
    <cellStyle name="Header2 1 2 4" xfId="2602" xr:uid="{48A5F749-5B92-4345-8D40-79A79CCB8F67}"/>
    <cellStyle name="Header2 1 2 4 2" xfId="5003" xr:uid="{221F3F98-FDFA-4927-8203-38CD5AD40976}"/>
    <cellStyle name="Header2 1 2 4 2 2" xfId="7899" xr:uid="{A03BFCE6-6721-4882-81B3-BC732CD9EC15}"/>
    <cellStyle name="Header2 1 2 4 2 2 2" xfId="11251" xr:uid="{2444856C-7A04-4094-92FB-EC12001BB738}"/>
    <cellStyle name="Header2 1 2 4 2 2 2 2" xfId="28041" xr:uid="{9800915A-47A7-41DD-B5A0-77BA8DF0D2D5}"/>
    <cellStyle name="Header2 1 2 4 2 2 2 3" xfId="41223" xr:uid="{6CBB1152-2308-4175-90A9-C37706CB6B2E}"/>
    <cellStyle name="Header2 1 2 4 2 2 3" xfId="25416" xr:uid="{D37E4E2D-FD08-4FB7-8D82-A2C180A8B2AC}"/>
    <cellStyle name="Header2 1 2 4 2 2 4" xfId="38492" xr:uid="{623736A9-F565-452C-99C4-325743E331F6}"/>
    <cellStyle name="Header2 1 2 4 2 3" xfId="13440" xr:uid="{0D3C0E16-CC65-45CC-9BFE-C2E393960D66}"/>
    <cellStyle name="Header2 1 2 4 2 3 2" xfId="29904" xr:uid="{43A42269-D505-49AA-8677-E99C72CA0196}"/>
    <cellStyle name="Header2 1 2 4 2 3 3" xfId="43242" xr:uid="{F39EE6D8-AF2E-45BE-9287-752014789109}"/>
    <cellStyle name="Header2 1 2 4 2 4" xfId="22768" xr:uid="{21968109-2CAE-434B-B79F-40AACB5F28C3}"/>
    <cellStyle name="Header2 1 2 4 2 5" xfId="35827" xr:uid="{D001472F-3C2A-4603-8734-7225A4D5CE5D}"/>
    <cellStyle name="Header2 1 2 4 3" xfId="6266" xr:uid="{308F2378-D287-4208-9291-B40414AEF38B}"/>
    <cellStyle name="Header2 1 2 4 3 2" xfId="14228" xr:uid="{3D3901D5-1D42-4D3F-A0A4-91DCD2D1AD0C}"/>
    <cellStyle name="Header2 1 2 4 3 2 2" xfId="30573" xr:uid="{B3603312-752F-4DD7-B3EF-EDA96E3B53D4}"/>
    <cellStyle name="Header2 1 2 4 3 2 3" xfId="43965" xr:uid="{8B0FA39A-F554-4C2E-A78B-DFC962CE285B}"/>
    <cellStyle name="Header2 1 2 4 3 3" xfId="23907" xr:uid="{43152D56-A7C5-4A51-A668-C678CBBC4A78}"/>
    <cellStyle name="Header2 1 2 4 3 4" xfId="36988" xr:uid="{7312B479-D3EB-49F9-825F-6A60EC370857}"/>
    <cellStyle name="Header2 1 2 4 4" xfId="13668" xr:uid="{86B9A219-F7C2-42E1-B51F-C0B2482EED5B}"/>
    <cellStyle name="Header2 1 2 4 4 2" xfId="30093" xr:uid="{798B6D5B-A461-42A0-BBE8-FF4BA325A48C}"/>
    <cellStyle name="Header2 1 2 4 4 3" xfId="43452" xr:uid="{237AA5A4-4B6D-4AAC-BC14-A73AD8CAAAE3}"/>
    <cellStyle name="Header2 1 2 4 5" xfId="20659" xr:uid="{00DB4E5A-76F9-4ECC-B1A7-7C79E63C8694}"/>
    <cellStyle name="Header2 1 2 4 6" xfId="33682" xr:uid="{4109F0E0-EAE8-424C-95EC-FF614662F58A}"/>
    <cellStyle name="Header2 1 2 5" xfId="4267" xr:uid="{7461B1F9-52BB-49CB-BEAC-1A9FB27686FC}"/>
    <cellStyle name="Header2 1 2 5 2" xfId="4980" xr:uid="{988391C6-A5FC-4196-8BDF-54E86FD36932}"/>
    <cellStyle name="Header2 1 2 5 2 2" xfId="9319" xr:uid="{FB0443A2-0E65-4DE6-A86A-4154D266B8B3}"/>
    <cellStyle name="Header2 1 2 5 2 2 2" xfId="16318" xr:uid="{82EDA993-1629-4EFC-A377-53DE61C45821}"/>
    <cellStyle name="Header2 1 2 5 2 2 2 2" xfId="32344" xr:uid="{9EEB5AE1-84C3-41CB-94AF-F0838FD59A7C}"/>
    <cellStyle name="Header2 1 2 5 2 2 2 3" xfId="45875" xr:uid="{63D43BB6-6D1E-4D18-9462-83B2E90D59BA}"/>
    <cellStyle name="Header2 1 2 5 2 2 3" xfId="26792" xr:uid="{7CDBC544-2DD4-44DB-878B-CA65C2DBA4FF}"/>
    <cellStyle name="Header2 1 2 5 2 2 4" xfId="39868" xr:uid="{4EA9300F-B19D-41B9-9558-53E4FE69802E}"/>
    <cellStyle name="Header2 1 2 5 2 3" xfId="13371" xr:uid="{EB6701DF-D278-405A-A1CC-6CC3E1A5EDC1}"/>
    <cellStyle name="Header2 1 2 5 2 3 2" xfId="29845" xr:uid="{3090651B-6B1A-42FC-BFB4-FCF7C61CC206}"/>
    <cellStyle name="Header2 1 2 5 2 3 3" xfId="43180" xr:uid="{E221109B-9E67-423A-929E-11CE054494F2}"/>
    <cellStyle name="Header2 1 2 5 2 4" xfId="22752" xr:uid="{9043EC28-4A8E-44BB-8AB1-D2649831511E}"/>
    <cellStyle name="Header2 1 2 5 2 5" xfId="35809" xr:uid="{3DB43A7A-7B53-488A-B839-84F6DCC89522}"/>
    <cellStyle name="Header2 1 2 5 3" xfId="7831" xr:uid="{0C5946D9-9488-4DF2-A2AF-6A2A001316AB}"/>
    <cellStyle name="Header2 1 2 5 3 2" xfId="17368" xr:uid="{74DD812C-6723-4E07-8540-6404643BD3C7}"/>
    <cellStyle name="Header2 1 2 5 3 2 2" xfId="33122" xr:uid="{02AA6768-9E77-40A8-A378-DDFA3A712602}"/>
    <cellStyle name="Header2 1 2 5 3 2 3" xfId="46898" xr:uid="{0A1DA7B7-E138-4545-B9E6-38F497588EA4}"/>
    <cellStyle name="Header2 1 2 5 3 3" xfId="25351" xr:uid="{C147533B-6583-4E9B-91BB-6C3F84E2159F}"/>
    <cellStyle name="Header2 1 2 5 3 4" xfId="38427" xr:uid="{7000947C-6C1E-42D5-A473-4CCDE81C7BD9}"/>
    <cellStyle name="Header2 1 2 5 4" xfId="12795" xr:uid="{B458E1B6-11C3-44C7-82CF-D7C6F05C9B1E}"/>
    <cellStyle name="Header2 1 2 5 4 2" xfId="29370" xr:uid="{0D66F614-0654-49AC-B87C-A4CDB04CB851}"/>
    <cellStyle name="Header2 1 2 5 4 3" xfId="42650" xr:uid="{D005A187-A301-4C89-8D47-013B08CCB3D3}"/>
    <cellStyle name="Header2 1 2 5 5" xfId="22092" xr:uid="{967B1F3F-F47E-4CB0-AE00-6AC068F7ED53}"/>
    <cellStyle name="Header2 1 2 5 6" xfId="35141" xr:uid="{8C587802-C441-4F8F-9AAA-C3127F993849}"/>
    <cellStyle name="Header2 1 2 6" xfId="4413" xr:uid="{D011776F-A466-47D9-BC5B-D51817E1D30B}"/>
    <cellStyle name="Header2 1 2 6 2" xfId="7048" xr:uid="{5218E444-594B-4C9B-9B45-9B1B04ECD452}"/>
    <cellStyle name="Header2 1 2 6 2 2" xfId="14168" xr:uid="{9F002BF7-6D94-4523-B0D8-6C3BB303A36A}"/>
    <cellStyle name="Header2 1 2 6 2 2 2" xfId="30523" xr:uid="{97223906-6A41-4B5B-AB1D-498662780131}"/>
    <cellStyle name="Header2 1 2 6 2 2 3" xfId="43909" xr:uid="{D18847E0-DF97-4DB3-B17C-9B4108C43024}"/>
    <cellStyle name="Header2 1 2 6 2 3" xfId="24653" xr:uid="{9A9D55C3-9457-4627-A389-68B78CA88F5A}"/>
    <cellStyle name="Header2 1 2 6 2 4" xfId="37734" xr:uid="{72E8ACDD-D167-4CE9-AADD-CCA90B39ED8E}"/>
    <cellStyle name="Header2 1 2 6 3" xfId="13882" xr:uid="{97BFC563-36A9-4467-A4B4-0F1CEF6E8B0B}"/>
    <cellStyle name="Header2 1 2 6 3 2" xfId="30277" xr:uid="{F311E421-684A-4888-841E-23147F6C8CA3}"/>
    <cellStyle name="Header2 1 2 6 3 3" xfId="43649" xr:uid="{D87A0FB1-46D8-4D52-A56A-B258A8D43E89}"/>
    <cellStyle name="Header2 1 2 6 4" xfId="22232" xr:uid="{02022DE4-64CE-44E6-ADBC-878560FE60D7}"/>
    <cellStyle name="Header2 1 2 6 5" xfId="35281" xr:uid="{E2756E1F-3C7F-4647-BA39-BC94EE72FA83}"/>
    <cellStyle name="Header2 1 2 7" xfId="5467" xr:uid="{F5F2048E-4342-41B4-8EE7-D0469092A955}"/>
    <cellStyle name="Header2 1 2 7 2" xfId="8647" xr:uid="{CD1BE339-BC1C-44D3-9ED5-D3383BFF05EE}"/>
    <cellStyle name="Header2 1 2 7 2 2" xfId="15817" xr:uid="{ABFB9A59-F8A1-468F-BC89-2EA3A114AA60}"/>
    <cellStyle name="Header2 1 2 7 2 2 2" xfId="31912" xr:uid="{F9955157-576A-497E-BFFB-002E8F8F7153}"/>
    <cellStyle name="Header2 1 2 7 2 2 3" xfId="45424" xr:uid="{0FC18B2A-48DC-48C6-BDFD-B7B8CCDF954C}"/>
    <cellStyle name="Header2 1 2 7 2 3" xfId="26142" xr:uid="{98D5F2C6-C5B1-404D-9FDB-9F3199B307CC}"/>
    <cellStyle name="Header2 1 2 7 2 4" xfId="39218" xr:uid="{4D33DFBB-A215-4731-86E9-568D30DBC2ED}"/>
    <cellStyle name="Header2 1 2 7 3" xfId="17180" xr:uid="{8A36EAC9-7BED-4295-A455-48EEE8BC43BA}"/>
    <cellStyle name="Header2 1 2 7 3 2" xfId="32943" xr:uid="{58E2B328-B24E-43CC-B6D6-040EA30883A2}"/>
    <cellStyle name="Header2 1 2 7 3 3" xfId="46715" xr:uid="{6DED81EE-4E7D-4D59-B7C5-E9F1652CAE55}"/>
    <cellStyle name="Header2 1 2 7 4" xfId="23114" xr:uid="{358475E8-301B-4300-8C72-B24BDB60C491}"/>
    <cellStyle name="Header2 1 2 7 5" xfId="36195" xr:uid="{4BEEEA75-E93F-4795-9061-5A1EEBA3AD2E}"/>
    <cellStyle name="Header2 1 2 8" xfId="11321" xr:uid="{262AE540-522A-44C5-9BF5-0B1B6D9CCFAA}"/>
    <cellStyle name="Header2 1 2 8 2" xfId="28100" xr:uid="{EAD9BE24-C215-4477-8D8C-8717322EE7FA}"/>
    <cellStyle name="Header2 1 2 8 3" xfId="41288" xr:uid="{2D93C7B1-B54D-4F1D-961C-AC49D9C20369}"/>
    <cellStyle name="Header2 1 2 9" xfId="17729" xr:uid="{2BE5382E-AB25-409A-8A67-09EE23937D80}"/>
    <cellStyle name="Header2 1 2 9 2" xfId="33451" xr:uid="{7210C49E-0079-423D-A288-5767BB62F6AA}"/>
    <cellStyle name="Header2 1 2 9 3" xfId="47235" xr:uid="{BC6FAEAA-5E01-4BAE-BC53-EF6FF492F98B}"/>
    <cellStyle name="Header2 1 20" xfId="3078" xr:uid="{FBC7528E-92AD-49C4-813F-99345486A3DE}"/>
    <cellStyle name="Header2 1 20 2" xfId="4969" xr:uid="{5FC153F3-9188-4CA5-8BE9-A3FD28958F25}"/>
    <cellStyle name="Header2 1 20 2 2" xfId="8370" xr:uid="{ED33ADAD-BD88-47C9-A724-CD73A214B195}"/>
    <cellStyle name="Header2 1 20 2 2 2" xfId="12595" xr:uid="{40A080E3-C300-4953-9087-4E96E13FBE82}"/>
    <cellStyle name="Header2 1 20 2 2 2 2" xfId="29210" xr:uid="{5C42A44D-43CB-455E-B8F3-EA68E6D1DCF7}"/>
    <cellStyle name="Header2 1 20 2 2 2 3" xfId="42474" xr:uid="{3D56B5A6-F503-4E75-86F9-3B062A53B270}"/>
    <cellStyle name="Header2 1 20 2 2 3" xfId="25874" xr:uid="{FD27AB80-C56A-4F6F-94E7-FDFFC46182A9}"/>
    <cellStyle name="Header2 1 20 2 2 4" xfId="38950" xr:uid="{30DD5496-12ED-46B1-95A8-44BA60AB2F54}"/>
    <cellStyle name="Header2 1 20 2 3" xfId="11473" xr:uid="{D09C0179-42C9-49E5-ABB5-A44B851D4DA3}"/>
    <cellStyle name="Header2 1 20 2 3 2" xfId="28237" xr:uid="{1A370EBA-C1CC-450A-9710-A11EE592CACE}"/>
    <cellStyle name="Header2 1 20 2 3 3" xfId="41432" xr:uid="{C948AB17-59C3-4866-80B5-507796E48BAB}"/>
    <cellStyle name="Header2 1 20 2 4" xfId="22746" xr:uid="{2161B4F4-3539-4824-91E2-3EB98FDC1DC6}"/>
    <cellStyle name="Header2 1 20 2 5" xfId="35802" xr:uid="{D1F74B39-85D2-45A3-99ED-F8B7267F8C83}"/>
    <cellStyle name="Header2 1 20 3" xfId="6737" xr:uid="{9701A9AD-EADF-424A-8F6A-D514636FF4F1}"/>
    <cellStyle name="Header2 1 20 3 2" xfId="13595" xr:uid="{BE9829E5-E6C7-49F5-8670-B4337A84D63B}"/>
    <cellStyle name="Header2 1 20 3 2 2" xfId="30035" xr:uid="{EE4FAE0E-9C6E-4AE2-8D56-A6B23E674D8B}"/>
    <cellStyle name="Header2 1 20 3 2 3" xfId="43387" xr:uid="{B9781BF0-DC81-46DA-ACD1-A7B7FE611929}"/>
    <cellStyle name="Header2 1 20 3 3" xfId="24365" xr:uid="{D139D35E-A1CB-4C41-84E9-7593F192400D}"/>
    <cellStyle name="Header2 1 20 3 4" xfId="37446" xr:uid="{7F7834D0-AEC6-423D-9AEF-7A933722C70F}"/>
    <cellStyle name="Header2 1 20 4" xfId="13208" xr:uid="{C708826D-671E-4CE7-BC54-B52837782D9F}"/>
    <cellStyle name="Header2 1 20 4 2" xfId="29709" xr:uid="{48B3DD00-0497-46B0-91A0-4F97875609C6}"/>
    <cellStyle name="Header2 1 20 4 3" xfId="43028" xr:uid="{62BBAD4B-C418-4296-9D4D-5A6E95CFEC1E}"/>
    <cellStyle name="Header2 1 20 5" xfId="21117" xr:uid="{A0C7ACF9-28A5-47BB-8998-236F470CAB79}"/>
    <cellStyle name="Header2 1 20 6" xfId="34140" xr:uid="{570A1269-29A9-404D-8B50-3FA995926413}"/>
    <cellStyle name="Header2 1 21" xfId="2631" xr:uid="{B451BD6F-95A5-4971-8C4B-179010699B3B}"/>
    <cellStyle name="Header2 1 21 2" xfId="7928" xr:uid="{B98324F6-ADE2-4A97-BB8D-20B599E9F7ED}"/>
    <cellStyle name="Header2 1 21 2 2" xfId="12039" xr:uid="{B37DCBD7-1876-46F2-84AD-9E702E6E3FE5}"/>
    <cellStyle name="Header2 1 21 2 2 2" xfId="28740" xr:uid="{39AF3113-120D-47F3-8499-0CAEFA43DBD0}"/>
    <cellStyle name="Header2 1 21 2 2 3" xfId="41959" xr:uid="{C9E410D7-FD4F-43AC-A18C-C17C7B18B966}"/>
    <cellStyle name="Header2 1 21 2 3" xfId="25444" xr:uid="{B6ADD42D-0528-4216-9902-811C19E9912A}"/>
    <cellStyle name="Header2 1 21 2 4" xfId="38520" xr:uid="{4D4F3142-4804-4485-A7A0-262C2C9D4C18}"/>
    <cellStyle name="Header2 1 21 3" xfId="6295" xr:uid="{F20A09DD-2BDC-4552-8045-7B710FC42846}"/>
    <cellStyle name="Header2 1 21 3 2" xfId="13503" xr:uid="{2AC4ED68-BF8E-467E-B5FE-014555706184}"/>
    <cellStyle name="Header2 1 21 3 2 2" xfId="29961" xr:uid="{C529DF86-3E1B-45C1-B7F8-53C4A0D21DA8}"/>
    <cellStyle name="Header2 1 21 3 2 3" xfId="43302" xr:uid="{FA736607-046A-4894-BC13-CDA8CEFDC09E}"/>
    <cellStyle name="Header2 1 21 3 3" xfId="23935" xr:uid="{B4593733-C275-4B76-96AA-FFD55D327C9B}"/>
    <cellStyle name="Header2 1 21 3 4" xfId="37016" xr:uid="{997CEC5F-BF88-428E-B5EB-B89289BAECE3}"/>
    <cellStyle name="Header2 1 21 4" xfId="11086" xr:uid="{D0754B0D-7B24-444D-A657-852485B30EB8}"/>
    <cellStyle name="Header2 1 21 4 2" xfId="27887" xr:uid="{98D951F0-20FC-4A91-B51F-D26BB5F74D2C}"/>
    <cellStyle name="Header2 1 21 4 3" xfId="41065" xr:uid="{DC2B553C-CBD2-4C40-99B2-784EAFB1CC0A}"/>
    <cellStyle name="Header2 1 21 5" xfId="20687" xr:uid="{D74692F1-B030-4101-BBBB-C93E3A7EBCBF}"/>
    <cellStyle name="Header2 1 21 6" xfId="33710" xr:uid="{30486EC6-0D86-4D43-BA83-CFA3916C293C}"/>
    <cellStyle name="Header2 1 22" xfId="4079" xr:uid="{BBA8F48E-D6D9-4AA8-BBAE-5FB6CA835A3E}"/>
    <cellStyle name="Header2 1 22 2" xfId="9131" xr:uid="{4DD49446-D047-4943-BA0D-F6E03C12EB2B}"/>
    <cellStyle name="Header2 1 22 2 2" xfId="15649" xr:uid="{524D86E0-E4E6-4E3A-8A4A-808623C238B0}"/>
    <cellStyle name="Header2 1 22 2 2 2" xfId="31767" xr:uid="{C5394BF7-A152-4045-ACB2-EE9E03DD910A}"/>
    <cellStyle name="Header2 1 22 2 2 3" xfId="45272" xr:uid="{4FD4FF10-4A0F-45AA-9487-F8DFA89011FF}"/>
    <cellStyle name="Header2 1 22 2 3" xfId="26612" xr:uid="{2A4A08FC-44C8-4175-9AE0-2E3D890657F6}"/>
    <cellStyle name="Header2 1 22 2 4" xfId="39688" xr:uid="{C37B9B94-F189-4DE9-86D8-C96DCC3D455B}"/>
    <cellStyle name="Header2 1 22 3" xfId="7643" xr:uid="{088AD23D-A949-470D-8431-2CFCF0696615}"/>
    <cellStyle name="Header2 1 22 3 2" xfId="11868" xr:uid="{62646CE6-5CBB-4F25-BE2D-1C15979931D4}"/>
    <cellStyle name="Header2 1 22 3 2 2" xfId="28584" xr:uid="{84E9060B-6F60-46C4-9714-FC811530C3C7}"/>
    <cellStyle name="Header2 1 22 3 2 3" xfId="41800" xr:uid="{62C096D8-3BA1-4603-815F-B5EEDC590401}"/>
    <cellStyle name="Header2 1 22 3 3" xfId="25171" xr:uid="{7D5BF26B-87CA-4DFB-BFC1-4641FFBA4CE6}"/>
    <cellStyle name="Header2 1 22 3 4" xfId="38247" xr:uid="{5D0D0251-6285-4561-80E4-20FF5928AEEC}"/>
    <cellStyle name="Header2 1 22 4" xfId="11956" xr:uid="{18466642-03F2-4E38-ABA0-BE47673F7406}"/>
    <cellStyle name="Header2 1 22 4 2" xfId="28665" xr:uid="{18BCE869-8273-432C-9928-903B94723D81}"/>
    <cellStyle name="Header2 1 22 4 3" xfId="41883" xr:uid="{E6EB817C-7188-43A0-86B3-9B8F0A7EEE2D}"/>
    <cellStyle name="Header2 1 22 5" xfId="21912" xr:uid="{48D1E551-12CD-4E8D-A03A-757C42BC5DBA}"/>
    <cellStyle name="Header2 1 22 6" xfId="34961" xr:uid="{242B5D78-5F07-440A-A772-24B0D28B6500}"/>
    <cellStyle name="Header2 1 23" xfId="2539" xr:uid="{88CBABC8-CECD-4EF4-A288-44E3E0B77B90}"/>
    <cellStyle name="Header2 1 23 2" xfId="7837" xr:uid="{907FDD9B-D145-4CCF-9288-D63BC02BE129}"/>
    <cellStyle name="Header2 1 23 2 2" xfId="10892" xr:uid="{1EC51C7D-D708-4E4A-ABD4-00719674A2E4}"/>
    <cellStyle name="Header2 1 23 2 2 2" xfId="27714" xr:uid="{1DD1296C-9992-4DD6-9423-28C51896DB78}"/>
    <cellStyle name="Header2 1 23 2 2 3" xfId="40872" xr:uid="{C43E341C-F8C1-4D1C-84FB-82B6519C7B71}"/>
    <cellStyle name="Header2 1 23 2 3" xfId="25357" xr:uid="{1196BDD2-9709-4114-AB65-FF65C13E2F09}"/>
    <cellStyle name="Header2 1 23 2 4" xfId="38433" xr:uid="{265AD3E0-3DAE-408C-A432-1E1B6259D6E7}"/>
    <cellStyle name="Header2 1 23 3" xfId="6204" xr:uid="{DB24FF61-5E68-49F7-805F-02159ED103C1}"/>
    <cellStyle name="Header2 1 23 3 2" xfId="17247" xr:uid="{C3B0EA72-17D2-48E2-A0A2-00BC7F7AC958}"/>
    <cellStyle name="Header2 1 23 3 2 2" xfId="33006" xr:uid="{9B4B3334-70E1-49A6-A338-D1D4C2D42777}"/>
    <cellStyle name="Header2 1 23 3 2 3" xfId="46781" xr:uid="{A89A46BC-245B-4358-B2A2-FE1EBE305192}"/>
    <cellStyle name="Header2 1 23 3 3" xfId="23848" xr:uid="{2A4B33B9-4EA5-4117-9BEB-34B986EF0DFD}"/>
    <cellStyle name="Header2 1 23 3 4" xfId="36929" xr:uid="{C3E99639-723A-4707-A80C-4D0907D9A832}"/>
    <cellStyle name="Header2 1 23 4" xfId="13214" xr:uid="{1C42B890-8325-4835-8887-0E9368ACAB30}"/>
    <cellStyle name="Header2 1 23 4 2" xfId="29715" xr:uid="{FAFDE55F-DF72-4ABB-AF88-531E100FD7E3}"/>
    <cellStyle name="Header2 1 23 4 3" xfId="43034" xr:uid="{E8033F98-CB53-441F-9946-5CCC9A128186}"/>
    <cellStyle name="Header2 1 23 5" xfId="20600" xr:uid="{FB0E4EF8-A560-40C1-B7DA-C44A81EF0024}"/>
    <cellStyle name="Header2 1 23 6" xfId="33623" xr:uid="{A5F30E72-C402-44D6-9A2E-0A514EA1CA03}"/>
    <cellStyle name="Header2 1 24" xfId="4106" xr:uid="{31716626-0910-4AD8-B789-70CAF55FDD66}"/>
    <cellStyle name="Header2 1 24 2" xfId="9158" xr:uid="{E2FB7FCB-E12D-46BA-BD62-934A03DED0E1}"/>
    <cellStyle name="Header2 1 24 2 2" xfId="14280" xr:uid="{B42E72DD-E7FD-4C69-BB3C-8F8F97E9509D}"/>
    <cellStyle name="Header2 1 24 2 2 2" xfId="30620" xr:uid="{CAE443F8-D7DE-4C3B-A14D-92BBE5FF8376}"/>
    <cellStyle name="Header2 1 24 2 2 3" xfId="44013" xr:uid="{F4DC8CEC-0D78-4A59-9F8A-77AEC100E3EB}"/>
    <cellStyle name="Header2 1 24 2 3" xfId="26639" xr:uid="{810CD7E3-746F-4A1E-863B-7F1DC2E0B6EE}"/>
    <cellStyle name="Header2 1 24 2 4" xfId="39715" xr:uid="{3E67E344-EF29-4A89-A3FD-B603B53984B4}"/>
    <cellStyle name="Header2 1 24 3" xfId="7670" xr:uid="{CD31979B-5B8A-435E-8F2E-DC3A10CFD80B}"/>
    <cellStyle name="Header2 1 24 3 2" xfId="11349" xr:uid="{B5CCC6AC-2B09-46AD-88A9-1D1519EC1527}"/>
    <cellStyle name="Header2 1 24 3 2 2" xfId="28128" xr:uid="{8137F5EA-7E2A-445B-8AC5-B38E7BC9AB0B}"/>
    <cellStyle name="Header2 1 24 3 2 3" xfId="41316" xr:uid="{FBB78F96-8D5A-4251-82A4-139C40B55808}"/>
    <cellStyle name="Header2 1 24 3 3" xfId="25198" xr:uid="{FEBC0C83-37A5-4435-AA76-2826D585FE60}"/>
    <cellStyle name="Header2 1 24 3 4" xfId="38274" xr:uid="{7504419A-D495-439C-BF50-09E288EFB217}"/>
    <cellStyle name="Header2 1 24 4" xfId="17319" xr:uid="{5734BE9B-000B-4C38-92ED-97189B73CE63}"/>
    <cellStyle name="Header2 1 24 4 2" xfId="33073" xr:uid="{AD4144F9-8658-464E-A512-C19B43BCC343}"/>
    <cellStyle name="Header2 1 24 4 3" xfId="46849" xr:uid="{219BF353-16D7-450D-8EE4-114403A28359}"/>
    <cellStyle name="Header2 1 24 5" xfId="21939" xr:uid="{1536F654-4C96-44DC-8445-D26907CE010B}"/>
    <cellStyle name="Header2 1 24 6" xfId="34988" xr:uid="{8B5791C6-5187-4CF0-B6DC-8A58864D26C3}"/>
    <cellStyle name="Header2 1 25" xfId="4281" xr:uid="{802484CC-D769-4E6C-85AF-CE82AA4FCF76}"/>
    <cellStyle name="Header2 1 25 2" xfId="6150" xr:uid="{1B159450-1907-4B0E-85DF-2771F7E57665}"/>
    <cellStyle name="Header2 1 25 2 2" xfId="13784" xr:uid="{8C11BFF1-30F3-4864-8E8F-3AB07824B029}"/>
    <cellStyle name="Header2 1 25 2 2 2" xfId="30191" xr:uid="{F39540BE-37E9-4C64-9AD0-91E54A5351BB}"/>
    <cellStyle name="Header2 1 25 2 2 3" xfId="43557" xr:uid="{21A3899B-6D90-48FE-B6E7-B382FA4C307D}"/>
    <cellStyle name="Header2 1 25 2 3" xfId="23795" xr:uid="{5E460C6C-02D0-4F9F-ACFB-CAFEE2CB02FD}"/>
    <cellStyle name="Header2 1 25 2 4" xfId="36876" xr:uid="{1A688F3D-3C26-4346-866F-74DB0D44E925}"/>
    <cellStyle name="Header2 1 25 3" xfId="11597" xr:uid="{B8CAE507-AED1-4823-92C8-30F380DBF0B7}"/>
    <cellStyle name="Header2 1 25 3 2" xfId="28346" xr:uid="{47CBDB60-136B-412C-A02A-83621EBE1DAC}"/>
    <cellStyle name="Header2 1 25 3 3" xfId="41547" xr:uid="{D2B11325-BB70-44BA-A969-3D67566BD1E9}"/>
    <cellStyle name="Header2 1 25 4" xfId="22102" xr:uid="{BDED5E10-1820-48DE-9B77-68A0F60DE554}"/>
    <cellStyle name="Header2 1 25 5" xfId="35151" xr:uid="{B596EE63-3C9C-41DF-900C-9BA8313E46BE}"/>
    <cellStyle name="Header2 1 26" xfId="5256" xr:uid="{D14EA42A-97AE-4001-8611-F8574B8DF91B}"/>
    <cellStyle name="Header2 1 26 2" xfId="9689" xr:uid="{7980AC60-D15D-49F4-82B2-71A6BEA8A7D9}"/>
    <cellStyle name="Header2 1 26 2 2" xfId="10695" xr:uid="{AAAC25A6-3C54-495E-A0AB-C0EADC40B640}"/>
    <cellStyle name="Header2 1 26 2 2 2" xfId="27540" xr:uid="{70A1BCDE-8508-457C-AEDE-A34E80911BBB}"/>
    <cellStyle name="Header2 1 26 2 2 3" xfId="40676" xr:uid="{11FD5EFB-87F2-4665-8B78-16D4F3DCD707}"/>
    <cellStyle name="Header2 1 26 2 3" xfId="26993" xr:uid="{DF40933F-77D4-42EC-8124-463E3B73BD2A}"/>
    <cellStyle name="Header2 1 26 2 4" xfId="40105" xr:uid="{B5069776-9137-4BA6-A680-21E116C97B9D}"/>
    <cellStyle name="Header2 1 26 3" xfId="15896" xr:uid="{EDD741D1-60D4-40DF-A02F-36ADD6390CEA}"/>
    <cellStyle name="Header2 1 26 3 2" xfId="31979" xr:uid="{77953B4D-0441-4D27-B13C-C2675A475597}"/>
    <cellStyle name="Header2 1 26 3 3" xfId="45495" xr:uid="{3FEBB66E-03CB-4A53-B09C-BB73979B65B0}"/>
    <cellStyle name="Header2 1 26 4" xfId="22912" xr:uid="{A3DB27BB-22C6-4335-A884-9EA99ADF1C77}"/>
    <cellStyle name="Header2 1 26 5" xfId="35986" xr:uid="{5C715DAB-F26E-4791-89AF-2437D7C1A9AB}"/>
    <cellStyle name="Header2 1 27" xfId="5346" xr:uid="{7C1A54BC-9360-4D03-95DF-CF5A7062D4F7}"/>
    <cellStyle name="Header2 1 27 2" xfId="9777" xr:uid="{9EF5C3EB-3A4A-41EC-8F20-FEB09696BDE6}"/>
    <cellStyle name="Header2 1 27 2 2" xfId="12167" xr:uid="{A1166B87-4A2B-4CC4-9358-8BBB447CC4A5}"/>
    <cellStyle name="Header2 1 27 2 2 2" xfId="28863" xr:uid="{BA353C84-C1FD-4D48-A4E0-DCDBEA24D8A2}"/>
    <cellStyle name="Header2 1 27 2 2 3" xfId="42087" xr:uid="{97AF5AC8-B05F-4EF8-B4A6-753F074D64FB}"/>
    <cellStyle name="Header2 1 27 2 3" xfId="27074" xr:uid="{7B1A38EE-DAA7-4E92-BBB6-4E955B9B8FF2}"/>
    <cellStyle name="Header2 1 27 2 4" xfId="40193" xr:uid="{B5C8AB16-E798-4840-BA90-160D3877B0BA}"/>
    <cellStyle name="Header2 1 27 3" xfId="12044" xr:uid="{F35FAC14-C47E-4789-AA02-F3BC8D0689B5}"/>
    <cellStyle name="Header2 1 27 3 2" xfId="28745" xr:uid="{B84B4D04-AFA2-46B2-AD5F-EFC5B130BA9E}"/>
    <cellStyle name="Header2 1 27 3 3" xfId="41964" xr:uid="{1E696A17-A250-42B2-868C-28196AAAB3AA}"/>
    <cellStyle name="Header2 1 27 4" xfId="22993" xr:uid="{2E70A514-9FE8-41F7-AF31-FF1CD7E346EA}"/>
    <cellStyle name="Header2 1 27 5" xfId="36074" xr:uid="{8158FF40-71BB-49DE-8136-9064F624F574}"/>
    <cellStyle name="Header2 1 28" xfId="10343" xr:uid="{325F51A0-B3D7-4EA8-9D36-4463226DC9A2}"/>
    <cellStyle name="Header2 1 28 2" xfId="17583" xr:uid="{B01467A2-D397-4C5C-B4A1-CCE6002B255A}"/>
    <cellStyle name="Header2 1 28 2 2" xfId="33320" xr:uid="{5E89AB55-5900-4852-AC1F-04724EBC1EBB}"/>
    <cellStyle name="Header2 1 28 2 3" xfId="47108" xr:uid="{EF97A41C-4319-461E-8CA3-CA8D07D2022C}"/>
    <cellStyle name="Header2 1 28 3" xfId="27394" xr:uid="{9E72CEE2-0CD0-48F0-B348-685CC4A29A15}"/>
    <cellStyle name="Header2 1 28 4" xfId="40513" xr:uid="{EABDB04E-55DC-4B80-AAEB-4CB58698555E}"/>
    <cellStyle name="Header2 1 29" xfId="10550" xr:uid="{016FA4E5-2A1E-4645-BEAF-236C82F9993C}"/>
    <cellStyle name="Header2 1 29 2" xfId="17595" xr:uid="{63A4003F-615A-44DF-B913-D2F048382952}"/>
    <cellStyle name="Header2 1 29 2 2" xfId="33331" xr:uid="{E54EEA89-6A97-4103-B219-B8EC71791112}"/>
    <cellStyle name="Header2 1 29 2 3" xfId="47120" xr:uid="{6BCC5B19-53F2-4C81-91D6-C139227EB1EA}"/>
    <cellStyle name="Header2 1 29 3" xfId="27410" xr:uid="{61C79B2B-70EB-4885-A2F9-8A0C6FF3DF14}"/>
    <cellStyle name="Header2 1 29 4" xfId="40532" xr:uid="{485EFDEE-263F-44FE-A2B4-0C08AE3EE991}"/>
    <cellStyle name="Header2 1 3" xfId="3370" xr:uid="{1B830A3D-1262-41C0-8CF7-E30C4FC537BE}"/>
    <cellStyle name="Header2 1 3 10" xfId="34410" xr:uid="{E345B706-9557-41E4-9E22-93565C33793E}"/>
    <cellStyle name="Header2 1 3 2" xfId="2729" xr:uid="{7D333262-69FA-463A-99E6-8B8C48CE3612}"/>
    <cellStyle name="Header2 1 3 2 2" xfId="8025" xr:uid="{3A067945-227D-4E24-B845-29AD6274CC6E}"/>
    <cellStyle name="Header2 1 3 2 2 2" xfId="10911" xr:uid="{53D6FE47-1E71-4CB9-A891-62833F5F1627}"/>
    <cellStyle name="Header2 1 3 2 2 2 2" xfId="27729" xr:uid="{91A12399-C10A-4691-BD5F-4A687C5D8815}"/>
    <cellStyle name="Header2 1 3 2 2 2 3" xfId="40891" xr:uid="{F160CA72-3C98-4803-AE91-64C41A20A5B9}"/>
    <cellStyle name="Header2 1 3 2 2 3" xfId="25538" xr:uid="{7581F86E-20AF-4388-91D2-F951A2A3CE63}"/>
    <cellStyle name="Header2 1 3 2 2 4" xfId="38614" xr:uid="{DB1696D0-F67E-4011-96BD-E0F943CD8F0F}"/>
    <cellStyle name="Header2 1 3 2 3" xfId="6392" xr:uid="{328C651C-3F5B-46B1-86F6-415F73EC0B89}"/>
    <cellStyle name="Header2 1 3 2 3 2" xfId="13539" xr:uid="{4110E995-235F-4003-9323-5D9DAF53606D}"/>
    <cellStyle name="Header2 1 3 2 3 2 2" xfId="29986" xr:uid="{944A0BE1-A453-4EAF-B793-68C36283A995}"/>
    <cellStyle name="Header2 1 3 2 3 2 3" xfId="43334" xr:uid="{16C737D8-2B41-4757-B562-3235D25420F2}"/>
    <cellStyle name="Header2 1 3 2 3 3" xfId="24029" xr:uid="{EC48F9F3-29BB-4DF5-B729-C6C6E8E221A4}"/>
    <cellStyle name="Header2 1 3 2 3 4" xfId="37110" xr:uid="{63FF6D2F-21E9-4F1E-8772-E39D142C6A44}"/>
    <cellStyle name="Header2 1 3 2 4" xfId="14740" xr:uid="{56FFDDE6-0DD0-4BB4-8CBE-F82E2BA32DCA}"/>
    <cellStyle name="Header2 1 3 2 4 2" xfId="31020" xr:uid="{6B28A22A-E85B-4F43-9686-91DDE3D4F5FD}"/>
    <cellStyle name="Header2 1 3 2 4 3" xfId="44445" xr:uid="{8A0A71EE-CD9F-4ECD-ADBF-CED7DA29D5EF}"/>
    <cellStyle name="Header2 1 3 2 5" xfId="20781" xr:uid="{3F2752EF-9875-4A8E-B052-F93F0AAC61D0}"/>
    <cellStyle name="Header2 1 3 2 6" xfId="33804" xr:uid="{1CC27A25-ADB1-4338-9667-4880B620ABF4}"/>
    <cellStyle name="Header2 1 3 3" xfId="4096" xr:uid="{FA46194D-5E6E-4C20-9F60-4F2339715A38}"/>
    <cellStyle name="Header2 1 3 3 2" xfId="9148" xr:uid="{FA412076-FCCC-4373-911C-B7B9DB1405F8}"/>
    <cellStyle name="Header2 1 3 3 2 2" xfId="14018" xr:uid="{3AE5CFBD-F05F-4127-9757-4EEC83AA4066}"/>
    <cellStyle name="Header2 1 3 3 2 2 2" xfId="30398" xr:uid="{CC07E9E1-1840-462D-B496-E1034BD77A4E}"/>
    <cellStyle name="Header2 1 3 3 2 2 3" xfId="43777" xr:uid="{56935B1B-3E71-4256-B1E3-42A82EBDE891}"/>
    <cellStyle name="Header2 1 3 3 2 3" xfId="26629" xr:uid="{F1E886A7-627C-44D5-B484-D93071ED835D}"/>
    <cellStyle name="Header2 1 3 3 2 4" xfId="39705" xr:uid="{7BF32B1A-FBB9-48B0-852E-98152FEF59D2}"/>
    <cellStyle name="Header2 1 3 3 3" xfId="7660" xr:uid="{6663E500-FE5F-4C93-B818-8BBBBC5442D8}"/>
    <cellStyle name="Header2 1 3 3 3 2" xfId="14756" xr:uid="{60E78F3D-F70A-4A1B-B195-F97742F07694}"/>
    <cellStyle name="Header2 1 3 3 3 2 2" xfId="31030" xr:uid="{ABAC0EA2-4E5F-407B-B91F-268D8EE905C3}"/>
    <cellStyle name="Header2 1 3 3 3 2 3" xfId="44459" xr:uid="{6A7070F8-A8D3-4F65-B539-43F920C4B04A}"/>
    <cellStyle name="Header2 1 3 3 3 3" xfId="25188" xr:uid="{EFDB1DE8-2D44-41A6-9932-FD2EA0CC86F5}"/>
    <cellStyle name="Header2 1 3 3 3 4" xfId="38264" xr:uid="{9EACD222-D854-4660-BABD-8506D7F7BAF8}"/>
    <cellStyle name="Header2 1 3 3 4" xfId="11330" xr:uid="{A9758100-6AD5-4B32-AC46-BD00D6E6B6CC}"/>
    <cellStyle name="Header2 1 3 3 4 2" xfId="28109" xr:uid="{239C9016-6387-44A0-8579-F240E992C942}"/>
    <cellStyle name="Header2 1 3 3 4 3" xfId="41297" xr:uid="{F4EF1203-F871-4B5A-8D92-AA00D2DB913A}"/>
    <cellStyle name="Header2 1 3 3 5" xfId="21929" xr:uid="{B707C5BB-05D2-47F6-81A3-E7C50EFBB5E7}"/>
    <cellStyle name="Header2 1 3 3 6" xfId="34978" xr:uid="{DAA6D108-1BAB-44CB-A20F-D7989E63136B}"/>
    <cellStyle name="Header2 1 3 4" xfId="2596" xr:uid="{AF137463-D413-4E66-9E59-B4843B4D6D33}"/>
    <cellStyle name="Header2 1 3 4 2" xfId="7893" xr:uid="{B11A7C23-29A5-41AF-A65B-2546C808195C}"/>
    <cellStyle name="Header2 1 3 4 2 2" xfId="16401" xr:uid="{65FE983F-63B5-4EF3-9E10-4E495CF63215}"/>
    <cellStyle name="Header2 1 3 4 2 2 2" xfId="32417" xr:uid="{B926FAD8-D8E0-400B-91D4-2B463C05A568}"/>
    <cellStyle name="Header2 1 3 4 2 2 3" xfId="45952" xr:uid="{09ABFED9-EBEC-4557-9E1E-9AFD8849BA9F}"/>
    <cellStyle name="Header2 1 3 4 2 3" xfId="25410" xr:uid="{66792C91-D3B7-4D9B-94CA-C1B0C2668C7C}"/>
    <cellStyle name="Header2 1 3 4 2 4" xfId="38486" xr:uid="{2D1A00EE-2503-410E-921E-97812FB6F53B}"/>
    <cellStyle name="Header2 1 3 4 3" xfId="6260" xr:uid="{A9309B5A-8D52-4238-99C5-73108BF93112}"/>
    <cellStyle name="Header2 1 3 4 3 2" xfId="14709" xr:uid="{5EA68331-A800-4E4E-94F3-4F5AD700EBD8}"/>
    <cellStyle name="Header2 1 3 4 3 2 2" xfId="30998" xr:uid="{3345C563-2234-48FB-9C6B-DFC4B58F9E03}"/>
    <cellStyle name="Header2 1 3 4 3 2 3" xfId="44420" xr:uid="{E3D624F2-53B4-490A-BF39-148900F51D7B}"/>
    <cellStyle name="Header2 1 3 4 3 3" xfId="23901" xr:uid="{44877660-DBF3-42AB-9436-29B660BB1602}"/>
    <cellStyle name="Header2 1 3 4 3 4" xfId="36982" xr:uid="{F2AEF0B2-1A85-4B93-B359-06F4B4E67F2A}"/>
    <cellStyle name="Header2 1 3 4 4" xfId="17329" xr:uid="{4CBF723E-E7FF-420B-AB29-8DBF3A91B4E2}"/>
    <cellStyle name="Header2 1 3 4 4 2" xfId="33083" xr:uid="{B89A5E77-B513-4ED7-870B-B4A645712351}"/>
    <cellStyle name="Header2 1 3 4 4 3" xfId="46859" xr:uid="{DE8E1591-693B-438B-B561-3F88EBFF4E28}"/>
    <cellStyle name="Header2 1 3 4 5" xfId="20653" xr:uid="{BB7B8553-3DCF-4FCF-A338-71C300A75197}"/>
    <cellStyle name="Header2 1 3 4 6" xfId="33676" xr:uid="{8984C1B9-E10A-489D-8B39-517329D9E3A0}"/>
    <cellStyle name="Header2 1 3 5" xfId="4232" xr:uid="{469677C6-6ED5-479E-9ED6-C743C27299E0}"/>
    <cellStyle name="Header2 1 3 5 2" xfId="9284" xr:uid="{7451335E-687B-43DF-AF6F-5825C25DF95F}"/>
    <cellStyle name="Header2 1 3 5 2 2" xfId="13166" xr:uid="{981B69F9-CAA2-463B-87F7-E2E55EC821DE}"/>
    <cellStyle name="Header2 1 3 5 2 2 2" xfId="29678" xr:uid="{852AAECE-F4C0-415E-AD5E-AD866C0A1632}"/>
    <cellStyle name="Header2 1 3 5 2 2 3" xfId="42990" xr:uid="{B2F752DA-3FC3-4144-AB59-D3987B7313CF}"/>
    <cellStyle name="Header2 1 3 5 2 3" xfId="26757" xr:uid="{1736F5E1-A9A8-429F-B9E2-B1F5CA94CFEA}"/>
    <cellStyle name="Header2 1 3 5 2 4" xfId="39833" xr:uid="{EE1814CE-E578-4654-BB53-C5E063B84421}"/>
    <cellStyle name="Header2 1 3 5 3" xfId="7796" xr:uid="{E1C93EF0-7B8C-4573-980A-52FF3977CC7D}"/>
    <cellStyle name="Header2 1 3 5 3 2" xfId="15580" xr:uid="{33FE19B3-61C2-4E26-A7FC-4FB2D11B7738}"/>
    <cellStyle name="Header2 1 3 5 3 2 2" xfId="31708" xr:uid="{DA32075D-37C5-4EAC-947E-F754D0C51716}"/>
    <cellStyle name="Header2 1 3 5 3 2 3" xfId="45210" xr:uid="{E99469C4-FA34-43BA-A687-2159A32B6C42}"/>
    <cellStyle name="Header2 1 3 5 3 3" xfId="25316" xr:uid="{028163E0-57CF-43DB-970D-B1AF538C59C5}"/>
    <cellStyle name="Header2 1 3 5 3 4" xfId="38392" xr:uid="{00A67C3B-C631-4952-B864-E4BF323F294C}"/>
    <cellStyle name="Header2 1 3 5 4" xfId="10811" xr:uid="{580694E7-42BE-4334-935E-E7BF9FDEF086}"/>
    <cellStyle name="Header2 1 3 5 4 2" xfId="27644" xr:uid="{D1800B8C-77B6-47EB-84A0-FC8F520204F1}"/>
    <cellStyle name="Header2 1 3 5 4 3" xfId="40792" xr:uid="{984EB6F8-DFDF-413E-BC2F-927E9134AEF2}"/>
    <cellStyle name="Header2 1 3 5 5" xfId="22057" xr:uid="{0C85F72C-D2F0-439A-AF6C-2F0132B2E7BF}"/>
    <cellStyle name="Header2 1 3 5 6" xfId="35106" xr:uid="{3E9BEBBA-0831-4C4D-91DA-F0AF859E4154}"/>
    <cellStyle name="Header2 1 3 6" xfId="4395" xr:uid="{55CDBA9F-2666-455C-9409-BB49B4264274}"/>
    <cellStyle name="Header2 1 3 6 2" xfId="7020" xr:uid="{097FD73C-E856-4948-982B-F2802E133308}"/>
    <cellStyle name="Header2 1 3 6 2 2" xfId="11225" xr:uid="{9C6547D8-C05A-4498-A990-3AC1FEA365BE}"/>
    <cellStyle name="Header2 1 3 6 2 2 2" xfId="28019" xr:uid="{6F05CC52-A312-4A9F-9AB6-9E18AB29B71B}"/>
    <cellStyle name="Header2 1 3 6 2 2 3" xfId="41201" xr:uid="{899CC9D6-0A44-4A6B-AD21-65622524B104}"/>
    <cellStyle name="Header2 1 3 6 2 3" xfId="24635" xr:uid="{CBB96892-331A-419F-91C8-393BFFAD76F8}"/>
    <cellStyle name="Header2 1 3 6 2 4" xfId="37716" xr:uid="{1A2E3537-3BFE-49E2-81F5-931FB597333F}"/>
    <cellStyle name="Header2 1 3 6 3" xfId="16256" xr:uid="{2CC9419A-5C3D-4879-A9C6-D383491F77F9}"/>
    <cellStyle name="Header2 1 3 6 3 2" xfId="32290" xr:uid="{64239C0D-3825-4566-9F4F-F525C7C21FD4}"/>
    <cellStyle name="Header2 1 3 6 3 3" xfId="45819" xr:uid="{39098E1C-552D-44F7-AA66-3E342E691614}"/>
    <cellStyle name="Header2 1 3 6 4" xfId="22214" xr:uid="{D2B10A21-A0DF-4E6D-A897-807B19D2341B}"/>
    <cellStyle name="Header2 1 3 6 5" xfId="35263" xr:uid="{24A502F8-BC9A-4BD9-89CF-C36000D5AB8A}"/>
    <cellStyle name="Header2 1 3 7" xfId="5449" xr:uid="{C3F3F99E-B373-4740-9F40-C59EA64CC1E7}"/>
    <cellStyle name="Header2 1 3 7 2" xfId="8629" xr:uid="{2EF1839E-0291-4891-B485-493EAE35A83D}"/>
    <cellStyle name="Header2 1 3 7 2 2" xfId="10740" xr:uid="{DB9E6404-4A17-42B9-B3DE-0EED5D8D6F7D}"/>
    <cellStyle name="Header2 1 3 7 2 2 2" xfId="27580" xr:uid="{FE26EB84-F9DC-441A-8410-7FE0940C2E91}"/>
    <cellStyle name="Header2 1 3 7 2 2 3" xfId="40721" xr:uid="{AE6C3C84-A653-478A-9151-58F0D8069F2D}"/>
    <cellStyle name="Header2 1 3 7 2 3" xfId="26124" xr:uid="{B39ECAEA-BE62-43A9-ACA5-20EA97AF70FC}"/>
    <cellStyle name="Header2 1 3 7 2 4" xfId="39200" xr:uid="{5B33B3BA-BC8A-452A-BF1D-537F8A3B4423}"/>
    <cellStyle name="Header2 1 3 7 3" xfId="14260" xr:uid="{7AF88708-A0A3-440F-A622-597B36888260}"/>
    <cellStyle name="Header2 1 3 7 3 2" xfId="30604" xr:uid="{66171B07-6C24-4472-80D0-2A8EBAF3B950}"/>
    <cellStyle name="Header2 1 3 7 3 3" xfId="43996" xr:uid="{BB0F0A2E-952C-4AA1-AF72-1CE028FD9905}"/>
    <cellStyle name="Header2 1 3 7 4" xfId="23096" xr:uid="{31E256B5-B2E3-4B88-A757-352C6B17CE3D}"/>
    <cellStyle name="Header2 1 3 7 5" xfId="36177" xr:uid="{9482E2FB-5433-43ED-BBFF-B193BA031758}"/>
    <cellStyle name="Header2 1 3 8" xfId="11870" xr:uid="{6ED5C874-E0AD-4CFE-8860-A1D1751A3F43}"/>
    <cellStyle name="Header2 1 3 8 2" xfId="28586" xr:uid="{15A3CC45-E51E-457F-BC19-BFD208787C78}"/>
    <cellStyle name="Header2 1 3 8 3" xfId="41802" xr:uid="{A6A6DF31-E36B-4FE6-B1F3-BA689D7CA96A}"/>
    <cellStyle name="Header2 1 3 9" xfId="21387" xr:uid="{8E5118C5-A91D-4FD9-A0A4-D6707AEBE863}"/>
    <cellStyle name="Header2 1 30" xfId="11931" xr:uid="{1D88B5C1-EFE1-4C04-A204-57DD6C4D0B46}"/>
    <cellStyle name="Header2 1 30 2" xfId="28643" xr:uid="{05BCB4ED-E867-423E-864B-E7A6C854C191}"/>
    <cellStyle name="Header2 1 30 3" xfId="41861" xr:uid="{25267E99-BDF6-4BEC-85EE-897040D67B60}"/>
    <cellStyle name="Header2 1 31" xfId="12041" xr:uid="{88E03793-B04A-4A9F-BAD2-D76DEFABABCE}"/>
    <cellStyle name="Header2 1 31 2" xfId="28742" xr:uid="{0F52289F-87AA-41CB-B51E-90E9F40CAA00}"/>
    <cellStyle name="Header2 1 31 3" xfId="41961" xr:uid="{99593EB2-AF7B-47CD-A084-65E3794D4A0F}"/>
    <cellStyle name="Header2 1 32" xfId="13386" xr:uid="{09F7F0F0-9A8D-42D3-9D5E-1FA0213DE008}"/>
    <cellStyle name="Header2 1 32 2" xfId="29858" xr:uid="{B33F672D-FADE-43FB-97EE-E4B5B5CEDCAB}"/>
    <cellStyle name="Header2 1 32 3" xfId="43193" xr:uid="{C3C61879-9172-42D6-8BA1-C408A46F77C5}"/>
    <cellStyle name="Header2 1 33" xfId="17649" xr:uid="{6340CC08-03B6-4611-8BA8-095D6CAE2678}"/>
    <cellStyle name="Header2 1 33 2" xfId="33372" xr:uid="{81253C64-350E-4C76-9977-BAD4D20BDC86}"/>
    <cellStyle name="Header2 1 33 3" xfId="47161" xr:uid="{FC216589-2B3A-4562-B609-91AAED11609D}"/>
    <cellStyle name="Header2 1 34" xfId="33546" xr:uid="{78EB2EE3-9F98-494D-B2C4-F28F42C72A65}"/>
    <cellStyle name="Header2 1 4" xfId="3415" xr:uid="{D55F4F9B-1980-47C5-936E-0AA33735C812}"/>
    <cellStyle name="Header2 1 4 10" xfId="34433" xr:uid="{578917AE-40B3-4465-AFD5-27C9F8DAA2D4}"/>
    <cellStyle name="Header2 1 4 2" xfId="2757" xr:uid="{4B2B3AAF-16E0-4C19-9432-4146EA80F0B6}"/>
    <cellStyle name="Header2 1 4 2 2" xfId="8053" xr:uid="{4C1FCFF1-F8BD-4145-B6F1-A7419FC21ABD}"/>
    <cellStyle name="Header2 1 4 2 2 2" xfId="11619" xr:uid="{92995665-9934-4AAE-9C9E-3A219DA00674}"/>
    <cellStyle name="Header2 1 4 2 2 2 2" xfId="28365" xr:uid="{30047F9B-0A1E-422F-8691-75105C410CFD}"/>
    <cellStyle name="Header2 1 4 2 2 2 3" xfId="41568" xr:uid="{98D75E32-BD09-4ACD-B8C5-91725491FD63}"/>
    <cellStyle name="Header2 1 4 2 2 3" xfId="25566" xr:uid="{F33F2D8C-C1A8-4F15-80EC-2E3763411A4A}"/>
    <cellStyle name="Header2 1 4 2 2 4" xfId="38642" xr:uid="{ED092DFB-A99E-483A-BE3E-58B777E13199}"/>
    <cellStyle name="Header2 1 4 2 3" xfId="6420" xr:uid="{6027A5A5-CA38-4C99-A896-9D7B1C5D20C8}"/>
    <cellStyle name="Header2 1 4 2 3 2" xfId="13781" xr:uid="{FF3F626B-A7D6-4065-87AF-1160420AB098}"/>
    <cellStyle name="Header2 1 4 2 3 2 2" xfId="30188" xr:uid="{688E6FD1-ECBF-4274-960F-B3BA3E99A972}"/>
    <cellStyle name="Header2 1 4 2 3 2 3" xfId="43554" xr:uid="{901EFFDA-3BFE-4463-96C7-786A9417B93E}"/>
    <cellStyle name="Header2 1 4 2 3 3" xfId="24057" xr:uid="{C5E79B9F-D13E-469E-9766-A8A53D4A92B3}"/>
    <cellStyle name="Header2 1 4 2 3 4" xfId="37138" xr:uid="{8C195661-DEA2-4E4B-9F82-2F9069AB1AED}"/>
    <cellStyle name="Header2 1 4 2 4" xfId="13739" xr:uid="{58E2F7CB-5617-4B6D-AA7F-4BE62F977B05}"/>
    <cellStyle name="Header2 1 4 2 4 2" xfId="30153" xr:uid="{C4069B3D-A2C0-45E7-BC85-2A1DA6E9C8A4}"/>
    <cellStyle name="Header2 1 4 2 4 3" xfId="43515" xr:uid="{6E3FD691-99D7-466A-8CEE-E5CED204E3B7}"/>
    <cellStyle name="Header2 1 4 2 5" xfId="20809" xr:uid="{2BED35E2-4CD1-48F6-96F4-01FB461256F1}"/>
    <cellStyle name="Header2 1 4 2 6" xfId="33832" xr:uid="{3C7CE7DC-62F2-4851-96CF-D8140D0577CA}"/>
    <cellStyle name="Header2 1 4 3" xfId="4052" xr:uid="{72CCB906-6C33-4B32-9502-63AF61B7FCC7}"/>
    <cellStyle name="Header2 1 4 3 2" xfId="9105" xr:uid="{D43C59F3-59FB-4E20-819E-828CCE33FA4C}"/>
    <cellStyle name="Header2 1 4 3 2 2" xfId="17064" xr:uid="{A529BF64-2FD4-4C21-8876-AD3DEFE6A7EC}"/>
    <cellStyle name="Header2 1 4 3 2 2 2" xfId="32835" xr:uid="{4515F494-2190-4ED7-976C-F0A9E6C266E3}"/>
    <cellStyle name="Header2 1 4 3 2 2 3" xfId="46605" xr:uid="{058D7399-E97A-426D-80C1-31900F848638}"/>
    <cellStyle name="Header2 1 4 3 2 3" xfId="26586" xr:uid="{DC42E51A-E4FA-40B8-9D7A-DEAF6077D05B}"/>
    <cellStyle name="Header2 1 4 3 2 4" xfId="39662" xr:uid="{FAE11051-62B3-49A6-8823-36108B9B3FF0}"/>
    <cellStyle name="Header2 1 4 3 3" xfId="7617" xr:uid="{354B0F8A-A4C1-4A56-99EC-6EF4A3BFFB31}"/>
    <cellStyle name="Header2 1 4 3 3 2" xfId="13497" xr:uid="{35E553D8-CF6F-4CDB-A9F8-8264C8877A62}"/>
    <cellStyle name="Header2 1 4 3 3 2 2" xfId="29956" xr:uid="{952BF4C5-175C-4CE7-9C69-B21804D8B1B0}"/>
    <cellStyle name="Header2 1 4 3 3 2 3" xfId="43296" xr:uid="{E5CB068A-029E-4DD5-9922-0D8B8EE72C69}"/>
    <cellStyle name="Header2 1 4 3 3 3" xfId="25145" xr:uid="{3AE527B2-1429-497B-8D53-26ED716513B1}"/>
    <cellStyle name="Header2 1 4 3 3 4" xfId="38221" xr:uid="{A53C99EB-971A-4072-A97C-E23C5E4F12E6}"/>
    <cellStyle name="Header2 1 4 3 4" xfId="13138" xr:uid="{98FB7458-002D-4395-93E6-CDD04DC5446A}"/>
    <cellStyle name="Header2 1 4 3 4 2" xfId="29652" xr:uid="{32233342-332A-4291-9E1C-49B425D4AF62}"/>
    <cellStyle name="Header2 1 4 3 4 3" xfId="42964" xr:uid="{9832635D-FB16-49D0-8250-2ADCD47F4300}"/>
    <cellStyle name="Header2 1 4 3 5" xfId="21886" xr:uid="{E239E691-73D9-4FD5-B7E7-84AA8232A70B}"/>
    <cellStyle name="Header2 1 4 3 6" xfId="34935" xr:uid="{27F9A5E8-F891-4A82-B451-C7798315A9D7}"/>
    <cellStyle name="Header2 1 4 4" xfId="2607" xr:uid="{7888D7E4-0409-4BC6-B1FE-11CF5508FE31}"/>
    <cellStyle name="Header2 1 4 4 2" xfId="7904" xr:uid="{9C10658D-A7F1-412E-AF1F-671386F211A6}"/>
    <cellStyle name="Header2 1 4 4 2 2" xfId="12950" xr:uid="{BA47F4E4-F0C3-41DF-B08A-F3DD6E26C032}"/>
    <cellStyle name="Header2 1 4 4 2 2 2" xfId="29488" xr:uid="{C7547D5D-C4DE-42E3-A221-20D74055CA16}"/>
    <cellStyle name="Header2 1 4 4 2 2 3" xfId="42787" xr:uid="{4EA20DED-6280-4F20-9106-339D0D5BA271}"/>
    <cellStyle name="Header2 1 4 4 2 3" xfId="25421" xr:uid="{9BBE9175-D939-4D24-B25C-0982FAEC6C3E}"/>
    <cellStyle name="Header2 1 4 4 2 4" xfId="38497" xr:uid="{083EE433-66D6-4E42-AE19-D2FBA1F8A332}"/>
    <cellStyle name="Header2 1 4 4 3" xfId="6271" xr:uid="{76DD8A34-019A-423C-BCC2-98A8CC5B807A}"/>
    <cellStyle name="Header2 1 4 4 3 2" xfId="16165" xr:uid="{7D4BE105-15F8-4408-AA32-F85BD28C5880}"/>
    <cellStyle name="Header2 1 4 4 3 2 2" xfId="32214" xr:uid="{27430FD5-1FF9-48D5-9216-EBC33845A5BF}"/>
    <cellStyle name="Header2 1 4 4 3 2 3" xfId="45736" xr:uid="{98679850-1766-43A1-8F2F-9DDB00B743C8}"/>
    <cellStyle name="Header2 1 4 4 3 3" xfId="23912" xr:uid="{593C681F-94A4-4E65-89AF-A5F157DC34AD}"/>
    <cellStyle name="Header2 1 4 4 3 4" xfId="36993" xr:uid="{4073DE5A-5C53-4716-9EEB-AB9F2F914303}"/>
    <cellStyle name="Header2 1 4 4 4" xfId="14839" xr:uid="{CD76E9EA-3C80-45F1-A8BF-667F232C4930}"/>
    <cellStyle name="Header2 1 4 4 4 2" xfId="31096" xr:uid="{1722164F-1DE4-415C-8BE8-694E1C4BA91C}"/>
    <cellStyle name="Header2 1 4 4 4 3" xfId="44534" xr:uid="{24E46BB5-1D63-49EE-B76F-F857A79CD79D}"/>
    <cellStyle name="Header2 1 4 4 5" xfId="20664" xr:uid="{DC6E147D-8E34-42C8-8392-8B48F26F78CC}"/>
    <cellStyle name="Header2 1 4 4 6" xfId="33687" xr:uid="{C4CAD9ED-F92E-470B-B6C0-E61436B5C2D6}"/>
    <cellStyle name="Header2 1 4 5" xfId="4228" xr:uid="{8AA93A32-0720-487B-8C05-3AFD5F3303D5}"/>
    <cellStyle name="Header2 1 4 5 2" xfId="9280" xr:uid="{5D290AF7-4D78-48E1-B75F-FE150864170F}"/>
    <cellStyle name="Header2 1 4 5 2 2" xfId="16333" xr:uid="{60CD5B11-C4E1-4D5C-B94A-8CD3ED19DF39}"/>
    <cellStyle name="Header2 1 4 5 2 2 2" xfId="32357" xr:uid="{946A9C92-7FCD-41FD-9BD9-F47F5F389640}"/>
    <cellStyle name="Header2 1 4 5 2 2 3" xfId="45888" xr:uid="{92266303-55C7-4CAF-9E1D-4B2737BB53AE}"/>
    <cellStyle name="Header2 1 4 5 2 3" xfId="26753" xr:uid="{4B9FECA4-38C6-4D52-BAE1-341A62752DED}"/>
    <cellStyle name="Header2 1 4 5 2 4" xfId="39829" xr:uid="{0911C8D9-74FE-4865-A85D-9113B080A307}"/>
    <cellStyle name="Header2 1 4 5 3" xfId="7792" xr:uid="{217E6947-0653-48F8-B36F-5F14606D96D9}"/>
    <cellStyle name="Header2 1 4 5 3 2" xfId="11173" xr:uid="{D6489669-788C-4274-B055-6B66816E8457}"/>
    <cellStyle name="Header2 1 4 5 3 2 2" xfId="27967" xr:uid="{13F79895-DEA0-4D54-BD36-063203C7C8B4}"/>
    <cellStyle name="Header2 1 4 5 3 2 3" xfId="41149" xr:uid="{078287CC-26CC-4C34-AC97-8ADE3AB032D6}"/>
    <cellStyle name="Header2 1 4 5 3 3" xfId="25312" xr:uid="{7FE87E7B-A3D2-4ECD-A2A5-5B123CF0881F}"/>
    <cellStyle name="Header2 1 4 5 3 4" xfId="38388" xr:uid="{D3CF5C32-6E4C-47D8-8706-FBB17DAA8F4A}"/>
    <cellStyle name="Header2 1 4 5 4" xfId="16742" xr:uid="{B748D685-FC2E-4A03-96E8-AE83618170E1}"/>
    <cellStyle name="Header2 1 4 5 4 2" xfId="32625" xr:uid="{FEE6F209-EBF8-44D1-ABA4-75D841364C7D}"/>
    <cellStyle name="Header2 1 4 5 4 3" xfId="46285" xr:uid="{FAF957B7-17B4-44A9-B7FC-675D7D54C57C}"/>
    <cellStyle name="Header2 1 4 5 5" xfId="22053" xr:uid="{A41F140D-3E2B-459C-9C62-FEC5ADB13101}"/>
    <cellStyle name="Header2 1 4 5 6" xfId="35102" xr:uid="{BB786049-8AB8-470F-9C76-6257F723BCA0}"/>
    <cellStyle name="Header2 1 4 6" xfId="4418" xr:uid="{58F2FC87-FCD2-4280-923C-2F60DCF67637}"/>
    <cellStyle name="Header2 1 4 6 2" xfId="7057" xr:uid="{C82F1C4A-3A76-4C38-97B8-13FB741AEF4C}"/>
    <cellStyle name="Header2 1 4 6 2 2" xfId="14876" xr:uid="{0BB2BDD5-F1C6-4200-B7A7-E974E9CD76CE}"/>
    <cellStyle name="Header2 1 4 6 2 2 2" xfId="31127" xr:uid="{90BF3F4C-F536-49FF-B492-A16C8622EB45}"/>
    <cellStyle name="Header2 1 4 6 2 2 3" xfId="44568" xr:uid="{30675731-737A-4938-8333-FF4FD3C4CAAA}"/>
    <cellStyle name="Header2 1 4 6 2 3" xfId="24658" xr:uid="{1529B412-9C23-438C-B523-FEA7AEA5DB35}"/>
    <cellStyle name="Header2 1 4 6 2 4" xfId="37739" xr:uid="{2CA35BA6-731C-4175-8E80-12E1DDEF9CE3}"/>
    <cellStyle name="Header2 1 4 6 3" xfId="14376" xr:uid="{62112843-22B3-445D-8C4F-4DA506C92C70}"/>
    <cellStyle name="Header2 1 4 6 3 2" xfId="30708" xr:uid="{64737231-1DA9-4880-8337-442C7C2AB73B}"/>
    <cellStyle name="Header2 1 4 6 3 3" xfId="44106" xr:uid="{114782E9-F8AE-40A1-8D6E-AD27E5CA1930}"/>
    <cellStyle name="Header2 1 4 6 4" xfId="22237" xr:uid="{278DDB9C-7DC8-488E-B3C4-60711E8CC583}"/>
    <cellStyle name="Header2 1 4 6 5" xfId="35286" xr:uid="{C7CA2D7D-8394-44C6-A4C7-0C52859FAF7C}"/>
    <cellStyle name="Header2 1 4 7" xfId="5472" xr:uid="{CA7DFD6D-0343-4029-BB49-9677722501C6}"/>
    <cellStyle name="Header2 1 4 7 2" xfId="8652" xr:uid="{D8EF84C5-19CE-4C48-B802-B7108B27D4DA}"/>
    <cellStyle name="Header2 1 4 7 2 2" xfId="14581" xr:uid="{41DA7A83-8094-49C5-B818-922319CC9E4F}"/>
    <cellStyle name="Header2 1 4 7 2 2 2" xfId="30883" xr:uid="{2B52A0EC-28BA-490B-8E7D-66435A2A0E32}"/>
    <cellStyle name="Header2 1 4 7 2 2 3" xfId="44301" xr:uid="{F031C480-1D0A-4ACF-B64C-5C29B157D388}"/>
    <cellStyle name="Header2 1 4 7 2 3" xfId="26147" xr:uid="{D6CD638E-B15B-4F85-9DA1-EB9D4A301696}"/>
    <cellStyle name="Header2 1 4 7 2 4" xfId="39223" xr:uid="{CF9EB6F9-52B7-4F48-AA92-D19BE0F3D368}"/>
    <cellStyle name="Header2 1 4 7 3" xfId="15832" xr:uid="{956C07EB-EA59-48CA-BB25-324B9A1ECE02}"/>
    <cellStyle name="Header2 1 4 7 3 2" xfId="31925" xr:uid="{2CA6CC77-F02D-4904-8119-D4EBB854E815}"/>
    <cellStyle name="Header2 1 4 7 3 3" xfId="45437" xr:uid="{62B92190-F0C0-43B9-A3D5-D7CF8361FEFF}"/>
    <cellStyle name="Header2 1 4 7 4" xfId="23119" xr:uid="{DBD74637-E133-4329-9B0D-FB889DC74698}"/>
    <cellStyle name="Header2 1 4 7 5" xfId="36200" xr:uid="{D42B92CD-6F60-4527-A36A-5D04E65F4364}"/>
    <cellStyle name="Header2 1 4 8" xfId="11636" xr:uid="{9DF6B8DB-8BA0-45A8-A8AB-13A15546F1C7}"/>
    <cellStyle name="Header2 1 4 8 2" xfId="28380" xr:uid="{43C9F962-8020-456E-A6B8-9682ED24D1BD}"/>
    <cellStyle name="Header2 1 4 8 3" xfId="41584" xr:uid="{1E146FC8-4C79-4476-888B-B3EF71925388}"/>
    <cellStyle name="Header2 1 4 9" xfId="21404" xr:uid="{2D38C2F1-326D-4B78-99F9-BB205F404E1A}"/>
    <cellStyle name="Header2 1 5" xfId="3392" xr:uid="{9884005F-A5A1-4895-9CB5-158E25BA2CDD}"/>
    <cellStyle name="Header2 1 5 2" xfId="2740" xr:uid="{83222B3A-5A7E-4B7A-B3CD-45459A79A29E}"/>
    <cellStyle name="Header2 1 5 2 2" xfId="8036" xr:uid="{2C2F9538-6372-4D1D-8B3F-3242CAF35063}"/>
    <cellStyle name="Header2 1 5 2 2 2" xfId="10879" xr:uid="{7385DB4A-7956-4B65-8D10-F71305D23CB8}"/>
    <cellStyle name="Header2 1 5 2 2 2 2" xfId="27704" xr:uid="{D5713605-17C0-4AEE-8C34-835424A88585}"/>
    <cellStyle name="Header2 1 5 2 2 2 3" xfId="40859" xr:uid="{21AE7C17-E298-4199-AEDA-830B021993E1}"/>
    <cellStyle name="Header2 1 5 2 2 3" xfId="25549" xr:uid="{BB47E886-18B9-43EF-A606-6B600FE05712}"/>
    <cellStyle name="Header2 1 5 2 2 4" xfId="38625" xr:uid="{A89779E8-631C-4A53-9A49-FB8D1C3AF49E}"/>
    <cellStyle name="Header2 1 5 2 3" xfId="6403" xr:uid="{2C3A8D5E-F8AF-4F6A-AFF4-92827BE25AFC}"/>
    <cellStyle name="Header2 1 5 2 3 2" xfId="15839" xr:uid="{826EA113-3102-4A9B-83D2-C8943DDCEE22}"/>
    <cellStyle name="Header2 1 5 2 3 2 2" xfId="31932" xr:uid="{2585AEC6-0904-458C-81AA-0B8440351002}"/>
    <cellStyle name="Header2 1 5 2 3 2 3" xfId="45444" xr:uid="{B8E3D85B-288F-46A9-90F6-AD7A6A3CE622}"/>
    <cellStyle name="Header2 1 5 2 3 3" xfId="24040" xr:uid="{53BBB054-6EDE-446B-9B60-00C33F2E4634}"/>
    <cellStyle name="Header2 1 5 2 3 4" xfId="37121" xr:uid="{817E17B3-C955-462D-A7CA-2C70C1CAE4C2}"/>
    <cellStyle name="Header2 1 5 2 4" xfId="15854" xr:uid="{A3A7DFFC-F098-4D53-977A-27CCDD8DACF4}"/>
    <cellStyle name="Header2 1 5 2 4 2" xfId="31947" xr:uid="{DED42D50-BA54-4BB3-8B78-D0E8B591D967}"/>
    <cellStyle name="Header2 1 5 2 4 3" xfId="45459" xr:uid="{A1C024CD-800C-4754-8BD1-2490F94399AE}"/>
    <cellStyle name="Header2 1 5 2 5" xfId="20792" xr:uid="{23E63560-AE90-4B13-A535-25CC121A86EC}"/>
    <cellStyle name="Header2 1 5 2 6" xfId="33815" xr:uid="{B5BEBFCC-0C77-4933-A416-E2386C0488EA}"/>
    <cellStyle name="Header2 1 5 3" xfId="4403" xr:uid="{C5429DBD-DB48-422C-9438-7538CCB356F7}"/>
    <cellStyle name="Header2 1 5 3 2" xfId="7038" xr:uid="{4019E253-E2C8-41C4-8127-F623124725F2}"/>
    <cellStyle name="Header2 1 5 3 2 2" xfId="11029" xr:uid="{B79656E8-D0B0-41AA-8C87-A67B1C42D7C4}"/>
    <cellStyle name="Header2 1 5 3 2 2 2" xfId="27836" xr:uid="{B9E47E72-41EE-43B2-A7DA-DD094977AC18}"/>
    <cellStyle name="Header2 1 5 3 2 2 3" xfId="41009" xr:uid="{2DD6C71F-8AF6-4296-8798-782075647335}"/>
    <cellStyle name="Header2 1 5 3 2 3" xfId="24643" xr:uid="{7111D8F3-D822-450E-A2F1-F2DDB9C1E531}"/>
    <cellStyle name="Header2 1 5 3 2 4" xfId="37724" xr:uid="{B486E57B-7243-42F4-A4BC-B5D63A09B26B}"/>
    <cellStyle name="Header2 1 5 3 3" xfId="11648" xr:uid="{A409DBCF-264C-423C-8F59-EDFE91C1E0E2}"/>
    <cellStyle name="Header2 1 5 3 3 2" xfId="28389" xr:uid="{E026628C-972C-4E8C-8E97-F63AF08863C4}"/>
    <cellStyle name="Header2 1 5 3 3 3" xfId="41593" xr:uid="{34FC5612-951F-4CF9-986E-CE3C1E415C8B}"/>
    <cellStyle name="Header2 1 5 3 4" xfId="22222" xr:uid="{5A202B34-3AD9-4C09-B6AF-0983DC8828F5}"/>
    <cellStyle name="Header2 1 5 3 5" xfId="35271" xr:uid="{825D13BE-E914-479F-8180-0052639994A1}"/>
    <cellStyle name="Header2 1 5 4" xfId="5457" xr:uid="{EED39B9B-4A22-4F37-B0A4-F7B393585460}"/>
    <cellStyle name="Header2 1 5 4 2" xfId="8637" xr:uid="{AC7114F0-50EF-4240-B962-BA6539697582}"/>
    <cellStyle name="Header2 1 5 4 2 2" xfId="16323" xr:uid="{62CDE75C-4AA5-4794-97EE-65704472E253}"/>
    <cellStyle name="Header2 1 5 4 2 2 2" xfId="32348" xr:uid="{BBAD0FAE-EF15-421E-AAE0-84E34467E9B3}"/>
    <cellStyle name="Header2 1 5 4 2 2 3" xfId="45879" xr:uid="{25B40EDD-1596-4F16-80D2-E1CB32D7B2F4}"/>
    <cellStyle name="Header2 1 5 4 2 3" xfId="26132" xr:uid="{A67F2882-400D-420D-9709-DF5358F2CA4A}"/>
    <cellStyle name="Header2 1 5 4 2 4" xfId="39208" xr:uid="{16E90984-2FA6-418B-9472-2861B6C038F2}"/>
    <cellStyle name="Header2 1 5 4 3" xfId="14603" xr:uid="{CBAF355C-5638-4622-ADC3-B35F8CCFC2C3}"/>
    <cellStyle name="Header2 1 5 4 3 2" xfId="30903" xr:uid="{C79D9541-EF19-44B5-8769-037968DDF1AF}"/>
    <cellStyle name="Header2 1 5 4 3 3" xfId="44322" xr:uid="{9F878309-9A0D-46D0-B4D8-89086FC0C1B3}"/>
    <cellStyle name="Header2 1 5 4 4" xfId="23104" xr:uid="{38F9F47C-34C2-42A5-813F-ED415CC67CE0}"/>
    <cellStyle name="Header2 1 5 4 5" xfId="36185" xr:uid="{322BC8A3-999D-4DE7-A2F5-4951D531DB48}"/>
    <cellStyle name="Header2 1 5 5" xfId="15703" xr:uid="{539E4334-ADAF-43DD-A80B-ADEEFA84BDA9}"/>
    <cellStyle name="Header2 1 5 5 2" xfId="31815" xr:uid="{86890764-EF22-4A0F-A670-C36854918391}"/>
    <cellStyle name="Header2 1 5 5 3" xfId="45323" xr:uid="{42CAF13A-9B83-4B41-A0BF-200D1A28D5DC}"/>
    <cellStyle name="Header2 1 5 6" xfId="21394" xr:uid="{FE3BE967-1394-4AD6-AF34-C0479D0EAE3D}"/>
    <cellStyle name="Header2 1 5 7" xfId="34418" xr:uid="{1F558809-F6A7-48FE-B1B4-7B5AA033819E}"/>
    <cellStyle name="Header2 1 6" xfId="3354" xr:uid="{86E9B440-BF34-4D2C-8B17-09D38399CFCD}"/>
    <cellStyle name="Header2 1 6 2" xfId="2716" xr:uid="{9FE458FD-1F21-4EDC-B89C-1669DF5E845E}"/>
    <cellStyle name="Header2 1 6 2 2" xfId="8012" xr:uid="{20686CFB-D6EA-4831-B361-DE9F30314511}"/>
    <cellStyle name="Header2 1 6 2 2 2" xfId="12397" xr:uid="{D2121FAF-C960-46F6-A38A-A027722D650E}"/>
    <cellStyle name="Header2 1 6 2 2 2 2" xfId="29062" xr:uid="{2A23011D-5CCD-4F70-85B3-377533BE2852}"/>
    <cellStyle name="Header2 1 6 2 2 2 3" xfId="42303" xr:uid="{BEF2D0F0-C03F-48F0-8FFA-A528120FD663}"/>
    <cellStyle name="Header2 1 6 2 2 3" xfId="25527" xr:uid="{DC34A22C-151F-4C38-ADFF-A575B9158517}"/>
    <cellStyle name="Header2 1 6 2 2 4" xfId="38603" xr:uid="{353376A0-A065-42B6-85AC-D7F17960962B}"/>
    <cellStyle name="Header2 1 6 2 3" xfId="6379" xr:uid="{6EC64FB2-9114-43D5-A53B-2A12577C4E0E}"/>
    <cellStyle name="Header2 1 6 2 3 2" xfId="14212" xr:uid="{1918A0D8-552B-4FCA-938B-0CCD1DB3FFB2}"/>
    <cellStyle name="Header2 1 6 2 3 2 2" xfId="30557" xr:uid="{59DC4938-C344-40C0-BAE3-F05AD4A8692E}"/>
    <cellStyle name="Header2 1 6 2 3 2 3" xfId="43949" xr:uid="{6DA8B7CA-3803-4912-8B97-74374D7E8319}"/>
    <cellStyle name="Header2 1 6 2 3 3" xfId="24018" xr:uid="{3559D54F-7E46-48E0-9D2D-14C81F91986C}"/>
    <cellStyle name="Header2 1 6 2 3 4" xfId="37099" xr:uid="{10A6EF70-9B15-4211-8270-4BFEE7FCCE01}"/>
    <cellStyle name="Header2 1 6 2 4" xfId="13112" xr:uid="{7D3B9041-49C1-4D3C-AED2-BABFB77DF2AE}"/>
    <cellStyle name="Header2 1 6 2 4 2" xfId="29627" xr:uid="{27664E5A-F52C-4FBB-B5B0-38173D2FA5E8}"/>
    <cellStyle name="Header2 1 6 2 4 3" xfId="42938" xr:uid="{290D0D67-AEF0-4C45-A9A3-D7A99D811052}"/>
    <cellStyle name="Header2 1 6 2 5" xfId="20770" xr:uid="{8DA9BAED-1948-48A2-B3AA-7A6BD4930C01}"/>
    <cellStyle name="Header2 1 6 2 6" xfId="33793" xr:uid="{E9E96D79-7915-4D6B-B30C-3FED7EDFB316}"/>
    <cellStyle name="Header2 1 6 3" xfId="4385" xr:uid="{950CDB6F-71AC-4405-835B-BD405AA58B8B}"/>
    <cellStyle name="Header2 1 6 3 2" xfId="7004" xr:uid="{DD1E8F41-AB9D-44F0-800D-3A4B7781A2C7}"/>
    <cellStyle name="Header2 1 6 3 2 2" xfId="14115" xr:uid="{A4451384-BEF7-4BC7-A0A5-F29DD5785F94}"/>
    <cellStyle name="Header2 1 6 3 2 2 2" xfId="30480" xr:uid="{6274D887-BEB7-4FD2-97B7-41662B655223}"/>
    <cellStyle name="Header2 1 6 3 2 2 3" xfId="43863" xr:uid="{EFB59647-DFEE-4091-829B-C2981D9936BE}"/>
    <cellStyle name="Header2 1 6 3 2 3" xfId="24625" xr:uid="{A46E49C4-B983-4020-AC50-17E191ECD64A}"/>
    <cellStyle name="Header2 1 6 3 2 4" xfId="37706" xr:uid="{85587113-6F42-4FCD-A11C-8967B7D67AB6}"/>
    <cellStyle name="Header2 1 6 3 3" xfId="10669" xr:uid="{9B25421D-F5E9-4115-A33D-61E10357E2A2}"/>
    <cellStyle name="Header2 1 6 3 3 2" xfId="27519" xr:uid="{A190DFF8-8CDF-4BED-8C12-124DCD3B4951}"/>
    <cellStyle name="Header2 1 6 3 3 3" xfId="40650" xr:uid="{E87ED736-462A-469B-A3D3-F2F24BEFA3BE}"/>
    <cellStyle name="Header2 1 6 3 4" xfId="22204" xr:uid="{28B7AD89-41B0-4D02-B01C-7DA3224D94DD}"/>
    <cellStyle name="Header2 1 6 3 5" xfId="35253" xr:uid="{D720BD28-2702-4438-B831-2DA9E4E66B06}"/>
    <cellStyle name="Header2 1 6 4" xfId="5439" xr:uid="{78C4D63C-06EF-4F15-B55D-DD5807B39A6C}"/>
    <cellStyle name="Header2 1 6 4 2" xfId="8617" xr:uid="{CAF87962-25C5-4D41-BA77-CEF1135B6635}"/>
    <cellStyle name="Header2 1 6 4 2 2" xfId="13044" xr:uid="{7C24E10D-6B67-420F-A01E-5A8090313BB4}"/>
    <cellStyle name="Header2 1 6 4 2 2 2" xfId="29571" xr:uid="{F377DDC5-E086-4F2A-B5A0-37676F7033B0}"/>
    <cellStyle name="Header2 1 6 4 2 2 3" xfId="42874" xr:uid="{52C4F857-7780-4305-81DB-5A45B42DFA47}"/>
    <cellStyle name="Header2 1 6 4 2 3" xfId="26114" xr:uid="{7BE0B480-327C-4F8B-A228-001DCDA70BC5}"/>
    <cellStyle name="Header2 1 6 4 2 4" xfId="39190" xr:uid="{648F7FAA-87EB-4E65-8094-BAA365ECD58B}"/>
    <cellStyle name="Header2 1 6 4 3" xfId="10612" xr:uid="{F38F1B74-462D-4587-8FDB-18B6CE92FEC8}"/>
    <cellStyle name="Header2 1 6 4 3 2" xfId="27471" xr:uid="{964E8323-DCCF-4610-9E39-F29DDCC38837}"/>
    <cellStyle name="Header2 1 6 4 3 3" xfId="40593" xr:uid="{A6F72CA6-E74C-41B1-8A00-C6F93F6E8A5C}"/>
    <cellStyle name="Header2 1 6 4 4" xfId="23086" xr:uid="{FCF3815B-D744-4C7F-88B9-F774B3F254BF}"/>
    <cellStyle name="Header2 1 6 4 5" xfId="36167" xr:uid="{97ADDD84-A7D4-48B1-83B5-FF81EB66FFDF}"/>
    <cellStyle name="Header2 1 6 5" xfId="12578" xr:uid="{E27A3327-38A0-4B93-AD02-07262A624F49}"/>
    <cellStyle name="Header2 1 6 5 2" xfId="29195" xr:uid="{A6BFD6F4-3361-4C5A-90E9-334B088A778B}"/>
    <cellStyle name="Header2 1 6 5 3" xfId="42457" xr:uid="{E47E8837-9D8D-4EB5-B1B4-B1A7E1034D81}"/>
    <cellStyle name="Header2 1 6 6" xfId="21377" xr:uid="{303FC89B-6604-4A53-83F9-9EAE9C9CD89B}"/>
    <cellStyle name="Header2 1 6 7" xfId="34400" xr:uid="{09F87A76-0791-43A9-A23A-869669AE4CE5}"/>
    <cellStyle name="Header2 1 7" xfId="3396" xr:uid="{DD07CF50-103F-424A-90BB-6B7F124DB941}"/>
    <cellStyle name="Header2 1 7 2" xfId="2744" xr:uid="{1FE44DF3-8A5F-4E20-A448-12AEA002FA2C}"/>
    <cellStyle name="Header2 1 7 2 2" xfId="8040" xr:uid="{173B4073-E98D-483F-8FFB-27FB7DE7376F}"/>
    <cellStyle name="Header2 1 7 2 2 2" xfId="13970" xr:uid="{43342A62-6CB4-4456-ABE3-CB7C400F496B}"/>
    <cellStyle name="Header2 1 7 2 2 2 2" xfId="30357" xr:uid="{8390BD08-B749-4403-8F91-210BFD4F5785}"/>
    <cellStyle name="Header2 1 7 2 2 2 3" xfId="43734" xr:uid="{5C14C4D0-0943-48A0-AF4D-CA41813A75DC}"/>
    <cellStyle name="Header2 1 7 2 2 3" xfId="25553" xr:uid="{27150ABD-3AF4-4DB9-8180-591C38DD9148}"/>
    <cellStyle name="Header2 1 7 2 2 4" xfId="38629" xr:uid="{87ACC831-C646-454D-A9EB-B2E4A8509ACE}"/>
    <cellStyle name="Header2 1 7 2 3" xfId="6407" xr:uid="{223367DE-9778-4462-B526-DB18BD1EFAE4}"/>
    <cellStyle name="Header2 1 7 2 3 2" xfId="13264" xr:uid="{733E86FD-19DE-431B-951A-C1B3384A7209}"/>
    <cellStyle name="Header2 1 7 2 3 2 2" xfId="29756" xr:uid="{AA60EE55-539B-4E93-BCF3-ED7A09422624}"/>
    <cellStyle name="Header2 1 7 2 3 2 3" xfId="43082" xr:uid="{25982311-992C-4662-B415-6F0986178DE0}"/>
    <cellStyle name="Header2 1 7 2 3 3" xfId="24044" xr:uid="{5D3F6D1B-3C54-4519-86E9-49CE0CF6EEA1}"/>
    <cellStyle name="Header2 1 7 2 3 4" xfId="37125" xr:uid="{46BDAE08-5139-4EF4-A4AE-0054AC6D8228}"/>
    <cellStyle name="Header2 1 7 2 4" xfId="17307" xr:uid="{7640CB36-98DE-4779-88C0-B6497E372A7B}"/>
    <cellStyle name="Header2 1 7 2 4 2" xfId="33065" xr:uid="{167B9ACD-AD56-458F-AFCE-A63821821739}"/>
    <cellStyle name="Header2 1 7 2 4 3" xfId="46841" xr:uid="{65B76B33-531B-49F0-AB69-457FDB54E07D}"/>
    <cellStyle name="Header2 1 7 2 5" xfId="20796" xr:uid="{7409E7FC-D971-4E65-839D-2CE2F3B618D4}"/>
    <cellStyle name="Header2 1 7 2 6" xfId="33819" xr:uid="{3158EF95-3946-4C49-881E-2F5F04E40C7F}"/>
    <cellStyle name="Header2 1 7 3" xfId="4407" xr:uid="{3EFC4F65-4A42-4B8B-8A1D-5D991ABA2766}"/>
    <cellStyle name="Header2 1 7 3 2" xfId="7042" xr:uid="{18ADBE0C-D2E5-4F0A-A0B9-CDAE4571A0E2}"/>
    <cellStyle name="Header2 1 7 3 2 2" xfId="16880" xr:uid="{6A57DE61-2822-4F1A-9338-8E99969231F0}"/>
    <cellStyle name="Header2 1 7 3 2 2 2" xfId="32757" xr:uid="{409DA963-8F17-4B73-9359-8166AD69A93D}"/>
    <cellStyle name="Header2 1 7 3 2 2 3" xfId="46422" xr:uid="{E885131C-FA32-4734-872B-E1D4215D6486}"/>
    <cellStyle name="Header2 1 7 3 2 3" xfId="24647" xr:uid="{710E6C0D-1578-461F-83CB-71EDE3EFDF84}"/>
    <cellStyle name="Header2 1 7 3 2 4" xfId="37728" xr:uid="{DA6447BA-2950-42D4-93A3-874BAC60DE93}"/>
    <cellStyle name="Header2 1 7 3 3" xfId="14721" xr:uid="{C5DF7000-693E-4472-93E3-0FB5371CAF24}"/>
    <cellStyle name="Header2 1 7 3 3 2" xfId="31006" xr:uid="{E01C9482-6685-4E03-B232-67464A0C8808}"/>
    <cellStyle name="Header2 1 7 3 3 3" xfId="44430" xr:uid="{5BF2CC82-8471-46CE-AD85-6A514F8AD333}"/>
    <cellStyle name="Header2 1 7 3 4" xfId="22226" xr:uid="{C515E40A-762D-449E-8914-C6F38EB438F6}"/>
    <cellStyle name="Header2 1 7 3 5" xfId="35275" xr:uid="{A4F5C6E6-692F-4B58-BA49-B171835C3E96}"/>
    <cellStyle name="Header2 1 7 4" xfId="5461" xr:uid="{353824BA-57C8-403A-BF5B-95663246BD06}"/>
    <cellStyle name="Header2 1 7 4 2" xfId="8641" xr:uid="{8A03A4A0-6F26-4AF0-AE31-1470C4C7613D}"/>
    <cellStyle name="Header2 1 7 4 2 2" xfId="17120" xr:uid="{BEA0025C-6201-4D65-9C94-EB772B8ACF44}"/>
    <cellStyle name="Header2 1 7 4 2 2 2" xfId="32884" xr:uid="{604B79F4-4A72-43C0-89C7-8CAA86AF2F83}"/>
    <cellStyle name="Header2 1 7 4 2 2 3" xfId="46656" xr:uid="{52C2FBD4-71AE-483B-9D42-184D835C02CF}"/>
    <cellStyle name="Header2 1 7 4 2 3" xfId="26136" xr:uid="{1D861803-3878-4245-BA5B-6158E9BDA840}"/>
    <cellStyle name="Header2 1 7 4 2 4" xfId="39212" xr:uid="{797FA111-62B5-4A5F-AA98-E5D69BB2F0C0}"/>
    <cellStyle name="Header2 1 7 4 3" xfId="16184" xr:uid="{B11558B3-6A59-49DA-9B12-DFFCAAAB8102}"/>
    <cellStyle name="Header2 1 7 4 3 2" xfId="32229" xr:uid="{D31F791E-A521-4326-9B4C-8ECE98E1D39D}"/>
    <cellStyle name="Header2 1 7 4 3 3" xfId="45752" xr:uid="{E4ADDE27-7FA1-4A71-8BD3-5A6DAB28118F}"/>
    <cellStyle name="Header2 1 7 4 4" xfId="23108" xr:uid="{75714CF7-24F2-448B-AEFC-D309462C123A}"/>
    <cellStyle name="Header2 1 7 4 5" xfId="36189" xr:uid="{319CD789-A1AF-4A63-9F28-EDDB52F97E0E}"/>
    <cellStyle name="Header2 1 7 5" xfId="11019" xr:uid="{F2178E48-DBE2-4E23-8CCF-8CF5C0336007}"/>
    <cellStyle name="Header2 1 7 5 2" xfId="27826" xr:uid="{C0CC87C9-3D2E-45C7-B8CB-1BC286249AF2}"/>
    <cellStyle name="Header2 1 7 5 3" xfId="40999" xr:uid="{A8943022-BC3B-4472-945E-2D228BB2A388}"/>
    <cellStyle name="Header2 1 7 6" xfId="21398" xr:uid="{25CBF46D-D9E2-4914-90B0-2CDF58E9BD89}"/>
    <cellStyle name="Header2 1 7 7" xfId="34422" xr:uid="{4A0C616F-41F0-4401-B1D8-35E68770FED1}"/>
    <cellStyle name="Header2 1 8" xfId="3349" xr:uid="{F8D40427-479C-4C7B-87BC-A8FEEBDF3AE6}"/>
    <cellStyle name="Header2 1 8 2" xfId="2711" xr:uid="{3CE4486F-F042-4FCD-B03A-5D943962DF2A}"/>
    <cellStyle name="Header2 1 8 2 2" xfId="8007" xr:uid="{97681C50-EBCB-4917-81D1-070D519E6B4C}"/>
    <cellStyle name="Header2 1 8 2 2 2" xfId="16287" xr:uid="{610BA74B-0305-4494-9FFC-DCEF3972C1CE}"/>
    <cellStyle name="Header2 1 8 2 2 2 2" xfId="32319" xr:uid="{91A8289C-91C3-4A0B-8EBD-DD1F9683F629}"/>
    <cellStyle name="Header2 1 8 2 2 2 3" xfId="45849" xr:uid="{142C50D5-15E6-4DA6-96DF-ED5F757123DD}"/>
    <cellStyle name="Header2 1 8 2 2 3" xfId="25522" xr:uid="{F1A872E5-73A1-4B34-94AB-68B50AC63345}"/>
    <cellStyle name="Header2 1 8 2 2 4" xfId="38598" xr:uid="{36CFFB98-54AE-44D0-A9F4-A0AFA2857757}"/>
    <cellStyle name="Header2 1 8 2 3" xfId="6374" xr:uid="{0AFC0B2B-9554-4DA5-96B0-444E2E8B1E6F}"/>
    <cellStyle name="Header2 1 8 2 3 2" xfId="11381" xr:uid="{AED987FE-893E-4964-A415-81709572B868}"/>
    <cellStyle name="Header2 1 8 2 3 2 2" xfId="28154" xr:uid="{1687F48B-72B8-48AA-871C-1586C8D1D8A9}"/>
    <cellStyle name="Header2 1 8 2 3 2 3" xfId="41343" xr:uid="{920AD824-2F7A-4C1C-8D3B-F596AB71D653}"/>
    <cellStyle name="Header2 1 8 2 3 3" xfId="24013" xr:uid="{B71CA2F5-020F-4EC3-A0EA-54D97C32CB99}"/>
    <cellStyle name="Header2 1 8 2 3 4" xfId="37094" xr:uid="{36B83C5B-B50D-4603-A435-1EEBDB9CF1F8}"/>
    <cellStyle name="Header2 1 8 2 4" xfId="13116" xr:uid="{880565F4-3513-45FC-A0AA-05175C569251}"/>
    <cellStyle name="Header2 1 8 2 4 2" xfId="29631" xr:uid="{5D8EDA8F-EACF-4CDF-825E-B0019B9C47C8}"/>
    <cellStyle name="Header2 1 8 2 4 3" xfId="42942" xr:uid="{229BCEB8-1396-470D-A58F-0F6532FB2799}"/>
    <cellStyle name="Header2 1 8 2 5" xfId="20765" xr:uid="{159FF7B2-E33C-47BF-A8B3-C16007CD08B5}"/>
    <cellStyle name="Header2 1 8 2 6" xfId="33788" xr:uid="{8E27C0B8-A2BA-4018-A07E-0F0FDC216FEA}"/>
    <cellStyle name="Header2 1 8 3" xfId="4380" xr:uid="{5EEEAB15-3D4D-4750-8B71-942523D6C7A5}"/>
    <cellStyle name="Header2 1 8 3 2" xfId="6999" xr:uid="{EBA550D3-380B-4ECB-A24E-CE245B75FE63}"/>
    <cellStyle name="Header2 1 8 3 2 2" xfId="14670" xr:uid="{794C1C2E-650F-4334-B9D0-DDCC299BDE4D}"/>
    <cellStyle name="Header2 1 8 3 2 2 2" xfId="30964" xr:uid="{D210A3CE-85D9-4C39-A039-BABA2BFF057F}"/>
    <cellStyle name="Header2 1 8 3 2 2 3" xfId="44385" xr:uid="{1F0986B2-EF87-4406-B1EB-9880CE124E2D}"/>
    <cellStyle name="Header2 1 8 3 2 3" xfId="24620" xr:uid="{B047813D-2A0F-4989-8139-D700010A2B01}"/>
    <cellStyle name="Header2 1 8 3 2 4" xfId="37701" xr:uid="{50686F30-FC51-4CF8-88CB-877DB54387FE}"/>
    <cellStyle name="Header2 1 8 3 3" xfId="17471" xr:uid="{E11FE43C-762C-481D-B8D3-178D997C61B4}"/>
    <cellStyle name="Header2 1 8 3 3 2" xfId="33214" xr:uid="{E8FA57EB-92D5-41C1-A7AC-E6117D8A696A}"/>
    <cellStyle name="Header2 1 8 3 3 3" xfId="47000" xr:uid="{61E92077-DF0D-4EED-9EE3-5C183150106F}"/>
    <cellStyle name="Header2 1 8 3 4" xfId="22199" xr:uid="{876F1674-B73F-4199-817F-93623FA8538D}"/>
    <cellStyle name="Header2 1 8 3 5" xfId="35248" xr:uid="{B2050809-1ADF-4299-BBA4-8A7F9A3E64EA}"/>
    <cellStyle name="Header2 1 8 4" xfId="5434" xr:uid="{467BA744-E01D-4820-B4D9-AD9690299C06}"/>
    <cellStyle name="Header2 1 8 4 2" xfId="8612" xr:uid="{79C37CBF-F10D-402C-A44C-D8E132F957B6}"/>
    <cellStyle name="Header2 1 8 4 2 2" xfId="10833" xr:uid="{B5037F60-D5FF-43D8-A980-AE18D16A99D2}"/>
    <cellStyle name="Header2 1 8 4 2 2 2" xfId="27663" xr:uid="{B2B5826D-1A34-43DC-A508-DA6540ABF235}"/>
    <cellStyle name="Header2 1 8 4 2 2 3" xfId="40814" xr:uid="{9E042563-80B9-4D1B-A386-5C06BD5D6D3B}"/>
    <cellStyle name="Header2 1 8 4 2 3" xfId="26109" xr:uid="{7E957890-9303-441C-A27C-D6E05E419B73}"/>
    <cellStyle name="Header2 1 8 4 2 4" xfId="39185" xr:uid="{88482DA5-D7F9-43AF-818D-B1CA1E7A76F4}"/>
    <cellStyle name="Header2 1 8 4 3" xfId="13770" xr:uid="{7E07FF1C-4D19-4980-9AC8-E32E53B9C13E}"/>
    <cellStyle name="Header2 1 8 4 3 2" xfId="30179" xr:uid="{D49B7F7B-339B-470E-A521-9F376C8C5664}"/>
    <cellStyle name="Header2 1 8 4 3 3" xfId="43543" xr:uid="{6458B914-298D-4A62-BD93-3441B682C70E}"/>
    <cellStyle name="Header2 1 8 4 4" xfId="23081" xr:uid="{E75969C6-6687-402C-BDDF-0D0DA5181CBD}"/>
    <cellStyle name="Header2 1 8 4 5" xfId="36162" xr:uid="{BD70C223-6388-49D7-A65D-C18C27A8118A}"/>
    <cellStyle name="Header2 1 8 5" xfId="17175" xr:uid="{AB78E38A-2F84-4268-9C96-E2125A5EEED3}"/>
    <cellStyle name="Header2 1 8 5 2" xfId="32938" xr:uid="{A867816F-4B03-45CE-8BDF-359EB68CCC08}"/>
    <cellStyle name="Header2 1 8 5 3" xfId="46710" xr:uid="{A4CAF2D8-1B82-400C-8E7F-881E61BC23C9}"/>
    <cellStyle name="Header2 1 8 6" xfId="21372" xr:uid="{4936A1BD-9A78-4E3D-BFD7-812834DA5C28}"/>
    <cellStyle name="Header2 1 8 7" xfId="34395" xr:uid="{24106FAC-3945-4627-9694-CBCE6A92B427}"/>
    <cellStyle name="Header2 1 9" xfId="3615" xr:uid="{651D836D-F2AF-40DF-986E-1978C9D957A0}"/>
    <cellStyle name="Header2 1 9 2" xfId="2945" xr:uid="{4414ACB8-D8E8-40E1-B7AD-FA7958DEBCCC}"/>
    <cellStyle name="Header2 1 9 2 2" xfId="8241" xr:uid="{C2B5F2B9-83ED-4BDA-833B-0E95D14B6C54}"/>
    <cellStyle name="Header2 1 9 2 2 2" xfId="11009" xr:uid="{37095915-51C0-44B5-AC67-2A4734054A3B}"/>
    <cellStyle name="Header2 1 9 2 2 2 2" xfId="27816" xr:uid="{51068C5D-D8AA-4A3C-AF6D-7685D56D6221}"/>
    <cellStyle name="Header2 1 9 2 2 2 3" xfId="40989" xr:uid="{6CC5970C-F9C1-45EB-97FA-A06DF07C3D9D}"/>
    <cellStyle name="Header2 1 9 2 2 3" xfId="25750" xr:uid="{D546A321-0EDA-4EF5-8599-43AF61C838D6}"/>
    <cellStyle name="Header2 1 9 2 2 4" xfId="38826" xr:uid="{595265B4-9E8D-43C2-BF05-1AD7B4E29187}"/>
    <cellStyle name="Header2 1 9 2 3" xfId="6608" xr:uid="{A6EEDAE4-BFEC-41BD-A911-7C0B0EE0B4AD}"/>
    <cellStyle name="Header2 1 9 2 3 2" xfId="12091" xr:uid="{02FD3E51-B1E7-495B-881D-C2FD79FF9675}"/>
    <cellStyle name="Header2 1 9 2 3 2 2" xfId="28791" xr:uid="{88FA0A7C-547F-4A4A-AC4B-06D00D5927B2}"/>
    <cellStyle name="Header2 1 9 2 3 2 3" xfId="42011" xr:uid="{58DECC06-9DFD-465D-A6CA-40AB1FAB1FFC}"/>
    <cellStyle name="Header2 1 9 2 3 3" xfId="24241" xr:uid="{96A0FED0-65E1-4CF4-B354-6AD5C4280C47}"/>
    <cellStyle name="Header2 1 9 2 3 4" xfId="37322" xr:uid="{EB15852E-077F-4ABD-BF22-E39184A08C13}"/>
    <cellStyle name="Header2 1 9 2 4" xfId="16004" xr:uid="{00C8EA01-2EFC-4194-8239-395C16A54FDC}"/>
    <cellStyle name="Header2 1 9 2 4 2" xfId="32075" xr:uid="{2691BEEC-48C2-4D09-B083-48A1ED012868}"/>
    <cellStyle name="Header2 1 9 2 4 3" xfId="45594" xr:uid="{CFDB5BF2-F5BB-4638-8836-7EB3852137BE}"/>
    <cellStyle name="Header2 1 9 2 5" xfId="20993" xr:uid="{565F758C-4D92-4F95-B1A2-8932BB6F292D}"/>
    <cellStyle name="Header2 1 9 2 6" xfId="34016" xr:uid="{A184794E-BE05-4C2F-AC1C-99918D10560C}"/>
    <cellStyle name="Header2 1 9 3" xfId="4538" xr:uid="{EEE2E82F-BBC0-4BAC-85FA-AA1E315EEC62}"/>
    <cellStyle name="Header2 1 9 3 2" xfId="7250" xr:uid="{BCCBE1FD-0AE9-4AA9-A756-504970563269}"/>
    <cellStyle name="Header2 1 9 3 2 2" xfId="15584" xr:uid="{D23D0F2B-EDBE-46F9-ADD8-8D4B063DE6E1}"/>
    <cellStyle name="Header2 1 9 3 2 2 2" xfId="31712" xr:uid="{7EFF764C-5FBB-4544-8C65-45885672F925}"/>
    <cellStyle name="Header2 1 9 3 2 2 3" xfId="45214" xr:uid="{349BE68B-2905-4304-9200-217BCE8A8B23}"/>
    <cellStyle name="Header2 1 9 3 2 3" xfId="24838" xr:uid="{665B2C0E-7AE7-41D0-9F35-1AE0C1F2C349}"/>
    <cellStyle name="Header2 1 9 3 2 4" xfId="37919" xr:uid="{C70A15E5-7120-47E6-9882-DC6A0E822245}"/>
    <cellStyle name="Header2 1 9 3 3" xfId="15918" xr:uid="{94B05FC9-3566-435E-B885-3D63C908160C}"/>
    <cellStyle name="Header2 1 9 3 3 2" xfId="32000" xr:uid="{F7EDCAE2-B66E-4169-ACD6-561A2E129D13}"/>
    <cellStyle name="Header2 1 9 3 3 3" xfId="45516" xr:uid="{B2035518-F2F8-406D-92DE-475BD4EAF325}"/>
    <cellStyle name="Header2 1 9 3 4" xfId="22354" xr:uid="{B822520E-D111-49E6-9198-1F4DC94660B5}"/>
    <cellStyle name="Header2 1 9 3 5" xfId="35403" xr:uid="{30B4245E-DE92-437E-9664-33752E9930C9}"/>
    <cellStyle name="Header2 1 9 4" xfId="5652" xr:uid="{518BA5DD-275D-42BC-A505-683054E06B53}"/>
    <cellStyle name="Header2 1 9 4 2" xfId="8836" xr:uid="{CA2B20A4-A7CB-4520-BF81-9302AC2314D8}"/>
    <cellStyle name="Header2 1 9 4 2 2" xfId="10855" xr:uid="{50407DD5-6BC4-45B1-B42B-B75C0ED2B692}"/>
    <cellStyle name="Header2 1 9 4 2 2 2" xfId="27683" xr:uid="{1AC2D128-B559-4508-9CB7-91B49357BAEF}"/>
    <cellStyle name="Header2 1 9 4 2 2 3" xfId="40836" xr:uid="{0FACBB57-F237-485B-B58F-D1BB9ECBBDD3}"/>
    <cellStyle name="Header2 1 9 4 2 3" xfId="26327" xr:uid="{391DB031-9C54-4D07-B638-75790BB30F3A}"/>
    <cellStyle name="Header2 1 9 4 2 4" xfId="39403" xr:uid="{C38B58F1-AFCA-4883-88CC-274CEBC05B99}"/>
    <cellStyle name="Header2 1 9 4 3" xfId="12619" xr:uid="{6FC663AF-45E0-43C4-944A-21B17E2C891B}"/>
    <cellStyle name="Header2 1 9 4 3 2" xfId="29229" xr:uid="{BEA9AD67-433E-4D49-A412-35D37F8E7344}"/>
    <cellStyle name="Header2 1 9 4 3 3" xfId="42494" xr:uid="{28BA2C3D-29C5-4B62-B370-997973D27C88}"/>
    <cellStyle name="Header2 1 9 4 4" xfId="23299" xr:uid="{252BDA5E-4F41-48B8-ABB6-DDC15EFE9B4D}"/>
    <cellStyle name="Header2 1 9 4 5" xfId="36380" xr:uid="{DA3E1CDF-DA2E-46B5-BA55-FA7BEF6C45E6}"/>
    <cellStyle name="Header2 1 9 5" xfId="11332" xr:uid="{FD82F936-3D78-4E85-B2B9-704234DE48B5}"/>
    <cellStyle name="Header2 1 9 5 2" xfId="28111" xr:uid="{2E0BBB12-627B-4A46-8FD6-852FB135F35E}"/>
    <cellStyle name="Header2 1 9 5 3" xfId="41299" xr:uid="{92CFEE72-A07E-4C8F-BF81-831CD1636F80}"/>
    <cellStyle name="Header2 1 9 6" xfId="21561" xr:uid="{90000BB4-0FD3-48D2-998D-B9B13B93052A}"/>
    <cellStyle name="Header2 1 9 7" xfId="34615" xr:uid="{045ECB4B-6CEA-407F-BF3D-AF5C501034D2}"/>
    <cellStyle name="Header2 10" xfId="3351" xr:uid="{80DD536D-FB93-4AF1-8F8B-C7FC742CFD4C}"/>
    <cellStyle name="Header2 10 2" xfId="2713" xr:uid="{F9DEB31A-35E7-43BE-946C-22919697EDE1}"/>
    <cellStyle name="Header2 10 2 2" xfId="8009" xr:uid="{D57430BC-01DB-43BF-B398-4D83BE2653F9}"/>
    <cellStyle name="Header2 10 2 2 2" xfId="13179" xr:uid="{FF1A4507-5F12-49DE-8808-71F5419AF777}"/>
    <cellStyle name="Header2 10 2 2 2 2" xfId="29687" xr:uid="{D7329CD5-ACC7-4408-BB0F-846A3137F68C}"/>
    <cellStyle name="Header2 10 2 2 2 3" xfId="43002" xr:uid="{09E80979-F0E7-4917-9DFA-7DAB23708AC6}"/>
    <cellStyle name="Header2 10 2 2 3" xfId="25524" xr:uid="{F436A226-AE3C-4187-8164-C1A27DF84B12}"/>
    <cellStyle name="Header2 10 2 2 4" xfId="38600" xr:uid="{F7012F5B-A5DB-42E5-BC5A-0347FD6154E2}"/>
    <cellStyle name="Header2 10 2 3" xfId="6376" xr:uid="{F0B5A15E-953E-4758-A1E7-22D545BC0308}"/>
    <cellStyle name="Header2 10 2 3 2" xfId="11699" xr:uid="{87742779-6B18-4620-946B-E8673268F342}"/>
    <cellStyle name="Header2 10 2 3 2 2" xfId="28432" xr:uid="{5B1EE76C-B246-41BF-B7EC-F5F40F8E5436}"/>
    <cellStyle name="Header2 10 2 3 2 3" xfId="41642" xr:uid="{892FF642-34B7-4E0C-83F1-C10F45C685BA}"/>
    <cellStyle name="Header2 10 2 3 3" xfId="24015" xr:uid="{3DC260D7-9539-4D1E-B4F6-6CE677FCDB2C}"/>
    <cellStyle name="Header2 10 2 3 4" xfId="37096" xr:uid="{78FD7686-18C8-423F-9D79-FDCF7476C644}"/>
    <cellStyle name="Header2 10 2 4" xfId="17290" xr:uid="{4CF9E98D-CDA1-467E-BAD0-67772C1B5A0E}"/>
    <cellStyle name="Header2 10 2 4 2" xfId="33048" xr:uid="{1B7FE42D-9407-4BAB-B657-B166170F7BB4}"/>
    <cellStyle name="Header2 10 2 4 3" xfId="46824" xr:uid="{119BDD37-ACB4-49BA-8F12-71C067D8CA2C}"/>
    <cellStyle name="Header2 10 2 5" xfId="20767" xr:uid="{E7043938-9334-42BE-9544-EA9204EAA48F}"/>
    <cellStyle name="Header2 10 2 6" xfId="33790" xr:uid="{0646B6D0-AC08-4934-8D9A-4AA5FE2304D1}"/>
    <cellStyle name="Header2 10 3" xfId="4382" xr:uid="{3431CE03-A47B-4871-AC7C-2434553E0524}"/>
    <cellStyle name="Header2 10 3 2" xfId="7001" xr:uid="{622B1B4E-B800-4E34-9B27-8AB903FEF956}"/>
    <cellStyle name="Header2 10 3 2 2" xfId="14936" xr:uid="{55EB3A12-19F1-48A9-8EEA-788D3F32A6CB}"/>
    <cellStyle name="Header2 10 3 2 2 2" xfId="31178" xr:uid="{5C317A54-024F-4121-BD6E-C8B08EB1872B}"/>
    <cellStyle name="Header2 10 3 2 2 3" xfId="44623" xr:uid="{02ED051C-EFA0-417D-9558-0477974FB332}"/>
    <cellStyle name="Header2 10 3 2 3" xfId="24622" xr:uid="{B77EC68C-BF67-4E55-9789-DB11C2B7AE28}"/>
    <cellStyle name="Header2 10 3 2 4" xfId="37703" xr:uid="{F3BE937D-2275-4C09-B2C9-287161C445DB}"/>
    <cellStyle name="Header2 10 3 3" xfId="15200" xr:uid="{E20E1E74-C1D0-4596-924B-7384EEA15974}"/>
    <cellStyle name="Header2 10 3 3 2" xfId="31383" xr:uid="{1E843848-D70E-4778-AF05-A870954EF032}"/>
    <cellStyle name="Header2 10 3 3 3" xfId="44855" xr:uid="{601C980E-7A13-4544-98AE-3C6C2E454AAC}"/>
    <cellStyle name="Header2 10 3 4" xfId="22201" xr:uid="{94FDA84E-7B57-4B15-B0EB-AF6B1002A0F8}"/>
    <cellStyle name="Header2 10 3 5" xfId="35250" xr:uid="{BC8DAC97-F08F-4CF3-AAB6-2951BA01A0EA}"/>
    <cellStyle name="Header2 10 4" xfId="5436" xr:uid="{5385378D-5D5F-4C7B-A1D6-7F3E4B696221}"/>
    <cellStyle name="Header2 10 4 2" xfId="8614" xr:uid="{86BA23E6-3F80-431B-B0FE-0DB6E76F9143}"/>
    <cellStyle name="Header2 10 4 2 2" xfId="10784" xr:uid="{CB28C94E-3A1F-440D-9644-15A62A865B86}"/>
    <cellStyle name="Header2 10 4 2 2 2" xfId="27618" xr:uid="{B3BED947-449A-4662-9B9F-60C2967CA50F}"/>
    <cellStyle name="Header2 10 4 2 2 3" xfId="40765" xr:uid="{FCE2AD52-D99F-4B74-ACF0-470AB5402B59}"/>
    <cellStyle name="Header2 10 4 2 3" xfId="26111" xr:uid="{D286F198-25B8-4B6A-AF0C-481A5EF299D6}"/>
    <cellStyle name="Header2 10 4 2 4" xfId="39187" xr:uid="{21E9BC45-296A-42B4-9068-6EE3F6223F88}"/>
    <cellStyle name="Header2 10 4 3" xfId="14294" xr:uid="{A502BC09-D386-46C3-96F5-53F7DA910E2F}"/>
    <cellStyle name="Header2 10 4 3 2" xfId="30633" xr:uid="{8EE83DBA-F672-4F58-8E71-4AC6998DD002}"/>
    <cellStyle name="Header2 10 4 3 3" xfId="44027" xr:uid="{0B988FE1-E750-41E2-8293-E55CC9ED802D}"/>
    <cellStyle name="Header2 10 4 4" xfId="23083" xr:uid="{EB8F1E4D-3624-4766-BEA9-1A4E01D9D286}"/>
    <cellStyle name="Header2 10 4 5" xfId="36164" xr:uid="{4FF7699B-E218-45B4-AD77-3F7D6678C6F8}"/>
    <cellStyle name="Header2 10 5" xfId="11343" xr:uid="{BFFD26F3-BD7D-4B32-ABAB-1FF92A62114B}"/>
    <cellStyle name="Header2 10 5 2" xfId="28122" xr:uid="{AD586C28-558D-454E-89BF-74F9D1D65F6C}"/>
    <cellStyle name="Header2 10 5 3" xfId="41310" xr:uid="{8D35796C-18C6-432C-896B-F60A33962EE1}"/>
    <cellStyle name="Header2 10 6" xfId="21374" xr:uid="{4326EEEE-A986-4FE0-AC72-19C343C7E0FD}"/>
    <cellStyle name="Header2 10 7" xfId="34397" xr:uid="{F3ABDD12-6603-4206-A8A3-DE7DB165BF4F}"/>
    <cellStyle name="Header2 11" xfId="3616" xr:uid="{5067B7EC-12E5-4151-B366-74211D8BFB3F}"/>
    <cellStyle name="Header2 11 2" xfId="2946" xr:uid="{62507BE4-1775-48B8-955A-1436D2082310}"/>
    <cellStyle name="Header2 11 2 2" xfId="8242" xr:uid="{023121B6-9BEF-4204-B6D2-302DD9CC1CD4}"/>
    <cellStyle name="Header2 11 2 2 2" xfId="16791" xr:uid="{ACFDA27E-A45B-4156-8A61-09308E4B2DC3}"/>
    <cellStyle name="Header2 11 2 2 2 2" xfId="32672" xr:uid="{DD483EFA-3D65-4646-8133-C2F7B3B179E3}"/>
    <cellStyle name="Header2 11 2 2 2 3" xfId="46334" xr:uid="{2E13CEB6-E42D-4EC9-9168-66B8357CD371}"/>
    <cellStyle name="Header2 11 2 2 3" xfId="25751" xr:uid="{082E4E29-3085-4A4B-821D-DCBABF8AC04D}"/>
    <cellStyle name="Header2 11 2 2 4" xfId="38827" xr:uid="{25C3FAD5-8023-4E0F-B9C7-8335E1530C21}"/>
    <cellStyle name="Header2 11 2 3" xfId="6609" xr:uid="{5F4277C7-61C9-409B-8861-59508029F877}"/>
    <cellStyle name="Header2 11 2 3 2" xfId="16734" xr:uid="{C54B63B5-A309-42EC-85D2-0CE679DC037A}"/>
    <cellStyle name="Header2 11 2 3 2 2" xfId="32617" xr:uid="{2487C09C-CC66-4282-A5D3-FB733C870B5E}"/>
    <cellStyle name="Header2 11 2 3 2 3" xfId="46277" xr:uid="{445A1AC0-339F-46A4-8F1A-917FBBB370ED}"/>
    <cellStyle name="Header2 11 2 3 3" xfId="24242" xr:uid="{9BD8349E-182B-4C55-9A41-33D806C54521}"/>
    <cellStyle name="Header2 11 2 3 4" xfId="37323" xr:uid="{7A525568-0674-4E65-8481-88AD36E91A40}"/>
    <cellStyle name="Header2 11 2 4" xfId="12543" xr:uid="{4A159680-A5BC-45A1-9DFF-57E0E028392F}"/>
    <cellStyle name="Header2 11 2 4 2" xfId="29167" xr:uid="{A3C3BFF2-79A1-4933-81F2-C3F09FE025C9}"/>
    <cellStyle name="Header2 11 2 4 3" xfId="42426" xr:uid="{E1321021-1BFD-400F-ABAC-C2A88920D445}"/>
    <cellStyle name="Header2 11 2 5" xfId="20994" xr:uid="{BE32F37F-EC16-4FD7-9736-5C34F5FFB9EF}"/>
    <cellStyle name="Header2 11 2 6" xfId="34017" xr:uid="{581CEFE2-F0F4-4F0A-ADFD-0B87344BFFE1}"/>
    <cellStyle name="Header2 11 3" xfId="4537" xr:uid="{B48B2554-1E74-450C-8D0C-9A81C72929C1}"/>
    <cellStyle name="Header2 11 3 2" xfId="7251" xr:uid="{E03674C0-8EFF-4198-A30C-89484118ABAA}"/>
    <cellStyle name="Header2 11 3 2 2" xfId="13301" xr:uid="{E6CB90C6-98BF-416C-8012-8974CC944DB3}"/>
    <cellStyle name="Header2 11 3 2 2 2" xfId="29788" xr:uid="{7FD4E570-7A49-417C-BD3C-60854B47B3C4}"/>
    <cellStyle name="Header2 11 3 2 2 3" xfId="43116" xr:uid="{6C79889D-C343-4618-8C19-E94FFCEFB92B}"/>
    <cellStyle name="Header2 11 3 2 3" xfId="24839" xr:uid="{CFFF6596-FF5E-4BEC-8BEF-9A4479D6881E}"/>
    <cellStyle name="Header2 11 3 2 4" xfId="37920" xr:uid="{2BED2C8D-F240-443E-AA67-F6347AEB8282}"/>
    <cellStyle name="Header2 11 3 3" xfId="14332" xr:uid="{B5BA7957-65AC-4A0A-94BF-16D239CEFE57}"/>
    <cellStyle name="Header2 11 3 3 2" xfId="30666" xr:uid="{64562B44-99A6-40D5-BEE2-797D1BEE4E8C}"/>
    <cellStyle name="Header2 11 3 3 3" xfId="44062" xr:uid="{CD30063A-743C-4B2A-AD13-948A85783A78}"/>
    <cellStyle name="Header2 11 3 4" xfId="22353" xr:uid="{C1940D7A-0FD6-4D69-B59E-A77E99D6475E}"/>
    <cellStyle name="Header2 11 3 5" xfId="35402" xr:uid="{5A738857-1CF4-4B51-A929-804FABF1500C}"/>
    <cellStyle name="Header2 11 4" xfId="5653" xr:uid="{34E0FF13-1057-4612-9D03-225AB67E69F9}"/>
    <cellStyle name="Header2 11 4 2" xfId="8837" xr:uid="{576CBA8A-A56C-4162-B870-DE83CD1B2161}"/>
    <cellStyle name="Header2 11 4 2 2" xfId="12324" xr:uid="{62880651-7ED8-47AA-809B-B0D515131CEC}"/>
    <cellStyle name="Header2 11 4 2 2 2" xfId="28992" xr:uid="{026474F7-AFF7-4F2A-89C7-89D66803A025}"/>
    <cellStyle name="Header2 11 4 2 2 3" xfId="42232" xr:uid="{845DC2BF-9AA6-4E65-9672-596D155ED18E}"/>
    <cellStyle name="Header2 11 4 2 3" xfId="26328" xr:uid="{6F6BD590-73DE-4F3C-A1D3-9209A1C12EA0}"/>
    <cellStyle name="Header2 11 4 2 4" xfId="39404" xr:uid="{79B422F3-5371-42E5-A110-D553AE428E57}"/>
    <cellStyle name="Header2 11 4 3" xfId="16860" xr:uid="{2B988982-C2F4-4FDA-92DE-C9769AC3568A}"/>
    <cellStyle name="Header2 11 4 3 2" xfId="32737" xr:uid="{6B98BD20-90F2-4CFE-853D-F7DC51E02EE4}"/>
    <cellStyle name="Header2 11 4 3 3" xfId="46402" xr:uid="{FCB013C2-77CC-450D-B23E-EC16E42D746E}"/>
    <cellStyle name="Header2 11 4 4" xfId="23300" xr:uid="{2673BEAA-4DCB-4961-8095-AF94E4996FF2}"/>
    <cellStyle name="Header2 11 4 5" xfId="36381" xr:uid="{0AED0714-C01A-4C64-AE73-E1331908353B}"/>
    <cellStyle name="Header2 11 5" xfId="11022" xr:uid="{80650974-AA67-4C32-882C-196887C61D31}"/>
    <cellStyle name="Header2 11 5 2" xfId="27829" xr:uid="{5C77553F-3C0D-467A-A59C-D9CAE47EE594}"/>
    <cellStyle name="Header2 11 5 3" xfId="41002" xr:uid="{BB7AD22F-A87B-42E7-A0BE-E30CAB11D2AA}"/>
    <cellStyle name="Header2 11 6" xfId="21562" xr:uid="{E23B1203-DD8F-4671-B155-F1D67E41493E}"/>
    <cellStyle name="Header2 11 7" xfId="34616" xr:uid="{3DAD2A43-2E3D-4473-80A7-151327FE52E1}"/>
    <cellStyle name="Header2 12" xfId="3672" xr:uid="{0023AD06-48A3-4198-B975-13D272C49716}"/>
    <cellStyle name="Header2 12 2" xfId="2988" xr:uid="{58CBD471-4345-4951-9C9A-0BAD56DA00AA}"/>
    <cellStyle name="Header2 12 2 2" xfId="8284" xr:uid="{EE88167E-17EF-4EA4-A3E0-C97ECBF8D061}"/>
    <cellStyle name="Header2 12 2 2 2" xfId="17389" xr:uid="{19D87FAE-D298-4B03-BAF8-5134D4F910BD}"/>
    <cellStyle name="Header2 12 2 2 2 2" xfId="33143" xr:uid="{CF96E7BD-EB9C-4B49-A417-40E9CDC6B41B}"/>
    <cellStyle name="Header2 12 2 2 2 3" xfId="46919" xr:uid="{C492C94C-D9BD-464E-AED4-BE8C3E08F3C9}"/>
    <cellStyle name="Header2 12 2 2 3" xfId="25790" xr:uid="{B18700FB-D246-460F-BDA1-69616B7A11F5}"/>
    <cellStyle name="Header2 12 2 2 4" xfId="38866" xr:uid="{A8892595-0D9D-4393-8EC3-8C53727FD2B5}"/>
    <cellStyle name="Header2 12 2 3" xfId="6651" xr:uid="{7D8C8CE2-66F8-4ACB-866C-057E9F28960C}"/>
    <cellStyle name="Header2 12 2 3 2" xfId="13209" xr:uid="{6714593F-A810-4504-9F4C-D1123FA65C87}"/>
    <cellStyle name="Header2 12 2 3 2 2" xfId="29710" xr:uid="{8246AD1D-CD6A-4721-88BD-E55C53B1AB48}"/>
    <cellStyle name="Header2 12 2 3 2 3" xfId="43029" xr:uid="{6615AEB8-D9A1-4A14-AC09-F9A37CC0B95E}"/>
    <cellStyle name="Header2 12 2 3 3" xfId="24281" xr:uid="{7E7F19BA-F577-4DAD-855D-264C3548E30F}"/>
    <cellStyle name="Header2 12 2 3 4" xfId="37362" xr:uid="{18055EF6-60E9-4FE7-B085-FB74AC2111FC}"/>
    <cellStyle name="Header2 12 2 4" xfId="16006" xr:uid="{6E0FDA8D-C98E-4BC7-A20F-FA9D3C6A0CAB}"/>
    <cellStyle name="Header2 12 2 4 2" xfId="32077" xr:uid="{70A71C68-5E94-424E-B0BC-7016BB5B9E5B}"/>
    <cellStyle name="Header2 12 2 4 3" xfId="45596" xr:uid="{EC4B73F2-1D0D-4BC6-8B24-6D2588ED7988}"/>
    <cellStyle name="Header2 12 2 5" xfId="21033" xr:uid="{636C43C5-F33A-44A7-AF3B-A21E1AE7E1A4}"/>
    <cellStyle name="Header2 12 2 6" xfId="34056" xr:uid="{4A9F682C-840C-4726-98FF-033D65480031}"/>
    <cellStyle name="Header2 12 3" xfId="4609" xr:uid="{A5F93712-3595-45DC-A47E-9F4037D3D90A}"/>
    <cellStyle name="Header2 12 3 2" xfId="7307" xr:uid="{7A2AAF24-78DD-41E1-B22D-828375DE2AEF}"/>
    <cellStyle name="Header2 12 3 2 2" xfId="12367" xr:uid="{567CF2D1-B7C6-4A86-B1D8-60645CBE0447}"/>
    <cellStyle name="Header2 12 3 2 2 2" xfId="29033" xr:uid="{408D9984-0BDE-4A8A-8095-9BA5E7A9786E}"/>
    <cellStyle name="Header2 12 3 2 2 3" xfId="42273" xr:uid="{274204A1-70F5-474D-9FE3-DB0C4EFC5D3E}"/>
    <cellStyle name="Header2 12 3 2 3" xfId="24868" xr:uid="{8497E249-4BA3-49D9-99AD-2351BEDBC2CF}"/>
    <cellStyle name="Header2 12 3 2 4" xfId="37948" xr:uid="{E62CE007-94FB-4A80-AB4A-207CF1442D15}"/>
    <cellStyle name="Header2 12 3 3" xfId="11207" xr:uid="{5E47D04D-3219-428E-B6BC-7C1A0C455B56}"/>
    <cellStyle name="Header2 12 3 3 2" xfId="28001" xr:uid="{BA19E85E-93E2-48B8-A14B-D10064ABE0B0}"/>
    <cellStyle name="Header2 12 3 3 3" xfId="41183" xr:uid="{2C4B7267-F536-4194-A09A-BFD716307227}"/>
    <cellStyle name="Header2 12 3 4" xfId="22422" xr:uid="{B300C7CE-FC83-42FA-B4EC-6AA821B7CD4D}"/>
    <cellStyle name="Header2 12 3 5" xfId="35472" xr:uid="{E701105C-913D-4954-A9D3-2046FF55B13D}"/>
    <cellStyle name="Header2 12 4" xfId="5681" xr:uid="{E13C7A11-D2EB-40CC-877A-FAD9CE2A5F0A}"/>
    <cellStyle name="Header2 12 4 2" xfId="8868" xr:uid="{F86C72CE-592E-4DE0-9F39-E001D69824E3}"/>
    <cellStyle name="Header2 12 4 2 2" xfId="13142" xr:uid="{6F134FC5-ACF6-449B-ACEC-3D1C6DADEF65}"/>
    <cellStyle name="Header2 12 4 2 2 2" xfId="29656" xr:uid="{97A250DD-5872-4B62-8F26-71947F2DEB09}"/>
    <cellStyle name="Header2 12 4 2 2 3" xfId="42968" xr:uid="{BD8FD3AB-4413-4CA5-8D03-AE61AC202BBF}"/>
    <cellStyle name="Header2 12 4 2 3" xfId="26356" xr:uid="{90093961-BDE5-43DE-B0F5-369C83D6250E}"/>
    <cellStyle name="Header2 12 4 2 4" xfId="39432" xr:uid="{0DA8F0D7-1D4E-46D9-B6FD-93EFC204E6DF}"/>
    <cellStyle name="Header2 12 4 3" xfId="17534" xr:uid="{ED64C4FB-3903-4436-8455-9AC85DCA25CD}"/>
    <cellStyle name="Header2 12 4 3 2" xfId="33272" xr:uid="{947C3A12-4F03-4930-99E5-B7F468C479D3}"/>
    <cellStyle name="Header2 12 4 3 3" xfId="47059" xr:uid="{72AD71AA-597B-4625-A894-D496DF97D721}"/>
    <cellStyle name="Header2 12 4 4" xfId="23328" xr:uid="{B0978337-842D-4AD6-AFF1-5D3503C74E27}"/>
    <cellStyle name="Header2 12 4 5" xfId="36409" xr:uid="{5144C4D8-7C4E-438F-91FC-210827C95262}"/>
    <cellStyle name="Header2 12 5" xfId="12678" xr:uid="{AAFB047C-66BE-4F28-AEED-44D45E23D086}"/>
    <cellStyle name="Header2 12 5 2" xfId="29273" xr:uid="{1CA04593-C25B-4E80-8331-D2790275860C}"/>
    <cellStyle name="Header2 12 5 3" xfId="42546" xr:uid="{4CE43132-6F4A-4268-9D61-ADF80AF54C71}"/>
    <cellStyle name="Header2 12 6" xfId="21590" xr:uid="{191D7A00-7C87-482A-B0E2-A572E2E09762}"/>
    <cellStyle name="Header2 12 7" xfId="34644" xr:uid="{D2C1C5A5-0B87-49B9-A468-3A1358777670}"/>
    <cellStyle name="Header2 13" xfId="3621" xr:uid="{A711175A-4F1C-439D-AC1E-B1AD0A8AD3D8}"/>
    <cellStyle name="Header2 13 2" xfId="2949" xr:uid="{056A421B-B3C3-4ED7-A82B-11CAB142C618}"/>
    <cellStyle name="Header2 13 2 2" xfId="8245" xr:uid="{2385BD75-2BDD-4389-8E34-3F349E101D8A}"/>
    <cellStyle name="Header2 13 2 2 2" xfId="10951" xr:uid="{3FEE724B-F3C3-4D95-AFF1-3FC78EEB93B8}"/>
    <cellStyle name="Header2 13 2 2 2 2" xfId="27765" xr:uid="{1490B763-7FCA-48F4-B0BA-3D0FADA53995}"/>
    <cellStyle name="Header2 13 2 2 2 3" xfId="40931" xr:uid="{DFB9D62A-3F3B-4364-B102-D493F56C3120}"/>
    <cellStyle name="Header2 13 2 2 3" xfId="25754" xr:uid="{B23BB400-A7EE-487E-AA13-1A04AFA02149}"/>
    <cellStyle name="Header2 13 2 2 4" xfId="38830" xr:uid="{C3C5B72F-8DE2-4AB2-A29D-976489C30DEF}"/>
    <cellStyle name="Header2 13 2 3" xfId="6612" xr:uid="{7A638F29-D9D5-4DFF-85F9-6B65F02B40F5}"/>
    <cellStyle name="Header2 13 2 3 2" xfId="14915" xr:uid="{4BE17E82-0889-4B3D-A249-FF4D887AB867}"/>
    <cellStyle name="Header2 13 2 3 2 2" xfId="31161" xr:uid="{0F3F6F16-2F4E-4466-BD6C-10934D0E999C}"/>
    <cellStyle name="Header2 13 2 3 2 3" xfId="44604" xr:uid="{59EFFC80-DEF1-4768-9F66-BB6328CBAADA}"/>
    <cellStyle name="Header2 13 2 3 3" xfId="24245" xr:uid="{51F244B7-004A-4272-961B-B10E57024F7E}"/>
    <cellStyle name="Header2 13 2 3 4" xfId="37326" xr:uid="{7505BFDF-4A02-4D0B-9CB5-B3FD98B71B7E}"/>
    <cellStyle name="Header2 13 2 4" xfId="11354" xr:uid="{F6290B08-A75F-43CC-A43B-5C74B98B8381}"/>
    <cellStyle name="Header2 13 2 4 2" xfId="28133" xr:uid="{FF28296F-121B-4060-B98C-45A8FB0241B5}"/>
    <cellStyle name="Header2 13 2 4 3" xfId="41321" xr:uid="{782FDD75-6DBD-4C2D-B412-4580044F14BA}"/>
    <cellStyle name="Header2 13 2 5" xfId="20997" xr:uid="{217F6B98-B938-4494-97AE-21663DE4CC49}"/>
    <cellStyle name="Header2 13 2 6" xfId="34020" xr:uid="{227AD060-AC21-48D0-A880-60DBE6837C2C}"/>
    <cellStyle name="Header2 13 3" xfId="4682" xr:uid="{8AB0BED8-E731-469F-8668-0D27578463E8}"/>
    <cellStyle name="Header2 13 3 2" xfId="7256" xr:uid="{E0B6165D-EDB3-4DE0-A2DC-93816161F771}"/>
    <cellStyle name="Header2 13 3 2 2" xfId="15207" xr:uid="{B71D4BA4-4CCD-4BF0-A4D5-32C61A1BB0CF}"/>
    <cellStyle name="Header2 13 3 2 2 2" xfId="31388" xr:uid="{2E8EDE98-2AD8-494B-A720-F06965BBB7F3}"/>
    <cellStyle name="Header2 13 3 2 2 3" xfId="44860" xr:uid="{97C16C92-D519-4264-87C2-F3C6FDA91C70}"/>
    <cellStyle name="Header2 13 3 2 3" xfId="24840" xr:uid="{E24566A9-5AA2-4ADC-A90A-30DCCE407CE5}"/>
    <cellStyle name="Header2 13 3 2 4" xfId="37921" xr:uid="{FCD9195D-E7D1-4342-B019-E098D609BDE7}"/>
    <cellStyle name="Header2 13 3 3" xfId="16690" xr:uid="{8F882E6D-BC69-4C71-A72B-10E5F1743846}"/>
    <cellStyle name="Header2 13 3 3 2" xfId="32577" xr:uid="{4F744BD2-470C-4777-AAF6-7C959217106B}"/>
    <cellStyle name="Header2 13 3 3 3" xfId="46235" xr:uid="{46911C18-1D91-4094-94AA-C98A5B684562}"/>
    <cellStyle name="Header2 13 3 4" xfId="22490" xr:uid="{0CCD85DF-3633-410E-A84A-A7D987A73E83}"/>
    <cellStyle name="Header2 13 3 5" xfId="35543" xr:uid="{0C09A597-D242-4D88-AEEB-73D8B636356D}"/>
    <cellStyle name="Header2 13 4" xfId="5654" xr:uid="{8D4EDEDD-B81D-4C5F-B303-ABFA390FE528}"/>
    <cellStyle name="Header2 13 4 2" xfId="8838" xr:uid="{FCFC9503-6151-4532-9107-471F49D8FD46}"/>
    <cellStyle name="Header2 13 4 2 2" xfId="10803" xr:uid="{A399100D-2B3D-4B95-ACC9-E0A2AB1CB5D0}"/>
    <cellStyle name="Header2 13 4 2 2 2" xfId="27636" xr:uid="{FD2E591A-E4C1-4495-9259-5524305D16C9}"/>
    <cellStyle name="Header2 13 4 2 2 3" xfId="40784" xr:uid="{54D5130F-58DE-4207-BF8D-B1742762BF54}"/>
    <cellStyle name="Header2 13 4 2 3" xfId="26329" xr:uid="{A659365F-3FC3-4591-8DFE-9901A6A74624}"/>
    <cellStyle name="Header2 13 4 2 4" xfId="39405" xr:uid="{35D0F554-30E7-4A8D-B797-2D1165E61F0B}"/>
    <cellStyle name="Header2 13 4 3" xfId="16688" xr:uid="{95B8F23A-5A3A-433D-846A-9BCE5EA88B14}"/>
    <cellStyle name="Header2 13 4 3 2" xfId="32575" xr:uid="{B3D76A00-E6A3-4B88-9D7D-23AB7BCE4069}"/>
    <cellStyle name="Header2 13 4 3 3" xfId="46233" xr:uid="{174D8698-BC46-4222-A4CE-B8C5FEDC82D9}"/>
    <cellStyle name="Header2 13 4 4" xfId="23301" xr:uid="{ED038105-F1AD-46BD-9275-FE4966B0B2B8}"/>
    <cellStyle name="Header2 13 4 5" xfId="36382" xr:uid="{B584FB1F-F6FC-41E1-8F72-645847D63A80}"/>
    <cellStyle name="Header2 13 5" xfId="11789" xr:uid="{D69F45D9-05E2-407A-B05B-150D0E4254FF}"/>
    <cellStyle name="Header2 13 5 2" xfId="28511" xr:uid="{94CE6747-6A35-43DF-9297-3C9CD8F3E674}"/>
    <cellStyle name="Header2 13 5 3" xfId="41723" xr:uid="{EFDFC953-F677-4A5B-A8A3-A21A38D60918}"/>
    <cellStyle name="Header2 13 6" xfId="21563" xr:uid="{27C5B538-3520-4709-8993-EC2EB4930645}"/>
    <cellStyle name="Header2 13 7" xfId="34617" xr:uid="{AC530BE9-284D-437C-980B-CF222FC5D6C2}"/>
    <cellStyle name="Header2 14" xfId="3655" xr:uid="{433CAF9B-BC9B-45E7-8289-BDE9848409EE}"/>
    <cellStyle name="Header2 14 2" xfId="2975" xr:uid="{1EA26A67-0432-466A-9381-67A141D9FF02}"/>
    <cellStyle name="Header2 14 2 2" xfId="8271" xr:uid="{3443305E-B879-4A0D-99CC-2A0D11085F6D}"/>
    <cellStyle name="Header2 14 2 2 2" xfId="15408" xr:uid="{37CF0C66-671D-488F-8A0C-0FCB49246273}"/>
    <cellStyle name="Header2 14 2 2 2 2" xfId="31561" xr:uid="{59AD63DA-EE7F-43C6-BF4A-F9F4EFA1D933}"/>
    <cellStyle name="Header2 14 2 2 2 3" xfId="45050" xr:uid="{6D0016EC-BE9E-49BF-8F92-37FE1D4C56E7}"/>
    <cellStyle name="Header2 14 2 2 3" xfId="25779" xr:uid="{AA01E27D-50F7-4246-93EB-B5E2A56E50C5}"/>
    <cellStyle name="Header2 14 2 2 4" xfId="38855" xr:uid="{2497FF3F-37A8-40F4-B80C-0BA606370D9B}"/>
    <cellStyle name="Header2 14 2 3" xfId="6638" xr:uid="{FF5AFDAC-5EF3-4BFE-B521-F84310C00266}"/>
    <cellStyle name="Header2 14 2 3 2" xfId="15851" xr:uid="{602EB7A2-A083-4471-AEE3-D26756FF988B}"/>
    <cellStyle name="Header2 14 2 3 2 2" xfId="31944" xr:uid="{07E896FF-2CE6-47E1-AEB4-33AF61CA7783}"/>
    <cellStyle name="Header2 14 2 3 2 3" xfId="45456" xr:uid="{2B3C11F4-851F-42BA-AFA7-F4330787FD1D}"/>
    <cellStyle name="Header2 14 2 3 3" xfId="24270" xr:uid="{A8A931AA-DC28-4054-8406-B616317CF9A2}"/>
    <cellStyle name="Header2 14 2 3 4" xfId="37351" xr:uid="{EDFEA17F-007F-4082-ACDC-232BEA58132B}"/>
    <cellStyle name="Header2 14 2 4" xfId="16122" xr:uid="{518A8245-28A4-47A1-9180-29504C30AC9E}"/>
    <cellStyle name="Header2 14 2 4 2" xfId="32177" xr:uid="{7B4487FD-5FC7-4BFC-BAFB-9517B2565CF5}"/>
    <cellStyle name="Header2 14 2 4 3" xfId="45698" xr:uid="{5D569608-30F3-4DD3-BB1A-F414A87ABA82}"/>
    <cellStyle name="Header2 14 2 5" xfId="21022" xr:uid="{EFB35E52-0CE4-4CE3-A850-6DFE4C5EDF0A}"/>
    <cellStyle name="Header2 14 2 6" xfId="34045" xr:uid="{181B1BFB-4883-40F6-83F7-AF987B0B5072}"/>
    <cellStyle name="Header2 14 3" xfId="4698" xr:uid="{4BFEAF70-BB42-4ACB-BAF6-B10EE0883538}"/>
    <cellStyle name="Header2 14 3 2" xfId="7290" xr:uid="{F5783788-7E71-4876-89BA-E5857F930AF1}"/>
    <cellStyle name="Header2 14 3 2 2" xfId="12374" xr:uid="{D8DC03A5-2E46-430E-8117-35110243B926}"/>
    <cellStyle name="Header2 14 3 2 2 2" xfId="29040" xr:uid="{E6010A19-57E5-43F2-A091-50E613107BDD}"/>
    <cellStyle name="Header2 14 3 2 2 3" xfId="42280" xr:uid="{15489A06-521F-48CD-BAA5-DCBE3903E619}"/>
    <cellStyle name="Header2 14 3 2 3" xfId="24857" xr:uid="{6CF1F177-AB67-48BE-B166-2FC1FEB933EC}"/>
    <cellStyle name="Header2 14 3 2 4" xfId="37938" xr:uid="{0E15A4B4-A31A-4568-BFD6-AB8051E4E078}"/>
    <cellStyle name="Header2 14 3 3" xfId="12931" xr:uid="{26AE6516-98C2-4DF7-95F3-CB88C8483E28}"/>
    <cellStyle name="Header2 14 3 3 2" xfId="29474" xr:uid="{127043C5-177B-4597-B6EB-DE6CAFB8AAD6}"/>
    <cellStyle name="Header2 14 3 3 3" xfId="42770" xr:uid="{07134D2C-81F1-4F9D-8404-E5F2A6462CC0}"/>
    <cellStyle name="Header2 14 3 4" xfId="22505" xr:uid="{7A80AF6F-80E7-4683-9156-A451EC996067}"/>
    <cellStyle name="Header2 14 3 5" xfId="35558" xr:uid="{12698DF8-475F-41E5-9CED-84E413F1285D}"/>
    <cellStyle name="Header2 14 4" xfId="5671" xr:uid="{1AC0B026-84C9-4FB4-BCB4-2FEA8BE08BF7}"/>
    <cellStyle name="Header2 14 4 2" xfId="8856" xr:uid="{0D047423-8004-475A-8759-F2E18FEF983A}"/>
    <cellStyle name="Header2 14 4 2 2" xfId="16230" xr:uid="{2DA2C203-1684-4BB5-9E56-51AC4C61469E}"/>
    <cellStyle name="Header2 14 4 2 2 2" xfId="32267" xr:uid="{27B4C4DC-FACF-476D-A090-EA272E8F3310}"/>
    <cellStyle name="Header2 14 4 2 2 3" xfId="45795" xr:uid="{3FDC0AA8-291F-40D5-AB84-BC6A37F9C30E}"/>
    <cellStyle name="Header2 14 4 2 3" xfId="26346" xr:uid="{F4DD9222-E8A8-48CD-92B6-2045A2988C42}"/>
    <cellStyle name="Header2 14 4 2 4" xfId="39422" xr:uid="{CC0215EB-EA81-4CF0-A44C-15AEB67DE3D0}"/>
    <cellStyle name="Header2 14 4 3" xfId="16354" xr:uid="{0796C4A7-8EE6-4ABE-BF87-F62274838230}"/>
    <cellStyle name="Header2 14 4 3 2" xfId="32375" xr:uid="{90FB91D9-9B4D-47DF-AF9A-56115C5ED98A}"/>
    <cellStyle name="Header2 14 4 3 3" xfId="45908" xr:uid="{0AEDACE1-9A21-4FFD-BB6D-6086977963FF}"/>
    <cellStyle name="Header2 14 4 4" xfId="23318" xr:uid="{911D43BE-D363-4750-9270-5D4C3BDEFD54}"/>
    <cellStyle name="Header2 14 4 5" xfId="36399" xr:uid="{E3859D54-2139-4DD7-9CBA-9CB72E9A37BF}"/>
    <cellStyle name="Header2 14 5" xfId="13518" xr:uid="{DDE8ADD1-9FCA-4494-9D2E-2DFC15137BFF}"/>
    <cellStyle name="Header2 14 5 2" xfId="29971" xr:uid="{7E22E732-987D-41DE-8129-46488D5494FA}"/>
    <cellStyle name="Header2 14 5 3" xfId="43315" xr:uid="{161D56C6-6BEC-43AE-8114-4FE6BE90E610}"/>
    <cellStyle name="Header2 14 6" xfId="21580" xr:uid="{7815EB4F-AD90-417E-988C-654CAA8FBD18}"/>
    <cellStyle name="Header2 14 7" xfId="34634" xr:uid="{F2D278CA-FD4D-4575-9F75-AE2F3FB94359}"/>
    <cellStyle name="Header2 15" xfId="3634" xr:uid="{EF7E2236-ED13-4D1D-959A-9747455E32E0}"/>
    <cellStyle name="Header2 15 2" xfId="2958" xr:uid="{D5A640B6-2588-463A-B98A-F0B0873AE2C8}"/>
    <cellStyle name="Header2 15 2 2" xfId="8254" xr:uid="{E0017CD1-3B3D-4056-A226-E8E200B7EF14}"/>
    <cellStyle name="Header2 15 2 2 2" xfId="14619" xr:uid="{F8DCCA99-B497-4A7E-8D44-CE7BBB4F1019}"/>
    <cellStyle name="Header2 15 2 2 2 2" xfId="30917" xr:uid="{9CB8909A-7FE2-451E-B153-2F0AC1BF3E37}"/>
    <cellStyle name="Header2 15 2 2 2 3" xfId="44338" xr:uid="{44EC2B39-89B6-4558-8F33-7989C4359A43}"/>
    <cellStyle name="Header2 15 2 2 3" xfId="25763" xr:uid="{73AAAF4B-211F-4A61-86D7-AB03338FC0C2}"/>
    <cellStyle name="Header2 15 2 2 4" xfId="38839" xr:uid="{90A53A72-E643-437F-8CDC-2F06A96680C1}"/>
    <cellStyle name="Header2 15 2 3" xfId="6621" xr:uid="{A6966508-3874-478B-AB81-166D4D36661D}"/>
    <cellStyle name="Header2 15 2 3 2" xfId="17199" xr:uid="{433F6E85-D690-40C1-8F04-600E08023464}"/>
    <cellStyle name="Header2 15 2 3 2 2" xfId="32962" xr:uid="{98410F11-30B8-4E88-B646-8146C5F78E11}"/>
    <cellStyle name="Header2 15 2 3 2 3" xfId="46734" xr:uid="{428BFAC5-0F27-4EDA-82AF-0876E6E74A17}"/>
    <cellStyle name="Header2 15 2 3 3" xfId="24254" xr:uid="{7B62501C-408C-4E47-9732-550AB8EEDBCF}"/>
    <cellStyle name="Header2 15 2 3 4" xfId="37335" xr:uid="{F67D910E-7F2C-4E94-AF64-67AB64E335DB}"/>
    <cellStyle name="Header2 15 2 4" xfId="13777" xr:uid="{2B9A3450-CD9F-4B5B-B967-D6CF10B05969}"/>
    <cellStyle name="Header2 15 2 4 2" xfId="30186" xr:uid="{6BBF4B54-0CCA-43BE-9A97-D16D8FA5E231}"/>
    <cellStyle name="Header2 15 2 4 3" xfId="43550" xr:uid="{CE4B4B9A-5329-45A1-9E7C-36DD4DA94BD4}"/>
    <cellStyle name="Header2 15 2 5" xfId="21006" xr:uid="{DC5696C1-310A-4C86-822A-126FE73CEC6E}"/>
    <cellStyle name="Header2 15 2 6" xfId="34029" xr:uid="{0F3E8E9D-0A7A-44AB-9802-10536B9EACA9}"/>
    <cellStyle name="Header2 15 3" xfId="4686" xr:uid="{F10058D7-08C6-4700-9AA0-A74B3E7C993A}"/>
    <cellStyle name="Header2 15 3 2" xfId="7269" xr:uid="{21ED00E6-DDC1-48F2-8186-526917D02623}"/>
    <cellStyle name="Header2 15 3 2 2" xfId="11539" xr:uid="{64CAB09E-F574-4644-A9DB-0A532BA10B98}"/>
    <cellStyle name="Header2 15 3 2 2 2" xfId="28296" xr:uid="{CF22E6C7-7F84-4731-8D49-9AB1B03C0C75}"/>
    <cellStyle name="Header2 15 3 2 2 3" xfId="41494" xr:uid="{96895085-A408-4054-8679-49948ABB60AB}"/>
    <cellStyle name="Header2 15 3 2 3" xfId="24845" xr:uid="{7162EDD2-CDC6-4B23-986C-0CB204EAD5F2}"/>
    <cellStyle name="Header2 15 3 2 4" xfId="37926" xr:uid="{1657643C-E660-4B68-B74C-2CC56320C70B}"/>
    <cellStyle name="Header2 15 3 3" xfId="12984" xr:uid="{16AD4FD8-72B9-4153-A7E8-ED7AFA250D8F}"/>
    <cellStyle name="Header2 15 3 3 2" xfId="29521" xr:uid="{07EE8A65-D192-4C42-AAC0-CA89FD13B47A}"/>
    <cellStyle name="Header2 15 3 3 3" xfId="42821" xr:uid="{9D075BC2-A7E6-4C2F-B6B9-FB502F9201FB}"/>
    <cellStyle name="Header2 15 3 4" xfId="22494" xr:uid="{6BE35963-6697-433B-8AEB-A061A04EB964}"/>
    <cellStyle name="Header2 15 3 5" xfId="35547" xr:uid="{F204E78E-7777-4DD6-AB8F-98B1EEB071F9}"/>
    <cellStyle name="Header2 15 4" xfId="5659" xr:uid="{569B9EDA-4FB1-4E14-9784-A3F7F4B71762}"/>
    <cellStyle name="Header2 15 4 2" xfId="8843" xr:uid="{81D495A4-D2B7-4080-9B09-9B4F6A9AC2FF}"/>
    <cellStyle name="Header2 15 4 2 2" xfId="14170" xr:uid="{EF2CD054-CFA2-4744-921B-2404C4381761}"/>
    <cellStyle name="Header2 15 4 2 2 2" xfId="30524" xr:uid="{047B9CD2-0C29-43A1-841E-13C8C15A1AC8}"/>
    <cellStyle name="Header2 15 4 2 2 3" xfId="43910" xr:uid="{73129C7B-6220-4BB1-8C94-0AD43B391601}"/>
    <cellStyle name="Header2 15 4 2 3" xfId="26334" xr:uid="{F885442C-80C7-494A-BDAB-B3005C157E9D}"/>
    <cellStyle name="Header2 15 4 2 4" xfId="39410" xr:uid="{44F4546F-A6A2-4E01-99BB-17A6D85AFA55}"/>
    <cellStyle name="Header2 15 4 3" xfId="15793" xr:uid="{3B576733-B471-4401-8A60-B299CEF4FABD}"/>
    <cellStyle name="Header2 15 4 3 2" xfId="31893" xr:uid="{2881B5D9-EC88-4C72-AFD4-0D1B3A15D0DC}"/>
    <cellStyle name="Header2 15 4 3 3" xfId="45404" xr:uid="{DDC01568-AB47-47AC-A5F0-6E4C1804ED05}"/>
    <cellStyle name="Header2 15 4 4" xfId="23306" xr:uid="{7B6BDB94-9AD8-4469-B1F3-94A367451B23}"/>
    <cellStyle name="Header2 15 4 5" xfId="36387" xr:uid="{420D7155-F79D-4B88-BE45-EA84AEB46FEE}"/>
    <cellStyle name="Header2 15 5" xfId="12694" xr:uid="{B3A8C9BF-40E9-4FE9-A50A-B58A39754390}"/>
    <cellStyle name="Header2 15 5 2" xfId="29284" xr:uid="{5891E5E8-A8DD-4EAD-811C-C6BF19111996}"/>
    <cellStyle name="Header2 15 5 3" xfId="42560" xr:uid="{66B64690-1FF7-47CE-9C44-8C9CC791846F}"/>
    <cellStyle name="Header2 15 6" xfId="21568" xr:uid="{E7FE16C0-699C-4299-97D2-B693CFA77F5A}"/>
    <cellStyle name="Header2 15 7" xfId="34622" xr:uid="{E4DC62DF-05A1-4B65-B5A3-AE6A4F012A38}"/>
    <cellStyle name="Header2 16" xfId="3557" xr:uid="{C2573F84-978A-423E-A7A0-8EAB9DDCA665}"/>
    <cellStyle name="Header2 16 2" xfId="2898" xr:uid="{A5759C2B-4A3F-4FE0-971F-C26A4776EAD9}"/>
    <cellStyle name="Header2 16 2 2" xfId="8194" xr:uid="{96D2EE53-CC38-449D-873F-FB69C58101BE}"/>
    <cellStyle name="Header2 16 2 2 2" xfId="14735" xr:uid="{E721D0EE-B6E0-4052-8116-551D1DC65FB2}"/>
    <cellStyle name="Header2 16 2 2 2 2" xfId="31017" xr:uid="{D5BC8882-155E-4764-BF34-8FA492A8BECB}"/>
    <cellStyle name="Header2 16 2 2 2 3" xfId="44442" xr:uid="{F3186E9D-CD66-4B45-944E-F208CEB158B8}"/>
    <cellStyle name="Header2 16 2 2 3" xfId="25705" xr:uid="{20218B67-EAB3-497F-83C6-5C7968981CE4}"/>
    <cellStyle name="Header2 16 2 2 4" xfId="38781" xr:uid="{8DFDEA1E-6F4A-4F62-9B89-ABFFA20A9C04}"/>
    <cellStyle name="Header2 16 2 3" xfId="6561" xr:uid="{A7F1D11D-74F6-4D92-BFB6-9E79DBE4521E}"/>
    <cellStyle name="Header2 16 2 3 2" xfId="16719" xr:uid="{F3C8CCCE-159F-4A8C-978F-0651939A286C}"/>
    <cellStyle name="Header2 16 2 3 2 2" xfId="32603" xr:uid="{ED1462BB-B764-4AF5-B9FB-F2AA04764C90}"/>
    <cellStyle name="Header2 16 2 3 2 3" xfId="46263" xr:uid="{74FB08E9-CCB8-41E0-A230-8EB736AA773B}"/>
    <cellStyle name="Header2 16 2 3 3" xfId="24196" xr:uid="{05DC1035-0AC4-4906-842E-A23688378452}"/>
    <cellStyle name="Header2 16 2 3 4" xfId="37277" xr:uid="{FCF5E164-C162-49C0-A21B-8D89342B61C4}"/>
    <cellStyle name="Header2 16 2 4" xfId="13268" xr:uid="{295C201D-D10E-4F75-AA21-D8B22FCB4681}"/>
    <cellStyle name="Header2 16 2 4 2" xfId="29759" xr:uid="{59D0595C-B7A8-4437-AE60-26002FC1DF66}"/>
    <cellStyle name="Header2 16 2 4 3" xfId="43085" xr:uid="{8DE32127-A007-4FFF-BE22-80A1CB612321}"/>
    <cellStyle name="Header2 16 2 5" xfId="20948" xr:uid="{8D4A6BC7-7699-4BE4-A177-B841F33AD729}"/>
    <cellStyle name="Header2 16 2 6" xfId="33971" xr:uid="{BDE49322-6275-4C72-9569-EF960CB29007}"/>
    <cellStyle name="Header2 16 3" xfId="4659" xr:uid="{376B09E7-5DE1-4D98-903A-D654A9EED21A}"/>
    <cellStyle name="Header2 16 3 2" xfId="7199" xr:uid="{D8D34722-4C85-446D-A424-60D2238445CE}"/>
    <cellStyle name="Header2 16 3 2 2" xfId="13052" xr:uid="{FB4A1AE6-0C83-40FB-82E6-73610B9E4FB2}"/>
    <cellStyle name="Header2 16 3 2 2 2" xfId="29577" xr:uid="{1939DE31-C0DF-4F03-A801-BF882DACE3A6}"/>
    <cellStyle name="Header2 16 3 2 2 3" xfId="42882" xr:uid="{39158970-0F04-4106-ABE4-2EAACB79B9E3}"/>
    <cellStyle name="Header2 16 3 2 3" xfId="24795" xr:uid="{219C3E95-50B3-4E6A-BD4A-FAE564FC1993}"/>
    <cellStyle name="Header2 16 3 2 4" xfId="37876" xr:uid="{BAE39883-0EA1-425C-9337-20D8361478A7}"/>
    <cellStyle name="Header2 16 3 3" xfId="17153" xr:uid="{FF9E9939-8F48-45D2-A278-25E3B30878E4}"/>
    <cellStyle name="Header2 16 3 3 2" xfId="32916" xr:uid="{8EFF77C8-B340-42D5-8A39-13EE3ED06A15}"/>
    <cellStyle name="Header2 16 3 3 3" xfId="46688" xr:uid="{8B7E5C84-B9AF-4E38-8242-3366D3CE01CE}"/>
    <cellStyle name="Header2 16 3 4" xfId="22469" xr:uid="{03A744DD-1F5D-4FBB-9F8C-CC7A4B8CA451}"/>
    <cellStyle name="Header2 16 3 5" xfId="35522" xr:uid="{4507872C-04A1-4226-991A-4FE60B3B5D33}"/>
    <cellStyle name="Header2 16 4" xfId="5609" xr:uid="{38C14113-0110-4412-8E78-5095556DA505}"/>
    <cellStyle name="Header2 16 4 2" xfId="8791" xr:uid="{D630CCFD-E463-4DED-89FA-F6139BF2CA76}"/>
    <cellStyle name="Header2 16 4 2 2" xfId="13853" xr:uid="{A2CFDFE9-795D-4970-931B-1CB7EBD6DC73}"/>
    <cellStyle name="Header2 16 4 2 2 2" xfId="30254" xr:uid="{F44EF0B4-9D20-4F14-9357-1B9EEB41C890}"/>
    <cellStyle name="Header2 16 4 2 2 3" xfId="43625" xr:uid="{3B69EB79-9DC2-4D14-BC12-BAF491EA5D39}"/>
    <cellStyle name="Header2 16 4 2 3" xfId="26284" xr:uid="{81C6DD00-84A8-48F2-A88A-DB11F27CA4E5}"/>
    <cellStyle name="Header2 16 4 2 4" xfId="39360" xr:uid="{8D7C7338-1677-4D6F-AA36-C851666D7C33}"/>
    <cellStyle name="Header2 16 4 3" xfId="14091" xr:uid="{9853590A-E3FF-46CE-9B00-9E2C9A557EF1}"/>
    <cellStyle name="Header2 16 4 3 2" xfId="30458" xr:uid="{BC204686-A836-4D1E-AD09-7C8DFA5CC026}"/>
    <cellStyle name="Header2 16 4 3 3" xfId="43841" xr:uid="{A7AB567D-368D-4397-834F-CB0F0F4B9F6E}"/>
    <cellStyle name="Header2 16 4 4" xfId="23256" xr:uid="{684567D4-0341-41C7-B3E1-3CC05C27EA6B}"/>
    <cellStyle name="Header2 16 4 5" xfId="36337" xr:uid="{A727761C-069B-45A1-83AA-FC4C69BDC54F}"/>
    <cellStyle name="Header2 16 5" xfId="15483" xr:uid="{28CF6334-3D26-44E2-BE2A-8EE155B5AFAC}"/>
    <cellStyle name="Header2 16 5 2" xfId="31624" xr:uid="{04A9422B-5E9E-4451-A4A2-FF762B067915}"/>
    <cellStyle name="Header2 16 5 3" xfId="45121" xr:uid="{BCFE6661-8F1E-413E-92A8-5EF3CEF04540}"/>
    <cellStyle name="Header2 16 6" xfId="21518" xr:uid="{F6CD9A76-BA6F-4810-9E4D-E17E751721CE}"/>
    <cellStyle name="Header2 16 7" xfId="34570" xr:uid="{A3F02008-85DE-4568-B61D-06C6F092AB14}"/>
    <cellStyle name="Header2 17" xfId="3644" xr:uid="{FC23C8CA-1A83-4EA2-A90A-478E7A044973}"/>
    <cellStyle name="Header2 17 2" xfId="2965" xr:uid="{E8C5B1FD-440C-445A-B068-50068D4EFDDC}"/>
    <cellStyle name="Header2 17 2 2" xfId="8261" xr:uid="{830A7BE7-6E13-48A6-868C-34EC97C87FFD}"/>
    <cellStyle name="Header2 17 2 2 2" xfId="11037" xr:uid="{3AA773DE-51AA-4FFA-8AE9-7F7E311C6304}"/>
    <cellStyle name="Header2 17 2 2 2 2" xfId="27843" xr:uid="{E1E6BA37-B1E4-4A08-8C24-7CF44966A0D9}"/>
    <cellStyle name="Header2 17 2 2 2 3" xfId="41017" xr:uid="{7A83375C-A462-4882-A360-D4C8DF62BC9F}"/>
    <cellStyle name="Header2 17 2 2 3" xfId="25770" xr:uid="{CCC08C8F-5D69-4D6D-AF5B-CDA7292E0A93}"/>
    <cellStyle name="Header2 17 2 2 4" xfId="38846" xr:uid="{446A6720-6832-4253-B116-922A53785746}"/>
    <cellStyle name="Header2 17 2 3" xfId="6628" xr:uid="{F4E8BD9E-646C-4CE6-A3BF-8F4ADABA4DCD}"/>
    <cellStyle name="Header2 17 2 3 2" xfId="13403" xr:uid="{4D43EBF3-DAB2-43D0-B70C-913697B596BB}"/>
    <cellStyle name="Header2 17 2 3 2 2" xfId="29872" xr:uid="{DC814D54-B4E1-4145-966E-F8DA972A4B33}"/>
    <cellStyle name="Header2 17 2 3 2 3" xfId="43207" xr:uid="{B8B4DE3F-4FCF-4181-8C3C-86BCBAD338BA}"/>
    <cellStyle name="Header2 17 2 3 3" xfId="24261" xr:uid="{49C504BD-1431-4EDF-950C-88938A254EDF}"/>
    <cellStyle name="Header2 17 2 3 4" xfId="37342" xr:uid="{F3690809-A429-4461-B049-E0BAF880D053}"/>
    <cellStyle name="Header2 17 2 4" xfId="11776" xr:uid="{BA6C5156-1ED5-40B2-BE39-91A37FB2C4FE}"/>
    <cellStyle name="Header2 17 2 4 2" xfId="28500" xr:uid="{EB91176A-ED7F-41C2-BB45-125CC63FBC1E}"/>
    <cellStyle name="Header2 17 2 4 3" xfId="41711" xr:uid="{642D4B89-C1A2-44B8-ADF8-460063204193}"/>
    <cellStyle name="Header2 17 2 5" xfId="21013" xr:uid="{6C0517ED-EF7E-46A9-877D-7DEE60397816}"/>
    <cellStyle name="Header2 17 2 6" xfId="34036" xr:uid="{5B7030EF-30BD-4163-AEF3-0D2C6A3CB67F}"/>
    <cellStyle name="Header2 17 3" xfId="4692" xr:uid="{5B8D9BC2-4310-492B-A376-82D93EF8D17B}"/>
    <cellStyle name="Header2 17 3 2" xfId="7279" xr:uid="{BC16143A-307E-4F68-A105-26DC0783EE08}"/>
    <cellStyle name="Header2 17 3 2 2" xfId="13281" xr:uid="{6E239319-9E64-45D8-A4E7-A2B2B0C7DDE6}"/>
    <cellStyle name="Header2 17 3 2 2 2" xfId="29772" xr:uid="{C23FB5AB-E816-40CC-89C1-600B4A2E6DCE}"/>
    <cellStyle name="Header2 17 3 2 2 3" xfId="43098" xr:uid="{BCB6D6FA-5714-4119-93DC-4A4D0458C2A8}"/>
    <cellStyle name="Header2 17 3 2 3" xfId="24851" xr:uid="{4C33B357-C7BE-4248-B293-86B0FF55D386}"/>
    <cellStyle name="Header2 17 3 2 4" xfId="37932" xr:uid="{E3A3A9CA-75AF-49A3-8D5B-E7455B0C9A1F}"/>
    <cellStyle name="Header2 17 3 3" xfId="17297" xr:uid="{5BC9FCD2-43D4-4EB8-B3BA-7B10D90203DA}"/>
    <cellStyle name="Header2 17 3 3 2" xfId="33055" xr:uid="{7A3C3D3F-08CF-4057-B699-4F23C23CB7F7}"/>
    <cellStyle name="Header2 17 3 3 3" xfId="46831" xr:uid="{3D610B3C-3195-40F6-A469-CF1ED176B50F}"/>
    <cellStyle name="Header2 17 3 4" xfId="22500" xr:uid="{62783B04-5710-4159-9F17-5C2C1DD91A95}"/>
    <cellStyle name="Header2 17 3 5" xfId="35553" xr:uid="{060C0A3F-7E04-447D-A5E7-C75054925170}"/>
    <cellStyle name="Header2 17 4" xfId="5665" xr:uid="{A98DB12A-A6D1-49D6-BB3E-6D5774ECA565}"/>
    <cellStyle name="Header2 17 4 2" xfId="8849" xr:uid="{0E70A949-99AD-453A-9AFF-B5AF5BB7D136}"/>
    <cellStyle name="Header2 17 4 2 2" xfId="15425" xr:uid="{57788D13-150D-4DEA-9926-2337BC643402}"/>
    <cellStyle name="Header2 17 4 2 2 2" xfId="31574" xr:uid="{FF7EED39-4BD3-45B5-AF47-38983F506546}"/>
    <cellStyle name="Header2 17 4 2 2 3" xfId="45067" xr:uid="{85D05037-881C-420F-A425-512F642EA9AD}"/>
    <cellStyle name="Header2 17 4 2 3" xfId="26340" xr:uid="{DFDC6096-7FFE-45C6-8BF9-A3E06AE012C1}"/>
    <cellStyle name="Header2 17 4 2 4" xfId="39416" xr:uid="{491EA53D-DA97-418E-B413-244131181A6E}"/>
    <cellStyle name="Header2 17 4 3" xfId="13772" xr:uid="{CDC9308F-B65A-4463-972D-16348070DF4F}"/>
    <cellStyle name="Header2 17 4 3 2" xfId="30181" xr:uid="{09DDBACB-D6F1-44D3-A003-C07E2350122D}"/>
    <cellStyle name="Header2 17 4 3 3" xfId="43545" xr:uid="{9A75274F-B86D-4CA4-BF68-DC368A3902D2}"/>
    <cellStyle name="Header2 17 4 4" xfId="23312" xr:uid="{B266A738-A1A0-4EE4-84F7-AE9AF4358D4E}"/>
    <cellStyle name="Header2 17 4 5" xfId="36393" xr:uid="{540C7283-F7D1-4EE6-91B7-230A8A9651BE}"/>
    <cellStyle name="Header2 17 5" xfId="12144" xr:uid="{C463E917-EF2C-4B6C-B06B-AABB3C12E6AF}"/>
    <cellStyle name="Header2 17 5 2" xfId="28844" xr:uid="{8512692B-529E-4174-9BC4-B7D7FB76364B}"/>
    <cellStyle name="Header2 17 5 3" xfId="42064" xr:uid="{9F23BAC3-21BD-4CF3-B5E8-5CDC78E09200}"/>
    <cellStyle name="Header2 17 6" xfId="21574" xr:uid="{3B6CEC8D-D120-4852-BBAE-1A697A70EB7D}"/>
    <cellStyle name="Header2 17 7" xfId="34628" xr:uid="{637B84CD-2D7F-4939-9894-2812B54C2896}"/>
    <cellStyle name="Header2 18" xfId="3921" xr:uid="{D6C2D9D3-F314-4529-8728-F789A0AB18E7}"/>
    <cellStyle name="Header2 18 2" xfId="3188" xr:uid="{8EE3A56A-B971-49CA-B523-B86AF046AE6A}"/>
    <cellStyle name="Header2 18 2 2" xfId="8480" xr:uid="{D2FE29F9-E3A7-4FF5-A4F9-D855376FB957}"/>
    <cellStyle name="Header2 18 2 2 2" xfId="10849" xr:uid="{544FE6C3-5C86-497F-9955-9A3A599B134C}"/>
    <cellStyle name="Header2 18 2 2 2 2" xfId="27678" xr:uid="{B277D168-9D2E-421F-B016-FC7953576F1D}"/>
    <cellStyle name="Header2 18 2 2 2 3" xfId="40830" xr:uid="{3CCC0EF0-71C1-4FA6-B369-619AD9AE7A48}"/>
    <cellStyle name="Header2 18 2 2 3" xfId="25980" xr:uid="{8E4A5D34-6253-4CA5-8F8E-956910C0C15D}"/>
    <cellStyle name="Header2 18 2 2 4" xfId="39056" xr:uid="{39602CD6-E826-493F-9117-8E1AA3EEC11B}"/>
    <cellStyle name="Header2 18 2 3" xfId="6847" xr:uid="{D06246F3-8800-4EC6-8516-BB2640C80596}"/>
    <cellStyle name="Header2 18 2 3 2" xfId="13164" xr:uid="{3CF9D3C1-2BF8-41C5-96E3-476DC1B1D9C0}"/>
    <cellStyle name="Header2 18 2 3 2 2" xfId="29676" xr:uid="{A488E66D-95F5-42E2-8D8D-C90C932C14B6}"/>
    <cellStyle name="Header2 18 2 3 2 3" xfId="42988" xr:uid="{933A4079-0C93-4DE8-969D-17E3A43206D8}"/>
    <cellStyle name="Header2 18 2 3 3" xfId="24471" xr:uid="{76B7A39D-E516-4BA0-94E0-8BA13CDFED4D}"/>
    <cellStyle name="Header2 18 2 3 4" xfId="37552" xr:uid="{88EBDBA2-333F-47F1-B7D2-2129428E8514}"/>
    <cellStyle name="Header2 18 2 4" xfId="13437" xr:uid="{0866213C-9BC6-4F24-85C1-6D17F4889E4F}"/>
    <cellStyle name="Header2 18 2 4 2" xfId="29902" xr:uid="{178458FD-E16D-402F-9C40-D9196918B10A}"/>
    <cellStyle name="Header2 18 2 4 3" xfId="43240" xr:uid="{F5685D18-0D2D-49B4-8E45-C51C7865CED7}"/>
    <cellStyle name="Header2 18 2 5" xfId="21223" xr:uid="{A2AEBF76-A81F-4515-9189-782F21259DFB}"/>
    <cellStyle name="Header2 18 2 6" xfId="34246" xr:uid="{8AF946AB-C81F-47D0-945A-320C9FD17DE9}"/>
    <cellStyle name="Header2 18 3" xfId="4852" xr:uid="{F31C6BB5-B19A-4989-A958-334D2FC09682}"/>
    <cellStyle name="Header2 18 3 2" xfId="7501" xr:uid="{4582512A-0EAD-4B1D-87E5-880F1920F5B9}"/>
    <cellStyle name="Header2 18 3 2 2" xfId="10970" xr:uid="{CB8FFC82-3480-43E7-B25C-85B6BF1AAB7C}"/>
    <cellStyle name="Header2 18 3 2 2 2" xfId="27780" xr:uid="{916D4D01-FA66-4D29-9E24-E830CEF147AB}"/>
    <cellStyle name="Header2 18 3 2 2 3" xfId="40950" xr:uid="{95039EF2-2363-404D-A1BB-99F343A53433}"/>
    <cellStyle name="Header2 18 3 2 3" xfId="25051" xr:uid="{7D506ED7-7FAC-4BD1-A5AC-CC05CC49F957}"/>
    <cellStyle name="Header2 18 3 2 4" xfId="38127" xr:uid="{FE2ACF88-C716-4EDD-ACBC-6BEADCB5BFD8}"/>
    <cellStyle name="Header2 18 3 3" xfId="13117" xr:uid="{CB860EFD-E71C-42F4-BEF8-D51809624495}"/>
    <cellStyle name="Header2 18 3 3 2" xfId="29632" xr:uid="{0FF9D3B1-6B16-4EF8-A32F-AE51935D87B4}"/>
    <cellStyle name="Header2 18 3 3 3" xfId="42943" xr:uid="{99140FAA-8862-428F-A29D-3CC9DD0F2F9D}"/>
    <cellStyle name="Header2 18 3 4" xfId="22652" xr:uid="{27A70E2C-D129-4B96-B5B7-0200D9CA9603}"/>
    <cellStyle name="Header2 18 3 5" xfId="35705" xr:uid="{4FF98427-1EB4-49BC-BB27-74494D879A2A}"/>
    <cellStyle name="Header2 18 4" xfId="5877" xr:uid="{76B7A1F5-C44A-45DE-9F02-054071B2DEF9}"/>
    <cellStyle name="Header2 18 4 2" xfId="9037" xr:uid="{C062CB06-CD0B-4496-B75E-D14CC4B8F925}"/>
    <cellStyle name="Header2 18 4 2 2" xfId="16049" xr:uid="{7FFAD793-0A89-4599-AAFC-EEA15E138D5B}"/>
    <cellStyle name="Header2 18 4 2 2 2" xfId="32112" xr:uid="{1E70DF3B-9504-4708-9C7D-6C280CF07BCD}"/>
    <cellStyle name="Header2 18 4 2 2 3" xfId="45631" xr:uid="{C35E0646-2353-437C-ADC5-30F24BD0C2A3}"/>
    <cellStyle name="Header2 18 4 2 3" xfId="26520" xr:uid="{1BBFA0DB-3EC2-42A4-83E0-355D5CFFE2CA}"/>
    <cellStyle name="Header2 18 4 2 4" xfId="39596" xr:uid="{50F13418-762E-404F-BBD0-7B85D8278ECC}"/>
    <cellStyle name="Header2 18 4 3" xfId="15462" xr:uid="{C83AA7AF-4331-4D12-8EDB-0218062A08F4}"/>
    <cellStyle name="Header2 18 4 3 2" xfId="31606" xr:uid="{48067A85-F796-4C9D-BC33-99E34BEB7183}"/>
    <cellStyle name="Header2 18 4 3 3" xfId="45101" xr:uid="{4E317388-75CB-4F53-B761-F4BDE35ABFCE}"/>
    <cellStyle name="Header2 18 4 4" xfId="23524" xr:uid="{593A5A1D-35A0-4D1E-BFC3-17C0B5032199}"/>
    <cellStyle name="Header2 18 4 5" xfId="36605" xr:uid="{5B3FDD35-5B93-4307-9E08-AAB646674070}"/>
    <cellStyle name="Header2 18 5" xfId="16773" xr:uid="{929CDCE9-1442-4FC3-8093-AD8455670422}"/>
    <cellStyle name="Header2 18 5 2" xfId="32654" xr:uid="{656A7EB2-4D1F-4587-B4D7-E3D2EDB84516}"/>
    <cellStyle name="Header2 18 5 3" xfId="46316" xr:uid="{8881EB36-9347-4242-8850-024244A967E3}"/>
    <cellStyle name="Header2 18 6" xfId="21790" xr:uid="{2DCC64C6-7BCC-4591-8E34-8D17A8911D6C}"/>
    <cellStyle name="Header2 18 7" xfId="34840" xr:uid="{190ABFB4-B72D-4DB5-860C-4CB36D58366E}"/>
    <cellStyle name="Header2 19" xfId="3941" xr:uid="{49B8428F-62D6-4550-AD44-BE0813B72EDD}"/>
    <cellStyle name="Header2 19 2" xfId="3197" xr:uid="{2A68D927-83AC-43B7-A141-6BE6B6B7BA0C}"/>
    <cellStyle name="Header2 19 2 2" xfId="8489" xr:uid="{66DA97EE-35DB-4B6B-BABB-CFAA81FB1DC3}"/>
    <cellStyle name="Header2 19 2 2 2" xfId="15741" xr:uid="{36EC91D4-E796-4ABC-BB65-55BF1B6A53A2}"/>
    <cellStyle name="Header2 19 2 2 2 2" xfId="31849" xr:uid="{208726EF-6F81-4421-85C4-3EAD5E8CF64F}"/>
    <cellStyle name="Header2 19 2 2 2 3" xfId="45359" xr:uid="{24FC06A5-3D70-408A-B54D-F573EE7563E9}"/>
    <cellStyle name="Header2 19 2 2 3" xfId="25989" xr:uid="{3F08A066-9F3C-4CE6-B151-06A3287A43FD}"/>
    <cellStyle name="Header2 19 2 2 4" xfId="39065" xr:uid="{FD6394F6-52EE-4D31-94DA-D66EA80512FF}"/>
    <cellStyle name="Header2 19 2 3" xfId="6856" xr:uid="{CAB517B3-926E-4181-8B5D-5052D271FBEF}"/>
    <cellStyle name="Header2 19 2 3 2" xfId="16126" xr:uid="{661A0E26-4D34-4489-B9E6-910FCC367FEC}"/>
    <cellStyle name="Header2 19 2 3 2 2" xfId="32181" xr:uid="{50A0256A-4649-40A5-B975-87CAB471985F}"/>
    <cellStyle name="Header2 19 2 3 2 3" xfId="45702" xr:uid="{2F520402-B142-4BF1-9B3B-AACEAAF5DD78}"/>
    <cellStyle name="Header2 19 2 3 3" xfId="24480" xr:uid="{66F8657A-8FC1-4ED4-BAC4-FD10AE8CBC5A}"/>
    <cellStyle name="Header2 19 2 3 4" xfId="37561" xr:uid="{0CBE2607-2C91-474A-A398-47FB5255A0CC}"/>
    <cellStyle name="Header2 19 2 4" xfId="13519" xr:uid="{8ADB48DE-1A68-4492-B574-8BC030CEECBB}"/>
    <cellStyle name="Header2 19 2 4 2" xfId="29972" xr:uid="{CB02A904-D3DF-4364-BF90-2CB6693D5F3B}"/>
    <cellStyle name="Header2 19 2 4 3" xfId="43316" xr:uid="{FE15849A-304B-49D0-8D43-D6C4D8D97BB7}"/>
    <cellStyle name="Header2 19 2 5" xfId="21232" xr:uid="{D222C68A-E457-4C58-8DD5-BE89AD883323}"/>
    <cellStyle name="Header2 19 2 6" xfId="34255" xr:uid="{4BDEEDE3-3553-41F6-AA19-AB2DDD80CE69}"/>
    <cellStyle name="Header2 19 3" xfId="4857" xr:uid="{849E3AAC-6F08-43D4-B73E-F9321EE5A8DA}"/>
    <cellStyle name="Header2 19 3 2" xfId="7521" xr:uid="{451DAE1A-3447-496E-9A7F-A1090D09B744}"/>
    <cellStyle name="Header2 19 3 2 2" xfId="14911" xr:uid="{8E1EC544-9531-43CF-B536-9CEECB4A4054}"/>
    <cellStyle name="Header2 19 3 2 2 2" xfId="31157" xr:uid="{5AF91F69-D785-4126-8B11-1CD8C1CE0385}"/>
    <cellStyle name="Header2 19 3 2 2 3" xfId="44600" xr:uid="{41EB86BC-1EE9-49B1-A24C-8C036BDA4813}"/>
    <cellStyle name="Header2 19 3 2 3" xfId="25056" xr:uid="{65ADAD97-8B5F-4133-BCE0-9F4DC01ECBD0}"/>
    <cellStyle name="Header2 19 3 2 4" xfId="38132" xr:uid="{203892CF-9180-4ECD-A566-59F4FA84A212}"/>
    <cellStyle name="Header2 19 3 3" xfId="15722" xr:uid="{A7BB26F2-4133-4998-8E4B-6850A893CC3F}"/>
    <cellStyle name="Header2 19 3 3 2" xfId="31832" xr:uid="{69246CA7-1410-419C-87D0-2D72CDB5D79A}"/>
    <cellStyle name="Header2 19 3 3 3" xfId="45341" xr:uid="{8F82D5AA-1049-4CEC-9795-E057309D232E}"/>
    <cellStyle name="Header2 19 3 4" xfId="22657" xr:uid="{70E3FF77-2EDA-4A9A-ADB8-84FFC69C3821}"/>
    <cellStyle name="Header2 19 3 5" xfId="35710" xr:uid="{7BE93B61-ED6C-4121-AB6D-DC4D96FEF616}"/>
    <cellStyle name="Header2 19 4" xfId="5882" xr:uid="{47CAA66D-EC78-41C4-A035-A7BFCED80FAC}"/>
    <cellStyle name="Header2 19 4 2" xfId="9042" xr:uid="{1FD922D0-B7E0-4009-BEC1-D320FD5B8666}"/>
    <cellStyle name="Header2 19 4 2 2" xfId="17479" xr:uid="{4B75CDB0-8655-47CB-AE52-D03F871DCAA7}"/>
    <cellStyle name="Header2 19 4 2 2 2" xfId="33222" xr:uid="{33CAB024-B443-4417-ADC1-7DA00FC9798A}"/>
    <cellStyle name="Header2 19 4 2 2 3" xfId="47008" xr:uid="{547C0A4D-4FE3-4326-A963-EC5E1E19BF7D}"/>
    <cellStyle name="Header2 19 4 2 3" xfId="26525" xr:uid="{05A0DF2E-95D4-4338-A1DD-E25C8E7EC823}"/>
    <cellStyle name="Header2 19 4 2 4" xfId="39601" xr:uid="{6D723A98-2F41-4994-844E-972B846F4730}"/>
    <cellStyle name="Header2 19 4 3" xfId="13686" xr:uid="{E00965B8-DAC5-4BB9-9E38-76B3D88B6059}"/>
    <cellStyle name="Header2 19 4 3 2" xfId="30111" xr:uid="{DB4D276B-944D-443E-AD46-BC8EC655E09D}"/>
    <cellStyle name="Header2 19 4 3 3" xfId="43470" xr:uid="{1A45E51C-EE0D-4720-87F2-67CF9813901E}"/>
    <cellStyle name="Header2 19 4 4" xfId="23529" xr:uid="{1F82B4E4-3655-40DF-9C6B-F1169C7660C4}"/>
    <cellStyle name="Header2 19 4 5" xfId="36610" xr:uid="{73854321-C730-4CC7-B26B-E83A80EE40E3}"/>
    <cellStyle name="Header2 19 5" xfId="14660" xr:uid="{D678CE75-A360-4C85-9FAB-49BFB4405C06}"/>
    <cellStyle name="Header2 19 5 2" xfId="30954" xr:uid="{F67B0B9D-454A-4EAA-BB4E-598E13FE7767}"/>
    <cellStyle name="Header2 19 5 3" xfId="44375" xr:uid="{25D0C240-2E57-414E-A83D-28A2ECFA30BF}"/>
    <cellStyle name="Header2 19 6" xfId="21795" xr:uid="{B8F20D60-F78A-44F4-A529-F8C68AD6874C}"/>
    <cellStyle name="Header2 19 7" xfId="34845" xr:uid="{C0FD8C87-149E-4CF0-A072-4C4AE70D5EB8}"/>
    <cellStyle name="Header2 2" xfId="2211" xr:uid="{8F66D3A1-9C11-4942-AB63-BDAFEADC5DCF}"/>
    <cellStyle name="Header2 2 10" xfId="3674" xr:uid="{83B9F7A8-F883-454C-B6E7-1B426B54B819}"/>
    <cellStyle name="Header2 2 10 2" xfId="2990" xr:uid="{4CDE379C-4C3D-42CA-9641-188270BB40A5}"/>
    <cellStyle name="Header2 2 10 2 2" xfId="8286" xr:uid="{C20D96A4-B5D7-44D6-8EEC-3AB819DB28FD}"/>
    <cellStyle name="Header2 2 10 2 2 2" xfId="17390" xr:uid="{74971EC9-E41C-40C0-9A7D-E994DED388D4}"/>
    <cellStyle name="Header2 2 10 2 2 2 2" xfId="33144" xr:uid="{D4001A68-E61D-4FBF-956E-B7D19B66826B}"/>
    <cellStyle name="Header2 2 10 2 2 2 3" xfId="46920" xr:uid="{D6BAA6C2-9B15-45C4-8296-8085E8D57B68}"/>
    <cellStyle name="Header2 2 10 2 2 3" xfId="25792" xr:uid="{30FC8C9F-9529-43AE-9F39-18F13F368AA2}"/>
    <cellStyle name="Header2 2 10 2 2 4" xfId="38868" xr:uid="{6ECF8ADA-F7D7-4884-9E5B-43C3D45CC17C}"/>
    <cellStyle name="Header2 2 10 2 3" xfId="6653" xr:uid="{8439E221-410F-4190-8339-BC795C3D29EB}"/>
    <cellStyle name="Header2 2 10 2 3 2" xfId="16584" xr:uid="{395ECD34-B041-4270-B850-F0B13738E9BF}"/>
    <cellStyle name="Header2 2 10 2 3 2 2" xfId="32507" xr:uid="{A3AA4FC8-CCEF-433F-8266-249576A868E6}"/>
    <cellStyle name="Header2 2 10 2 3 2 3" xfId="46131" xr:uid="{3E999F93-9FDE-4322-8110-CE04D256E209}"/>
    <cellStyle name="Header2 2 10 2 3 3" xfId="24283" xr:uid="{218F26B7-F44C-43AC-99B3-95D879D83B26}"/>
    <cellStyle name="Header2 2 10 2 3 4" xfId="37364" xr:uid="{EBD1FF6B-7CB3-4CE2-A7C3-40D2BBEA6FBB}"/>
    <cellStyle name="Header2 2 10 2 4" xfId="11028" xr:uid="{DFC9879B-8AA4-4310-BE13-C47C1C03E652}"/>
    <cellStyle name="Header2 2 10 2 4 2" xfId="27835" xr:uid="{EE609B94-EB05-4415-A0B4-BC372F45BF88}"/>
    <cellStyle name="Header2 2 10 2 4 3" xfId="41008" xr:uid="{7B30A333-695F-4507-992D-31026F4CEE83}"/>
    <cellStyle name="Header2 2 10 2 5" xfId="21035" xr:uid="{D28714CD-FE95-42CA-9C51-FADDCE0EF072}"/>
    <cellStyle name="Header2 2 10 2 6" xfId="34058" xr:uid="{62641CE1-2414-4340-837B-B06F77DB1FC9}"/>
    <cellStyle name="Header2 2 10 3" xfId="4611" xr:uid="{9E84A59C-FBC0-40B8-A072-5C82BE9B95E7}"/>
    <cellStyle name="Header2 2 10 3 2" xfId="7309" xr:uid="{F96270C2-98F6-4731-AE43-C7CD45E8C416}"/>
    <cellStyle name="Header2 2 10 3 2 2" xfId="15264" xr:uid="{E5A2D30B-B3B7-41B2-8525-E60A12E3EA4E}"/>
    <cellStyle name="Header2 2 10 3 2 2 2" xfId="31439" xr:uid="{C2E89C43-522E-4183-AA48-E89F262FDFE8}"/>
    <cellStyle name="Header2 2 10 3 2 2 3" xfId="44915" xr:uid="{C062A058-F027-4016-A36A-15E307868806}"/>
    <cellStyle name="Header2 2 10 3 2 3" xfId="24870" xr:uid="{92904922-1922-476C-BB0B-5C343A294819}"/>
    <cellStyle name="Header2 2 10 3 2 4" xfId="37950" xr:uid="{CEF9DD7A-EA1D-4EBD-9746-576B4198729E}"/>
    <cellStyle name="Header2 2 10 3 3" xfId="16869" xr:uid="{27E7A49B-378C-4A6A-A4CA-5187D6A596D4}"/>
    <cellStyle name="Header2 2 10 3 3 2" xfId="32746" xr:uid="{63495E0F-A541-476F-B983-39BCF14C0B5B}"/>
    <cellStyle name="Header2 2 10 3 3 3" xfId="46411" xr:uid="{4EB41FE6-6E11-4AFF-A07B-9B208C44FEC9}"/>
    <cellStyle name="Header2 2 10 3 4" xfId="22424" xr:uid="{4F1DEA9D-F16D-4CAC-8BFD-2ADD39E2AD35}"/>
    <cellStyle name="Header2 2 10 3 5" xfId="35474" xr:uid="{5191CB15-A4CA-4BF2-B63D-F6F6A1B8CD45}"/>
    <cellStyle name="Header2 2 10 4" xfId="5683" xr:uid="{FC803493-79D9-4C6C-BCF6-58DC699CDDB5}"/>
    <cellStyle name="Header2 2 10 4 2" xfId="8870" xr:uid="{D3B514DB-D535-4335-BD70-0ADE2D534584}"/>
    <cellStyle name="Header2 2 10 4 2 2" xfId="12898" xr:uid="{26C9D260-2323-4B6F-969C-ABCC4279714D}"/>
    <cellStyle name="Header2 2 10 4 2 2 2" xfId="29451" xr:uid="{19EDC7E9-291D-46AC-9AEF-C8110EE5053B}"/>
    <cellStyle name="Header2 2 10 4 2 2 3" xfId="42743" xr:uid="{99CBF202-3A09-47DD-8A90-780EA45CD3E9}"/>
    <cellStyle name="Header2 2 10 4 2 3" xfId="26358" xr:uid="{0CB35248-FC95-4AF2-91CB-69B262ABEE03}"/>
    <cellStyle name="Header2 2 10 4 2 4" xfId="39434" xr:uid="{E3C04330-09AA-4070-936E-BB9A11AF810D}"/>
    <cellStyle name="Header2 2 10 4 3" xfId="14476" xr:uid="{8C8F6C94-AB42-4E47-B552-5FAB23E90E7E}"/>
    <cellStyle name="Header2 2 10 4 3 2" xfId="30800" xr:uid="{A3FAE9CF-DFB5-4FF1-8BA2-DCFD64A5BE75}"/>
    <cellStyle name="Header2 2 10 4 3 3" xfId="44205" xr:uid="{0E2629C1-2CB6-470A-A980-B822C19DB818}"/>
    <cellStyle name="Header2 2 10 4 4" xfId="23330" xr:uid="{315C21F1-0CD1-4663-9B31-09ABB255C795}"/>
    <cellStyle name="Header2 2 10 4 5" xfId="36411" xr:uid="{30B0C417-CB82-4F99-B422-0E305F5FD739}"/>
    <cellStyle name="Header2 2 10 5" xfId="13096" xr:uid="{8E9989E8-88E6-45C9-A05A-F5BE6E2BCD5E}"/>
    <cellStyle name="Header2 2 10 5 2" xfId="29612" xr:uid="{29BB30C9-067E-4B75-9FB2-A0A56C3A87A9}"/>
    <cellStyle name="Header2 2 10 5 3" xfId="42923" xr:uid="{75C655EA-D1F5-4233-936B-94A8F3CE1819}"/>
    <cellStyle name="Header2 2 10 6" xfId="21592" xr:uid="{4D79E7C5-88A7-4232-8C71-89C979E111EB}"/>
    <cellStyle name="Header2 2 10 7" xfId="34646" xr:uid="{8F54ACD3-3DB3-47AA-99E5-BB143BFFBEBC}"/>
    <cellStyle name="Header2 2 11" xfId="3611" xr:uid="{421F47FC-FC26-458F-BDF1-6D3831DC944F}"/>
    <cellStyle name="Header2 2 11 2" xfId="2941" xr:uid="{438EEA05-D66E-469A-A26E-AF3989A011B3}"/>
    <cellStyle name="Header2 2 11 2 2" xfId="8237" xr:uid="{A42CD77A-841B-4316-8F4E-8D050DC4B645}"/>
    <cellStyle name="Header2 2 11 2 2 2" xfId="15779" xr:uid="{337A0A7A-B1DD-4FC7-9EB1-19A67F21AB85}"/>
    <cellStyle name="Header2 2 11 2 2 2 2" xfId="31880" xr:uid="{63EBB473-9A6E-4BC2-9B9B-6DAFA7C76DAD}"/>
    <cellStyle name="Header2 2 11 2 2 2 3" xfId="45391" xr:uid="{AEC190BF-BFB4-4CCF-8A58-993FDF0D972C}"/>
    <cellStyle name="Header2 2 11 2 2 3" xfId="25746" xr:uid="{E8CFE3CE-5E99-4759-8A80-0BF6BB70EA33}"/>
    <cellStyle name="Header2 2 11 2 2 4" xfId="38822" xr:uid="{0DBF8DB5-CFFF-4BDE-AFA3-D6717F7B5BD1}"/>
    <cellStyle name="Header2 2 11 2 3" xfId="6604" xr:uid="{3B7E7E94-C64C-4CAF-B13B-83C2CF390DA7}"/>
    <cellStyle name="Header2 2 11 2 3 2" xfId="12804" xr:uid="{B7E091AB-9531-4776-88A6-B0A2D3CB6E99}"/>
    <cellStyle name="Header2 2 11 2 3 2 2" xfId="29378" xr:uid="{19DF07BB-7508-40F3-A537-BDCE8F27CBDE}"/>
    <cellStyle name="Header2 2 11 2 3 2 3" xfId="42659" xr:uid="{8055352B-3FAF-4728-9399-D77589F0D49B}"/>
    <cellStyle name="Header2 2 11 2 3 3" xfId="24237" xr:uid="{190FEE26-A167-47D6-ADBC-D4B1656AA77E}"/>
    <cellStyle name="Header2 2 11 2 3 4" xfId="37318" xr:uid="{51A2917C-7822-437C-A03D-50A81F5FEEB6}"/>
    <cellStyle name="Header2 2 11 2 4" xfId="17578" xr:uid="{EC8F93DF-5348-44A4-B522-529AA06334F6}"/>
    <cellStyle name="Header2 2 11 2 4 2" xfId="33315" xr:uid="{B4D76B83-0197-4BD9-9329-C764198CF5F7}"/>
    <cellStyle name="Header2 2 11 2 4 3" xfId="47103" xr:uid="{C4BA436C-E102-4D54-B8C9-23944AC1B2C0}"/>
    <cellStyle name="Header2 2 11 2 5" xfId="20989" xr:uid="{486710C0-D97B-48F9-983B-4E2C23FBF2FF}"/>
    <cellStyle name="Header2 2 11 2 6" xfId="34012" xr:uid="{60735A5D-6313-42E9-82E2-EF50A34E6897}"/>
    <cellStyle name="Header2 2 11 3" xfId="4680" xr:uid="{EB956C95-FF02-4904-A725-5EB6C4A178AE}"/>
    <cellStyle name="Header2 2 11 3 2" xfId="7246" xr:uid="{9E9E9919-BDF0-4D59-A934-4E73210FC60B}"/>
    <cellStyle name="Header2 2 11 3 2 2" xfId="14524" xr:uid="{8263D331-EAB4-44B5-A351-BED52109F767}"/>
    <cellStyle name="Header2 2 11 3 2 2 2" xfId="30840" xr:uid="{45D28378-0E48-4C2B-B536-781FF9097BE6}"/>
    <cellStyle name="Header2 2 11 3 2 2 3" xfId="44251" xr:uid="{FBA95E48-7549-47CA-8143-90C33B566AA4}"/>
    <cellStyle name="Header2 2 11 3 2 3" xfId="24834" xr:uid="{0B9EE15C-614F-4499-BB08-C675CB6FC4ED}"/>
    <cellStyle name="Header2 2 11 3 2 4" xfId="37915" xr:uid="{2B96EADA-2A42-440B-B384-39B3820863C9}"/>
    <cellStyle name="Header2 2 11 3 3" xfId="13075" xr:uid="{9FB46357-E1E2-44C1-BA55-4C0953931D59}"/>
    <cellStyle name="Header2 2 11 3 3 2" xfId="29596" xr:uid="{34E58C01-8268-419F-ACE6-03C00ABCCF88}"/>
    <cellStyle name="Header2 2 11 3 3 3" xfId="42905" xr:uid="{F571CABA-CE87-4838-8B40-CC14E981D1E8}"/>
    <cellStyle name="Header2 2 11 3 4" xfId="22488" xr:uid="{C26EE319-CA90-4AF9-905D-28586EAC446E}"/>
    <cellStyle name="Header2 2 11 3 5" xfId="35541" xr:uid="{4792F2DF-237F-4172-ABD7-D5094CDD5209}"/>
    <cellStyle name="Header2 2 11 4" xfId="5648" xr:uid="{67293AB2-6BED-4440-BE10-4C2B62508072}"/>
    <cellStyle name="Header2 2 11 4 2" xfId="8832" xr:uid="{A5C1A870-E02F-4C78-BD32-2A2EB6D2C17D}"/>
    <cellStyle name="Header2 2 11 4 2 2" xfId="15998" xr:uid="{6585F001-CAA9-493B-9D55-63E83CE5D0E4}"/>
    <cellStyle name="Header2 2 11 4 2 2 2" xfId="32069" xr:uid="{9B961BD6-84C5-4BA8-B29D-D974F6E77912}"/>
    <cellStyle name="Header2 2 11 4 2 2 3" xfId="45588" xr:uid="{56071F84-C857-49AF-B4D3-39D1C63FF971}"/>
    <cellStyle name="Header2 2 11 4 2 3" xfId="26323" xr:uid="{427C5A7C-A675-4FC3-AE80-0D80369805F0}"/>
    <cellStyle name="Header2 2 11 4 2 4" xfId="39399" xr:uid="{1FE49CE4-6F8A-4205-83A7-28BF1D2E5CEC}"/>
    <cellStyle name="Header2 2 11 4 3" xfId="17537" xr:uid="{775F2B5F-349B-48CE-B6C5-3488B689E773}"/>
    <cellStyle name="Header2 2 11 4 3 2" xfId="33275" xr:uid="{82251B8D-A95A-49BD-B6FC-A79AB5E4AF19}"/>
    <cellStyle name="Header2 2 11 4 3 3" xfId="47062" xr:uid="{6BEAC49A-0421-4CBE-A881-B38F5BB600DF}"/>
    <cellStyle name="Header2 2 11 4 4" xfId="23295" xr:uid="{7B840519-1AC6-4A73-A128-3A697D608417}"/>
    <cellStyle name="Header2 2 11 4 5" xfId="36376" xr:uid="{BFD8ECAA-7550-47D6-9C79-0F1943CBA153}"/>
    <cellStyle name="Header2 2 11 5" xfId="14345" xr:uid="{EC7EB70D-4DA2-41CE-B222-B1FD43819111}"/>
    <cellStyle name="Header2 2 11 5 2" xfId="30679" xr:uid="{D5ACABE5-CB97-43B4-BC95-A49094533700}"/>
    <cellStyle name="Header2 2 11 5 3" xfId="44075" xr:uid="{05799C35-1CD4-4E86-8F0F-8D75615B9FBA}"/>
    <cellStyle name="Header2 2 11 6" xfId="21557" xr:uid="{7A2A3201-841B-414D-889B-4376CA7B5683}"/>
    <cellStyle name="Header2 2 11 7" xfId="34611" xr:uid="{0A62AF49-9B38-4E02-A222-DFD1A20458AE}"/>
    <cellStyle name="Header2 2 12" xfId="3657" xr:uid="{9E16DAD9-F296-4FFE-84F9-AE9C15F9C321}"/>
    <cellStyle name="Header2 2 12 2" xfId="2977" xr:uid="{AA8F7765-93E9-4E58-B117-B4EC0B2F8816}"/>
    <cellStyle name="Header2 2 12 2 2" xfId="8273" xr:uid="{6ACBFAA9-E403-4A7E-BC39-73AF5CB04BBA}"/>
    <cellStyle name="Header2 2 12 2 2 2" xfId="10788" xr:uid="{9FCDC61B-68A3-4077-8611-A3E6E9763896}"/>
    <cellStyle name="Header2 2 12 2 2 2 2" xfId="27622" xr:uid="{A74CBDCD-3E34-493E-95CD-45BF84AC8EF3}"/>
    <cellStyle name="Header2 2 12 2 2 2 3" xfId="40769" xr:uid="{21A0C1B6-92C7-412D-BA11-BCBEE29172A7}"/>
    <cellStyle name="Header2 2 12 2 2 3" xfId="25781" xr:uid="{715F24D3-3F47-45D4-A619-38B276015657}"/>
    <cellStyle name="Header2 2 12 2 2 4" xfId="38857" xr:uid="{95AA8C5C-7324-42B4-A250-1ADEF45FC138}"/>
    <cellStyle name="Header2 2 12 2 3" xfId="6640" xr:uid="{52DB0FD2-6031-4C34-8769-04CBEE5839F3}"/>
    <cellStyle name="Header2 2 12 2 3 2" xfId="12089" xr:uid="{96D36B99-4C4F-4554-986E-88A23B3F8B04}"/>
    <cellStyle name="Header2 2 12 2 3 2 2" xfId="28789" xr:uid="{E9D35537-F8E8-4693-ABDF-E8079FF625A3}"/>
    <cellStyle name="Header2 2 12 2 3 2 3" xfId="42009" xr:uid="{B9510254-577A-45FA-A4B3-C92F14D896EF}"/>
    <cellStyle name="Header2 2 12 2 3 3" xfId="24272" xr:uid="{B0BEFE23-C0A5-4B83-A851-429721A8811A}"/>
    <cellStyle name="Header2 2 12 2 3 4" xfId="37353" xr:uid="{052EC662-193B-4B9D-8197-516A3E4108D8}"/>
    <cellStyle name="Header2 2 12 2 4" xfId="12790" xr:uid="{730416AA-DD50-40AE-9DEB-F9B955B4B461}"/>
    <cellStyle name="Header2 2 12 2 4 2" xfId="29365" xr:uid="{3B04C8C0-7966-494E-A017-0493A13C1E24}"/>
    <cellStyle name="Header2 2 12 2 4 3" xfId="42645" xr:uid="{2121D34F-35A5-4335-A3DE-D5F176F44489}"/>
    <cellStyle name="Header2 2 12 2 5" xfId="21024" xr:uid="{F1D3C1D6-9380-4FD2-8680-2110CCEB43D3}"/>
    <cellStyle name="Header2 2 12 2 6" xfId="34047" xr:uid="{F8B35A94-D1F8-452B-862D-5B50EC2E0067}"/>
    <cellStyle name="Header2 2 12 3" xfId="4700" xr:uid="{93B0BF5C-B268-4E95-8207-A59CB90BC015}"/>
    <cellStyle name="Header2 2 12 3 2" xfId="7292" xr:uid="{3E13506C-A9A1-4349-8EB0-BF3FB07072C8}"/>
    <cellStyle name="Header2 2 12 3 2 2" xfId="13182" xr:uid="{CC67F211-EF2C-4041-8B7D-DAF9BC0757F4}"/>
    <cellStyle name="Header2 2 12 3 2 2 2" xfId="29689" xr:uid="{E7C68FC1-D736-466C-94F4-1394DD25D08C}"/>
    <cellStyle name="Header2 2 12 3 2 2 3" xfId="43005" xr:uid="{B6BA66B5-0B0E-48E9-BAFC-E8B2C248188C}"/>
    <cellStyle name="Header2 2 12 3 2 3" xfId="24859" xr:uid="{21D71F6C-2D7F-4E4E-90CF-3CB419F1051F}"/>
    <cellStyle name="Header2 2 12 3 2 4" xfId="37940" xr:uid="{915536C2-6C96-44E1-BF05-009855C53565}"/>
    <cellStyle name="Header2 2 12 3 3" xfId="16239" xr:uid="{132885CB-623C-462C-B43F-BFB930517FF9}"/>
    <cellStyle name="Header2 2 12 3 3 2" xfId="32275" xr:uid="{05153437-70CE-40EF-A006-7D07E231C7B1}"/>
    <cellStyle name="Header2 2 12 3 3 3" xfId="45803" xr:uid="{8C38AA1E-82C1-4CCA-B923-A75E7EA78A21}"/>
    <cellStyle name="Header2 2 12 3 4" xfId="22507" xr:uid="{1C318ABD-1781-4663-B6F9-12ED321048A7}"/>
    <cellStyle name="Header2 2 12 3 5" xfId="35560" xr:uid="{0DDDE7FE-869E-4D6D-8FFF-F18014994AEF}"/>
    <cellStyle name="Header2 2 12 4" xfId="5673" xr:uid="{26092EC9-C30E-4074-A807-DEC967898121}"/>
    <cellStyle name="Header2 2 12 4 2" xfId="8858" xr:uid="{F2C3B3DD-3C5D-4D80-9BD6-36554EF3ED7E}"/>
    <cellStyle name="Header2 2 12 4 2 2" xfId="15568" xr:uid="{D4746847-407B-4051-A692-92302BA23596}"/>
    <cellStyle name="Header2 2 12 4 2 2 2" xfId="31697" xr:uid="{BE173742-3425-450C-93C3-0FC30E2E6781}"/>
    <cellStyle name="Header2 2 12 4 2 2 3" xfId="45199" xr:uid="{2A6AFDA6-AF85-4FFD-A203-B2B96F0C1007}"/>
    <cellStyle name="Header2 2 12 4 2 3" xfId="26348" xr:uid="{F6B8183B-D365-43B6-8BDF-DADC96BCB821}"/>
    <cellStyle name="Header2 2 12 4 2 4" xfId="39424" xr:uid="{B1638A8F-59F7-44D4-A218-3E41E23F81D4}"/>
    <cellStyle name="Header2 2 12 4 3" xfId="16329" xr:uid="{6054E271-27C9-4FFE-A3DD-42BD314E9AAF}"/>
    <cellStyle name="Header2 2 12 4 3 2" xfId="32353" xr:uid="{9A199209-E6DD-46DA-84C0-8FF6B7D0C2C4}"/>
    <cellStyle name="Header2 2 12 4 3 3" xfId="45884" xr:uid="{63389037-F9B8-4D23-9D8D-23A63AC21591}"/>
    <cellStyle name="Header2 2 12 4 4" xfId="23320" xr:uid="{86CA080A-B487-4DD0-8752-0A3142E390C9}"/>
    <cellStyle name="Header2 2 12 4 5" xfId="36401" xr:uid="{BF747725-1FBA-47B5-8D18-245668D76F92}"/>
    <cellStyle name="Header2 2 12 5" xfId="16509" xr:uid="{04500D9F-F082-4272-A238-AA9733935D48}"/>
    <cellStyle name="Header2 2 12 5 2" xfId="32469" xr:uid="{3E593DBB-FC7A-4B34-B3F9-913E6919FA68}"/>
    <cellStyle name="Header2 2 12 5 3" xfId="46057" xr:uid="{E8FE5FE9-0995-4A41-AF27-E90041C1AAF2}"/>
    <cellStyle name="Header2 2 12 6" xfId="21582" xr:uid="{ECBF58FD-1AA8-4654-8B9D-08BE14177F97}"/>
    <cellStyle name="Header2 2 12 7" xfId="34636" xr:uid="{E0424185-6182-43CD-AA6A-A639FF0C7DCE}"/>
    <cellStyle name="Header2 2 13" xfId="3637" xr:uid="{D2D8C146-4AFC-4E4A-B7B5-F9FCA493943E}"/>
    <cellStyle name="Header2 2 13 2" xfId="2961" xr:uid="{AF5CAD51-57F1-4F81-B6CE-C235EDC29029}"/>
    <cellStyle name="Header2 2 13 2 2" xfId="8257" xr:uid="{866E219C-C10D-4C89-BD1C-6E3D1FB31FBE}"/>
    <cellStyle name="Header2 2 13 2 2 2" xfId="12739" xr:uid="{40F02EC6-5789-417A-AC11-443FAA69EDFA}"/>
    <cellStyle name="Header2 2 13 2 2 2 2" xfId="29319" xr:uid="{653FF639-EF9E-4827-802F-0B069FB4E639}"/>
    <cellStyle name="Header2 2 13 2 2 2 3" xfId="42597" xr:uid="{C90C12CD-9793-4766-A933-764DBAFBDDCB}"/>
    <cellStyle name="Header2 2 13 2 2 3" xfId="25766" xr:uid="{9015A13E-98D4-4E56-8714-75A8E8F58E22}"/>
    <cellStyle name="Header2 2 13 2 2 4" xfId="38842" xr:uid="{8C146579-5A8D-459A-9D33-C52337A8DAD8}"/>
    <cellStyle name="Header2 2 13 2 3" xfId="6624" xr:uid="{AB821FD1-5F75-49B0-9C9C-6D45CF05183E}"/>
    <cellStyle name="Header2 2 13 2 3 2" xfId="12085" xr:uid="{3490BE9A-34C1-4FFF-BE15-2063ABAA3BF3}"/>
    <cellStyle name="Header2 2 13 2 3 2 2" xfId="28785" xr:uid="{DE13458A-6AC8-4F03-A0A4-4BD94FBFABBF}"/>
    <cellStyle name="Header2 2 13 2 3 2 3" xfId="42005" xr:uid="{9318F974-8853-4006-9620-08E9F5AEFF30}"/>
    <cellStyle name="Header2 2 13 2 3 3" xfId="24257" xr:uid="{B6831B3E-2681-4967-92D3-ADA3A3EE113F}"/>
    <cellStyle name="Header2 2 13 2 3 4" xfId="37338" xr:uid="{AE0A608C-53CA-4887-BF24-6374121227A6}"/>
    <cellStyle name="Header2 2 13 2 4" xfId="14935" xr:uid="{36E3131F-F180-4192-8179-4D80E03AD0B9}"/>
    <cellStyle name="Header2 2 13 2 4 2" xfId="31177" xr:uid="{2035E1F6-3B59-4367-A520-C88F2790575C}"/>
    <cellStyle name="Header2 2 13 2 4 3" xfId="44622" xr:uid="{041C022D-2C43-4DDD-81BF-1EF2138ACCFD}"/>
    <cellStyle name="Header2 2 13 2 5" xfId="21009" xr:uid="{60FA217E-69E3-4426-B040-80D816E3822A}"/>
    <cellStyle name="Header2 2 13 2 6" xfId="34032" xr:uid="{3492A5BF-919D-4A68-94D9-03463AB1EEE1}"/>
    <cellStyle name="Header2 2 13 3" xfId="4689" xr:uid="{C862431F-8DAE-432B-A450-47AED7D3F4EA}"/>
    <cellStyle name="Header2 2 13 3 2" xfId="7272" xr:uid="{CAF8E54E-08EB-4F37-9250-C5C5ADED0145}"/>
    <cellStyle name="Header2 2 13 3 2 2" xfId="13800" xr:uid="{6DAD3B87-9A61-44A0-B5B4-D8789603573C}"/>
    <cellStyle name="Header2 2 13 3 2 2 2" xfId="30205" xr:uid="{12B87BA8-8ADC-44C5-8858-3AD4ABD01B1E}"/>
    <cellStyle name="Header2 2 13 3 2 2 3" xfId="43572" xr:uid="{D83E8BF4-9AF5-43EB-881E-6676727D819D}"/>
    <cellStyle name="Header2 2 13 3 2 3" xfId="24848" xr:uid="{8D18352B-6E43-4761-8C55-52493511E5A8}"/>
    <cellStyle name="Header2 2 13 3 2 4" xfId="37929" xr:uid="{1CAF7395-6900-4FCD-B8D2-C8A7777E3B47}"/>
    <cellStyle name="Header2 2 13 3 3" xfId="15077" xr:uid="{D4685308-1340-4055-96FB-E2B144D89CDC}"/>
    <cellStyle name="Header2 2 13 3 3 2" xfId="31286" xr:uid="{57810D48-8E76-43E4-865B-48C9E6ACB838}"/>
    <cellStyle name="Header2 2 13 3 3 3" xfId="44744" xr:uid="{E66F6043-7C83-4EE7-96C5-3112B6422084}"/>
    <cellStyle name="Header2 2 13 3 4" xfId="22497" xr:uid="{F0F36546-706F-4BA1-B051-A0709E9C0780}"/>
    <cellStyle name="Header2 2 13 3 5" xfId="35550" xr:uid="{2A408226-9653-4A4C-922E-75D324EDF79B}"/>
    <cellStyle name="Header2 2 13 4" xfId="5662" xr:uid="{B95C32F8-7B72-4C41-91BE-3713BC9416A7}"/>
    <cellStyle name="Header2 2 13 4 2" xfId="8846" xr:uid="{4009948F-26D9-433D-8D31-C1C3B7164CA7}"/>
    <cellStyle name="Header2 2 13 4 2 2" xfId="11197" xr:uid="{A349794A-F8F5-47D6-9E71-56B91079424B}"/>
    <cellStyle name="Header2 2 13 4 2 2 2" xfId="27991" xr:uid="{37CB1ACA-62CB-447E-900E-8542057D02AB}"/>
    <cellStyle name="Header2 2 13 4 2 2 3" xfId="41173" xr:uid="{EDC3CC04-B1ED-45B9-AE60-FF8FA3A4AE3B}"/>
    <cellStyle name="Header2 2 13 4 2 3" xfId="26337" xr:uid="{150CD181-76C1-41BB-BD8C-AD6439CB4D5C}"/>
    <cellStyle name="Header2 2 13 4 2 4" xfId="39413" xr:uid="{E9466CB5-EB48-4DCA-9251-C866131B33E6}"/>
    <cellStyle name="Header2 2 13 4 3" xfId="13727" xr:uid="{1A186BE6-585D-4DB7-A6CE-A46436FB72B6}"/>
    <cellStyle name="Header2 2 13 4 3 2" xfId="30143" xr:uid="{FD9C02AA-67AA-4115-B33D-050594C71846}"/>
    <cellStyle name="Header2 2 13 4 3 3" xfId="43505" xr:uid="{46315DC0-C3EA-4BA2-8E6B-90CAFE0925AC}"/>
    <cellStyle name="Header2 2 13 4 4" xfId="23309" xr:uid="{14748172-26EA-4BE9-AF9B-E205500B4365}"/>
    <cellStyle name="Header2 2 13 4 5" xfId="36390" xr:uid="{66FBB1C0-B91E-41E2-9460-6123429638B2}"/>
    <cellStyle name="Header2 2 13 5" xfId="11500" xr:uid="{EF58CBC2-758D-4E2D-B5FF-D29B8EB0122B}"/>
    <cellStyle name="Header2 2 13 5 2" xfId="28260" xr:uid="{A1B165CE-B33C-432F-BFF3-17368A9A358B}"/>
    <cellStyle name="Header2 2 13 5 3" xfId="41456" xr:uid="{00DE2CCA-821E-46EF-8324-B88862A3DA9E}"/>
    <cellStyle name="Header2 2 13 6" xfId="21571" xr:uid="{DBA90C67-319B-48BB-9FE3-975F7EC8DDF7}"/>
    <cellStyle name="Header2 2 13 7" xfId="34625" xr:uid="{1D23AF3E-1B35-428B-8F5A-1D95649920FA}"/>
    <cellStyle name="Header2 2 14" xfId="3555" xr:uid="{3F905E30-CE41-401A-AC83-751F79E51834}"/>
    <cellStyle name="Header2 2 14 2" xfId="2896" xr:uid="{0E94E34F-779E-46E2-BF35-AFD6DB0D6E06}"/>
    <cellStyle name="Header2 2 14 2 2" xfId="8192" xr:uid="{D5E2A250-FD13-4AA6-BB5F-593EF752EEF3}"/>
    <cellStyle name="Header2 2 14 2 2 2" xfId="10954" xr:uid="{8EA03099-00BA-4991-BB0D-C911EF972CB9}"/>
    <cellStyle name="Header2 2 14 2 2 2 2" xfId="27768" xr:uid="{E414D1A2-D311-4FD8-823F-9B509EBAA68C}"/>
    <cellStyle name="Header2 2 14 2 2 2 3" xfId="40934" xr:uid="{0A9A83CA-49E9-46D9-8AE6-A4CE7E594530}"/>
    <cellStyle name="Header2 2 14 2 2 3" xfId="25703" xr:uid="{673411CA-2581-4941-8DCB-D7301B30EE31}"/>
    <cellStyle name="Header2 2 14 2 2 4" xfId="38779" xr:uid="{7C659B10-6AF8-4453-B296-F9252C70CF4E}"/>
    <cellStyle name="Header2 2 14 2 3" xfId="6559" xr:uid="{2D5DAB48-0B8A-46A6-BCCC-2F696EA3FFEB}"/>
    <cellStyle name="Header2 2 14 2 3 2" xfId="16777" xr:uid="{5912C9F7-0DD6-44E5-9794-4BB6F9593A32}"/>
    <cellStyle name="Header2 2 14 2 3 2 2" xfId="32658" xr:uid="{9B36358E-EFE3-4106-BF1E-5369F846FE61}"/>
    <cellStyle name="Header2 2 14 2 3 2 3" xfId="46320" xr:uid="{AC84ACD4-C095-4BCA-80B9-C30F860B5307}"/>
    <cellStyle name="Header2 2 14 2 3 3" xfId="24194" xr:uid="{F6698473-2FEE-4DC9-BA60-E00634E99030}"/>
    <cellStyle name="Header2 2 14 2 3 4" xfId="37275" xr:uid="{16FE2243-6B24-42CE-A3C0-C8433929BF66}"/>
    <cellStyle name="Header2 2 14 2 4" xfId="15668" xr:uid="{CCFDE4D3-686F-4F6B-ADB0-E602F5BDFC5B}"/>
    <cellStyle name="Header2 2 14 2 4 2" xfId="31783" xr:uid="{37EFF91D-EF25-412E-8630-9EC7372E8EC1}"/>
    <cellStyle name="Header2 2 14 2 4 3" xfId="45289" xr:uid="{6E5504D6-BFCD-438F-B335-5886BB93A09B}"/>
    <cellStyle name="Header2 2 14 2 5" xfId="20946" xr:uid="{BAB7C85F-5FB6-468D-9538-0D0619249BB7}"/>
    <cellStyle name="Header2 2 14 2 6" xfId="33969" xr:uid="{CE0A8394-B0E7-4B08-93BA-F7906968AFD3}"/>
    <cellStyle name="Header2 2 14 3" xfId="4657" xr:uid="{9296EB4D-78BD-4306-881A-480FB2849AA1}"/>
    <cellStyle name="Header2 2 14 3 2" xfId="7197" xr:uid="{91A025A6-B103-41B7-8CCD-DD18B64E1A8C}"/>
    <cellStyle name="Header2 2 14 3 2 2" xfId="12153" xr:uid="{D88BB809-3B1A-47EB-A20F-EF93D582DADC}"/>
    <cellStyle name="Header2 2 14 3 2 2 2" xfId="28852" xr:uid="{925CFCD4-5494-4185-8074-8A5F867A97B6}"/>
    <cellStyle name="Header2 2 14 3 2 2 3" xfId="42073" xr:uid="{D2AD6330-4A23-4AC1-85D3-838C205F0DAD}"/>
    <cellStyle name="Header2 2 14 3 2 3" xfId="24793" xr:uid="{96F2A178-D091-4C0B-A7E7-09D707EB40F5}"/>
    <cellStyle name="Header2 2 14 3 2 4" xfId="37874" xr:uid="{176EF8A3-6BEC-41F9-911E-4D8325A6272E}"/>
    <cellStyle name="Header2 2 14 3 3" xfId="11101" xr:uid="{10E187FF-28CA-40BE-9846-E458F051D181}"/>
    <cellStyle name="Header2 2 14 3 3 2" xfId="27902" xr:uid="{64E8FDB2-0C71-45E0-8419-F270E13307D4}"/>
    <cellStyle name="Header2 2 14 3 3 3" xfId="41080" xr:uid="{3CA030AE-6D63-4257-AD21-BD59DF7022EC}"/>
    <cellStyle name="Header2 2 14 3 4" xfId="22467" xr:uid="{BD04981C-1FF0-4E51-9772-9F4415DA8F3F}"/>
    <cellStyle name="Header2 2 14 3 5" xfId="35520" xr:uid="{B18DFF98-B8C6-4BD7-9512-952E3943794A}"/>
    <cellStyle name="Header2 2 14 4" xfId="5607" xr:uid="{313EFEDE-07C1-4804-97D6-08B7C9341F50}"/>
    <cellStyle name="Header2 2 14 4 2" xfId="8789" xr:uid="{25B42AC8-6886-465B-9629-C8DFECEF7C34}"/>
    <cellStyle name="Header2 2 14 4 2 2" xfId="14276" xr:uid="{2B4D4669-D088-453C-B81C-5E88F3702F8A}"/>
    <cellStyle name="Header2 2 14 4 2 2 2" xfId="30617" xr:uid="{A1964840-5822-44F6-9603-935CD0F1ABD6}"/>
    <cellStyle name="Header2 2 14 4 2 2 3" xfId="44010" xr:uid="{D17BDD12-F2F1-4BD7-B0A6-9A352D38A892}"/>
    <cellStyle name="Header2 2 14 4 2 3" xfId="26282" xr:uid="{2225B1B1-FEEA-4338-AC36-D64E78C1452E}"/>
    <cellStyle name="Header2 2 14 4 2 4" xfId="39358" xr:uid="{7BC4B156-2179-45A3-B837-2DB737B0571A}"/>
    <cellStyle name="Header2 2 14 4 3" xfId="14658" xr:uid="{748F8C3D-0335-4DF2-BF82-0D5E8DD01895}"/>
    <cellStyle name="Header2 2 14 4 3 2" xfId="30952" xr:uid="{AD019E0F-5CBC-4B96-BC48-73D0149B12F1}"/>
    <cellStyle name="Header2 2 14 4 3 3" xfId="44373" xr:uid="{08D73C14-B7CF-4D46-9B01-1B1BC724D6E1}"/>
    <cellStyle name="Header2 2 14 4 4" xfId="23254" xr:uid="{3CAC241C-8F8F-4525-A9C4-9F3C8E0004FB}"/>
    <cellStyle name="Header2 2 14 4 5" xfId="36335" xr:uid="{88501564-BC13-402B-A330-503AFD6401F6}"/>
    <cellStyle name="Header2 2 14 5" xfId="13652" xr:uid="{5B1407A7-191A-4E6E-9377-558B5C513288}"/>
    <cellStyle name="Header2 2 14 5 2" xfId="30081" xr:uid="{BB8E16C6-2C25-4C35-817D-AC9DCEA94BCB}"/>
    <cellStyle name="Header2 2 14 5 3" xfId="43439" xr:uid="{EA4DC724-9AEE-4EDB-87FA-CDC37DB92B48}"/>
    <cellStyle name="Header2 2 14 6" xfId="21516" xr:uid="{D922EF94-7D02-43E1-AF3D-72B1A661F51B}"/>
    <cellStyle name="Header2 2 14 7" xfId="34568" xr:uid="{D0602CE0-5B89-4424-9F4A-C6DFA263F9F1}"/>
    <cellStyle name="Header2 2 15" xfId="3646" xr:uid="{4C7DD1AF-6B90-471E-8DB7-3D44393D5813}"/>
    <cellStyle name="Header2 2 15 2" xfId="2967" xr:uid="{D1DFF3FD-7715-4693-89DB-341C790600F3}"/>
    <cellStyle name="Header2 2 15 2 2" xfId="8263" xr:uid="{C2E00C87-6E9E-4114-9E08-DEFF10B461EE}"/>
    <cellStyle name="Header2 2 15 2 2 2" xfId="16296" xr:uid="{01C514B5-EDBA-4852-BA06-FE7847199581}"/>
    <cellStyle name="Header2 2 15 2 2 2 2" xfId="32324" xr:uid="{4AA16B5E-4A29-4F15-A450-D7365820EDCC}"/>
    <cellStyle name="Header2 2 15 2 2 2 3" xfId="45855" xr:uid="{FB9326AA-21D4-4171-A344-2E1C44AD0E18}"/>
    <cellStyle name="Header2 2 15 2 2 3" xfId="25772" xr:uid="{973DA090-5CA1-4AD3-93DB-9BA09D7FAA90}"/>
    <cellStyle name="Header2 2 15 2 2 4" xfId="38848" xr:uid="{CADA61BA-2BAF-4EB0-A887-080B62E296BD}"/>
    <cellStyle name="Header2 2 15 2 3" xfId="6630" xr:uid="{DFD17E4E-ADB2-4FCA-A269-4425F49684BB}"/>
    <cellStyle name="Header2 2 15 2 3 2" xfId="14993" xr:uid="{F715FD13-5A06-43EE-A33E-47C1C66FAAFE}"/>
    <cellStyle name="Header2 2 15 2 3 2 2" xfId="31224" xr:uid="{63194F85-DDCC-4B6E-ADCE-1D0C01613D1D}"/>
    <cellStyle name="Header2 2 15 2 3 2 3" xfId="44674" xr:uid="{A1046B43-2457-4F91-958F-6E2CA4D46CB5}"/>
    <cellStyle name="Header2 2 15 2 3 3" xfId="24263" xr:uid="{E1E0B5A5-02C6-4BA1-AAE6-8DEA66E4B818}"/>
    <cellStyle name="Header2 2 15 2 3 4" xfId="37344" xr:uid="{7DDA57E0-5E50-4B77-8651-93D6E6A2A6EE}"/>
    <cellStyle name="Header2 2 15 2 4" xfId="11172" xr:uid="{3017B66B-3D23-46F5-BE61-5B557D5501E1}"/>
    <cellStyle name="Header2 2 15 2 4 2" xfId="27966" xr:uid="{44C15E6A-05E4-4D1A-9EFF-C79319219C6D}"/>
    <cellStyle name="Header2 2 15 2 4 3" xfId="41148" xr:uid="{65B3BD52-51DB-4CB8-9431-8B392645140C}"/>
    <cellStyle name="Header2 2 15 2 5" xfId="21015" xr:uid="{0C57BAD4-84EB-43F5-BB26-2D9FB81E7941}"/>
    <cellStyle name="Header2 2 15 2 6" xfId="34038" xr:uid="{9E741059-2BC8-46A7-B5DD-6B853063D409}"/>
    <cellStyle name="Header2 2 15 3" xfId="4694" xr:uid="{DA9AAB1B-CCEC-4E4C-8CAC-498C5F8B3607}"/>
    <cellStyle name="Header2 2 15 3 2" xfId="7281" xr:uid="{3AAC52A3-1A64-4935-9544-8D9BAD85575A}"/>
    <cellStyle name="Header2 2 15 3 2 2" xfId="12011" xr:uid="{BA79C5A7-AAC9-4848-A553-3830B6AD9F01}"/>
    <cellStyle name="Header2 2 15 3 2 2 2" xfId="28714" xr:uid="{84DE088E-A0B1-451B-8DB1-6B9F2C23C29E}"/>
    <cellStyle name="Header2 2 15 3 2 2 3" xfId="41932" xr:uid="{08B73E2C-08EF-4939-894E-610319209B8F}"/>
    <cellStyle name="Header2 2 15 3 2 3" xfId="24853" xr:uid="{00B31127-537A-447E-A422-156876407651}"/>
    <cellStyle name="Header2 2 15 3 2 4" xfId="37934" xr:uid="{497E3E04-E2F3-4A5E-8B5E-A27DE715AF3E}"/>
    <cellStyle name="Header2 2 15 3 3" xfId="11480" xr:uid="{6F78DB66-A708-4506-91A5-160F64CEF154}"/>
    <cellStyle name="Header2 2 15 3 3 2" xfId="28244" xr:uid="{797556AF-34DB-4D05-8896-69A89187FA43}"/>
    <cellStyle name="Header2 2 15 3 3 3" xfId="41439" xr:uid="{665C2DCB-BA8C-4771-B84B-0A4643AB6688}"/>
    <cellStyle name="Header2 2 15 3 4" xfId="22502" xr:uid="{97C22C2F-B644-4E03-9236-921E5ADF5AE1}"/>
    <cellStyle name="Header2 2 15 3 5" xfId="35555" xr:uid="{84F07C72-5A0B-4F30-B77A-1FA6478A462E}"/>
    <cellStyle name="Header2 2 15 4" xfId="5667" xr:uid="{3FA6296E-1D22-4BAC-AC9E-4C238CD3B78D}"/>
    <cellStyle name="Header2 2 15 4 2" xfId="8851" xr:uid="{656435F9-A59B-48A9-8912-A340F8CD0D82}"/>
    <cellStyle name="Header2 2 15 4 2 2" xfId="12363" xr:uid="{F8B815AA-7F01-417E-B86A-0C02799ADF16}"/>
    <cellStyle name="Header2 2 15 4 2 2 2" xfId="29029" xr:uid="{F73F773C-292A-4804-9075-92A4146A7CCB}"/>
    <cellStyle name="Header2 2 15 4 2 2 3" xfId="42269" xr:uid="{D2A96CC5-359C-4D91-9058-AF2E5ED7022A}"/>
    <cellStyle name="Header2 2 15 4 2 3" xfId="26342" xr:uid="{84E7A552-B44E-408F-ADF4-530D5452F2C2}"/>
    <cellStyle name="Header2 2 15 4 2 4" xfId="39418" xr:uid="{816C88CB-2F6D-498B-AF17-5AE94EB2D2CB}"/>
    <cellStyle name="Header2 2 15 4 3" xfId="15637" xr:uid="{C465C470-ECC8-4B75-A93A-0ACB6A687378}"/>
    <cellStyle name="Header2 2 15 4 3 2" xfId="31757" xr:uid="{857403E5-E2C6-4DA9-8B4B-3B9DB496DFD5}"/>
    <cellStyle name="Header2 2 15 4 3 3" xfId="45261" xr:uid="{45A61D0A-BDA5-4637-B871-4FC1A953069C}"/>
    <cellStyle name="Header2 2 15 4 4" xfId="23314" xr:uid="{F6926E7F-DDD4-4966-8FCD-AC3B9350E2AD}"/>
    <cellStyle name="Header2 2 15 4 5" xfId="36395" xr:uid="{FF36077D-93C2-4E10-B25A-AA747E1221A8}"/>
    <cellStyle name="Header2 2 15 5" xfId="11256" xr:uid="{17060F61-BDC3-46C4-A1A0-0865A327663A}"/>
    <cellStyle name="Header2 2 15 5 2" xfId="28044" xr:uid="{F4EC92EB-6D85-4DDF-9540-16087E743F10}"/>
    <cellStyle name="Header2 2 15 5 3" xfId="41226" xr:uid="{060F7006-79D5-456F-9700-46033E71A836}"/>
    <cellStyle name="Header2 2 15 6" xfId="21576" xr:uid="{7F2ED103-1DDC-43D6-BDA1-B4B5D534495F}"/>
    <cellStyle name="Header2 2 15 7" xfId="34630" xr:uid="{CA62D12A-68B2-4E0B-B336-0F590DBDEEB7}"/>
    <cellStyle name="Header2 2 16" xfId="3919" xr:uid="{466C21A2-301C-4D23-8A06-0814018DE248}"/>
    <cellStyle name="Header2 2 16 2" xfId="3186" xr:uid="{214D2685-0710-4F8B-95C8-983AEB92A8FE}"/>
    <cellStyle name="Header2 2 16 2 2" xfId="8478" xr:uid="{B1FA7850-94B7-408A-B7B8-88AD1345D3B4}"/>
    <cellStyle name="Header2 2 16 2 2 2" xfId="10953" xr:uid="{94C5A479-5ACE-46C8-B4D4-4F8B1BA3DD9E}"/>
    <cellStyle name="Header2 2 16 2 2 2 2" xfId="27767" xr:uid="{620BBA48-84E5-4FAD-886D-D05436B99B89}"/>
    <cellStyle name="Header2 2 16 2 2 2 3" xfId="40933" xr:uid="{DE1E54FB-D37F-4072-9B15-CBB333B2A554}"/>
    <cellStyle name="Header2 2 16 2 2 3" xfId="25978" xr:uid="{ED9CA53D-D259-493B-A593-87375DBA168C}"/>
    <cellStyle name="Header2 2 16 2 2 4" xfId="39054" xr:uid="{F96F372A-B73D-4D4F-ABBB-9231D4E5D29D}"/>
    <cellStyle name="Header2 2 16 2 3" xfId="6845" xr:uid="{ABAB1530-3E8D-48D0-A37B-79C5DA12563A}"/>
    <cellStyle name="Header2 2 16 2 3 2" xfId="13247" xr:uid="{4277BE16-EEFA-4B0E-891A-2226ACBACFAC}"/>
    <cellStyle name="Header2 2 16 2 3 2 2" xfId="29741" xr:uid="{5FBE0E07-8ADE-460B-9E4A-EE2322629524}"/>
    <cellStyle name="Header2 2 16 2 3 2 3" xfId="43065" xr:uid="{4CAA6324-7A68-4316-B649-B0BF5A767D4C}"/>
    <cellStyle name="Header2 2 16 2 3 3" xfId="24469" xr:uid="{3365802C-2910-48E7-A141-36E1E78C284A}"/>
    <cellStyle name="Header2 2 16 2 3 4" xfId="37550" xr:uid="{59106CCB-D5FB-45A8-8D40-5EC69B67D31D}"/>
    <cellStyle name="Header2 2 16 2 4" xfId="13421" xr:uid="{134C9B1D-D356-4227-88EF-49BC784D2966}"/>
    <cellStyle name="Header2 2 16 2 4 2" xfId="29888" xr:uid="{2C9AEC78-4A91-4C84-83A9-D9A9613B769A}"/>
    <cellStyle name="Header2 2 16 2 4 3" xfId="43225" xr:uid="{9E7E862B-1B77-4E50-A3BA-6126DDEAA951}"/>
    <cellStyle name="Header2 2 16 2 5" xfId="21221" xr:uid="{5C03AB18-B640-4D9E-A70F-058F162874AB}"/>
    <cellStyle name="Header2 2 16 2 6" xfId="34244" xr:uid="{22937628-C978-4200-A987-9CAC4ED77199}"/>
    <cellStyle name="Header2 2 16 3" xfId="4850" xr:uid="{5E2F8E35-0C36-41AC-A226-C39A495B0A4E}"/>
    <cellStyle name="Header2 2 16 3 2" xfId="7499" xr:uid="{EDD3B8D0-3937-40D7-B5B9-66A80B3439C7}"/>
    <cellStyle name="Header2 2 16 3 2 2" xfId="16691" xr:uid="{1AA4C67E-B796-4B76-B2FD-F6AA5953A7A8}"/>
    <cellStyle name="Header2 2 16 3 2 2 2" xfId="32578" xr:uid="{EFF236A4-512A-444E-95C8-4B4897EB7D22}"/>
    <cellStyle name="Header2 2 16 3 2 2 3" xfId="46236" xr:uid="{FAC31306-171C-4E3C-B412-89E88083A12F}"/>
    <cellStyle name="Header2 2 16 3 2 3" xfId="25049" xr:uid="{610A9FBD-63C3-4586-803E-416A66E88088}"/>
    <cellStyle name="Header2 2 16 3 2 4" xfId="38125" xr:uid="{73D25DEE-FEA2-4102-B2CC-8B7C5CEF2865}"/>
    <cellStyle name="Header2 2 16 3 3" xfId="16455" xr:uid="{88B73016-79DF-4C08-828F-B760DB75D0CC}"/>
    <cellStyle name="Header2 2 16 3 3 2" xfId="32463" xr:uid="{44B6E653-9939-48D0-8E30-AD291CCA72ED}"/>
    <cellStyle name="Header2 2 16 3 3 3" xfId="46003" xr:uid="{D3B20C69-4E37-42EA-B517-3D127CE153C6}"/>
    <cellStyle name="Header2 2 16 3 4" xfId="22650" xr:uid="{E530A705-5AE2-49CF-82FA-80367C8746A2}"/>
    <cellStyle name="Header2 2 16 3 5" xfId="35703" xr:uid="{5C81E50D-76E9-4993-A778-13766801C828}"/>
    <cellStyle name="Header2 2 16 4" xfId="5875" xr:uid="{1A398A5A-06ED-411A-B639-7FFCC5951973}"/>
    <cellStyle name="Header2 2 16 4 2" xfId="9035" xr:uid="{F786C3F1-F2B0-4FC3-BFF1-09C9418AD466}"/>
    <cellStyle name="Header2 2 16 4 2 2" xfId="15515" xr:uid="{89FFD7B9-6E2D-4D9B-9823-30B1F2C85B0F}"/>
    <cellStyle name="Header2 2 16 4 2 2 2" xfId="31652" xr:uid="{11DE0F69-DBA2-4ED9-897D-55A6D0B12958}"/>
    <cellStyle name="Header2 2 16 4 2 2 3" xfId="45150" xr:uid="{5CAD1714-E219-4924-86A9-54DB6EE6ED16}"/>
    <cellStyle name="Header2 2 16 4 2 3" xfId="26518" xr:uid="{E1AD82F5-03E3-46BF-966A-400A7ED67FCD}"/>
    <cellStyle name="Header2 2 16 4 2 4" xfId="39594" xr:uid="{B380E8C4-57C7-42C2-980E-34F891F42CB3}"/>
    <cellStyle name="Header2 2 16 4 3" xfId="15701" xr:uid="{40FC5027-1568-4132-A4C4-EC53E8D562B7}"/>
    <cellStyle name="Header2 2 16 4 3 2" xfId="31813" xr:uid="{A8D71C6A-1821-4DFF-AA99-AF42D65836FE}"/>
    <cellStyle name="Header2 2 16 4 3 3" xfId="45321" xr:uid="{8828933F-40E6-4948-8D1C-C26944CB9AB1}"/>
    <cellStyle name="Header2 2 16 4 4" xfId="23522" xr:uid="{536F8809-E4E3-4903-99E6-F7CB0BD36C98}"/>
    <cellStyle name="Header2 2 16 4 5" xfId="36603" xr:uid="{D0024A13-EC30-4BA9-B049-B9DEF9FB664C}"/>
    <cellStyle name="Header2 2 16 5" xfId="12746" xr:uid="{94D46196-1B8B-442B-83CE-EB471C79BBE8}"/>
    <cellStyle name="Header2 2 16 5 2" xfId="29324" xr:uid="{51BAF721-2F2C-4C12-9F70-B12FAD49B43C}"/>
    <cellStyle name="Header2 2 16 5 3" xfId="42603" xr:uid="{564055E2-F57D-4DA0-96D1-075EDE12BE89}"/>
    <cellStyle name="Header2 2 16 6" xfId="21788" xr:uid="{B1124935-ADA0-45F4-935B-01891A7CA5C8}"/>
    <cellStyle name="Header2 2 16 7" xfId="34838" xr:uid="{0F2D72DA-B7BE-4E75-971F-6AF266AC30D6}"/>
    <cellStyle name="Header2 2 17" xfId="3943" xr:uid="{8D09F94A-EFDA-4BE2-B3CF-191D7CABBF7E}"/>
    <cellStyle name="Header2 2 17 2" xfId="3199" xr:uid="{D8470D08-BF48-40EE-B0A2-0CAFDA723BAD}"/>
    <cellStyle name="Header2 2 17 2 2" xfId="8491" xr:uid="{D7CB3B67-8589-4139-9628-A634519FF69C}"/>
    <cellStyle name="Header2 2 17 2 2 2" xfId="10987" xr:uid="{2372BA8F-2F9F-4E3D-98C4-23348691E9D1}"/>
    <cellStyle name="Header2 2 17 2 2 2 2" xfId="27794" xr:uid="{AE9E166F-51E7-417E-8EEB-8BDFD7DB3805}"/>
    <cellStyle name="Header2 2 17 2 2 2 3" xfId="40967" xr:uid="{8C7890DB-8C8F-47B7-A99C-0D6B578FE743}"/>
    <cellStyle name="Header2 2 17 2 2 3" xfId="25991" xr:uid="{E215DF16-91E1-4427-8436-B32BB650CA53}"/>
    <cellStyle name="Header2 2 17 2 2 4" xfId="39067" xr:uid="{3CF6A266-B770-4A00-A6D7-464FCE161463}"/>
    <cellStyle name="Header2 2 17 2 3" xfId="6858" xr:uid="{5F07FA23-D28B-4C1D-A3BC-A1E2F502C6D7}"/>
    <cellStyle name="Header2 2 17 2 3 2" xfId="17078" xr:uid="{406CA41C-A123-4BFB-B040-5AF1763A4024}"/>
    <cellStyle name="Header2 2 17 2 3 2 2" xfId="32848" xr:uid="{9810A9C5-EBD2-4D74-B421-12DCC84EABD8}"/>
    <cellStyle name="Header2 2 17 2 3 2 3" xfId="46618" xr:uid="{944DE472-9A78-44A0-B092-BDC209D08726}"/>
    <cellStyle name="Header2 2 17 2 3 3" xfId="24482" xr:uid="{C816C13A-4BCE-4804-B6D6-404686E13D68}"/>
    <cellStyle name="Header2 2 17 2 3 4" xfId="37563" xr:uid="{FDB34C8C-8831-4ADE-8E9B-66B2EA696982}"/>
    <cellStyle name="Header2 2 17 2 4" xfId="11701" xr:uid="{84983326-131C-4974-8FD0-DE7FBE152FD3}"/>
    <cellStyle name="Header2 2 17 2 4 2" xfId="28433" xr:uid="{754102CF-E130-47FE-AA8D-888A7C62D7BA}"/>
    <cellStyle name="Header2 2 17 2 4 3" xfId="41643" xr:uid="{B8234D2E-F8F4-4E1B-8EE8-CBB83B594A01}"/>
    <cellStyle name="Header2 2 17 2 5" xfId="21234" xr:uid="{5967DF6D-2500-4AC6-B20E-DAA8980C34EE}"/>
    <cellStyle name="Header2 2 17 2 6" xfId="34257" xr:uid="{AB7CCD5B-7EBE-413E-8064-6836B595202D}"/>
    <cellStyle name="Header2 2 17 3" xfId="4859" xr:uid="{1693399F-B624-4770-B678-F647E334DF66}"/>
    <cellStyle name="Header2 2 17 3 2" xfId="7523" xr:uid="{65173DBE-F31D-4F16-8041-A16BBDCF688B}"/>
    <cellStyle name="Header2 2 17 3 2 2" xfId="10919" xr:uid="{0B029B42-7FDA-43DD-9B2E-0EBB31AE10F5}"/>
    <cellStyle name="Header2 2 17 3 2 2 2" xfId="27737" xr:uid="{D4D6C26F-6DFB-4EB3-93DC-E4687E4D3980}"/>
    <cellStyle name="Header2 2 17 3 2 2 3" xfId="40899" xr:uid="{D961CC37-3AA9-40E5-96D8-662255D6CF28}"/>
    <cellStyle name="Header2 2 17 3 2 3" xfId="25058" xr:uid="{7A976879-CC7A-4BA0-AB51-BED1BB80A07D}"/>
    <cellStyle name="Header2 2 17 3 2 4" xfId="38134" xr:uid="{05DE014B-CCC4-4DDB-A4B0-9969C37A2A59}"/>
    <cellStyle name="Header2 2 17 3 3" xfId="17275" xr:uid="{EA0A3847-8919-4354-BC6D-ED7DFFBD1025}"/>
    <cellStyle name="Header2 2 17 3 3 2" xfId="33034" xr:uid="{4BCBFDCA-D09D-4F24-8CD7-F10E57275DDA}"/>
    <cellStyle name="Header2 2 17 3 3 3" xfId="46809" xr:uid="{985FFFD7-432E-41BA-81D6-FCB2924E70C5}"/>
    <cellStyle name="Header2 2 17 3 4" xfId="22659" xr:uid="{22854799-484A-4DA4-84A2-ABE8F089D580}"/>
    <cellStyle name="Header2 2 17 3 5" xfId="35712" xr:uid="{3E47C228-3D85-4CDA-9FB0-95CCFFF491AD}"/>
    <cellStyle name="Header2 2 17 4" xfId="5884" xr:uid="{6921134B-673B-437D-BC6E-BF9192AA987E}"/>
    <cellStyle name="Header2 2 17 4 2" xfId="9044" xr:uid="{76626070-4D30-4235-B1DC-40EBB967B74C}"/>
    <cellStyle name="Header2 2 17 4 2 2" xfId="13292" xr:uid="{86812444-3C4F-4E3B-87B3-015C8872A313}"/>
    <cellStyle name="Header2 2 17 4 2 2 2" xfId="29781" xr:uid="{0AA30C6C-80F3-42CF-9D5D-7E6D5BD6D969}"/>
    <cellStyle name="Header2 2 17 4 2 2 3" xfId="43108" xr:uid="{8BBB9A68-C216-4B93-85A4-8D77FDE67F9B}"/>
    <cellStyle name="Header2 2 17 4 2 3" xfId="26527" xr:uid="{282CD13B-DBF5-4B13-915F-B99D8F6CB6B8}"/>
    <cellStyle name="Header2 2 17 4 2 4" xfId="39603" xr:uid="{CEBFF188-A132-45FF-8203-64E04B4B37F3}"/>
    <cellStyle name="Header2 2 17 4 3" xfId="16255" xr:uid="{804A14C9-89DE-4693-A2CF-F9D44722A40A}"/>
    <cellStyle name="Header2 2 17 4 3 2" xfId="32289" xr:uid="{4C9B18C4-DDCB-43FB-9F20-EA2BC34E45F5}"/>
    <cellStyle name="Header2 2 17 4 3 3" xfId="45818" xr:uid="{F18B3CCA-608C-4DFC-A8C8-BD6278579982}"/>
    <cellStyle name="Header2 2 17 4 4" xfId="23531" xr:uid="{8E4DF74A-CF41-43C6-896F-28A3259031CA}"/>
    <cellStyle name="Header2 2 17 4 5" xfId="36612" xr:uid="{DD93F43A-1BCB-452D-BAF7-ABF5DAEE5CE0}"/>
    <cellStyle name="Header2 2 17 5" xfId="15195" xr:uid="{B17C5088-3EE0-40F5-A864-769AD92835F1}"/>
    <cellStyle name="Header2 2 17 5 2" xfId="31379" xr:uid="{B4EF3EA9-C20A-4D24-BF39-C7954493F933}"/>
    <cellStyle name="Header2 2 17 5 3" xfId="44850" xr:uid="{015036FE-9D3F-41A5-A438-C31745F2A0C8}"/>
    <cellStyle name="Header2 2 17 6" xfId="21797" xr:uid="{4A41C9F7-D587-482F-BA40-4A1452462204}"/>
    <cellStyle name="Header2 2 17 7" xfId="34847" xr:uid="{01B5755C-96F4-4F3A-B946-144C6993BF69}"/>
    <cellStyle name="Header2 2 18" xfId="3909" xr:uid="{6DD3C23F-2D5C-4C1F-8165-3D9D2CB492BC}"/>
    <cellStyle name="Header2 2 18 2" xfId="3177" xr:uid="{0A242ACF-2CF4-4206-98F8-3A4A38EDA862}"/>
    <cellStyle name="Header2 2 18 2 2" xfId="8469" xr:uid="{C8A45562-C00F-4D93-B40C-F55EB2A4958F}"/>
    <cellStyle name="Header2 2 18 2 2 2" xfId="13594" xr:uid="{3A66CA63-DBE3-4AB5-9FAF-36D5230FE787}"/>
    <cellStyle name="Header2 2 18 2 2 2 2" xfId="30034" xr:uid="{F20D758F-E1CD-49B1-9E3E-9D824A9A7911}"/>
    <cellStyle name="Header2 2 18 2 2 2 3" xfId="43386" xr:uid="{7284869F-6C9E-4BF7-A0D9-D04343D53283}"/>
    <cellStyle name="Header2 2 18 2 2 3" xfId="25969" xr:uid="{343D222C-6910-42D5-999F-D1430693D113}"/>
    <cellStyle name="Header2 2 18 2 2 4" xfId="39045" xr:uid="{050416C0-9DE2-48A9-9781-2DF69EFB5CB4}"/>
    <cellStyle name="Header2 2 18 2 3" xfId="6836" xr:uid="{0B520C07-10C6-4EB5-B995-3A44AEF71480}"/>
    <cellStyle name="Header2 2 18 2 3 2" xfId="15635" xr:uid="{01848D7E-E53E-4954-8D48-D34BE99C3AB8}"/>
    <cellStyle name="Header2 2 18 2 3 2 2" xfId="31755" xr:uid="{386523F1-8CFC-4063-BF9F-666E426FC4BE}"/>
    <cellStyle name="Header2 2 18 2 3 2 3" xfId="45259" xr:uid="{AD4EF3DA-9CE7-4EE4-BB44-260EDFA8D102}"/>
    <cellStyle name="Header2 2 18 2 3 3" xfId="24460" xr:uid="{61B3FE3B-A5FE-4B43-8F67-4E5EF06F4625}"/>
    <cellStyle name="Header2 2 18 2 3 4" xfId="37541" xr:uid="{BA0855E1-EB30-4E87-B1A6-A30D60CAFDF5}"/>
    <cellStyle name="Header2 2 18 2 4" xfId="12927" xr:uid="{23DD39AF-AC30-4E32-8609-520055A6215A}"/>
    <cellStyle name="Header2 2 18 2 4 2" xfId="29471" xr:uid="{1D820C05-5ED9-4517-A94F-B1F106EF7783}"/>
    <cellStyle name="Header2 2 18 2 4 3" xfId="42767" xr:uid="{D6270571-E218-47CD-AA1D-984E7406291F}"/>
    <cellStyle name="Header2 2 18 2 5" xfId="21212" xr:uid="{4791BFAA-68F9-456B-A19A-9070C1B5496F}"/>
    <cellStyle name="Header2 2 18 2 6" xfId="34235" xr:uid="{ABF72822-D1BF-4D68-9372-8B913EA9DA1B}"/>
    <cellStyle name="Header2 2 18 3" xfId="4845" xr:uid="{F54BF3DC-8CE7-447E-9E0F-92DFC681F6FE}"/>
    <cellStyle name="Header2 2 18 3 2" xfId="7489" xr:uid="{B1B4658D-9D90-4F1D-BC75-6CA8174A384C}"/>
    <cellStyle name="Header2 2 18 3 2 2" xfId="13048" xr:uid="{C3D5E2A9-E2D6-4792-BAD2-63E07B526B7D}"/>
    <cellStyle name="Header2 2 18 3 2 2 2" xfId="29573" xr:uid="{2C902695-151A-4D3E-B677-6CCDC9C71B1A}"/>
    <cellStyle name="Header2 2 18 3 2 2 3" xfId="42878" xr:uid="{668079D5-9FC7-4C91-975F-C027102D07E0}"/>
    <cellStyle name="Header2 2 18 3 2 3" xfId="25044" xr:uid="{5F62CDF0-BD22-4D1D-BE73-EB4A409CD364}"/>
    <cellStyle name="Header2 2 18 3 2 4" xfId="38120" xr:uid="{6623D9A7-89E1-4E43-AC72-4CD8A459AE60}"/>
    <cellStyle name="Header2 2 18 3 3" xfId="15749" xr:uid="{8D7F464E-07E6-4908-85AF-46E14C0E52A8}"/>
    <cellStyle name="Header2 2 18 3 3 2" xfId="31856" xr:uid="{29196E7B-42BC-4470-9D6E-0F454944E44D}"/>
    <cellStyle name="Header2 2 18 3 3 3" xfId="45366" xr:uid="{BD006274-D5D9-47F9-B875-B372487AB56D}"/>
    <cellStyle name="Header2 2 18 3 4" xfId="22645" xr:uid="{47E88A63-C84F-4928-9F2E-5A71E3DCAE32}"/>
    <cellStyle name="Header2 2 18 3 5" xfId="35698" xr:uid="{E939F120-D733-4E16-8E23-8332A941B902}"/>
    <cellStyle name="Header2 2 18 4" xfId="5870" xr:uid="{44E19A7E-5657-4B7C-9F0A-D902C1234F3A}"/>
    <cellStyle name="Header2 2 18 4 2" xfId="9030" xr:uid="{4D649266-F036-4005-9339-D0A421F19BD6}"/>
    <cellStyle name="Header2 2 18 4 2 2" xfId="15498" xr:uid="{7CCB77F1-7B10-4193-BFE1-92F58F58AA96}"/>
    <cellStyle name="Header2 2 18 4 2 2 2" xfId="31637" xr:uid="{AE4C449C-94DB-41C2-AC04-2600119AF5C4}"/>
    <cellStyle name="Header2 2 18 4 2 2 3" xfId="45134" xr:uid="{1D89CDBA-24CE-4181-8FDC-F1DE37065883}"/>
    <cellStyle name="Header2 2 18 4 2 3" xfId="26513" xr:uid="{DC0EC0F8-6FDF-4B74-83CD-54BFC52B8A39}"/>
    <cellStyle name="Header2 2 18 4 2 4" xfId="39589" xr:uid="{A0B6B192-AD9F-4154-9343-1229D0A4056C}"/>
    <cellStyle name="Header2 2 18 4 3" xfId="11772" xr:uid="{26D5FBBC-52F7-4D43-82D1-251194E3856C}"/>
    <cellStyle name="Header2 2 18 4 3 2" xfId="28496" xr:uid="{ED5A4A89-D63F-42A6-BB6F-67172C23F8A6}"/>
    <cellStyle name="Header2 2 18 4 3 3" xfId="41707" xr:uid="{025AECD7-2DDF-4693-A017-1747645D95AB}"/>
    <cellStyle name="Header2 2 18 4 4" xfId="23517" xr:uid="{34643183-E613-448A-84B4-7FA925C621B9}"/>
    <cellStyle name="Header2 2 18 4 5" xfId="36598" xr:uid="{9522DA82-1382-49DC-9088-B0795CCC79AC}"/>
    <cellStyle name="Header2 2 18 5" xfId="16872" xr:uid="{437B9B6D-F2DB-4FC2-9894-29F063F2D598}"/>
    <cellStyle name="Header2 2 18 5 2" xfId="32749" xr:uid="{BEE7D63D-9E10-44E8-AE5F-D5FE14081BDE}"/>
    <cellStyle name="Header2 2 18 5 3" xfId="46414" xr:uid="{0BC4143F-02E1-41ED-AF89-8733E15B1705}"/>
    <cellStyle name="Header2 2 18 6" xfId="21783" xr:uid="{34465560-4D68-4847-9AF4-D251049327C5}"/>
    <cellStyle name="Header2 2 18 7" xfId="34833" xr:uid="{59B4D149-E243-4600-83E0-E3C22128A92E}"/>
    <cellStyle name="Header2 2 19" xfId="3952" xr:uid="{4F64EB94-2E70-4F23-943E-D094EF8AF3E2}"/>
    <cellStyle name="Header2 2 19 2" xfId="3204" xr:uid="{30F7AD86-736B-4992-8A22-6A6670F68653}"/>
    <cellStyle name="Header2 2 19 2 2" xfId="8495" xr:uid="{40820AEE-BB13-42A4-92D2-D54ACA7AB1B6}"/>
    <cellStyle name="Header2 2 19 2 2 2" xfId="16219" xr:uid="{16250725-BA3F-4A33-A60C-A6FBCFF0D6BF}"/>
    <cellStyle name="Header2 2 19 2 2 2 2" xfId="32257" xr:uid="{3B6BCF9E-6FD6-47F6-8E9D-062B5C1DF43B}"/>
    <cellStyle name="Header2 2 19 2 2 2 3" xfId="45785" xr:uid="{6348048B-2EAF-493B-8730-422357594760}"/>
    <cellStyle name="Header2 2 19 2 2 3" xfId="25995" xr:uid="{72BB8931-F4E4-4C87-9911-8FBA7322CFD0}"/>
    <cellStyle name="Header2 2 19 2 2 4" xfId="39071" xr:uid="{F548BEBD-B52A-494B-9B1C-B2A67F27F349}"/>
    <cellStyle name="Header2 2 19 2 3" xfId="6863" xr:uid="{9E43A5B4-4D90-4DF8-9861-071583477E08}"/>
    <cellStyle name="Header2 2 19 2 3 2" xfId="11202" xr:uid="{7B52A1B2-5E3C-4905-8136-AE46BCE9975D}"/>
    <cellStyle name="Header2 2 19 2 3 2 2" xfId="27996" xr:uid="{B1369B79-0F5C-448D-BE3D-2C5147A7BD57}"/>
    <cellStyle name="Header2 2 19 2 3 2 3" xfId="41178" xr:uid="{A350E069-8FD2-4C25-8FEA-26297C6EB8F2}"/>
    <cellStyle name="Header2 2 19 2 3 3" xfId="24487" xr:uid="{C9E5072D-0336-4743-A2B6-59A76878F206}"/>
    <cellStyle name="Header2 2 19 2 3 4" xfId="37568" xr:uid="{4AD33893-7890-4B61-B5FD-82B7816C11F2}"/>
    <cellStyle name="Header2 2 19 2 4" xfId="17555" xr:uid="{64069D2D-8B37-43AF-8745-18F9B5680647}"/>
    <cellStyle name="Header2 2 19 2 4 2" xfId="33292" xr:uid="{BCD6CA21-CD75-407B-B6E0-760E814E6DA0}"/>
    <cellStyle name="Header2 2 19 2 4 3" xfId="47080" xr:uid="{0014D52D-293D-4C43-8764-A21651BED07C}"/>
    <cellStyle name="Header2 2 19 2 5" xfId="21239" xr:uid="{8D72A92C-9CF6-4323-86A9-CF0D9511ABB4}"/>
    <cellStyle name="Header2 2 19 2 6" xfId="34262" xr:uid="{EAB21E78-4329-47C0-B579-BD4D9A02DEDE}"/>
    <cellStyle name="Header2 2 19 3" xfId="4864" xr:uid="{2295F4A5-CF08-410D-95A2-618E9095EE75}"/>
    <cellStyle name="Header2 2 19 3 2" xfId="7532" xr:uid="{197DABDB-F9D3-432D-916E-E5B19AD6E1CE}"/>
    <cellStyle name="Header2 2 19 3 2 2" xfId="16788" xr:uid="{6A751277-F19E-4CD0-9B0A-90B65AA998B5}"/>
    <cellStyle name="Header2 2 19 3 2 2 2" xfId="32669" xr:uid="{4FCB7E40-474B-4C49-B9E1-1C82D5141A48}"/>
    <cellStyle name="Header2 2 19 3 2 2 3" xfId="46331" xr:uid="{22146A76-6EB2-43D6-BB7F-FA90369D6467}"/>
    <cellStyle name="Header2 2 19 3 2 3" xfId="25063" xr:uid="{AFDC1BE3-13D3-4D7F-B02F-2A607EAF9B55}"/>
    <cellStyle name="Header2 2 19 3 2 4" xfId="38139" xr:uid="{2CCFDD28-9B24-4688-8403-B975E93A9B28}"/>
    <cellStyle name="Header2 2 19 3 3" xfId="11604" xr:uid="{25A6DE22-2FA8-483B-8900-A259CCF6D7B3}"/>
    <cellStyle name="Header2 2 19 3 3 2" xfId="28353" xr:uid="{4BDF2D1C-C4D7-4DDC-88FB-D12726CD6660}"/>
    <cellStyle name="Header2 2 19 3 3 3" xfId="41554" xr:uid="{61428F8B-EB94-4318-921A-B9534A602340}"/>
    <cellStyle name="Header2 2 19 3 4" xfId="22664" xr:uid="{799E83F1-AC40-4F35-ADAF-C1439005DD40}"/>
    <cellStyle name="Header2 2 19 3 5" xfId="35717" xr:uid="{B1BE5D55-935D-4251-BFA8-8F39F850ADBC}"/>
    <cellStyle name="Header2 2 19 4" xfId="5889" xr:uid="{A06F58DC-DC3A-4F30-84B2-EDEDC0533AA0}"/>
    <cellStyle name="Header2 2 19 4 2" xfId="9049" xr:uid="{DE2C1385-9DA2-4548-8650-E8DAD8EDECE1}"/>
    <cellStyle name="Header2 2 19 4 2 2" xfId="12821" xr:uid="{1DA2D01F-DCB9-4623-9914-5E2CA1368CD3}"/>
    <cellStyle name="Header2 2 19 4 2 2 2" xfId="29393" xr:uid="{E5D8D7EA-12D7-4DF2-9A32-A7557E191FEA}"/>
    <cellStyle name="Header2 2 19 4 2 2 3" xfId="42675" xr:uid="{9885011F-0724-4429-B0A8-E04C46D62A83}"/>
    <cellStyle name="Header2 2 19 4 2 3" xfId="26532" xr:uid="{83BBDA24-3DFE-4600-89FC-274C5CC6B379}"/>
    <cellStyle name="Header2 2 19 4 2 4" xfId="39608" xr:uid="{A5F742E5-7412-4D45-9738-19B0E03B651C}"/>
    <cellStyle name="Header2 2 19 4 3" xfId="13207" xr:uid="{44BCE319-A38D-4AFA-A06F-7CC0156B157A}"/>
    <cellStyle name="Header2 2 19 4 3 2" xfId="29708" xr:uid="{D97A7E6D-18AD-4609-9207-7F75BE11E4C9}"/>
    <cellStyle name="Header2 2 19 4 3 3" xfId="43027" xr:uid="{586BE065-5B18-449D-94FB-7DBEE0522EFC}"/>
    <cellStyle name="Header2 2 19 4 4" xfId="23536" xr:uid="{970606FD-FD5F-4B71-A7EB-B4831757DAB4}"/>
    <cellStyle name="Header2 2 19 4 5" xfId="36617" xr:uid="{28AC66BE-DB49-4FD8-B5EC-1B7347560E61}"/>
    <cellStyle name="Header2 2 19 5" xfId="11501" xr:uid="{3AE53029-1475-43F8-91F1-0AEA135F277D}"/>
    <cellStyle name="Header2 2 19 5 2" xfId="28261" xr:uid="{59C893FC-F79F-4E34-9C85-E720B4AC125B}"/>
    <cellStyle name="Header2 2 19 5 3" xfId="41457" xr:uid="{DC89CC03-2EBF-41DA-8C13-BC88852EB2FD}"/>
    <cellStyle name="Header2 2 19 6" xfId="21802" xr:uid="{75FD57F8-8565-470C-A465-3992E4A6CECB}"/>
    <cellStyle name="Header2 2 19 7" xfId="34852" xr:uid="{0C792FB6-54FA-45C3-9527-168F6B59E460}"/>
    <cellStyle name="Header2 2 2" xfId="3407" xr:uid="{5BA1F39F-C94F-4D43-B113-A4A921FD7CDF}"/>
    <cellStyle name="Header2 2 2 10" xfId="20483" xr:uid="{9B25F39F-01CC-4394-A2F7-ACEF98519A2A}"/>
    <cellStyle name="Header2 2 2 11" xfId="34429" xr:uid="{361BC463-3D75-464F-A4C6-D9A00A455030}"/>
    <cellStyle name="Header2 2 2 2" xfId="2752" xr:uid="{07BB5F3F-7669-4010-A2A5-4707CDAD1F6F}"/>
    <cellStyle name="Header2 2 2 2 2" xfId="5095" xr:uid="{49D12FA9-20E4-45E6-906D-206B664EC56A}"/>
    <cellStyle name="Header2 2 2 2 2 2" xfId="8048" xr:uid="{B1B72CAA-35DA-40B5-BE66-23124A7E9872}"/>
    <cellStyle name="Header2 2 2 2 2 2 2" xfId="17158" xr:uid="{807A85F5-9647-416B-8B0E-3E6F2277929B}"/>
    <cellStyle name="Header2 2 2 2 2 2 2 2" xfId="32921" xr:uid="{0F3DB1B2-3D85-40AB-B6F4-F4744F8E911B}"/>
    <cellStyle name="Header2 2 2 2 2 2 2 3" xfId="46693" xr:uid="{C620FA4A-8CF4-4925-BACE-CEC36E397433}"/>
    <cellStyle name="Header2 2 2 2 2 2 3" xfId="25561" xr:uid="{EFDBD412-319C-4B16-BA22-7E74A6E4A62B}"/>
    <cellStyle name="Header2 2 2 2 2 2 4" xfId="38637" xr:uid="{4880F7B9-93FD-46DE-AF35-045E8D76B618}"/>
    <cellStyle name="Header2 2 2 2 2 3" xfId="13255" xr:uid="{7CE21CE8-C720-4511-9F33-65098E4D0983}"/>
    <cellStyle name="Header2 2 2 2 2 3 2" xfId="29748" xr:uid="{AA618C7D-6EA9-4577-BED7-C19EC1C13911}"/>
    <cellStyle name="Header2 2 2 2 2 3 3" xfId="43073" xr:uid="{9FD45D11-FBC8-4F01-8100-7DA3F724ED16}"/>
    <cellStyle name="Header2 2 2 2 2 4" xfId="22820" xr:uid="{8EC3C177-6ED3-4D7A-BAB7-C79D1F495043}"/>
    <cellStyle name="Header2 2 2 2 2 5" xfId="35890" xr:uid="{5E498853-189E-4D2C-9867-69FF94FD2991}"/>
    <cellStyle name="Header2 2 2 2 3" xfId="6415" xr:uid="{4C29D9CD-7532-4388-9AA1-AF18217626B2}"/>
    <cellStyle name="Header2 2 2 2 3 2" xfId="12756" xr:uid="{E700090B-1ACA-4645-A22C-294ABD1EB9DE}"/>
    <cellStyle name="Header2 2 2 2 3 2 2" xfId="29333" xr:uid="{2DC9E256-E869-4FFC-9E5F-0768BC976C9C}"/>
    <cellStyle name="Header2 2 2 2 3 2 3" xfId="42613" xr:uid="{28309A67-3BA7-409C-81F7-5C79EE97C7E6}"/>
    <cellStyle name="Header2 2 2 2 3 3" xfId="24052" xr:uid="{8090A817-AA1B-4B3C-A2A1-95C17CEFF68F}"/>
    <cellStyle name="Header2 2 2 2 3 4" xfId="37133" xr:uid="{B1F4563C-CF13-442D-A235-38E418EBE940}"/>
    <cellStyle name="Header2 2 2 2 4" xfId="12338" xr:uid="{D39507F7-8D43-4134-98D0-EC029B3C832C}"/>
    <cellStyle name="Header2 2 2 2 4 2" xfId="29006" xr:uid="{7B034703-4728-4621-9B7A-5A1453B56D06}"/>
    <cellStyle name="Header2 2 2 2 4 3" xfId="42246" xr:uid="{2BE9029A-287F-4A4C-AC59-38EEE6827B8D}"/>
    <cellStyle name="Header2 2 2 2 5" xfId="20804" xr:uid="{C3919A37-A59D-4418-9CD9-DBA54E03B59D}"/>
    <cellStyle name="Header2 2 2 2 6" xfId="33827" xr:uid="{2BFA7BBB-1BD9-484C-9E16-660C1E8EDFC2}"/>
    <cellStyle name="Header2 2 2 3" xfId="4048" xr:uid="{191C3A46-3702-46DD-95AD-94972D293FDF}"/>
    <cellStyle name="Header2 2 2 3 2" xfId="5191" xr:uid="{2830CA37-AA3B-4425-8A37-5416FE2D0CAC}"/>
    <cellStyle name="Header2 2 2 3 2 2" xfId="9101" xr:uid="{892D78A4-330B-4007-87BA-B3C8B6840EF2}"/>
    <cellStyle name="Header2 2 2 3 2 2 2" xfId="15320" xr:uid="{932C2696-7EB6-42AE-A955-40D68C1B0992}"/>
    <cellStyle name="Header2 2 2 3 2 2 2 2" xfId="31481" xr:uid="{94C9AE31-0971-4CF4-B52B-CD1025895F37}"/>
    <cellStyle name="Header2 2 2 3 2 2 2 3" xfId="44966" xr:uid="{A46D6844-9D3E-4619-A369-F5025EF99DF1}"/>
    <cellStyle name="Header2 2 2 3 2 2 3" xfId="26582" xr:uid="{EEF01CCC-097A-408B-A780-15F662AA1D62}"/>
    <cellStyle name="Header2 2 2 3 2 2 4" xfId="39658" xr:uid="{ED9AA2B5-D346-4D79-A975-800A38BAF6EB}"/>
    <cellStyle name="Header2 2 2 3 2 3" xfId="14750" xr:uid="{44AA78D3-CC32-47C1-BD23-50218F1DFAC8}"/>
    <cellStyle name="Header2 2 2 3 2 3 2" xfId="31027" xr:uid="{E157B8A0-3E3A-40B2-B9A7-830715CE90F3}"/>
    <cellStyle name="Header2 2 2 3 2 3 3" xfId="44454" xr:uid="{9653CBA4-7621-481F-8CC0-F09CF576264E}"/>
    <cellStyle name="Header2 2 2 3 2 4" xfId="22867" xr:uid="{0EAEE441-6961-4ABB-98CE-5732E2ED60A8}"/>
    <cellStyle name="Header2 2 2 3 2 5" xfId="35936" xr:uid="{0D5DEB25-33E4-4156-BB04-0173EC0632D8}"/>
    <cellStyle name="Header2 2 2 3 3" xfId="7613" xr:uid="{CCF8D967-4202-4C37-BA47-936274C5B843}"/>
    <cellStyle name="Header2 2 2 3 3 2" xfId="14816" xr:uid="{3E714DEB-AF9B-4D62-923A-AB6886F703CB}"/>
    <cellStyle name="Header2 2 2 3 3 2 2" xfId="31078" xr:uid="{28981958-9726-454D-90D9-D87D5EBC4BB6}"/>
    <cellStyle name="Header2 2 2 3 3 2 3" xfId="44513" xr:uid="{BC52652B-DE34-48B8-9CA9-22CCD36A1DD6}"/>
    <cellStyle name="Header2 2 2 3 3 3" xfId="25141" xr:uid="{91950025-1624-4D21-B019-82996B720245}"/>
    <cellStyle name="Header2 2 2 3 3 4" xfId="38217" xr:uid="{F82A1C5F-1E6D-45C9-A868-A83942930B48}"/>
    <cellStyle name="Header2 2 2 3 4" xfId="11553" xr:uid="{B2DDCE02-42C3-4E0E-A71F-5DCCF4722033}"/>
    <cellStyle name="Header2 2 2 3 4 2" xfId="28310" xr:uid="{F122746F-A069-42AE-A76E-0DFF69F5AC11}"/>
    <cellStyle name="Header2 2 2 3 4 3" xfId="41508" xr:uid="{BFCA8B40-5B23-4A33-902E-32272BD7CDE2}"/>
    <cellStyle name="Header2 2 2 3 5" xfId="21882" xr:uid="{88F91D6D-730D-4252-8C38-6F4C0C2D25E9}"/>
    <cellStyle name="Header2 2 2 3 6" xfId="34931" xr:uid="{06F3ADB6-8F68-4A78-B635-99DD06B2B242}"/>
    <cellStyle name="Header2 2 2 4" xfId="2603" xr:uid="{5E1A4A78-B227-4EDD-9CA5-0D4E08B7A3BE}"/>
    <cellStyle name="Header2 2 2 4 2" xfId="5004" xr:uid="{3A8732A0-930E-489F-8F93-94EF56B621CC}"/>
    <cellStyle name="Header2 2 2 4 2 2" xfId="7900" xr:uid="{CEC629C3-15EF-40DF-8227-636AD0585143}"/>
    <cellStyle name="Header2 2 2 4 2 2 2" xfId="13714" xr:uid="{00EA34E8-AAF8-43F5-B582-0F3B309DB325}"/>
    <cellStyle name="Header2 2 2 4 2 2 2 2" xfId="30132" xr:uid="{FA005849-7CCC-489B-A000-293086929004}"/>
    <cellStyle name="Header2 2 2 4 2 2 2 3" xfId="43493" xr:uid="{58C5A184-D384-4ECD-A91D-C9D625CA2286}"/>
    <cellStyle name="Header2 2 2 4 2 2 3" xfId="25417" xr:uid="{D94F9D61-9C2E-4B15-A8A9-2E779E8A7BF3}"/>
    <cellStyle name="Header2 2 2 4 2 2 4" xfId="38493" xr:uid="{3537C854-5405-4BCF-B154-9E97CA0DD460}"/>
    <cellStyle name="Header2 2 2 4 2 3" xfId="12717" xr:uid="{9FBB4774-239F-4B2A-B234-6317B2938B75}"/>
    <cellStyle name="Header2 2 2 4 2 3 2" xfId="29300" xr:uid="{CA04FD27-B9B8-45D5-9F0C-5DF7F72D9249}"/>
    <cellStyle name="Header2 2 2 4 2 3 3" xfId="42577" xr:uid="{CAC86B03-AED7-4BAB-BEC1-3F5F35899908}"/>
    <cellStyle name="Header2 2 2 4 2 4" xfId="22769" xr:uid="{6E6AF0F5-66B0-4DB0-95CC-1CB66E19C8C0}"/>
    <cellStyle name="Header2 2 2 4 2 5" xfId="35828" xr:uid="{5D766644-8CC6-47B3-B50C-D1A0633E35F4}"/>
    <cellStyle name="Header2 2 2 4 3" xfId="6267" xr:uid="{FCF0F28D-58C3-429C-B728-A5C08CF678F6}"/>
    <cellStyle name="Header2 2 2 4 3 2" xfId="17351" xr:uid="{AC6C2353-5ABC-47EF-9074-96BFE2DAF59B}"/>
    <cellStyle name="Header2 2 2 4 3 2 2" xfId="33105" xr:uid="{FB05000E-1B9C-4B86-8E56-1179A0997EF9}"/>
    <cellStyle name="Header2 2 2 4 3 2 3" xfId="46881" xr:uid="{AB9B001F-BB3E-49A1-A4C5-8345E2931F54}"/>
    <cellStyle name="Header2 2 2 4 3 3" xfId="23908" xr:uid="{7A2CA19F-B1B2-4751-8EBB-BA60F5B16F02}"/>
    <cellStyle name="Header2 2 2 4 3 4" xfId="36989" xr:uid="{B0DEACC8-07B6-4DF1-8207-AD39FBB7CD09}"/>
    <cellStyle name="Header2 2 2 4 4" xfId="14323" xr:uid="{FBDC4EBF-71FC-4809-84FD-08D88377996E}"/>
    <cellStyle name="Header2 2 2 4 4 2" xfId="30659" xr:uid="{32BF1833-1621-4254-974E-0B0678B5F412}"/>
    <cellStyle name="Header2 2 2 4 4 3" xfId="44053" xr:uid="{D7CC918D-3C5F-47B7-8157-B0CA9EF12C85}"/>
    <cellStyle name="Header2 2 2 4 5" xfId="20660" xr:uid="{AE340D01-3E93-4407-99C6-7DABCBF69B6D}"/>
    <cellStyle name="Header2 2 2 4 6" xfId="33683" xr:uid="{145E4F82-3E08-4949-9694-E90C2F062052}"/>
    <cellStyle name="Header2 2 2 5" xfId="4270" xr:uid="{DCEEC23A-985C-4189-ABF0-E8F02AFB3A3D}"/>
    <cellStyle name="Header2 2 2 5 2" xfId="4981" xr:uid="{189CB3D5-B8EE-4235-BE3A-0BE08D43C46A}"/>
    <cellStyle name="Header2 2 2 5 2 2" xfId="9322" xr:uid="{B772463E-EE5D-43D5-A5DD-302A078B7046}"/>
    <cellStyle name="Header2 2 2 5 2 2 2" xfId="14179" xr:uid="{CD6FD977-09C6-47D4-8CA4-840FF380EBC8}"/>
    <cellStyle name="Header2 2 2 5 2 2 2 2" xfId="30532" xr:uid="{8E15B44F-66F9-4961-8C72-0AD355642F4C}"/>
    <cellStyle name="Header2 2 2 5 2 2 2 3" xfId="43918" xr:uid="{E836F32A-B874-4100-AFFF-885DF540E0CC}"/>
    <cellStyle name="Header2 2 2 5 2 2 3" xfId="26795" xr:uid="{649F288B-10D9-4B8D-A4D8-D39E9A091458}"/>
    <cellStyle name="Header2 2 2 5 2 2 4" xfId="39871" xr:uid="{26A0A697-22B2-47F6-AFEE-536B02465C44}"/>
    <cellStyle name="Header2 2 2 5 2 3" xfId="16345" xr:uid="{13DC46F9-B178-4B8F-8028-1E30E0687CEC}"/>
    <cellStyle name="Header2 2 2 5 2 3 2" xfId="32368" xr:uid="{2B3FDDE9-303F-4603-AD5B-6157ADF27DB4}"/>
    <cellStyle name="Header2 2 2 5 2 3 3" xfId="45900" xr:uid="{EA70B961-6FBA-42D0-A5C6-B363EBA34C9F}"/>
    <cellStyle name="Header2 2 2 5 2 4" xfId="22753" xr:uid="{B7DF4FA5-3D91-42BC-BE15-3BFBDFE7DD2B}"/>
    <cellStyle name="Header2 2 2 5 2 5" xfId="35810" xr:uid="{DEF49E16-BBFE-4301-949B-4EFBC01C48B9}"/>
    <cellStyle name="Header2 2 2 5 3" xfId="7834" xr:uid="{A01BEA84-E22C-431C-8B23-61931CDCCE03}"/>
    <cellStyle name="Header2 2 2 5 3 2" xfId="17498" xr:uid="{A99FCBB6-176B-4833-B7C1-6CEFF343D42C}"/>
    <cellStyle name="Header2 2 2 5 3 2 2" xfId="33241" xr:uid="{E883B97A-3856-4E54-BA59-48A1BE1352F9}"/>
    <cellStyle name="Header2 2 2 5 3 2 3" xfId="47027" xr:uid="{F8D0DDAF-5349-43BD-8EF7-73AF4119E904}"/>
    <cellStyle name="Header2 2 2 5 3 3" xfId="25354" xr:uid="{2B8665E1-FE05-4A91-A409-0458FC04B4A9}"/>
    <cellStyle name="Header2 2 2 5 3 4" xfId="38430" xr:uid="{171C80E1-1D6C-4490-AE31-D5E54C233196}"/>
    <cellStyle name="Header2 2 2 5 4" xfId="10891" xr:uid="{346A2851-F390-46C4-A7DD-ECDD93DBEFCC}"/>
    <cellStyle name="Header2 2 2 5 4 2" xfId="27713" xr:uid="{42DC874A-02EC-4AD7-957A-AC6CABB9D82D}"/>
    <cellStyle name="Header2 2 2 5 4 3" xfId="40871" xr:uid="{D190A7BA-8980-4863-9CCF-038BE85F4EF2}"/>
    <cellStyle name="Header2 2 2 5 5" xfId="22095" xr:uid="{C3E5E9C4-15F1-4C42-AC07-7C4E5D22B55D}"/>
    <cellStyle name="Header2 2 2 5 6" xfId="35144" xr:uid="{4CD2C2B2-4546-441D-9CC3-6103B3B6FB50}"/>
    <cellStyle name="Header2 2 2 6" xfId="4414" xr:uid="{DF17935A-70FC-4265-AB3E-BB17715A1CFB}"/>
    <cellStyle name="Header2 2 2 6 2" xfId="7049" xr:uid="{E4B8E556-AA8A-4103-BEE0-6CB35B78C89D}"/>
    <cellStyle name="Header2 2 2 6 2 2" xfId="12808" xr:uid="{B95B01CB-1062-4250-839B-4B02E466FC17}"/>
    <cellStyle name="Header2 2 2 6 2 2 2" xfId="29382" xr:uid="{92EC6620-0051-4799-BE67-EAF12EC59745}"/>
    <cellStyle name="Header2 2 2 6 2 2 3" xfId="42663" xr:uid="{74D75DF4-48BA-4CB7-AB02-B62190C3CE0D}"/>
    <cellStyle name="Header2 2 2 6 2 3" xfId="24654" xr:uid="{F692923D-3C8C-4F6B-BE58-A4478DCCBB0F}"/>
    <cellStyle name="Header2 2 2 6 2 4" xfId="37735" xr:uid="{A09489C8-3F95-4E75-92A6-AC304E93212E}"/>
    <cellStyle name="Header2 2 2 6 3" xfId="14724" xr:uid="{53B6635D-2B15-4C15-B7D8-3F73623FF74B}"/>
    <cellStyle name="Header2 2 2 6 3 2" xfId="31008" xr:uid="{1E414AF1-705A-4159-8C59-A43AE2C63F54}"/>
    <cellStyle name="Header2 2 2 6 3 3" xfId="44433" xr:uid="{CD29338F-DEDD-4C6C-856E-1C17359221A1}"/>
    <cellStyle name="Header2 2 2 6 4" xfId="22233" xr:uid="{1F3720E3-A0A3-4F41-A5AC-E1D7405132E8}"/>
    <cellStyle name="Header2 2 2 6 5" xfId="35282" xr:uid="{B583A9AB-6170-4BF9-93AA-C27EA4F109DE}"/>
    <cellStyle name="Header2 2 2 7" xfId="5468" xr:uid="{898EE4DF-47B6-4306-A0BE-A9C28CECEE32}"/>
    <cellStyle name="Header2 2 2 7 2" xfId="8648" xr:uid="{A811E665-6EF7-49D5-9E88-1ACC55690446}"/>
    <cellStyle name="Header2 2 2 7 2 2" xfId="12926" xr:uid="{AA8A1272-9BF2-4432-B29E-ED7422A8044E}"/>
    <cellStyle name="Header2 2 2 7 2 2 2" xfId="29470" xr:uid="{293E3FB0-CBA5-4BF3-99AA-9DEC6E024641}"/>
    <cellStyle name="Header2 2 2 7 2 2 3" xfId="42766" xr:uid="{E0F79099-29AC-4203-BCEA-1ABC76A60CF6}"/>
    <cellStyle name="Header2 2 2 7 2 3" xfId="26143" xr:uid="{D0E088B5-7D0A-45F3-9AAF-882E0E7B8BC9}"/>
    <cellStyle name="Header2 2 2 7 2 4" xfId="39219" xr:uid="{EC6C4DAB-A6E1-430C-9EA5-11BE79E67646}"/>
    <cellStyle name="Header2 2 2 7 3" xfId="14944" xr:uid="{5BD9F18B-B479-4D7A-A220-13DC1679666F}"/>
    <cellStyle name="Header2 2 2 7 3 2" xfId="31184" xr:uid="{037042AF-1474-4BD5-AC7A-734D346D0D94}"/>
    <cellStyle name="Header2 2 2 7 3 3" xfId="44631" xr:uid="{07B8BD77-E9FF-4C49-99FE-507321FCB4E9}"/>
    <cellStyle name="Header2 2 2 7 4" xfId="23115" xr:uid="{3BD2F298-E343-4ECC-BC77-334867330C37}"/>
    <cellStyle name="Header2 2 2 7 5" xfId="36196" xr:uid="{A67B80E4-DE38-4098-B5EC-128F7CFA42FC}"/>
    <cellStyle name="Header2 2 2 8" xfId="14691" xr:uid="{50C1E612-F8FB-4CF3-9EAB-B53DB162210C}"/>
    <cellStyle name="Header2 2 2 8 2" xfId="30982" xr:uid="{5AFF508F-BA6A-4B40-A655-97B58C576931}"/>
    <cellStyle name="Header2 2 2 8 3" xfId="44404" xr:uid="{38B44C9B-3686-4169-AC74-C4C0ACCE0C1A}"/>
    <cellStyle name="Header2 2 2 9" xfId="17730" xr:uid="{24D492E4-A1B0-41FF-85BD-624DFF6DA7B4}"/>
    <cellStyle name="Header2 2 2 9 2" xfId="33452" xr:uid="{49CD15A2-F30C-4DAE-8840-66D0F9586A75}"/>
    <cellStyle name="Header2 2 2 9 3" xfId="47236" xr:uid="{3DEDABAF-E18F-43F7-A97A-BD6EA6B22B6C}"/>
    <cellStyle name="Header2 2 20" xfId="3079" xr:uid="{E28A13F4-91EA-4D16-A9EF-ECA9028CAE0D}"/>
    <cellStyle name="Header2 2 20 2" xfId="4970" xr:uid="{05702B48-912D-4467-A0B7-2169BFD4463B}"/>
    <cellStyle name="Header2 2 20 2 2" xfId="8371" xr:uid="{F38B5057-F204-46CF-8E0C-6CF6580AA826}"/>
    <cellStyle name="Header2 2 20 2 2 2" xfId="10940" xr:uid="{72A9E0BE-BE5A-48B6-B71D-5CB63EC8FAE4}"/>
    <cellStyle name="Header2 2 20 2 2 2 2" xfId="27756" xr:uid="{CE1FA327-727D-42A3-A910-BF38AC0FD4C9}"/>
    <cellStyle name="Header2 2 20 2 2 2 3" xfId="40920" xr:uid="{CBB6DB08-90CB-4945-A93B-207F9A4C3436}"/>
    <cellStyle name="Header2 2 20 2 2 3" xfId="25875" xr:uid="{BF082F01-9CF6-4A91-B463-3F5B285CFAB1}"/>
    <cellStyle name="Header2 2 20 2 2 4" xfId="38951" xr:uid="{26CBD2FF-FAD2-4E62-8012-28D0BEA96F2C}"/>
    <cellStyle name="Header2 2 20 2 3" xfId="15088" xr:uid="{7092002C-B5E9-4C14-ACAC-2BC7DE9B2F03}"/>
    <cellStyle name="Header2 2 20 2 3 2" xfId="31296" xr:uid="{D4A12D3A-576B-4629-AE7D-6749BDDE127E}"/>
    <cellStyle name="Header2 2 20 2 3 3" xfId="44755" xr:uid="{706C5A06-F7B4-4F81-9C3F-3FB2ECF01EE2}"/>
    <cellStyle name="Header2 2 20 2 4" xfId="22747" xr:uid="{44CAED8F-F928-47AF-BF8B-154DCEB1DE17}"/>
    <cellStyle name="Header2 2 20 2 5" xfId="35803" xr:uid="{CC848882-C427-4FE6-9FE3-943D85BA5CC4}"/>
    <cellStyle name="Header2 2 20 3" xfId="6738" xr:uid="{E8437B07-B416-43A0-99E9-BCD64C3C5EC5}"/>
    <cellStyle name="Header2 2 20 3 2" xfId="16794" xr:uid="{BF2A2289-E300-41AF-A607-8D808B03A3C1}"/>
    <cellStyle name="Header2 2 20 3 2 2" xfId="32675" xr:uid="{9925DE08-7506-4DB9-8CEA-4B4E590E1259}"/>
    <cellStyle name="Header2 2 20 3 2 3" xfId="46337" xr:uid="{397457D7-402B-498C-B375-EFE821C6791F}"/>
    <cellStyle name="Header2 2 20 3 3" xfId="24366" xr:uid="{2727FA0B-88A3-4788-8BEE-EBC2AF89B87C}"/>
    <cellStyle name="Header2 2 20 3 4" xfId="37447" xr:uid="{12EA73FD-BA77-4BB5-A58C-611AE390D24B}"/>
    <cellStyle name="Header2 2 20 4" xfId="16874" xr:uid="{3BE7C555-60DA-4DB3-A507-255EDE3F657F}"/>
    <cellStyle name="Header2 2 20 4 2" xfId="32751" xr:uid="{0B43042F-59DC-44C0-9253-C4B4AD218671}"/>
    <cellStyle name="Header2 2 20 4 3" xfId="46416" xr:uid="{AC9E71A1-B81D-42BC-8D0D-511848ACE727}"/>
    <cellStyle name="Header2 2 20 5" xfId="21118" xr:uid="{A7C00A06-2BB6-4AE9-85FB-23F7ED803A79}"/>
    <cellStyle name="Header2 2 20 6" xfId="34141" xr:uid="{9AED1D9D-0E7A-4421-B196-536E32EF7B13}"/>
    <cellStyle name="Header2 2 21" xfId="2632" xr:uid="{26357A63-025D-4EBC-9655-856D9A21967C}"/>
    <cellStyle name="Header2 2 21 2" xfId="7929" xr:uid="{C4578450-7CCD-4F7E-8C00-3AA5EAE843AC}"/>
    <cellStyle name="Header2 2 21 2 2" xfId="11724" xr:uid="{3F99EFBF-8D30-4640-82E4-32FE5A1FCC00}"/>
    <cellStyle name="Header2 2 21 2 2 2" xfId="28453" xr:uid="{B8C66989-35F8-4FC8-A795-D1A0721DF2CD}"/>
    <cellStyle name="Header2 2 21 2 2 3" xfId="41663" xr:uid="{E25140E5-B775-427C-9008-B0C201403D32}"/>
    <cellStyle name="Header2 2 21 2 3" xfId="25445" xr:uid="{3BE8666A-6DC2-4B21-9DB7-CACC7E765EEA}"/>
    <cellStyle name="Header2 2 21 2 4" xfId="38521" xr:uid="{487DC998-7D17-4126-9978-B535ED3B0FA8}"/>
    <cellStyle name="Header2 2 21 3" xfId="6296" xr:uid="{422B3DBB-8136-45B0-A690-BF5335A353FD}"/>
    <cellStyle name="Header2 2 21 3 2" xfId="15332" xr:uid="{B71DF28A-41FF-4DDB-A480-74EA032F2305}"/>
    <cellStyle name="Header2 2 21 3 2 2" xfId="31490" xr:uid="{3217342E-E65D-45F3-8E82-81FD3FEDB97C}"/>
    <cellStyle name="Header2 2 21 3 2 3" xfId="44976" xr:uid="{5633864B-4DDF-4605-810A-914842FA154E}"/>
    <cellStyle name="Header2 2 21 3 3" xfId="23936" xr:uid="{B1A5B2CE-0DA6-4BE9-BAEA-9DA1DFBB18E4}"/>
    <cellStyle name="Header2 2 21 3 4" xfId="37017" xr:uid="{888C7426-51B8-48A1-9EAF-1E7EFE98E365}"/>
    <cellStyle name="Header2 2 21 4" xfId="12638" xr:uid="{506F21AB-6EDF-4BCC-8E11-88EC76C1DF28}"/>
    <cellStyle name="Header2 2 21 4 2" xfId="29242" xr:uid="{941A8FDF-2AFA-4534-8CE3-410C1EDEB37A}"/>
    <cellStyle name="Header2 2 21 4 3" xfId="42510" xr:uid="{BBDF238E-85AA-4432-A7D3-8D69F48A408F}"/>
    <cellStyle name="Header2 2 21 5" xfId="20688" xr:uid="{1037F7B5-441C-4CBE-83A7-F99376091A09}"/>
    <cellStyle name="Header2 2 21 6" xfId="33711" xr:uid="{0F796F66-780E-4237-959E-45D517156C98}"/>
    <cellStyle name="Header2 2 22" xfId="4078" xr:uid="{6398BF99-060F-4FA5-BD46-FD79BD94CA85}"/>
    <cellStyle name="Header2 2 22 2" xfId="9130" xr:uid="{12E4A29D-E0C1-4CB7-9C1E-57B2F49AAB91}"/>
    <cellStyle name="Header2 2 22 2 2" xfId="11809" xr:uid="{8AD3E613-5C6E-4AEA-8981-DD339FB6F4ED}"/>
    <cellStyle name="Header2 2 22 2 2 2" xfId="28530" xr:uid="{C540D283-5061-496D-A086-0E525A86DB1E}"/>
    <cellStyle name="Header2 2 22 2 2 3" xfId="41742" xr:uid="{02E3F64D-B1E7-4BFC-889C-81F44A8308F7}"/>
    <cellStyle name="Header2 2 22 2 3" xfId="26611" xr:uid="{8353A2D4-BA93-4E98-9BFF-CFB95458F057}"/>
    <cellStyle name="Header2 2 22 2 4" xfId="39687" xr:uid="{26FF1CDA-40DD-4039-8FAE-685903A9D1AB}"/>
    <cellStyle name="Header2 2 22 3" xfId="7642" xr:uid="{4DC6DEDC-FD3C-4B66-B822-816C187BE57A}"/>
    <cellStyle name="Header2 2 22 3 2" xfId="17229" xr:uid="{F4D765CA-0D5D-4D5C-AE90-E8E5728A7120}"/>
    <cellStyle name="Header2 2 22 3 2 2" xfId="32988" xr:uid="{A0C8A729-34E9-4E69-BD34-7186B81ABB1C}"/>
    <cellStyle name="Header2 2 22 3 2 3" xfId="46763" xr:uid="{569E7E27-65C2-4176-B30F-6E154D461EF1}"/>
    <cellStyle name="Header2 2 22 3 3" xfId="25170" xr:uid="{706BAB47-F2CC-4311-9A98-2C10AE398747}"/>
    <cellStyle name="Header2 2 22 3 4" xfId="38246" xr:uid="{3F7E7015-A5CA-4D48-9344-DC9705906C5A}"/>
    <cellStyle name="Header2 2 22 4" xfId="17304" xr:uid="{BA05518D-976D-4A82-BF8F-34F2E353F10F}"/>
    <cellStyle name="Header2 2 22 4 2" xfId="33062" xr:uid="{2D415148-5DC1-4734-AF57-9CDD891510DE}"/>
    <cellStyle name="Header2 2 22 4 3" xfId="46838" xr:uid="{56629460-8CC1-4402-8080-CFD49110BD11}"/>
    <cellStyle name="Header2 2 22 5" xfId="21911" xr:uid="{44457C28-A491-42BC-9467-82470984C8E3}"/>
    <cellStyle name="Header2 2 22 6" xfId="34960" xr:uid="{32500F5E-216D-4A74-B9EA-294B44286ED6}"/>
    <cellStyle name="Header2 2 23" xfId="2540" xr:uid="{84644306-FE18-40E7-B676-A7B5762EF1AE}"/>
    <cellStyle name="Header2 2 23 2" xfId="7838" xr:uid="{A7AE04E3-8085-4F6D-BFC4-70FF7C319365}"/>
    <cellStyle name="Header2 2 23 2 2" xfId="14575" xr:uid="{E21BC251-2956-4DC4-B733-AA1115FAFD3E}"/>
    <cellStyle name="Header2 2 23 2 2 2" xfId="30878" xr:uid="{3592CC50-2F9E-4B8F-B4F2-BF89AB22C0DE}"/>
    <cellStyle name="Header2 2 23 2 2 3" xfId="44295" xr:uid="{EB60A3AF-1BE3-4B41-B180-A266B432DEB4}"/>
    <cellStyle name="Header2 2 23 2 3" xfId="25358" xr:uid="{EF1348ED-9BED-4213-96FA-5B0122614EFE}"/>
    <cellStyle name="Header2 2 23 2 4" xfId="38434" xr:uid="{52411DCE-F531-4B91-9E6B-6B537F67758A}"/>
    <cellStyle name="Header2 2 23 3" xfId="6205" xr:uid="{4B1ED9DC-91D3-4281-9E81-AF1F174AF0BD}"/>
    <cellStyle name="Header2 2 23 3 2" xfId="11126" xr:uid="{15AD5562-49DE-4A17-B013-A6405FEE95D2}"/>
    <cellStyle name="Header2 2 23 3 2 2" xfId="27924" xr:uid="{25EE6DE3-3CBA-411C-A464-D975B9A019A2}"/>
    <cellStyle name="Header2 2 23 3 2 3" xfId="41104" xr:uid="{9706EF30-D22F-4E46-B26F-3B5905F192FB}"/>
    <cellStyle name="Header2 2 23 3 3" xfId="23849" xr:uid="{2A89420D-553C-45BE-A495-CA59F325824C}"/>
    <cellStyle name="Header2 2 23 3 4" xfId="36930" xr:uid="{F23F107F-A620-40C2-9410-BFE878292E05}"/>
    <cellStyle name="Header2 2 23 4" xfId="12009" xr:uid="{20784867-5ED4-4DEB-A81F-109D464E187F}"/>
    <cellStyle name="Header2 2 23 4 2" xfId="28713" xr:uid="{45F673FD-3A3D-458E-B25C-ABBBBF9019F9}"/>
    <cellStyle name="Header2 2 23 4 3" xfId="41931" xr:uid="{49BC3828-4979-4EA5-85F7-B478F6FEB1DF}"/>
    <cellStyle name="Header2 2 23 5" xfId="20601" xr:uid="{4D0D485B-C0C5-4196-B27E-DE1294BED041}"/>
    <cellStyle name="Header2 2 23 6" xfId="33624" xr:uid="{F6B19D86-5FEC-4BCE-BFCE-723963AA23F6}"/>
    <cellStyle name="Header2 2 24" xfId="4134" xr:uid="{599AD736-972F-4D14-A02F-41A5699B7FAE}"/>
    <cellStyle name="Header2 2 24 2" xfId="9186" xr:uid="{8292BDFA-C4FB-46AA-B6BB-00D3AB3F4504}"/>
    <cellStyle name="Header2 2 24 2 2" xfId="13262" xr:uid="{36458B68-1139-43A5-B9DF-6FA5043633B0}"/>
    <cellStyle name="Header2 2 24 2 2 2" xfId="29754" xr:uid="{FE6062B6-82D4-43AB-8A20-25F27BF4E48C}"/>
    <cellStyle name="Header2 2 24 2 2 3" xfId="43080" xr:uid="{7210126E-054C-4796-A16E-372CE7B3E8D2}"/>
    <cellStyle name="Header2 2 24 2 3" xfId="26664" xr:uid="{D513BE7F-3DB5-46A9-B0F2-E02C033D6CE3}"/>
    <cellStyle name="Header2 2 24 2 4" xfId="39740" xr:uid="{4582C4CA-57FB-4107-8500-409C31EB4EB8}"/>
    <cellStyle name="Header2 2 24 3" xfId="7698" xr:uid="{187311E6-71F1-452F-AC85-BCF8489EF25F}"/>
    <cellStyle name="Header2 2 24 3 2" xfId="17087" xr:uid="{B679DBD0-A605-4EB1-848A-F48A2E4550A8}"/>
    <cellStyle name="Header2 2 24 3 2 2" xfId="32856" xr:uid="{E43013FE-7C20-42A8-85A6-CEDD79994622}"/>
    <cellStyle name="Header2 2 24 3 2 3" xfId="46627" xr:uid="{8DD88CA6-0F8E-46FC-940E-EEA0B5B75644}"/>
    <cellStyle name="Header2 2 24 3 3" xfId="25223" xr:uid="{66BAA05D-F598-4EDD-96AC-831CB1CCA3FB}"/>
    <cellStyle name="Header2 2 24 3 4" xfId="38299" xr:uid="{635FC57C-E71E-41BF-81E1-FA551B4DA086}"/>
    <cellStyle name="Header2 2 24 4" xfId="13389" xr:uid="{BB9FC2B5-9FB9-4FE1-8D1E-BF9694226F43}"/>
    <cellStyle name="Header2 2 24 4 2" xfId="29860" xr:uid="{0C5ACF19-AACF-44AE-A51B-2421F810BE51}"/>
    <cellStyle name="Header2 2 24 4 3" xfId="43195" xr:uid="{66962610-2DE0-4C9A-AD75-247F23351200}"/>
    <cellStyle name="Header2 2 24 5" xfId="21964" xr:uid="{77407BF4-592F-49F3-B09B-69420ED7B6BD}"/>
    <cellStyle name="Header2 2 24 6" xfId="35013" xr:uid="{BF787F6C-3A97-4670-AFDD-42D457FB5903}"/>
    <cellStyle name="Header2 2 25" xfId="4282" xr:uid="{4EE4A119-E47E-44C3-8F16-92DFCD6DDF21}"/>
    <cellStyle name="Header2 2 25 2" xfId="6151" xr:uid="{D17770B0-B3C2-4B27-8FB7-EE89D2F5A67A}"/>
    <cellStyle name="Header2 2 25 2 2" xfId="15775" xr:uid="{8BEB7B36-0B49-463E-8C84-06DF67BEFD66}"/>
    <cellStyle name="Header2 2 25 2 2 2" xfId="31877" xr:uid="{DCD9D8D5-735A-4B21-830B-E4A41CC0D4F1}"/>
    <cellStyle name="Header2 2 25 2 2 3" xfId="45388" xr:uid="{23193955-363F-4298-AEC8-5016C65DE70E}"/>
    <cellStyle name="Header2 2 25 2 3" xfId="23796" xr:uid="{E8EE443B-570F-4812-BBC3-66AB108042CB}"/>
    <cellStyle name="Header2 2 25 2 4" xfId="36877" xr:uid="{7AB522BD-6410-42FE-920A-873BB5CD154B}"/>
    <cellStyle name="Header2 2 25 3" xfId="12570" xr:uid="{1C51F08D-E8F4-4C76-9BC2-FBB6956237B1}"/>
    <cellStyle name="Header2 2 25 3 2" xfId="29188" xr:uid="{ECFB5C21-AE7E-4BA7-BDE9-16C7A8653052}"/>
    <cellStyle name="Header2 2 25 3 3" xfId="42450" xr:uid="{E1541313-C15D-4759-9069-95FFD2F27B79}"/>
    <cellStyle name="Header2 2 25 4" xfId="22103" xr:uid="{84E0370A-847F-4D38-81BC-47E3C858FCC3}"/>
    <cellStyle name="Header2 2 25 5" xfId="35152" xr:uid="{7D0F5608-4EFB-45BE-AE59-72ED9D1449BE}"/>
    <cellStyle name="Header2 2 26" xfId="5257" xr:uid="{536CD6D8-C8E0-48DB-9A59-B52B14FC9A4F}"/>
    <cellStyle name="Header2 2 26 2" xfId="9690" xr:uid="{7961514F-5E65-48C7-ACEC-3CCA30E423A6}"/>
    <cellStyle name="Header2 2 26 2 2" xfId="10977" xr:uid="{45B08172-F60D-4440-B6C2-90FC5AF5E166}"/>
    <cellStyle name="Header2 2 26 2 2 2" xfId="27786" xr:uid="{350D3E44-7576-477A-B0F9-C2E716A5E426}"/>
    <cellStyle name="Header2 2 26 2 2 3" xfId="40957" xr:uid="{61D13D92-BD36-46C9-9FFC-4EBF78E5198D}"/>
    <cellStyle name="Header2 2 26 2 3" xfId="26994" xr:uid="{4C305781-7631-49F2-B606-1214D0DFCAB1}"/>
    <cellStyle name="Header2 2 26 2 4" xfId="40106" xr:uid="{7F75535F-BC51-4663-A904-59B6AD1C93FD}"/>
    <cellStyle name="Header2 2 26 3" xfId="14129" xr:uid="{941829E6-75CC-43C9-9BE5-41EFB859C487}"/>
    <cellStyle name="Header2 2 26 3 2" xfId="30493" xr:uid="{AC17627F-A3F7-4795-A6EA-1DDE2C985F7D}"/>
    <cellStyle name="Header2 2 26 3 3" xfId="43877" xr:uid="{C80DC5D4-2F73-44C4-A14F-A0B71FADFF6D}"/>
    <cellStyle name="Header2 2 26 4" xfId="22913" xr:uid="{FFD7F7E4-45C7-4A16-A278-6582508B788D}"/>
    <cellStyle name="Header2 2 26 5" xfId="35987" xr:uid="{B0F723D6-2095-49BF-8CAE-19F00AFAB4E4}"/>
    <cellStyle name="Header2 2 27" xfId="5347" xr:uid="{97F5AFFB-9C5A-42BE-9016-9B801D0D43AC}"/>
    <cellStyle name="Header2 2 27 2" xfId="9778" xr:uid="{6446D737-8098-474B-BE96-206C6B88415F}"/>
    <cellStyle name="Header2 2 27 2 2" xfId="10729" xr:uid="{550428A6-8F37-4DDD-8F2B-2F13B6F183A5}"/>
    <cellStyle name="Header2 2 27 2 2 2" xfId="27570" xr:uid="{1317A0B4-33A3-4BC7-8EC7-12626194AC6C}"/>
    <cellStyle name="Header2 2 27 2 2 3" xfId="40710" xr:uid="{BD0A4EBA-C370-497F-9B0A-627F1F3CFCD3}"/>
    <cellStyle name="Header2 2 27 2 3" xfId="27075" xr:uid="{9B7DC8D7-2CB9-4282-A45F-3B77A8B67A78}"/>
    <cellStyle name="Header2 2 27 2 4" xfId="40194" xr:uid="{2A23823A-808A-4FB3-9BF1-72179C309AF2}"/>
    <cellStyle name="Header2 2 27 3" xfId="13442" xr:uid="{4F01216F-4F4A-4A6E-AC1B-D052EDB93226}"/>
    <cellStyle name="Header2 2 27 3 2" xfId="29906" xr:uid="{E7A361EA-BB68-44BB-A6C1-0F2629FBC895}"/>
    <cellStyle name="Header2 2 27 3 3" xfId="43244" xr:uid="{5924831C-E36F-4F57-906D-9EF9AB794A52}"/>
    <cellStyle name="Header2 2 27 4" xfId="22994" xr:uid="{32A3D946-E67E-47D1-BF52-94FA36ACF21A}"/>
    <cellStyle name="Header2 2 27 5" xfId="36075" xr:uid="{722D70AD-A39F-4781-A144-47867590B0A0}"/>
    <cellStyle name="Header2 2 28" xfId="10344" xr:uid="{DFFC3F94-58AC-40D4-B43E-90825A940A3B}"/>
    <cellStyle name="Header2 2 28 2" xfId="17584" xr:uid="{88EEDA83-53A1-42D9-A8E3-6FC7E1214FDB}"/>
    <cellStyle name="Header2 2 28 2 2" xfId="33321" xr:uid="{1C3BE8EC-157E-48F7-B345-3DE7F87FC0FC}"/>
    <cellStyle name="Header2 2 28 2 3" xfId="47109" xr:uid="{71153D9E-0D84-42DA-BD2E-7CB59DFFB4DB}"/>
    <cellStyle name="Header2 2 28 3" xfId="27395" xr:uid="{0FFF5264-E95A-4572-B777-329DD6D778F4}"/>
    <cellStyle name="Header2 2 28 4" xfId="40514" xr:uid="{756902D3-A3B0-4CBD-9DFC-7746C20C0A01}"/>
    <cellStyle name="Header2 2 29" xfId="10551" xr:uid="{E5ABB430-E6B0-4680-BD93-1479C2E1FB71}"/>
    <cellStyle name="Header2 2 29 2" xfId="17596" xr:uid="{339A7487-3889-47B1-A843-FF6205DD9DEB}"/>
    <cellStyle name="Header2 2 29 2 2" xfId="33332" xr:uid="{39DB0028-AF77-4EC9-B278-31ECB06776C2}"/>
    <cellStyle name="Header2 2 29 2 3" xfId="47121" xr:uid="{935C23DD-C9E4-4C35-8653-10417E8BA114}"/>
    <cellStyle name="Header2 2 29 3" xfId="27411" xr:uid="{48E874BE-E0FB-43C4-88C7-7769F561E8D3}"/>
    <cellStyle name="Header2 2 29 4" xfId="40533" xr:uid="{75E6FF09-2F04-491F-A99F-FF47B04C7857}"/>
    <cellStyle name="Header2 2 3" xfId="3369" xr:uid="{D1212F06-F074-4E0F-BB2F-B6BF5EA40CD5}"/>
    <cellStyle name="Header2 2 3 10" xfId="34409" xr:uid="{669EB887-7DCF-4CFB-BA79-BBE6A50D40F9}"/>
    <cellStyle name="Header2 2 3 2" xfId="2728" xr:uid="{B40F1B09-0973-4081-9206-6738C9E21C16}"/>
    <cellStyle name="Header2 2 3 2 2" xfId="8024" xr:uid="{FEFA610C-4DAB-4080-B963-31D9D7E1C3AC}"/>
    <cellStyle name="Header2 2 3 2 2 2" xfId="14379" xr:uid="{11DB97E7-D000-455E-A353-9F72C0C5AE17}"/>
    <cellStyle name="Header2 2 3 2 2 2 2" xfId="30711" xr:uid="{E70F5F32-EACE-4AD2-9482-2A644B5A756B}"/>
    <cellStyle name="Header2 2 3 2 2 2 3" xfId="44109" xr:uid="{3564C637-BE3A-4972-BA84-2957CC8237B7}"/>
    <cellStyle name="Header2 2 3 2 2 3" xfId="25537" xr:uid="{C925C494-7B20-4FBE-8369-99933ECBC8BB}"/>
    <cellStyle name="Header2 2 3 2 2 4" xfId="38613" xr:uid="{DBFD24F5-B25E-4BA2-B575-F7E56D2011B1}"/>
    <cellStyle name="Header2 2 3 2 3" xfId="6391" xr:uid="{F1EB02D0-2953-46E2-9BE3-1B7D072F401D}"/>
    <cellStyle name="Header2 2 3 2 3 2" xfId="11939" xr:uid="{252DC6FC-E667-4C17-B7BE-BEEE6D8F7B2A}"/>
    <cellStyle name="Header2 2 3 2 3 2 2" xfId="28650" xr:uid="{A26B1EA0-AD4A-434E-8E20-6BF4C5077ED6}"/>
    <cellStyle name="Header2 2 3 2 3 2 3" xfId="41868" xr:uid="{2AB0B4CC-D50D-4B33-8F8D-CA0430216E90}"/>
    <cellStyle name="Header2 2 3 2 3 3" xfId="24028" xr:uid="{5D596237-54E0-49FE-AE1F-092AB8014329}"/>
    <cellStyle name="Header2 2 3 2 3 4" xfId="37109" xr:uid="{3889A8CD-1F53-4853-A4EF-A297C3F77DA5}"/>
    <cellStyle name="Header2 2 3 2 4" xfId="10809" xr:uid="{4C96BE47-7D77-4A66-A0B4-191B2CA7D63A}"/>
    <cellStyle name="Header2 2 3 2 4 2" xfId="27642" xr:uid="{2897D3C5-1924-4055-8EB9-A540F5BA754C}"/>
    <cellStyle name="Header2 2 3 2 4 3" xfId="40790" xr:uid="{8B03147A-00A3-4382-A1B3-C6CFF2920416}"/>
    <cellStyle name="Header2 2 3 2 5" xfId="20780" xr:uid="{DB70DC9F-6AA6-490C-B927-0E3FACA19878}"/>
    <cellStyle name="Header2 2 3 2 6" xfId="33803" xr:uid="{6BEF29A6-31BE-4A4C-9ECB-4ABA400DB8AA}"/>
    <cellStyle name="Header2 2 3 3" xfId="4093" xr:uid="{2F0386D6-C80E-48A8-B29C-EA2614AC3306}"/>
    <cellStyle name="Header2 2 3 3 2" xfId="9145" xr:uid="{8E4D1569-4066-4A81-87C4-D59B4038F993}"/>
    <cellStyle name="Header2 2 3 3 2 2" xfId="14693" xr:uid="{BA5712DC-8DAD-4177-8929-243ADAFCC817}"/>
    <cellStyle name="Header2 2 3 3 2 2 2" xfId="30984" xr:uid="{B275ACDC-8F83-4D25-A570-BF3DDC24CD9E}"/>
    <cellStyle name="Header2 2 3 3 2 2 3" xfId="44406" xr:uid="{9D2E5EE1-897E-43AD-B70F-EF73081B69DD}"/>
    <cellStyle name="Header2 2 3 3 2 3" xfId="26626" xr:uid="{974E832E-1519-424B-B95F-3FFF2DB3FD82}"/>
    <cellStyle name="Header2 2 3 3 2 4" xfId="39702" xr:uid="{0B80960E-AEBC-43F6-9934-430F1140B084}"/>
    <cellStyle name="Header2 2 3 3 3" xfId="7657" xr:uid="{A92C6718-AFCE-4F29-A323-6003C00A0815}"/>
    <cellStyle name="Header2 2 3 3 3 2" xfId="13224" xr:uid="{165F270E-46F9-4A7F-A479-2CBA4C1441A1}"/>
    <cellStyle name="Header2 2 3 3 3 2 2" xfId="29723" xr:uid="{E0FAF72E-2CAA-43C8-9085-8D811A18D8BE}"/>
    <cellStyle name="Header2 2 3 3 3 2 3" xfId="43043" xr:uid="{F13B8799-C38A-492C-A7A9-D02BC0E7B39E}"/>
    <cellStyle name="Header2 2 3 3 3 3" xfId="25185" xr:uid="{2F624F8B-5620-4449-A121-6046EEB792C7}"/>
    <cellStyle name="Header2 2 3 3 3 4" xfId="38261" xr:uid="{164A65A6-D2BD-4F4C-9F72-1B21F7265B83}"/>
    <cellStyle name="Header2 2 3 3 4" xfId="17470" xr:uid="{B1424628-E9F1-419A-A38C-03F6D945B107}"/>
    <cellStyle name="Header2 2 3 3 4 2" xfId="33213" xr:uid="{C8134BD0-D66C-4339-88A8-A1AA3D61D166}"/>
    <cellStyle name="Header2 2 3 3 4 3" xfId="46999" xr:uid="{618C2EC9-C655-42E1-8895-6C8F3DD9A980}"/>
    <cellStyle name="Header2 2 3 3 5" xfId="21926" xr:uid="{D803B7C6-55FA-44DD-B1C3-1E1A4FC1028F}"/>
    <cellStyle name="Header2 2 3 3 6" xfId="34975" xr:uid="{B2B1A3C9-51EF-48C5-9EFA-7772EFD6F0DF}"/>
    <cellStyle name="Header2 2 3 4" xfId="2595" xr:uid="{E048B609-E20F-45DE-BBB2-88E7E081CF93}"/>
    <cellStyle name="Header2 2 3 4 2" xfId="7892" xr:uid="{DC3D733C-3D6B-4A24-97A9-4C0778DF65CA}"/>
    <cellStyle name="Header2 2 3 4 2 2" xfId="15472" xr:uid="{16007285-8786-4CEB-BE64-ACB4C49490A8}"/>
    <cellStyle name="Header2 2 3 4 2 2 2" xfId="31614" xr:uid="{BB9A275E-FCC6-4F30-A9F3-B09D5B00EC27}"/>
    <cellStyle name="Header2 2 3 4 2 2 3" xfId="45111" xr:uid="{ADCB9A9C-9E9E-4323-828A-DC77F6A7D933}"/>
    <cellStyle name="Header2 2 3 4 2 3" xfId="25409" xr:uid="{74FA3A0D-33CF-4E75-8956-B6D7422364BA}"/>
    <cellStyle name="Header2 2 3 4 2 4" xfId="38485" xr:uid="{FB0414A8-4D90-47EE-99C4-68EA06747554}"/>
    <cellStyle name="Header2 2 3 4 3" xfId="6259" xr:uid="{179056BF-969D-4B39-97A2-F2B27C8DB6B9}"/>
    <cellStyle name="Header2 2 3 4 3 2" xfId="15423" xr:uid="{8E56DCA7-6820-46A7-90C9-0D5BAC8A3B70}"/>
    <cellStyle name="Header2 2 3 4 3 2 2" xfId="31572" xr:uid="{5B2F9DCC-4F80-4B1C-B7E1-5D34AEF6DED7}"/>
    <cellStyle name="Header2 2 3 4 3 2 3" xfId="45065" xr:uid="{54211552-E164-441E-BAF0-A96008EAB01D}"/>
    <cellStyle name="Header2 2 3 4 3 3" xfId="23900" xr:uid="{E0B41C29-CDB9-4168-A780-9FEF6AAABA3D}"/>
    <cellStyle name="Header2 2 3 4 3 4" xfId="36981" xr:uid="{6FD1AE69-173E-4666-8FC0-C7F89F080547}"/>
    <cellStyle name="Header2 2 3 4 4" xfId="12657" xr:uid="{8DCA7179-0BA0-4DB5-9AFA-5A16558C808A}"/>
    <cellStyle name="Header2 2 3 4 4 2" xfId="29258" xr:uid="{00BDD257-14F1-4777-99E9-0D66DA573443}"/>
    <cellStyle name="Header2 2 3 4 4 3" xfId="42528" xr:uid="{B96ADB0D-CB88-48FE-AA93-EBF917A30EE4}"/>
    <cellStyle name="Header2 2 3 4 5" xfId="20652" xr:uid="{101C4A48-E8ED-44FD-B778-E9E7B354D205}"/>
    <cellStyle name="Header2 2 3 4 6" xfId="33675" xr:uid="{A2C05ACB-0C02-473F-91F9-5018EDBA3195}"/>
    <cellStyle name="Header2 2 3 5" xfId="4198" xr:uid="{E34D32F0-9609-43D0-AE3C-2BFD47C3D595}"/>
    <cellStyle name="Header2 2 3 5 2" xfId="9250" xr:uid="{8B5BD70A-B353-463A-B753-2152CB240D32}"/>
    <cellStyle name="Header2 2 3 5 2 2" xfId="14947" xr:uid="{2A2A7DD6-C15A-4C3C-864C-3BE1656D8F7C}"/>
    <cellStyle name="Header2 2 3 5 2 2 2" xfId="31186" xr:uid="{8320FBE3-E3BB-437F-A23B-B1E05779047C}"/>
    <cellStyle name="Header2 2 3 5 2 2 3" xfId="44633" xr:uid="{D10C2C81-85AE-42C3-BAC0-22BCD9EE1302}"/>
    <cellStyle name="Header2 2 3 5 2 3" xfId="26725" xr:uid="{16835B64-C3DE-4A4D-90C2-D30BE92F85AF}"/>
    <cellStyle name="Header2 2 3 5 2 4" xfId="39801" xr:uid="{A0BB9E08-C361-46D4-9967-65AC445E050A}"/>
    <cellStyle name="Header2 2 3 5 3" xfId="7762" xr:uid="{25F46CC9-1141-4862-9166-1B0D7F3A94DF}"/>
    <cellStyle name="Header2 2 3 5 3 2" xfId="14419" xr:uid="{25395F40-2FBF-451B-BFC8-53334A4D208D}"/>
    <cellStyle name="Header2 2 3 5 3 2 2" xfId="30749" xr:uid="{2A15DF38-E5DD-4C1B-B4BB-3D645E6ED2A2}"/>
    <cellStyle name="Header2 2 3 5 3 2 3" xfId="44149" xr:uid="{D1C90621-EC81-4053-B62B-8291F4BCE335}"/>
    <cellStyle name="Header2 2 3 5 3 3" xfId="25284" xr:uid="{01F96614-A1FC-4818-8F60-4DAD52E831C0}"/>
    <cellStyle name="Header2 2 3 5 3 4" xfId="38360" xr:uid="{9FD2E193-F359-478D-837A-8DD0D6AA60BB}"/>
    <cellStyle name="Header2 2 3 5 4" xfId="11397" xr:uid="{7F841ACD-865D-4101-817E-C83B74BB8AD3}"/>
    <cellStyle name="Header2 2 3 5 4 2" xfId="28169" xr:uid="{17719F14-B455-49DE-9301-F4D9C5014466}"/>
    <cellStyle name="Header2 2 3 5 4 3" xfId="41359" xr:uid="{77814F80-7B79-4E5B-B27A-320AE03D0217}"/>
    <cellStyle name="Header2 2 3 5 5" xfId="22025" xr:uid="{7D219C73-0DE7-417E-B782-8943D55B0FB3}"/>
    <cellStyle name="Header2 2 3 5 6" xfId="35074" xr:uid="{390966C4-16C0-49DB-BAE8-93271C0C707D}"/>
    <cellStyle name="Header2 2 3 6" xfId="4394" xr:uid="{0F35FF39-768C-42AC-9CD8-C2816FAD8343}"/>
    <cellStyle name="Header2 2 3 6 2" xfId="7019" xr:uid="{33E59BC2-20AC-4DAE-B811-79BBE83FF61E}"/>
    <cellStyle name="Header2 2 3 6 2 2" xfId="16555" xr:uid="{6EFD3DFC-2C68-4929-8D99-6D876C34E25E}"/>
    <cellStyle name="Header2 2 3 6 2 2 2" xfId="32490" xr:uid="{E773B3B8-EC67-4ADC-ABFE-AE727C55B7F0}"/>
    <cellStyle name="Header2 2 3 6 2 2 3" xfId="46102" xr:uid="{1C177E02-3F29-476C-A041-B2DD882C899D}"/>
    <cellStyle name="Header2 2 3 6 2 3" xfId="24634" xr:uid="{F64BD7ED-1D09-439C-BF84-1E21AECFD506}"/>
    <cellStyle name="Header2 2 3 6 2 4" xfId="37715" xr:uid="{F861C5C6-2548-4239-8E80-D510C7C90787}"/>
    <cellStyle name="Header2 2 3 6 3" xfId="13933" xr:uid="{35ED5FAC-F79E-4A19-8FE4-E8F3721B4B3C}"/>
    <cellStyle name="Header2 2 3 6 3 2" xfId="30322" xr:uid="{CD8A5FF8-45A1-4EB2-9D0C-FB443CD9102A}"/>
    <cellStyle name="Header2 2 3 6 3 3" xfId="43698" xr:uid="{F46C953F-6B78-4FD2-A9B1-F4B567BFA331}"/>
    <cellStyle name="Header2 2 3 6 4" xfId="22213" xr:uid="{1D86469C-E0A6-46E6-9327-888117619E68}"/>
    <cellStyle name="Header2 2 3 6 5" xfId="35262" xr:uid="{C2F98855-EFFD-4E2D-ACAB-D81E3943A9AD}"/>
    <cellStyle name="Header2 2 3 7" xfId="5448" xr:uid="{FDDC0708-A680-4440-9BA0-0F5BFA0B01D6}"/>
    <cellStyle name="Header2 2 3 7 2" xfId="8628" xr:uid="{8AEE1D34-777D-42B8-A0D4-68C02900A180}"/>
    <cellStyle name="Header2 2 3 7 2 2" xfId="15621" xr:uid="{55EE4DA1-E4DE-48C5-9382-4D2F5F36CB19}"/>
    <cellStyle name="Header2 2 3 7 2 2 2" xfId="31742" xr:uid="{F9D38BA3-9291-49FD-BA6E-1521A287EAB1}"/>
    <cellStyle name="Header2 2 3 7 2 2 3" xfId="45246" xr:uid="{4E0A8C0B-98DB-4C06-BC23-FA2481AE41B4}"/>
    <cellStyle name="Header2 2 3 7 2 3" xfId="26123" xr:uid="{F26199FA-EA67-4A29-8A2B-003AC900B4D9}"/>
    <cellStyle name="Header2 2 3 7 2 4" xfId="39199" xr:uid="{9850E41A-720D-4FAF-A629-B3FA10895080}"/>
    <cellStyle name="Header2 2 3 7 3" xfId="12629" xr:uid="{FAF18BAF-CA62-4CFF-B7DD-950FD7B85CC5}"/>
    <cellStyle name="Header2 2 3 7 3 2" xfId="29237" xr:uid="{DC4F2DBD-BE39-4B2A-8E44-59D42570C67C}"/>
    <cellStyle name="Header2 2 3 7 3 3" xfId="42502" xr:uid="{84AF9EA7-A74B-4C82-ABFF-0DCCD6A835CF}"/>
    <cellStyle name="Header2 2 3 7 4" xfId="23095" xr:uid="{08D7977C-3375-458F-9CC6-80550AFA6DFD}"/>
    <cellStyle name="Header2 2 3 7 5" xfId="36176" xr:uid="{8AFC5542-9E22-4954-A902-E77854B9AE34}"/>
    <cellStyle name="Header2 2 3 8" xfId="11264" xr:uid="{96AF907E-99C1-4982-9CB3-92194C4F60A1}"/>
    <cellStyle name="Header2 2 3 8 2" xfId="28051" xr:uid="{BA9B7672-FE4F-4D6F-8024-8737A0BA35BA}"/>
    <cellStyle name="Header2 2 3 8 3" xfId="41233" xr:uid="{DF96A54A-F2EA-47B2-9666-66AD74BA74C9}"/>
    <cellStyle name="Header2 2 3 9" xfId="21386" xr:uid="{6814BF0D-EB67-47AF-9D77-A00307E7AAC9}"/>
    <cellStyle name="Header2 2 30" xfId="11932" xr:uid="{6989F8DB-9A44-4B3D-AF76-C489BFF4592E}"/>
    <cellStyle name="Header2 2 30 2" xfId="28644" xr:uid="{C2349041-7F79-4AA8-B4B8-A81FEEB4CCC8}"/>
    <cellStyle name="Header2 2 30 3" xfId="41862" xr:uid="{65E8FEE9-3184-451B-BC4F-44DD365718B7}"/>
    <cellStyle name="Header2 2 31" xfId="17148" xr:uid="{6C6281BD-EE2F-46E6-9C71-595ABD317C23}"/>
    <cellStyle name="Header2 2 31 2" xfId="32911" xr:uid="{86218575-F88C-42FB-A559-623991FF9E24}"/>
    <cellStyle name="Header2 2 31 3" xfId="46683" xr:uid="{E6C9D651-4095-413E-A1E7-DD560C75AF5E}"/>
    <cellStyle name="Header2 2 32" xfId="17367" xr:uid="{455985E9-16A2-45BA-95F3-BC9223E91ED4}"/>
    <cellStyle name="Header2 2 32 2" xfId="33121" xr:uid="{CE74104A-CD6D-4408-8805-91DBFE9E5081}"/>
    <cellStyle name="Header2 2 32 3" xfId="46897" xr:uid="{FCC41A02-3A53-402D-99AE-E220D470CC03}"/>
    <cellStyle name="Header2 2 33" xfId="17650" xr:uid="{C9EDA21D-DA35-49C5-BFB0-C2855A77F7DF}"/>
    <cellStyle name="Header2 2 33 2" xfId="33373" xr:uid="{DF7CD2FC-2D0B-4C79-BDFF-C042F0C96F84}"/>
    <cellStyle name="Header2 2 33 3" xfId="47162" xr:uid="{6E6C0788-8D9B-4924-98DF-F228647C2A3A}"/>
    <cellStyle name="Header2 2 34" xfId="33547" xr:uid="{80712CC5-2DC3-42FD-880F-BB6A1112E0A0}"/>
    <cellStyle name="Header2 2 4" xfId="3416" xr:uid="{7C36BC30-C576-48E0-95DB-8378043D246B}"/>
    <cellStyle name="Header2 2 4 10" xfId="34434" xr:uid="{D420FDA9-109A-4224-B735-D6814B7820BE}"/>
    <cellStyle name="Header2 2 4 2" xfId="2758" xr:uid="{6ACDD523-BB6D-4320-B3C3-B9A5B396386A}"/>
    <cellStyle name="Header2 2 4 2 2" xfId="8054" xr:uid="{081D686E-78ED-45DC-BD33-3439099B23C1}"/>
    <cellStyle name="Header2 2 4 2 2 2" xfId="12365" xr:uid="{F5C40816-1F27-474A-A56C-33F8AAA2C873}"/>
    <cellStyle name="Header2 2 4 2 2 2 2" xfId="29031" xr:uid="{B417F3B6-9FD8-4C07-8D2F-FE0B29AFFD4D}"/>
    <cellStyle name="Header2 2 4 2 2 2 3" xfId="42271" xr:uid="{6D6455ED-4CD0-475D-8021-E58213B64894}"/>
    <cellStyle name="Header2 2 4 2 2 3" xfId="25567" xr:uid="{9529322E-0A37-4EF3-856C-268D6D1E336F}"/>
    <cellStyle name="Header2 2 4 2 2 4" xfId="38643" xr:uid="{4C01718E-C5F9-4DAB-9560-E8190126339C}"/>
    <cellStyle name="Header2 2 4 2 3" xfId="6421" xr:uid="{CBC9852D-7E3F-4C0B-BCF2-681D1B166865}"/>
    <cellStyle name="Header2 2 4 2 3 2" xfId="16711" xr:uid="{50E15BB4-C22C-4F03-BF2A-6A8FC8A43418}"/>
    <cellStyle name="Header2 2 4 2 3 2 2" xfId="32595" xr:uid="{21387DA3-1D57-4D15-993C-7DC5CAE7D1E9}"/>
    <cellStyle name="Header2 2 4 2 3 2 3" xfId="46255" xr:uid="{D189E5A0-CA1C-45BA-92C1-DFCECD8D3875}"/>
    <cellStyle name="Header2 2 4 2 3 3" xfId="24058" xr:uid="{CBD0455B-30C6-4817-AD63-99A55019A6AB}"/>
    <cellStyle name="Header2 2 4 2 3 4" xfId="37139" xr:uid="{C7F41721-21C4-4FC3-8FEA-86C050C82FA1}"/>
    <cellStyle name="Header2 2 4 2 4" xfId="14302" xr:uid="{BC8CF27E-CC29-4384-A211-67C3CE433D58}"/>
    <cellStyle name="Header2 2 4 2 4 2" xfId="30640" xr:uid="{515CF9DC-B2CE-4E8D-93B1-59C0A54A7573}"/>
    <cellStyle name="Header2 2 4 2 4 3" xfId="44034" xr:uid="{91E9508E-CB08-4ADB-B498-37BA5123ABBD}"/>
    <cellStyle name="Header2 2 4 2 5" xfId="20810" xr:uid="{BEFC5DDB-86C1-4905-A056-F8D28BA5DD5C}"/>
    <cellStyle name="Header2 2 4 2 6" xfId="33833" xr:uid="{BBE82AFD-D892-4A45-BD70-B6A942EF1605}"/>
    <cellStyle name="Header2 2 4 3" xfId="4053" xr:uid="{A609459F-4A7D-4E91-930A-086464880AC5}"/>
    <cellStyle name="Header2 2 4 3 2" xfId="9106" xr:uid="{2A415D14-E760-4A37-8F75-573B5E9E7594}"/>
    <cellStyle name="Header2 2 4 3 2 2" xfId="13347" xr:uid="{CE346076-3936-4D64-A0FD-2BB6FBEC1DBE}"/>
    <cellStyle name="Header2 2 4 3 2 2 2" xfId="29828" xr:uid="{8CDC17C0-B7DE-4119-9DD9-70DD07695FE5}"/>
    <cellStyle name="Header2 2 4 3 2 2 3" xfId="43160" xr:uid="{4A944F10-D3D5-488C-ACB4-4DB828B97FD3}"/>
    <cellStyle name="Header2 2 4 3 2 3" xfId="26587" xr:uid="{2239DBB6-CC63-473D-B10B-69BDE6B91EF3}"/>
    <cellStyle name="Header2 2 4 3 2 4" xfId="39663" xr:uid="{7CDA7291-3FCC-4271-9B9C-EB2142497298}"/>
    <cellStyle name="Header2 2 4 3 3" xfId="7618" xr:uid="{5E160F83-2518-456A-ADB4-8CF50750134B}"/>
    <cellStyle name="Header2 2 4 3 3 2" xfId="11496" xr:uid="{55E5C5F8-0934-4CCC-A5A5-00EFBE09D4EF}"/>
    <cellStyle name="Header2 2 4 3 3 2 2" xfId="28257" xr:uid="{81FD962A-6F83-48BE-A49A-3EBC353E363C}"/>
    <cellStyle name="Header2 2 4 3 3 2 3" xfId="41453" xr:uid="{41339ABD-59AC-4D89-84E0-F1E9EEC8B035}"/>
    <cellStyle name="Header2 2 4 3 3 3" xfId="25146" xr:uid="{4F239F69-3403-43E8-A0F1-BB4B1CA21EC7}"/>
    <cellStyle name="Header2 2 4 3 3 4" xfId="38222" xr:uid="{218CBE31-E896-4F07-B0BE-DB44179E7155}"/>
    <cellStyle name="Header2 2 4 3 4" xfId="12070" xr:uid="{9A5B0565-F59D-4731-B3D2-3502F25F3A1A}"/>
    <cellStyle name="Header2 2 4 3 4 2" xfId="28770" xr:uid="{1B7FDAFB-8E87-42E3-88B0-958E7E0BF470}"/>
    <cellStyle name="Header2 2 4 3 4 3" xfId="41990" xr:uid="{32FF409A-679B-4FF6-8AB0-435B7190EDD5}"/>
    <cellStyle name="Header2 2 4 3 5" xfId="21887" xr:uid="{784503F4-7C8E-45D0-81E6-6A7171DD6447}"/>
    <cellStyle name="Header2 2 4 3 6" xfId="34936" xr:uid="{F61E02A5-D698-435B-BB66-1C7FB3D7E78F}"/>
    <cellStyle name="Header2 2 4 4" xfId="2608" xr:uid="{703B1CEA-6923-4B64-820D-6952655AF1CA}"/>
    <cellStyle name="Header2 2 4 4 2" xfId="7905" xr:uid="{2F078673-B7E2-4AFD-8374-2495C7EF3446}"/>
    <cellStyle name="Header2 2 4 4 2 2" xfId="11967" xr:uid="{61A79B6D-8692-47E7-B73C-D69AA5446017}"/>
    <cellStyle name="Header2 2 4 4 2 2 2" xfId="28676" xr:uid="{827541F8-F27C-4D77-A289-559532572570}"/>
    <cellStyle name="Header2 2 4 4 2 2 3" xfId="41894" xr:uid="{1C7AE60A-4FE3-40FB-933F-1E5B95BB46AE}"/>
    <cellStyle name="Header2 2 4 4 2 3" xfId="25422" xr:uid="{4B07E5F8-AF46-4A0F-AA0B-11265C76A306}"/>
    <cellStyle name="Header2 2 4 4 2 4" xfId="38498" xr:uid="{2F3B8E7B-1267-4BA1-8819-60E01502B99E}"/>
    <cellStyle name="Header2 2 4 4 3" xfId="6272" xr:uid="{60874793-592A-405A-8601-AC93151702F8}"/>
    <cellStyle name="Header2 2 4 4 3 2" xfId="14790" xr:uid="{0F6F91BE-F308-461C-8274-457188BD6628}"/>
    <cellStyle name="Header2 2 4 4 3 2 2" xfId="31056" xr:uid="{A38C54E3-A65F-44D1-BE9A-23F7B7D40949}"/>
    <cellStyle name="Header2 2 4 4 3 2 3" xfId="44488" xr:uid="{7B7D0C71-E77D-4A01-89D1-13EB7AF3D88A}"/>
    <cellStyle name="Header2 2 4 4 3 3" xfId="23913" xr:uid="{B20A2726-66BD-4BC9-B3C2-6DE533D8F73A}"/>
    <cellStyle name="Header2 2 4 4 3 4" xfId="36994" xr:uid="{87DA65B7-7B42-4017-ACFD-ABA5763CAF2F}"/>
    <cellStyle name="Header2 2 4 4 4" xfId="14341" xr:uid="{195C127A-2587-411A-8A7E-AC268EDE642B}"/>
    <cellStyle name="Header2 2 4 4 4 2" xfId="30675" xr:uid="{6E49D2D9-2F5C-4E97-BB4B-2DA938A1BD34}"/>
    <cellStyle name="Header2 2 4 4 4 3" xfId="44071" xr:uid="{7458F91D-7C80-4428-832D-B5B562C8B901}"/>
    <cellStyle name="Header2 2 4 4 5" xfId="20665" xr:uid="{903AD1B7-0B09-4D65-84E4-C4728BDBF835}"/>
    <cellStyle name="Header2 2 4 4 6" xfId="33688" xr:uid="{B47C50A0-8331-4794-AF2D-B40FA363897E}"/>
    <cellStyle name="Header2 2 4 5" xfId="4224" xr:uid="{DDF7B5E2-6CF9-43F6-BF28-6F74F558DFDB}"/>
    <cellStyle name="Header2 2 4 5 2" xfId="9276" xr:uid="{7830C1B7-B98A-41FE-9881-7EE6D2979161}"/>
    <cellStyle name="Header2 2 4 5 2 2" xfId="13388" xr:uid="{B6160C3E-816C-4682-9B66-560D296F1FE0}"/>
    <cellStyle name="Header2 2 4 5 2 2 2" xfId="29859" xr:uid="{29A425E1-174B-426F-8020-FC223836ADEA}"/>
    <cellStyle name="Header2 2 4 5 2 2 3" xfId="43194" xr:uid="{643AC92D-1C33-403C-8964-E63987412107}"/>
    <cellStyle name="Header2 2 4 5 2 3" xfId="26749" xr:uid="{2773114A-4303-4037-B0A2-8A5D40B6AE92}"/>
    <cellStyle name="Header2 2 4 5 2 4" xfId="39825" xr:uid="{0B3CF241-8BC3-4897-B2FE-3B3D238784BF}"/>
    <cellStyle name="Header2 2 4 5 3" xfId="7788" xr:uid="{01F8BC20-86FF-4596-819E-25A2F33146EF}"/>
    <cellStyle name="Header2 2 4 5 3 2" xfId="13062" xr:uid="{132A48D8-FBAA-4051-B2BB-8912B38F2AB7}"/>
    <cellStyle name="Header2 2 4 5 3 2 2" xfId="29587" xr:uid="{BC834A70-8BB2-479A-9827-07248781FAC9}"/>
    <cellStyle name="Header2 2 4 5 3 2 3" xfId="42892" xr:uid="{2A3CAF21-940E-4CA4-A182-14A43FA0D6B4}"/>
    <cellStyle name="Header2 2 4 5 3 3" xfId="25308" xr:uid="{1661BB44-E3E5-4608-9A61-DCEAC7FB19F4}"/>
    <cellStyle name="Header2 2 4 5 3 4" xfId="38384" xr:uid="{FB226C9E-14D6-47D7-B140-8647B50F87A5}"/>
    <cellStyle name="Header2 2 4 5 4" xfId="15855" xr:uid="{79436227-0587-4B8C-8B0F-22ACBC661036}"/>
    <cellStyle name="Header2 2 4 5 4 2" xfId="31948" xr:uid="{183A4AA7-2A18-4E2C-874A-EEDD3BCE7B7C}"/>
    <cellStyle name="Header2 2 4 5 4 3" xfId="45460" xr:uid="{CA57315A-5D66-40A2-8259-08D4F3EC87FB}"/>
    <cellStyle name="Header2 2 4 5 5" xfId="22049" xr:uid="{A599B6EE-BCD3-4F8D-978D-C3D142761F12}"/>
    <cellStyle name="Header2 2 4 5 6" xfId="35098" xr:uid="{A1512CF5-3770-45C1-AC93-FA57E46E5523}"/>
    <cellStyle name="Header2 2 4 6" xfId="4419" xr:uid="{671297E9-B1FC-4BD6-850C-87A62925750F}"/>
    <cellStyle name="Header2 2 4 6 2" xfId="7058" xr:uid="{483B698B-3539-4118-8605-E91466038685}"/>
    <cellStyle name="Header2 2 4 6 2 2" xfId="16761" xr:uid="{C220D269-9C66-4835-A852-6C6F0749B841}"/>
    <cellStyle name="Header2 2 4 6 2 2 2" xfId="32643" xr:uid="{5FCABF78-1DF5-45A6-B155-880AA07AFF79}"/>
    <cellStyle name="Header2 2 4 6 2 2 3" xfId="46304" xr:uid="{FB339905-9630-45DB-B6D9-322247126665}"/>
    <cellStyle name="Header2 2 4 6 2 3" xfId="24659" xr:uid="{2D1C0F85-5C35-44CF-B178-82A39BFFCCCF}"/>
    <cellStyle name="Header2 2 4 6 2 4" xfId="37740" xr:uid="{67CA5A64-6138-4900-B5E0-47A2CD70F781}"/>
    <cellStyle name="Header2 2 4 6 3" xfId="15359" xr:uid="{B6A16BD1-921D-41FB-962B-E96C9032FEC1}"/>
    <cellStyle name="Header2 2 4 6 3 2" xfId="31516" xr:uid="{54A3B8CC-12AD-4004-B146-473E5391D8F9}"/>
    <cellStyle name="Header2 2 4 6 3 3" xfId="45002" xr:uid="{15BC4C92-1BF8-4230-A1D8-022569D3279A}"/>
    <cellStyle name="Header2 2 4 6 4" xfId="22238" xr:uid="{934A4BB8-9664-4C82-9A21-9701378A36FC}"/>
    <cellStyle name="Header2 2 4 6 5" xfId="35287" xr:uid="{CAEEDC11-B7C1-4B1A-92B9-CC5B1FDDF165}"/>
    <cellStyle name="Header2 2 4 7" xfId="5473" xr:uid="{6B749888-FDE0-4654-9203-921CAC4534F7}"/>
    <cellStyle name="Header2 2 4 7 2" xfId="8653" xr:uid="{5BD10949-8BE6-458F-9D46-E1179133CB51}"/>
    <cellStyle name="Header2 2 4 7 2 2" xfId="10776" xr:uid="{00C555A9-BB28-450F-80BC-3137DC0B992D}"/>
    <cellStyle name="Header2 2 4 7 2 2 2" xfId="27611" xr:uid="{69E37306-6E64-49F1-9AB9-F3C6E85E77B8}"/>
    <cellStyle name="Header2 2 4 7 2 2 3" xfId="40757" xr:uid="{CF4F0D31-5ABE-461A-8F15-02F7968DAB84}"/>
    <cellStyle name="Header2 2 4 7 2 3" xfId="26148" xr:uid="{EE67E739-6E70-48A5-B94D-E252E2E7C965}"/>
    <cellStyle name="Header2 2 4 7 2 4" xfId="39224" xr:uid="{9E6C826C-2F13-4CAD-B514-B7698778107E}"/>
    <cellStyle name="Header2 2 4 7 3" xfId="15306" xr:uid="{641E185E-9730-4D8F-BAF6-F0485410D0C6}"/>
    <cellStyle name="Header2 2 4 7 3 2" xfId="31472" xr:uid="{EE0231A5-73C5-45CC-8BA1-75C47461463B}"/>
    <cellStyle name="Header2 2 4 7 3 3" xfId="44953" xr:uid="{B1ABDDDF-5544-4598-ACDD-2BAFBD0F06C6}"/>
    <cellStyle name="Header2 2 4 7 4" xfId="23120" xr:uid="{2AC6D637-F71F-40A8-A3BD-5724D701E831}"/>
    <cellStyle name="Header2 2 4 7 5" xfId="36201" xr:uid="{91D280ED-427C-415B-99C6-1F8364DF2C0D}"/>
    <cellStyle name="Header2 2 4 8" xfId="15726" xr:uid="{9CDAC0EE-6FAE-4FC7-9943-0814C1F94738}"/>
    <cellStyle name="Header2 2 4 8 2" xfId="31836" xr:uid="{E8F6EE5A-7C56-47C0-9FB2-3049D8858E30}"/>
    <cellStyle name="Header2 2 4 8 3" xfId="45345" xr:uid="{2169F43D-9294-44DD-A275-489F395DD935}"/>
    <cellStyle name="Header2 2 4 9" xfId="21405" xr:uid="{266FBB21-5BA6-46A8-9472-E0F7DE5AAC0F}"/>
    <cellStyle name="Header2 2 5" xfId="3393" xr:uid="{F3EDE0D2-FA6D-490C-B2A9-6935486AC274}"/>
    <cellStyle name="Header2 2 5 2" xfId="2741" xr:uid="{2D160726-4360-43D2-9B4C-7EE0D192B21D}"/>
    <cellStyle name="Header2 2 5 2 2" xfId="8037" xr:uid="{AC118B74-F5A0-40E7-BD86-D7BE7E796CCB}"/>
    <cellStyle name="Header2 2 5 2 2 2" xfId="13930" xr:uid="{B4F29EAF-E8A2-4865-AAC0-9F07258E0746}"/>
    <cellStyle name="Header2 2 5 2 2 2 2" xfId="30319" xr:uid="{63C61FF1-DC5E-4F60-8403-9FE6A6E7FD2F}"/>
    <cellStyle name="Header2 2 5 2 2 2 3" xfId="43695" xr:uid="{F27169C4-9958-482E-8335-7AB592DADCE2}"/>
    <cellStyle name="Header2 2 5 2 2 3" xfId="25550" xr:uid="{AD3BED75-17C4-4263-B9AB-B493BCCA57C4}"/>
    <cellStyle name="Header2 2 5 2 2 4" xfId="38626" xr:uid="{F1CB7A99-57A2-43DA-99DC-DA51F787FE80}"/>
    <cellStyle name="Header2 2 5 2 3" xfId="6404" xr:uid="{491E7005-AFE1-470F-A13A-B6A1E43B95E7}"/>
    <cellStyle name="Header2 2 5 2 3 2" xfId="14252" xr:uid="{038BB92F-EBCA-41BA-82F7-7D6594D7A6C8}"/>
    <cellStyle name="Header2 2 5 2 3 2 2" xfId="30596" xr:uid="{ADA6FF88-C39D-4F7D-8BBB-4B5B0726A460}"/>
    <cellStyle name="Header2 2 5 2 3 2 3" xfId="43988" xr:uid="{0AEC091E-8470-474C-930C-10B9CB993034}"/>
    <cellStyle name="Header2 2 5 2 3 3" xfId="24041" xr:uid="{A27FA51D-B5D1-49A7-9E73-4F570776B6A8}"/>
    <cellStyle name="Header2 2 5 2 3 4" xfId="37122" xr:uid="{A171FF94-C512-441C-AB9E-F1F2991F8B82}"/>
    <cellStyle name="Header2 2 5 2 4" xfId="14156" xr:uid="{B2E8FBD9-C4D2-4FB6-8918-4622D55D1B7A}"/>
    <cellStyle name="Header2 2 5 2 4 2" xfId="30513" xr:uid="{67862E0C-58E0-4818-85F0-486A3E6AAC4B}"/>
    <cellStyle name="Header2 2 5 2 4 3" xfId="43899" xr:uid="{10EEC630-ED54-47BD-BCE0-73883B9E40C8}"/>
    <cellStyle name="Header2 2 5 2 5" xfId="20793" xr:uid="{ECCBCD73-C603-4FD2-B83F-C92EBA539EF7}"/>
    <cellStyle name="Header2 2 5 2 6" xfId="33816" xr:uid="{8D3B1A46-4248-4B07-A96B-F80431516121}"/>
    <cellStyle name="Header2 2 5 3" xfId="4404" xr:uid="{53C1BB35-555F-4CEE-8BDF-BD42C49CB652}"/>
    <cellStyle name="Header2 2 5 3 2" xfId="7039" xr:uid="{BA4F6C0E-4312-4FEF-A455-A52740D3EE46}"/>
    <cellStyle name="Header2 2 5 3 2 2" xfId="16267" xr:uid="{8D52B79C-4309-436C-892A-047ADB91C06E}"/>
    <cellStyle name="Header2 2 5 3 2 2 2" xfId="32301" xr:uid="{F3D0DE0E-C9AC-4E6F-85C6-7C76FCC4D0EB}"/>
    <cellStyle name="Header2 2 5 3 2 2 3" xfId="45830" xr:uid="{240A3785-2557-457A-98DA-1692429407E4}"/>
    <cellStyle name="Header2 2 5 3 2 3" xfId="24644" xr:uid="{9DF8A514-A544-4FFB-A43F-869AAF9784C7}"/>
    <cellStyle name="Header2 2 5 3 2 4" xfId="37725" xr:uid="{EF763A62-391E-4E7C-8D64-170FED73C78D}"/>
    <cellStyle name="Header2 2 5 3 3" xfId="12778" xr:uid="{97086503-4AE0-4B83-9E38-B983201EA6FB}"/>
    <cellStyle name="Header2 2 5 3 3 2" xfId="29353" xr:uid="{8B69FF40-26F7-48B3-BA3F-99A35411E32B}"/>
    <cellStyle name="Header2 2 5 3 3 3" xfId="42633" xr:uid="{E512E805-D13E-42AF-A361-9EC020A87DD7}"/>
    <cellStyle name="Header2 2 5 3 4" xfId="22223" xr:uid="{C2DCA8BA-8E39-4BB0-9C59-4165104106D8}"/>
    <cellStyle name="Header2 2 5 3 5" xfId="35272" xr:uid="{6E245060-D75F-4FA5-803E-4ABF006EA6C9}"/>
    <cellStyle name="Header2 2 5 4" xfId="5458" xr:uid="{8AEE2F64-0773-4D3A-A4E1-6A55A7CD3FFA}"/>
    <cellStyle name="Header2 2 5 4 2" xfId="8638" xr:uid="{F7C1EAAA-7422-4892-8D81-3E7272191614}"/>
    <cellStyle name="Header2 2 5 4 2 2" xfId="10827" xr:uid="{7A1E7AFA-763F-4DE2-B367-BD211D93E6DE}"/>
    <cellStyle name="Header2 2 5 4 2 2 2" xfId="27659" xr:uid="{F19E882A-A194-49AD-A9E9-F5F468A28054}"/>
    <cellStyle name="Header2 2 5 4 2 2 3" xfId="40808" xr:uid="{B8C6B31A-8125-479D-8565-6AE991B57BAD}"/>
    <cellStyle name="Header2 2 5 4 2 3" xfId="26133" xr:uid="{0606EDAA-5463-4039-949E-D6930F274A59}"/>
    <cellStyle name="Header2 2 5 4 2 4" xfId="39209" xr:uid="{3925BC45-AEEA-4BBE-A168-671B4970CAE4}"/>
    <cellStyle name="Header2 2 5 4 3" xfId="14534" xr:uid="{CB55FE4B-E9F2-450A-B0FE-2B1285365C4C}"/>
    <cellStyle name="Header2 2 5 4 3 2" xfId="30847" xr:uid="{E31B8A72-494C-419A-83A7-464FB90BCC52}"/>
    <cellStyle name="Header2 2 5 4 3 3" xfId="44259" xr:uid="{89493110-FE0F-49D3-9948-557FCC2AAC47}"/>
    <cellStyle name="Header2 2 5 4 4" xfId="23105" xr:uid="{3649E6DE-8A62-4A75-97D6-C122CAB8A365}"/>
    <cellStyle name="Header2 2 5 4 5" xfId="36186" xr:uid="{7494FB60-ABF4-475F-8566-BA5C4D2C0949}"/>
    <cellStyle name="Header2 2 5 5" xfId="12401" xr:uid="{D53DCE51-6733-4F0C-8CE6-8E1C1C0C5E6E}"/>
    <cellStyle name="Header2 2 5 5 2" xfId="29066" xr:uid="{4A1E0C6D-0C7F-40E0-BACA-5FBA7EE72E02}"/>
    <cellStyle name="Header2 2 5 5 3" xfId="42307" xr:uid="{3DC70758-52DC-4868-9EA8-9EF56C1483C5}"/>
    <cellStyle name="Header2 2 5 6" xfId="21395" xr:uid="{016E6DB3-91C8-4EE0-9077-B42F53108881}"/>
    <cellStyle name="Header2 2 5 7" xfId="34419" xr:uid="{ABB707DC-B0C8-49D8-B7A4-114CF629F55B}"/>
    <cellStyle name="Header2 2 6" xfId="3353" xr:uid="{8D73776B-E4C1-4771-8B1B-7AC63A3C3610}"/>
    <cellStyle name="Header2 2 6 2" xfId="2715" xr:uid="{8C0180B6-4872-494E-8AD2-257A42B02211}"/>
    <cellStyle name="Header2 2 6 2 2" xfId="8011" xr:uid="{840DB01F-A889-407C-BFA2-5BF6E419197B}"/>
    <cellStyle name="Header2 2 6 2 2 2" xfId="16733" xr:uid="{E3E0259B-5E5B-4527-A0E0-22F975782546}"/>
    <cellStyle name="Header2 2 6 2 2 2 2" xfId="32616" xr:uid="{F4A174F0-8BB0-4214-A03F-B546086104D2}"/>
    <cellStyle name="Header2 2 6 2 2 2 3" xfId="46276" xr:uid="{F864ED84-0E03-43D1-BE08-19C42B0A5575}"/>
    <cellStyle name="Header2 2 6 2 2 3" xfId="25526" xr:uid="{9E781ACD-D4AE-4553-9005-85264530B5B5}"/>
    <cellStyle name="Header2 2 6 2 2 4" xfId="38602" xr:uid="{46FF2BBB-12AC-4EAE-AD2E-B3340D118D2B}"/>
    <cellStyle name="Header2 2 6 2 3" xfId="6378" xr:uid="{82F73A33-39EB-4E93-8DD8-E4CA10B07C0C}"/>
    <cellStyle name="Header2 2 6 2 3 2" xfId="16756" xr:uid="{DD0B372C-AB85-4777-ADB2-1DABE949F679}"/>
    <cellStyle name="Header2 2 6 2 3 2 2" xfId="32638" xr:uid="{FFE848A8-6EFA-4CED-93E2-824471E0B8AF}"/>
    <cellStyle name="Header2 2 6 2 3 2 3" xfId="46299" xr:uid="{4032A458-5BCC-4E39-8B99-89270376C698}"/>
    <cellStyle name="Header2 2 6 2 3 3" xfId="24017" xr:uid="{A8B8B687-7B36-489D-92AE-EFD87D6C6C2F}"/>
    <cellStyle name="Header2 2 6 2 3 4" xfId="37098" xr:uid="{79A955C1-CF6B-4F7C-B3B5-AF329731E9B6}"/>
    <cellStyle name="Header2 2 6 2 4" xfId="14026" xr:uid="{B95BEBBB-A883-4888-B27D-C7CBEF6CAC14}"/>
    <cellStyle name="Header2 2 6 2 4 2" xfId="30405" xr:uid="{00E08F3C-B7F4-4D9F-A731-E01B67B92058}"/>
    <cellStyle name="Header2 2 6 2 4 3" xfId="43785" xr:uid="{44403BFD-CC3F-4388-B73A-684D0F73E47D}"/>
    <cellStyle name="Header2 2 6 2 5" xfId="20769" xr:uid="{D289FF31-25E3-4F90-B8AC-2315F1AC8B08}"/>
    <cellStyle name="Header2 2 6 2 6" xfId="33792" xr:uid="{AE96B70D-4931-4298-8B41-6B1FA51C9BC6}"/>
    <cellStyle name="Header2 2 6 3" xfId="4384" xr:uid="{E5D1C581-C5D0-4AF1-AB16-5D9DD1B17210}"/>
    <cellStyle name="Header2 2 6 3 2" xfId="7003" xr:uid="{FDE9F4C9-F319-434C-B12E-8CE41742C7BC}"/>
    <cellStyle name="Header2 2 6 3 2 2" xfId="16876" xr:uid="{023EFEA2-48FF-4A91-AB8A-058F9B3130CE}"/>
    <cellStyle name="Header2 2 6 3 2 2 2" xfId="32753" xr:uid="{8AB7C5C3-3376-4293-AF52-7643AD07190E}"/>
    <cellStyle name="Header2 2 6 3 2 2 3" xfId="46418" xr:uid="{1C4F75BE-8EB0-4744-97FA-3918B9BE1816}"/>
    <cellStyle name="Header2 2 6 3 2 3" xfId="24624" xr:uid="{CF58C396-3234-4F02-A4CB-759645799075}"/>
    <cellStyle name="Header2 2 6 3 2 4" xfId="37705" xr:uid="{99A9E706-7FB4-4CAD-9E5A-AB6D693A60FE}"/>
    <cellStyle name="Header2 2 6 3 3" xfId="15670" xr:uid="{14C283C9-D7C6-4CEA-9310-121354E20CAB}"/>
    <cellStyle name="Header2 2 6 3 3 2" xfId="31784" xr:uid="{C9802A0F-3EF3-43BF-8659-5D0898AF9D7A}"/>
    <cellStyle name="Header2 2 6 3 3 3" xfId="45291" xr:uid="{F64865EC-8951-4685-A56B-F02B3F3CBE7E}"/>
    <cellStyle name="Header2 2 6 3 4" xfId="22203" xr:uid="{C6C4D66E-2A92-42DF-BF92-A7ABCF7963CE}"/>
    <cellStyle name="Header2 2 6 3 5" xfId="35252" xr:uid="{13DA07C7-1518-4AEB-8686-7A8D64A86776}"/>
    <cellStyle name="Header2 2 6 4" xfId="5438" xr:uid="{D919ECFA-696F-4DD8-A2CC-D9873E43774C}"/>
    <cellStyle name="Header2 2 6 4 2" xfId="8616" xr:uid="{596329A1-C74C-4D41-8437-A3727EC91538}"/>
    <cellStyle name="Header2 2 6 4 2 2" xfId="10742" xr:uid="{47530D8D-F1D4-4345-80A8-695FC6AEB240}"/>
    <cellStyle name="Header2 2 6 4 2 2 2" xfId="27582" xr:uid="{E6711AB9-DC52-4616-8A05-39DF1CFFC5EA}"/>
    <cellStyle name="Header2 2 6 4 2 2 3" xfId="40723" xr:uid="{D7C06840-4C62-4322-AF1C-84E93D2F0306}"/>
    <cellStyle name="Header2 2 6 4 2 3" xfId="26113" xr:uid="{D8C1A01E-41E9-4D0A-A3EF-2E5D73DBB8B0}"/>
    <cellStyle name="Header2 2 6 4 2 4" xfId="39189" xr:uid="{E80BA2CD-142F-4713-A1FB-D4C1E2B222E4}"/>
    <cellStyle name="Header2 2 6 4 3" xfId="12176" xr:uid="{78B8AB57-B2B7-442D-838A-D8EE18EB0A56}"/>
    <cellStyle name="Header2 2 6 4 3 2" xfId="28871" xr:uid="{4D38E24E-DE7C-4B9C-9906-7FCE67CB1DC5}"/>
    <cellStyle name="Header2 2 6 4 3 3" xfId="42096" xr:uid="{D6868397-F93E-424D-BCF5-4005C9A72431}"/>
    <cellStyle name="Header2 2 6 4 4" xfId="23085" xr:uid="{0F51C34D-EF28-4B63-80F4-12D7953BA6AB}"/>
    <cellStyle name="Header2 2 6 4 5" xfId="36166" xr:uid="{84EB1276-708E-413F-8035-BB70A0F6E7C6}"/>
    <cellStyle name="Header2 2 6 5" xfId="15486" xr:uid="{D398522A-4029-468E-89AF-05B58AA82F63}"/>
    <cellStyle name="Header2 2 6 5 2" xfId="31625" xr:uid="{8A1EF96B-4C6F-4862-8266-F3B0D2827ECA}"/>
    <cellStyle name="Header2 2 6 5 3" xfId="45122" xr:uid="{D3C7C87E-6709-4FDD-80F2-2261FB9DB1C3}"/>
    <cellStyle name="Header2 2 6 6" xfId="21376" xr:uid="{653E28CF-8AC3-4D62-B61D-51F0887719D8}"/>
    <cellStyle name="Header2 2 6 7" xfId="34399" xr:uid="{F75324F1-3980-4BE3-8BC1-C601FE254FE2}"/>
    <cellStyle name="Header2 2 7" xfId="3397" xr:uid="{1A073987-037A-416C-8559-F176773FD6A0}"/>
    <cellStyle name="Header2 2 7 2" xfId="2745" xr:uid="{617CD33C-1276-4F02-9208-4FAEB5463B40}"/>
    <cellStyle name="Header2 2 7 2 2" xfId="8041" xr:uid="{193EB9B6-6DF2-45CF-BCAC-5C04126CA592}"/>
    <cellStyle name="Header2 2 7 2 2 2" xfId="15149" xr:uid="{26D48C74-ADAD-404D-AC8A-E3C17427E55A}"/>
    <cellStyle name="Header2 2 7 2 2 2 2" xfId="31348" xr:uid="{8AA701A9-0D3A-4131-8327-B43BB4B2997C}"/>
    <cellStyle name="Header2 2 7 2 2 2 3" xfId="44812" xr:uid="{4F128295-1032-4B18-A373-E3A4601DB55E}"/>
    <cellStyle name="Header2 2 7 2 2 3" xfId="25554" xr:uid="{CF3FF5CC-A8D5-49E4-95A8-D89A83CD3762}"/>
    <cellStyle name="Header2 2 7 2 2 4" xfId="38630" xr:uid="{92270C67-3133-42FD-92AC-3199AEC401AB}"/>
    <cellStyle name="Header2 2 7 2 3" xfId="6408" xr:uid="{5FE4C088-825D-40F3-9A31-4D2BD2A926A5}"/>
    <cellStyle name="Header2 2 7 2 3 2" xfId="12868" xr:uid="{58606AD4-55EF-40B6-99F3-AF4FAC994943}"/>
    <cellStyle name="Header2 2 7 2 3 2 2" xfId="29430" xr:uid="{3DB203D2-509C-4B79-B234-8DC3F65602DD}"/>
    <cellStyle name="Header2 2 7 2 3 2 3" xfId="42717" xr:uid="{E7C59792-E49B-4BBB-94A5-2D3868DA1B06}"/>
    <cellStyle name="Header2 2 7 2 3 3" xfId="24045" xr:uid="{7800006F-55DE-4403-B430-B6698F891CDA}"/>
    <cellStyle name="Header2 2 7 2 3 4" xfId="37126" xr:uid="{8E03FD8B-F790-4EE0-A190-2111CBB6547F}"/>
    <cellStyle name="Header2 2 7 2 4" xfId="16018" xr:uid="{D647CBBB-0EEB-4F5A-A1AC-6ABF51D6B129}"/>
    <cellStyle name="Header2 2 7 2 4 2" xfId="32085" xr:uid="{D46C2891-0E46-4596-92A5-C75EF6ECBC69}"/>
    <cellStyle name="Header2 2 7 2 4 3" xfId="45604" xr:uid="{750677D3-04A7-4452-BCD8-786DA2C77870}"/>
    <cellStyle name="Header2 2 7 2 5" xfId="20797" xr:uid="{5AB2C55F-0F5B-4599-9F58-523467944DA6}"/>
    <cellStyle name="Header2 2 7 2 6" xfId="33820" xr:uid="{54C9440D-E02F-4D52-BF9A-BD5BEFFF2A47}"/>
    <cellStyle name="Header2 2 7 3" xfId="4408" xr:uid="{A6DEBA02-F352-4B41-9860-A747C6979C04}"/>
    <cellStyle name="Header2 2 7 3 2" xfId="7043" xr:uid="{581D1D7B-32EF-472B-9CA9-826335A924BB}"/>
    <cellStyle name="Header2 2 7 3 2 2" xfId="11710" xr:uid="{DB2CA033-A239-42F5-9B73-82684BF15791}"/>
    <cellStyle name="Header2 2 7 3 2 2 2" xfId="28441" xr:uid="{B437DC76-4252-41AD-876B-44514F104187}"/>
    <cellStyle name="Header2 2 7 3 2 2 3" xfId="41651" xr:uid="{B887A0BE-7BE8-4FC5-B1F6-7B6555B19B01}"/>
    <cellStyle name="Header2 2 7 3 2 3" xfId="24648" xr:uid="{E3DE9B51-8431-4D13-A410-8E05C3412852}"/>
    <cellStyle name="Header2 2 7 3 2 4" xfId="37729" xr:uid="{863F2653-B4CB-4FEC-89E8-5E8B9340B793}"/>
    <cellStyle name="Header2 2 7 3 3" xfId="11957" xr:uid="{048FCF24-F0EE-4538-8D3B-A81DC5859170}"/>
    <cellStyle name="Header2 2 7 3 3 2" xfId="28666" xr:uid="{8D749AA8-B2D9-4CC3-88A7-5FF6D330DE59}"/>
    <cellStyle name="Header2 2 7 3 3 3" xfId="41884" xr:uid="{6BA9D39B-41AA-44D3-B6FC-376D42C33655}"/>
    <cellStyle name="Header2 2 7 3 4" xfId="22227" xr:uid="{3611FB9B-E583-46E5-9B7D-A7E18E15AC1E}"/>
    <cellStyle name="Header2 2 7 3 5" xfId="35276" xr:uid="{22D06DC9-1DCB-41FF-A719-FDC78BBC023D}"/>
    <cellStyle name="Header2 2 7 4" xfId="5462" xr:uid="{F391565C-A813-4544-8A39-9972AA286032}"/>
    <cellStyle name="Header2 2 7 4 2" xfId="8642" xr:uid="{9ABC4013-57E0-4373-9B47-0897C7F54BF4}"/>
    <cellStyle name="Header2 2 7 4 2 2" xfId="10737" xr:uid="{4C517CEE-5E07-43D4-97D7-3559C92EF2A3}"/>
    <cellStyle name="Header2 2 7 4 2 2 2" xfId="27578" xr:uid="{91990E81-55A3-4EDE-AA14-A96C1CE57D35}"/>
    <cellStyle name="Header2 2 7 4 2 2 3" xfId="40718" xr:uid="{372676FD-8090-4844-B5FD-1E39520F6F4E}"/>
    <cellStyle name="Header2 2 7 4 2 3" xfId="26137" xr:uid="{C7CE248C-DAC8-4105-A5BB-56867AF1BC36}"/>
    <cellStyle name="Header2 2 7 4 2 4" xfId="39213" xr:uid="{350AACE8-300E-4F68-808C-D93D59FE1636}"/>
    <cellStyle name="Header2 2 7 4 3" xfId="15328" xr:uid="{B3DB682B-26EF-4540-8530-F904AD40EDEE}"/>
    <cellStyle name="Header2 2 7 4 3 2" xfId="31487" xr:uid="{99295736-0E1C-4323-9C98-3C087B0BE0DC}"/>
    <cellStyle name="Header2 2 7 4 3 3" xfId="44972" xr:uid="{6050E0FD-661F-49F0-9800-C5747A712082}"/>
    <cellStyle name="Header2 2 7 4 4" xfId="23109" xr:uid="{36BE5399-F6A6-4243-A47B-8BFB63669D3D}"/>
    <cellStyle name="Header2 2 7 4 5" xfId="36190" xr:uid="{B99AB4E2-4668-4AD4-8B2C-CFB3571F6FD5}"/>
    <cellStyle name="Header2 2 7 5" xfId="12114" xr:uid="{B4BDF411-B588-4722-80A2-133BFBE70D23}"/>
    <cellStyle name="Header2 2 7 5 2" xfId="28814" xr:uid="{E6219B3D-4722-45EC-A3F8-77FB1FC8A8D8}"/>
    <cellStyle name="Header2 2 7 5 3" xfId="42034" xr:uid="{F021ECD8-2848-455C-ACA6-AAD724E96582}"/>
    <cellStyle name="Header2 2 7 6" xfId="21399" xr:uid="{40F9C87C-C3F8-4184-B4FE-678C6D33E6E6}"/>
    <cellStyle name="Header2 2 7 7" xfId="34423" xr:uid="{18687E1D-5ECB-4A6B-9BE8-518A82879064}"/>
    <cellStyle name="Header2 2 8" xfId="3348" xr:uid="{1DF4780A-8123-4D0B-B7FD-3719D0D9325F}"/>
    <cellStyle name="Header2 2 8 2" xfId="2710" xr:uid="{89EA8F52-BA25-4619-A729-42F38E5BC2FD}"/>
    <cellStyle name="Header2 2 8 2 2" xfId="8006" xr:uid="{EC29A217-E101-4BE7-A5D0-FACAF919F4E2}"/>
    <cellStyle name="Header2 2 8 2 2 2" xfId="16272" xr:uid="{CFB88344-D975-423B-A375-9044A8AE1485}"/>
    <cellStyle name="Header2 2 8 2 2 2 2" xfId="32306" xr:uid="{63D23312-2C1F-44EE-A611-FE0C2C9C03D9}"/>
    <cellStyle name="Header2 2 8 2 2 2 3" xfId="45835" xr:uid="{D5BC1FF5-6B78-4A9B-A0EB-8B5E03D7484F}"/>
    <cellStyle name="Header2 2 8 2 2 3" xfId="25521" xr:uid="{894EE239-D167-48DA-B8CA-FAF66159F1E8}"/>
    <cellStyle name="Header2 2 8 2 2 4" xfId="38597" xr:uid="{216483B1-766C-467B-A26C-5C55627CF30E}"/>
    <cellStyle name="Header2 2 8 2 3" xfId="6373" xr:uid="{3BDA88A9-428C-462A-AE32-972B40E2E3B8}"/>
    <cellStyle name="Header2 2 8 2 3 2" xfId="12997" xr:uid="{734CFD8F-6FA5-4D96-B628-2E33FB3E7592}"/>
    <cellStyle name="Header2 2 8 2 3 2 2" xfId="29533" xr:uid="{58C01409-1C00-49E2-B61E-BBF528FD80F1}"/>
    <cellStyle name="Header2 2 8 2 3 2 3" xfId="42834" xr:uid="{FECEC274-F122-4B0F-BDA3-C543CD503472}"/>
    <cellStyle name="Header2 2 8 2 3 3" xfId="24012" xr:uid="{DA845201-F899-4D6A-98B7-7DEB6E8B79A9}"/>
    <cellStyle name="Header2 2 8 2 3 4" xfId="37093" xr:uid="{9E893DA5-517D-4902-A943-C45CACE2AC67}"/>
    <cellStyle name="Header2 2 8 2 4" xfId="12183" xr:uid="{1B5E34A9-D14C-498F-9072-11CDE0598E9C}"/>
    <cellStyle name="Header2 2 8 2 4 2" xfId="28877" xr:uid="{8B53AF98-CDD2-468D-B038-C95E674933C9}"/>
    <cellStyle name="Header2 2 8 2 4 3" xfId="42103" xr:uid="{5973B117-FFCA-435D-A689-8F3499C70E04}"/>
    <cellStyle name="Header2 2 8 2 5" xfId="20764" xr:uid="{E4D762CF-F5F6-45E1-9FEB-A15AE66D2C76}"/>
    <cellStyle name="Header2 2 8 2 6" xfId="33787" xr:uid="{462BDC29-DFE5-4283-B64C-CC45D9E37FFC}"/>
    <cellStyle name="Header2 2 8 3" xfId="4379" xr:uid="{15B7D4BB-039E-4735-BF90-1BB430D4560D}"/>
    <cellStyle name="Header2 2 8 3 2" xfId="6998" xr:uid="{53C0CB8D-29E9-4533-8CC9-8480119FF344}"/>
    <cellStyle name="Header2 2 8 3 2 2" xfId="13216" xr:uid="{2C12BF24-D138-4B88-A73A-4CC094AAAF5E}"/>
    <cellStyle name="Header2 2 8 3 2 2 2" xfId="29717" xr:uid="{73DC4BF4-CA21-43F4-850D-61A6232E094F}"/>
    <cellStyle name="Header2 2 8 3 2 2 3" xfId="43036" xr:uid="{C04BB83E-CA8A-4B98-8F17-A875EC9FEBBC}"/>
    <cellStyle name="Header2 2 8 3 2 3" xfId="24619" xr:uid="{022ECFD0-C4E0-4ABA-89DE-78C63012E5DD}"/>
    <cellStyle name="Header2 2 8 3 2 4" xfId="37700" xr:uid="{F1308728-B941-4C41-ADB2-011AE1A5BDE1}"/>
    <cellStyle name="Header2 2 8 3 3" xfId="10728" xr:uid="{A2BAD690-39BC-44F4-A965-E4C559978F2F}"/>
    <cellStyle name="Header2 2 8 3 3 2" xfId="27569" xr:uid="{4A046D5F-B5F5-4364-BFAC-AEE2A91A59BA}"/>
    <cellStyle name="Header2 2 8 3 3 3" xfId="40709" xr:uid="{626D2F1B-89D4-4114-A007-39FB51046133}"/>
    <cellStyle name="Header2 2 8 3 4" xfId="22198" xr:uid="{F6C88A9B-8F17-4E2F-B84E-AEB7C3B4E029}"/>
    <cellStyle name="Header2 2 8 3 5" xfId="35247" xr:uid="{261AFE6F-74B5-4B75-885F-A6809993AC60}"/>
    <cellStyle name="Header2 2 8 4" xfId="5433" xr:uid="{A7F4E544-3FAB-4311-9959-06BCEEE3B16F}"/>
    <cellStyle name="Header2 2 8 4 2" xfId="8611" xr:uid="{0043FAB6-7B43-4109-B90E-EACB062F22E3}"/>
    <cellStyle name="Header2 2 8 4 2 2" xfId="17130" xr:uid="{7452A35C-9B7D-4613-80C7-52F6D821D65D}"/>
    <cellStyle name="Header2 2 8 4 2 2 2" xfId="32893" xr:uid="{484F7A34-F581-4A24-94AE-7DCC32F7D5BB}"/>
    <cellStyle name="Header2 2 8 4 2 2 3" xfId="46665" xr:uid="{2CB3FFE1-E6C6-4D4B-BFE3-A4EDB3D51C8D}"/>
    <cellStyle name="Header2 2 8 4 2 3" xfId="26108" xr:uid="{00139C67-0536-4AFA-BF8B-407A2EC50502}"/>
    <cellStyle name="Header2 2 8 4 2 4" xfId="39184" xr:uid="{8688D960-1C66-4A08-879D-346F90A83FD7}"/>
    <cellStyle name="Header2 2 8 4 3" xfId="15360" xr:uid="{9F45D7BF-64B0-4180-A57C-7F5FCA790FCA}"/>
    <cellStyle name="Header2 2 8 4 3 2" xfId="31517" xr:uid="{344F4DA7-4BE9-43BB-B42B-38A3B1FD7694}"/>
    <cellStyle name="Header2 2 8 4 3 3" xfId="45003" xr:uid="{D9BE364F-CBB2-42C6-A167-76D0EB5C3DE1}"/>
    <cellStyle name="Header2 2 8 4 4" xfId="23080" xr:uid="{34C434BD-C8E4-4874-B199-F514BCA0AA10}"/>
    <cellStyle name="Header2 2 8 4 5" xfId="36161" xr:uid="{BE3D2173-C8EB-405D-828A-585FFDEBACFC}"/>
    <cellStyle name="Header2 2 8 5" xfId="11203" xr:uid="{2CAE366C-C2D5-4B8F-A166-0F4C790113D3}"/>
    <cellStyle name="Header2 2 8 5 2" xfId="27997" xr:uid="{9D23C879-89F4-4FA9-AECE-E9CFC9DCFE07}"/>
    <cellStyle name="Header2 2 8 5 3" xfId="41179" xr:uid="{B09798FE-278E-4603-BD1A-2E433121FAE4}"/>
    <cellStyle name="Header2 2 8 6" xfId="21371" xr:uid="{3E712D6D-86D8-4918-85A4-231E9BB65C23}"/>
    <cellStyle name="Header2 2 8 7" xfId="34394" xr:uid="{EDD118E0-C606-43B9-851A-6616EDBA43CA}"/>
    <cellStyle name="Header2 2 9" xfId="3614" xr:uid="{395E8F32-DD97-42AE-A996-25F9FEDBBF15}"/>
    <cellStyle name="Header2 2 9 2" xfId="2944" xr:uid="{A8A128B0-4401-469A-B199-3F3B5617CA70}"/>
    <cellStyle name="Header2 2 9 2 2" xfId="8240" xr:uid="{0382AFCE-FB9E-435F-8CFE-A66ABE790350}"/>
    <cellStyle name="Header2 2 9 2 2 2" xfId="14346" xr:uid="{ECC4C7BD-E9DA-4A48-ABAD-C990BC877658}"/>
    <cellStyle name="Header2 2 9 2 2 2 2" xfId="30680" xr:uid="{EC2C8D92-08E7-4ACD-8A1E-AADC00FDE8E1}"/>
    <cellStyle name="Header2 2 9 2 2 2 3" xfId="44076" xr:uid="{07D633BA-7AB4-48FD-B4F2-2A9E8AE1D09E}"/>
    <cellStyle name="Header2 2 9 2 2 3" xfId="25749" xr:uid="{9DD991C1-FA3D-4E0C-9D3B-D58EE51AA3EE}"/>
    <cellStyle name="Header2 2 9 2 2 4" xfId="38825" xr:uid="{BEE409FC-C5CB-45BE-AB75-1C11CA6CFD9E}"/>
    <cellStyle name="Header2 2 9 2 3" xfId="6607" xr:uid="{06B18922-C36A-4D8A-A087-AF4F67D2855B}"/>
    <cellStyle name="Header2 2 9 2 3 2" xfId="16327" xr:uid="{FA18DFA2-C789-4AF4-BA45-A2093A256BFE}"/>
    <cellStyle name="Header2 2 9 2 3 2 2" xfId="32352" xr:uid="{E475B623-07FB-4703-B0DF-A07BC972B414}"/>
    <cellStyle name="Header2 2 9 2 3 2 3" xfId="45883" xr:uid="{88A6A7AB-A5E6-4256-8E4E-E4736CEFC98F}"/>
    <cellStyle name="Header2 2 9 2 3 3" xfId="24240" xr:uid="{D03E922F-7789-4B6A-AD4E-7F8CAC204150}"/>
    <cellStyle name="Header2 2 9 2 3 4" xfId="37321" xr:uid="{D2F08126-F522-4314-BBA4-DFA7EFFC6778}"/>
    <cellStyle name="Header2 2 9 2 4" xfId="16952" xr:uid="{D8AA72FC-F1AB-4C51-84C4-443019805847}"/>
    <cellStyle name="Header2 2 9 2 4 2" xfId="32791" xr:uid="{C7339A1D-9111-4DD2-80AB-A238F5C067C0}"/>
    <cellStyle name="Header2 2 9 2 4 3" xfId="46494" xr:uid="{E5AAE5FA-D70A-425E-A69A-F6DC26C737DC}"/>
    <cellStyle name="Header2 2 9 2 5" xfId="20992" xr:uid="{945107DD-F357-496F-AA05-2C52EF472B1D}"/>
    <cellStyle name="Header2 2 9 2 6" xfId="34015" xr:uid="{E8F612AE-6D35-413B-BCD7-8E62EA0588C9}"/>
    <cellStyle name="Header2 2 9 3" xfId="4539" xr:uid="{971EC966-E655-4C89-88DE-35FE02CEA2BF}"/>
    <cellStyle name="Header2 2 9 3 2" xfId="7249" xr:uid="{C36778AA-BA59-4D23-A7EC-BB90C98DB101}"/>
    <cellStyle name="Header2 2 9 3 2 2" xfId="12689" xr:uid="{1E51E215-7273-4112-A2C5-32FD6236C766}"/>
    <cellStyle name="Header2 2 9 3 2 2 2" xfId="29282" xr:uid="{14120678-461E-402A-AA78-21DF1B4AA7B6}"/>
    <cellStyle name="Header2 2 9 3 2 2 3" xfId="42555" xr:uid="{EFE17846-EA05-40A1-83A3-208834EC8D88}"/>
    <cellStyle name="Header2 2 9 3 2 3" xfId="24837" xr:uid="{57ED1E67-5D7B-4218-9E95-C0AFEBE6DE6B}"/>
    <cellStyle name="Header2 2 9 3 2 4" xfId="37918" xr:uid="{22D817A9-8A74-4FBF-A3E6-5EB9BE10C6C5}"/>
    <cellStyle name="Header2 2 9 3 3" xfId="12852" xr:uid="{7730F253-37C5-46FB-850D-0895A2CAF595}"/>
    <cellStyle name="Header2 2 9 3 3 2" xfId="29419" xr:uid="{BFABD122-6F79-48C5-8F97-6AA17F254EA3}"/>
    <cellStyle name="Header2 2 9 3 3 3" xfId="42705" xr:uid="{3D801F0F-F0C1-4AC9-9261-84DA0AC943B3}"/>
    <cellStyle name="Header2 2 9 3 4" xfId="22355" xr:uid="{90D4DC0C-1BB7-4BAF-B99C-BCF1E1DD8759}"/>
    <cellStyle name="Header2 2 9 3 5" xfId="35404" xr:uid="{9D5C56D7-0E3A-411C-ABEE-DADE6F9F6F08}"/>
    <cellStyle name="Header2 2 9 4" xfId="5651" xr:uid="{28620E83-8CF8-44F1-9E2D-3924FCE652DA}"/>
    <cellStyle name="Header2 2 9 4 2" xfId="8835" xr:uid="{E1F5375E-9600-4341-9C09-02A5350118A1}"/>
    <cellStyle name="Header2 2 9 4 2 2" xfId="12743" xr:uid="{71951D11-7561-4CF6-A504-518D33B2BE36}"/>
    <cellStyle name="Header2 2 9 4 2 2 2" xfId="29322" xr:uid="{7C45E133-6B64-4686-AF9F-BD7A9A138726}"/>
    <cellStyle name="Header2 2 9 4 2 2 3" xfId="42601" xr:uid="{48D9CF43-748B-4188-8FB4-73E8D08A0678}"/>
    <cellStyle name="Header2 2 9 4 2 3" xfId="26326" xr:uid="{53B12C71-3D2D-4A67-AC9E-7D813C986C56}"/>
    <cellStyle name="Header2 2 9 4 2 4" xfId="39402" xr:uid="{D9B9A86C-AC71-40FD-86B6-D145BB9B81A9}"/>
    <cellStyle name="Header2 2 9 4 3" xfId="11470" xr:uid="{3BE9F4B5-A812-4D2B-A6A7-4A0F4480DC61}"/>
    <cellStyle name="Header2 2 9 4 3 2" xfId="28234" xr:uid="{A91C0E61-6519-4DBC-85CB-451756182FE3}"/>
    <cellStyle name="Header2 2 9 4 3 3" xfId="41429" xr:uid="{4A0B74C0-9455-42A8-A8C8-2138072AF3ED}"/>
    <cellStyle name="Header2 2 9 4 4" xfId="23298" xr:uid="{CAB44E04-1B0D-4293-9698-A1301CA89EC2}"/>
    <cellStyle name="Header2 2 9 4 5" xfId="36379" xr:uid="{21BA0BD6-E768-4164-90CE-7A204D191CC3}"/>
    <cellStyle name="Header2 2 9 5" xfId="13898" xr:uid="{8F6B50C0-999D-4035-AAF1-99B37343C63D}"/>
    <cellStyle name="Header2 2 9 5 2" xfId="30290" xr:uid="{4B2C22D3-2A9E-446C-838D-F2E908301C3D}"/>
    <cellStyle name="Header2 2 9 5 3" xfId="43663" xr:uid="{873C8C31-0082-4918-A2CD-387A15DEE84D}"/>
    <cellStyle name="Header2 2 9 6" xfId="21560" xr:uid="{2F356A3D-DA30-4952-8D4F-4629FD0B1B60}"/>
    <cellStyle name="Header2 2 9 7" xfId="34614" xr:uid="{FEE6811F-F3C2-4416-85A0-F4FE01ABD1E6}"/>
    <cellStyle name="Header2 20" xfId="3911" xr:uid="{483BE973-39F3-4DB1-9EB6-704C8954EC77}"/>
    <cellStyle name="Header2 20 2" xfId="3179" xr:uid="{B865721B-5170-4EE3-BA79-EABBA2175D3E}"/>
    <cellStyle name="Header2 20 2 2" xfId="8471" xr:uid="{4E56BB76-6AC0-4C52-BC6F-D8DBE4648914}"/>
    <cellStyle name="Header2 20 2 2 2" xfId="12293" xr:uid="{69084E48-AFA5-4E36-9AF0-5164AA80EE39}"/>
    <cellStyle name="Header2 20 2 2 2 2" xfId="28967" xr:uid="{0BBF77AF-6A61-496B-9F98-A9F13C578D33}"/>
    <cellStyle name="Header2 20 2 2 2 3" xfId="42204" xr:uid="{6BEEE054-A9B9-43A9-97BF-B62D0E74B0AD}"/>
    <cellStyle name="Header2 20 2 2 3" xfId="25971" xr:uid="{330BE30E-6D4E-4505-B121-CFA4EE225471}"/>
    <cellStyle name="Header2 20 2 2 4" xfId="39047" xr:uid="{7C288AEE-33DC-4A46-9BFC-AB7A53113151}"/>
    <cellStyle name="Header2 20 2 3" xfId="6838" xr:uid="{7F6ED5F2-E577-4C2E-983A-2719244250EB}"/>
    <cellStyle name="Header2 20 2 3 2" xfId="12904" xr:uid="{3EE5E4A9-7581-4253-88D4-0AB858D2C4A1}"/>
    <cellStyle name="Header2 20 2 3 2 2" xfId="29455" xr:uid="{0E57C24F-1C4D-49B6-9EBF-6ED390D3ECC6}"/>
    <cellStyle name="Header2 20 2 3 2 3" xfId="42747" xr:uid="{E4A14089-A74B-443D-A01D-7AE5DB4D0133}"/>
    <cellStyle name="Header2 20 2 3 3" xfId="24462" xr:uid="{E30E0DFD-26AC-4D56-ADA0-D0716E01C8A7}"/>
    <cellStyle name="Header2 20 2 3 4" xfId="37543" xr:uid="{F9B7D47B-F21B-45DE-93AB-B2063F472518}"/>
    <cellStyle name="Header2 20 2 4" xfId="11182" xr:uid="{8B3E3905-6947-47E9-B389-B18C15CB658B}"/>
    <cellStyle name="Header2 20 2 4 2" xfId="27976" xr:uid="{F3527A57-2B55-4B88-9911-5D661C403007}"/>
    <cellStyle name="Header2 20 2 4 3" xfId="41158" xr:uid="{366699F9-36FC-4BDE-8A24-342190A89DF6}"/>
    <cellStyle name="Header2 20 2 5" xfId="21214" xr:uid="{9BD4C57F-26E0-4D30-80D7-F3B67FD11B18}"/>
    <cellStyle name="Header2 20 2 6" xfId="34237" xr:uid="{EA40B537-513F-4A97-B95E-A75DDAA9BB2F}"/>
    <cellStyle name="Header2 20 3" xfId="4847" xr:uid="{5C2F8FF5-5B61-454C-9F23-B7496259C10D}"/>
    <cellStyle name="Header2 20 3 2" xfId="7491" xr:uid="{759F995C-D60A-4717-B7AD-1E9A0DD609B5}"/>
    <cellStyle name="Header2 20 3 2 2" xfId="15672" xr:uid="{6F89E93B-9DE5-44E3-916B-B599B17DD86B}"/>
    <cellStyle name="Header2 20 3 2 2 2" xfId="31786" xr:uid="{349AD281-DB50-42D5-A6E0-EFB66ADA1217}"/>
    <cellStyle name="Header2 20 3 2 2 3" xfId="45293" xr:uid="{5C66ADA6-915C-42CA-A861-7DA80EEDB279}"/>
    <cellStyle name="Header2 20 3 2 3" xfId="25046" xr:uid="{5678689A-DF9B-419D-BB91-37C7F86C7C65}"/>
    <cellStyle name="Header2 20 3 2 4" xfId="38122" xr:uid="{1DC2C907-66A7-46B3-9F83-E9BE178855E3}"/>
    <cellStyle name="Header2 20 3 3" xfId="17543" xr:uid="{9F78E99E-638F-41B6-A668-AE69A79F203A}"/>
    <cellStyle name="Header2 20 3 3 2" xfId="33281" xr:uid="{A7E7F014-AAA6-453C-82E0-AD763F2A5738}"/>
    <cellStyle name="Header2 20 3 3 3" xfId="47068" xr:uid="{0212F45C-0939-43E6-858D-D529352C843F}"/>
    <cellStyle name="Header2 20 3 4" xfId="22647" xr:uid="{EBCE5E23-18C3-4FD9-B0AB-D736138D769F}"/>
    <cellStyle name="Header2 20 3 5" xfId="35700" xr:uid="{1DD9BFA2-52DB-4D80-96C9-D11AF433AE07}"/>
    <cellStyle name="Header2 20 4" xfId="5872" xr:uid="{73C27683-D2E4-42AF-BD05-63E5320840DC}"/>
    <cellStyle name="Header2 20 4 2" xfId="9032" xr:uid="{ACA13F9C-6298-4FED-814E-435235E3220F}"/>
    <cellStyle name="Header2 20 4 2 2" xfId="12755" xr:uid="{5608F6A7-2E1B-4268-B5DD-284C9CF8E770}"/>
    <cellStyle name="Header2 20 4 2 2 2" xfId="29332" xr:uid="{E717E2CC-CFFB-4164-85CB-D5E6FA949314}"/>
    <cellStyle name="Header2 20 4 2 2 3" xfId="42612" xr:uid="{CB69F56E-D95B-4A36-80A0-9AE344D1FFD9}"/>
    <cellStyle name="Header2 20 4 2 3" xfId="26515" xr:uid="{93341EB2-F540-4B78-BBCD-5D648D52BF2C}"/>
    <cellStyle name="Header2 20 4 2 4" xfId="39591" xr:uid="{0D41F67D-8E48-4B18-8CAF-1590D4A6D7AD}"/>
    <cellStyle name="Header2 20 4 3" xfId="15824" xr:uid="{8259A64B-70E6-4EAC-83E0-DF765D665F14}"/>
    <cellStyle name="Header2 20 4 3 2" xfId="31918" xr:uid="{5C3EF01E-7D1C-4DA2-BAEA-FE0EF6D15831}"/>
    <cellStyle name="Header2 20 4 3 3" xfId="45430" xr:uid="{01218AEC-11F9-44CC-B7B4-E5447A4377EC}"/>
    <cellStyle name="Header2 20 4 4" xfId="23519" xr:uid="{EB3D1DD5-8EDD-457A-AEA6-DFA26ADE5383}"/>
    <cellStyle name="Header2 20 4 5" xfId="36600" xr:uid="{B444B6A1-AB01-4FB2-9ACC-09B879328A46}"/>
    <cellStyle name="Header2 20 5" xfId="10647" xr:uid="{4F15D96B-9B3C-4C78-BA7B-A12AB772DA16}"/>
    <cellStyle name="Header2 20 5 2" xfId="27498" xr:uid="{04CC3651-4140-47A3-A1E8-19032C755E6A}"/>
    <cellStyle name="Header2 20 5 3" xfId="40628" xr:uid="{08D0D4B6-BFDB-4125-8FDD-5CD5802E9E46}"/>
    <cellStyle name="Header2 20 6" xfId="21785" xr:uid="{B2C6A675-D3DE-4EC6-AEAE-E7D9237C5FA5}"/>
    <cellStyle name="Header2 20 7" xfId="34835" xr:uid="{8ECACB14-5616-405E-AA98-60363CA8631D}"/>
    <cellStyle name="Header2 21" xfId="3950" xr:uid="{A9BF345D-AA04-4C24-94FA-A16EA5A17112}"/>
    <cellStyle name="Header2 21 2" xfId="2512" xr:uid="{DBC8DE27-F15C-47C9-B7FE-4D33F5B34579}"/>
    <cellStyle name="Header2 21 2 2" xfId="6146" xr:uid="{6278D16E-0A48-4AA9-8E46-8584FC4AF612}"/>
    <cellStyle name="Header2 21 2 2 2" xfId="15920" xr:uid="{25DBFF06-F3A3-4264-AF4F-65DCF4BEED3A}"/>
    <cellStyle name="Header2 21 2 2 2 2" xfId="32002" xr:uid="{D1F37D4F-AC70-40A8-869D-7B6401F0836C}"/>
    <cellStyle name="Header2 21 2 2 2 3" xfId="45518" xr:uid="{265D43CB-7608-4107-83C7-76C0C863B7B2}"/>
    <cellStyle name="Header2 21 2 2 3" xfId="23791" xr:uid="{DF1A69BB-F314-4DC4-B6C9-394EAA3D65FF}"/>
    <cellStyle name="Header2 21 2 2 4" xfId="36872" xr:uid="{8EF1E38C-B42E-4541-82AA-37ABFB8B816A}"/>
    <cellStyle name="Header2 21 2 3" xfId="6181" xr:uid="{B9818063-DB29-4E76-94A4-D22A6386A51F}"/>
    <cellStyle name="Header2 21 2 3 2" xfId="14195" xr:uid="{2B5CB04D-DE15-42C1-BF59-0EA7A196A51C}"/>
    <cellStyle name="Header2 21 2 3 2 2" xfId="30544" xr:uid="{CAF6BD2A-045A-42CC-82C5-48AB1626CDB7}"/>
    <cellStyle name="Header2 21 2 3 2 3" xfId="43932" xr:uid="{484592D5-281B-4349-ABAE-66C50C3498DF}"/>
    <cellStyle name="Header2 21 2 3 3" xfId="23826" xr:uid="{A3EB585C-5B7E-4EDB-A9AB-89693658B2EE}"/>
    <cellStyle name="Header2 21 2 3 4" xfId="36907" xr:uid="{39FC8B69-BF76-435E-ADD1-6288F0CB10F7}"/>
    <cellStyle name="Header2 21 2 4" xfId="14642" xr:uid="{5498F6E4-4B32-4629-B551-CADCB15A7E89}"/>
    <cellStyle name="Header2 21 2 4 2" xfId="30938" xr:uid="{E4CC367A-0BCF-4834-AC00-AD78F4AFC1C6}"/>
    <cellStyle name="Header2 21 2 4 3" xfId="44359" xr:uid="{81C2155B-4F68-48ED-AE19-87AC3ADBFB03}"/>
    <cellStyle name="Header2 21 2 5" xfId="20578" xr:uid="{1526A230-5585-4982-9A82-4EBB30DE088D}"/>
    <cellStyle name="Header2 21 2 6" xfId="33601" xr:uid="{704D69B5-5906-46FA-9E52-176D9F6030D2}"/>
    <cellStyle name="Header2 21 3" xfId="4862" xr:uid="{567E6C5F-30EC-40C2-BA8F-CB12E8CBC94B}"/>
    <cellStyle name="Header2 21 3 2" xfId="7530" xr:uid="{6B159E37-69FD-4608-A77F-B0A0FB56EBB2}"/>
    <cellStyle name="Header2 21 3 2 2" xfId="11170" xr:uid="{B981C6FE-2212-498D-9953-855DEEA0AE8B}"/>
    <cellStyle name="Header2 21 3 2 2 2" xfId="27964" xr:uid="{799CD39A-2047-4E73-81A0-C79B714F8DAB}"/>
    <cellStyle name="Header2 21 3 2 2 3" xfId="41146" xr:uid="{0A731AC1-310B-42C9-92BA-9ADCF8BB2DA4}"/>
    <cellStyle name="Header2 21 3 2 3" xfId="25061" xr:uid="{5376DABA-87A1-4342-A89B-42B37883139F}"/>
    <cellStyle name="Header2 21 3 2 4" xfId="38137" xr:uid="{772E4B51-4200-45D0-A2D2-149533C2EE12}"/>
    <cellStyle name="Header2 21 3 3" xfId="12989" xr:uid="{3E673512-1593-48F8-BF8D-336D5289320A}"/>
    <cellStyle name="Header2 21 3 3 2" xfId="29526" xr:uid="{055FE4FB-9606-4141-B7DA-EA98F0DE361E}"/>
    <cellStyle name="Header2 21 3 3 3" xfId="42826" xr:uid="{C8A02CA0-DF94-4115-BE2B-633EC3716B21}"/>
    <cellStyle name="Header2 21 3 4" xfId="22662" xr:uid="{2DA0D431-7080-477B-9B74-22D99DA8F197}"/>
    <cellStyle name="Header2 21 3 5" xfId="35715" xr:uid="{7E802FDD-968C-49B9-9D3C-D0C3F72F2D8B}"/>
    <cellStyle name="Header2 21 4" xfId="5887" xr:uid="{B34341C7-A1F5-4B89-BD4B-0D9123652CF5}"/>
    <cellStyle name="Header2 21 4 2" xfId="9047" xr:uid="{F82D76DA-4F61-4060-962A-DF5D0E0166B7}"/>
    <cellStyle name="Header2 21 4 2 2" xfId="16452" xr:uid="{D0977C85-DB54-4E57-A10E-5514B8D7D799}"/>
    <cellStyle name="Header2 21 4 2 2 2" xfId="32460" xr:uid="{27B0EFAC-F6B4-4449-9222-CA168068D4A0}"/>
    <cellStyle name="Header2 21 4 2 2 3" xfId="46000" xr:uid="{F881E067-E87E-4471-AB4B-9264C419FE7F}"/>
    <cellStyle name="Header2 21 4 2 3" xfId="26530" xr:uid="{529C18BF-3D6B-490E-B9E0-B51F6FFF97D6}"/>
    <cellStyle name="Header2 21 4 2 4" xfId="39606" xr:uid="{84627A46-F032-42B4-90BE-A9334301926A}"/>
    <cellStyle name="Header2 21 4 3" xfId="17284" xr:uid="{739E2E61-F037-4EA2-B836-4DFCDF823F83}"/>
    <cellStyle name="Header2 21 4 3 2" xfId="33042" xr:uid="{081EF126-A189-4A49-8E0A-19814596D973}"/>
    <cellStyle name="Header2 21 4 3 3" xfId="46818" xr:uid="{C0B00DC7-7FCC-4C9F-A6EB-4A7C14C31D67}"/>
    <cellStyle name="Header2 21 4 4" xfId="23534" xr:uid="{CC800969-5B7B-44D9-AFBC-5B94E561520F}"/>
    <cellStyle name="Header2 21 4 5" xfId="36615" xr:uid="{CEDE032F-5AF9-4412-87F7-40AABC7DAA4E}"/>
    <cellStyle name="Header2 21 5" xfId="15911" xr:uid="{31D22F8B-DC48-441F-B384-E7FBED97A94E}"/>
    <cellStyle name="Header2 21 5 2" xfId="31993" xr:uid="{F2688839-F3C3-42E9-9FFC-E49B737CAAE4}"/>
    <cellStyle name="Header2 21 5 3" xfId="45509" xr:uid="{5D091A7A-4805-4863-B5FA-4D01483037C1}"/>
    <cellStyle name="Header2 21 6" xfId="21800" xr:uid="{55F17714-DEDB-490B-B0A9-8E84289C693D}"/>
    <cellStyle name="Header2 21 7" xfId="34850" xr:uid="{D9C38AB6-BA9D-4E61-A3E3-557D6CEE4D37}"/>
    <cellStyle name="Header2 22" xfId="3077" xr:uid="{1AAC9F67-5AE8-46E8-BA8C-077E48FD8ABE}"/>
    <cellStyle name="Header2 22 2" xfId="4968" xr:uid="{FD9AA771-814B-4529-A7FE-B3C54693429C}"/>
    <cellStyle name="Header2 22 2 2" xfId="8369" xr:uid="{6D09046E-C19E-4884-9017-966AD3771BED}"/>
    <cellStyle name="Header2 22 2 2 2" xfId="12932" xr:uid="{B4BB7C3E-B263-4E30-854D-A3CEE0CC2643}"/>
    <cellStyle name="Header2 22 2 2 2 2" xfId="29475" xr:uid="{461CED28-738C-423E-B921-3A635467B6E7}"/>
    <cellStyle name="Header2 22 2 2 2 3" xfId="42771" xr:uid="{ECE63C0C-A486-41DB-9EC0-A498D2FB03D2}"/>
    <cellStyle name="Header2 22 2 2 3" xfId="25873" xr:uid="{4E75D186-6447-45F6-BB7C-76996AAA6D46}"/>
    <cellStyle name="Header2 22 2 2 4" xfId="38949" xr:uid="{213A4A9B-3228-41ED-B2FF-F09B86212DDA}"/>
    <cellStyle name="Header2 22 2 3" xfId="17113" xr:uid="{E9D662A4-01DE-4528-BCB6-C5E178DA1C33}"/>
    <cellStyle name="Header2 22 2 3 2" xfId="32878" xr:uid="{E7E65436-260F-44F8-9588-158C057EB325}"/>
    <cellStyle name="Header2 22 2 3 3" xfId="46649" xr:uid="{A01A7359-AB7B-49D5-9FBD-504AD4B7B37D}"/>
    <cellStyle name="Header2 22 2 4" xfId="22745" xr:uid="{78FB5EB0-345C-4E9B-8E88-070453207EBD}"/>
    <cellStyle name="Header2 22 2 5" xfId="35801" xr:uid="{065750CE-AAFC-42E0-8BD1-DA4011072012}"/>
    <cellStyle name="Header2 22 3" xfId="6736" xr:uid="{2DAAEAE1-E993-49CD-8C47-02B9537E2FA1}"/>
    <cellStyle name="Header2 22 3 2" xfId="16840" xr:uid="{9F0F4D43-AC2A-4B81-9937-1F137D0AADAE}"/>
    <cellStyle name="Header2 22 3 2 2" xfId="32718" xr:uid="{1024F349-9E4B-4F01-BE82-2F38CC8570AF}"/>
    <cellStyle name="Header2 22 3 2 3" xfId="46382" xr:uid="{D414BD6C-D706-4C13-B1A1-9EB8A29C0856}"/>
    <cellStyle name="Header2 22 3 3" xfId="24364" xr:uid="{FE7027EF-B24D-454A-9D94-028E3ABF95B6}"/>
    <cellStyle name="Header2 22 3 4" xfId="37445" xr:uid="{E90DE1D3-E74E-42CC-AD10-51A3595827E7}"/>
    <cellStyle name="Header2 22 4" xfId="15241" xr:uid="{82EC15DF-4F52-426D-8A98-DFD5553FC724}"/>
    <cellStyle name="Header2 22 4 2" xfId="31417" xr:uid="{F921E7C2-BBD9-4DED-9B20-6BBDF750BE22}"/>
    <cellStyle name="Header2 22 4 3" xfId="44892" xr:uid="{A4C96FCD-57B0-4282-ABFC-803528B815FA}"/>
    <cellStyle name="Header2 22 5" xfId="21116" xr:uid="{DE06C114-265B-404C-9C66-A46437DC45F3}"/>
    <cellStyle name="Header2 22 6" xfId="34139" xr:uid="{66FC639E-0A4D-4D77-966F-3AC2CC68485B}"/>
    <cellStyle name="Header2 23" xfId="2630" xr:uid="{A6F78A1B-0C4B-4BB7-B135-C1FC21D3A86E}"/>
    <cellStyle name="Header2 23 2" xfId="7927" xr:uid="{E921AA88-46E4-4F45-BC25-D5D87B58DEB3}"/>
    <cellStyle name="Header2 23 2 2" xfId="15162" xr:uid="{D0E25B10-5611-4B9A-9AC4-E3295987E276}"/>
    <cellStyle name="Header2 23 2 2 2" xfId="31356" xr:uid="{567F932D-3C63-4F3F-AD25-AC69968A60E1}"/>
    <cellStyle name="Header2 23 2 2 3" xfId="44822" xr:uid="{3175596E-0043-46F9-B11D-3207810F5591}"/>
    <cellStyle name="Header2 23 2 3" xfId="25443" xr:uid="{F3780A7A-A35D-494D-A2C2-470A40F529BA}"/>
    <cellStyle name="Header2 23 2 4" xfId="38519" xr:uid="{640CCA0F-D5DC-4D98-BEAA-11F2811712BE}"/>
    <cellStyle name="Header2 23 3" xfId="6294" xr:uid="{81A10B1D-568B-4DE2-903E-CAA0B2092E54}"/>
    <cellStyle name="Header2 23 3 2" xfId="15085" xr:uid="{75E67C2C-27D8-4167-9D7F-606307C09716}"/>
    <cellStyle name="Header2 23 3 2 2" xfId="31293" xr:uid="{42BF8FDA-00B5-4FC7-97C7-F0133860E973}"/>
    <cellStyle name="Header2 23 3 2 3" xfId="44752" xr:uid="{C5E473C5-33BA-4464-9E00-1A2E38320841}"/>
    <cellStyle name="Header2 23 3 3" xfId="23934" xr:uid="{DA1A7B37-42EF-4AA6-AC98-B9852F032637}"/>
    <cellStyle name="Header2 23 3 4" xfId="37015" xr:uid="{6A84B056-26E7-4293-8856-3C0F917ACD11}"/>
    <cellStyle name="Header2 23 4" xfId="15744" xr:uid="{ABDD7CC8-2440-41C5-9891-155AC29A136E}"/>
    <cellStyle name="Header2 23 4 2" xfId="31852" xr:uid="{2915D0C3-AF33-4A63-B220-F35BD3712039}"/>
    <cellStyle name="Header2 23 4 3" xfId="45362" xr:uid="{CC7D8610-B579-4CA4-9ADE-C4A7351D35CD}"/>
    <cellStyle name="Header2 23 5" xfId="20686" xr:uid="{5E44F29A-1D92-4B1F-AC52-DBD47D5B2D82}"/>
    <cellStyle name="Header2 23 6" xfId="33709" xr:uid="{67989E16-F60E-40D6-80EA-97664BB41842}"/>
    <cellStyle name="Header2 24" xfId="4152" xr:uid="{E6E68F0C-690D-4DDC-A2D3-02E8B58F6BA6}"/>
    <cellStyle name="Header2 24 2" xfId="9204" xr:uid="{1BAAB5DC-67F5-4E50-BDFC-6EA5C92F3332}"/>
    <cellStyle name="Header2 24 2 2" xfId="13870" xr:uid="{584E18FD-9132-47BD-A8FE-804F767FB907}"/>
    <cellStyle name="Header2 24 2 2 2" xfId="30268" xr:uid="{A2E4A1EF-11FB-4868-97C9-3571CD283BE7}"/>
    <cellStyle name="Header2 24 2 2 3" xfId="43640" xr:uid="{DF9BE604-5358-4001-80B7-F584DB4A6E92}"/>
    <cellStyle name="Header2 24 2 3" xfId="26679" xr:uid="{87A8D740-8006-4DA4-B0CA-E70A9C9115CB}"/>
    <cellStyle name="Header2 24 2 4" xfId="39755" xr:uid="{F0CA1B5C-B578-4C53-9CDC-1BCD1D6775AA}"/>
    <cellStyle name="Header2 24 3" xfId="7716" xr:uid="{E2695A96-5ED2-4595-9BEC-634CDB551106}"/>
    <cellStyle name="Header2 24 3 2" xfId="11196" xr:uid="{5BF9313D-82FA-4F7D-9A90-EEF9F26E56AD}"/>
    <cellStyle name="Header2 24 3 2 2" xfId="27990" xr:uid="{B92890E4-9B94-419F-B1B6-25CC4FE20382}"/>
    <cellStyle name="Header2 24 3 2 3" xfId="41172" xr:uid="{02748E0F-B1C2-4BA7-A96C-13293FE68493}"/>
    <cellStyle name="Header2 24 3 3" xfId="25238" xr:uid="{ADC9C9AA-E6E9-408A-9AD3-57ECD4C695E5}"/>
    <cellStyle name="Header2 24 3 4" xfId="38314" xr:uid="{7C96828F-D2CF-409E-9ABA-989BD9933610}"/>
    <cellStyle name="Header2 24 4" xfId="15373" xr:uid="{569F8D8C-72C4-436F-9919-B26A4BE5A349}"/>
    <cellStyle name="Header2 24 4 2" xfId="31529" xr:uid="{09D4EE2B-86FD-4A8E-B0C0-6CC3B29B9D9A}"/>
    <cellStyle name="Header2 24 4 3" xfId="45016" xr:uid="{6918692A-9D72-4BA6-8ED2-41D775AA5D8F}"/>
    <cellStyle name="Header2 24 5" xfId="21979" xr:uid="{F8568CA0-4681-4BD2-B4BC-1219445A9556}"/>
    <cellStyle name="Header2 24 6" xfId="35028" xr:uid="{2971B720-495D-412E-8EE5-CD834EF99FAF}"/>
    <cellStyle name="Header2 25" xfId="2538" xr:uid="{490DB8E7-92AF-4C09-BF19-63591E82F187}"/>
    <cellStyle name="Header2 25 2" xfId="7836" xr:uid="{9C56E8B6-5140-4FC7-9776-BF4203C26A2E}"/>
    <cellStyle name="Header2 25 2 2" xfId="14433" xr:uid="{8B8B43B1-92C3-4D86-9B7F-0CE262DBE67B}"/>
    <cellStyle name="Header2 25 2 2 2" xfId="30763" xr:uid="{C41DEFA9-CD36-4624-8D22-25B277318BE5}"/>
    <cellStyle name="Header2 25 2 2 3" xfId="44163" xr:uid="{53095616-06D3-4726-A980-6BD02E8D1499}"/>
    <cellStyle name="Header2 25 2 3" xfId="25356" xr:uid="{D59ED5D2-FE5B-433B-BC23-6344EC90A22C}"/>
    <cellStyle name="Header2 25 2 4" xfId="38432" xr:uid="{89FE57C3-294B-4963-96F6-6DD71A809A85}"/>
    <cellStyle name="Header2 25 3" xfId="6203" xr:uid="{66AE6465-13BC-440A-AE73-4ED70B389696}"/>
    <cellStyle name="Header2 25 3 2" xfId="16265" xr:uid="{9D7F6391-5E13-4B58-BC80-0E52B3C1A88D}"/>
    <cellStyle name="Header2 25 3 2 2" xfId="32299" xr:uid="{F96E9EF7-3510-4157-9C35-E6BE60B5A8B2}"/>
    <cellStyle name="Header2 25 3 2 3" xfId="45828" xr:uid="{90EE582D-0E44-41F2-96E5-76FAACC4C45B}"/>
    <cellStyle name="Header2 25 3 3" xfId="23847" xr:uid="{B8F1603F-3501-434E-872A-F09B2580B551}"/>
    <cellStyle name="Header2 25 3 4" xfId="36928" xr:uid="{E8D247D0-4153-4CDD-9FAA-C3AED8121F9A}"/>
    <cellStyle name="Header2 25 4" xfId="12887" xr:uid="{B5E82FE5-2983-4616-9B38-C573F829DBF7}"/>
    <cellStyle name="Header2 25 4 2" xfId="29444" xr:uid="{F1E65D49-6B61-4740-9CA3-6C3AF3CCD930}"/>
    <cellStyle name="Header2 25 4 3" xfId="42734" xr:uid="{0350BB9A-56D5-4072-9BFB-F5AEB8C0668D}"/>
    <cellStyle name="Header2 25 5" xfId="20599" xr:uid="{37FDB04F-3727-496C-BDB2-0EA2CD0F94AE}"/>
    <cellStyle name="Header2 25 6" xfId="33622" xr:uid="{BF7173B3-A868-45B2-A890-86A4B1728BD1}"/>
    <cellStyle name="Header2 26" xfId="4107" xr:uid="{D0B2D51F-05D6-454C-AEB7-D3A302C1DC6F}"/>
    <cellStyle name="Header2 26 2" xfId="9159" xr:uid="{7F435BFC-BCD6-4768-86A1-CC9D6921C8E3}"/>
    <cellStyle name="Header2 26 2 2" xfId="12592" xr:uid="{2056DC91-E58C-4BF9-B0CB-2ACAB9A89381}"/>
    <cellStyle name="Header2 26 2 2 2" xfId="29207" xr:uid="{C48146EB-519F-49CA-94E6-3C811CF1C3AD}"/>
    <cellStyle name="Header2 26 2 2 3" xfId="42471" xr:uid="{D5BE4F28-85AC-4738-B146-013AAF062DDA}"/>
    <cellStyle name="Header2 26 2 3" xfId="26640" xr:uid="{940B397A-2111-4E60-A4C6-40D838AAB713}"/>
    <cellStyle name="Header2 26 2 4" xfId="39716" xr:uid="{CBC9821C-1047-41B5-95FF-703D54FB1EE8}"/>
    <cellStyle name="Header2 26 3" xfId="7671" xr:uid="{9A6DC0D2-5D17-498B-B73A-71BBB63CD1A0}"/>
    <cellStyle name="Header2 26 3 2" xfId="14227" xr:uid="{6F69FFCB-9F28-4516-AAD1-A3B7EBBFC2F2}"/>
    <cellStyle name="Header2 26 3 2 2" xfId="30572" xr:uid="{F4FE3ECB-60B9-49EC-ACC3-621D83BC9158}"/>
    <cellStyle name="Header2 26 3 2 3" xfId="43964" xr:uid="{3616051A-CFFB-463A-A5F4-5115D961DACD}"/>
    <cellStyle name="Header2 26 3 3" xfId="25199" xr:uid="{04A2832D-CBD7-4DEE-94A3-E7D256C8AAA7}"/>
    <cellStyle name="Header2 26 3 4" xfId="38275" xr:uid="{31F728DC-E99E-4EE7-B162-CA81185CEBA7}"/>
    <cellStyle name="Header2 26 4" xfId="14382" xr:uid="{37382C8C-485C-4BE6-8992-5E016E0AD394}"/>
    <cellStyle name="Header2 26 4 2" xfId="30714" xr:uid="{723DEE61-3497-4446-BBD6-A9AC3BCC33C5}"/>
    <cellStyle name="Header2 26 4 3" xfId="44112" xr:uid="{FB241DD5-E165-45C5-A5CB-39BD5AB77625}"/>
    <cellStyle name="Header2 26 5" xfId="21940" xr:uid="{1C663438-A645-46C2-AFB2-01018DA84A75}"/>
    <cellStyle name="Header2 26 6" xfId="34989" xr:uid="{14AEC1C6-34DC-4702-8A4B-FE7EC8CC57A9}"/>
    <cellStyle name="Header2 27" xfId="4280" xr:uid="{1AD8DDA7-D8AF-487E-A4AD-B30DA6900BBB}"/>
    <cellStyle name="Header2 27 2" xfId="6149" xr:uid="{A13DAB35-7EF9-4810-9259-813F2E6D0DC8}"/>
    <cellStyle name="Header2 27 2 2" xfId="11713" xr:uid="{7E28F09B-9DA2-49B1-9433-4FA1A0C2E061}"/>
    <cellStyle name="Header2 27 2 2 2" xfId="28444" xr:uid="{0D4610AF-9A87-43AC-B40A-0A8D28F284A1}"/>
    <cellStyle name="Header2 27 2 2 3" xfId="41654" xr:uid="{DE57EC8E-BE12-4B69-BCA1-B08B81EE75AD}"/>
    <cellStyle name="Header2 27 2 3" xfId="23794" xr:uid="{76FA71FA-8DBD-4EB7-AF9D-AE71AE6921AD}"/>
    <cellStyle name="Header2 27 2 4" xfId="36875" xr:uid="{873CB564-2CB6-44C3-9D5F-551AF0D73C88}"/>
    <cellStyle name="Header2 27 3" xfId="14849" xr:uid="{9AAEA2F1-1D08-4C87-A07A-9F8D66EAFAE5}"/>
    <cellStyle name="Header2 27 3 2" xfId="31106" xr:uid="{B48443AB-C9C6-44DA-970B-3A5FC60E84AC}"/>
    <cellStyle name="Header2 27 3 3" xfId="44544" xr:uid="{BCE9AD7A-F5EA-4C78-91E2-397EA75368FC}"/>
    <cellStyle name="Header2 27 4" xfId="22101" xr:uid="{25EA559C-0737-4FC0-A7F9-86F8DBEF5802}"/>
    <cellStyle name="Header2 27 5" xfId="35150" xr:uid="{7BA14896-662B-4702-A6A9-44853003B845}"/>
    <cellStyle name="Header2 28" xfId="5255" xr:uid="{948DB470-0131-4E6A-9F78-39C30C95EC4B}"/>
    <cellStyle name="Header2 28 2" xfId="9688" xr:uid="{32ED42D5-14A6-426A-8BEE-DD4AEB9974CE}"/>
    <cellStyle name="Header2 28 2 2" xfId="15899" xr:uid="{8BA2CAE8-1C98-4A76-A38D-D7D649A45BC8}"/>
    <cellStyle name="Header2 28 2 2 2" xfId="31982" xr:uid="{6059CA18-6BB8-4AD1-A123-0F0D6FA848D5}"/>
    <cellStyle name="Header2 28 2 2 3" xfId="45498" xr:uid="{BEEB947B-87A7-4227-B36C-D814C35C7DCE}"/>
    <cellStyle name="Header2 28 2 3" xfId="26992" xr:uid="{85ADC9AC-17A5-47D3-992A-410A66CDFEC4}"/>
    <cellStyle name="Header2 28 2 4" xfId="40104" xr:uid="{09FDA37C-0737-4ED1-88B1-D5E99CF009CB}"/>
    <cellStyle name="Header2 28 3" xfId="16364" xr:uid="{2F1B41B3-2268-4380-B116-65061325AD44}"/>
    <cellStyle name="Header2 28 3 2" xfId="32385" xr:uid="{CB9C67AE-CD69-4562-A593-F91423CB36FF}"/>
    <cellStyle name="Header2 28 3 3" xfId="45918" xr:uid="{2478AAEE-137E-43C2-9BA8-AF47908B6174}"/>
    <cellStyle name="Header2 28 4" xfId="22911" xr:uid="{0E38B25C-8E8F-4246-BA36-4DA7A9672270}"/>
    <cellStyle name="Header2 28 5" xfId="35985" xr:uid="{A2EE0E06-3FE8-4CF5-8FC6-C698C5B27C9B}"/>
    <cellStyle name="Header2 29" xfId="5345" xr:uid="{A6805195-AD92-4B92-8F1A-8E1813214BF7}"/>
    <cellStyle name="Header2 29 2" xfId="9776" xr:uid="{08DA8195-749C-4122-B8E1-9C126F75AAB4}"/>
    <cellStyle name="Header2 29 2 2" xfId="10771" xr:uid="{9ACD1BB6-61F6-4D59-B5CB-BED2337AF2D2}"/>
    <cellStyle name="Header2 29 2 2 2" xfId="27606" xr:uid="{94B01D13-E0BB-43C0-81FD-C13EAA64C4EF}"/>
    <cellStyle name="Header2 29 2 2 3" xfId="40752" xr:uid="{8902EDE8-34CF-4742-B768-692641427710}"/>
    <cellStyle name="Header2 29 2 3" xfId="27073" xr:uid="{6567C1E6-B321-403B-AD98-ACAF60CD46FE}"/>
    <cellStyle name="Header2 29 2 4" xfId="40192" xr:uid="{DF9A7597-A985-441A-BED3-5BB3DE12EA1A}"/>
    <cellStyle name="Header2 29 3" xfId="13188" xr:uid="{378E07FA-2E99-46E0-B38A-8C9BAA12E1E9}"/>
    <cellStyle name="Header2 29 3 2" xfId="29693" xr:uid="{479347EE-610D-4D71-ABD3-0DC94C437FED}"/>
    <cellStyle name="Header2 29 3 3" xfId="43010" xr:uid="{F3B12007-468F-42EA-9586-4A3DAF594D81}"/>
    <cellStyle name="Header2 29 4" xfId="22992" xr:uid="{8FECC6F3-DEF9-4C96-80F8-D82F4F1B9884}"/>
    <cellStyle name="Header2 29 5" xfId="36073" xr:uid="{B299AA45-77DF-486D-B67C-BEBD24C806EA}"/>
    <cellStyle name="Header2 3" xfId="2212" xr:uid="{87C26EEB-F6B8-4959-8BAD-C75F49BE9CDE}"/>
    <cellStyle name="Header2 3 10" xfId="3675" xr:uid="{7CA52417-AB1B-4208-8694-1A7A67D1A5E9}"/>
    <cellStyle name="Header2 3 10 2" xfId="2991" xr:uid="{EA5E15F8-1697-40C3-98AD-FCBF3463A7E8}"/>
    <cellStyle name="Header2 3 10 2 2" xfId="8287" xr:uid="{9E2E9092-0B5D-4092-8954-C0901E379C32}"/>
    <cellStyle name="Header2 3 10 2 2 2" xfId="13036" xr:uid="{4B79561F-91D6-4E8B-B7E2-1F30070F04AF}"/>
    <cellStyle name="Header2 3 10 2 2 2 2" xfId="29564" xr:uid="{93DF8313-062A-45A7-B033-9ED3EEB55EB7}"/>
    <cellStyle name="Header2 3 10 2 2 2 3" xfId="42867" xr:uid="{5051FA97-6B84-4BEC-8E99-A5A66673154C}"/>
    <cellStyle name="Header2 3 10 2 2 3" xfId="25793" xr:uid="{070A6CFB-8BAA-4388-95E5-E0F998A48820}"/>
    <cellStyle name="Header2 3 10 2 2 4" xfId="38869" xr:uid="{312876F8-4580-4FE4-9CA3-2789E3426315}"/>
    <cellStyle name="Header2 3 10 2 3" xfId="6654" xr:uid="{8F711188-BBDA-43A2-A3FE-EA9A238E1ABA}"/>
    <cellStyle name="Header2 3 10 2 3 2" xfId="15225" xr:uid="{98713FA1-08B0-4AE5-8C32-978F5697CDE5}"/>
    <cellStyle name="Header2 3 10 2 3 2 2" xfId="31401" xr:uid="{18C4E5D3-FDD3-4487-B24E-897F257CC7C4}"/>
    <cellStyle name="Header2 3 10 2 3 2 3" xfId="44876" xr:uid="{3E6627C4-6CC9-4B11-9070-CC46DE2960AC}"/>
    <cellStyle name="Header2 3 10 2 3 3" xfId="24284" xr:uid="{316CD478-D031-47CE-93F0-63EE6C803C0E}"/>
    <cellStyle name="Header2 3 10 2 3 4" xfId="37365" xr:uid="{C5E25D39-51AC-4234-966E-69E10256C566}"/>
    <cellStyle name="Header2 3 10 2 4" xfId="12108" xr:uid="{701FD96D-D21B-49A7-8B76-05F75B17C14C}"/>
    <cellStyle name="Header2 3 10 2 4 2" xfId="28808" xr:uid="{601FD8F2-2D81-476E-BF4A-668268E173E2}"/>
    <cellStyle name="Header2 3 10 2 4 3" xfId="42028" xr:uid="{FE05E41B-E4E5-4DC1-B2D7-9AF58FE32AAB}"/>
    <cellStyle name="Header2 3 10 2 5" xfId="21036" xr:uid="{60FE60B9-647A-456A-BE0B-F25ADF6F7FBF}"/>
    <cellStyle name="Header2 3 10 2 6" xfId="34059" xr:uid="{5B981681-BFCD-4270-9DFE-0522B67FA3DB}"/>
    <cellStyle name="Header2 3 10 3" xfId="4612" xr:uid="{2233F9BC-9557-4D14-9796-834EF36FE556}"/>
    <cellStyle name="Header2 3 10 3 2" xfId="7310" xr:uid="{CECA7686-6A27-44FE-A1CA-9829C4AFB898}"/>
    <cellStyle name="Header2 3 10 3 2 2" xfId="11071" xr:uid="{3C2888D7-0E60-4E46-B4B1-ACC5186A98F9}"/>
    <cellStyle name="Header2 3 10 3 2 2 2" xfId="27874" xr:uid="{B6B297D8-7A2E-407C-BCF8-8E567C3BA634}"/>
    <cellStyle name="Header2 3 10 3 2 2 3" xfId="41050" xr:uid="{C4B8D759-4D48-4616-80C5-1933C0D1B6F6}"/>
    <cellStyle name="Header2 3 10 3 2 3" xfId="24871" xr:uid="{DC41CB57-2A48-4138-8A02-47D9928315FF}"/>
    <cellStyle name="Header2 3 10 3 2 4" xfId="37951" xr:uid="{8A952E17-D22C-46FA-8ECE-5CCC9D748566}"/>
    <cellStyle name="Header2 3 10 3 3" xfId="13524" xr:uid="{046D3D5B-67BD-4D39-8550-D5086C8D3C4A}"/>
    <cellStyle name="Header2 3 10 3 3 2" xfId="29976" xr:uid="{BB07F4E5-DEEA-4099-BB4F-724F6CAD2F3B}"/>
    <cellStyle name="Header2 3 10 3 3 3" xfId="43320" xr:uid="{BB497135-79BD-4F76-94A4-8AE08C2C7669}"/>
    <cellStyle name="Header2 3 10 3 4" xfId="22425" xr:uid="{30C6FD11-FC99-43B9-99FB-DF9264B87376}"/>
    <cellStyle name="Header2 3 10 3 5" xfId="35475" xr:uid="{3D6471C1-17CE-48D9-9DC7-AB36C5843443}"/>
    <cellStyle name="Header2 3 10 4" xfId="5684" xr:uid="{BB687D50-F972-4C86-AA4C-878B3E696382}"/>
    <cellStyle name="Header2 3 10 4 2" xfId="8871" xr:uid="{91748199-3274-411B-93F6-FBA438987B04}"/>
    <cellStyle name="Header2 3 10 4 2 2" xfId="14473" xr:uid="{9A96D398-4A6E-4D94-B70B-D56D0824CEE6}"/>
    <cellStyle name="Header2 3 10 4 2 2 2" xfId="30797" xr:uid="{A1C1AB8E-13FA-4DF2-B1C1-1024280D32C5}"/>
    <cellStyle name="Header2 3 10 4 2 2 3" xfId="44202" xr:uid="{8AFA6CA7-7CCA-4073-920E-B81BBBCA5F86}"/>
    <cellStyle name="Header2 3 10 4 2 3" xfId="26359" xr:uid="{5BA15504-50D2-4BF3-B166-8829EB5B79CA}"/>
    <cellStyle name="Header2 3 10 4 2 4" xfId="39435" xr:uid="{6F9B56E2-9AB0-4F1D-A506-A7C68115A2BF}"/>
    <cellStyle name="Header2 3 10 4 3" xfId="14799" xr:uid="{D85B351A-48A3-4E33-BC68-CA828DADAD9A}"/>
    <cellStyle name="Header2 3 10 4 3 2" xfId="31063" xr:uid="{02C36F21-2A94-46CA-9536-3FFB3113E3FC}"/>
    <cellStyle name="Header2 3 10 4 3 3" xfId="44496" xr:uid="{B9FC089A-4B1C-4886-A509-CB0CAB03A05D}"/>
    <cellStyle name="Header2 3 10 4 4" xfId="23331" xr:uid="{9243C486-32BF-44B8-ACBF-2BC7304D7E45}"/>
    <cellStyle name="Header2 3 10 4 5" xfId="36412" xr:uid="{5ADA17C0-72F2-4D87-A0F9-DCB3FB685FA4}"/>
    <cellStyle name="Header2 3 10 5" xfId="17050" xr:uid="{FBEEFBE1-CFE0-46DF-837F-7589D3AFB3AB}"/>
    <cellStyle name="Header2 3 10 5 2" xfId="32821" xr:uid="{7B87DA20-985E-4F1C-BC39-4216FF86BCE7}"/>
    <cellStyle name="Header2 3 10 5 3" xfId="46591" xr:uid="{59D00C2D-BC99-4046-B85B-18416FF7A05E}"/>
    <cellStyle name="Header2 3 10 6" xfId="21593" xr:uid="{C010E45B-FB50-4032-8768-BAD89E2DC58F}"/>
    <cellStyle name="Header2 3 10 7" xfId="34647" xr:uid="{9DBDD138-F009-4BDE-930A-EF8355BAEB76}"/>
    <cellStyle name="Header2 3 11" xfId="3609" xr:uid="{4F80416C-E1FE-4A8D-AA7B-E47CBCAF6210}"/>
    <cellStyle name="Header2 3 11 2" xfId="2940" xr:uid="{7430ACE2-C198-436B-9C20-76B77D2FE6DC}"/>
    <cellStyle name="Header2 3 11 2 2" xfId="8236" xr:uid="{05B94A2F-0AEB-4FC4-ADEA-F14C5E0FD6D9}"/>
    <cellStyle name="Header2 3 11 2 2 2" xfId="13986" xr:uid="{B0B6E343-8541-4A23-A6E5-7032625D5DC6}"/>
    <cellStyle name="Header2 3 11 2 2 2 2" xfId="30372" xr:uid="{FB6E16DB-3DC6-4EEF-9E2B-1CC3B6EE94ED}"/>
    <cellStyle name="Header2 3 11 2 2 2 3" xfId="43750" xr:uid="{500BAC2D-57FA-461C-A56F-6767F4A2F227}"/>
    <cellStyle name="Header2 3 11 2 2 3" xfId="25745" xr:uid="{C2749064-8BA4-4FA5-B03F-46843CE29B4D}"/>
    <cellStyle name="Header2 3 11 2 2 4" xfId="38821" xr:uid="{88BC20D1-90EA-43B4-8824-E81A769BDF7A}"/>
    <cellStyle name="Header2 3 11 2 3" xfId="6603" xr:uid="{101BC1C5-6195-4DB0-A6AB-DC77D5140330}"/>
    <cellStyle name="Header2 3 11 2 3 2" xfId="14053" xr:uid="{70ABA5C6-CA9E-482A-A894-FA823F5EE843}"/>
    <cellStyle name="Header2 3 11 2 3 2 2" xfId="30423" xr:uid="{84635F89-A25F-49EE-BDA2-976CD14F6089}"/>
    <cellStyle name="Header2 3 11 2 3 2 3" xfId="43806" xr:uid="{86768868-026A-4D39-A973-2FE770E834C7}"/>
    <cellStyle name="Header2 3 11 2 3 3" xfId="24236" xr:uid="{CC2FB88C-ADB2-490B-9826-695D61E54A19}"/>
    <cellStyle name="Header2 3 11 2 3 4" xfId="37317" xr:uid="{0B695CD3-F1B1-4C1B-8831-DFF4531BC8F0}"/>
    <cellStyle name="Header2 3 11 2 4" xfId="16008" xr:uid="{89D43230-364E-4FB9-A255-A03920C7F90F}"/>
    <cellStyle name="Header2 3 11 2 4 2" xfId="32078" xr:uid="{94AD01E5-A7E0-4930-93EA-E5CE27709FA0}"/>
    <cellStyle name="Header2 3 11 2 4 3" xfId="45597" xr:uid="{F8DDB361-BA2E-449E-9509-14EEC21F44FB}"/>
    <cellStyle name="Header2 3 11 2 5" xfId="20988" xr:uid="{E9FC6547-0E61-444E-B9C1-BD2682F5BA3E}"/>
    <cellStyle name="Header2 3 11 2 6" xfId="34011" xr:uid="{56C01E56-6082-4768-8087-73FDEE54C541}"/>
    <cellStyle name="Header2 3 11 3" xfId="4679" xr:uid="{AB7F456F-E307-46B1-85E1-A0C41D6FE6C4}"/>
    <cellStyle name="Header2 3 11 3 2" xfId="7245" xr:uid="{C41CFFC4-4E68-453C-AEAF-E6CD6012A57E}"/>
    <cellStyle name="Header2 3 11 3 2 2" xfId="14830" xr:uid="{DBB24CAC-4EB1-42BD-A631-5E25A462D413}"/>
    <cellStyle name="Header2 3 11 3 2 2 2" xfId="31089" xr:uid="{FC19F4ED-8A0F-4826-9C18-AB19BD8E1750}"/>
    <cellStyle name="Header2 3 11 3 2 2 3" xfId="44526" xr:uid="{CE2F4E42-EAD9-4070-8398-07A58E55E618}"/>
    <cellStyle name="Header2 3 11 3 2 3" xfId="24833" xr:uid="{783DA47E-0032-401A-8B0B-32A86EE20F19}"/>
    <cellStyle name="Header2 3 11 3 2 4" xfId="37914" xr:uid="{DCD56960-CE6B-4921-9BB2-BCF6BF7DC75E}"/>
    <cellStyle name="Header2 3 11 3 3" xfId="15673" xr:uid="{A41365E9-0BFD-4716-BC40-EE671B109232}"/>
    <cellStyle name="Header2 3 11 3 3 2" xfId="31787" xr:uid="{5A6B1D6C-CF20-4946-AA9F-D19FCECC7A27}"/>
    <cellStyle name="Header2 3 11 3 3 3" xfId="45294" xr:uid="{1B956EC6-6C11-4852-B154-0A107A9B89CE}"/>
    <cellStyle name="Header2 3 11 3 4" xfId="22487" xr:uid="{6AFC8F0D-472B-4C0B-8322-5106D49F40B0}"/>
    <cellStyle name="Header2 3 11 3 5" xfId="35540" xr:uid="{AC07DAF4-44F3-4DE8-9670-60DE4B8D0734}"/>
    <cellStyle name="Header2 3 11 4" xfId="5647" xr:uid="{973BAF2A-28D2-4876-8304-44CF14E1D453}"/>
    <cellStyle name="Header2 3 11 4 2" xfId="8831" xr:uid="{A62324F1-9C8C-4A81-B910-03D9B0392A62}"/>
    <cellStyle name="Header2 3 11 4 2 2" xfId="14716" xr:uid="{9B2C86D7-40A0-4882-8EDB-5E1F9C1E827E}"/>
    <cellStyle name="Header2 3 11 4 2 2 2" xfId="31003" xr:uid="{CF790F24-D721-427D-A51F-F9B51760D013}"/>
    <cellStyle name="Header2 3 11 4 2 2 3" xfId="44426" xr:uid="{0B3E1752-6A58-4DB6-926A-89A26AA7B7C5}"/>
    <cellStyle name="Header2 3 11 4 2 3" xfId="26322" xr:uid="{54B7B24C-3C6D-4ACB-BEF8-29B642594308}"/>
    <cellStyle name="Header2 3 11 4 2 4" xfId="39398" xr:uid="{578CBD6C-B029-44C2-BC43-D840BC4B50D1}"/>
    <cellStyle name="Header2 3 11 4 3" xfId="12213" xr:uid="{677759EC-2CAF-44F2-B9C7-FCAB5462B372}"/>
    <cellStyle name="Header2 3 11 4 3 2" xfId="28900" xr:uid="{7A1FD2A2-CAFB-4D51-949F-2A2DB4F6941A}"/>
    <cellStyle name="Header2 3 11 4 3 3" xfId="42130" xr:uid="{F2B7698C-3426-42AD-9E1C-45B981C2922A}"/>
    <cellStyle name="Header2 3 11 4 4" xfId="23294" xr:uid="{5B2702D5-CC1A-4989-876F-B462900E26EA}"/>
    <cellStyle name="Header2 3 11 4 5" xfId="36375" xr:uid="{F5D239E4-06BE-4E01-AC72-72605A197A12}"/>
    <cellStyle name="Header2 3 11 5" xfId="14337" xr:uid="{6BC88AE2-F59A-4DA6-910F-5B0CE894FA8C}"/>
    <cellStyle name="Header2 3 11 5 2" xfId="30671" xr:uid="{149A0401-E420-45A6-898E-AF0AFE92D7C0}"/>
    <cellStyle name="Header2 3 11 5 3" xfId="44067" xr:uid="{88E93F3A-027A-4820-986E-67BEAF7E3381}"/>
    <cellStyle name="Header2 3 11 6" xfId="21556" xr:uid="{A8FAFADC-0E3B-4D89-9BFE-C6F842FC3F82}"/>
    <cellStyle name="Header2 3 11 7" xfId="34610" xr:uid="{984E235B-5FD3-439F-8C31-68EA27420C62}"/>
    <cellStyle name="Header2 3 12" xfId="3658" xr:uid="{88DC448F-5AD7-4A06-B7E8-7DAE0C37659B}"/>
    <cellStyle name="Header2 3 12 2" xfId="2978" xr:uid="{7A6375C3-E0B0-44B6-983D-C2932E3F0648}"/>
    <cellStyle name="Header2 3 12 2 2" xfId="8274" xr:uid="{5336A6DE-29A5-48D1-B021-F408219BA5C8}"/>
    <cellStyle name="Header2 3 12 2 2 2" xfId="14987" xr:uid="{77FB3D6A-1187-4055-8526-66DA578C2ED5}"/>
    <cellStyle name="Header2 3 12 2 2 2 2" xfId="31220" xr:uid="{C7A33F85-1415-4699-A5A1-FD031AB556CB}"/>
    <cellStyle name="Header2 3 12 2 2 2 3" xfId="44669" xr:uid="{45C2FDBD-AFF9-4B60-B787-138FFB820582}"/>
    <cellStyle name="Header2 3 12 2 2 3" xfId="25782" xr:uid="{C36B4CD6-A7AE-4BED-9BAA-90E69E048F28}"/>
    <cellStyle name="Header2 3 12 2 2 4" xfId="38858" xr:uid="{D3DD1879-3F65-4E53-960D-5DDB1AC22AC9}"/>
    <cellStyle name="Header2 3 12 2 3" xfId="6641" xr:uid="{A3854360-EFEA-4961-9EA3-B9CD24641D8F}"/>
    <cellStyle name="Header2 3 12 2 3 2" xfId="16823" xr:uid="{E56D02A3-C55D-4374-A6FF-13109F34DBBB}"/>
    <cellStyle name="Header2 3 12 2 3 2 2" xfId="32703" xr:uid="{CAA0F8EA-A7FF-43E5-A633-7A0564027DCD}"/>
    <cellStyle name="Header2 3 12 2 3 2 3" xfId="46366" xr:uid="{D219CD6B-9AE7-4220-99E7-2AE0919295AA}"/>
    <cellStyle name="Header2 3 12 2 3 3" xfId="24273" xr:uid="{89121F2E-5749-4BEF-86C0-4781ABC5EF4C}"/>
    <cellStyle name="Header2 3 12 2 3 4" xfId="37354" xr:uid="{BA18E878-1F8F-4826-BB6E-9A44821655EC}"/>
    <cellStyle name="Header2 3 12 2 4" xfId="17111" xr:uid="{B4849BF8-EAA2-4DF2-9299-483B7FBA2F3F}"/>
    <cellStyle name="Header2 3 12 2 4 2" xfId="32877" xr:uid="{FC19611E-91D8-43D8-ADC0-218FFE4F7B10}"/>
    <cellStyle name="Header2 3 12 2 4 3" xfId="46648" xr:uid="{E11E8BE1-1EA9-4B00-B7A2-F97BDF7E3993}"/>
    <cellStyle name="Header2 3 12 2 5" xfId="21025" xr:uid="{8DE3BA51-F3FC-484E-9DAF-C54B5C92DFD0}"/>
    <cellStyle name="Header2 3 12 2 6" xfId="34048" xr:uid="{6A87B5B3-CC27-4C1F-86E3-5FE59785D43E}"/>
    <cellStyle name="Header2 3 12 3" xfId="4701" xr:uid="{F304DDA0-FB6C-41D5-AA9C-B3A7E438FBB7}"/>
    <cellStyle name="Header2 3 12 3 2" xfId="7293" xr:uid="{62EA863A-E718-4D49-B390-446BCAEEC0B1}"/>
    <cellStyle name="Header2 3 12 3 2 2" xfId="16304" xr:uid="{45024D98-DA7A-4D4B-AF71-A1C78F77DAF1}"/>
    <cellStyle name="Header2 3 12 3 2 2 2" xfId="32331" xr:uid="{07D5A193-E752-4B13-A7C4-BC124671288C}"/>
    <cellStyle name="Header2 3 12 3 2 2 3" xfId="45862" xr:uid="{CF9CC262-3D5C-401A-950E-F20438CA66FC}"/>
    <cellStyle name="Header2 3 12 3 2 3" xfId="24860" xr:uid="{743A2C8B-6400-4291-B58F-B565054695AF}"/>
    <cellStyle name="Header2 3 12 3 2 4" xfId="37941" xr:uid="{F46F779D-28FF-47EF-8594-DE7558A177F9}"/>
    <cellStyle name="Header2 3 12 3 3" xfId="17047" xr:uid="{F667A6E7-EF87-4AA8-A9CD-4948A40500C6}"/>
    <cellStyle name="Header2 3 12 3 3 2" xfId="32820" xr:uid="{074EF689-54FE-4120-BC35-D920813FCF25}"/>
    <cellStyle name="Header2 3 12 3 3 3" xfId="46589" xr:uid="{CC8B80C2-61D5-4490-A70E-74C59AF3324E}"/>
    <cellStyle name="Header2 3 12 3 4" xfId="22508" xr:uid="{5C900D14-7579-4254-ADEA-35F7CBEFDCD8}"/>
    <cellStyle name="Header2 3 12 3 5" xfId="35561" xr:uid="{2724DF37-A4F6-475B-B333-5557DC9658E0}"/>
    <cellStyle name="Header2 3 12 4" xfId="5674" xr:uid="{D7D0D893-9DAF-43FC-BEEF-7C21DD554026}"/>
    <cellStyle name="Header2 3 12 4 2" xfId="8859" xr:uid="{7C766FB2-D03B-4987-AE32-7FA08092447E}"/>
    <cellStyle name="Header2 3 12 4 2 2" xfId="13499" xr:uid="{534E29D3-EA48-4F3C-A885-1BAE83A834AF}"/>
    <cellStyle name="Header2 3 12 4 2 2 2" xfId="29957" xr:uid="{B9E63D92-DF0B-4AD8-9007-5358EE32E678}"/>
    <cellStyle name="Header2 3 12 4 2 2 3" xfId="43298" xr:uid="{A97DDB43-2769-45AD-8D1A-26720E61EC3B}"/>
    <cellStyle name="Header2 3 12 4 2 3" xfId="26349" xr:uid="{237E7AD7-BA39-4373-BC00-3E79E0618E6C}"/>
    <cellStyle name="Header2 3 12 4 2 4" xfId="39425" xr:uid="{84DA47C9-81E2-4913-AE07-B44E4347F90C}"/>
    <cellStyle name="Header2 3 12 4 3" xfId="16111" xr:uid="{9A075857-9739-4F8C-8473-D45416AA9B49}"/>
    <cellStyle name="Header2 3 12 4 3 2" xfId="32168" xr:uid="{0E977716-16F3-419A-B2A8-8FB73DCDCB71}"/>
    <cellStyle name="Header2 3 12 4 3 3" xfId="45689" xr:uid="{7658939D-819E-4C87-93B7-C7FF1C5E0F83}"/>
    <cellStyle name="Header2 3 12 4 4" xfId="23321" xr:uid="{2789BBA5-FC16-4A57-983A-1DE45C528DF7}"/>
    <cellStyle name="Header2 3 12 4 5" xfId="36402" xr:uid="{4D75BFA8-FC7E-447E-B076-5D9089348332}"/>
    <cellStyle name="Header2 3 12 5" xfId="11280" xr:uid="{84A0C7D2-4E4C-4E9B-A3D2-78D871EFC064}"/>
    <cellStyle name="Header2 3 12 5 2" xfId="28067" xr:uid="{BCBC52DF-EE59-435D-805D-7325F0FBE3A7}"/>
    <cellStyle name="Header2 3 12 5 3" xfId="41249" xr:uid="{5BE7F85B-ACB6-4758-89CA-3ADA1789CAB6}"/>
    <cellStyle name="Header2 3 12 6" xfId="21583" xr:uid="{2F15AC2C-BFF5-4226-A35E-0BB4C7B9C526}"/>
    <cellStyle name="Header2 3 12 7" xfId="34637" xr:uid="{BC0174E1-538A-4511-AE3C-CC52273030CF}"/>
    <cellStyle name="Header2 3 13" xfId="3638" xr:uid="{612E22B8-E90C-463B-8171-118C8F4738E4}"/>
    <cellStyle name="Header2 3 13 2" xfId="2962" xr:uid="{28F68BB8-E409-4A72-8E7A-C296340BE403}"/>
    <cellStyle name="Header2 3 13 2 2" xfId="8258" xr:uid="{1261BF2B-B7A2-4119-847A-4D6430CF602A}"/>
    <cellStyle name="Header2 3 13 2 2 2" xfId="10714" xr:uid="{AF46A020-8BFC-4CF2-BEBF-3746A7D1762A}"/>
    <cellStyle name="Header2 3 13 2 2 2 2" xfId="27559" xr:uid="{F67171D0-5BCC-4427-83CE-578B6C8247FC}"/>
    <cellStyle name="Header2 3 13 2 2 2 3" xfId="40695" xr:uid="{33DD059D-5FBF-441A-9B2F-87E38DE6C75B}"/>
    <cellStyle name="Header2 3 13 2 2 3" xfId="25767" xr:uid="{0FE3B558-67DF-4229-A5A7-96B13E76B769}"/>
    <cellStyle name="Header2 3 13 2 2 4" xfId="38843" xr:uid="{FE7F571F-A5B5-4566-B94F-9EB60BE5D917}"/>
    <cellStyle name="Header2 3 13 2 3" xfId="6625" xr:uid="{CE368806-9BD1-43D0-B558-77C0392D7D15}"/>
    <cellStyle name="Header2 3 13 2 3 2" xfId="16861" xr:uid="{E148D173-3C78-450A-A9A3-04205BCE1EA4}"/>
    <cellStyle name="Header2 3 13 2 3 2 2" xfId="32738" xr:uid="{E69971CD-9ECB-4FD6-88B4-7BD9687AC4F4}"/>
    <cellStyle name="Header2 3 13 2 3 2 3" xfId="46403" xr:uid="{720E3C2F-A09F-4807-8A5F-0AB472FB5716}"/>
    <cellStyle name="Header2 3 13 2 3 3" xfId="24258" xr:uid="{B9942258-6EF6-4BBF-841E-A4F8A73619EA}"/>
    <cellStyle name="Header2 3 13 2 3 4" xfId="37339" xr:uid="{62780F55-3292-4426-BEF0-F108152F12EB}"/>
    <cellStyle name="Header2 3 13 2 4" xfId="10942" xr:uid="{BDC3942E-8184-4D39-A614-D17F27959001}"/>
    <cellStyle name="Header2 3 13 2 4 2" xfId="27758" xr:uid="{AF0F7175-F330-466C-8AA5-8DCB05B43A00}"/>
    <cellStyle name="Header2 3 13 2 4 3" xfId="40922" xr:uid="{5CF8F213-F45E-44CA-9474-0CF572505329}"/>
    <cellStyle name="Header2 3 13 2 5" xfId="21010" xr:uid="{850D6886-533C-45DE-AEFB-F5481017431E}"/>
    <cellStyle name="Header2 3 13 2 6" xfId="34033" xr:uid="{466CF329-6CD3-4236-B85A-9F46B5F57BB8}"/>
    <cellStyle name="Header2 3 13 3" xfId="4690" xr:uid="{CC6778B5-53B5-4B97-9B86-439C99B30420}"/>
    <cellStyle name="Header2 3 13 3 2" xfId="7273" xr:uid="{914AAA2B-5EB2-4B43-9150-EF7AEBE6AA40}"/>
    <cellStyle name="Header2 3 13 3 2 2" xfId="12329" xr:uid="{AE3549FA-1511-43D8-B338-449DE8215B70}"/>
    <cellStyle name="Header2 3 13 3 2 2 2" xfId="28997" xr:uid="{C48D808E-5112-4CE0-929D-AB842DB9008F}"/>
    <cellStyle name="Header2 3 13 3 2 2 3" xfId="42237" xr:uid="{82B5B6CB-4653-44FA-8090-A287DD51CA0C}"/>
    <cellStyle name="Header2 3 13 3 2 3" xfId="24849" xr:uid="{2050826B-7EC7-471A-B765-8EFAEBAD5457}"/>
    <cellStyle name="Header2 3 13 3 2 4" xfId="37930" xr:uid="{7A02B5D6-32D0-4741-9A67-C7CF14D9469F}"/>
    <cellStyle name="Header2 3 13 3 3" xfId="14597" xr:uid="{C06590FC-3A31-41E7-AB57-F84F695B9308}"/>
    <cellStyle name="Header2 3 13 3 3 2" xfId="30897" xr:uid="{CB97710B-6BC0-4134-B245-DDDF1D21B841}"/>
    <cellStyle name="Header2 3 13 3 3 3" xfId="44316" xr:uid="{EFC56584-7793-4EBE-A340-7E1CFE834C73}"/>
    <cellStyle name="Header2 3 13 3 4" xfId="22498" xr:uid="{E806EEC1-DF39-41A9-8AD8-9304EFC06B2B}"/>
    <cellStyle name="Header2 3 13 3 5" xfId="35551" xr:uid="{551245F4-6094-4929-A684-B47E4BCB4173}"/>
    <cellStyle name="Header2 3 13 4" xfId="5663" xr:uid="{E181F9EE-5114-4A61-85D1-8238E0772A87}"/>
    <cellStyle name="Header2 3 13 4 2" xfId="8847" xr:uid="{240D5441-BA91-415F-BD8D-9BB3E4B84B89}"/>
    <cellStyle name="Header2 3 13 4 2 2" xfId="15111" xr:uid="{3E8ADCB0-159B-45C6-B0AB-1C85D7C79C72}"/>
    <cellStyle name="Header2 3 13 4 2 2 2" xfId="31316" xr:uid="{AF7A6471-1FA9-4CC9-B4E9-2C7D70776157}"/>
    <cellStyle name="Header2 3 13 4 2 2 3" xfId="44778" xr:uid="{D0D6D8D1-661A-48B0-BC6E-E6564DEFBD31}"/>
    <cellStyle name="Header2 3 13 4 2 3" xfId="26338" xr:uid="{9F1512A1-6C2B-44E6-B884-3B006A71FA6B}"/>
    <cellStyle name="Header2 3 13 4 2 4" xfId="39414" xr:uid="{47758F0D-7426-46AE-8B9E-3B9D773F3BA4}"/>
    <cellStyle name="Header2 3 13 4 3" xfId="14483" xr:uid="{48FC342E-8E48-4170-A178-C7E45976C6DB}"/>
    <cellStyle name="Header2 3 13 4 3 2" xfId="30806" xr:uid="{700DB9D0-2208-4E62-9BAF-56C3DF97E9AB}"/>
    <cellStyle name="Header2 3 13 4 3 3" xfId="44212" xr:uid="{6BF1D84A-53FC-4EA8-B9BC-887937A2CFAD}"/>
    <cellStyle name="Header2 3 13 4 4" xfId="23310" xr:uid="{79672BF2-056A-45DC-962D-63CB9D8C050C}"/>
    <cellStyle name="Header2 3 13 4 5" xfId="36391" xr:uid="{2EA0743F-A546-4B64-B215-C8F230AFB9A3}"/>
    <cellStyle name="Header2 3 13 5" xfId="15557" xr:uid="{5E171185-86FA-43D8-829D-F0CEBEDDC974}"/>
    <cellStyle name="Header2 3 13 5 2" xfId="31688" xr:uid="{4755479D-0DFC-4661-AC83-D3BD87B9E4E2}"/>
    <cellStyle name="Header2 3 13 5 3" xfId="45189" xr:uid="{55A32FEB-CA8E-499F-BEF7-66CDDF7B78AF}"/>
    <cellStyle name="Header2 3 13 6" xfId="21572" xr:uid="{FD22F316-E9B6-43D2-88BD-3279C9898360}"/>
    <cellStyle name="Header2 3 13 7" xfId="34626" xr:uid="{1BD6C700-F75F-4002-B329-0CA3E0898771}"/>
    <cellStyle name="Header2 3 14" xfId="3554" xr:uid="{3395F164-40A6-48F4-B41E-05D400B1940E}"/>
    <cellStyle name="Header2 3 14 2" xfId="2895" xr:uid="{FD2FFE87-CEB8-4337-B872-1ED63F0D650A}"/>
    <cellStyle name="Header2 3 14 2 2" xfId="8191" xr:uid="{8F0B0A85-A0BB-446B-80FB-6E371F141DCC}"/>
    <cellStyle name="Header2 3 14 2 2 2" xfId="12238" xr:uid="{FB9BE4C7-BDAE-4A8E-B7F3-60825F18288B}"/>
    <cellStyle name="Header2 3 14 2 2 2 2" xfId="28920" xr:uid="{635B6FF2-2552-4060-8130-B44C4DE358B4}"/>
    <cellStyle name="Header2 3 14 2 2 2 3" xfId="42153" xr:uid="{62CEE20F-5E50-4BF7-A74C-A6048B94F99E}"/>
    <cellStyle name="Header2 3 14 2 2 3" xfId="25702" xr:uid="{5FF05BFC-5870-48E2-B9B1-E946AE4E0082}"/>
    <cellStyle name="Header2 3 14 2 2 4" xfId="38778" xr:uid="{26D3D380-9746-40C3-8C44-17D1470BAEB2}"/>
    <cellStyle name="Header2 3 14 2 3" xfId="6558" xr:uid="{07B61C4E-5EEE-4F2B-9B7F-052E0C1D4E29}"/>
    <cellStyle name="Header2 3 14 2 3 2" xfId="12092" xr:uid="{9C358945-7B87-441B-A13C-FA13513CCBC9}"/>
    <cellStyle name="Header2 3 14 2 3 2 2" xfId="28792" xr:uid="{FCEF08F4-9A51-4E11-B267-BE7C07350A91}"/>
    <cellStyle name="Header2 3 14 2 3 2 3" xfId="42012" xr:uid="{CF7DC769-2102-40E8-9C75-B19587B88B90}"/>
    <cellStyle name="Header2 3 14 2 3 3" xfId="24193" xr:uid="{F21B9B62-5D9D-4E75-8C0F-C0A1FC612FBF}"/>
    <cellStyle name="Header2 3 14 2 3 4" xfId="37274" xr:uid="{5C35EFC2-0CFB-4F4B-9CA6-EA279496B633}"/>
    <cellStyle name="Header2 3 14 2 4" xfId="12719" xr:uid="{48738069-33FD-4F97-8C08-3C40CE549B05}"/>
    <cellStyle name="Header2 3 14 2 4 2" xfId="29302" xr:uid="{744D085D-6B9E-422B-B107-2401AE9C277C}"/>
    <cellStyle name="Header2 3 14 2 4 3" xfId="42579" xr:uid="{27BCC8F5-FE25-4FE3-9C27-A1EB0B76806F}"/>
    <cellStyle name="Header2 3 14 2 5" xfId="20945" xr:uid="{5EDB100F-156A-4D76-B2EF-B3D5D88A341D}"/>
    <cellStyle name="Header2 3 14 2 6" xfId="33968" xr:uid="{EE22C02C-D180-48E4-A439-CB22ECBC87B4}"/>
    <cellStyle name="Header2 3 14 3" xfId="4656" xr:uid="{AE184A96-CAB9-4BA1-A867-FE3E404E96B5}"/>
    <cellStyle name="Header2 3 14 3 2" xfId="7196" xr:uid="{B60C0778-7675-4AA9-8082-67CD72FCA782}"/>
    <cellStyle name="Header2 3 14 3 2 2" xfId="11107" xr:uid="{34188050-CB3C-49F2-B530-C877E3D5940E}"/>
    <cellStyle name="Header2 3 14 3 2 2 2" xfId="27908" xr:uid="{F863522E-D715-4ABF-83D6-F89343CC1739}"/>
    <cellStyle name="Header2 3 14 3 2 2 3" xfId="41086" xr:uid="{6F3832EA-7769-4F6E-985D-59B44B643550}"/>
    <cellStyle name="Header2 3 14 3 2 3" xfId="24792" xr:uid="{D9F3A5CA-B4AC-4349-9E43-31575692A40D}"/>
    <cellStyle name="Header2 3 14 3 2 4" xfId="37873" xr:uid="{08919C81-9BF3-4FA3-9668-B5866C6EA04A}"/>
    <cellStyle name="Header2 3 14 3 3" xfId="17316" xr:uid="{63430A94-BF48-40C8-B18E-34B0465CFF82}"/>
    <cellStyle name="Header2 3 14 3 3 2" xfId="33070" xr:uid="{D7F07302-CA6B-46F3-A9FB-5D2934B0D632}"/>
    <cellStyle name="Header2 3 14 3 3 3" xfId="46846" xr:uid="{DFEDA7EE-8478-4515-8EE2-CD63A90BDD18}"/>
    <cellStyle name="Header2 3 14 3 4" xfId="22466" xr:uid="{9F7E120B-1FF4-4CA6-8106-B5D65515AF12}"/>
    <cellStyle name="Header2 3 14 3 5" xfId="35519" xr:uid="{733DDC40-DF9C-4148-B0B6-1E36523286B3}"/>
    <cellStyle name="Header2 3 14 4" xfId="5606" xr:uid="{D07F25EB-1C24-4431-BC23-E6D5525D86B5}"/>
    <cellStyle name="Header2 3 14 4 2" xfId="8788" xr:uid="{65F55F8B-544F-4A23-932B-50B35C0365F7}"/>
    <cellStyle name="Header2 3 14 4 2 2" xfId="11574" xr:uid="{CD91082F-5F62-4A69-9EAA-FCC58CDC05A9}"/>
    <cellStyle name="Header2 3 14 4 2 2 2" xfId="28326" xr:uid="{EC5BCF74-5218-4FCD-9F02-8151C7AAB2BC}"/>
    <cellStyle name="Header2 3 14 4 2 2 3" xfId="41526" xr:uid="{A7439E35-491D-4604-AE59-2ABECBA44EF9}"/>
    <cellStyle name="Header2 3 14 4 2 3" xfId="26281" xr:uid="{B0258775-80B5-4C10-89DB-901685CF7E7D}"/>
    <cellStyle name="Header2 3 14 4 2 4" xfId="39357" xr:uid="{7CC14598-D42E-487F-B6BC-D669648BA1F8}"/>
    <cellStyle name="Header2 3 14 4 3" xfId="11567" xr:uid="{6353E026-8360-48B1-8D61-8392313E6915}"/>
    <cellStyle name="Header2 3 14 4 3 2" xfId="28322" xr:uid="{FC177F67-57AE-467C-807E-1A3C8AF80B96}"/>
    <cellStyle name="Header2 3 14 4 3 3" xfId="41521" xr:uid="{FD18C099-5AE3-49CE-9679-DA778E051F19}"/>
    <cellStyle name="Header2 3 14 4 4" xfId="23253" xr:uid="{EBE2B263-535B-4225-AD29-7604B9B108F0}"/>
    <cellStyle name="Header2 3 14 4 5" xfId="36334" xr:uid="{16CA5A66-5597-4FFF-838A-7F72116B3430}"/>
    <cellStyle name="Header2 3 14 5" xfId="13185" xr:uid="{1D266F7F-5C9E-4018-86B6-280D9CF1B5F3}"/>
    <cellStyle name="Header2 3 14 5 2" xfId="29691" xr:uid="{ECDE3F77-A86A-4C47-9040-C4C3345A297B}"/>
    <cellStyle name="Header2 3 14 5 3" xfId="43008" xr:uid="{64791089-961E-4E1A-B5FD-A50353EB8ED1}"/>
    <cellStyle name="Header2 3 14 6" xfId="21515" xr:uid="{CFF0E1C4-1D92-4280-BD9D-E9ABC7719DA4}"/>
    <cellStyle name="Header2 3 14 7" xfId="34567" xr:uid="{E4738B0C-8C9E-482C-AE89-68A1798BEA6C}"/>
    <cellStyle name="Header2 3 15" xfId="3647" xr:uid="{F752A5C1-0B53-433B-AE57-A1EC25232FFE}"/>
    <cellStyle name="Header2 3 15 2" xfId="2968" xr:uid="{849F87AD-AC8B-4E08-988B-D5035F21309E}"/>
    <cellStyle name="Header2 3 15 2 2" xfId="8264" xr:uid="{11E3C8FE-BD80-4838-994C-3879E94AE706}"/>
    <cellStyle name="Header2 3 15 2 2 2" xfId="12102" xr:uid="{334F6385-C2E4-44D2-8DA1-BE5823BC8708}"/>
    <cellStyle name="Header2 3 15 2 2 2 2" xfId="28802" xr:uid="{44A2A2F8-0E4A-461C-A02F-9611C63E550D}"/>
    <cellStyle name="Header2 3 15 2 2 2 3" xfId="42022" xr:uid="{7678E587-44E8-45A3-962F-C4A094AE1958}"/>
    <cellStyle name="Header2 3 15 2 2 3" xfId="25773" xr:uid="{6ECDD981-1B56-4EAC-86E9-53B06992586F}"/>
    <cellStyle name="Header2 3 15 2 2 4" xfId="38849" xr:uid="{957BA4A1-3F5C-46E7-A0C8-2F807FD5FF63}"/>
    <cellStyle name="Header2 3 15 2 3" xfId="6631" xr:uid="{E1541408-899F-43AA-868D-C7622AA1545A}"/>
    <cellStyle name="Header2 3 15 2 3 2" xfId="16857" xr:uid="{D7FE7145-92DF-4430-90C7-DB6DC7A0626D}"/>
    <cellStyle name="Header2 3 15 2 3 2 2" xfId="32734" xr:uid="{8FBDE1D7-5F86-4F3E-AD1E-9D19F7DA3C70}"/>
    <cellStyle name="Header2 3 15 2 3 2 3" xfId="46399" xr:uid="{411A4D6C-D450-4F04-AE4A-6E998872681E}"/>
    <cellStyle name="Header2 3 15 2 3 3" xfId="24264" xr:uid="{8BDF50DA-949F-468C-A660-55638548832F}"/>
    <cellStyle name="Header2 3 15 2 3 4" xfId="37345" xr:uid="{9DDA13B2-124E-4C57-993C-C209B12F3FD0}"/>
    <cellStyle name="Header2 3 15 2 4" xfId="14932" xr:uid="{467DD946-F59C-4626-99ED-CB16A56C13E7}"/>
    <cellStyle name="Header2 3 15 2 4 2" xfId="31174" xr:uid="{5D57AB00-C29B-4086-A126-FB31DD37372E}"/>
    <cellStyle name="Header2 3 15 2 4 3" xfId="44619" xr:uid="{1951FCEE-DC77-49EC-9B23-60B5231B0B95}"/>
    <cellStyle name="Header2 3 15 2 5" xfId="21016" xr:uid="{51152EF5-C8DB-4EDD-B532-8DD8E1E56AC9}"/>
    <cellStyle name="Header2 3 15 2 6" xfId="34039" xr:uid="{BCBBBEAE-8307-44B0-A1A7-22DBFB50BD24}"/>
    <cellStyle name="Header2 3 15 3" xfId="4695" xr:uid="{BC775D4D-DE49-425B-A568-B0309C95BEDB}"/>
    <cellStyle name="Header2 3 15 3 2" xfId="7282" xr:uid="{E4DC07E1-15D4-40D5-A1F8-83A1E95B68A9}"/>
    <cellStyle name="Header2 3 15 3 2 2" xfId="15386" xr:uid="{83E83233-FDBE-4A4D-B634-9A70157FFF1A}"/>
    <cellStyle name="Header2 3 15 3 2 2 2" xfId="31541" xr:uid="{B01E96B1-603C-4A24-9E0A-4CD731BD978C}"/>
    <cellStyle name="Header2 3 15 3 2 2 3" xfId="45028" xr:uid="{08DD7BF3-C629-49F0-BA6F-548B0A677810}"/>
    <cellStyle name="Header2 3 15 3 2 3" xfId="24854" xr:uid="{4EB667E6-6D32-44B7-A937-8A476EB4B97C}"/>
    <cellStyle name="Header2 3 15 3 2 4" xfId="37935" xr:uid="{20ADB9BC-9DCE-481E-8380-A83D1AE19642}"/>
    <cellStyle name="Header2 3 15 3 3" xfId="17207" xr:uid="{E294A4BD-69BE-4999-A5A8-433FD141A219}"/>
    <cellStyle name="Header2 3 15 3 3 2" xfId="32969" xr:uid="{7B4EE650-D170-43F3-A7A4-B6CF227FA7F6}"/>
    <cellStyle name="Header2 3 15 3 3 3" xfId="46742" xr:uid="{6A840635-BC01-4001-BE9D-DBF63F57AB13}"/>
    <cellStyle name="Header2 3 15 3 4" xfId="22503" xr:uid="{37DD09ED-D93D-478B-92D7-816E49F5A4BE}"/>
    <cellStyle name="Header2 3 15 3 5" xfId="35556" xr:uid="{DF3F00E0-92CA-42AF-9FDA-1B7DFDB6CBAB}"/>
    <cellStyle name="Header2 3 15 4" xfId="5668" xr:uid="{A60A4B9E-9D84-40E8-A446-1B62155273E6}"/>
    <cellStyle name="Header2 3 15 4 2" xfId="8852" xr:uid="{CF9707B2-50CB-4173-8285-02B78CD545B1}"/>
    <cellStyle name="Header2 3 15 4 2 2" xfId="11102" xr:uid="{12CED431-F78B-4E3C-BF84-F7C77B365245}"/>
    <cellStyle name="Header2 3 15 4 2 2 2" xfId="27903" xr:uid="{2A98B03B-323F-46FC-8F5C-DDC4575376F2}"/>
    <cellStyle name="Header2 3 15 4 2 2 3" xfId="41081" xr:uid="{692C2643-52E2-4DE5-AFCD-76FA8ECD61DF}"/>
    <cellStyle name="Header2 3 15 4 2 3" xfId="26343" xr:uid="{DA623D9C-8CCD-4428-806A-3B839041A9F2}"/>
    <cellStyle name="Header2 3 15 4 2 4" xfId="39419" xr:uid="{B3914F0F-77E9-4989-BF27-1914B32DDA8C}"/>
    <cellStyle name="Header2 3 15 4 3" xfId="17193" xr:uid="{55AD660C-BB8E-49B7-83B9-2343DB05E4E3}"/>
    <cellStyle name="Header2 3 15 4 3 2" xfId="32956" xr:uid="{633DA2A2-FB40-45E9-8300-F4F821972AE1}"/>
    <cellStyle name="Header2 3 15 4 3 3" xfId="46728" xr:uid="{9FACDC2A-BA3E-4D18-9E61-248F75123474}"/>
    <cellStyle name="Header2 3 15 4 4" xfId="23315" xr:uid="{0D36A332-8645-4A56-A44E-99AB2D23A691}"/>
    <cellStyle name="Header2 3 15 4 5" xfId="36396" xr:uid="{5012E782-3FAE-44A0-A47B-A17324B5CAFA}"/>
    <cellStyle name="Header2 3 15 5" xfId="12770" xr:uid="{5267FA0A-BF75-446A-B214-C6C071DBBA13}"/>
    <cellStyle name="Header2 3 15 5 2" xfId="29345" xr:uid="{55DC2CCC-686E-4BF2-908E-5D4082C36CD2}"/>
    <cellStyle name="Header2 3 15 5 3" xfId="42625" xr:uid="{0DC0D672-0845-426A-8188-CEFD616FA125}"/>
    <cellStyle name="Header2 3 15 6" xfId="21577" xr:uid="{7F8915D9-DE3E-42A0-BDF2-BDFDCF94152D}"/>
    <cellStyle name="Header2 3 15 7" xfId="34631" xr:uid="{486EF151-47DD-495F-98B6-80CC22AF495B}"/>
    <cellStyle name="Header2 3 16" xfId="3918" xr:uid="{31C48E21-CF46-4156-B5FB-8BD5B6C1C3AC}"/>
    <cellStyle name="Header2 3 16 2" xfId="3181" xr:uid="{7F2DDC73-CAC4-4451-A963-4CC881B2A03D}"/>
    <cellStyle name="Header2 3 16 2 2" xfId="8473" xr:uid="{A40955BA-D62D-41AB-9F42-93364DD51C79}"/>
    <cellStyle name="Header2 3 16 2 2 2" xfId="10889" xr:uid="{862BEE57-2D38-4D61-A0D0-BCCC2CEC6C4C}"/>
    <cellStyle name="Header2 3 16 2 2 2 2" xfId="27711" xr:uid="{DB816BA9-5CF1-4049-B065-35353B8A2631}"/>
    <cellStyle name="Header2 3 16 2 2 2 3" xfId="40869" xr:uid="{56886319-97AC-41E1-8093-E86CCCD7CBBD}"/>
    <cellStyle name="Header2 3 16 2 2 3" xfId="25973" xr:uid="{0F615B89-CBD7-497E-BB08-46AE9CCDDDCB}"/>
    <cellStyle name="Header2 3 16 2 2 4" xfId="39049" xr:uid="{C74BF799-BB45-4793-83C1-DBAA3C524D31}"/>
    <cellStyle name="Header2 3 16 2 3" xfId="6840" xr:uid="{76FB4A2B-B55F-4344-867D-E79788503CA6}"/>
    <cellStyle name="Header2 3 16 2 3 2" xfId="12999" xr:uid="{B8050ADB-AFDD-4E61-A7DE-74B9B86445EB}"/>
    <cellStyle name="Header2 3 16 2 3 2 2" xfId="29535" xr:uid="{707887B4-ECF4-41FE-A25D-7E349857FB2A}"/>
    <cellStyle name="Header2 3 16 2 3 2 3" xfId="42836" xr:uid="{B9A33707-435B-4E7E-9841-6C4BB192595F}"/>
    <cellStyle name="Header2 3 16 2 3 3" xfId="24464" xr:uid="{CC4CE237-7288-4119-B1FE-9E2320A92E2D}"/>
    <cellStyle name="Header2 3 16 2 3 4" xfId="37545" xr:uid="{DB56EA00-37F0-4257-B012-0F39B58F0C8E}"/>
    <cellStyle name="Header2 3 16 2 4" xfId="15144" xr:uid="{72DE40B8-6BF6-4A79-A94E-94993A6F8D12}"/>
    <cellStyle name="Header2 3 16 2 4 2" xfId="31343" xr:uid="{648AF4AF-AD8D-4D7B-AEE0-DE348820C925}"/>
    <cellStyle name="Header2 3 16 2 4 3" xfId="44807" xr:uid="{DC569A53-6F27-4A3A-9F16-3E64847B3CE8}"/>
    <cellStyle name="Header2 3 16 2 5" xfId="21216" xr:uid="{BC64EFDF-5840-46F5-BD32-5477C9E10BFB}"/>
    <cellStyle name="Header2 3 16 2 6" xfId="34239" xr:uid="{63D70F84-2263-4623-A363-ED431D29C4F0}"/>
    <cellStyle name="Header2 3 16 3" xfId="4849" xr:uid="{1CCC2EA2-BD35-4D50-A30E-43C663ED8D9A}"/>
    <cellStyle name="Header2 3 16 3 2" xfId="7498" xr:uid="{C07B43E4-D051-4AD9-B3B8-5ECCE0B230B0}"/>
    <cellStyle name="Header2 3 16 3 2 2" xfId="13397" xr:uid="{A2A19B04-4F65-4080-B365-E9E3ACA5470B}"/>
    <cellStyle name="Header2 3 16 3 2 2 2" xfId="29867" xr:uid="{5229B083-3432-48FC-9CC6-53A33718FBAF}"/>
    <cellStyle name="Header2 3 16 3 2 2 3" xfId="43202" xr:uid="{7B67D491-064B-4D99-9B6E-74540E72E5FE}"/>
    <cellStyle name="Header2 3 16 3 2 3" xfId="25048" xr:uid="{A0C5A30D-0BD4-4388-8BF1-C0B2650B917A}"/>
    <cellStyle name="Header2 3 16 3 2 4" xfId="38124" xr:uid="{4FF11370-35D7-453F-A49A-81AB5D8F1153}"/>
    <cellStyle name="Header2 3 16 3 3" xfId="17542" xr:uid="{8CD80EE0-1C11-42D3-A883-3838C0DEF2C4}"/>
    <cellStyle name="Header2 3 16 3 3 2" xfId="33280" xr:uid="{08D72E0F-D522-4156-8EF8-229E842C6381}"/>
    <cellStyle name="Header2 3 16 3 3 3" xfId="47067" xr:uid="{E75D4F01-7236-4EFB-BC70-5B77F5657CB5}"/>
    <cellStyle name="Header2 3 16 3 4" xfId="22649" xr:uid="{BF6F98FF-3D0C-40DE-863C-21822EB192BA}"/>
    <cellStyle name="Header2 3 16 3 5" xfId="35702" xr:uid="{9333BA72-07AC-49E2-8886-C33EFF652441}"/>
    <cellStyle name="Header2 3 16 4" xfId="5874" xr:uid="{2A4E3837-2BCD-48C0-A3E9-6AC5C11BCE76}"/>
    <cellStyle name="Header2 3 16 4 2" xfId="9034" xr:uid="{E0D87EA4-1ED9-4E55-81E1-DA387AFF780B}"/>
    <cellStyle name="Header2 3 16 4 2 2" xfId="15001" xr:uid="{BD324FB5-5217-4612-A069-7E52C4B1FEA6}"/>
    <cellStyle name="Header2 3 16 4 2 2 2" xfId="31230" xr:uid="{B449403F-AF08-44A5-B177-8E8263242F7E}"/>
    <cellStyle name="Header2 3 16 4 2 2 3" xfId="44680" xr:uid="{B33723EB-5374-4D47-AC17-7A72BE2FD1BE}"/>
    <cellStyle name="Header2 3 16 4 2 3" xfId="26517" xr:uid="{44F61158-4C5E-48E1-85F9-158C9F22D71C}"/>
    <cellStyle name="Header2 3 16 4 2 4" xfId="39593" xr:uid="{EC530826-5CE1-443F-A181-AC1B96E581C0}"/>
    <cellStyle name="Header2 3 16 4 3" xfId="15087" xr:uid="{198A7952-0137-47F3-B840-8BC9A52258AD}"/>
    <cellStyle name="Header2 3 16 4 3 2" xfId="31295" xr:uid="{58811901-C0D6-4097-968C-0CB46090DC65}"/>
    <cellStyle name="Header2 3 16 4 3 3" xfId="44754" xr:uid="{407344AF-3707-4C6A-B308-58A27194B85C}"/>
    <cellStyle name="Header2 3 16 4 4" xfId="23521" xr:uid="{6507CD84-5DF4-4133-83F8-3536C3235A11}"/>
    <cellStyle name="Header2 3 16 4 5" xfId="36602" xr:uid="{9745386C-B0B0-41AA-AA2F-F87CF9BC52AD}"/>
    <cellStyle name="Header2 3 16 5" xfId="15962" xr:uid="{43B93CCE-58D4-499C-89BF-4952B435A342}"/>
    <cellStyle name="Header2 3 16 5 2" xfId="32037" xr:uid="{588987CE-29BC-4065-8800-C084989C2B04}"/>
    <cellStyle name="Header2 3 16 5 3" xfId="45555" xr:uid="{C12C072D-7E0F-42BA-BF96-A39DD36AB526}"/>
    <cellStyle name="Header2 3 16 6" xfId="21787" xr:uid="{D0AAF6C6-02B1-4BFB-8257-491386B6B9C5}"/>
    <cellStyle name="Header2 3 16 7" xfId="34837" xr:uid="{75796114-6724-46E6-829E-F46094A8C7EE}"/>
    <cellStyle name="Header2 3 17" xfId="3944" xr:uid="{D8539181-C00F-4DBD-8666-DA64419F0614}"/>
    <cellStyle name="Header2 3 17 2" xfId="3200" xr:uid="{06B68346-2D3F-47B8-A915-3987AAB36DB0}"/>
    <cellStyle name="Header2 3 17 2 2" xfId="8492" xr:uid="{AF58C24D-5D5D-4D21-A8DC-2E89E26CE438}"/>
    <cellStyle name="Header2 3 17 2 2 2" xfId="17418" xr:uid="{481E3104-4149-4708-BD6F-6E79DA535EC2}"/>
    <cellStyle name="Header2 3 17 2 2 2 2" xfId="33172" xr:uid="{AD8A9DB3-C592-45E7-92AF-791FAB3F0AD5}"/>
    <cellStyle name="Header2 3 17 2 2 2 3" xfId="46948" xr:uid="{730B7ED7-3F63-4991-8E3C-28A68E1F71AF}"/>
    <cellStyle name="Header2 3 17 2 2 3" xfId="25992" xr:uid="{650E5AF1-796F-4C2A-A196-4076DE3EA00D}"/>
    <cellStyle name="Header2 3 17 2 2 4" xfId="39068" xr:uid="{1DA888AD-4465-41BA-9E33-345449922865}"/>
    <cellStyle name="Header2 3 17 2 3" xfId="6859" xr:uid="{629C33AA-6736-47A0-B78D-B8E35A842314}"/>
    <cellStyle name="Header2 3 17 2 3 2" xfId="15821" xr:uid="{0F59BCB3-AFB0-41EE-94D6-751EE01CCDD1}"/>
    <cellStyle name="Header2 3 17 2 3 2 2" xfId="31916" xr:uid="{FFF6144A-91AC-4682-9AAC-3C2F7EF27267}"/>
    <cellStyle name="Header2 3 17 2 3 2 3" xfId="45428" xr:uid="{E880BB36-6088-4A27-AA1C-D7320CDA69A8}"/>
    <cellStyle name="Header2 3 17 2 3 3" xfId="24483" xr:uid="{31D7ACEF-DCA8-44A3-9FF0-F32AA786DA55}"/>
    <cellStyle name="Header2 3 17 2 3 4" xfId="37564" xr:uid="{63BFDDBB-ADC0-4DF6-B3D4-F0F73BF10C44}"/>
    <cellStyle name="Header2 3 17 2 4" xfId="14006" xr:uid="{A9B43C05-0271-4233-A7C1-2F16A20912E4}"/>
    <cellStyle name="Header2 3 17 2 4 2" xfId="30388" xr:uid="{31CCE76E-7851-439A-8A22-8B9705C135EF}"/>
    <cellStyle name="Header2 3 17 2 4 3" xfId="43767" xr:uid="{3F4357F4-CCB4-42F8-ADE5-86BC0C840167}"/>
    <cellStyle name="Header2 3 17 2 5" xfId="21235" xr:uid="{1B86E2C4-F833-4A66-80CE-276A214328C3}"/>
    <cellStyle name="Header2 3 17 2 6" xfId="34258" xr:uid="{C99B874A-3D7D-4D3F-AB99-7B3C3CA13049}"/>
    <cellStyle name="Header2 3 17 3" xfId="4860" xr:uid="{654DECB7-2E2A-4D0B-B0BE-6DFF901245C5}"/>
    <cellStyle name="Header2 3 17 3 2" xfId="7524" xr:uid="{447C9A60-0677-4168-BA59-8D5C5E325B52}"/>
    <cellStyle name="Header2 3 17 3 2 2" xfId="14381" xr:uid="{7E7042EE-58F9-4E16-9DB3-D6F3A2AE9405}"/>
    <cellStyle name="Header2 3 17 3 2 2 2" xfId="30713" xr:uid="{C57BA829-618B-4964-8807-640F4F9530AB}"/>
    <cellStyle name="Header2 3 17 3 2 2 3" xfId="44111" xr:uid="{7FF71015-43BF-4B7B-B946-716D08F979D9}"/>
    <cellStyle name="Header2 3 17 3 2 3" xfId="25059" xr:uid="{440A3D8F-5C8C-4425-8EAF-CDB037949E8C}"/>
    <cellStyle name="Header2 3 17 3 2 4" xfId="38135" xr:uid="{FB4CBBA3-759E-43CB-8B13-01C298BCF7A7}"/>
    <cellStyle name="Header2 3 17 3 3" xfId="11548" xr:uid="{727E9545-411C-45B4-8388-99BCEB78EF28}"/>
    <cellStyle name="Header2 3 17 3 3 2" xfId="28305" xr:uid="{0C6D4932-881A-444A-841A-08FF0D57F79E}"/>
    <cellStyle name="Header2 3 17 3 3 3" xfId="41503" xr:uid="{E9C617E3-0919-4E77-A1FB-3571BAAE2C55}"/>
    <cellStyle name="Header2 3 17 3 4" xfId="22660" xr:uid="{688DE54C-D434-4D27-A87E-5DC22F605011}"/>
    <cellStyle name="Header2 3 17 3 5" xfId="35713" xr:uid="{C120D122-9191-4F52-B149-891559DFE7E3}"/>
    <cellStyle name="Header2 3 17 4" xfId="5885" xr:uid="{F0D30899-E9F2-411D-8034-DB5ED75DE830}"/>
    <cellStyle name="Header2 3 17 4 2" xfId="9045" xr:uid="{36876C89-48C2-4846-AD19-BDD8720B56CD}"/>
    <cellStyle name="Header2 3 17 4 2 2" xfId="13520" xr:uid="{15D2E436-3B27-41CA-B179-FB0220594D7F}"/>
    <cellStyle name="Header2 3 17 4 2 2 2" xfId="29973" xr:uid="{CEC49300-4666-45CA-8925-EE4246D25FC7}"/>
    <cellStyle name="Header2 3 17 4 2 2 3" xfId="43317" xr:uid="{F21C8AA6-A3D6-49B7-826D-264FEF828E12}"/>
    <cellStyle name="Header2 3 17 4 2 3" xfId="26528" xr:uid="{61B1560A-108D-49B4-883B-422BDBE5241F}"/>
    <cellStyle name="Header2 3 17 4 2 4" xfId="39604" xr:uid="{4A2B9B8F-81AB-43F7-ADB0-EEDCFD9DED5C}"/>
    <cellStyle name="Header2 3 17 4 3" xfId="13197" xr:uid="{231FCAFE-9017-461E-B564-50AE09B6F2B8}"/>
    <cellStyle name="Header2 3 17 4 3 2" xfId="29701" xr:uid="{A3D5A67F-3B01-4240-BE68-9A9EC5789902}"/>
    <cellStyle name="Header2 3 17 4 3 3" xfId="43019" xr:uid="{6E56536C-912E-4F71-9B2D-90BEA7A99E9F}"/>
    <cellStyle name="Header2 3 17 4 4" xfId="23532" xr:uid="{0DB479C9-DE60-4F3B-A376-164141AE91DD}"/>
    <cellStyle name="Header2 3 17 4 5" xfId="36613" xr:uid="{7A51A4FE-532E-4E77-9946-E8CC4C2042C8}"/>
    <cellStyle name="Header2 3 17 5" xfId="13999" xr:uid="{FA699C29-BF0C-45DF-B2B4-E3B99EC79329}"/>
    <cellStyle name="Header2 3 17 5 2" xfId="30383" xr:uid="{E8EBC09B-EB1F-466F-B50C-ADB1B50BB8F8}"/>
    <cellStyle name="Header2 3 17 5 3" xfId="43761" xr:uid="{45D4AD0C-3FC5-408F-85D1-295E3660AA02}"/>
    <cellStyle name="Header2 3 17 6" xfId="21798" xr:uid="{E267C225-0377-4163-8469-47DBDD2541AC}"/>
    <cellStyle name="Header2 3 17 7" xfId="34848" xr:uid="{C1C4AB1E-7A30-47FA-A779-A04D730F5C78}"/>
    <cellStyle name="Header2 3 18" xfId="3908" xr:uid="{12A8959E-DC56-48C5-8CE3-92B37B65DFDC}"/>
    <cellStyle name="Header2 3 18 2" xfId="3176" xr:uid="{0ABF9085-6F92-499A-BCBE-A3AB77A64C53}"/>
    <cellStyle name="Header2 3 18 2 2" xfId="8468" xr:uid="{E50C6519-4347-498F-8E55-2FC08256A49C}"/>
    <cellStyle name="Header2 3 18 2 2 2" xfId="17416" xr:uid="{84C050F5-AB58-4196-8CEB-992F242ED07A}"/>
    <cellStyle name="Header2 3 18 2 2 2 2" xfId="33170" xr:uid="{6E4F79A2-EAAF-4BD4-86E8-18B707574847}"/>
    <cellStyle name="Header2 3 18 2 2 2 3" xfId="46946" xr:uid="{3649945F-2B0B-43C8-8DCA-46DA48DD1B1D}"/>
    <cellStyle name="Header2 3 18 2 2 3" xfId="25968" xr:uid="{513D7DFC-3644-4B05-9999-79EB33FF7456}"/>
    <cellStyle name="Header2 3 18 2 2 4" xfId="39044" xr:uid="{3646BFB2-AE72-4C07-9FF6-841FD9ACBD0E}"/>
    <cellStyle name="Header2 3 18 2 3" xfId="6835" xr:uid="{CAFDD678-FD12-4F65-844F-2FDAE57A0F63}"/>
    <cellStyle name="Header2 3 18 2 3 2" xfId="16808" xr:uid="{54717461-A09F-4A02-B085-1893A5776659}"/>
    <cellStyle name="Header2 3 18 2 3 2 2" xfId="32688" xr:uid="{7AFEE04B-6624-404B-8B96-D606DBE35DC1}"/>
    <cellStyle name="Header2 3 18 2 3 2 3" xfId="46351" xr:uid="{A336051F-676D-445C-9F3A-11BC4B43B6B9}"/>
    <cellStyle name="Header2 3 18 2 3 3" xfId="24459" xr:uid="{855845AF-8225-4EA6-AA9D-754AD08AC725}"/>
    <cellStyle name="Header2 3 18 2 3 4" xfId="37540" xr:uid="{B1A462F9-3B23-486D-91EF-AD5F17DB1C55}"/>
    <cellStyle name="Header2 3 18 2 4" xfId="14340" xr:uid="{1B62FD5E-9E01-496E-A30C-6A3772E6A9CD}"/>
    <cellStyle name="Header2 3 18 2 4 2" xfId="30674" xr:uid="{4187944A-7184-446D-9B8D-A13AD5A25A31}"/>
    <cellStyle name="Header2 3 18 2 4 3" xfId="44070" xr:uid="{AC758A36-B369-44E3-9360-B3841EACAD60}"/>
    <cellStyle name="Header2 3 18 2 5" xfId="21211" xr:uid="{D478D5AB-EA94-45CA-AB27-79D6B58CAC76}"/>
    <cellStyle name="Header2 3 18 2 6" xfId="34234" xr:uid="{C9B55075-8D31-46B7-80A7-4D3BC9C4F2A2}"/>
    <cellStyle name="Header2 3 18 3" xfId="4844" xr:uid="{C288405C-BB63-443C-A941-6A012F35DE22}"/>
    <cellStyle name="Header2 3 18 3 2" xfId="7488" xr:uid="{4A167A9E-16A8-4B86-A6CE-76B738241EBD}"/>
    <cellStyle name="Header2 3 18 3 2 2" xfId="15153" xr:uid="{B933874D-523A-4B07-BF9F-309E8A23A5EB}"/>
    <cellStyle name="Header2 3 18 3 2 2 2" xfId="31350" xr:uid="{4042A9A5-CC13-4E77-9ABA-701A96369FBA}"/>
    <cellStyle name="Header2 3 18 3 2 2 3" xfId="44815" xr:uid="{5B3A88AC-1FED-448F-99AF-C4DCF27B23FD}"/>
    <cellStyle name="Header2 3 18 3 2 3" xfId="25043" xr:uid="{0A83C3F2-3209-4FFA-9E33-903007077E2F}"/>
    <cellStyle name="Header2 3 18 3 2 4" xfId="38119" xr:uid="{F8B5D49E-7D2D-4A52-967D-0B8B4BCA24EE}"/>
    <cellStyle name="Header2 3 18 3 3" xfId="14016" xr:uid="{FD243772-75AD-4110-9575-E6FE2884B290}"/>
    <cellStyle name="Header2 3 18 3 3 2" xfId="30396" xr:uid="{43C20340-FBFD-4B61-9633-8B729A3E30A5}"/>
    <cellStyle name="Header2 3 18 3 3 3" xfId="43775" xr:uid="{EEB4B12E-5781-4829-BDCC-07EE94F133A0}"/>
    <cellStyle name="Header2 3 18 3 4" xfId="22644" xr:uid="{D8277153-94BD-4A3A-AAC2-45F35F902B84}"/>
    <cellStyle name="Header2 3 18 3 5" xfId="35697" xr:uid="{2C297C59-76B7-48E6-B340-662500828B17}"/>
    <cellStyle name="Header2 3 18 4" xfId="5869" xr:uid="{D8F3C83E-3F52-4347-BEEE-A3A23A22C53E}"/>
    <cellStyle name="Header2 3 18 4 2" xfId="9029" xr:uid="{08981FBD-3D8E-4066-933D-0586EA7D3112}"/>
    <cellStyle name="Header2 3 18 4 2 2" xfId="13744" xr:uid="{43ECC453-4A23-4545-9247-357BF9B510C7}"/>
    <cellStyle name="Header2 3 18 4 2 2 2" xfId="30157" xr:uid="{5FC583AD-EF1A-4CFD-AD49-18D0A354C7B9}"/>
    <cellStyle name="Header2 3 18 4 2 2 3" xfId="43519" xr:uid="{C882516C-0853-4340-B661-B779F38C0069}"/>
    <cellStyle name="Header2 3 18 4 2 3" xfId="26512" xr:uid="{7B6B4F26-8666-42CF-ACC8-C7BF42D27332}"/>
    <cellStyle name="Header2 3 18 4 2 4" xfId="39588" xr:uid="{C92C7944-9C27-4494-BA85-4EBF0C5F8A9D}"/>
    <cellStyle name="Header2 3 18 4 3" xfId="16030" xr:uid="{25792DE5-0996-48EA-AE43-0B55671B6B12}"/>
    <cellStyle name="Header2 3 18 4 3 2" xfId="32095" xr:uid="{EBADF3B0-A60D-42FB-AEC2-FAF2BE72745F}"/>
    <cellStyle name="Header2 3 18 4 3 3" xfId="45614" xr:uid="{8DAEDC9A-77DF-4FD6-8590-6EC5A2C2E76C}"/>
    <cellStyle name="Header2 3 18 4 4" xfId="23516" xr:uid="{8C2989A5-BCF2-44B3-9DCE-AB2E7033EA34}"/>
    <cellStyle name="Header2 3 18 4 5" xfId="36597" xr:uid="{5A1BB165-AA45-4A08-8372-B632B4C0D4F0}"/>
    <cellStyle name="Header2 3 18 5" xfId="17322" xr:uid="{E8E955C7-86DC-4953-BAFC-F2A25EB0254E}"/>
    <cellStyle name="Header2 3 18 5 2" xfId="33076" xr:uid="{25C64ADF-82D3-48DB-8E5A-A8F0592D1546}"/>
    <cellStyle name="Header2 3 18 5 3" xfId="46852" xr:uid="{02473EE3-B737-4B87-8AF1-0EBF96BF4CC8}"/>
    <cellStyle name="Header2 3 18 6" xfId="21782" xr:uid="{FC1D5887-B376-47EF-9F58-4D9BACE2BC23}"/>
    <cellStyle name="Header2 3 18 7" xfId="34832" xr:uid="{FEA76AEE-90D8-48C7-8F87-C50DE897EA14}"/>
    <cellStyle name="Header2 3 19" xfId="3953" xr:uid="{567269CB-E1AE-4A60-AC4F-DD3ED25F9A16}"/>
    <cellStyle name="Header2 3 19 2" xfId="3294" xr:uid="{3E4145DA-EE21-4D64-B872-1974005A7E66}"/>
    <cellStyle name="Header2 3 19 2 2" xfId="8559" xr:uid="{6334253D-FB0F-4927-B798-9DF3B00E5047}"/>
    <cellStyle name="Header2 3 19 2 2 2" xfId="17422" xr:uid="{700A054E-A96A-4047-AB2B-14D1483BF654}"/>
    <cellStyle name="Header2 3 19 2 2 2 2" xfId="33176" xr:uid="{75358CC1-FBEC-481A-AB9C-D926DA06534B}"/>
    <cellStyle name="Header2 3 19 2 2 2 3" xfId="46952" xr:uid="{51694EA9-C21B-4E55-8F2D-1469B9C04993}"/>
    <cellStyle name="Header2 3 19 2 2 3" xfId="26057" xr:uid="{16C0B34C-5547-46E3-A0BC-B70A5F1FD7AB}"/>
    <cellStyle name="Header2 3 19 2 2 4" xfId="39133" xr:uid="{81B2EF59-949D-4E12-B17F-3E302B90C1F5}"/>
    <cellStyle name="Header2 3 19 2 3" xfId="6945" xr:uid="{3DF3AFD3-2B18-4F6B-BF48-4D2F714C97DB}"/>
    <cellStyle name="Header2 3 19 2 3 2" xfId="15801" xr:uid="{638388FD-BAAA-4EED-99D0-109A217B9166}"/>
    <cellStyle name="Header2 3 19 2 3 2 2" xfId="31899" xr:uid="{A6F9C60E-94E8-4F5D-AE41-38B8A61F528E}"/>
    <cellStyle name="Header2 3 19 2 3 2 3" xfId="45411" xr:uid="{3BE810BB-83C8-4E4B-9EEE-2D13BA723169}"/>
    <cellStyle name="Header2 3 19 2 3 3" xfId="24567" xr:uid="{A218F5D7-9035-4071-A517-8B6EC39D5037}"/>
    <cellStyle name="Header2 3 19 2 3 4" xfId="37648" xr:uid="{E2E698A1-BEB0-4FC5-9A94-60BF287613C3}"/>
    <cellStyle name="Header2 3 19 2 4" xfId="12682" xr:uid="{124DD4B5-C271-4FD3-B086-CE771D127EBF}"/>
    <cellStyle name="Header2 3 19 2 4 2" xfId="29277" xr:uid="{E3BB3552-CD3B-4411-B702-984FBB179671}"/>
    <cellStyle name="Header2 3 19 2 4 3" xfId="42550" xr:uid="{F1BCD99A-0969-49BB-9C9E-4DB3FFF43CA3}"/>
    <cellStyle name="Header2 3 19 2 5" xfId="21319" xr:uid="{27400F80-5CF9-411E-81CA-2DADEFDE46FD}"/>
    <cellStyle name="Header2 3 19 2 6" xfId="34342" xr:uid="{1DC07E45-1BF1-4D29-AD20-7C9353EB4573}"/>
    <cellStyle name="Header2 3 19 3" xfId="4865" xr:uid="{C7E68992-1D62-4411-98F5-2BBEFC5CAE88}"/>
    <cellStyle name="Header2 3 19 3 2" xfId="7533" xr:uid="{272B7AC0-9E1C-42BA-9C10-4264EF7EB6DF}"/>
    <cellStyle name="Header2 3 19 3 2 2" xfId="13252" xr:uid="{253FA57E-2B51-479F-9F72-3A8EB9728DB5}"/>
    <cellStyle name="Header2 3 19 3 2 2 2" xfId="29746" xr:uid="{3DE540DC-CDC2-41EE-AB7B-A3E2F70E430E}"/>
    <cellStyle name="Header2 3 19 3 2 2 3" xfId="43070" xr:uid="{B2D2A08B-D377-48D9-911C-3F0C64B47CC8}"/>
    <cellStyle name="Header2 3 19 3 2 3" xfId="25064" xr:uid="{97FE32BD-4329-4E47-96C1-BA47F746025F}"/>
    <cellStyle name="Header2 3 19 3 2 4" xfId="38140" xr:uid="{CD3AF9EB-F10D-46B3-BC7D-E745880CFC31}"/>
    <cellStyle name="Header2 3 19 3 3" xfId="16672" xr:uid="{91C1DB6C-A331-46CE-9ED4-F1303ED9AB52}"/>
    <cellStyle name="Header2 3 19 3 3 2" xfId="32564" xr:uid="{1E3C647F-3503-45E3-85C1-6B9D84FBF659}"/>
    <cellStyle name="Header2 3 19 3 3 3" xfId="46219" xr:uid="{E77F3D5A-273E-49D5-B72F-7C9145F394B0}"/>
    <cellStyle name="Header2 3 19 3 4" xfId="22665" xr:uid="{D63E046A-D369-4886-8788-690F059CB47C}"/>
    <cellStyle name="Header2 3 19 3 5" xfId="35718" xr:uid="{6D17C83F-7F66-472C-A9AA-6DD1B3A7EF6C}"/>
    <cellStyle name="Header2 3 19 4" xfId="5890" xr:uid="{6E4D87E5-D913-4E4B-B81D-EBA799E06880}"/>
    <cellStyle name="Header2 3 19 4 2" xfId="9050" xr:uid="{008C54E8-4456-4494-84EC-9278E6EE9752}"/>
    <cellStyle name="Header2 3 19 4 2 2" xfId="15443" xr:uid="{A071EB5C-2F37-431C-AAF8-DDE37855ADD3}"/>
    <cellStyle name="Header2 3 19 4 2 2 2" xfId="31588" xr:uid="{57812859-0EEC-4C70-8A09-8649985A73EA}"/>
    <cellStyle name="Header2 3 19 4 2 2 3" xfId="45083" xr:uid="{3A89C8E7-32D2-44A0-A252-8D736370ECCA}"/>
    <cellStyle name="Header2 3 19 4 2 3" xfId="26533" xr:uid="{0DF92C2C-FA8C-45E4-BD52-7D05E5AD19F9}"/>
    <cellStyle name="Header2 3 19 4 2 4" xfId="39609" xr:uid="{333F58C6-8C66-431A-8975-3A2FE66112E6}"/>
    <cellStyle name="Header2 3 19 4 3" xfId="16409" xr:uid="{60CC0E2A-8DB1-46AF-A090-8D33AC683DF0}"/>
    <cellStyle name="Header2 3 19 4 3 2" xfId="32424" xr:uid="{45ABC080-535E-45A1-9200-422988D3C2B7}"/>
    <cellStyle name="Header2 3 19 4 3 3" xfId="45960" xr:uid="{7DEF21D5-9FD4-411A-B528-493C6FBCE8E9}"/>
    <cellStyle name="Header2 3 19 4 4" xfId="23537" xr:uid="{2B4F8679-B4AC-4863-9A67-FAB1F925166F}"/>
    <cellStyle name="Header2 3 19 4 5" xfId="36618" xr:uid="{9D97B41F-FFCA-4816-96D4-9AAEE8E65CD6}"/>
    <cellStyle name="Header2 3 19 5" xfId="13508" xr:uid="{2BB3B9E6-ADF3-458B-AFCE-35DA5BE12E27}"/>
    <cellStyle name="Header2 3 19 5 2" xfId="29964" xr:uid="{EC0C72D6-B7D1-484E-99B5-4C5B8AB42B65}"/>
    <cellStyle name="Header2 3 19 5 3" xfId="43305" xr:uid="{9483B86B-8730-4BDD-85C9-6D8B2D593E12}"/>
    <cellStyle name="Header2 3 19 6" xfId="21803" xr:uid="{1653F5B5-6746-4E0C-B101-DC7EDE021A09}"/>
    <cellStyle name="Header2 3 19 7" xfId="34853" xr:uid="{26CDAA5B-1B6A-4D6E-BC7E-1E069555C386}"/>
    <cellStyle name="Header2 3 2" xfId="3408" xr:uid="{8DEF33D8-3B45-4603-9C02-A19C60418E6E}"/>
    <cellStyle name="Header2 3 2 10" xfId="20484" xr:uid="{622660CF-1CAF-47B0-831C-931611A4B8F3}"/>
    <cellStyle name="Header2 3 2 11" xfId="34430" xr:uid="{4FCCB1F7-520A-43AB-A9D2-D3AC32F5ADE8}"/>
    <cellStyle name="Header2 3 2 2" xfId="2753" xr:uid="{0BEBD941-B06A-415D-8B17-7F6D5B824A5E}"/>
    <cellStyle name="Header2 3 2 2 2" xfId="5096" xr:uid="{72302C07-5C33-4C24-A47C-AFDC88BC582E}"/>
    <cellStyle name="Header2 3 2 2 2 2" xfId="8049" xr:uid="{3C3F9853-584D-402F-BB64-1182FFF8F295}"/>
    <cellStyle name="Header2 3 2 2 2 2 2" xfId="15289" xr:uid="{50546350-5544-40F0-A4D0-DDAD44FF4382}"/>
    <cellStyle name="Header2 3 2 2 2 2 2 2" xfId="31458" xr:uid="{434E229B-32E7-4DE3-B8D7-D60656D97A56}"/>
    <cellStyle name="Header2 3 2 2 2 2 2 3" xfId="44937" xr:uid="{39CA1ADD-C397-4221-8649-141A642EF59B}"/>
    <cellStyle name="Header2 3 2 2 2 2 3" xfId="25562" xr:uid="{50AD9440-809A-4466-B633-F390A5BF08AE}"/>
    <cellStyle name="Header2 3 2 2 2 2 4" xfId="38638" xr:uid="{960E5E03-CB7C-4801-B63F-058F6FADEFC1}"/>
    <cellStyle name="Header2 3 2 2 2 3" xfId="16166" xr:uid="{5EA2E1D5-C157-41DB-9C26-D3AC971E9616}"/>
    <cellStyle name="Header2 3 2 2 2 3 2" xfId="32215" xr:uid="{B96CB9FD-3225-495B-B559-36D18807D504}"/>
    <cellStyle name="Header2 3 2 2 2 3 3" xfId="45737" xr:uid="{B4742B74-E7E9-4F5B-AF36-FD1FE9811122}"/>
    <cellStyle name="Header2 3 2 2 2 4" xfId="22821" xr:uid="{847F16B1-F82D-4152-B5D9-6DB6C76BB32A}"/>
    <cellStyle name="Header2 3 2 2 2 5" xfId="35891" xr:uid="{1D4AEF1E-D4CB-4E6E-A21D-31C331B55381}"/>
    <cellStyle name="Header2 3 2 2 3" xfId="6416" xr:uid="{D83BABE9-2BDB-4974-BE2E-01460B1F801C}"/>
    <cellStyle name="Header2 3 2 2 3 2" xfId="14326" xr:uid="{C09BB428-380B-4BF5-AD3C-9D1D40B3A651}"/>
    <cellStyle name="Header2 3 2 2 3 2 2" xfId="30662" xr:uid="{4E23CDA7-A5BA-446A-92F6-D83E6214E809}"/>
    <cellStyle name="Header2 3 2 2 3 2 3" xfId="44056" xr:uid="{90936A37-9109-444A-A7C4-EB98B5A9B81F}"/>
    <cellStyle name="Header2 3 2 2 3 3" xfId="24053" xr:uid="{B3A3967B-C947-48CC-ABAE-B5C4E1D3ADCE}"/>
    <cellStyle name="Header2 3 2 2 3 4" xfId="37134" xr:uid="{3990CB67-1A67-4195-A981-797CAEF2B822}"/>
    <cellStyle name="Header2 3 2 2 4" xfId="16929" xr:uid="{6CF53C28-D9DA-448E-B585-3BEA6BB61D00}"/>
    <cellStyle name="Header2 3 2 2 4 2" xfId="32781" xr:uid="{3FA42195-D0D1-4ECA-AAE0-037407B86C3A}"/>
    <cellStyle name="Header2 3 2 2 4 3" xfId="46471" xr:uid="{78781D38-BD7F-4910-A44F-5896E69E646A}"/>
    <cellStyle name="Header2 3 2 2 5" xfId="20805" xr:uid="{511937F9-9D5C-432E-AFCE-176FB77D78C2}"/>
    <cellStyle name="Header2 3 2 2 6" xfId="33828" xr:uid="{4E92BC69-E33D-46F2-8E62-4F4F05896A41}"/>
    <cellStyle name="Header2 3 2 3" xfId="4049" xr:uid="{A84E393A-7F8D-45DF-9283-8E16E2A746D5}"/>
    <cellStyle name="Header2 3 2 3 2" xfId="5192" xr:uid="{6579C8D8-BC26-48BE-AEF0-C81A036238B2}"/>
    <cellStyle name="Header2 3 2 3 2 2" xfId="9102" xr:uid="{541707CB-1ED8-4E5A-908C-7C4AE048E1C4}"/>
    <cellStyle name="Header2 3 2 3 2 2 2" xfId="11443" xr:uid="{D4074995-EEA9-466C-8D13-E9F8C19B8B60}"/>
    <cellStyle name="Header2 3 2 3 2 2 2 2" xfId="28208" xr:uid="{3CC31D96-2108-4128-985F-D7A636F32388}"/>
    <cellStyle name="Header2 3 2 3 2 2 2 3" xfId="41402" xr:uid="{E23B8261-D491-460B-8AF2-EF9AE755FF15}"/>
    <cellStyle name="Header2 3 2 3 2 2 3" xfId="26583" xr:uid="{0AAC8207-7DE9-4F17-9EE8-2B0ECA3C148A}"/>
    <cellStyle name="Header2 3 2 3 2 2 4" xfId="39659" xr:uid="{432A3081-CCD3-4F73-B01B-DCD542646CFA}"/>
    <cellStyle name="Header2 3 2 3 2 3" xfId="11603" xr:uid="{05E9B467-7061-4224-8F4E-08AAA9CE894D}"/>
    <cellStyle name="Header2 3 2 3 2 3 2" xfId="28352" xr:uid="{BE3EB4D7-0968-4C22-B977-128D3D4B3BF9}"/>
    <cellStyle name="Header2 3 2 3 2 3 3" xfId="41553" xr:uid="{57C989FC-E25B-473F-8208-611B9B89B69D}"/>
    <cellStyle name="Header2 3 2 3 2 4" xfId="22868" xr:uid="{E743FA4B-4EE8-4D71-82E2-4690B0BC0B40}"/>
    <cellStyle name="Header2 3 2 3 2 5" xfId="35937" xr:uid="{1C312C23-4749-43B2-B043-2DE00B10EF0E}"/>
    <cellStyle name="Header2 3 2 3 3" xfId="7614" xr:uid="{16F74D20-6BB4-42BA-ADB1-847E36B21057}"/>
    <cellStyle name="Header2 3 2 3 3 2" xfId="13038" xr:uid="{7CF90BA6-4C31-4A92-B23F-78695B4715CC}"/>
    <cellStyle name="Header2 3 2 3 3 2 2" xfId="29566" xr:uid="{6623F9C5-98DF-4D23-90B5-A03A328E5985}"/>
    <cellStyle name="Header2 3 2 3 3 2 3" xfId="42869" xr:uid="{6CEE65FA-0226-494A-9C26-D256B864E78B}"/>
    <cellStyle name="Header2 3 2 3 3 3" xfId="25142" xr:uid="{E5AC327F-B51D-4103-B401-D643D7262DAC}"/>
    <cellStyle name="Header2 3 2 3 3 4" xfId="38218" xr:uid="{9786EDB2-7A5B-40C3-88B7-908AEB2BF3EE}"/>
    <cellStyle name="Header2 3 2 3 4" xfId="10675" xr:uid="{F07FA42B-5BD2-458A-B5E4-32559B9094BD}"/>
    <cellStyle name="Header2 3 2 3 4 2" xfId="27525" xr:uid="{381448C7-9DB9-44B3-B69A-D5101555E394}"/>
    <cellStyle name="Header2 3 2 3 4 3" xfId="40656" xr:uid="{9087D80F-A7C5-4374-9319-CB1850CEDB88}"/>
    <cellStyle name="Header2 3 2 3 5" xfId="21883" xr:uid="{44DEA7B2-4419-450A-B0B8-04001F8ECD47}"/>
    <cellStyle name="Header2 3 2 3 6" xfId="34932" xr:uid="{B2A99EEB-8370-49AB-B9F2-602991BC2D36}"/>
    <cellStyle name="Header2 3 2 4" xfId="2604" xr:uid="{A00B6E06-F921-4CE5-8797-9D4264C8503A}"/>
    <cellStyle name="Header2 3 2 4 2" xfId="5060" xr:uid="{8969A8DC-A71F-4668-A46A-0ADD03F1481C}"/>
    <cellStyle name="Header2 3 2 4 2 2" xfId="7901" xr:uid="{BC6D426C-B7BA-432D-8D3E-A3CCF8AC69F9}"/>
    <cellStyle name="Header2 3 2 4 2 2 2" xfId="15754" xr:uid="{4FDFBB39-A28D-4A12-9275-12206665D5A4}"/>
    <cellStyle name="Header2 3 2 4 2 2 2 2" xfId="31860" xr:uid="{44F5BE13-0BA7-4A31-AB28-EB1B3698B90C}"/>
    <cellStyle name="Header2 3 2 4 2 2 2 3" xfId="45371" xr:uid="{DDEB72E6-F4F7-4ABC-9AC9-A9BC14570885}"/>
    <cellStyle name="Header2 3 2 4 2 2 3" xfId="25418" xr:uid="{183D506A-0EBA-4EBB-866A-9AD1100920CF}"/>
    <cellStyle name="Header2 3 2 4 2 2 4" xfId="38494" xr:uid="{B0982A82-CAEA-46E0-A853-7F269F160B41}"/>
    <cellStyle name="Header2 3 2 4 2 3" xfId="17139" xr:uid="{9D6668AF-2C8B-4AEB-8826-7F1B4E493E8C}"/>
    <cellStyle name="Header2 3 2 4 2 3 2" xfId="32902" xr:uid="{22BA6129-FCB6-4465-B627-0A248708AC32}"/>
    <cellStyle name="Header2 3 2 4 2 3 3" xfId="46674" xr:uid="{20205695-FCA2-4202-9836-A2092767D7A8}"/>
    <cellStyle name="Header2 3 2 4 2 4" xfId="22809" xr:uid="{42A8F249-1DC7-46CC-9883-1F4D1F4A237D}"/>
    <cellStyle name="Header2 3 2 4 2 5" xfId="35874" xr:uid="{021F9156-B515-4A7B-8FAA-83766D6A5002}"/>
    <cellStyle name="Header2 3 2 4 3" xfId="6268" xr:uid="{D39196BA-FCD8-4C75-9CE0-B1D8865426D2}"/>
    <cellStyle name="Header2 3 2 4 3 2" xfId="13336" xr:uid="{03F2B600-D55D-4BE3-9D97-86721FACBB2C}"/>
    <cellStyle name="Header2 3 2 4 3 2 2" xfId="29818" xr:uid="{07DEBE56-B23D-479F-B970-B491FB8592B6}"/>
    <cellStyle name="Header2 3 2 4 3 2 3" xfId="43149" xr:uid="{D5FEF54C-EC41-4C93-A0AB-5475FBA2CB14}"/>
    <cellStyle name="Header2 3 2 4 3 3" xfId="23909" xr:uid="{4C2FFA7B-649D-4778-89D6-EB01415E3CFB}"/>
    <cellStyle name="Header2 3 2 4 3 4" xfId="36990" xr:uid="{4116B26B-21E6-4F5E-A033-D22BA82C23AE}"/>
    <cellStyle name="Header2 3 2 4 4" xfId="16651" xr:uid="{B956C0B3-FCBB-4B50-AE9B-ABD0A10CF183}"/>
    <cellStyle name="Header2 3 2 4 4 2" xfId="32557" xr:uid="{67FD5989-9B94-4746-B1DE-491C8B5FB8C7}"/>
    <cellStyle name="Header2 3 2 4 4 3" xfId="46198" xr:uid="{3C27633E-ED02-448D-9FDF-7EA222487DA2}"/>
    <cellStyle name="Header2 3 2 4 5" xfId="20661" xr:uid="{A4BDB5EE-336D-43F3-8571-36DBD0D5D621}"/>
    <cellStyle name="Header2 3 2 4 6" xfId="33684" xr:uid="{31F1842D-AA7B-4CDA-BA2E-1DFA5742370E}"/>
    <cellStyle name="Header2 3 2 5" xfId="4058" xr:uid="{3FA0F357-9A38-4EA1-9786-9A491E928FAD}"/>
    <cellStyle name="Header2 3 2 5 2" xfId="4982" xr:uid="{A2C84809-9542-4BC1-A715-6DCB7E39393C}"/>
    <cellStyle name="Header2 3 2 5 2 2" xfId="9111" xr:uid="{B6D9B729-7FCD-4327-B636-E7FD87AE897C}"/>
    <cellStyle name="Header2 3 2 5 2 2 2" xfId="11437" xr:uid="{28EDAE19-3B13-4B8D-924D-F14E54BE4EBE}"/>
    <cellStyle name="Header2 3 2 5 2 2 2 2" xfId="28203" xr:uid="{9AC6C15F-E0FF-4FEC-9D05-A22C6404C6C6}"/>
    <cellStyle name="Header2 3 2 5 2 2 2 3" xfId="41396" xr:uid="{9426F731-EE96-4742-B3C6-A966A6174427}"/>
    <cellStyle name="Header2 3 2 5 2 2 3" xfId="26592" xr:uid="{8F0DECB8-798D-44BA-9794-514CB9164C9E}"/>
    <cellStyle name="Header2 3 2 5 2 2 4" xfId="39668" xr:uid="{7C6AABE5-8C7D-4C73-9FFA-300E26312044}"/>
    <cellStyle name="Header2 3 2 5 2 3" xfId="16052" xr:uid="{D0FC20FA-DF8C-4332-84F4-A47E2F03BAF5}"/>
    <cellStyle name="Header2 3 2 5 2 3 2" xfId="32114" xr:uid="{211AFF6C-D0DD-4DCD-8537-1A19E8686078}"/>
    <cellStyle name="Header2 3 2 5 2 3 3" xfId="45633" xr:uid="{EA4EA6EB-DD9D-4D43-95C6-7792811E59B2}"/>
    <cellStyle name="Header2 3 2 5 2 4" xfId="22754" xr:uid="{C29A600D-4412-4110-BC86-5D0448CD0C7E}"/>
    <cellStyle name="Header2 3 2 5 2 5" xfId="35811" xr:uid="{6D48A31D-8CC7-408D-97E5-41EA9B6E31E5}"/>
    <cellStyle name="Header2 3 2 5 3" xfId="7623" xr:uid="{2C772803-2E3C-460A-BD94-8DB54134B7D9}"/>
    <cellStyle name="Header2 3 2 5 3 2" xfId="16793" xr:uid="{8C4D1FC6-132D-4EB2-8C22-FA300E8E0385}"/>
    <cellStyle name="Header2 3 2 5 3 2 2" xfId="32674" xr:uid="{98875D7A-318C-439D-930D-630B472A58E7}"/>
    <cellStyle name="Header2 3 2 5 3 2 3" xfId="46336" xr:uid="{F8CC7EE3-E409-45DC-B407-414366E76697}"/>
    <cellStyle name="Header2 3 2 5 3 3" xfId="25151" xr:uid="{5A1844CA-0EC9-45BB-84B2-F8CFAB8199E6}"/>
    <cellStyle name="Header2 3 2 5 3 4" xfId="38227" xr:uid="{3E3FDCA4-F997-43D9-AA10-465E42DE7BF7}"/>
    <cellStyle name="Header2 3 2 5 4" xfId="12797" xr:uid="{9CD70B2E-CBA3-49D9-8804-3C43F2574B6E}"/>
    <cellStyle name="Header2 3 2 5 4 2" xfId="29372" xr:uid="{0F2162C6-47CE-4126-96CA-B10672DFCFFE}"/>
    <cellStyle name="Header2 3 2 5 4 3" xfId="42652" xr:uid="{6EA89C91-0395-4183-BCE0-25EA154120D1}"/>
    <cellStyle name="Header2 3 2 5 5" xfId="21892" xr:uid="{4B564994-AD4A-4875-A5E5-3C300467069C}"/>
    <cellStyle name="Header2 3 2 5 6" xfId="34941" xr:uid="{9E5B60CF-8E39-4265-A74E-164C32E84919}"/>
    <cellStyle name="Header2 3 2 6" xfId="4415" xr:uid="{9E2A3E13-B7A0-4DB0-957C-E4138B1B6484}"/>
    <cellStyle name="Header2 3 2 6 2" xfId="7050" xr:uid="{ABE446C1-545F-485B-9C7E-47A8AD8F075F}"/>
    <cellStyle name="Header2 3 2 6 2 2" xfId="13458" xr:uid="{40F30C15-A4B2-4386-8FE5-98ECE19220E5}"/>
    <cellStyle name="Header2 3 2 6 2 2 2" xfId="29921" xr:uid="{7A13E7FB-6686-438E-9BD7-DBEEA67679B4}"/>
    <cellStyle name="Header2 3 2 6 2 2 3" xfId="43260" xr:uid="{C3E46A2C-0DFA-4779-828D-81147E8140C3}"/>
    <cellStyle name="Header2 3 2 6 2 3" xfId="24655" xr:uid="{B047D558-B2C4-4D0A-A6F4-179CFF036FDD}"/>
    <cellStyle name="Header2 3 2 6 2 4" xfId="37736" xr:uid="{555E9216-6720-4115-9A9E-5E2FDBB6F47B}"/>
    <cellStyle name="Header2 3 2 6 3" xfId="14305" xr:uid="{1B53B81C-996B-42C0-91BB-46F26B82AA9A}"/>
    <cellStyle name="Header2 3 2 6 3 2" xfId="30643" xr:uid="{B7A26242-81E9-4DCE-867A-BC63B833656A}"/>
    <cellStyle name="Header2 3 2 6 3 3" xfId="44037" xr:uid="{436B2D2F-A7E2-4647-B78C-44120F1A8993}"/>
    <cellStyle name="Header2 3 2 6 4" xfId="22234" xr:uid="{866D6A39-5C66-4D63-8A77-F36279E63A63}"/>
    <cellStyle name="Header2 3 2 6 5" xfId="35283" xr:uid="{1C4A24AF-783B-4CE2-B6E0-F4F519AE490C}"/>
    <cellStyle name="Header2 3 2 7" xfId="5469" xr:uid="{E45A23C6-7E46-4D06-B4A5-4CAFBD3547FF}"/>
    <cellStyle name="Header2 3 2 7 2" xfId="8649" xr:uid="{C07F97DA-C489-4CA0-9BF9-C279B044EE94}"/>
    <cellStyle name="Header2 3 2 7 2 2" xfId="10929" xr:uid="{923076D1-8628-4CBE-B3F5-EC902FCEAD2C}"/>
    <cellStyle name="Header2 3 2 7 2 2 2" xfId="27747" xr:uid="{66DF7FBD-4381-4FB1-8EF8-B13ED43856B8}"/>
    <cellStyle name="Header2 3 2 7 2 2 3" xfId="40909" xr:uid="{4D4E66D2-EC12-47A9-8142-FEC9361871AD}"/>
    <cellStyle name="Header2 3 2 7 2 3" xfId="26144" xr:uid="{51546E6E-BCB4-4914-9413-B526C8C4AEEE}"/>
    <cellStyle name="Header2 3 2 7 2 4" xfId="39220" xr:uid="{0371F55B-2564-4E25-A940-F1E5E86003D4}"/>
    <cellStyle name="Header2 3 2 7 3" xfId="16042" xr:uid="{0181B389-434D-4CF4-A3C3-0B4BFAC66E52}"/>
    <cellStyle name="Header2 3 2 7 3 2" xfId="32106" xr:uid="{4CC1BA6F-D53D-4E3D-8A13-9168E9340585}"/>
    <cellStyle name="Header2 3 2 7 3 3" xfId="45625" xr:uid="{B26FCF5D-8694-4FD4-BCD5-917D4D422871}"/>
    <cellStyle name="Header2 3 2 7 4" xfId="23116" xr:uid="{4005E6EB-3127-4ADE-9446-DE19C0363D78}"/>
    <cellStyle name="Header2 3 2 7 5" xfId="36197" xr:uid="{6B81C143-549E-4B10-A0B3-3BBA7AFC2BBC}"/>
    <cellStyle name="Header2 3 2 8" xfId="13840" xr:uid="{302B197A-9D63-43EF-A82E-E36AA6F1CA06}"/>
    <cellStyle name="Header2 3 2 8 2" xfId="30242" xr:uid="{358DBEB0-AC18-4145-9350-088453912C50}"/>
    <cellStyle name="Header2 3 2 8 3" xfId="43612" xr:uid="{C8A0576E-E5A5-43FD-B441-D60ECDF644CF}"/>
    <cellStyle name="Header2 3 2 9" xfId="17731" xr:uid="{68BD4C53-02AE-43EA-A86C-2CD718B2BF3B}"/>
    <cellStyle name="Header2 3 2 9 2" xfId="33453" xr:uid="{515A816C-AE40-4856-8DF0-A4DC57E1E455}"/>
    <cellStyle name="Header2 3 2 9 3" xfId="47237" xr:uid="{B9DBABC2-4226-44AA-9A5D-BEF893CEC46C}"/>
    <cellStyle name="Header2 3 20" xfId="3080" xr:uid="{0ED8E9B1-95A0-428D-91A7-9A807DD296A2}"/>
    <cellStyle name="Header2 3 20 2" xfId="4971" xr:uid="{6B3E0C55-CEE6-4F07-9F81-2D34736402BB}"/>
    <cellStyle name="Header2 3 20 2 2" xfId="8372" xr:uid="{2E1A7570-87C5-440F-82C4-CD309FA16F66}"/>
    <cellStyle name="Header2 3 20 2 2 2" xfId="13196" xr:uid="{E44D147C-3960-497B-BDEF-F00EA37E66C1}"/>
    <cellStyle name="Header2 3 20 2 2 2 2" xfId="29700" xr:uid="{071FF8B1-4BF5-47E6-8934-EE7D4E6CA8CF}"/>
    <cellStyle name="Header2 3 20 2 2 2 3" xfId="43018" xr:uid="{AB3A4583-E85F-4AEB-AA09-F2C477F86CA5}"/>
    <cellStyle name="Header2 3 20 2 2 3" xfId="25876" xr:uid="{D43DC56B-60FF-4F93-838A-1A389A3E5A9E}"/>
    <cellStyle name="Header2 3 20 2 2 4" xfId="38952" xr:uid="{CB11EC74-8903-478D-B589-EB67E750CE57}"/>
    <cellStyle name="Header2 3 20 2 3" xfId="11968" xr:uid="{20C32608-15AA-4E57-A9C3-622DC0263625}"/>
    <cellStyle name="Header2 3 20 2 3 2" xfId="28677" xr:uid="{6DE4EDD8-7876-4611-8DBF-12D4608124D5}"/>
    <cellStyle name="Header2 3 20 2 3 3" xfId="41895" xr:uid="{64202B2E-46DB-43F3-A1DE-C5896BCA2F96}"/>
    <cellStyle name="Header2 3 20 2 4" xfId="22748" xr:uid="{9D81A26F-46F2-4591-8725-4DE2C5558698}"/>
    <cellStyle name="Header2 3 20 2 5" xfId="35804" xr:uid="{0BA5F94C-69CC-485E-89F1-5995A2B3DE98}"/>
    <cellStyle name="Header2 3 20 3" xfId="6739" xr:uid="{41D269B3-7E98-4F4D-BE47-3C66931ADA66}"/>
    <cellStyle name="Header2 3 20 3 2" xfId="14361" xr:uid="{84CDAD7E-8E6A-46D3-B387-294A1C8A7B46}"/>
    <cellStyle name="Header2 3 20 3 2 2" xfId="30694" xr:uid="{D95AF3C8-625C-4ADB-9415-536A3665581F}"/>
    <cellStyle name="Header2 3 20 3 2 3" xfId="44091" xr:uid="{FCFC08BE-4282-4177-B24E-A8D54A1BDCF9}"/>
    <cellStyle name="Header2 3 20 3 3" xfId="24367" xr:uid="{8D9C6890-17BB-460F-AAE1-46D4C62CBDE5}"/>
    <cellStyle name="Header2 3 20 3 4" xfId="37448" xr:uid="{66A2A42E-FDFE-4585-B8AC-D4DBB4478EE5}"/>
    <cellStyle name="Header2 3 20 4" xfId="17212" xr:uid="{0FB8D140-88C4-46FA-91A6-7B9A9CE880AC}"/>
    <cellStyle name="Header2 3 20 4 2" xfId="32973" xr:uid="{7BF5951A-F465-4CDE-BAA5-072E29A50D56}"/>
    <cellStyle name="Header2 3 20 4 3" xfId="46746" xr:uid="{F0888B6F-7B51-4327-838E-62E2B7F74CDB}"/>
    <cellStyle name="Header2 3 20 5" xfId="21119" xr:uid="{3EDFF154-2BD3-4B0D-B13A-71FA9E71714C}"/>
    <cellStyle name="Header2 3 20 6" xfId="34142" xr:uid="{52FF6E36-5BA8-466B-BAA1-860CCEEACD21}"/>
    <cellStyle name="Header2 3 21" xfId="2633" xr:uid="{D6C90B4C-8E08-4961-BD88-6FF6141EAA5D}"/>
    <cellStyle name="Header2 3 21 2" xfId="7930" xr:uid="{2EF73BA2-EC9B-4F49-A4A2-2DAA27CB5DBA}"/>
    <cellStyle name="Header2 3 21 2 2" xfId="13378" xr:uid="{76781EDC-65D4-4EC4-A4C4-F7EA49A442B3}"/>
    <cellStyle name="Header2 3 21 2 2 2" xfId="29851" xr:uid="{5514B52B-0E6D-462D-9EF9-C4C18E20ECF5}"/>
    <cellStyle name="Header2 3 21 2 2 3" xfId="43186" xr:uid="{5CD294C1-B8BB-4207-A1CD-284BA26A7A63}"/>
    <cellStyle name="Header2 3 21 2 3" xfId="25446" xr:uid="{9D774FBB-7D82-4B1F-9B0F-5D2A4ED897A9}"/>
    <cellStyle name="Header2 3 21 2 4" xfId="38522" xr:uid="{B7A3DD7A-E485-4D31-A473-4C67A42630C3}"/>
    <cellStyle name="Header2 3 21 3" xfId="6297" xr:uid="{1FDB5EEE-EE4E-4A35-B6C8-B2F321230D97}"/>
    <cellStyle name="Header2 3 21 3 2" xfId="10611" xr:uid="{CF9B864B-1510-45A7-BC9F-D9A7B1F13DEC}"/>
    <cellStyle name="Header2 3 21 3 2 2" xfId="27470" xr:uid="{E5AB7848-BC09-4866-BA9A-7D1F72D16768}"/>
    <cellStyle name="Header2 3 21 3 2 3" xfId="40592" xr:uid="{A7B75B67-06C4-4128-B661-BB9F2B44CE36}"/>
    <cellStyle name="Header2 3 21 3 3" xfId="23937" xr:uid="{B8576278-A60B-4EC8-A5C1-071B76F59204}"/>
    <cellStyle name="Header2 3 21 3 4" xfId="37018" xr:uid="{E19D943B-EDBC-41B0-8EEC-A0108FBD93A0}"/>
    <cellStyle name="Header2 3 21 4" xfId="14796" xr:uid="{1692314D-D0D8-4520-AB98-746F81B80AFB}"/>
    <cellStyle name="Header2 3 21 4 2" xfId="31062" xr:uid="{2DEF46F6-12E8-405D-BC06-AA52F23FB604}"/>
    <cellStyle name="Header2 3 21 4 3" xfId="44494" xr:uid="{66DAC4BD-BFD8-4E5F-B924-B1EFF50F0901}"/>
    <cellStyle name="Header2 3 21 5" xfId="20689" xr:uid="{412AD37D-63A2-4D91-BCE6-5A35D93E8A3F}"/>
    <cellStyle name="Header2 3 21 6" xfId="33712" xr:uid="{8C5A7986-E545-407C-B2F3-44D211FDF62F}"/>
    <cellStyle name="Header2 3 22" xfId="4080" xr:uid="{F0A26D52-7321-4ACF-A319-85EBF70FA776}"/>
    <cellStyle name="Header2 3 22 2" xfId="9132" xr:uid="{5BBF9205-E577-476B-9140-766B949A103A}"/>
    <cellStyle name="Header2 3 22 2 2" xfId="12840" xr:uid="{94924E17-2F2B-4CAA-9AC1-35B77F46FD4E}"/>
    <cellStyle name="Header2 3 22 2 2 2" xfId="29410" xr:uid="{8B518D5E-7A33-44CA-BBD7-EA9BF7FB9C6A}"/>
    <cellStyle name="Header2 3 22 2 2 3" xfId="42693" xr:uid="{A527D2E3-D160-4C84-914F-E6700895ABF9}"/>
    <cellStyle name="Header2 3 22 2 3" xfId="26613" xr:uid="{64F079E1-2BEB-45B3-A1E6-A105C5173FAB}"/>
    <cellStyle name="Header2 3 22 2 4" xfId="39689" xr:uid="{50BB7E94-5B3A-477B-AC76-96997CDBEC0D}"/>
    <cellStyle name="Header2 3 22 3" xfId="7644" xr:uid="{E9C5209D-A015-43C2-9351-501842C5D3DF}"/>
    <cellStyle name="Header2 3 22 3 2" xfId="15625" xr:uid="{1009348B-D338-43BD-BCDD-AB5D0E33D2C9}"/>
    <cellStyle name="Header2 3 22 3 2 2" xfId="31745" xr:uid="{638E972D-0A57-438E-BC52-9CAE09AF364C}"/>
    <cellStyle name="Header2 3 22 3 2 3" xfId="45249" xr:uid="{54E100E7-C140-4FDE-A29A-DB457DD8F189}"/>
    <cellStyle name="Header2 3 22 3 3" xfId="25172" xr:uid="{4EC81042-3984-4248-8D31-269379442F80}"/>
    <cellStyle name="Header2 3 22 3 4" xfId="38248" xr:uid="{72B899FE-1BD7-4EE9-8A12-6A17D8F663DA}"/>
    <cellStyle name="Header2 3 22 4" xfId="12838" xr:uid="{4BD7D339-0983-466B-A0B5-134D0642B64B}"/>
    <cellStyle name="Header2 3 22 4 2" xfId="29408" xr:uid="{C4C35F58-5D50-4565-AA76-FEECDED004E5}"/>
    <cellStyle name="Header2 3 22 4 3" xfId="42691" xr:uid="{1FE079FB-6592-4F4E-8506-E92C10757357}"/>
    <cellStyle name="Header2 3 22 5" xfId="21913" xr:uid="{88D5B271-E815-4C37-9D30-D861EC971105}"/>
    <cellStyle name="Header2 3 22 6" xfId="34962" xr:uid="{3CB82B9B-81FF-425C-BD55-AB903A9A32A5}"/>
    <cellStyle name="Header2 3 23" xfId="2541" xr:uid="{7F0CCD54-B01D-4224-B63D-58E07E8945A9}"/>
    <cellStyle name="Header2 3 23 2" xfId="7839" xr:uid="{766139C7-205F-4C50-B53D-39DB8F9E4CCD}"/>
    <cellStyle name="Header2 3 23 2 2" xfId="13904" xr:uid="{496E08A9-FC90-4721-92EC-89A79730D26C}"/>
    <cellStyle name="Header2 3 23 2 2 2" xfId="30296" xr:uid="{1D03A9FE-8D95-46E1-A80D-47EDFD52B5B3}"/>
    <cellStyle name="Header2 3 23 2 2 3" xfId="43669" xr:uid="{C45EA5CA-53EC-43E9-8F7E-E5E805902011}"/>
    <cellStyle name="Header2 3 23 2 3" xfId="25359" xr:uid="{02DFE77A-60CB-4D6E-85BF-D902639BC590}"/>
    <cellStyle name="Header2 3 23 2 4" xfId="38435" xr:uid="{5FBE7327-35A8-4F50-BB7C-BB5071C70269}"/>
    <cellStyle name="Header2 3 23 3" xfId="6206" xr:uid="{D7FF3668-1E43-4F97-A28C-22B85E8A5C01}"/>
    <cellStyle name="Header2 3 23 3 2" xfId="14899" xr:uid="{F80EC45F-2B68-4B9C-83FE-1B5389ABF7E2}"/>
    <cellStyle name="Header2 3 23 3 2 2" xfId="31147" xr:uid="{1BB404F9-0FE3-4748-A876-4A4C64CA33FA}"/>
    <cellStyle name="Header2 3 23 3 2 3" xfId="44590" xr:uid="{82FC947E-AD7C-43FA-88E1-EAAF612DBA3E}"/>
    <cellStyle name="Header2 3 23 3 3" xfId="23850" xr:uid="{E52312AC-92F3-40F6-8720-291D1C3D304F}"/>
    <cellStyle name="Header2 3 23 3 4" xfId="36931" xr:uid="{0E4F1790-549B-4003-8DD5-8454380550D4}"/>
    <cellStyle name="Header2 3 23 4" xfId="12757" xr:uid="{A3081E29-6FAA-4F95-8F49-3E9CC545EE97}"/>
    <cellStyle name="Header2 3 23 4 2" xfId="29334" xr:uid="{5905EDE8-D6C0-4E52-AFCF-81A48C5434D9}"/>
    <cellStyle name="Header2 3 23 4 3" xfId="42614" xr:uid="{8DC81546-36A6-441D-8269-DFDFE57EB7F7}"/>
    <cellStyle name="Header2 3 23 5" xfId="20602" xr:uid="{DCDE6885-55AD-4F22-A455-EB6D1AE26D3C}"/>
    <cellStyle name="Header2 3 23 6" xfId="33625" xr:uid="{82E537D5-F433-4023-82E8-DDAAF246C99F}"/>
    <cellStyle name="Header2 3 24" xfId="4132" xr:uid="{685D3FB3-B621-4080-883F-C68603B79271}"/>
    <cellStyle name="Header2 3 24 2" xfId="9184" xr:uid="{2CBE555C-D2D8-4259-8251-79F057BCC868}"/>
    <cellStyle name="Header2 3 24 2 2" xfId="12314" xr:uid="{250FCDDA-9E8A-4310-BE12-883AF7BDAE65}"/>
    <cellStyle name="Header2 3 24 2 2 2" xfId="28984" xr:uid="{1AF72469-80A9-4B2A-8A27-0523DF32A10A}"/>
    <cellStyle name="Header2 3 24 2 2 3" xfId="42223" xr:uid="{36A8A250-09A7-4A59-B232-E98FFF307096}"/>
    <cellStyle name="Header2 3 24 2 3" xfId="26662" xr:uid="{E95E294B-E689-493D-BD18-7B12E06ACA78}"/>
    <cellStyle name="Header2 3 24 2 4" xfId="39738" xr:uid="{0187CB34-0DDF-4A34-AD17-85969FF0FB9E}"/>
    <cellStyle name="Header2 3 24 3" xfId="7696" xr:uid="{FB52B7C2-288F-404B-9837-BA463E8829EF}"/>
    <cellStyle name="Header2 3 24 3 2" xfId="12410" xr:uid="{8C4DED46-423F-4B93-99EF-76CF086C7675}"/>
    <cellStyle name="Header2 3 24 3 2 2" xfId="29073" xr:uid="{261D11EA-8F20-43EE-A452-53D9B4CFA4F0}"/>
    <cellStyle name="Header2 3 24 3 2 3" xfId="42314" xr:uid="{336850F8-A8E0-470F-B13F-0F6C1961307F}"/>
    <cellStyle name="Header2 3 24 3 3" xfId="25221" xr:uid="{246ABCA3-D07A-499B-B1CB-027B332E326D}"/>
    <cellStyle name="Header2 3 24 3 4" xfId="38297" xr:uid="{A37ADBB7-52FC-47E7-B604-DBD09C8529E2}"/>
    <cellStyle name="Header2 3 24 4" xfId="11386" xr:uid="{07FDA6BE-9419-4DA2-85DA-2B97F9AE004D}"/>
    <cellStyle name="Header2 3 24 4 2" xfId="28158" xr:uid="{47BBD7AD-85F8-4A1D-B551-962EB6D8855F}"/>
    <cellStyle name="Header2 3 24 4 3" xfId="41348" xr:uid="{DDB93863-7322-4F04-A2FF-FEFE9564370F}"/>
    <cellStyle name="Header2 3 24 5" xfId="21962" xr:uid="{51124C7D-2A2C-4A02-8334-2006A99A1E8A}"/>
    <cellStyle name="Header2 3 24 6" xfId="35011" xr:uid="{346F0F5B-5681-490E-9E42-E10080F2C9CA}"/>
    <cellStyle name="Header2 3 25" xfId="4283" xr:uid="{8665C1CA-51DE-44F0-A354-23BA1BF6A5D6}"/>
    <cellStyle name="Header2 3 25 2" xfId="6152" xr:uid="{BFF5C39F-AAEF-4AFE-9B25-117DBC204F7E}"/>
    <cellStyle name="Header2 3 25 2 2" xfId="11750" xr:uid="{1C3BC9D9-0FC0-47ED-A171-94B63647FFBA}"/>
    <cellStyle name="Header2 3 25 2 2 2" xfId="28477" xr:uid="{9B745459-FBCB-40A3-B043-07CC2BF80924}"/>
    <cellStyle name="Header2 3 25 2 2 3" xfId="41688" xr:uid="{5A09921A-A89F-40EA-9648-7B22946EDA1B}"/>
    <cellStyle name="Header2 3 25 2 3" xfId="23797" xr:uid="{5FF86312-7304-4FC9-A384-97244B89C330}"/>
    <cellStyle name="Header2 3 25 2 4" xfId="36878" xr:uid="{026FCE4B-80D7-420C-A038-9F52A602EF95}"/>
    <cellStyle name="Header2 3 25 3" xfId="14095" xr:uid="{95856744-AF7B-48AD-B115-588FC3D7DBBB}"/>
    <cellStyle name="Header2 3 25 3 2" xfId="30462" xr:uid="{262AC484-1491-4436-BF07-676F48BEC23C}"/>
    <cellStyle name="Header2 3 25 3 3" xfId="43845" xr:uid="{C71A1DE5-CF8B-4347-9701-741E5876432F}"/>
    <cellStyle name="Header2 3 25 4" xfId="22104" xr:uid="{2FE265F8-881C-4E17-AF8C-AA18946EA704}"/>
    <cellStyle name="Header2 3 25 5" xfId="35153" xr:uid="{FD6729FC-4FA7-4246-B650-C94EF6D20EF7}"/>
    <cellStyle name="Header2 3 26" xfId="5258" xr:uid="{7310F02A-C0F7-4BB3-A919-E8191A6F9167}"/>
    <cellStyle name="Header2 3 26 2" xfId="9691" xr:uid="{BAEAFF55-3501-441D-AC98-D6F69B8F6D01}"/>
    <cellStyle name="Header2 3 26 2 2" xfId="14946" xr:uid="{01567D3C-B238-43C0-8E95-DE9C575BE4DA}"/>
    <cellStyle name="Header2 3 26 2 2 2" xfId="31185" xr:uid="{6D3B1E5D-8870-4B4E-A134-E1DFC939D117}"/>
    <cellStyle name="Header2 3 26 2 2 3" xfId="44632" xr:uid="{9694E20F-C004-4260-98AA-270D6BA55BDB}"/>
    <cellStyle name="Header2 3 26 2 3" xfId="26995" xr:uid="{AB234ECD-CEF7-4919-9108-65A1A2358ABF}"/>
    <cellStyle name="Header2 3 26 2 4" xfId="40107" xr:uid="{77BA00F3-0172-41CB-A37A-009471981CA9}"/>
    <cellStyle name="Header2 3 26 3" xfId="14994" xr:uid="{FC85944C-EABF-4FD9-933A-308B5BAC61C4}"/>
    <cellStyle name="Header2 3 26 3 2" xfId="31225" xr:uid="{898A756F-1141-4831-B8FA-12BAF0B034E7}"/>
    <cellStyle name="Header2 3 26 3 3" xfId="44675" xr:uid="{8C746295-B077-4261-AEDB-D4AC46C8D620}"/>
    <cellStyle name="Header2 3 26 4" xfId="22914" xr:uid="{0E510B08-2AA1-425E-AA4F-080E8BF6D10F}"/>
    <cellStyle name="Header2 3 26 5" xfId="35988" xr:uid="{A1C6F919-6BA9-4ED8-A58F-66CBCBF3603E}"/>
    <cellStyle name="Header2 3 27" xfId="5348" xr:uid="{D50E4D30-2F9E-4522-B451-C33820567992}"/>
    <cellStyle name="Header2 3 27 2" xfId="9779" xr:uid="{921AE8B4-27A4-4A91-B0D8-3354323AEB63}"/>
    <cellStyle name="Header2 3 27 2 2" xfId="14159" xr:uid="{0452E326-F0C1-4845-807C-CB67E47AF760}"/>
    <cellStyle name="Header2 3 27 2 2 2" xfId="30516" xr:uid="{72F9960C-9288-430D-8872-5EF4872EE318}"/>
    <cellStyle name="Header2 3 27 2 2 3" xfId="43902" xr:uid="{C8C9ECF9-BD6B-40D4-92F0-2F02A884910C}"/>
    <cellStyle name="Header2 3 27 2 3" xfId="27076" xr:uid="{0E825D00-36FE-4094-B647-A066F137A80B}"/>
    <cellStyle name="Header2 3 27 2 4" xfId="40195" xr:uid="{C3A49614-D34C-4B50-9A89-22F2F6868C26}"/>
    <cellStyle name="Header2 3 27 3" xfId="14785" xr:uid="{140244C4-32A9-4750-99F8-7FC931CDBB1E}"/>
    <cellStyle name="Header2 3 27 3 2" xfId="31051" xr:uid="{C51615F0-3535-4297-AE98-FA96F2734AF1}"/>
    <cellStyle name="Header2 3 27 3 3" xfId="44483" xr:uid="{16D7241F-AEE1-4BC2-8D5B-B4E0FD01775D}"/>
    <cellStyle name="Header2 3 27 4" xfId="22995" xr:uid="{AC375079-B894-4B56-9D39-84EE6A22C798}"/>
    <cellStyle name="Header2 3 27 5" xfId="36076" xr:uid="{52A96D90-A178-4CA2-A337-A2560E1F7397}"/>
    <cellStyle name="Header2 3 28" xfId="10345" xr:uid="{5395D1BD-B960-4F70-9713-CAACBB96E1E2}"/>
    <cellStyle name="Header2 3 28 2" xfId="17585" xr:uid="{32BB7FCC-121E-431F-9F71-E677D9856AC5}"/>
    <cellStyle name="Header2 3 28 2 2" xfId="33322" xr:uid="{938D458D-7EA3-4602-9952-DE00D884DB42}"/>
    <cellStyle name="Header2 3 28 2 3" xfId="47110" xr:uid="{DB669F38-6EE8-4A6E-A176-6F3C6D7A2193}"/>
    <cellStyle name="Header2 3 28 3" xfId="27396" xr:uid="{8ACA2632-BC26-4CC4-A86B-F2C74ECF5835}"/>
    <cellStyle name="Header2 3 28 4" xfId="40515" xr:uid="{E9E447FE-F56D-4388-9547-72CE2CC0C25F}"/>
    <cellStyle name="Header2 3 29" xfId="10552" xr:uid="{E0E6E39B-C059-498A-8CD3-4C7D0C44498D}"/>
    <cellStyle name="Header2 3 29 2" xfId="17597" xr:uid="{E7B2047A-841D-425A-8180-4620B320D535}"/>
    <cellStyle name="Header2 3 29 2 2" xfId="33333" xr:uid="{A7F75A95-45B0-4992-9428-877FB4160290}"/>
    <cellStyle name="Header2 3 29 2 3" xfId="47122" xr:uid="{662C81FC-33AF-42AA-B338-BDB81D297344}"/>
    <cellStyle name="Header2 3 29 3" xfId="27412" xr:uid="{19E150CA-A3D5-4850-A64A-F3744501B7B8}"/>
    <cellStyle name="Header2 3 29 4" xfId="40534" xr:uid="{760EE5F1-A14D-417C-8C52-DAE7ABE6BA55}"/>
    <cellStyle name="Header2 3 3" xfId="3368" xr:uid="{6A427A9D-A91D-4D85-817C-EEEAD26E02F1}"/>
    <cellStyle name="Header2 3 3 10" xfId="34408" xr:uid="{311FF8CD-7053-4316-B248-D5E45F87FA11}"/>
    <cellStyle name="Header2 3 3 2" xfId="2727" xr:uid="{39603DD0-7F5E-40CA-B56D-F27695D9A092}"/>
    <cellStyle name="Header2 3 3 2 2" xfId="8023" xr:uid="{4B9FB519-B3F0-4618-A8DB-EBB890154183}"/>
    <cellStyle name="Header2 3 3 2 2 2" xfId="16189" xr:uid="{7E3B4B05-CD5E-4014-8BEF-8D7A598786E6}"/>
    <cellStyle name="Header2 3 3 2 2 2 2" xfId="32234" xr:uid="{8098A59F-4424-48D5-9282-37C36648C2FC}"/>
    <cellStyle name="Header2 3 3 2 2 2 3" xfId="45757" xr:uid="{D54D63D0-579E-40DF-B068-22ACF6BF3D01}"/>
    <cellStyle name="Header2 3 3 2 2 3" xfId="25536" xr:uid="{FBAB7ED6-75A3-4EA5-9BE6-6CE819218DAD}"/>
    <cellStyle name="Header2 3 3 2 2 4" xfId="38612" xr:uid="{613BDD5C-23F3-4347-B0E1-EFBF8110C0E1}"/>
    <cellStyle name="Header2 3 3 2 3" xfId="6390" xr:uid="{C6D490EB-14DF-4590-99EC-67638E29B134}"/>
    <cellStyle name="Header2 3 3 2 3 2" xfId="13792" xr:uid="{E327EB9D-A9E5-42DB-BCE3-9027B0F139C5}"/>
    <cellStyle name="Header2 3 3 2 3 2 2" xfId="30198" xr:uid="{70F67634-AA62-4CF5-97B6-AFC14B4D9042}"/>
    <cellStyle name="Header2 3 3 2 3 2 3" xfId="43564" xr:uid="{FDEA0484-3B71-43D6-B2EE-28DBC7C7394F}"/>
    <cellStyle name="Header2 3 3 2 3 3" xfId="24027" xr:uid="{3C6F5A7E-1703-4CEB-AB43-294FE74ABCBA}"/>
    <cellStyle name="Header2 3 3 2 3 4" xfId="37108" xr:uid="{FB01A409-E734-4844-AEA4-1E8970E53298}"/>
    <cellStyle name="Header2 3 3 2 4" xfId="13581" xr:uid="{1A4F3B88-F97E-4F5C-8536-8F3D7EA356E7}"/>
    <cellStyle name="Header2 3 3 2 4 2" xfId="30023" xr:uid="{A6530AE5-84CF-4769-9434-A4F497C6ACDB}"/>
    <cellStyle name="Header2 3 3 2 4 3" xfId="43374" xr:uid="{C678BB91-D561-4F82-8FFA-4FD9B5AE37BD}"/>
    <cellStyle name="Header2 3 3 2 5" xfId="20779" xr:uid="{21C82DC2-D005-400E-B9B5-11B80AAF6DD2}"/>
    <cellStyle name="Header2 3 3 2 6" xfId="33802" xr:uid="{F9C03074-1E67-4B57-A2C4-38A13B25B328}"/>
    <cellStyle name="Header2 3 3 3" xfId="4094" xr:uid="{9F638A2D-8952-4CC9-9EFB-18F4C0AAEDCB}"/>
    <cellStyle name="Header2 3 3 3 2" xfId="9146" xr:uid="{5458784F-5274-46A2-AAB8-029B5692E817}"/>
    <cellStyle name="Header2 3 3 3 2 2" xfId="11689" xr:uid="{47A65D03-48D7-43C5-9F9D-292D5B2C9A67}"/>
    <cellStyle name="Header2 3 3 3 2 2 2" xfId="28422" xr:uid="{B45182A9-4D21-43F0-A5DA-36730D20B837}"/>
    <cellStyle name="Header2 3 3 3 2 2 3" xfId="41632" xr:uid="{15294AF0-9385-4FF7-8D21-8563F17D3066}"/>
    <cellStyle name="Header2 3 3 3 2 3" xfId="26627" xr:uid="{DAF981AD-6243-470E-8AB5-E23AAC60909D}"/>
    <cellStyle name="Header2 3 3 3 2 4" xfId="39703" xr:uid="{B97BBD5A-E9E9-4E42-B134-C8A3B824617D}"/>
    <cellStyle name="Header2 3 3 3 3" xfId="7658" xr:uid="{34F9BA0C-1A1A-4308-BB8A-8D961A0A7732}"/>
    <cellStyle name="Header2 3 3 3 3 2" xfId="15167" xr:uid="{7F9A78BF-26C2-4B1B-932B-3EC8603A1AEE}"/>
    <cellStyle name="Header2 3 3 3 3 2 2" xfId="31358" xr:uid="{D8D1F04E-0358-40BD-800A-F7FE90C23906}"/>
    <cellStyle name="Header2 3 3 3 3 2 3" xfId="44824" xr:uid="{1B8ACFC8-F6D9-438A-970F-DA64D7634BC4}"/>
    <cellStyle name="Header2 3 3 3 3 3" xfId="25186" xr:uid="{EF2F0C3C-56AA-43CF-BAB7-7BC2949671C4}"/>
    <cellStyle name="Header2 3 3 3 3 4" xfId="38262" xr:uid="{46E62FE9-26F2-428E-988D-0F6E0DAF7795}"/>
    <cellStyle name="Header2 3 3 3 4" xfId="17131" xr:uid="{ADE3F9BD-6D67-4C29-9F6D-F0F0A4945186}"/>
    <cellStyle name="Header2 3 3 3 4 2" xfId="32894" xr:uid="{45BDEDA9-0BB5-4497-836D-3C863AE431A7}"/>
    <cellStyle name="Header2 3 3 3 4 3" xfId="46666" xr:uid="{9C5EC1CF-9BDE-43D2-8BDC-E4C66E2A2EE4}"/>
    <cellStyle name="Header2 3 3 3 5" xfId="21927" xr:uid="{C038C977-EA2B-4659-972B-4BC15AB79B78}"/>
    <cellStyle name="Header2 3 3 3 6" xfId="34976" xr:uid="{8000A170-28ED-49EA-AA9E-0F3AE4AE9142}"/>
    <cellStyle name="Header2 3 3 4" xfId="2594" xr:uid="{36F51E82-BE76-42BB-BE33-0CE086D48A3A}"/>
    <cellStyle name="Header2 3 3 4 2" xfId="7891" xr:uid="{753EEDAB-0A3D-420B-B8B1-346861934C54}"/>
    <cellStyle name="Header2 3 3 4 2 2" xfId="13925" xr:uid="{70F762B7-60A2-4CA1-BAFC-4D9F4BD6D7C6}"/>
    <cellStyle name="Header2 3 3 4 2 2 2" xfId="30315" xr:uid="{801CB1B0-55F3-4AF5-8921-25890132C378}"/>
    <cellStyle name="Header2 3 3 4 2 2 3" xfId="43690" xr:uid="{4873B808-4EAD-4011-A1AA-95C8841AC6C9}"/>
    <cellStyle name="Header2 3 3 4 2 3" xfId="25408" xr:uid="{5257E1DB-0CDE-4484-BCFC-FF62D55C6082}"/>
    <cellStyle name="Header2 3 3 4 2 4" xfId="38484" xr:uid="{4AB49D2A-5CB5-4CF0-AE62-FF77E6854A69}"/>
    <cellStyle name="Header2 3 3 4 3" xfId="6258" xr:uid="{9AA2CA3B-A8F2-493D-8E26-7F05C49CF1BC}"/>
    <cellStyle name="Header2 3 3 4 3 2" xfId="11928" xr:uid="{E692F08E-54C4-410F-8926-CA65B8C36549}"/>
    <cellStyle name="Header2 3 3 4 3 2 2" xfId="28641" xr:uid="{F6E03739-0077-490A-A867-61CD7ADC5C28}"/>
    <cellStyle name="Header2 3 3 4 3 2 3" xfId="41859" xr:uid="{68B2558F-A1E3-430A-9405-0202961E43CC}"/>
    <cellStyle name="Header2 3 3 4 3 3" xfId="23899" xr:uid="{B20FDA1C-724B-4936-9FEC-54CF84A74F10}"/>
    <cellStyle name="Header2 3 3 4 3 4" xfId="36980" xr:uid="{859BB2AC-1A34-40F5-A555-5F4B89DB283A}"/>
    <cellStyle name="Header2 3 3 4 4" xfId="12573" xr:uid="{69D4CFB0-7D64-41D9-B4E1-2EDB0090B429}"/>
    <cellStyle name="Header2 3 3 4 4 2" xfId="29190" xr:uid="{34A60245-7A59-42B9-91C7-048426410DEE}"/>
    <cellStyle name="Header2 3 3 4 4 3" xfId="42452" xr:uid="{5CB04787-EDB0-4C8F-A20A-FFB8791F9A75}"/>
    <cellStyle name="Header2 3 3 4 5" xfId="20651" xr:uid="{06C93E2B-A29E-4DD2-B6AC-EABA38AB5024}"/>
    <cellStyle name="Header2 3 3 4 6" xfId="33674" xr:uid="{E70392EC-2F28-4297-9774-C9601DF8500F}"/>
    <cellStyle name="Header2 3 3 5" xfId="4223" xr:uid="{0128F41E-DA54-4CA6-A9C4-160962814ECF}"/>
    <cellStyle name="Header2 3 3 5 2" xfId="9275" xr:uid="{139A5B9F-25FF-4BBB-892B-E7549BE26F08}"/>
    <cellStyle name="Header2 3 3 5 2 2" xfId="15540" xr:uid="{374768B5-E668-40D9-A882-7F6B2B88ADF4}"/>
    <cellStyle name="Header2 3 3 5 2 2 2" xfId="31674" xr:uid="{E866A2DF-B786-472A-B116-7459DA768D38}"/>
    <cellStyle name="Header2 3 3 5 2 2 3" xfId="45173" xr:uid="{980F8366-FE05-4DBD-8FCC-1DD995723430}"/>
    <cellStyle name="Header2 3 3 5 2 3" xfId="26748" xr:uid="{D71DFA99-92CC-4418-B3D8-43D0A67C33B7}"/>
    <cellStyle name="Header2 3 3 5 2 4" xfId="39824" xr:uid="{245E8FD7-857D-4AF3-ADFA-DB5BA34E1394}"/>
    <cellStyle name="Header2 3 3 5 3" xfId="7787" xr:uid="{2D87B286-53F6-4083-BCEE-86121BE05C89}"/>
    <cellStyle name="Header2 3 3 5 3 2" xfId="17265" xr:uid="{8AA11563-E3B4-466D-A81E-BDD82F03A14B}"/>
    <cellStyle name="Header2 3 3 5 3 2 2" xfId="33024" xr:uid="{2C419651-5064-49DC-B285-55DE3F7C7F2C}"/>
    <cellStyle name="Header2 3 3 5 3 2 3" xfId="46799" xr:uid="{8D7E1F1B-9D43-4DAC-A2B4-3AC3956972EA}"/>
    <cellStyle name="Header2 3 3 5 3 3" xfId="25307" xr:uid="{D0CC1C22-38BE-410C-85E8-AE383A994647}"/>
    <cellStyle name="Header2 3 3 5 3 4" xfId="38383" xr:uid="{F29E1103-03AB-4E60-AB93-404A22757980}"/>
    <cellStyle name="Header2 3 3 5 4" xfId="14956" xr:uid="{50CD667C-B004-42BC-AE27-082C47AF2B17}"/>
    <cellStyle name="Header2 3 3 5 4 2" xfId="31195" xr:uid="{DE84FA7E-11FF-4633-9A7C-611993EFA2B9}"/>
    <cellStyle name="Header2 3 3 5 4 3" xfId="44642" xr:uid="{CA85E844-11AF-4E92-8AC2-6A38AC8C48C6}"/>
    <cellStyle name="Header2 3 3 5 5" xfId="22048" xr:uid="{550939C7-E6DC-4308-A69E-8889C5AFEDE3}"/>
    <cellStyle name="Header2 3 3 5 6" xfId="35097" xr:uid="{725CB153-166F-4252-B997-B1E7E9FC5A4F}"/>
    <cellStyle name="Header2 3 3 6" xfId="4393" xr:uid="{F7A48385-5779-4EE4-8DA0-4E27D2185BEC}"/>
    <cellStyle name="Header2 3 3 6 2" xfId="7018" xr:uid="{F6983BDE-4003-442E-87C1-9EE9F4665A38}"/>
    <cellStyle name="Header2 3 3 6 2 2" xfId="15138" xr:uid="{807E8F3D-0217-458D-8077-46CAB748573E}"/>
    <cellStyle name="Header2 3 3 6 2 2 2" xfId="31338" xr:uid="{667DCB56-5150-48DD-8CEB-1905C77575DA}"/>
    <cellStyle name="Header2 3 3 6 2 2 3" xfId="44802" xr:uid="{2F457A6B-9FFB-4843-972C-F1ECFC7E97DF}"/>
    <cellStyle name="Header2 3 3 6 2 3" xfId="24633" xr:uid="{2113420F-6B80-4D6B-B95A-A10C67527BF2}"/>
    <cellStyle name="Header2 3 3 6 2 4" xfId="37714" xr:uid="{F378F4C2-5FB0-4D03-9AC7-A9EF7AE6874B}"/>
    <cellStyle name="Header2 3 3 6 3" xfId="11050" xr:uid="{F565E306-4559-41F9-A7B9-5647368FC321}"/>
    <cellStyle name="Header2 3 3 6 3 2" xfId="27853" xr:uid="{11F0EFD6-5ED0-41AE-8BCE-268AE788F697}"/>
    <cellStyle name="Header2 3 3 6 3 3" xfId="41029" xr:uid="{AF9FCC62-14FF-4F07-83C2-7DD2A5FF3310}"/>
    <cellStyle name="Header2 3 3 6 4" xfId="22212" xr:uid="{E3FA432B-8148-4A85-A31D-AFB55130B11E}"/>
    <cellStyle name="Header2 3 3 6 5" xfId="35261" xr:uid="{CADBE50D-FC36-414C-895B-0BF8901DFAD6}"/>
    <cellStyle name="Header2 3 3 7" xfId="5447" xr:uid="{00B483AB-A95B-4AFC-9C15-8E0F7802662A}"/>
    <cellStyle name="Header2 3 3 7 2" xfId="8627" xr:uid="{EBFA3D82-0507-4876-B7FD-4B1FB1CC2A7B}"/>
    <cellStyle name="Header2 3 3 7 2 2" xfId="10782" xr:uid="{45B5AE7D-EADA-4315-8C8E-F6DD81B8EBD5}"/>
    <cellStyle name="Header2 3 3 7 2 2 2" xfId="27616" xr:uid="{076DD49F-5D3C-41E7-8F79-8AF99181475B}"/>
    <cellStyle name="Header2 3 3 7 2 2 3" xfId="40763" xr:uid="{F6664DA8-B9F5-45C2-B993-0C24AD5377B8}"/>
    <cellStyle name="Header2 3 3 7 2 3" xfId="26122" xr:uid="{2EF8E1F9-F174-46E0-BF2B-751D2B82DE2F}"/>
    <cellStyle name="Header2 3 3 7 2 4" xfId="39198" xr:uid="{B42EDCFF-72EE-441B-A9DD-103BCF09302B}"/>
    <cellStyle name="Header2 3 3 7 3" xfId="11064" xr:uid="{0ECB6C9D-6138-4599-83A3-F00FDFED9ADA}"/>
    <cellStyle name="Header2 3 3 7 3 2" xfId="27867" xr:uid="{E7843319-FFFF-4ED4-B81A-F736A39867ED}"/>
    <cellStyle name="Header2 3 3 7 3 3" xfId="41043" xr:uid="{71FE6D82-BA66-4305-90EC-D32140FDEE9E}"/>
    <cellStyle name="Header2 3 3 7 4" xfId="23094" xr:uid="{25AF392C-6A6D-42B6-B573-69AE88541F22}"/>
    <cellStyle name="Header2 3 3 7 5" xfId="36175" xr:uid="{3AACB0E3-3CAB-4B8B-875A-21DFA81077A3}"/>
    <cellStyle name="Header2 3 3 8" xfId="13846" xr:uid="{95950002-C31A-43E5-9BFB-A0F75C28A3BE}"/>
    <cellStyle name="Header2 3 3 8 2" xfId="30248" xr:uid="{1A7DB658-7CEA-4A9F-9964-9106EEC0EB61}"/>
    <cellStyle name="Header2 3 3 8 3" xfId="43618" xr:uid="{0857510F-C903-456A-A592-8C4A258528E7}"/>
    <cellStyle name="Header2 3 3 9" xfId="21385" xr:uid="{2BD13125-C6A2-4D49-86EE-FD5B5E647A01}"/>
    <cellStyle name="Header2 3 30" xfId="11933" xr:uid="{A7406D17-9101-4992-9B84-A08663496ED7}"/>
    <cellStyle name="Header2 3 30 2" xfId="28645" xr:uid="{317101F3-04A4-4E88-A307-EF813B23E39C}"/>
    <cellStyle name="Header2 3 30 3" xfId="41863" xr:uid="{6A5082C4-CB2E-4160-9D97-A27899D9045B}"/>
    <cellStyle name="Header2 3 31" xfId="12040" xr:uid="{AF7D326B-5F8C-4055-BB7B-366115A34225}"/>
    <cellStyle name="Header2 3 31 2" xfId="28741" xr:uid="{B35365B3-509B-46D9-8EA7-E5C1614BE714}"/>
    <cellStyle name="Header2 3 31 3" xfId="41960" xr:uid="{DED69629-E2C8-488F-9ED4-B1FDAF7F1F86}"/>
    <cellStyle name="Header2 3 32" xfId="15063" xr:uid="{2E40436C-1BFD-43B6-9F46-C82153A9F3CD}"/>
    <cellStyle name="Header2 3 32 2" xfId="31274" xr:uid="{8B7540E4-84F3-4B96-9671-4A5ADBB32BBA}"/>
    <cellStyle name="Header2 3 32 3" xfId="44730" xr:uid="{A7940465-B059-43FC-85C6-BF760C8F2658}"/>
    <cellStyle name="Header2 3 33" xfId="17651" xr:uid="{91480658-D197-4563-AD5F-971A7EEEE1DB}"/>
    <cellStyle name="Header2 3 33 2" xfId="33374" xr:uid="{96A7B5CF-AFA9-48FF-AE85-90675FB1A518}"/>
    <cellStyle name="Header2 3 33 3" xfId="47163" xr:uid="{ADD65729-DCDF-485E-9617-9DC1D5243109}"/>
    <cellStyle name="Header2 3 34" xfId="33548" xr:uid="{6752AE66-04D5-49B3-9FC1-133D78812FFE}"/>
    <cellStyle name="Header2 3 4" xfId="3417" xr:uid="{75159E3E-36E6-4D83-92E2-95AEC1B9EFDC}"/>
    <cellStyle name="Header2 3 4 10" xfId="34435" xr:uid="{62A6308A-2A9A-4475-A765-7A84B303563D}"/>
    <cellStyle name="Header2 3 4 2" xfId="2759" xr:uid="{BF5E37A0-B31E-4098-8C5F-AC48AE0D8C59}"/>
    <cellStyle name="Header2 3 4 2 2" xfId="8055" xr:uid="{328F6BE7-27BE-4181-83E6-7F81A36B4EBF}"/>
    <cellStyle name="Header2 3 4 2 2 2" xfId="11081" xr:uid="{93CEC24F-4E30-4E6B-A4E5-0757137C61A9}"/>
    <cellStyle name="Header2 3 4 2 2 2 2" xfId="27882" xr:uid="{689DD36A-1E08-4D69-8515-49BEB1AD4D01}"/>
    <cellStyle name="Header2 3 4 2 2 2 3" xfId="41060" xr:uid="{8B1FF3C8-2E3A-431C-BCDD-B43F693FA667}"/>
    <cellStyle name="Header2 3 4 2 2 3" xfId="25568" xr:uid="{9F96000D-2B0C-4AD8-839B-82432A2F3FA5}"/>
    <cellStyle name="Header2 3 4 2 2 4" xfId="38644" xr:uid="{E36ED6CE-DF99-4CF1-8B6F-8895866B56BE}"/>
    <cellStyle name="Header2 3 4 2 3" xfId="6422" xr:uid="{80BEF63A-B4BC-4FE7-B52A-1F503CA7E26B}"/>
    <cellStyle name="Header2 3 4 2 3 2" xfId="10947" xr:uid="{3E0EFB78-B7CE-43C4-B84E-BB41EA4B4E16}"/>
    <cellStyle name="Header2 3 4 2 3 2 2" xfId="27761" xr:uid="{039A2E88-FFCF-438D-AD79-2FBB9E5A421D}"/>
    <cellStyle name="Header2 3 4 2 3 2 3" xfId="40927" xr:uid="{36B2CCD5-AC70-4091-97E9-163D2DD904F2}"/>
    <cellStyle name="Header2 3 4 2 3 3" xfId="24059" xr:uid="{8E9E443E-C239-4989-878F-5E15A0A2F6F6}"/>
    <cellStyle name="Header2 3 4 2 3 4" xfId="37140" xr:uid="{643BBDDB-89FF-473E-A3A5-CA1D0061B493}"/>
    <cellStyle name="Header2 3 4 2 4" xfId="16257" xr:uid="{6CF5692B-92EB-44C4-AA3E-B2B2EBBC8163}"/>
    <cellStyle name="Header2 3 4 2 4 2" xfId="32291" xr:uid="{CD6578E9-4F36-47F3-B268-7D8E1858B902}"/>
    <cellStyle name="Header2 3 4 2 4 3" xfId="45820" xr:uid="{1321061E-F9E0-499B-A28D-13A83A62E469}"/>
    <cellStyle name="Header2 3 4 2 5" xfId="20811" xr:uid="{E8AB0B82-8460-41C6-9FA1-234D16F88A4E}"/>
    <cellStyle name="Header2 3 4 2 6" xfId="33834" xr:uid="{755D6B63-F9A8-4687-B3E1-4CE095991DCB}"/>
    <cellStyle name="Header2 3 4 3" xfId="4054" xr:uid="{9DF169FE-D3EC-46A1-9576-EF1B5F103E7D}"/>
    <cellStyle name="Header2 3 4 3 2" xfId="9107" xr:uid="{5EDF5988-165F-4008-A206-8FB47EE527B5}"/>
    <cellStyle name="Header2 3 4 3 2 2" xfId="14908" xr:uid="{1F4FB07C-1820-4AF8-A761-3CADA7543F7A}"/>
    <cellStyle name="Header2 3 4 3 2 2 2" xfId="31154" xr:uid="{475CF635-E7F0-46F4-9286-07F68D7D8B55}"/>
    <cellStyle name="Header2 3 4 3 2 2 3" xfId="44597" xr:uid="{47A3D694-EE26-4CDD-9372-B09E2C3A5D51}"/>
    <cellStyle name="Header2 3 4 3 2 3" xfId="26588" xr:uid="{4C935C73-FAC8-4EEE-A0D0-87A40969FA02}"/>
    <cellStyle name="Header2 3 4 3 2 4" xfId="39664" xr:uid="{CAD2BE8B-0154-4A18-9543-9CE31FA233F9}"/>
    <cellStyle name="Header2 3 4 3 3" xfId="7619" xr:uid="{D840A393-D301-4C3E-AC01-14607AED623E}"/>
    <cellStyle name="Header2 3 4 3 3 2" xfId="10639" xr:uid="{4D3CFF4B-0C1B-4B0B-9DA7-94EC35FB3143}"/>
    <cellStyle name="Header2 3 4 3 3 2 2" xfId="27493" xr:uid="{3DDE227D-63DD-485C-8739-DC11B7F71BF3}"/>
    <cellStyle name="Header2 3 4 3 3 2 3" xfId="40620" xr:uid="{5C54E62D-D33D-4CAF-9F82-E658869BF45C}"/>
    <cellStyle name="Header2 3 4 3 3 3" xfId="25147" xr:uid="{0DE30B9F-4798-4194-A15D-398E3A609A77}"/>
    <cellStyle name="Header2 3 4 3 3 4" xfId="38223" xr:uid="{649A6537-09F3-4310-8D33-158E1061EB35}"/>
    <cellStyle name="Header2 3 4 3 4" xfId="13172" xr:uid="{6B2987BB-8572-4459-9853-B07B237585CD}"/>
    <cellStyle name="Header2 3 4 3 4 2" xfId="29682" xr:uid="{B0FEBB20-EACC-4CB3-99B4-6726E467600C}"/>
    <cellStyle name="Header2 3 4 3 4 3" xfId="42996" xr:uid="{1EE23AD6-763D-4CC4-82A4-3765F867103E}"/>
    <cellStyle name="Header2 3 4 3 5" xfId="21888" xr:uid="{44784E76-903F-446D-B68D-43FD57E483A5}"/>
    <cellStyle name="Header2 3 4 3 6" xfId="34937" xr:uid="{5A7388C4-71C8-4CAC-98F4-74F708E52677}"/>
    <cellStyle name="Header2 3 4 4" xfId="2610" xr:uid="{6CDC10A4-A62C-4144-831F-3C8E32B6F337}"/>
    <cellStyle name="Header2 3 4 4 2" xfId="7907" xr:uid="{E97C24D9-FF2A-4194-BC46-69DFDC61B180}"/>
    <cellStyle name="Header2 3 4 4 2 2" xfId="13778" xr:uid="{8F2ECA8C-0900-485D-815A-FF1D2F15EC1E}"/>
    <cellStyle name="Header2 3 4 4 2 2 2" xfId="30187" xr:uid="{15C6FBEF-757F-4533-AFE8-725F0DC5B149}"/>
    <cellStyle name="Header2 3 4 4 2 2 3" xfId="43551" xr:uid="{210284B3-70BB-4E99-AF6B-192748EF7079}"/>
    <cellStyle name="Header2 3 4 4 2 3" xfId="25424" xr:uid="{84B5CBDB-EAA2-4B94-AD22-D0D67FD51011}"/>
    <cellStyle name="Header2 3 4 4 2 4" xfId="38500" xr:uid="{6A0B1FD2-D2F6-4591-9D19-CE72092D71F6}"/>
    <cellStyle name="Header2 3 4 4 3" xfId="6274" xr:uid="{EED0C4D2-A2A2-4DEC-B2A6-2AC380BE24E6}"/>
    <cellStyle name="Header2 3 4 4 3 2" xfId="13972" xr:uid="{5761403C-E73D-45C7-85D2-84C5749C050E}"/>
    <cellStyle name="Header2 3 4 4 3 2 2" xfId="30359" xr:uid="{716D9F51-BF78-48D2-A03D-E60936954F68}"/>
    <cellStyle name="Header2 3 4 4 3 2 3" xfId="43736" xr:uid="{90B9F7A0-1643-403E-902A-0FEC4DEC712C}"/>
    <cellStyle name="Header2 3 4 4 3 3" xfId="23915" xr:uid="{52BC1271-3916-4D35-8DFB-F86ACF9743FA}"/>
    <cellStyle name="Header2 3 4 4 3 4" xfId="36996" xr:uid="{CD3DFB9D-3664-47AF-B50E-9DD1073979F9}"/>
    <cellStyle name="Header2 3 4 4 4" xfId="15456" xr:uid="{B9E9000F-5257-4122-A959-19D780774A96}"/>
    <cellStyle name="Header2 3 4 4 4 2" xfId="31601" xr:uid="{7A5721DB-F3E8-4DEA-965E-AB12A06EB005}"/>
    <cellStyle name="Header2 3 4 4 4 3" xfId="45096" xr:uid="{9C38364F-E65C-40FC-A267-6D7A12490F58}"/>
    <cellStyle name="Header2 3 4 4 5" xfId="20667" xr:uid="{41940CCF-9F4A-4930-8C04-D09E2006E1F7}"/>
    <cellStyle name="Header2 3 4 4 6" xfId="33690" xr:uid="{EFCFD36E-D0A9-404C-A156-8A8D6C0531EF}"/>
    <cellStyle name="Header2 3 4 5" xfId="4244" xr:uid="{0F79C6D9-CC75-4143-ABDB-92B71DCABC3F}"/>
    <cellStyle name="Header2 3 4 5 2" xfId="9296" xr:uid="{3E72FB87-DED5-4805-8682-B8FE1E19E5DE}"/>
    <cellStyle name="Header2 3 4 5 2 2" xfId="16805" xr:uid="{5BBA71E0-3536-4B30-BA86-A47A34705900}"/>
    <cellStyle name="Header2 3 4 5 2 2 2" xfId="32685" xr:uid="{C1408C07-B61D-4874-A5C0-E8B9AAF8733C}"/>
    <cellStyle name="Header2 3 4 5 2 2 3" xfId="46348" xr:uid="{60938FB1-9E38-442A-82EC-E1FCDE23DCAF}"/>
    <cellStyle name="Header2 3 4 5 2 3" xfId="26769" xr:uid="{28C13E01-1274-462D-81F2-C27396A6C5D1}"/>
    <cellStyle name="Header2 3 4 5 2 4" xfId="39845" xr:uid="{7A0002BA-3754-4DD9-B0B4-F8220DF73D9C}"/>
    <cellStyle name="Header2 3 4 5 3" xfId="7808" xr:uid="{03F8A551-939D-4F36-985F-81FB53788BD2}"/>
    <cellStyle name="Header2 3 4 5 3 2" xfId="11979" xr:uid="{1B164E4B-779F-4DEE-A9ED-05E6F783C1A7}"/>
    <cellStyle name="Header2 3 4 5 3 2 2" xfId="28686" xr:uid="{81329B4C-F0D7-4A5A-8B3C-3C0331019190}"/>
    <cellStyle name="Header2 3 4 5 3 2 3" xfId="41904" xr:uid="{7353D495-D604-4BEF-BAD5-984811D929DD}"/>
    <cellStyle name="Header2 3 4 5 3 3" xfId="25328" xr:uid="{C7A119AA-3906-43E6-BCE7-FBF0BD323DEC}"/>
    <cellStyle name="Header2 3 4 5 3 4" xfId="38404" xr:uid="{AD613C9C-3B99-4BD7-B5C0-50142BB4E818}"/>
    <cellStyle name="Header2 3 4 5 4" xfId="11847" xr:uid="{012EBF00-69A3-4186-8CEC-AF57CF1EA198}"/>
    <cellStyle name="Header2 3 4 5 4 2" xfId="28564" xr:uid="{B9FA8198-C48A-4BE6-94EE-8584364C114B}"/>
    <cellStyle name="Header2 3 4 5 4 3" xfId="41780" xr:uid="{4979435D-4B4D-4997-9059-8DCDCA193C42}"/>
    <cellStyle name="Header2 3 4 5 5" xfId="22069" xr:uid="{69409BE8-95A3-4272-B875-AB32B1FF4B18}"/>
    <cellStyle name="Header2 3 4 5 6" xfId="35118" xr:uid="{8C07AC95-36EB-4C0D-8525-29BAB2F202B0}"/>
    <cellStyle name="Header2 3 4 6" xfId="4420" xr:uid="{47443052-7CD6-4FAA-BD6A-2608D6F0AA63}"/>
    <cellStyle name="Header2 3 4 6 2" xfId="7059" xr:uid="{304990ED-0917-4D84-9FB8-38D4981BA17C}"/>
    <cellStyle name="Header2 3 4 6 2 2" xfId="15651" xr:uid="{2233E4E5-7E36-4B78-BBEE-1E86BDEC7675}"/>
    <cellStyle name="Header2 3 4 6 2 2 2" xfId="31769" xr:uid="{9BBE9304-1B07-490E-8F48-159596F83960}"/>
    <cellStyle name="Header2 3 4 6 2 2 3" xfId="45274" xr:uid="{8F4F02E3-0CAE-4520-981E-9CD0B0DD6A10}"/>
    <cellStyle name="Header2 3 4 6 2 3" xfId="24660" xr:uid="{76FAD705-3A66-4A7B-A606-48A45A4FD0A1}"/>
    <cellStyle name="Header2 3 4 6 2 4" xfId="37741" xr:uid="{62AFDDFC-2F1B-417E-971D-8D8EDB8C11D7}"/>
    <cellStyle name="Header2 3 4 6 3" xfId="14992" xr:uid="{D786AFC5-7D31-4036-BCEE-495811572751}"/>
    <cellStyle name="Header2 3 4 6 3 2" xfId="31223" xr:uid="{74C7E5F0-CD86-4499-8687-BF45732F5CEA}"/>
    <cellStyle name="Header2 3 4 6 3 3" xfId="44673" xr:uid="{51A36692-17C4-44BF-A1AB-ACF48FBDD09F}"/>
    <cellStyle name="Header2 3 4 6 4" xfId="22239" xr:uid="{7DF51EFE-8C40-4B1F-AEDE-2B4F552C2638}"/>
    <cellStyle name="Header2 3 4 6 5" xfId="35288" xr:uid="{D74B7CFA-662F-469E-A041-EA2BC504EC92}"/>
    <cellStyle name="Header2 3 4 7" xfId="5474" xr:uid="{54B3D394-5F22-4A87-BBCA-96FB0194027D}"/>
    <cellStyle name="Header2 3 4 7 2" xfId="8654" xr:uid="{59E8CBDF-E4C8-4587-A770-6BBE35E8EF61}"/>
    <cellStyle name="Header2 3 4 7 2 2" xfId="14429" xr:uid="{947D9EE1-4DB5-44D8-9C3E-840CD8843B91}"/>
    <cellStyle name="Header2 3 4 7 2 2 2" xfId="30759" xr:uid="{4570AF4A-1623-41B3-831B-FD08F1E669F8}"/>
    <cellStyle name="Header2 3 4 7 2 2 3" xfId="44159" xr:uid="{36F273E2-9547-421B-ADE0-47FBE6506403}"/>
    <cellStyle name="Header2 3 4 7 2 3" xfId="26149" xr:uid="{775C9EB6-2BA7-4534-B3A6-B26C7D0B0D12}"/>
    <cellStyle name="Header2 3 4 7 2 4" xfId="39225" xr:uid="{BF7C523C-AAEA-4F35-8A1B-84D2EA421E7C}"/>
    <cellStyle name="Header2 3 4 7 3" xfId="11493" xr:uid="{36DD9D82-5929-42FE-9210-DD9C8A5A7E4C}"/>
    <cellStyle name="Header2 3 4 7 3 2" xfId="28254" xr:uid="{71AE08FA-957A-43A9-84B2-14C35D7A2796}"/>
    <cellStyle name="Header2 3 4 7 3 3" xfId="41450" xr:uid="{63F69339-F724-4CC0-92BF-4BD91AC9B1BA}"/>
    <cellStyle name="Header2 3 4 7 4" xfId="23121" xr:uid="{1FEC74BF-0CCB-4AC8-9F25-747219AA4BAF}"/>
    <cellStyle name="Header2 3 4 7 5" xfId="36202" xr:uid="{448BD47B-7B04-4E24-9177-C448345EBA4D}"/>
    <cellStyle name="Header2 3 4 8" xfId="15747" xr:uid="{D3C32290-498F-45A1-9BAB-793C3AB26063}"/>
    <cellStyle name="Header2 3 4 8 2" xfId="31855" xr:uid="{5BA0BC50-C89A-400B-8F80-6ED9884E3C24}"/>
    <cellStyle name="Header2 3 4 8 3" xfId="45365" xr:uid="{A101D527-C73E-4931-91DE-E1C75EC35553}"/>
    <cellStyle name="Header2 3 4 9" xfId="21406" xr:uid="{18631201-BD00-496C-A9B6-99971D074FC9}"/>
    <cellStyle name="Header2 3 5" xfId="3394" xr:uid="{E8C1A5DB-0AB1-413B-81AB-295AE2ADF16F}"/>
    <cellStyle name="Header2 3 5 2" xfId="2742" xr:uid="{3D557C34-4B85-40A5-89F3-13AE8E6D001B}"/>
    <cellStyle name="Header2 3 5 2 2" xfId="8038" xr:uid="{82EC2F8C-F5EA-4BBC-B68B-EF3B439BDF85}"/>
    <cellStyle name="Header2 3 5 2 2 2" xfId="14428" xr:uid="{E2F0A674-DCEA-4C85-8063-CD20302D2911}"/>
    <cellStyle name="Header2 3 5 2 2 2 2" xfId="30758" xr:uid="{AB971784-4A42-4BDD-9954-3EF40AA62B70}"/>
    <cellStyle name="Header2 3 5 2 2 2 3" xfId="44158" xr:uid="{26D02C27-3CCC-4F2F-B158-B7976F332E40}"/>
    <cellStyle name="Header2 3 5 2 2 3" xfId="25551" xr:uid="{5C4F1A14-3DD2-4C13-BDDC-D0890330AA0A}"/>
    <cellStyle name="Header2 3 5 2 2 4" xfId="38627" xr:uid="{7F8EB5D0-1744-415B-843B-C28EF4320DFC}"/>
    <cellStyle name="Header2 3 5 2 3" xfId="6405" xr:uid="{4BC56971-4CE6-46A9-A4C4-794F15E303EA}"/>
    <cellStyle name="Header2 3 5 2 3 2" xfId="15686" xr:uid="{34CD7F4B-FF9C-40E0-AABF-284213DFFB99}"/>
    <cellStyle name="Header2 3 5 2 3 2 2" xfId="31799" xr:uid="{69C5E4DD-9F61-4FE4-A847-65DCBF473A65}"/>
    <cellStyle name="Header2 3 5 2 3 2 3" xfId="45307" xr:uid="{B6DF41E1-630B-4B21-8A63-CCED1C757B88}"/>
    <cellStyle name="Header2 3 5 2 3 3" xfId="24042" xr:uid="{70777AE2-6D72-4C66-8D15-4E7D4144F755}"/>
    <cellStyle name="Header2 3 5 2 3 4" xfId="37123" xr:uid="{2D241F53-7454-4E7D-B61F-964B76B6C658}"/>
    <cellStyle name="Header2 3 5 2 4" xfId="17476" xr:uid="{16C61CCD-3189-4E9E-B8E1-2FB97CBAF4A7}"/>
    <cellStyle name="Header2 3 5 2 4 2" xfId="33219" xr:uid="{5A163D5A-422F-4F1E-B8A0-948C64221D59}"/>
    <cellStyle name="Header2 3 5 2 4 3" xfId="47005" xr:uid="{1570194C-D0CD-424C-92AB-9E359F20DE93}"/>
    <cellStyle name="Header2 3 5 2 5" xfId="20794" xr:uid="{6F535EB4-D5FD-4676-94E3-178825A0F57C}"/>
    <cellStyle name="Header2 3 5 2 6" xfId="33817" xr:uid="{C89D7FDC-03A1-40FC-8C15-311636ACA194}"/>
    <cellStyle name="Header2 3 5 3" xfId="4405" xr:uid="{0EEFFCE8-9A4F-43D5-81AC-5D9CABDB7B70}"/>
    <cellStyle name="Header2 3 5 3 2" xfId="7040" xr:uid="{AAB77CEA-F198-4F44-8998-B908E4719726}"/>
    <cellStyle name="Header2 3 5 3 2 2" xfId="16428" xr:uid="{1E8406D9-740B-4098-930B-610A2044D9B1}"/>
    <cellStyle name="Header2 3 5 3 2 2 2" xfId="32442" xr:uid="{9E57CE62-2E45-4676-AD68-3FE9991D55B9}"/>
    <cellStyle name="Header2 3 5 3 2 2 3" xfId="45979" xr:uid="{9FB92427-985D-422F-8369-EB290C789125}"/>
    <cellStyle name="Header2 3 5 3 2 3" xfId="24645" xr:uid="{B8B781DE-BB07-4847-AD42-4DFF4EED6AC7}"/>
    <cellStyle name="Header2 3 5 3 2 4" xfId="37726" xr:uid="{2E5D3ECF-3710-4902-BEC7-EECC11D90DA4}"/>
    <cellStyle name="Header2 3 5 3 3" xfId="14681" xr:uid="{0034BAF4-66FE-46D9-95E7-A16D67016C78}"/>
    <cellStyle name="Header2 3 5 3 3 2" xfId="30974" xr:uid="{3EF1541F-CDB7-40FB-B0AC-9EA3EEA21A52}"/>
    <cellStyle name="Header2 3 5 3 3 3" xfId="44395" xr:uid="{76236533-A094-420B-9EF9-2B7D0BEF886E}"/>
    <cellStyle name="Header2 3 5 3 4" xfId="22224" xr:uid="{C9BFBA87-BA49-4D3B-8EF5-06D04677A64C}"/>
    <cellStyle name="Header2 3 5 3 5" xfId="35273" xr:uid="{55BD174F-16A3-4ED3-AA4A-066839C3DC74}"/>
    <cellStyle name="Header2 3 5 4" xfId="5459" xr:uid="{43E58A1E-9D08-4FBA-BBB5-ED28F7E1F98D}"/>
    <cellStyle name="Header2 3 5 4 2" xfId="8639" xr:uid="{B227E5F6-E124-480E-B2C4-A2FD45FA9C8C}"/>
    <cellStyle name="Header2 3 5 4 2 2" xfId="15537" xr:uid="{893F31C6-C662-487E-9B4D-2AD0309E246A}"/>
    <cellStyle name="Header2 3 5 4 2 2 2" xfId="31671" xr:uid="{E8658CBA-2D71-4629-A13C-E4344C876427}"/>
    <cellStyle name="Header2 3 5 4 2 2 3" xfId="45170" xr:uid="{EC6EA328-0D5D-44ED-BED5-E35E5F5F41B8}"/>
    <cellStyle name="Header2 3 5 4 2 3" xfId="26134" xr:uid="{518FD692-619B-497D-84BA-D8C1472C91F4}"/>
    <cellStyle name="Header2 3 5 4 2 4" xfId="39210" xr:uid="{AACE23AE-2578-4CE4-BF4E-D1867BEE8552}"/>
    <cellStyle name="Header2 3 5 4 3" xfId="12136" xr:uid="{8EC3FDC6-636C-41B5-8928-8E26598187AE}"/>
    <cellStyle name="Header2 3 5 4 3 2" xfId="28836" xr:uid="{C6666268-534D-4F60-AB34-5D802EFE4F4E}"/>
    <cellStyle name="Header2 3 5 4 3 3" xfId="42056" xr:uid="{D0C96C9D-FF9B-4FB1-82F8-FC4D740CC742}"/>
    <cellStyle name="Header2 3 5 4 4" xfId="23106" xr:uid="{C39599F1-B3C6-40F4-9BBC-DA8A21F0E88C}"/>
    <cellStyle name="Header2 3 5 4 5" xfId="36187" xr:uid="{A5831D5C-8C81-488A-A242-6CF42DAC8D11}"/>
    <cellStyle name="Header2 3 5 5" xfId="16315" xr:uid="{5B6A7077-ED20-4BFB-B2FE-C82CFC7A4254}"/>
    <cellStyle name="Header2 3 5 5 2" xfId="32341" xr:uid="{B066B142-B2D4-417C-8CA4-DCE4DE5851E8}"/>
    <cellStyle name="Header2 3 5 5 3" xfId="45872" xr:uid="{B8BB2DFB-FBFE-4731-981B-348391BD0636}"/>
    <cellStyle name="Header2 3 5 6" xfId="21396" xr:uid="{7E536D04-438A-4C78-8603-140E5AD3AE87}"/>
    <cellStyle name="Header2 3 5 7" xfId="34420" xr:uid="{975B4090-B957-435D-9F7F-3A97C91FE25E}"/>
    <cellStyle name="Header2 3 6" xfId="3352" xr:uid="{328CE2EB-6C6F-496D-96D3-847A788014F8}"/>
    <cellStyle name="Header2 3 6 2" xfId="2714" xr:uid="{BF471A71-0EC5-4A02-9385-E0C52B0F42E8}"/>
    <cellStyle name="Header2 3 6 2 2" xfId="8010" xr:uid="{FB016837-66B0-42C7-B295-4B5064DB768B}"/>
    <cellStyle name="Header2 3 6 2 2 2" xfId="12348" xr:uid="{F888C50D-50E7-4D12-8729-9E6A5E5E6DC4}"/>
    <cellStyle name="Header2 3 6 2 2 2 2" xfId="29015" xr:uid="{399F12AC-C845-4AF0-8F6F-97B42273F395}"/>
    <cellStyle name="Header2 3 6 2 2 2 3" xfId="42255" xr:uid="{3F185F23-3A75-4E97-B8CD-D93220E2753E}"/>
    <cellStyle name="Header2 3 6 2 2 3" xfId="25525" xr:uid="{BDEA81F6-1768-426D-8DEF-641773F21CF2}"/>
    <cellStyle name="Header2 3 6 2 2 4" xfId="38601" xr:uid="{44ED06A0-E7D9-475C-9AB1-A3AD35EC459B}"/>
    <cellStyle name="Header2 3 6 2 3" xfId="6377" xr:uid="{98E7FA37-2101-45E6-A27D-3C3F7A324C8C}"/>
    <cellStyle name="Header2 3 6 2 3 2" xfId="15582" xr:uid="{C2EA328D-35CC-4868-9D9D-7636784BE9FA}"/>
    <cellStyle name="Header2 3 6 2 3 2 2" xfId="31710" xr:uid="{9DEC2D96-156B-47C3-8A33-2945C86B8AA3}"/>
    <cellStyle name="Header2 3 6 2 3 2 3" xfId="45212" xr:uid="{A694EDA7-ADBD-4FFE-A045-F3328C7C0E41}"/>
    <cellStyle name="Header2 3 6 2 3 3" xfId="24016" xr:uid="{F8783607-05C2-48AB-9636-CD0B267B60AD}"/>
    <cellStyle name="Header2 3 6 2 3 4" xfId="37097" xr:uid="{1379FB6E-67B0-4030-9A26-0173C490AAA6}"/>
    <cellStyle name="Header2 3 6 2 4" xfId="13650" xr:uid="{43DEDD88-A503-471A-9F9C-57377BD848D9}"/>
    <cellStyle name="Header2 3 6 2 4 2" xfId="30079" xr:uid="{2F66A460-323B-4544-B307-4C3BF34855F0}"/>
    <cellStyle name="Header2 3 6 2 4 3" xfId="43437" xr:uid="{21433E18-2084-4676-9438-B18D4FB57DD7}"/>
    <cellStyle name="Header2 3 6 2 5" xfId="20768" xr:uid="{FAEE517E-76AB-4A9A-9D9E-B0DCB49714F0}"/>
    <cellStyle name="Header2 3 6 2 6" xfId="33791" xr:uid="{6125660A-4C25-4D3F-9F26-E366F32E61C4}"/>
    <cellStyle name="Header2 3 6 3" xfId="4383" xr:uid="{C2961C6B-9EC9-4505-939D-F6B306114D02}"/>
    <cellStyle name="Header2 3 6 3 2" xfId="7002" xr:uid="{A3150E85-A784-46FB-B283-390C82A771D4}"/>
    <cellStyle name="Header2 3 6 3 2 2" xfId="11018" xr:uid="{4B90182A-F2BE-4BB0-96C1-5C8F139B2049}"/>
    <cellStyle name="Header2 3 6 3 2 2 2" xfId="27825" xr:uid="{99C88708-2B04-440A-BD7A-D467971F96F9}"/>
    <cellStyle name="Header2 3 6 3 2 2 3" xfId="40998" xr:uid="{E9839194-E9D9-4CAD-89B9-5C6F7F4B1CA0}"/>
    <cellStyle name="Header2 3 6 3 2 3" xfId="24623" xr:uid="{842C73E5-303E-47F3-AD15-44C47E5A3DC8}"/>
    <cellStyle name="Header2 3 6 3 2 4" xfId="37704" xr:uid="{7882CF9A-6B65-43DF-AFAA-F946A0F5E446}"/>
    <cellStyle name="Header2 3 6 3 3" xfId="11620" xr:uid="{B727F9CA-12ED-4887-B32D-53F322DDD10D}"/>
    <cellStyle name="Header2 3 6 3 3 2" xfId="28366" xr:uid="{3972E480-FA38-44FF-B75F-2C67D1E81810}"/>
    <cellStyle name="Header2 3 6 3 3 3" xfId="41569" xr:uid="{B21B792E-80E7-433F-8878-5ECC5F5BC196}"/>
    <cellStyle name="Header2 3 6 3 4" xfId="22202" xr:uid="{1BB2465A-FD52-4D7D-A1E2-B540F187BCF6}"/>
    <cellStyle name="Header2 3 6 3 5" xfId="35251" xr:uid="{7F5AEF0C-7FC1-477A-8455-A43834CB7848}"/>
    <cellStyle name="Header2 3 6 4" xfId="5437" xr:uid="{A28B2BF7-C2C8-455E-82D6-4BDAF1C07844}"/>
    <cellStyle name="Header2 3 6 4 2" xfId="8615" xr:uid="{4524197B-F490-43B5-A3EB-F172CF6627BB}"/>
    <cellStyle name="Header2 3 6 4 2 2" xfId="16362" xr:uid="{AB60D48E-6547-49FB-938E-6061759916B3}"/>
    <cellStyle name="Header2 3 6 4 2 2 2" xfId="32383" xr:uid="{EDF8DAC5-15B0-4EF5-ACA2-A8D0E8681C0C}"/>
    <cellStyle name="Header2 3 6 4 2 2 3" xfId="45916" xr:uid="{E2DF9132-B27A-44FF-A84E-2EFD312F7079}"/>
    <cellStyle name="Header2 3 6 4 2 3" xfId="26112" xr:uid="{E6AA5454-F1D2-4DA7-BC58-4B3E61ECF4A5}"/>
    <cellStyle name="Header2 3 6 4 2 4" xfId="39188" xr:uid="{A08DC97E-565E-4BE4-A206-607712D853CE}"/>
    <cellStyle name="Header2 3 6 4 3" xfId="12553" xr:uid="{293A405B-EAA5-4B7F-94A7-E77C075A8734}"/>
    <cellStyle name="Header2 3 6 4 3 2" xfId="29175" xr:uid="{682FCCC8-8EAF-47F6-983F-6E4DCE43AADD}"/>
    <cellStyle name="Header2 3 6 4 3 3" xfId="42434" xr:uid="{A8D1A2FD-6324-4CE4-8816-4ADB317E1220}"/>
    <cellStyle name="Header2 3 6 4 4" xfId="23084" xr:uid="{BC31B522-6B9F-4466-AD6B-4A63DC7C2268}"/>
    <cellStyle name="Header2 3 6 4 5" xfId="36165" xr:uid="{1E10F3B3-35ED-470B-B482-53030E712E37}"/>
    <cellStyle name="Header2 3 6 5" xfId="12360" xr:uid="{3665E0D0-033A-49EE-B1C6-802A2BBB0B7F}"/>
    <cellStyle name="Header2 3 6 5 2" xfId="29026" xr:uid="{5EB106D9-41A7-4691-B06C-8CE0AC70EEAF}"/>
    <cellStyle name="Header2 3 6 5 3" xfId="42266" xr:uid="{ABE78BAA-122D-4285-A1A6-92CB3655E4C8}"/>
    <cellStyle name="Header2 3 6 6" xfId="21375" xr:uid="{8F9FE2C2-1352-45B2-B804-F68F0F1A94D7}"/>
    <cellStyle name="Header2 3 6 7" xfId="34398" xr:uid="{288E85BD-F795-4319-90BC-29742350E12A}"/>
    <cellStyle name="Header2 3 7" xfId="3398" xr:uid="{A33E42E9-CDBE-48C3-9283-702F5FEB7644}"/>
    <cellStyle name="Header2 3 7 2" xfId="2746" xr:uid="{EC87CC62-815F-4BE4-A6F1-09231CF345B5}"/>
    <cellStyle name="Header2 3 7 2 2" xfId="8042" xr:uid="{C809C296-A466-426C-A495-AEA958BDF241}"/>
    <cellStyle name="Header2 3 7 2 2 2" xfId="16260" xr:uid="{C3B4587B-C65E-425C-ADD0-4C713B353186}"/>
    <cellStyle name="Header2 3 7 2 2 2 2" xfId="32294" xr:uid="{87CBB6EE-2A01-4111-A227-8195539E5A25}"/>
    <cellStyle name="Header2 3 7 2 2 2 3" xfId="45823" xr:uid="{70457C39-14B7-4689-A6CF-6B5EEB5CAD83}"/>
    <cellStyle name="Header2 3 7 2 2 3" xfId="25555" xr:uid="{E1583953-C0A3-43DB-B04E-CB5CCE94CB4A}"/>
    <cellStyle name="Header2 3 7 2 2 4" xfId="38631" xr:uid="{92C80B19-68CF-4BE7-912E-7EBFC1E69F85}"/>
    <cellStyle name="Header2 3 7 2 3" xfId="6409" xr:uid="{5C125031-1722-40E0-A1C7-C460D812B2A6}"/>
    <cellStyle name="Header2 3 7 2 3 2" xfId="12978" xr:uid="{DE624FF1-526E-490C-9CB4-F24A471684FF}"/>
    <cellStyle name="Header2 3 7 2 3 2 2" xfId="29516" xr:uid="{F2C90467-FD70-4EC1-A26F-35DCFACE8BB1}"/>
    <cellStyle name="Header2 3 7 2 3 2 3" xfId="42815" xr:uid="{13295A50-9E74-48DB-9539-ACD20C03F8D8}"/>
    <cellStyle name="Header2 3 7 2 3 3" xfId="24046" xr:uid="{D5A6A30A-0227-430A-8017-F816CE4F76E6}"/>
    <cellStyle name="Header2 3 7 2 3 4" xfId="37127" xr:uid="{055E2935-13C8-462C-8747-02D955706812}"/>
    <cellStyle name="Header2 3 7 2 4" xfId="15940" xr:uid="{280B1FBC-A9F0-4915-8647-E2797DF308A0}"/>
    <cellStyle name="Header2 3 7 2 4 2" xfId="32017" xr:uid="{91252A83-94C4-403C-A168-55E713F7A1BE}"/>
    <cellStyle name="Header2 3 7 2 4 3" xfId="45535" xr:uid="{E51D66A5-8FEB-45E7-851C-FF93DE82BC61}"/>
    <cellStyle name="Header2 3 7 2 5" xfId="20798" xr:uid="{979C658C-271C-4DAE-BB1A-714D7A776DFF}"/>
    <cellStyle name="Header2 3 7 2 6" xfId="33821" xr:uid="{2C7963B4-B04D-4ED5-A66C-C8285987B0D8}"/>
    <cellStyle name="Header2 3 7 3" xfId="4409" xr:uid="{697EF374-9546-46A5-8BE3-F731F3CFEDC2}"/>
    <cellStyle name="Header2 3 7 3 2" xfId="7044" xr:uid="{C0655944-7E87-4A8E-A6D1-35F062556572}"/>
    <cellStyle name="Header2 3 7 3 2 2" xfId="15058" xr:uid="{1FE33151-022D-4901-AA9B-53001E046717}"/>
    <cellStyle name="Header2 3 7 3 2 2 2" xfId="31270" xr:uid="{B168699A-01CF-4B0B-9B7E-15B795671104}"/>
    <cellStyle name="Header2 3 7 3 2 2 3" xfId="44726" xr:uid="{9EF0237D-5F4B-463E-B78C-8E82A012EFDB}"/>
    <cellStyle name="Header2 3 7 3 2 3" xfId="24649" xr:uid="{C372F98E-B31F-4623-A48A-AB1D919443B2}"/>
    <cellStyle name="Header2 3 7 3 2 4" xfId="37730" xr:uid="{04BD3A25-9440-4F82-A211-65C3E3D036FF}"/>
    <cellStyle name="Header2 3 7 3 3" xfId="10600" xr:uid="{2E4CEE41-13CB-4B9E-953F-E0955A1FB26D}"/>
    <cellStyle name="Header2 3 7 3 3 2" xfId="27459" xr:uid="{2737605A-3209-476B-8DDD-94EFDFDD3CA0}"/>
    <cellStyle name="Header2 3 7 3 3 3" xfId="40581" xr:uid="{9F596066-C042-4509-9266-043B9C17B8AE}"/>
    <cellStyle name="Header2 3 7 3 4" xfId="22228" xr:uid="{B37AF0CC-2946-4D7B-88F4-CAF990714EAE}"/>
    <cellStyle name="Header2 3 7 3 5" xfId="35277" xr:uid="{960F362C-D2ED-47B3-BE30-2D1B796AA1C4}"/>
    <cellStyle name="Header2 3 7 4" xfId="5463" xr:uid="{93E7305B-1EE2-4A24-AFB5-FCC41F2780CD}"/>
    <cellStyle name="Header2 3 7 4 2" xfId="8643" xr:uid="{78F216BA-56AD-4E6D-8E0C-89B6A38E08B2}"/>
    <cellStyle name="Header2 3 7 4 2 2" xfId="15923" xr:uid="{123A2B6F-D61D-4CEC-B79D-DA48EF160803}"/>
    <cellStyle name="Header2 3 7 4 2 2 2" xfId="32004" xr:uid="{507568EA-21A5-4070-99EC-1D0E35E0AC69}"/>
    <cellStyle name="Header2 3 7 4 2 2 3" xfId="45520" xr:uid="{D162AC84-ABAE-465E-BBF7-075EF27443AA}"/>
    <cellStyle name="Header2 3 7 4 2 3" xfId="26138" xr:uid="{ECECA63E-0686-4403-B729-D5CBE1B67A51}"/>
    <cellStyle name="Header2 3 7 4 2 4" xfId="39214" xr:uid="{0EDAAFEC-F5A7-4E26-8691-E18628C23850}"/>
    <cellStyle name="Header2 3 7 4 3" xfId="11076" xr:uid="{8481A282-03AF-47B6-97C3-9313151225EC}"/>
    <cellStyle name="Header2 3 7 4 3 2" xfId="27877" xr:uid="{AAA42C1B-8528-442E-A6B1-6CE84B05B567}"/>
    <cellStyle name="Header2 3 7 4 3 3" xfId="41055" xr:uid="{71876130-636B-44E4-8A04-23AEDCCE0BA1}"/>
    <cellStyle name="Header2 3 7 4 4" xfId="23110" xr:uid="{3A8AC143-E8FD-4C35-9E49-BD062306738B}"/>
    <cellStyle name="Header2 3 7 4 5" xfId="36191" xr:uid="{0D2545CB-8337-4766-A3B0-55F49D01F7E0}"/>
    <cellStyle name="Header2 3 7 5" xfId="15150" xr:uid="{65354BD2-DE4E-4F74-B934-F1BCBD064655}"/>
    <cellStyle name="Header2 3 7 5 2" xfId="31349" xr:uid="{DC22178B-3E93-45CD-BF1E-C8C2BD0189FB}"/>
    <cellStyle name="Header2 3 7 5 3" xfId="44813" xr:uid="{EA617A41-64F7-4B66-81EC-C6FC23FC98A2}"/>
    <cellStyle name="Header2 3 7 6" xfId="21400" xr:uid="{F9DA27BF-94B4-40B9-9D08-A52F57D684F3}"/>
    <cellStyle name="Header2 3 7 7" xfId="34424" xr:uid="{6C7E9371-D798-45FF-B07E-8E88A7E60790}"/>
    <cellStyle name="Header2 3 8" xfId="3347" xr:uid="{BE44F721-8187-4A0B-8BC3-34700C621DE2}"/>
    <cellStyle name="Header2 3 8 2" xfId="2709" xr:uid="{A4EE795A-C0FB-4287-AB5E-9AE2E6653595}"/>
    <cellStyle name="Header2 3 8 2 2" xfId="8005" xr:uid="{60EE6F95-39C6-49A5-9BC6-FCD8D035E312}"/>
    <cellStyle name="Header2 3 8 2 2 2" xfId="16172" xr:uid="{1DA6A981-B553-447D-9282-2EF85A17EFEC}"/>
    <cellStyle name="Header2 3 8 2 2 2 2" xfId="32220" xr:uid="{B4E10B0B-7B29-45ED-8358-E26606535725}"/>
    <cellStyle name="Header2 3 8 2 2 2 3" xfId="45742" xr:uid="{D204B0DD-4349-4DE2-B2F5-8141404B5CAC}"/>
    <cellStyle name="Header2 3 8 2 2 3" xfId="25520" xr:uid="{710F3141-B0E8-4725-8BA0-FD71F27C795C}"/>
    <cellStyle name="Header2 3 8 2 2 4" xfId="38596" xr:uid="{D1B5E0E9-D006-47DA-A35A-CC03096C6426}"/>
    <cellStyle name="Header2 3 8 2 3" xfId="6372" xr:uid="{FEE82D91-16B7-4D93-91F8-3F9BA75A7A34}"/>
    <cellStyle name="Header2 3 8 2 3 2" xfId="13681" xr:uid="{BE9C6FDB-3C10-4431-B68C-8B369F2D5E14}"/>
    <cellStyle name="Header2 3 8 2 3 2 2" xfId="30106" xr:uid="{1FF686C8-29E7-4775-992E-E9B172238E8D}"/>
    <cellStyle name="Header2 3 8 2 3 2 3" xfId="43465" xr:uid="{E134B888-5993-47D7-BA31-FD427C1C7808}"/>
    <cellStyle name="Header2 3 8 2 3 3" xfId="24011" xr:uid="{C6959088-15EA-456C-97AF-3B1F319000A9}"/>
    <cellStyle name="Header2 3 8 2 3 4" xfId="37092" xr:uid="{815A442B-E829-4026-BD60-779B1671DF61}"/>
    <cellStyle name="Header2 3 8 2 4" xfId="15463" xr:uid="{4899353A-63A1-4DBA-A4EE-525395F0ED56}"/>
    <cellStyle name="Header2 3 8 2 4 2" xfId="31607" xr:uid="{54F6491B-383F-4153-A0BE-CD4A3C1B580F}"/>
    <cellStyle name="Header2 3 8 2 4 3" xfId="45102" xr:uid="{19D917B4-DAD9-40A9-8B83-7C31C8B9973B}"/>
    <cellStyle name="Header2 3 8 2 5" xfId="20763" xr:uid="{A7269565-4ACA-4E62-9105-FE8E20C0C20C}"/>
    <cellStyle name="Header2 3 8 2 6" xfId="33786" xr:uid="{7607F905-EDB8-4920-A6B0-F6DDC0DF8EFA}"/>
    <cellStyle name="Header2 3 8 3" xfId="4378" xr:uid="{EEC7ABB4-5C5C-43E5-8501-61191E007C3A}"/>
    <cellStyle name="Header2 3 8 3 2" xfId="6997" xr:uid="{24AC756F-1914-4144-A362-26129E5EA95E}"/>
    <cellStyle name="Header2 3 8 3 2 2" xfId="14970" xr:uid="{6F3EDAC9-74F8-4827-99F4-C65EF45A6F09}"/>
    <cellStyle name="Header2 3 8 3 2 2 2" xfId="31206" xr:uid="{F4E38747-2E86-4AD4-A35B-201F1C84AD02}"/>
    <cellStyle name="Header2 3 8 3 2 2 3" xfId="44654" xr:uid="{C183314F-36B6-40C6-BA01-FCB8A37B7494}"/>
    <cellStyle name="Header2 3 8 3 2 3" xfId="24618" xr:uid="{DE1EA5A8-8555-48CA-B458-D7507FCC8BD4}"/>
    <cellStyle name="Header2 3 8 3 2 4" xfId="37699" xr:uid="{95BBDC61-466D-42F6-BCA2-6B1DD72249B0}"/>
    <cellStyle name="Header2 3 8 3 3" xfId="13852" xr:uid="{21954B67-AAA7-4273-B025-8166946C53D5}"/>
    <cellStyle name="Header2 3 8 3 3 2" xfId="30253" xr:uid="{BE29A57B-5F8F-4D3F-BF20-D3A0A05D27FB}"/>
    <cellStyle name="Header2 3 8 3 3 3" xfId="43624" xr:uid="{88EA150E-D8F4-47F4-8B3E-47A8CFE5BD35}"/>
    <cellStyle name="Header2 3 8 3 4" xfId="22197" xr:uid="{9C37EC82-51FA-4F35-8FE8-983422BFAB80}"/>
    <cellStyle name="Header2 3 8 3 5" xfId="35246" xr:uid="{E34E7F61-F447-4813-A249-31148D4A1B55}"/>
    <cellStyle name="Header2 3 8 4" xfId="5432" xr:uid="{7B4F1379-B1AB-42FC-9178-2FF86DCAD706}"/>
    <cellStyle name="Header2 3 8 4 2" xfId="8610" xr:uid="{1F57E71B-7613-4025-A4E0-7A0CA5EB07B5}"/>
    <cellStyle name="Header2 3 8 4 2 2" xfId="10937" xr:uid="{907480B6-643B-462D-B101-A3E940366B7D}"/>
    <cellStyle name="Header2 3 8 4 2 2 2" xfId="27753" xr:uid="{3438E223-7502-4887-B5C1-11B7A8E38559}"/>
    <cellStyle name="Header2 3 8 4 2 2 3" xfId="40917" xr:uid="{5B9C16FA-5C15-42CE-9E18-FE683C24A280}"/>
    <cellStyle name="Header2 3 8 4 2 3" xfId="26107" xr:uid="{31CDEDB5-BC6F-4963-914A-803728ECC447}"/>
    <cellStyle name="Header2 3 8 4 2 4" xfId="39183" xr:uid="{EE043B72-D04C-4886-A5A1-4A9826DE3999}"/>
    <cellStyle name="Header2 3 8 4 3" xfId="17277" xr:uid="{E3EE60C8-5255-4426-A72E-11382D06663C}"/>
    <cellStyle name="Header2 3 8 4 3 2" xfId="33036" xr:uid="{B51F41F6-DC1A-454B-B9E4-5888239DD6CF}"/>
    <cellStyle name="Header2 3 8 4 3 3" xfId="46811" xr:uid="{DB8F9EE5-C3C3-40DE-AA89-79568FBDE1C9}"/>
    <cellStyle name="Header2 3 8 4 4" xfId="23079" xr:uid="{FA850EE4-6092-48BD-A120-B85AC9F15A75}"/>
    <cellStyle name="Header2 3 8 4 5" xfId="36160" xr:uid="{27720CD3-4E46-4E0F-AF63-FCED67E83253}"/>
    <cellStyle name="Header2 3 8 5" xfId="14283" xr:uid="{BE1E8EB5-117F-43F4-AE13-03013A240025}"/>
    <cellStyle name="Header2 3 8 5 2" xfId="30623" xr:uid="{F1AC1808-B150-455F-B4E9-294D5A602A44}"/>
    <cellStyle name="Header2 3 8 5 3" xfId="44016" xr:uid="{83DF4552-A410-4F94-8A62-605EFBB8BAC8}"/>
    <cellStyle name="Header2 3 8 6" xfId="21370" xr:uid="{1F48164D-958D-417B-B9A4-4B2BDE72E779}"/>
    <cellStyle name="Header2 3 8 7" xfId="34393" xr:uid="{40C1EC6F-AF82-4565-B7CE-C156D127F914}"/>
    <cellStyle name="Header2 3 9" xfId="3613" xr:uid="{B9F58F0C-02AA-462C-A07E-D34878AAC1DC}"/>
    <cellStyle name="Header2 3 9 2" xfId="2943" xr:uid="{A9C78180-9053-4E80-8319-0B53F73F0DBA}"/>
    <cellStyle name="Header2 3 9 2 2" xfId="8239" xr:uid="{3802E25F-6482-4F63-9CCE-7E40AA32915B}"/>
    <cellStyle name="Header2 3 9 2 2 2" xfId="10660" xr:uid="{8B6AC09E-2ADF-427E-A17B-0C3D0E810261}"/>
    <cellStyle name="Header2 3 9 2 2 2 2" xfId="27510" xr:uid="{2C6DBB7E-3853-4651-B6D0-F5F1AD58D0DB}"/>
    <cellStyle name="Header2 3 9 2 2 2 3" xfId="40641" xr:uid="{2C31055B-63A4-4E7C-8F73-2C07EE1707FF}"/>
    <cellStyle name="Header2 3 9 2 2 3" xfId="25748" xr:uid="{7258A144-62C3-4D71-ADB0-B32261980F9D}"/>
    <cellStyle name="Header2 3 9 2 2 4" xfId="38824" xr:uid="{AAB3D2DC-5CC6-4C6F-8ABC-3CA72C766737}"/>
    <cellStyle name="Header2 3 9 2 3" xfId="6606" xr:uid="{2E92B729-2D3E-4C40-85BD-7CC45A5A99AD}"/>
    <cellStyle name="Header2 3 9 2 3 2" xfId="13579" xr:uid="{771282B3-372C-444F-86CF-11BA6A2930A9}"/>
    <cellStyle name="Header2 3 9 2 3 2 2" xfId="30021" xr:uid="{498BC66E-2543-48EB-99D7-73EBAAFEB1C9}"/>
    <cellStyle name="Header2 3 9 2 3 2 3" xfId="43372" xr:uid="{410C137C-CB44-4256-9778-03E48463F016}"/>
    <cellStyle name="Header2 3 9 2 3 3" xfId="24239" xr:uid="{638BE58C-4ABA-4218-A1F6-1EE4208AB27E}"/>
    <cellStyle name="Header2 3 9 2 3 4" xfId="37320" xr:uid="{8C3CFCCB-5888-470B-ADE8-D43AE59DB123}"/>
    <cellStyle name="Header2 3 9 2 4" xfId="14237" xr:uid="{46201E65-8F2F-4DA7-BF1D-91F90AB6CE0D}"/>
    <cellStyle name="Header2 3 9 2 4 2" xfId="30582" xr:uid="{6557CC29-E931-4635-9EB0-7FD72E91ECDF}"/>
    <cellStyle name="Header2 3 9 2 4 3" xfId="43974" xr:uid="{E5EE2397-E3BF-4406-910E-F2C7A1837D20}"/>
    <cellStyle name="Header2 3 9 2 5" xfId="20991" xr:uid="{B23A9118-0E1D-4256-B249-A825EDDFCF74}"/>
    <cellStyle name="Header2 3 9 2 6" xfId="34014" xr:uid="{650E4285-9192-416A-A07C-D0413E468DC8}"/>
    <cellStyle name="Header2 3 9 3" xfId="4540" xr:uid="{8DDA3A46-A116-4029-87D0-53DE2C27C86B}"/>
    <cellStyle name="Header2 3 9 3 2" xfId="7248" xr:uid="{A5789687-1F58-48D7-9308-09DC368AAB6A}"/>
    <cellStyle name="Header2 3 9 3 2 2" xfId="10745" xr:uid="{0A2FC8DA-CD26-4584-AA91-27AEC8656B34}"/>
    <cellStyle name="Header2 3 9 3 2 2 2" xfId="27585" xr:uid="{C5E231AA-4FED-4EB0-9302-3C387E6515E9}"/>
    <cellStyle name="Header2 3 9 3 2 2 3" xfId="40726" xr:uid="{424E430D-3D8A-4BF9-B199-4B8629CC0C9F}"/>
    <cellStyle name="Header2 3 9 3 2 3" xfId="24836" xr:uid="{F2E1B794-EF30-49F5-82A9-0A7416486CBB}"/>
    <cellStyle name="Header2 3 9 3 2 4" xfId="37917" xr:uid="{D936F0AB-4F8C-4587-8E67-5832E16DF352}"/>
    <cellStyle name="Header2 3 9 3 3" xfId="11475" xr:uid="{78148C5E-4EC9-4BF4-811B-829A7139C80D}"/>
    <cellStyle name="Header2 3 9 3 3 2" xfId="28239" xr:uid="{8156D5F7-13BC-4FE7-BB5A-8C2E8643CB74}"/>
    <cellStyle name="Header2 3 9 3 3 3" xfId="41434" xr:uid="{1BAA5AF7-4A18-40F6-A93F-A50BDE9BDFDE}"/>
    <cellStyle name="Header2 3 9 3 4" xfId="22356" xr:uid="{C9F73BDB-26F0-4931-AF89-00D761A0010F}"/>
    <cellStyle name="Header2 3 9 3 5" xfId="35405" xr:uid="{B56797A3-CE2F-49E8-A472-C3F63DA8BE92}"/>
    <cellStyle name="Header2 3 9 4" xfId="5650" xr:uid="{397986AA-4E4A-4CDC-92C1-37F804F6975B}"/>
    <cellStyle name="Header2 3 9 4 2" xfId="8834" xr:uid="{AD47BD65-817F-4C16-980D-B1779418B9B0}"/>
    <cellStyle name="Header2 3 9 4 2 2" xfId="12673" xr:uid="{99ED45DA-A3A0-433C-BA5B-702F8486A023}"/>
    <cellStyle name="Header2 3 9 4 2 2 2" xfId="29269" xr:uid="{477AA7BC-DEEA-464E-9671-019801DDA0BD}"/>
    <cellStyle name="Header2 3 9 4 2 2 3" xfId="42541" xr:uid="{31D6AA59-FB3E-4550-A38C-C294AA9A9036}"/>
    <cellStyle name="Header2 3 9 4 2 3" xfId="26325" xr:uid="{C377EB7B-1541-4266-A1DF-EBF77E08A957}"/>
    <cellStyle name="Header2 3 9 4 2 4" xfId="39401" xr:uid="{2BB8CDF6-86F3-4CF1-8847-D1A0EF8577C1}"/>
    <cellStyle name="Header2 3 9 4 3" xfId="13358" xr:uid="{2A13A097-6A37-4B53-BBB1-88EAF7589E54}"/>
    <cellStyle name="Header2 3 9 4 3 2" xfId="29835" xr:uid="{4D2635AD-DCC6-47CD-BD8C-AFA2C618BC78}"/>
    <cellStyle name="Header2 3 9 4 3 3" xfId="43169" xr:uid="{5BBB98AC-C00D-45A7-A3CB-F3D1A7659B68}"/>
    <cellStyle name="Header2 3 9 4 4" xfId="23297" xr:uid="{0177CE44-E4B7-4747-A897-5BAC83AF4832}"/>
    <cellStyle name="Header2 3 9 4 5" xfId="36378" xr:uid="{9259EF21-360B-47A5-939A-CC313F47C694}"/>
    <cellStyle name="Header2 3 9 5" xfId="16437" xr:uid="{8A5990F4-48D7-4D00-BFDD-D40BDEFBA8A8}"/>
    <cellStyle name="Header2 3 9 5 2" xfId="32449" xr:uid="{E1574BF3-3694-4360-9868-942B6B9CD133}"/>
    <cellStyle name="Header2 3 9 5 3" xfId="45987" xr:uid="{84967448-12DD-4859-98C0-ED9A40133D67}"/>
    <cellStyle name="Header2 3 9 6" xfId="21559" xr:uid="{0F3FFDEB-9C19-460D-B7D8-9F1D14FE74B9}"/>
    <cellStyle name="Header2 3 9 7" xfId="34613" xr:uid="{822760CD-C96F-4563-A16F-D971CFBE5309}"/>
    <cellStyle name="Header2 30" xfId="10342" xr:uid="{BF2F8553-AAD7-4B91-8A18-8BA898425197}"/>
    <cellStyle name="Header2 30 2" xfId="17582" xr:uid="{CA1EA3C0-2BE4-4ACF-818A-9BB01DD3242D}"/>
    <cellStyle name="Header2 30 2 2" xfId="33319" xr:uid="{E26AA3F5-1C3C-4EE4-809B-E5547811C043}"/>
    <cellStyle name="Header2 30 2 3" xfId="47107" xr:uid="{CC23B04C-6385-44B8-9EBF-CBABC7875E04}"/>
    <cellStyle name="Header2 30 3" xfId="27393" xr:uid="{1CFF8661-090A-4552-8560-9AAEF3E7D2A5}"/>
    <cellStyle name="Header2 30 4" xfId="40512" xr:uid="{AC2774B4-82EB-4E96-AF69-CDD2F0FEC31F}"/>
    <cellStyle name="Header2 31" xfId="10549" xr:uid="{DC7B629E-8D84-41C0-8F06-7D48D0C0C2B6}"/>
    <cellStyle name="Header2 31 2" xfId="17594" xr:uid="{545A0F3E-7016-449D-AF71-8992A1D5AA57}"/>
    <cellStyle name="Header2 31 2 2" xfId="33330" xr:uid="{1A1BA978-1B09-43AD-B65E-3FB56B564DB7}"/>
    <cellStyle name="Header2 31 2 3" xfId="47119" xr:uid="{CA96B0AF-7049-4EF6-983E-C414127F33C7}"/>
    <cellStyle name="Header2 31 3" xfId="27409" xr:uid="{6B2D7D10-911B-4E2E-B8C5-5362C10A8C15}"/>
    <cellStyle name="Header2 31 4" xfId="40531" xr:uid="{B8AD61BA-E40D-4270-A87D-4DB142879AD7}"/>
    <cellStyle name="Header2 32" xfId="11930" xr:uid="{6032E998-D273-4313-944F-7EFB1F315764}"/>
    <cellStyle name="Header2 32 2" xfId="28642" xr:uid="{E65EA681-F0F7-4EE3-9470-00B0665CEDAD}"/>
    <cellStyle name="Header2 32 3" xfId="41860" xr:uid="{918A17C0-1906-4B6E-86EC-A101905B36FC}"/>
    <cellStyle name="Header2 33" xfId="12042" xr:uid="{EC472C8D-A96C-40E5-BD1E-45D51745E5AD}"/>
    <cellStyle name="Header2 33 2" xfId="28743" xr:uid="{2B68764C-C087-45F9-B8D2-9D1EDF7E80CE}"/>
    <cellStyle name="Header2 33 3" xfId="41962" xr:uid="{BC79BE67-46B4-4CC6-B582-7262672F38CD}"/>
    <cellStyle name="Header2 34" xfId="15481" xr:uid="{BC5DCE30-D91C-4999-AD53-F33534BAC7EC}"/>
    <cellStyle name="Header2 34 2" xfId="31622" xr:uid="{93B4D507-EF80-4859-8B63-0D15ED1AFD4D}"/>
    <cellStyle name="Header2 34 3" xfId="45119" xr:uid="{DB77CC65-5F43-45A8-B8E1-F06C0955BB22}"/>
    <cellStyle name="Header2 35" xfId="17648" xr:uid="{AC42A086-4E85-4CD6-8AA8-532DA0F24C75}"/>
    <cellStyle name="Header2 35 2" xfId="33371" xr:uid="{94B44942-7926-49C5-84CD-633C03B374C5}"/>
    <cellStyle name="Header2 35 3" xfId="47160" xr:uid="{96A9AF1E-272A-445A-A867-62AAE40DE167}"/>
    <cellStyle name="Header2 36" xfId="33545" xr:uid="{642334D1-E5A4-4D7D-9402-84072DEB6301}"/>
    <cellStyle name="Header2 4" xfId="3405" xr:uid="{36F05850-5D66-4982-A298-F1FF029B1E86}"/>
    <cellStyle name="Header2 4 10" xfId="20481" xr:uid="{DED49269-8A97-4EFD-85CE-AF0E17673939}"/>
    <cellStyle name="Header2 4 11" xfId="34427" xr:uid="{80280E08-9B86-4A85-B2A7-3C14FADCD790}"/>
    <cellStyle name="Header2 4 2" xfId="2750" xr:uid="{B6B63249-E6BD-4C1E-8DD6-87C717EBA397}"/>
    <cellStyle name="Header2 4 2 2" xfId="5093" xr:uid="{59030A9D-42A4-450C-91B2-89F817420C46}"/>
    <cellStyle name="Header2 4 2 2 2" xfId="8046" xr:uid="{AC52A8C8-BC0B-48C6-AF2B-1513F89FE4AA}"/>
    <cellStyle name="Header2 4 2 2 2 2" xfId="14503" xr:uid="{69727D53-A2EE-45D9-ADB2-D6FCE02C4EAF}"/>
    <cellStyle name="Header2 4 2 2 2 2 2" xfId="30822" xr:uid="{1B692B95-8FF0-492C-9D83-D3C5CA990B4D}"/>
    <cellStyle name="Header2 4 2 2 2 2 3" xfId="44231" xr:uid="{046C38A1-805A-4F45-B616-F7DA39D2ECD5}"/>
    <cellStyle name="Header2 4 2 2 2 3" xfId="25559" xr:uid="{F367094B-CFCE-41C6-BDE1-134BC8977793}"/>
    <cellStyle name="Header2 4 2 2 2 4" xfId="38635" xr:uid="{F9DA2637-064A-49B1-B6CF-34B0A28A5639}"/>
    <cellStyle name="Header2 4 2 2 3" xfId="12242" xr:uid="{672B5A91-67D3-4246-9994-1997E52FE8DE}"/>
    <cellStyle name="Header2 4 2 2 3 2" xfId="28923" xr:uid="{1B14F634-E722-4000-B3AB-5FFC87B14001}"/>
    <cellStyle name="Header2 4 2 2 3 3" xfId="42156" xr:uid="{710EEBE0-21B1-48B0-8E0F-ED8F243C05BB}"/>
    <cellStyle name="Header2 4 2 2 4" xfId="22818" xr:uid="{6328DEE1-6FC2-4613-B7B8-19DAB567EA04}"/>
    <cellStyle name="Header2 4 2 2 5" xfId="35888" xr:uid="{2AE87294-7BFA-4235-92EB-70291D24ABBA}"/>
    <cellStyle name="Header2 4 2 3" xfId="6413" xr:uid="{BB586657-7314-4EB6-8581-5AA278823910}"/>
    <cellStyle name="Header2 4 2 3 2" xfId="16102" xr:uid="{59CC7927-E2AC-4CBB-872C-58302ECE37B9}"/>
    <cellStyle name="Header2 4 2 3 2 2" xfId="32160" xr:uid="{604A6352-D43C-4EC4-8D51-EE3E806053A2}"/>
    <cellStyle name="Header2 4 2 3 2 3" xfId="45681" xr:uid="{EFE929F2-8D29-454B-9175-32543CDFC79C}"/>
    <cellStyle name="Header2 4 2 3 3" xfId="24050" xr:uid="{D429A7B0-2056-48AC-BC9E-6159F5D9F601}"/>
    <cellStyle name="Header2 4 2 3 4" xfId="37131" xr:uid="{620FE8AE-A0CD-4D22-921B-EE20D0DD39F8}"/>
    <cellStyle name="Header2 4 2 4" xfId="11180" xr:uid="{7A9C04E7-1682-43CA-989C-FBE902B5E7C9}"/>
    <cellStyle name="Header2 4 2 4 2" xfId="27974" xr:uid="{D98ED561-80EA-4312-8486-CB74B3FA4D9E}"/>
    <cellStyle name="Header2 4 2 4 3" xfId="41156" xr:uid="{3DDD03D5-D519-41F6-B4E8-CD91CC4E2EB6}"/>
    <cellStyle name="Header2 4 2 5" xfId="20802" xr:uid="{3887A562-6777-4609-B046-10BA7F85A6A2}"/>
    <cellStyle name="Header2 4 2 6" xfId="33825" xr:uid="{ACF44995-4017-467C-B9B0-34257DEA0DDB}"/>
    <cellStyle name="Header2 4 3" xfId="2523" xr:uid="{E63499AF-40BB-4CB3-AD97-C2F4DB2CD27D}"/>
    <cellStyle name="Header2 4 3 2" xfId="5189" xr:uid="{6CDB0726-1BD4-41FF-AE2E-9F8FB689310B}"/>
    <cellStyle name="Header2 4 3 2 2" xfId="6140" xr:uid="{B9B97438-E93C-4A4D-AB19-4CC673D0CED5}"/>
    <cellStyle name="Header2 4 3 2 2 2" xfId="11279" xr:uid="{6FD7C7AD-1E7E-4AF1-856D-D3AAE50AF5E7}"/>
    <cellStyle name="Header2 4 3 2 2 2 2" xfId="28066" xr:uid="{CF1CBC02-E7C8-49A4-B695-20BF5E984A25}"/>
    <cellStyle name="Header2 4 3 2 2 2 3" xfId="41248" xr:uid="{B1E1EC91-79C5-4891-AC23-7FEEED3D311B}"/>
    <cellStyle name="Header2 4 3 2 2 3" xfId="23785" xr:uid="{737AF04A-5021-436D-815A-1F5B6555C222}"/>
    <cellStyle name="Header2 4 3 2 2 4" xfId="36866" xr:uid="{5E8C38E4-7FEC-4654-BE57-CAEF4C633239}"/>
    <cellStyle name="Header2 4 3 2 3" xfId="13705" xr:uid="{925F67FB-2BFF-434A-894C-82C43950B230}"/>
    <cellStyle name="Header2 4 3 2 3 2" xfId="30125" xr:uid="{902639F3-9DBB-4C37-A052-DD85BC8A96E7}"/>
    <cellStyle name="Header2 4 3 2 3 3" xfId="43484" xr:uid="{32224224-4679-4A9F-BBB6-029B38EB1624}"/>
    <cellStyle name="Header2 4 3 2 4" xfId="22865" xr:uid="{0B3F8BA2-D5EC-4504-8FAE-BD3C7178A42F}"/>
    <cellStyle name="Header2 4 3 2 5" xfId="35934" xr:uid="{7C4D1513-AD76-49C3-967B-2418E2F172A1}"/>
    <cellStyle name="Header2 4 3 3" xfId="6189" xr:uid="{D4E247B8-BF1A-4DBA-A2FD-F1275F94805C}"/>
    <cellStyle name="Header2 4 3 3 2" xfId="12257" xr:uid="{77894A07-0FEE-45F4-8555-8446386DE97D}"/>
    <cellStyle name="Header2 4 3 3 2 2" xfId="28938" xr:uid="{051FDA08-339C-4744-A47F-6EB05BB51590}"/>
    <cellStyle name="Header2 4 3 3 2 3" xfId="42171" xr:uid="{CA411FA3-4729-47B6-AD71-1B64DC1AEDB5}"/>
    <cellStyle name="Header2 4 3 3 3" xfId="23834" xr:uid="{2C6B0A0B-EE65-4414-90E6-EE777CAD2B47}"/>
    <cellStyle name="Header2 4 3 3 4" xfId="36915" xr:uid="{75E03DAB-6B27-4C26-B21C-41A6CE8E9A67}"/>
    <cellStyle name="Header2 4 3 4" xfId="14982" xr:uid="{36F543F5-64A0-48AB-87BD-DFEB21EF9E6E}"/>
    <cellStyle name="Header2 4 3 4 2" xfId="31217" xr:uid="{20637B01-3070-4731-9FCC-39700C24697F}"/>
    <cellStyle name="Header2 4 3 4 3" xfId="44665" xr:uid="{6D664B1F-2292-42FD-A036-5F574C69920B}"/>
    <cellStyle name="Header2 4 3 5" xfId="20586" xr:uid="{16B87605-9A82-427C-B81C-480659976E42}"/>
    <cellStyle name="Header2 4 3 6" xfId="33609" xr:uid="{EA0ACD28-DF1D-453A-A014-E6D22854EB73}"/>
    <cellStyle name="Header2 4 4" xfId="2601" xr:uid="{CCB8CC88-1DE7-40AF-8E41-4BFD07D4E76B}"/>
    <cellStyle name="Header2 4 4 2" xfId="5002" xr:uid="{6194BF95-7A0D-41B2-A461-132215971D37}"/>
    <cellStyle name="Header2 4 4 2 2" xfId="7898" xr:uid="{FCBB005E-06AD-4EEF-AF02-123FCA00FFB9}"/>
    <cellStyle name="Header2 4 4 2 2 2" xfId="10677" xr:uid="{118CFE3A-5CD8-4B7D-AB0A-FFF09FE059E1}"/>
    <cellStyle name="Header2 4 4 2 2 2 2" xfId="27527" xr:uid="{BBFDD1D2-F77F-4BA1-89C6-9BD93DDE4869}"/>
    <cellStyle name="Header2 4 4 2 2 2 3" xfId="40658" xr:uid="{AC12DC7A-CD8F-45A4-B797-57B5BDA44208}"/>
    <cellStyle name="Header2 4 4 2 2 3" xfId="25415" xr:uid="{CD5FB67A-2612-474C-B14E-BAFD6F34D4EF}"/>
    <cellStyle name="Header2 4 4 2 2 4" xfId="38491" xr:uid="{24BE54FF-1F3E-4087-9482-3182DEF0CEC2}"/>
    <cellStyle name="Header2 4 4 2 3" xfId="12807" xr:uid="{87A168EB-64A2-4143-AB94-EF0829CE9F34}"/>
    <cellStyle name="Header2 4 4 2 3 2" xfId="29381" xr:uid="{CAA4A65C-7AF6-4625-98D1-044418D502AC}"/>
    <cellStyle name="Header2 4 4 2 3 3" xfId="42662" xr:uid="{78562B13-8C50-429C-8202-929D3783CAC9}"/>
    <cellStyle name="Header2 4 4 2 4" xfId="22767" xr:uid="{ADC7B8EC-5B26-4C35-B6EF-02BCCA38DE1B}"/>
    <cellStyle name="Header2 4 4 2 5" xfId="35826" xr:uid="{CA936911-35DE-48FD-9F22-47D8928CD023}"/>
    <cellStyle name="Header2 4 4 3" xfId="6265" xr:uid="{4D27D2F4-14FC-42B6-AEC7-0DC4607B1D72}"/>
    <cellStyle name="Header2 4 4 3 2" xfId="14019" xr:uid="{48E0540F-5892-4E7C-802D-48135F4E472A}"/>
    <cellStyle name="Header2 4 4 3 2 2" xfId="30399" xr:uid="{B10C47BA-DD88-4695-9B88-F99FE4D85A92}"/>
    <cellStyle name="Header2 4 4 3 2 3" xfId="43778" xr:uid="{56681360-56F6-4753-8403-7DB2BD6E052B}"/>
    <cellStyle name="Header2 4 4 3 3" xfId="23906" xr:uid="{4D25D369-A112-4B91-AD44-DE7C23F998CB}"/>
    <cellStyle name="Header2 4 4 3 4" xfId="36987" xr:uid="{91626C8A-6140-4F6D-93D5-0F24A2441038}"/>
    <cellStyle name="Header2 4 4 4" xfId="16275" xr:uid="{C2817F47-28BF-4120-B1D5-3EC708254B36}"/>
    <cellStyle name="Header2 4 4 4 2" xfId="32309" xr:uid="{411D446D-B3DE-4B40-B855-0C4D9D6099ED}"/>
    <cellStyle name="Header2 4 4 4 3" xfId="45838" xr:uid="{85011A92-C83B-4108-BC0D-3C02B7D252FE}"/>
    <cellStyle name="Header2 4 4 5" xfId="20658" xr:uid="{FA5BE83A-C517-4A7A-8F65-98DA95FDAFAC}"/>
    <cellStyle name="Header2 4 4 6" xfId="33681" xr:uid="{77E8E14A-6B04-4ADC-BFD3-61CED246F9EE}"/>
    <cellStyle name="Header2 4 5" xfId="4250" xr:uid="{9F4F3071-EBA7-419A-8599-188C60DD7EF2}"/>
    <cellStyle name="Header2 4 5 2" xfId="4979" xr:uid="{4DD9CC14-93B3-43E9-85BA-473FC86EB497}"/>
    <cellStyle name="Header2 4 5 2 2" xfId="9302" xr:uid="{184A2BE7-434E-4C74-81AD-06F2ABE493D4}"/>
    <cellStyle name="Header2 4 5 2 2 2" xfId="11827" xr:uid="{9DE40D5D-D5B9-4BEE-9B9C-5A8CDE4CF417}"/>
    <cellStyle name="Header2 4 5 2 2 2 2" xfId="28547" xr:uid="{4FF42567-88F7-4231-A05F-03CD802C18EF}"/>
    <cellStyle name="Header2 4 5 2 2 2 3" xfId="41760" xr:uid="{EA7DBF2E-24D2-4D01-A818-A15A8D1983EA}"/>
    <cellStyle name="Header2 4 5 2 2 3" xfId="26775" xr:uid="{DC796032-1621-434B-A981-DFBA6CF1A704}"/>
    <cellStyle name="Header2 4 5 2 2 4" xfId="39851" xr:uid="{7003D07F-0EF1-43D1-AE7C-1F8B4BFF820B}"/>
    <cellStyle name="Header2 4 5 2 3" xfId="12005" xr:uid="{98DB3D0E-08B7-46A1-B251-D83B0CD6D3D0}"/>
    <cellStyle name="Header2 4 5 2 3 2" xfId="28709" xr:uid="{AB5ECDE5-798E-48B2-8FCA-E1A33BDB6E3B}"/>
    <cellStyle name="Header2 4 5 2 3 3" xfId="41927" xr:uid="{2B96188F-AE0A-4184-BACA-44A408485090}"/>
    <cellStyle name="Header2 4 5 2 4" xfId="22751" xr:uid="{979B0C93-32D6-4B1A-8932-FC12030D9517}"/>
    <cellStyle name="Header2 4 5 2 5" xfId="35808" xr:uid="{55ECFCF3-D380-43DF-8626-8A8BE0421E6B}"/>
    <cellStyle name="Header2 4 5 3" xfId="7814" xr:uid="{8A338E62-2270-4868-A99D-99DAA91635F6}"/>
    <cellStyle name="Header2 4 5 3 2" xfId="13280" xr:uid="{FC7B290D-E1B4-40E4-8E0E-F417E60A2377}"/>
    <cellStyle name="Header2 4 5 3 2 2" xfId="29771" xr:uid="{AB137449-DB1C-4991-9466-7C25BAF83D82}"/>
    <cellStyle name="Header2 4 5 3 2 3" xfId="43097" xr:uid="{9B02E8AF-A5D7-483F-9E67-7685F295E8FB}"/>
    <cellStyle name="Header2 4 5 3 3" xfId="25334" xr:uid="{BD22F299-10D4-4C92-80F5-D1D34A29A857}"/>
    <cellStyle name="Header2 4 5 3 4" xfId="38410" xr:uid="{7AF82E18-84CE-4CF4-AE6B-B8DA2275FA5A}"/>
    <cellStyle name="Header2 4 5 4" xfId="17213" xr:uid="{D63BF525-8A83-4764-AA5D-F1F33AC0F010}"/>
    <cellStyle name="Header2 4 5 4 2" xfId="32974" xr:uid="{1B2AB270-C237-4FAB-9528-7C6F9AA1F59C}"/>
    <cellStyle name="Header2 4 5 4 3" xfId="46747" xr:uid="{9DCFDD83-1829-49B1-9A7E-FAD2045B1978}"/>
    <cellStyle name="Header2 4 5 5" xfId="22075" xr:uid="{67385D5F-6B70-4AA2-8808-C9E6337800E2}"/>
    <cellStyle name="Header2 4 5 6" xfId="35124" xr:uid="{466D1C43-A50F-4F3F-95CD-ECC047B10599}"/>
    <cellStyle name="Header2 4 6" xfId="4412" xr:uid="{1C3EB737-7938-4C0D-A9DE-A75F335B7C7F}"/>
    <cellStyle name="Header2 4 6 2" xfId="7047" xr:uid="{5415B539-2195-4CC7-B1E3-957603784766}"/>
    <cellStyle name="Header2 4 6 2 2" xfId="13728" xr:uid="{4499B297-ED93-40A9-AC94-92615C276F41}"/>
    <cellStyle name="Header2 4 6 2 2 2" xfId="30144" xr:uid="{C84EA164-0979-4C31-984D-9A835D7D9150}"/>
    <cellStyle name="Header2 4 6 2 2 3" xfId="43506" xr:uid="{D495D5C2-7426-45A1-B5F0-93A0B589AD77}"/>
    <cellStyle name="Header2 4 6 2 3" xfId="24652" xr:uid="{F32FA1B2-48FE-4C80-8C55-0D704D16387D}"/>
    <cellStyle name="Header2 4 6 2 4" xfId="37733" xr:uid="{76755374-3CD3-403A-BF2A-E9751C43FFA2}"/>
    <cellStyle name="Header2 4 6 3" xfId="12899" xr:uid="{F15584B1-7492-4C0D-9448-84A21A2B0B99}"/>
    <cellStyle name="Header2 4 6 3 2" xfId="29452" xr:uid="{B3770C85-853F-4D48-93A5-31FA18047898}"/>
    <cellStyle name="Header2 4 6 3 3" xfId="42744" xr:uid="{142220DF-0FB2-4E0F-9480-B1F92CC09932}"/>
    <cellStyle name="Header2 4 6 4" xfId="22231" xr:uid="{8C1ED5D4-0F50-4EAD-A081-A728440CD936}"/>
    <cellStyle name="Header2 4 6 5" xfId="35280" xr:uid="{97ED29B5-3B27-4951-9ABD-A8262E91472C}"/>
    <cellStyle name="Header2 4 7" xfId="5466" xr:uid="{0A655D50-BB99-4FBB-A46B-0E2398B7ADE7}"/>
    <cellStyle name="Header2 4 7 2" xfId="8646" xr:uid="{1FE91205-0815-42F1-A6AB-CAA988768301}"/>
    <cellStyle name="Header2 4 7 2 2" xfId="17434" xr:uid="{62B14CA3-D044-4FD5-A58C-CB45FF4D02AA}"/>
    <cellStyle name="Header2 4 7 2 2 2" xfId="33188" xr:uid="{32ECB372-B0CC-4157-93BE-4575C676844B}"/>
    <cellStyle name="Header2 4 7 2 2 3" xfId="46964" xr:uid="{8EAC8FA3-2AB7-4748-A438-BB14E9D5F105}"/>
    <cellStyle name="Header2 4 7 2 3" xfId="26141" xr:uid="{8816875D-8B92-436B-B4E7-7E61501BD390}"/>
    <cellStyle name="Header2 4 7 2 4" xfId="39217" xr:uid="{E295458D-6D04-4462-A127-1B0B81F7F924}"/>
    <cellStyle name="Header2 4 7 3" xfId="17117" xr:uid="{87DA64F1-0E3F-4FE1-9320-940DCA74AAB3}"/>
    <cellStyle name="Header2 4 7 3 2" xfId="32882" xr:uid="{3EA0DEEE-4949-40DE-BE42-74BA4A5820E3}"/>
    <cellStyle name="Header2 4 7 3 3" xfId="46653" xr:uid="{7C7C6B21-94D6-45D2-9F62-CB304C266EA5}"/>
    <cellStyle name="Header2 4 7 4" xfId="23113" xr:uid="{8E270054-93ED-4AE4-BF48-90E97211476D}"/>
    <cellStyle name="Header2 4 7 5" xfId="36194" xr:uid="{7BDEE0AF-E4A9-4A53-BEA0-FD4A2F2603E7}"/>
    <cellStyle name="Header2 4 8" xfId="13834" xr:uid="{22039744-B3D3-4CE6-B6E1-FA198A751CA8}"/>
    <cellStyle name="Header2 4 8 2" xfId="30236" xr:uid="{194EAD28-8CE6-4D92-90DC-23CD94D46604}"/>
    <cellStyle name="Header2 4 8 3" xfId="43606" xr:uid="{E86CC6F6-8FB7-4DF2-BF97-95D1BBE96BCA}"/>
    <cellStyle name="Header2 4 9" xfId="17728" xr:uid="{DD78A427-DC65-4D65-B1B2-79B42C2E27B9}"/>
    <cellStyle name="Header2 4 9 2" xfId="33450" xr:uid="{08A714E7-363D-4F3C-9EAF-F305B885D432}"/>
    <cellStyle name="Header2 4 9 3" xfId="47234" xr:uid="{193D952E-874B-4950-A389-7CEC4F4FA11C}"/>
    <cellStyle name="Header2 5" xfId="3371" xr:uid="{7003068B-45F5-4467-8CC8-BD494D2E55B3}"/>
    <cellStyle name="Header2 5 10" xfId="34411" xr:uid="{5902A9EC-F519-4E34-B7F8-DF2E738CB211}"/>
    <cellStyle name="Header2 5 2" xfId="2730" xr:uid="{99E513B6-5E81-4117-8BBF-1716946A04E2}"/>
    <cellStyle name="Header2 5 2 2" xfId="8026" xr:uid="{9BDFBA3F-6FA6-4983-9718-172877E74461}"/>
    <cellStyle name="Header2 5 2 2 2" xfId="14315" xr:uid="{ACB30BDD-AB00-4448-B8E6-D601D3F64870}"/>
    <cellStyle name="Header2 5 2 2 2 2" xfId="30652" xr:uid="{E509D49D-7310-439C-910C-3C29E29B8890}"/>
    <cellStyle name="Header2 5 2 2 2 3" xfId="44046" xr:uid="{07F06D12-D022-44E5-BFB5-580CA8A192C3}"/>
    <cellStyle name="Header2 5 2 2 3" xfId="25539" xr:uid="{D43907FA-B1E8-4AD7-949E-7A8C5709DDB5}"/>
    <cellStyle name="Header2 5 2 2 4" xfId="38615" xr:uid="{AE7EC511-921A-4FFF-99D1-90A006004440}"/>
    <cellStyle name="Header2 5 2 3" xfId="6393" xr:uid="{74776E4F-247A-40E5-B9FF-B4222FB6CA43}"/>
    <cellStyle name="Header2 5 2 3 2" xfId="14546" xr:uid="{FF304D8D-C399-4E10-8104-82D03FE07A4F}"/>
    <cellStyle name="Header2 5 2 3 2 2" xfId="30857" xr:uid="{6803DE04-F3C9-477D-9FFC-DD84572BB2BD}"/>
    <cellStyle name="Header2 5 2 3 2 3" xfId="44269" xr:uid="{F7ABAAFE-51C3-4E64-9342-DF60916D0C27}"/>
    <cellStyle name="Header2 5 2 3 3" xfId="24030" xr:uid="{440627C9-6142-4946-A83C-B694ACD787FF}"/>
    <cellStyle name="Header2 5 2 3 4" xfId="37111" xr:uid="{0C87CB23-117C-43DE-BF0C-10539A9677B9}"/>
    <cellStyle name="Header2 5 2 4" xfId="14576" xr:uid="{294A6FDB-A222-4F58-B632-8E294327D5DD}"/>
    <cellStyle name="Header2 5 2 4 2" xfId="30879" xr:uid="{75F325D0-8644-4378-8344-20E858200046}"/>
    <cellStyle name="Header2 5 2 4 3" xfId="44296" xr:uid="{1171D92D-DE28-473F-A7E8-7F936B366A7C}"/>
    <cellStyle name="Header2 5 2 5" xfId="20782" xr:uid="{AC466A62-ABCF-4E99-BC19-6167FC04E75E}"/>
    <cellStyle name="Header2 5 2 6" xfId="33805" xr:uid="{F9CF7B93-609D-4CB6-8DA3-FAF7A7D74281}"/>
    <cellStyle name="Header2 5 3" xfId="4098" xr:uid="{2DAD7A47-6E51-4626-B08C-4BCA2A1C021E}"/>
    <cellStyle name="Header2 5 3 2" xfId="9150" xr:uid="{647E2DF6-D482-48C5-85D0-888B2699D4A8}"/>
    <cellStyle name="Header2 5 3 2 2" xfId="15508" xr:uid="{5B40B52A-31BF-439F-9A77-9E5CD97AEF15}"/>
    <cellStyle name="Header2 5 3 2 2 2" xfId="31646" xr:uid="{8CE37C81-68D6-4285-A12A-1DF92141276C}"/>
    <cellStyle name="Header2 5 3 2 2 3" xfId="45144" xr:uid="{40454668-58E0-477D-9F30-8D332AEA743B}"/>
    <cellStyle name="Header2 5 3 2 3" xfId="26631" xr:uid="{5F47A235-A7C2-41D4-AE77-CE595074DD40}"/>
    <cellStyle name="Header2 5 3 2 4" xfId="39707" xr:uid="{BEB96768-94CA-46D8-A86C-A080FAD224BF}"/>
    <cellStyle name="Header2 5 3 3" xfId="7662" xr:uid="{3DE647DF-9EF0-4205-A624-2027DEAC355D}"/>
    <cellStyle name="Header2 5 3 3 2" xfId="16114" xr:uid="{EE70B5D3-2AD9-46E8-8E00-79DA3043B4B5}"/>
    <cellStyle name="Header2 5 3 3 2 2" xfId="32171" xr:uid="{165C9EFC-02BD-49D9-BA95-DF25F8F52333}"/>
    <cellStyle name="Header2 5 3 3 2 3" xfId="45692" xr:uid="{1156597A-EE79-4BAA-BC5B-51C1A41797C5}"/>
    <cellStyle name="Header2 5 3 3 3" xfId="25190" xr:uid="{24936031-0BF0-4318-B45E-D5B168881BC3}"/>
    <cellStyle name="Header2 5 3 3 4" xfId="38266" xr:uid="{09595F77-BEBE-49AB-AC26-AC1BD7A24A01}"/>
    <cellStyle name="Header2 5 3 4" xfId="16774" xr:uid="{EDF67F4C-F8C4-4069-A5BA-3B26846D7EEA}"/>
    <cellStyle name="Header2 5 3 4 2" xfId="32655" xr:uid="{CFD69642-D5A6-4DC3-A225-49F91E2ECAB1}"/>
    <cellStyle name="Header2 5 3 4 3" xfId="46317" xr:uid="{81DA39A4-C3BB-4B4F-9588-804722BA1F25}"/>
    <cellStyle name="Header2 5 3 5" xfId="21931" xr:uid="{03E42F78-0F83-4D7E-B8DF-189E080F7BF9}"/>
    <cellStyle name="Header2 5 3 6" xfId="34980" xr:uid="{1DFF9191-620D-473E-B483-6796D82AA331}"/>
    <cellStyle name="Header2 5 4" xfId="2597" xr:uid="{C193B4A6-9A21-4598-A80D-8A828D2DB706}"/>
    <cellStyle name="Header2 5 4 2" xfId="7894" xr:uid="{FC2D645F-658B-4053-AFBB-E160864890F7}"/>
    <cellStyle name="Header2 5 4 2 2" xfId="13939" xr:uid="{E08778D8-98CB-445A-8A6D-F4C4E44F1A42}"/>
    <cellStyle name="Header2 5 4 2 2 2" xfId="30328" xr:uid="{3DE1CD95-6042-4F2D-B0E0-5DD1AD41E6FF}"/>
    <cellStyle name="Header2 5 4 2 2 3" xfId="43704" xr:uid="{85293872-3356-4778-AD96-5657C8D45C18}"/>
    <cellStyle name="Header2 5 4 2 3" xfId="25411" xr:uid="{9398E470-F3CE-4D61-BC59-D186597B3491}"/>
    <cellStyle name="Header2 5 4 2 4" xfId="38487" xr:uid="{90A4486D-B5BA-4E52-9B91-E2431DACAFDE}"/>
    <cellStyle name="Header2 5 4 3" xfId="6261" xr:uid="{ED85867B-2A1E-4365-B544-B528BB8A40DD}"/>
    <cellStyle name="Header2 5 4 3 2" xfId="14951" xr:uid="{B7D45B67-1C0A-43FD-A362-8038D23C101E}"/>
    <cellStyle name="Header2 5 4 3 2 2" xfId="31190" xr:uid="{A95014D4-F693-44B8-85B2-67FEA45D362F}"/>
    <cellStyle name="Header2 5 4 3 2 3" xfId="44637" xr:uid="{0B5AC0D8-1B1D-48D2-A05F-79DF8351E6AA}"/>
    <cellStyle name="Header2 5 4 3 3" xfId="23902" xr:uid="{D5804477-C2C7-40E7-A525-E9F99867B921}"/>
    <cellStyle name="Header2 5 4 3 4" xfId="36983" xr:uid="{265EEF79-876F-435B-981C-7879A126E017}"/>
    <cellStyle name="Header2 5 4 4" xfId="11754" xr:uid="{52D292E8-197A-4E18-AC6D-7D2064ECD1B4}"/>
    <cellStyle name="Header2 5 4 4 2" xfId="28480" xr:uid="{8FAF62BF-18E3-467B-A9C7-A183657C4800}"/>
    <cellStyle name="Header2 5 4 4 3" xfId="41691" xr:uid="{FADA7BAA-5BC7-4F47-9594-617E4E8561F2}"/>
    <cellStyle name="Header2 5 4 5" xfId="20654" xr:uid="{87D808FB-E0C5-407A-8371-6A2FD2167518}"/>
    <cellStyle name="Header2 5 4 6" xfId="33677" xr:uid="{AF872ACA-D5E8-46D3-8B34-0B2AA53E6B27}"/>
    <cellStyle name="Header2 5 5" xfId="4254" xr:uid="{4B78AD48-6D23-4BC9-9AD5-63781D702797}"/>
    <cellStyle name="Header2 5 5 2" xfId="9306" xr:uid="{4E66DDCD-AD50-458C-BFAC-AF2094770DCE}"/>
    <cellStyle name="Header2 5 5 2 2" xfId="12635" xr:uid="{EA4A29C4-331D-4954-B78B-9182F8800452}"/>
    <cellStyle name="Header2 5 5 2 2 2" xfId="29240" xr:uid="{352FF02D-1F9A-4F9C-A8F0-4118EE2FFFF1}"/>
    <cellStyle name="Header2 5 5 2 2 3" xfId="42508" xr:uid="{04452D05-52C3-4ED4-BE97-ABAE46982FF4}"/>
    <cellStyle name="Header2 5 5 2 3" xfId="26779" xr:uid="{2E68BE5E-94C9-4B7F-AD3C-07311E5B809B}"/>
    <cellStyle name="Header2 5 5 2 4" xfId="39855" xr:uid="{43070909-1CBF-4EA4-ABED-E55FA3D780D7}"/>
    <cellStyle name="Header2 5 5 3" xfId="7818" xr:uid="{2AC7F636-24B9-4D2C-8660-6BCC11C7761C}"/>
    <cellStyle name="Header2 5 5 3 2" xfId="10597" xr:uid="{5C3B184F-12C6-4E63-AD98-0DFB3566EF3F}"/>
    <cellStyle name="Header2 5 5 3 2 2" xfId="27456" xr:uid="{BC4476EF-0A32-475F-8637-DF092178C2CD}"/>
    <cellStyle name="Header2 5 5 3 2 3" xfId="40578" xr:uid="{DA1F819A-15DA-43C9-9960-25F1C3B1CA9B}"/>
    <cellStyle name="Header2 5 5 3 3" xfId="25338" xr:uid="{90C63112-A624-4435-A787-90E53BCC9A10}"/>
    <cellStyle name="Header2 5 5 3 4" xfId="38414" xr:uid="{9FDFD418-FB69-45FD-B126-228BC8D4553F}"/>
    <cellStyle name="Header2 5 5 4" xfId="11127" xr:uid="{2573906F-81BF-47DB-A15B-0086C4643474}"/>
    <cellStyle name="Header2 5 5 4 2" xfId="27925" xr:uid="{5522E434-5C89-41B7-90A0-B0AFDA5F6D60}"/>
    <cellStyle name="Header2 5 5 4 3" xfId="41105" xr:uid="{D3046181-B4B3-4032-B4C5-AA90C3DCDD4B}"/>
    <cellStyle name="Header2 5 5 5" xfId="22079" xr:uid="{44301620-0BAC-474F-8FB8-A697CA9CBD85}"/>
    <cellStyle name="Header2 5 5 6" xfId="35128" xr:uid="{7D205CA7-B726-41C8-B5C5-36F50E83B570}"/>
    <cellStyle name="Header2 5 6" xfId="4396" xr:uid="{4CC66C80-1E8E-4465-BB78-B2BCEC4A0136}"/>
    <cellStyle name="Header2 5 6 2" xfId="7021" xr:uid="{EDB52612-B2DD-43BB-813F-A69B1BA854BE}"/>
    <cellStyle name="Header2 5 6 2 2" xfId="13265" xr:uid="{960D8FE7-E0BF-405A-99FA-56523BCC943A}"/>
    <cellStyle name="Header2 5 6 2 2 2" xfId="29757" xr:uid="{FB217CE1-EEF0-4D5F-9144-9ED53BC4B16F}"/>
    <cellStyle name="Header2 5 6 2 2 3" xfId="43083" xr:uid="{6F5A6F07-893C-43DE-B3B6-010E8C4DB81B}"/>
    <cellStyle name="Header2 5 6 2 3" xfId="24636" xr:uid="{23B2E8E0-5BA1-414D-A85E-41655D823446}"/>
    <cellStyle name="Header2 5 6 2 4" xfId="37717" xr:uid="{5677EC18-DDBA-4647-ABFB-CD5167A375E2}"/>
    <cellStyle name="Header2 5 6 3" xfId="11458" xr:uid="{F4091D5C-3EF3-42FF-B8FA-E1388EC06D6A}"/>
    <cellStyle name="Header2 5 6 3 2" xfId="28223" xr:uid="{32D2E7F7-6E6A-42F1-A7C1-A3CB77E7C780}"/>
    <cellStyle name="Header2 5 6 3 3" xfId="41417" xr:uid="{DAF9F6F2-03D8-4F2A-8692-99FF771B32B1}"/>
    <cellStyle name="Header2 5 6 4" xfId="22215" xr:uid="{AE366DD8-6064-4348-886C-849A6A8517D0}"/>
    <cellStyle name="Header2 5 6 5" xfId="35264" xr:uid="{4C769835-8FC7-48D8-8BE6-A4A2D1EB7A1C}"/>
    <cellStyle name="Header2 5 7" xfId="5450" xr:uid="{2C5BC5DE-E509-4F64-B627-E1462310B387}"/>
    <cellStyle name="Header2 5 7 2" xfId="8630" xr:uid="{28621C66-71AF-4C93-AFD8-6E1D2557A65B}"/>
    <cellStyle name="Header2 5 7 2 2" xfId="15312" xr:uid="{D597FB40-E2D6-43B6-BF79-A78D23FAACC3}"/>
    <cellStyle name="Header2 5 7 2 2 2" xfId="31475" xr:uid="{6910C53B-1F0F-4850-B88A-A68F3848D9D0}"/>
    <cellStyle name="Header2 5 7 2 2 3" xfId="44958" xr:uid="{71049D85-4356-4C2B-97FC-31DF90B12879}"/>
    <cellStyle name="Header2 5 7 2 3" xfId="26125" xr:uid="{84E2F6C3-58B2-4EAA-AB86-D4AD344314FC}"/>
    <cellStyle name="Header2 5 7 2 4" xfId="39201" xr:uid="{76E54AB0-83DB-4290-B9F9-1E2B5214CA4D}"/>
    <cellStyle name="Header2 5 7 3" xfId="15134" xr:uid="{AE0E926C-5144-4B43-86BB-5D5E5A462E1A}"/>
    <cellStyle name="Header2 5 7 3 2" xfId="31334" xr:uid="{57E9465A-6A7D-4341-9B14-A862665CD863}"/>
    <cellStyle name="Header2 5 7 3 3" xfId="44798" xr:uid="{5D27EA31-4776-4F60-9F9E-8FE24C79B146}"/>
    <cellStyle name="Header2 5 7 4" xfId="23097" xr:uid="{A5A0562C-26AF-4D15-8D18-4EBD25893438}"/>
    <cellStyle name="Header2 5 7 5" xfId="36178" xr:uid="{CF8D907F-99FF-4D05-A025-E5E3048F2218}"/>
    <cellStyle name="Header2 5 8" xfId="17123" xr:uid="{CDD7B6E9-0B6D-4B8D-8288-ABD2579576A4}"/>
    <cellStyle name="Header2 5 8 2" xfId="32887" xr:uid="{A18DEFA3-FC30-4D4B-87C2-BEE6A04B7C75}"/>
    <cellStyle name="Header2 5 8 3" xfId="46659" xr:uid="{9A827DEF-B82E-4EEB-B022-2EF88B0EA6A1}"/>
    <cellStyle name="Header2 5 9" xfId="21388" xr:uid="{89256D9B-7F86-43A5-A060-6D3ADABEAE83}"/>
    <cellStyle name="Header2 6" xfId="3414" xr:uid="{1765507E-3F85-4D11-9DCA-3AE80BD396F7}"/>
    <cellStyle name="Header2 6 10" xfId="34432" xr:uid="{1A935E60-DF8E-40F4-B2F9-3F49CDC2C6D0}"/>
    <cellStyle name="Header2 6 2" xfId="2756" xr:uid="{432D1B2E-1FD2-45D2-A3F4-9C03A003256C}"/>
    <cellStyle name="Header2 6 2 2" xfId="8052" xr:uid="{5CEEB747-6FEE-4DFC-B5E8-554AF71841AA}"/>
    <cellStyle name="Header2 6 2 2 2" xfId="16182" xr:uid="{E4E1DB1C-E2F7-48D4-BAA0-B9292CA5FC3E}"/>
    <cellStyle name="Header2 6 2 2 2 2" xfId="32227" xr:uid="{E185ACBD-7F85-45CA-AEEF-0C5DE30EBC13}"/>
    <cellStyle name="Header2 6 2 2 2 3" xfId="45750" xr:uid="{377E0B90-80A0-49F7-A7A7-C0301C9BB315}"/>
    <cellStyle name="Header2 6 2 2 3" xfId="25565" xr:uid="{CD709EFB-9137-4C96-946F-D3870F26A1D7}"/>
    <cellStyle name="Header2 6 2 2 4" xfId="38641" xr:uid="{F8EAED25-809D-46C2-BF05-70474DD2E190}"/>
    <cellStyle name="Header2 6 2 3" xfId="6419" xr:uid="{8EDC4CF8-85F1-4CF5-81FD-2BA7DF22E7B2}"/>
    <cellStyle name="Header2 6 2 3 2" xfId="15988" xr:uid="{8335720F-5B14-4F19-AEC0-787811DAF047}"/>
    <cellStyle name="Header2 6 2 3 2 2" xfId="32062" xr:uid="{BB152956-1400-4A29-9E77-B462AE481130}"/>
    <cellStyle name="Header2 6 2 3 2 3" xfId="45581" xr:uid="{10ADB2E5-F79B-4658-99FF-A50199842369}"/>
    <cellStyle name="Header2 6 2 3 3" xfId="24056" xr:uid="{59779BA9-45ED-4AFB-A27A-D953B3D81CDE}"/>
    <cellStyle name="Header2 6 2 3 4" xfId="37137" xr:uid="{2ACB7C6E-56DD-4E65-AE24-DF9EC9DC7A7F}"/>
    <cellStyle name="Header2 6 2 4" xfId="16800" xr:uid="{4D8B5CE6-0395-4BC7-98EC-2D405E2D2A9B}"/>
    <cellStyle name="Header2 6 2 4 2" xfId="32681" xr:uid="{80F84B37-A769-4EC3-A2AD-3C9AB97DFE83}"/>
    <cellStyle name="Header2 6 2 4 3" xfId="46343" xr:uid="{4ED1E3E9-493B-44C8-8AD7-A41B5F664605}"/>
    <cellStyle name="Header2 6 2 5" xfId="20808" xr:uid="{3A4EEB9C-5EF4-4BD7-9C16-BDDF98247873}"/>
    <cellStyle name="Header2 6 2 6" xfId="33831" xr:uid="{07E40E4C-9BB8-4DA6-B7E7-3B32812B47D8}"/>
    <cellStyle name="Header2 6 3" xfId="4051" xr:uid="{A39C2751-482B-4B58-9F74-9ADBDC8E3295}"/>
    <cellStyle name="Header2 6 3 2" xfId="9104" xr:uid="{FDA1E24C-99C4-43BF-9765-6AE38370C8B0}"/>
    <cellStyle name="Header2 6 3 2 2" xfId="15739" xr:uid="{F24C2A3C-E5C6-456B-A687-1EC7A2632D78}"/>
    <cellStyle name="Header2 6 3 2 2 2" xfId="31848" xr:uid="{920F8BE6-C210-4DB4-9946-73FEED01AF28}"/>
    <cellStyle name="Header2 6 3 2 2 3" xfId="45358" xr:uid="{4A120232-9A22-445E-ACAE-4CAC479CAE59}"/>
    <cellStyle name="Header2 6 3 2 3" xfId="26585" xr:uid="{09D3B898-E66C-4803-BE35-DBADF0D2A456}"/>
    <cellStyle name="Header2 6 3 2 4" xfId="39661" xr:uid="{BCB14561-CBDB-4FA6-BB31-96553061F69B}"/>
    <cellStyle name="Header2 6 3 3" xfId="7616" xr:uid="{DA691202-092A-4169-9CE3-EAC28D7DDE8C}"/>
    <cellStyle name="Header2 6 3 3 2" xfId="10869" xr:uid="{0F9524C4-A565-44BF-8F5F-5BF3D6FA9A4F}"/>
    <cellStyle name="Header2 6 3 3 2 2" xfId="27695" xr:uid="{E3D97CDF-02AB-487E-9495-0288DE6EE4E3}"/>
    <cellStyle name="Header2 6 3 3 2 3" xfId="40849" xr:uid="{8F1DE229-28E7-4BA3-9DA4-1069034380F5}"/>
    <cellStyle name="Header2 6 3 3 3" xfId="25144" xr:uid="{6ACE4F3C-1A07-42A5-B6AA-44AA5F6235B5}"/>
    <cellStyle name="Header2 6 3 3 4" xfId="38220" xr:uid="{363E1289-939B-4383-8A8B-E7D1C75697C5}"/>
    <cellStyle name="Header2 6 3 4" xfId="15965" xr:uid="{5F6E987B-607F-4D64-A52B-12BDE795F04C}"/>
    <cellStyle name="Header2 6 3 4 2" xfId="32040" xr:uid="{5FA040C0-1106-4217-885C-0615C78CDC4D}"/>
    <cellStyle name="Header2 6 3 4 3" xfId="45558" xr:uid="{D1433BA9-E520-4969-8D0A-41320E45EBFB}"/>
    <cellStyle name="Header2 6 3 5" xfId="21885" xr:uid="{6B3518E4-38AD-4768-8B37-14236050ED4E}"/>
    <cellStyle name="Header2 6 3 6" xfId="34934" xr:uid="{3E905E65-A894-4A27-B735-7F02BEDC5DAB}"/>
    <cellStyle name="Header2 6 4" xfId="2606" xr:uid="{142052EB-0E4C-468D-9D43-A5425A5C116F}"/>
    <cellStyle name="Header2 6 4 2" xfId="7903" xr:uid="{896CDFD0-93FF-49A5-A687-DEEA835F3B10}"/>
    <cellStyle name="Header2 6 4 2 2" xfId="12526" xr:uid="{917277DA-7DAC-4D5B-ADB4-941EADB4F612}"/>
    <cellStyle name="Header2 6 4 2 2 2" xfId="29152" xr:uid="{5B101D90-DA8C-4B43-BC80-022FD597B8DE}"/>
    <cellStyle name="Header2 6 4 2 2 3" xfId="42411" xr:uid="{9380CE26-3956-41A9-8CB2-0A34A6FDBEE3}"/>
    <cellStyle name="Header2 6 4 2 3" xfId="25420" xr:uid="{29F6AC66-586E-4008-9C4A-71ECCE6F7255}"/>
    <cellStyle name="Header2 6 4 2 4" xfId="38496" xr:uid="{59108145-137A-4B3A-9DE2-8A2D2E17B7B7}"/>
    <cellStyle name="Header2 6 4 3" xfId="6270" xr:uid="{9AA2E04C-25F7-4E19-BE10-A13B99B938F4}"/>
    <cellStyle name="Header2 6 4 3 2" xfId="12006" xr:uid="{5B032B98-E81D-4D8C-8D4B-2B5F33CA2348}"/>
    <cellStyle name="Header2 6 4 3 2 2" xfId="28710" xr:uid="{0E5A7ABB-FC2B-4146-AF72-BFD04E623F21}"/>
    <cellStyle name="Header2 6 4 3 2 3" xfId="41928" xr:uid="{BD37480A-1BEB-415E-B259-BC2BAD9013BA}"/>
    <cellStyle name="Header2 6 4 3 3" xfId="23911" xr:uid="{0C22F7D0-E62C-448E-96C7-8EE7CB7880C3}"/>
    <cellStyle name="Header2 6 4 3 4" xfId="36992" xr:uid="{44C07D32-793B-4B28-B95A-EAE80032AF14}"/>
    <cellStyle name="Header2 6 4 4" xfId="14513" xr:uid="{C241E596-9907-4A18-B3D3-DB7C60EEAF7B}"/>
    <cellStyle name="Header2 6 4 4 2" xfId="30831" xr:uid="{ABEB20FD-7A28-4DA1-B5A5-FB33BBFD8935}"/>
    <cellStyle name="Header2 6 4 4 3" xfId="44241" xr:uid="{715A5EAB-246D-4E92-8D7B-60210EC75B35}"/>
    <cellStyle name="Header2 6 4 5" xfId="20663" xr:uid="{9561D50A-9D53-4B80-9ED4-97CA56037630}"/>
    <cellStyle name="Header2 6 4 6" xfId="33686" xr:uid="{211E68DB-9F15-4DF3-AAF6-958F2DCDE8A3}"/>
    <cellStyle name="Header2 6 5" xfId="4204" xr:uid="{D752CD5B-ED08-400A-ACC7-3995B1C3F0D7}"/>
    <cellStyle name="Header2 6 5 2" xfId="9256" xr:uid="{3224BA5B-C55C-4226-9F12-9A1E5E719131}"/>
    <cellStyle name="Header2 6 5 2 2" xfId="12426" xr:uid="{4FF17439-92B4-4939-A2CD-25C584965022}"/>
    <cellStyle name="Header2 6 5 2 2 2" xfId="29080" xr:uid="{A7218498-AC5D-4678-AA94-063564C7C198}"/>
    <cellStyle name="Header2 6 5 2 2 3" xfId="42325" xr:uid="{3CECCF88-D10F-4C73-A224-1875DD014A51}"/>
    <cellStyle name="Header2 6 5 2 3" xfId="26731" xr:uid="{0B27027B-6518-45AD-A556-BB8A85D61826}"/>
    <cellStyle name="Header2 6 5 2 4" xfId="39807" xr:uid="{25A6AF58-BD32-409A-BC6A-B0D930591B5B}"/>
    <cellStyle name="Header2 6 5 3" xfId="7768" xr:uid="{D8628FB2-B8C5-4285-924D-42CE200E1FD0}"/>
    <cellStyle name="Header2 6 5 3 2" xfId="16392" xr:uid="{A0F781C1-96EB-48E3-BC1F-19ECF37B86ED}"/>
    <cellStyle name="Header2 6 5 3 2 2" xfId="32410" xr:uid="{48F27612-2889-49F4-97A3-319CDB7A4134}"/>
    <cellStyle name="Header2 6 5 3 2 3" xfId="45945" xr:uid="{FC245E1F-B60F-476A-8AC5-18DBA6931DE1}"/>
    <cellStyle name="Header2 6 5 3 3" xfId="25290" xr:uid="{F7831F67-6E1D-4C59-8D2D-515F3CA115AC}"/>
    <cellStyle name="Header2 6 5 3 4" xfId="38366" xr:uid="{EEE8AEEC-2A59-436C-9005-0361785E0705}"/>
    <cellStyle name="Header2 6 5 4" xfId="17045" xr:uid="{F82ADC59-130B-4813-AC4E-4CF463682729}"/>
    <cellStyle name="Header2 6 5 4 2" xfId="32818" xr:uid="{45CCB70C-0143-4514-8730-C40B86E07D8B}"/>
    <cellStyle name="Header2 6 5 4 3" xfId="46587" xr:uid="{D7FAD96D-F078-42B2-BBD0-ED70B2E5E058}"/>
    <cellStyle name="Header2 6 5 5" xfId="22031" xr:uid="{F97C04B0-C272-4DFE-9E1F-1E4F6C5FF046}"/>
    <cellStyle name="Header2 6 5 6" xfId="35080" xr:uid="{9BFD2180-51A6-409B-8A22-4B2E92BCCD18}"/>
    <cellStyle name="Header2 6 6" xfId="4417" xr:uid="{EB1C108A-FA86-4490-8212-807111B5E627}"/>
    <cellStyle name="Header2 6 6 2" xfId="7056" xr:uid="{25DD15BA-26C2-4135-B9F4-C5C2B8C67267}"/>
    <cellStyle name="Header2 6 6 2 2" xfId="13355" xr:uid="{7F64E1FD-770A-4A67-B75A-CBB42920EC1D}"/>
    <cellStyle name="Header2 6 6 2 2 2" xfId="29834" xr:uid="{6E891F49-88E5-4D0D-9791-FBFC1CFACE5D}"/>
    <cellStyle name="Header2 6 6 2 2 3" xfId="43168" xr:uid="{BA58BBCF-ED19-4A5A-B009-02D821BD0F3D}"/>
    <cellStyle name="Header2 6 6 2 3" xfId="24657" xr:uid="{7DB593EF-27B4-4389-B63F-C04CAFC26F21}"/>
    <cellStyle name="Header2 6 6 2 4" xfId="37738" xr:uid="{7D9F2818-53BD-4F16-A2EE-7ACB67C7E1D4}"/>
    <cellStyle name="Header2 6 6 3" xfId="10975" xr:uid="{0BBAD484-4649-42BE-92B9-437F7E904803}"/>
    <cellStyle name="Header2 6 6 3 2" xfId="27784" xr:uid="{2050B5DB-FE3E-40D1-BE84-65788065DF2F}"/>
    <cellStyle name="Header2 6 6 3 3" xfId="40955" xr:uid="{4CF63DFD-9D70-4A57-BE35-4A81417112AA}"/>
    <cellStyle name="Header2 6 6 4" xfId="22236" xr:uid="{6C293662-5A9E-4D1A-9892-A70B4C6D9144}"/>
    <cellStyle name="Header2 6 6 5" xfId="35285" xr:uid="{476CF34A-C1DD-4EF6-B651-0DF0551DA013}"/>
    <cellStyle name="Header2 6 7" xfId="5471" xr:uid="{4A0ABF46-0F53-42A4-B50D-AE3C6BEA6F82}"/>
    <cellStyle name="Header2 6 7 2" xfId="8651" xr:uid="{4A773024-DA33-4C69-89F4-7152AF598138}"/>
    <cellStyle name="Header2 6 7 2 2" xfId="10823" xr:uid="{5C8DDF92-9563-4C45-B4B8-A467D992A5E6}"/>
    <cellStyle name="Header2 6 7 2 2 2" xfId="27655" xr:uid="{F7E1AF46-DA7F-4E41-A5B4-0990A3627818}"/>
    <cellStyle name="Header2 6 7 2 2 3" xfId="40804" xr:uid="{F5A6A82E-68F9-4D13-A164-4ABBDADD0CDD}"/>
    <cellStyle name="Header2 6 7 2 3" xfId="26146" xr:uid="{26A2D55B-CAA7-4C1B-B02F-0A516EBD52A2}"/>
    <cellStyle name="Header2 6 7 2 4" xfId="39222" xr:uid="{858B8A9D-52B7-49BA-9F65-D78D10664805}"/>
    <cellStyle name="Header2 6 7 3" xfId="11393" xr:uid="{DE873DF0-E51C-4698-B5ED-3FCC53151753}"/>
    <cellStyle name="Header2 6 7 3 2" xfId="28165" xr:uid="{1B9F873B-D7E5-45CC-BBF1-7F6138302362}"/>
    <cellStyle name="Header2 6 7 3 3" xfId="41355" xr:uid="{E53A685B-E8F5-4352-AE51-DF8AC333D08A}"/>
    <cellStyle name="Header2 6 7 4" xfId="23118" xr:uid="{0A4E35B5-DB22-4997-9618-1240DB11A8AF}"/>
    <cellStyle name="Header2 6 7 5" xfId="36199" xr:uid="{1886E03D-634A-4158-8C66-EDE3261BD88E}"/>
    <cellStyle name="Header2 6 8" xfId="11840" xr:uid="{3C076325-1399-4CD8-9EBA-710499A2CBBB}"/>
    <cellStyle name="Header2 6 8 2" xfId="28560" xr:uid="{8469D6BD-4335-4025-8E11-F5CD98F3B4C4}"/>
    <cellStyle name="Header2 6 8 3" xfId="41773" xr:uid="{8854F12C-E474-4656-BAE0-457F9483A95E}"/>
    <cellStyle name="Header2 6 9" xfId="21403" xr:uid="{AF643726-F1EC-4B67-B382-627FDD08EEBD}"/>
    <cellStyle name="Header2 7" xfId="3386" xr:uid="{DA29F667-4BE1-4F6B-A6B0-E2C176594297}"/>
    <cellStyle name="Header2 7 2" xfId="2737" xr:uid="{F292DD3D-2E79-408E-82F3-F7F4CE5C1719}"/>
    <cellStyle name="Header2 7 2 2" xfId="8033" xr:uid="{865D3959-B342-4025-879D-64ECB8340B6D}"/>
    <cellStyle name="Header2 7 2 2 2" xfId="12417" xr:uid="{E637CE5C-2997-49DE-92CA-AF88DD3CE89D}"/>
    <cellStyle name="Header2 7 2 2 2 2" xfId="29076" xr:uid="{DB584774-3CAD-4127-8782-13640CC90DEA}"/>
    <cellStyle name="Header2 7 2 2 2 3" xfId="42320" xr:uid="{512FFBFC-5170-475B-B200-CCA9CAA34BA5}"/>
    <cellStyle name="Header2 7 2 2 3" xfId="25546" xr:uid="{BFF0DB79-9FDE-40B5-AA09-ED6C139A5669}"/>
    <cellStyle name="Header2 7 2 2 4" xfId="38622" xr:uid="{2E327A08-F263-4106-B080-0565A4D760BA}"/>
    <cellStyle name="Header2 7 2 3" xfId="6400" xr:uid="{CED0A697-8E05-4EED-A67C-49B6323C5D1D}"/>
    <cellStyle name="Header2 7 2 3 2" xfId="15238" xr:uid="{9B8FC8AC-6D07-4172-8441-E1F090AD6237}"/>
    <cellStyle name="Header2 7 2 3 2 2" xfId="31414" xr:uid="{330881BC-E765-44B6-A1A8-C7068C5DEA6D}"/>
    <cellStyle name="Header2 7 2 3 2 3" xfId="44889" xr:uid="{6BBE2956-9885-4819-9DB7-69E9AD974C5F}"/>
    <cellStyle name="Header2 7 2 3 3" xfId="24037" xr:uid="{B586C9FD-AEFE-46DD-B1CD-69941ED5B380}"/>
    <cellStyle name="Header2 7 2 3 4" xfId="37118" xr:uid="{2E54B6ED-0126-450B-9037-8588E97B8285}"/>
    <cellStyle name="Header2 7 2 4" xfId="12839" xr:uid="{0F589618-3F2F-40A1-89F5-74F1D0EBAB77}"/>
    <cellStyle name="Header2 7 2 4 2" xfId="29409" xr:uid="{5E60E129-9CA2-4283-BA24-823163DFE791}"/>
    <cellStyle name="Header2 7 2 4 3" xfId="42692" xr:uid="{BF27480A-E1F6-4BE5-99D2-DF80E4E174FD}"/>
    <cellStyle name="Header2 7 2 5" xfId="20789" xr:uid="{6D2FC461-7D90-4653-9D6E-1C1A2C4BD2A6}"/>
    <cellStyle name="Header2 7 2 6" xfId="33812" xr:uid="{2A7F08DA-FB26-4E51-B348-B79148D3AACA}"/>
    <cellStyle name="Header2 7 3" xfId="4401" xr:uid="{7132E8DE-E3B0-4FA2-8637-AE673B4C2C57}"/>
    <cellStyle name="Header2 7 3 2" xfId="7032" xr:uid="{98E4D7B9-30F8-40B8-98EB-C547D4B32E9B}"/>
    <cellStyle name="Header2 7 3 2 2" xfId="17366" xr:uid="{96ED7C69-93DB-4672-B463-81CDACB48DE5}"/>
    <cellStyle name="Header2 7 3 2 2 2" xfId="33120" xr:uid="{09A24E12-EE67-4A11-9211-42FBFC0A0B1E}"/>
    <cellStyle name="Header2 7 3 2 2 3" xfId="46896" xr:uid="{28DC839C-5952-40DD-818F-8F53AD740A2A}"/>
    <cellStyle name="Header2 7 3 2 3" xfId="24641" xr:uid="{1DAF49C7-45CB-4E5F-BE6B-25C3DB504440}"/>
    <cellStyle name="Header2 7 3 2 4" xfId="37722" xr:uid="{29CD5274-8F0A-4D77-9D4C-324A20FBB7E5}"/>
    <cellStyle name="Header2 7 3 3" xfId="11363" xr:uid="{44B975D5-DEB4-47A0-BC56-7F6A694E7B69}"/>
    <cellStyle name="Header2 7 3 3 2" xfId="28141" xr:uid="{FD9391C3-F3EC-4A56-B73C-4F3A94E276DE}"/>
    <cellStyle name="Header2 7 3 3 3" xfId="41329" xr:uid="{50B2D307-97EB-4908-824B-5A9DDAE64BCA}"/>
    <cellStyle name="Header2 7 3 4" xfId="22220" xr:uid="{360F1B1A-0598-49F2-867C-3290E92A7362}"/>
    <cellStyle name="Header2 7 3 5" xfId="35269" xr:uid="{EB4ED01F-7026-4EC1-8AF3-99E2D5897A8A}"/>
    <cellStyle name="Header2 7 4" xfId="5455" xr:uid="{AE541D66-9513-45A5-BE51-A3B2DCAED972}"/>
    <cellStyle name="Header2 7 4 2" xfId="8635" xr:uid="{2FF752EF-7307-4394-950C-99897BA6EB81}"/>
    <cellStyle name="Header2 7 4 2 2" xfId="15203" xr:uid="{8394013D-3FC0-4376-9FA9-FD9790A6F737}"/>
    <cellStyle name="Header2 7 4 2 2 2" xfId="31385" xr:uid="{AFEB7DE5-F2B3-41D8-8A13-9485EAD9ADEF}"/>
    <cellStyle name="Header2 7 4 2 2 3" xfId="44857" xr:uid="{6B4480A3-0D53-4179-A092-C4C6088532C8}"/>
    <cellStyle name="Header2 7 4 2 3" xfId="26130" xr:uid="{D35C3711-6A35-4682-92A9-AE87C1A48E13}"/>
    <cellStyle name="Header2 7 4 2 4" xfId="39206" xr:uid="{ED38B421-8022-4AD8-BBBA-7F78D3955F1C}"/>
    <cellStyle name="Header2 7 4 3" xfId="12194" xr:uid="{52F92771-E9E3-4973-AC22-69AE8624F572}"/>
    <cellStyle name="Header2 7 4 3 2" xfId="28885" xr:uid="{D76C6E73-BFC3-4AAB-B5F7-FB8B462A2CF5}"/>
    <cellStyle name="Header2 7 4 3 3" xfId="42112" xr:uid="{F7EB24A7-6580-44FB-B8FF-C463423FF94D}"/>
    <cellStyle name="Header2 7 4 4" xfId="23102" xr:uid="{060DBBE4-F0B6-4DD8-8614-D018C50C82B6}"/>
    <cellStyle name="Header2 7 4 5" xfId="36183" xr:uid="{3E756968-F1B9-4CBB-8FCC-2474362E32E5}"/>
    <cellStyle name="Header2 7 5" xfId="16456" xr:uid="{7A624A45-6AF1-4FEF-B358-F1C792A4C165}"/>
    <cellStyle name="Header2 7 5 2" xfId="32464" xr:uid="{7ED33980-31B9-4B30-96E0-010F301D9BB5}"/>
    <cellStyle name="Header2 7 5 3" xfId="46004" xr:uid="{940CCB47-E9C8-4090-95B8-55B54B0BE7D8}"/>
    <cellStyle name="Header2 7 6" xfId="21392" xr:uid="{A685B638-EA1D-4B7C-BCA7-07FB780E19A3}"/>
    <cellStyle name="Header2 7 7" xfId="34416" xr:uid="{C40EEBF9-A8DA-41C4-9561-4658571F7039}"/>
    <cellStyle name="Header2 8" xfId="3355" xr:uid="{0F4DC82C-E323-4E73-A6B3-869C65D2DD80}"/>
    <cellStyle name="Header2 8 2" xfId="2717" xr:uid="{B5C709A3-070B-4CEC-95AB-CC3E0321DA01}"/>
    <cellStyle name="Header2 8 2 2" xfId="8013" xr:uid="{AF9D8648-E67D-42E2-970C-5880D1B53FA6}"/>
    <cellStyle name="Header2 8 2 2 2" xfId="13676" xr:uid="{AA6A4881-08CB-4AA9-9758-4AF4F38D598F}"/>
    <cellStyle name="Header2 8 2 2 2 2" xfId="30101" xr:uid="{3E1EA252-F235-40AF-AEC7-274392775FA0}"/>
    <cellStyle name="Header2 8 2 2 2 3" xfId="43460" xr:uid="{6871AC85-C355-41B0-B9FB-DF36434C3951}"/>
    <cellStyle name="Header2 8 2 2 3" xfId="25528" xr:uid="{28FFB801-EA67-43A3-B026-36FE1DD0DB3D}"/>
    <cellStyle name="Header2 8 2 2 4" xfId="38604" xr:uid="{75C12E72-ECFA-433B-8B5C-5E197DD32A30}"/>
    <cellStyle name="Header2 8 2 3" xfId="6380" xr:uid="{1E0DD2C3-BA76-4A63-B022-E5EF6F0B3A12}"/>
    <cellStyle name="Header2 8 2 3 2" xfId="16648" xr:uid="{D6B4AC93-4F6C-4EC9-BD15-524994815254}"/>
    <cellStyle name="Header2 8 2 3 2 2" xfId="32554" xr:uid="{2D85B857-2E99-4129-81CE-6831F09CFB8C}"/>
    <cellStyle name="Header2 8 2 3 2 3" xfId="46195" xr:uid="{3F106580-7A12-4CC2-8B5D-B5730819F73D}"/>
    <cellStyle name="Header2 8 2 3 3" xfId="24019" xr:uid="{0741B042-8025-4D1A-90A9-9E604D3696A9}"/>
    <cellStyle name="Header2 8 2 3 4" xfId="37100" xr:uid="{EF4707F2-7780-4C13-A136-A1C05A217C84}"/>
    <cellStyle name="Header2 8 2 4" xfId="17127" xr:uid="{B6013DA7-9718-499A-B97E-E38DCF387FBE}"/>
    <cellStyle name="Header2 8 2 4 2" xfId="32890" xr:uid="{2E6580A3-EE53-4525-90C5-C390B41776BA}"/>
    <cellStyle name="Header2 8 2 4 3" xfId="46662" xr:uid="{301C33FD-A322-4691-A5EF-62A9F9F55BDE}"/>
    <cellStyle name="Header2 8 2 5" xfId="20771" xr:uid="{E538AA86-666C-43F0-AADA-78266F570092}"/>
    <cellStyle name="Header2 8 2 6" xfId="33794" xr:uid="{4BC93A64-7E3E-4F7C-8754-1172C92C5573}"/>
    <cellStyle name="Header2 8 3" xfId="4386" xr:uid="{F0311082-65C2-4F6E-8384-6D6C2A02BE7E}"/>
    <cellStyle name="Header2 8 3 2" xfId="7005" xr:uid="{1163FCCF-0EC2-4D5D-BB41-03A9D777BDDC}"/>
    <cellStyle name="Header2 8 3 2 2" xfId="15559" xr:uid="{EC7DF461-F555-4C60-BB4F-0DB32D73DF64}"/>
    <cellStyle name="Header2 8 3 2 2 2" xfId="31689" xr:uid="{6BB3FC6F-4F2A-4CED-9364-C4394F9F5FD3}"/>
    <cellStyle name="Header2 8 3 2 2 3" xfId="45191" xr:uid="{49023F9B-E91D-486C-8AAD-E35AE9A07D24}"/>
    <cellStyle name="Header2 8 3 2 3" xfId="24626" xr:uid="{E9231426-ADA9-49FF-834C-71336B1DA5AB}"/>
    <cellStyle name="Header2 8 3 2 4" xfId="37707" xr:uid="{577057B1-E999-4447-B093-E6B9F87AB01D}"/>
    <cellStyle name="Header2 8 3 3" xfId="12119" xr:uid="{0E5724D8-F6FA-4910-B18B-32E74EBEF873}"/>
    <cellStyle name="Header2 8 3 3 2" xfId="28819" xr:uid="{3B4A8B4B-1031-4DB8-8C2D-92606027F070}"/>
    <cellStyle name="Header2 8 3 3 3" xfId="42039" xr:uid="{2D322188-242A-45A6-97DE-E90D71A70D09}"/>
    <cellStyle name="Header2 8 3 4" xfId="22205" xr:uid="{C6EED3BC-57F1-4CDA-ADC2-58A5D66B80BE}"/>
    <cellStyle name="Header2 8 3 5" xfId="35254" xr:uid="{C3CAB1BB-92F2-4DC1-B52F-487BA6E35D02}"/>
    <cellStyle name="Header2 8 4" xfId="5440" xr:uid="{AE997F88-038D-40F0-A94A-0CD78EC88B5E}"/>
    <cellStyle name="Header2 8 4 2" xfId="8618" xr:uid="{C01D58D8-206A-400F-8E1A-4F83CEDAF448}"/>
    <cellStyle name="Header2 8 4 2 2" xfId="10705" xr:uid="{5593FACF-7AD9-43D8-BBE1-32943EAC105C}"/>
    <cellStyle name="Header2 8 4 2 2 2" xfId="27550" xr:uid="{74408644-65B7-49D2-BDD4-F7E9F5BB3181}"/>
    <cellStyle name="Header2 8 4 2 2 3" xfId="40686" xr:uid="{5A7167D8-38BF-4921-93BB-B758A5B8EDE5}"/>
    <cellStyle name="Header2 8 4 2 3" xfId="26115" xr:uid="{38435BF2-05E1-4D0E-96F4-2A5372EF5FFF}"/>
    <cellStyle name="Header2 8 4 2 4" xfId="39191" xr:uid="{96E45299-A85E-45E7-A7D6-9744BAF1C3C3}"/>
    <cellStyle name="Header2 8 4 3" xfId="12118" xr:uid="{9C89FB56-523F-46EA-ADB4-B12D855D3335}"/>
    <cellStyle name="Header2 8 4 3 2" xfId="28818" xr:uid="{78A9164F-5671-4270-B1B0-61228BAB91AD}"/>
    <cellStyle name="Header2 8 4 3 3" xfId="42038" xr:uid="{F7DDD629-6D0D-4667-A976-0FEE3324111A}"/>
    <cellStyle name="Header2 8 4 4" xfId="23087" xr:uid="{1EF3625E-70F2-49DB-B0EE-181B5E10FB5F}"/>
    <cellStyle name="Header2 8 4 5" xfId="36168" xr:uid="{B27F1ECD-219B-4EEC-9367-2C0233B18345}"/>
    <cellStyle name="Header2 8 5" xfId="14630" xr:uid="{73267C27-EC53-4F2E-B0CF-171D36C08505}"/>
    <cellStyle name="Header2 8 5 2" xfId="30926" xr:uid="{58088DEF-383C-417C-A27A-29088E2CE8A2}"/>
    <cellStyle name="Header2 8 5 3" xfId="44347" xr:uid="{452A8B8C-E862-469A-9E37-3C304ECC19DC}"/>
    <cellStyle name="Header2 8 6" xfId="21378" xr:uid="{1856C48B-0982-48AE-A0E5-68C4D8FB649A}"/>
    <cellStyle name="Header2 8 7" xfId="34401" xr:uid="{D50E4B80-396E-4253-AF30-7DCD528443DC}"/>
    <cellStyle name="Header2 9" xfId="3395" xr:uid="{02C53CDB-7266-4A1A-8EA7-725B6577246F}"/>
    <cellStyle name="Header2 9 2" xfId="2743" xr:uid="{E219A9EE-D41D-45F4-B65D-8D42B5AB20E9}"/>
    <cellStyle name="Header2 9 2 2" xfId="8039" xr:uid="{85ABFCAD-9332-432A-A600-638F426F806D}"/>
    <cellStyle name="Header2 9 2 2 2" xfId="11623" xr:uid="{A99B1359-F23E-4574-81E3-F1BFB2CF709F}"/>
    <cellStyle name="Header2 9 2 2 2 2" xfId="28369" xr:uid="{8C8E056B-5615-420A-85E8-E1BF86AEF718}"/>
    <cellStyle name="Header2 9 2 2 2 3" xfId="41572" xr:uid="{C283F590-3FCC-4992-8847-A5D34B5E5309}"/>
    <cellStyle name="Header2 9 2 2 3" xfId="25552" xr:uid="{6CFC5E8F-79A8-43C7-9E7F-35C55A7B70B8}"/>
    <cellStyle name="Header2 9 2 2 4" xfId="38628" xr:uid="{7FE5BE05-F365-485B-9C78-EC73E7085618}"/>
    <cellStyle name="Header2 9 2 3" xfId="6406" xr:uid="{A4DB6C63-D961-4B0A-8E5B-B65B5627F2D9}"/>
    <cellStyle name="Header2 9 2 3 2" xfId="13884" xr:uid="{7000D3E8-0734-4C61-8243-BD5C61EF785E}"/>
    <cellStyle name="Header2 9 2 3 2 2" xfId="30279" xr:uid="{4D715587-16B8-4B9B-B82A-264640C7DABE}"/>
    <cellStyle name="Header2 9 2 3 2 3" xfId="43651" xr:uid="{EED1AC1B-6F2A-4BC8-9792-F253FE9C6BB9}"/>
    <cellStyle name="Header2 9 2 3 3" xfId="24043" xr:uid="{489654FE-6E92-4D5D-A8CF-98F0C9B04272}"/>
    <cellStyle name="Header2 9 2 3 4" xfId="37124" xr:uid="{4D39C0BA-0443-4886-B16D-88889752EAE6}"/>
    <cellStyle name="Header2 9 2 4" xfId="11122" xr:uid="{64153AD0-9101-485D-954E-919A1C7DE523}"/>
    <cellStyle name="Header2 9 2 4 2" xfId="27921" xr:uid="{6000E6A0-D340-4890-8DC5-B7BB9C0E2573}"/>
    <cellStyle name="Header2 9 2 4 3" xfId="41100" xr:uid="{3E3520FB-4B3F-4E62-8261-36BBE6BDA86C}"/>
    <cellStyle name="Header2 9 2 5" xfId="20795" xr:uid="{3EC55F0C-F6D1-4E4B-A03F-81C61FB83853}"/>
    <cellStyle name="Header2 9 2 6" xfId="33818" xr:uid="{622C898C-9F3F-4840-98E7-FB048912B12E}"/>
    <cellStyle name="Header2 9 3" xfId="4406" xr:uid="{224C9A99-94DA-4DC2-BBF8-8C27F59BBA31}"/>
    <cellStyle name="Header2 9 3 2" xfId="7041" xr:uid="{77AE218F-1639-4200-8557-1EA99E082B01}"/>
    <cellStyle name="Header2 9 3 2 2" xfId="13193" xr:uid="{6B496FB2-FF3F-44A2-93B3-341F33FAF2D0}"/>
    <cellStyle name="Header2 9 3 2 2 2" xfId="29697" xr:uid="{9AD20A09-7BE2-4610-8033-DC1F5F92EE11}"/>
    <cellStyle name="Header2 9 3 2 2 3" xfId="43015" xr:uid="{CAD7818D-AC7A-4C6D-BF23-834BCFFF34B2}"/>
    <cellStyle name="Header2 9 3 2 3" xfId="24646" xr:uid="{025B253D-1663-49BD-8BF0-1DF390D7F227}"/>
    <cellStyle name="Header2 9 3 2 4" xfId="37727" xr:uid="{B5984256-B786-429D-A916-270363E2B8C2}"/>
    <cellStyle name="Header2 9 3 3" xfId="14110" xr:uid="{BEF8E0C7-C64C-41D6-AF62-F3B302D3AA17}"/>
    <cellStyle name="Header2 9 3 3 2" xfId="30477" xr:uid="{6EAF5953-A761-4537-9FBC-3A073C88AB43}"/>
    <cellStyle name="Header2 9 3 3 3" xfId="43860" xr:uid="{A47C69D7-2357-48BE-A8CD-46B7044F9ADA}"/>
    <cellStyle name="Header2 9 3 4" xfId="22225" xr:uid="{32981E7D-4DDC-496B-A22A-2EDF4161E501}"/>
    <cellStyle name="Header2 9 3 5" xfId="35274" xr:uid="{1F7B4CFE-3913-460A-9CDF-07C0005EED3C}"/>
    <cellStyle name="Header2 9 4" xfId="5460" xr:uid="{95F527DE-1B9D-4A42-B169-D167E5C091A3}"/>
    <cellStyle name="Header2 9 4 2" xfId="8640" xr:uid="{464819C8-14AE-4FF7-B915-B7FF1DE578BE}"/>
    <cellStyle name="Header2 9 4 2 2" xfId="10779" xr:uid="{85692AC2-D36A-423C-8E36-8C71BAF5FA0F}"/>
    <cellStyle name="Header2 9 4 2 2 2" xfId="27614" xr:uid="{439283F8-5EA9-4B9B-8621-33865300EF46}"/>
    <cellStyle name="Header2 9 4 2 2 3" xfId="40760" xr:uid="{657175D7-3CBA-4DA1-AD61-E1AB1987078A}"/>
    <cellStyle name="Header2 9 4 2 3" xfId="26135" xr:uid="{7904F021-8160-48B4-884E-7F7087AA9BCD}"/>
    <cellStyle name="Header2 9 4 2 4" xfId="39211" xr:uid="{5766269D-F4CC-4CE7-A4B1-4511B63C0BE0}"/>
    <cellStyle name="Header2 9 4 3" xfId="15781" xr:uid="{301B8202-9ECC-449E-BAF5-1905026C8C51}"/>
    <cellStyle name="Header2 9 4 3 2" xfId="31882" xr:uid="{D3B700F4-BEA2-474C-A7D6-A954CC514438}"/>
    <cellStyle name="Header2 9 4 3 3" xfId="45393" xr:uid="{C1F2923E-9BED-4DA9-8DD6-279755A60B2F}"/>
    <cellStyle name="Header2 9 4 4" xfId="23107" xr:uid="{522C4C3B-FEC2-4A90-ABE3-B39F1DD909C5}"/>
    <cellStyle name="Header2 9 4 5" xfId="36188" xr:uid="{FD80F357-5DFE-42A0-94FD-CC4DB6072793}"/>
    <cellStyle name="Header2 9 5" xfId="13029" xr:uid="{6A8269C2-9209-424F-BA6C-6EAB0FF932E3}"/>
    <cellStyle name="Header2 9 5 2" xfId="29559" xr:uid="{BB3A5A0A-2B4A-46E8-8800-280171CAC60C}"/>
    <cellStyle name="Header2 9 5 3" xfId="42861" xr:uid="{42F37FD6-1C07-4FC5-A9A3-3748E49BB95C}"/>
    <cellStyle name="Header2 9 6" xfId="21397" xr:uid="{0BE0B81F-9BD5-43DB-941D-9C3650B8F8D1}"/>
    <cellStyle name="Header2 9 7" xfId="34421" xr:uid="{8BC3DB71-CFD0-477F-A36B-400BFE23A529}"/>
    <cellStyle name="Header2_АГМ" xfId="2213" xr:uid="{89AB02BC-372B-4FC7-9B6C-8F4FA597CA9A}"/>
    <cellStyle name="Heading 1" xfId="2214" xr:uid="{719ADFDE-E4E2-4FB9-8B20-6919202B9B6E}"/>
    <cellStyle name="Heading 2" xfId="2215" xr:uid="{B8A1D162-87A4-473A-8761-CE98B8931112}"/>
    <cellStyle name="Heading 3" xfId="2216" xr:uid="{00AE9A5D-13FF-4719-9032-ECE08183BDEA}"/>
    <cellStyle name="Heading 3 2" xfId="3610" xr:uid="{55AF8F42-A499-4525-8F32-3C7F8DEA2550}"/>
    <cellStyle name="Heading 3 2 2" xfId="5097" xr:uid="{49A02582-B83C-4C7E-B0CF-3C4BC1363300}"/>
    <cellStyle name="Heading 3 2 2 2" xfId="22822" xr:uid="{AFECDA2C-C979-4BA2-93E2-CA96E0BB717B}"/>
    <cellStyle name="Heading 3 2 3" xfId="4948" xr:uid="{0BCE5E81-2AD4-4D4C-A113-FB20910F1A7E}"/>
    <cellStyle name="Heading 3 2 3 2" xfId="22739" xr:uid="{9FC0DB63-C913-4FF8-A96C-06D2E012B045}"/>
    <cellStyle name="Heading 3 2 4" xfId="17732" xr:uid="{5C01D508-B4DA-49EA-A553-02479E1822F7}"/>
    <cellStyle name="Heading 3 2 4 2" xfId="33454" xr:uid="{F97F97E8-1C01-4E03-8508-FD42490CB1B0}"/>
    <cellStyle name="Heading 3 2 5" xfId="17806" xr:uid="{464E7110-831C-408D-834B-73414A832D95}"/>
    <cellStyle name="Heading 3 2 5 2" xfId="33527" xr:uid="{16391F71-5658-4F82-B427-9400726797A1}"/>
    <cellStyle name="Heading 3 2 6" xfId="20485" xr:uid="{EB6785AC-EB5A-40EF-B44B-621F01081334}"/>
    <cellStyle name="Heading 3 3" xfId="3660" xr:uid="{1E1B2452-AC10-40E0-AF4A-D98FE4F0F71A}"/>
    <cellStyle name="Heading 3 3 2" xfId="7295" xr:uid="{52B5DBE1-4C1E-451A-8E90-11760D9C1CFE}"/>
    <cellStyle name="Heading 3 3 2 2" xfId="24862" xr:uid="{6B8D0F40-2ED3-472C-8DDF-8124052F600B}"/>
    <cellStyle name="Heading 3 3 3" xfId="17726" xr:uid="{A4F9F2E9-F90D-43E4-B831-FFEA6DB9F189}"/>
    <cellStyle name="Heading 3 3 3 2" xfId="33448" xr:uid="{1E7A34D1-66A8-40A3-88D6-222EF28A7EC0}"/>
    <cellStyle name="Heading 3 3 4" xfId="17805" xr:uid="{F19151A6-2B95-44D1-B205-6FE12E167EF1}"/>
    <cellStyle name="Heading 3 3 4 2" xfId="33526" xr:uid="{90AAFD6C-A2BC-4BD4-AFED-023A9AC3F568}"/>
    <cellStyle name="Heading 3 3 5" xfId="20479" xr:uid="{F862CAAC-4131-4EF1-B1B5-363820C44291}"/>
    <cellStyle name="Heading 3 4" xfId="3907" xr:uid="{8E6BC512-C883-45B7-A8F4-8D7880DF8D1C}"/>
    <cellStyle name="Heading 3 4 2" xfId="21781" xr:uid="{58EBB872-7E31-46FB-9985-309C76C9190E}"/>
    <cellStyle name="Heading 4" xfId="2217" xr:uid="{F3D1F6E9-0D00-4B80-8961-B233EABCBD2F}"/>
    <cellStyle name="Hyperlink_Tier 1" xfId="2218" xr:uid="{0285D919-6EA8-4B98-8295-E82BA5C7A79A}"/>
    <cellStyle name="Iau?iue_130 nnd. are." xfId="2219" xr:uid="{FC087BE0-7EE2-406C-A849-6AE4E3B1CC44}"/>
    <cellStyle name="Input" xfId="2220" xr:uid="{CEF272FF-C8F2-43E8-8640-D60E4E086E3E}"/>
    <cellStyle name="Input 10" xfId="3679" xr:uid="{B41C39FB-06B4-4FCF-80A9-BED0E0BCE710}"/>
    <cellStyle name="Input 10 2" xfId="2995" xr:uid="{4312523E-0D0C-441F-BB18-042A5EC86E81}"/>
    <cellStyle name="Input 10 2 2" xfId="8291" xr:uid="{E8F7788C-36CB-4E93-9F3B-757B7B4CA938}"/>
    <cellStyle name="Input 10 2 2 2" xfId="11012" xr:uid="{280BE6CF-F993-43E3-A4BF-B9F6834C3A27}"/>
    <cellStyle name="Input 10 2 2 2 2" xfId="27819" xr:uid="{77826949-EE26-4CBE-81E8-74658D7E36EA}"/>
    <cellStyle name="Input 10 2 2 2 3" xfId="40992" xr:uid="{51BCD9AD-AE06-43C1-AE32-4FC9647CEFDF}"/>
    <cellStyle name="Input 10 2 2 3" xfId="25797" xr:uid="{79CBE82B-9C1E-4D92-9860-665B40C3FB95}"/>
    <cellStyle name="Input 10 2 2 4" xfId="38873" xr:uid="{21548AD8-09CB-4032-8F86-DB043057040D}"/>
    <cellStyle name="Input 10 2 3" xfId="6658" xr:uid="{3E2B0512-8E05-4ED4-9F17-6B71F28808E6}"/>
    <cellStyle name="Input 10 2 3 2" xfId="12865" xr:uid="{3CB91EDF-89EE-4C69-80DB-3A9E3884AFDD}"/>
    <cellStyle name="Input 10 2 3 2 2" xfId="29427" xr:uid="{66A52756-D32E-4CD2-8FD7-1C1E29BC5972}"/>
    <cellStyle name="Input 10 2 3 2 3" xfId="42714" xr:uid="{5F0415F9-515C-4FE0-875F-FE7DD5BF166B}"/>
    <cellStyle name="Input 10 2 3 3" xfId="24288" xr:uid="{2ED873CF-B07F-4E41-9983-07A47D961723}"/>
    <cellStyle name="Input 10 2 3 4" xfId="37369" xr:uid="{2FA31E78-2106-428B-8672-8C3BDE6D81D9}"/>
    <cellStyle name="Input 10 2 4" xfId="13294" xr:uid="{DEF516E0-11A5-470C-9E22-7E3CAED5EC76}"/>
    <cellStyle name="Input 10 2 4 2" xfId="29782" xr:uid="{03ACB040-0DAC-4D7F-91F0-D8EF12E38917}"/>
    <cellStyle name="Input 10 2 4 3" xfId="43110" xr:uid="{C73D588C-9F67-4B43-AADF-45622B272D1C}"/>
    <cellStyle name="Input 10 2 5" xfId="21040" xr:uid="{BAE0B819-39B6-454A-AB87-25F2486D0114}"/>
    <cellStyle name="Input 10 2 6" xfId="34063" xr:uid="{91E808F6-DE42-4841-B56E-85EA7D761079}"/>
    <cellStyle name="Input 10 3" xfId="4613" xr:uid="{0F17BCDE-147B-4A7C-81A2-BC7E7EF143A8}"/>
    <cellStyle name="Input 10 3 2" xfId="7314" xr:uid="{865469B9-86CC-4A1B-B2D1-7F38C07820C3}"/>
    <cellStyle name="Input 10 3 2 2" xfId="16801" xr:uid="{1C22E488-E6C8-4FF0-93DB-1C3E5BEF7D45}"/>
    <cellStyle name="Input 10 3 2 2 2" xfId="32682" xr:uid="{803A05F2-AF52-42D6-ABE8-0F099E7D7067}"/>
    <cellStyle name="Input 10 3 2 2 3" xfId="46344" xr:uid="{FE4BAA83-7F52-4A23-B0E6-776F3B8E212D}"/>
    <cellStyle name="Input 10 3 2 3" xfId="24875" xr:uid="{16408427-BA37-49D6-94AA-AB375EB3E9A9}"/>
    <cellStyle name="Input 10 3 2 4" xfId="37955" xr:uid="{D9D19BBA-4950-4223-A253-AF8A1338F720}"/>
    <cellStyle name="Input 10 3 3" xfId="15381" xr:uid="{DFD4A743-E359-4DC3-ABF5-45E15ACA7FDB}"/>
    <cellStyle name="Input 10 3 3 2" xfId="31537" xr:uid="{F7B4EF31-0BA8-49C6-99FB-6DBF89EE9E46}"/>
    <cellStyle name="Input 10 3 3 3" xfId="45024" xr:uid="{E1D3B878-8C6A-4F59-95B7-6CF49A06E454}"/>
    <cellStyle name="Input 10 3 4" xfId="22426" xr:uid="{92D8C535-2FF4-47F1-84AC-5C00EA4793C9}"/>
    <cellStyle name="Input 10 3 5" xfId="35476" xr:uid="{235E7C0D-0AD6-42B0-B904-FF68E62A60FB}"/>
    <cellStyle name="Input 10 4" xfId="5688" xr:uid="{003A4590-8502-41AF-A5D5-258BF2AAE0BD}"/>
    <cellStyle name="Input 10 4 2" xfId="8875" xr:uid="{72480F11-E22F-4878-9F29-D32412D92DCF}"/>
    <cellStyle name="Input 10 4 2 2" xfId="14571" xr:uid="{D86BF11F-C8EB-4A33-9C90-2ACDF6BBA805}"/>
    <cellStyle name="Input 10 4 2 2 2" xfId="30876" xr:uid="{0C554187-980E-439D-B56E-BF4C41320616}"/>
    <cellStyle name="Input 10 4 2 2 3" xfId="44292" xr:uid="{FB54796F-0644-4F1B-9AB8-EE5DB6888121}"/>
    <cellStyle name="Input 10 4 2 3" xfId="26363" xr:uid="{A64172E0-261B-4745-B697-61DC1E5BCFDC}"/>
    <cellStyle name="Input 10 4 2 4" xfId="39439" xr:uid="{0A9D9435-FEA5-4F6D-990C-63489277DB24}"/>
    <cellStyle name="Input 10 4 3" xfId="16722" xr:uid="{9D393CE7-0D4E-451C-9B20-2D9AF679D369}"/>
    <cellStyle name="Input 10 4 3 2" xfId="32606" xr:uid="{BE600542-8DC7-4426-B258-927EEDAF876D}"/>
    <cellStyle name="Input 10 4 3 3" xfId="46266" xr:uid="{5D1E5BC1-F4BE-4ACD-AD72-4B823F5E7892}"/>
    <cellStyle name="Input 10 4 4" xfId="23335" xr:uid="{0A0243D4-9506-4778-900E-4A232E7FBB6E}"/>
    <cellStyle name="Input 10 4 5" xfId="36416" xr:uid="{80F35316-6D35-42EB-BCA7-B7625BE1C6EB}"/>
    <cellStyle name="Input 10 5" xfId="14502" xr:uid="{F5AF47E2-9801-42DF-93E0-13E532B6D550}"/>
    <cellStyle name="Input 10 5 2" xfId="30821" xr:uid="{7D120503-35AE-49EC-9BAE-5CB24C6ECD38}"/>
    <cellStyle name="Input 10 5 3" xfId="44230" xr:uid="{690BE497-A8EC-4D29-A9BC-036BDC90F301}"/>
    <cellStyle name="Input 10 6" xfId="21597" xr:uid="{CDB99863-0EC4-446C-A1F3-208497D11509}"/>
    <cellStyle name="Input 10 7" xfId="34651" xr:uid="{3968BE57-F606-40CA-96DB-99F8AFA5D965}"/>
    <cellStyle name="Input 11" xfId="3607" xr:uid="{548211CF-2FCE-4E07-9515-14AA7B1E549E}"/>
    <cellStyle name="Input 11 2" xfId="2938" xr:uid="{05D0C9CD-6A2A-4A31-AB6D-28A15E0AE62A}"/>
    <cellStyle name="Input 11 2 2" xfId="8234" xr:uid="{987327E8-F25E-4813-B7F4-7609663715F5}"/>
    <cellStyle name="Input 11 2 2 2" xfId="15575" xr:uid="{F7E0EC12-222C-4E47-80B5-8A398D3603E1}"/>
    <cellStyle name="Input 11 2 2 2 2" xfId="31704" xr:uid="{EEA3B8E3-2C27-46C1-8FDE-D75C2650F503}"/>
    <cellStyle name="Input 11 2 2 2 3" xfId="45206" xr:uid="{2642B8D3-65E8-4338-BE5A-B2F546475ACA}"/>
    <cellStyle name="Input 11 2 2 3" xfId="25743" xr:uid="{9F795711-C316-40D3-893A-51B1ADA36EA5}"/>
    <cellStyle name="Input 11 2 2 4" xfId="38819" xr:uid="{502F44A4-202C-4A85-AB25-74D32DC94031}"/>
    <cellStyle name="Input 11 2 3" xfId="6601" xr:uid="{5ADA9551-02F5-4AD8-9A52-9D16342864CE}"/>
    <cellStyle name="Input 11 2 3 2" xfId="13461" xr:uid="{56838471-0495-4DD5-B4FA-32FBA83F0178}"/>
    <cellStyle name="Input 11 2 3 2 2" xfId="29924" xr:uid="{97F818D1-5BCB-439B-9304-475EA8D1784B}"/>
    <cellStyle name="Input 11 2 3 2 3" xfId="43263" xr:uid="{B346D90A-DF4E-48DE-816E-E9DF9283E6CE}"/>
    <cellStyle name="Input 11 2 3 3" xfId="24234" xr:uid="{CCAB8C5D-5E4A-4F42-8E8C-8152CB368DDC}"/>
    <cellStyle name="Input 11 2 3 4" xfId="37315" xr:uid="{B7FC80AA-5D29-4741-941C-F6D1B48B7254}"/>
    <cellStyle name="Input 11 2 4" xfId="13542" xr:uid="{C8AEF5F3-7485-484D-9059-A80AC51CD8C2}"/>
    <cellStyle name="Input 11 2 4 2" xfId="29988" xr:uid="{A53372C0-7217-4924-B5D6-8FE5BAF04326}"/>
    <cellStyle name="Input 11 2 4 3" xfId="43337" xr:uid="{41F08AEE-3C2E-42C2-8D36-5F1257671130}"/>
    <cellStyle name="Input 11 2 5" xfId="20986" xr:uid="{E57413A8-F554-4E24-836B-FF25C45940F3}"/>
    <cellStyle name="Input 11 2 6" xfId="34009" xr:uid="{B3C05F3A-A25D-4550-B622-467C5968EEA5}"/>
    <cellStyle name="Input 11 3" xfId="4678" xr:uid="{DCCD4681-90E3-46A5-A22D-A376E76605DD}"/>
    <cellStyle name="Input 11 3 2" xfId="7243" xr:uid="{237697AF-6315-44F5-9431-73BB95920F4A}"/>
    <cellStyle name="Input 11 3 2 2" xfId="14194" xr:uid="{CE168FE3-228A-47D2-8B37-EC629A0F7ABA}"/>
    <cellStyle name="Input 11 3 2 2 2" xfId="30543" xr:uid="{B2FECF4A-092B-4848-9311-0FD525B63529}"/>
    <cellStyle name="Input 11 3 2 2 3" xfId="43931" xr:uid="{67AF139A-D303-491F-A10F-D48E08D4EEE5}"/>
    <cellStyle name="Input 11 3 2 3" xfId="24831" xr:uid="{87689F71-553C-4621-90A6-F3F5025B404B}"/>
    <cellStyle name="Input 11 3 2 4" xfId="37912" xr:uid="{D3D6A8A0-BF9A-41BD-86F9-4BE4DF2C18A3}"/>
    <cellStyle name="Input 11 3 3" xfId="12068" xr:uid="{7F7CD906-0DB1-4F73-8CF4-77F561960D06}"/>
    <cellStyle name="Input 11 3 3 2" xfId="28768" xr:uid="{8FD11F27-52F9-4699-BECD-8FE86F5CBCB0}"/>
    <cellStyle name="Input 11 3 3 3" xfId="41988" xr:uid="{4C311B89-70BB-4D14-9280-D95FB8ADB792}"/>
    <cellStyle name="Input 11 3 4" xfId="22486" xr:uid="{5F02DD13-0760-4435-906D-D01BF3EF46BF}"/>
    <cellStyle name="Input 11 3 5" xfId="35539" xr:uid="{40D998CF-8A33-4DC7-BDF2-8A35C83E5339}"/>
    <cellStyle name="Input 11 4" xfId="5645" xr:uid="{EB5DFE45-C670-449A-81D0-5E9A76F8F85C}"/>
    <cellStyle name="Input 11 4 2" xfId="8829" xr:uid="{8BCA7CC2-AC7E-458F-A531-28B8668BB8CB}"/>
    <cellStyle name="Input 11 4 2 2" xfId="15510" xr:uid="{FE8A03CA-5CEC-4DD7-A3E0-C16EE7309199}"/>
    <cellStyle name="Input 11 4 2 2 2" xfId="31648" xr:uid="{868F83CB-6DF2-44D0-A3D6-C41946DB824B}"/>
    <cellStyle name="Input 11 4 2 2 3" xfId="45146" xr:uid="{B589F3BA-3EB6-446B-884E-EF962D397ED9}"/>
    <cellStyle name="Input 11 4 2 3" xfId="26320" xr:uid="{E02F494C-8F06-4AB2-A5BF-7F432A80CA5E}"/>
    <cellStyle name="Input 11 4 2 4" xfId="39396" xr:uid="{0F4441A4-06A8-49DC-843A-42E9234C9F56}"/>
    <cellStyle name="Input 11 4 3" xfId="17538" xr:uid="{95A5AEE9-AB4A-466E-A3E3-2BFB9F46F624}"/>
    <cellStyle name="Input 11 4 3 2" xfId="33276" xr:uid="{D52ECE4C-1694-47F3-955A-9F2D589A1C66}"/>
    <cellStyle name="Input 11 4 3 3" xfId="47063" xr:uid="{8D9BF9D9-F2FC-46A0-B204-3EE8C74A8107}"/>
    <cellStyle name="Input 11 4 4" xfId="23292" xr:uid="{A9C85372-90B7-46F2-997F-C876D7ADD363}"/>
    <cellStyle name="Input 11 4 5" xfId="36373" xr:uid="{02EAB968-AC0D-44F3-8679-39B3F6279F16}"/>
    <cellStyle name="Input 11 5" xfId="15632" xr:uid="{145B5E1B-F49B-4031-9E75-08567CB5D453}"/>
    <cellStyle name="Input 11 5 2" xfId="31752" xr:uid="{47E0801D-8537-43E0-ADC6-15382CAFBD05}"/>
    <cellStyle name="Input 11 5 3" xfId="45256" xr:uid="{69C054D1-1863-4561-8AB5-89B1AA526C4C}"/>
    <cellStyle name="Input 11 6" xfId="21554" xr:uid="{7E8EECA1-37A2-4CC5-9E3A-08BE52E64B55}"/>
    <cellStyle name="Input 11 7" xfId="34608" xr:uid="{D5867846-251A-464C-88AC-5AC114221A92}"/>
    <cellStyle name="Input 12" xfId="3662" xr:uid="{BD5EA6E7-F516-4612-AF42-AA702C599C5C}"/>
    <cellStyle name="Input 12 2" xfId="2981" xr:uid="{4FEEDD23-96C6-4513-B83B-8082F29EE737}"/>
    <cellStyle name="Input 12 2 2" xfId="8277" xr:uid="{B4EE046C-231F-4730-AE3D-600845C35CD5}"/>
    <cellStyle name="Input 12 2 2 2" xfId="10710" xr:uid="{24951A2D-75F0-4F18-950F-DC5B7597C3B7}"/>
    <cellStyle name="Input 12 2 2 2 2" xfId="27555" xr:uid="{C6555D12-FD7C-4B15-B623-D1E732795C39}"/>
    <cellStyle name="Input 12 2 2 2 3" xfId="40691" xr:uid="{4E0D655D-AA52-42FC-A2D0-FEC0A327E27E}"/>
    <cellStyle name="Input 12 2 2 3" xfId="25785" xr:uid="{D1DAB1D6-667B-4A7E-B2EF-5B74D1D2384C}"/>
    <cellStyle name="Input 12 2 2 4" xfId="38861" xr:uid="{7EB2B5D9-8914-4A05-909A-9D4663A29B22}"/>
    <cellStyle name="Input 12 2 3" xfId="6644" xr:uid="{789EC38F-B595-4DE1-8355-A7BD1F38AA58}"/>
    <cellStyle name="Input 12 2 3 2" xfId="12615" xr:uid="{B2929740-8984-4908-B365-E95C64AA5CC8}"/>
    <cellStyle name="Input 12 2 3 2 2" xfId="29226" xr:uid="{24E49BEB-2664-49A1-A02A-885A5A64AFCD}"/>
    <cellStyle name="Input 12 2 3 2 3" xfId="42490" xr:uid="{42ED0D3C-3754-454B-B4ED-1565E1361D56}"/>
    <cellStyle name="Input 12 2 3 3" xfId="24276" xr:uid="{3A59FB51-34C7-4211-8A30-6D1225AA0373}"/>
    <cellStyle name="Input 12 2 3 4" xfId="37357" xr:uid="{7DC50BD9-BE62-4321-BA92-AD3E4288EACB}"/>
    <cellStyle name="Input 12 2 4" xfId="13547" xr:uid="{9D8330E0-E748-4424-90BD-819074334966}"/>
    <cellStyle name="Input 12 2 4 2" xfId="29993" xr:uid="{341BC63C-5129-421B-8F17-8AD7497C8BC9}"/>
    <cellStyle name="Input 12 2 4 3" xfId="43342" xr:uid="{67750E6B-7FAA-4A95-A5D9-34F9018F7506}"/>
    <cellStyle name="Input 12 2 5" xfId="21028" xr:uid="{C6FEE79F-73FC-497B-805B-8800C1204503}"/>
    <cellStyle name="Input 12 2 6" xfId="34051" xr:uid="{377537CC-0DEF-44DF-A25D-EA2FA41B5562}"/>
    <cellStyle name="Input 12 3" xfId="4704" xr:uid="{4DD94F3C-FB06-4280-B903-D6C2881E3E00}"/>
    <cellStyle name="Input 12 3 2" xfId="7297" xr:uid="{B531F0B3-6A7B-4B7D-9D14-07F82C3815A6}"/>
    <cellStyle name="Input 12 3 2 2" xfId="16242" xr:uid="{122F8D9A-5CF1-4EB2-A7CC-12E089250A76}"/>
    <cellStyle name="Input 12 3 2 2 2" xfId="32278" xr:uid="{74A7903C-CE99-487D-82AA-DB9A5F7B9AF8}"/>
    <cellStyle name="Input 12 3 2 2 3" xfId="45806" xr:uid="{611D6B1D-BDED-45E5-A89A-831592B7253D}"/>
    <cellStyle name="Input 12 3 2 3" xfId="24864" xr:uid="{CC920ECF-74AE-470F-AECB-3A1A2F4EBD18}"/>
    <cellStyle name="Input 12 3 2 4" xfId="37944" xr:uid="{EF33FAC3-0076-421A-BA5A-DC63AC9C4C0E}"/>
    <cellStyle name="Input 12 3 3" xfId="13056" xr:uid="{A7263857-EAD7-4432-BEA6-1FAB6EA5C3D0}"/>
    <cellStyle name="Input 12 3 3 2" xfId="29581" xr:uid="{4945F7F5-4700-430D-B064-60E4769E0503}"/>
    <cellStyle name="Input 12 3 3 3" xfId="42886" xr:uid="{89177E2A-A41D-492C-86E5-440E92136AE1}"/>
    <cellStyle name="Input 12 3 4" xfId="22511" xr:uid="{9A85DC97-2B83-49CB-A578-1707AF28CD51}"/>
    <cellStyle name="Input 12 3 5" xfId="35564" xr:uid="{2DFB038A-18BA-41CB-AD1E-58A55A063245}"/>
    <cellStyle name="Input 12 4" xfId="5677" xr:uid="{B1D0F168-2FA6-4541-B28C-AD84C21DAD7C}"/>
    <cellStyle name="Input 12 4 2" xfId="8862" xr:uid="{6EDD8695-6EC2-4C92-BB32-110CF4A7934A}"/>
    <cellStyle name="Input 12 4 2 2" xfId="15189" xr:uid="{953518A6-B4A7-43D2-AA5F-1792CEE57191}"/>
    <cellStyle name="Input 12 4 2 2 2" xfId="31373" xr:uid="{A6F94008-DA78-4851-AE2E-DD96D9F5E878}"/>
    <cellStyle name="Input 12 4 2 2 3" xfId="44844" xr:uid="{ABA72121-631E-4B68-9864-FF4298F00DDC}"/>
    <cellStyle name="Input 12 4 2 3" xfId="26352" xr:uid="{DE7E1AF7-B9D0-4533-8385-51E43F0FEDFD}"/>
    <cellStyle name="Input 12 4 2 4" xfId="39428" xr:uid="{AABB5D4C-1BD9-41C8-B978-F1778BDA364E}"/>
    <cellStyle name="Input 12 4 3" xfId="12301" xr:uid="{AAB46DC3-B9C5-4072-9067-74029535F645}"/>
    <cellStyle name="Input 12 4 3 2" xfId="28973" xr:uid="{9FFFF794-C07A-412C-9748-C005D2CB14A5}"/>
    <cellStyle name="Input 12 4 3 3" xfId="42210" xr:uid="{C0E5D3BD-5366-4EEE-B13A-F61CDB1F8204}"/>
    <cellStyle name="Input 12 4 4" xfId="23324" xr:uid="{CBEF6204-3474-4CB8-A905-F836C41326FD}"/>
    <cellStyle name="Input 12 4 5" xfId="36405" xr:uid="{54864CA4-36FD-4F00-BDC8-6F0673C9E827}"/>
    <cellStyle name="Input 12 5" xfId="15569" xr:uid="{AADB31F2-EC85-46A1-8475-9814C3FA3DD5}"/>
    <cellStyle name="Input 12 5 2" xfId="31698" xr:uid="{F2BCE99A-4015-4A4E-9577-D45F1F0D2875}"/>
    <cellStyle name="Input 12 5 3" xfId="45200" xr:uid="{84EEFBC2-8F71-4551-99B2-9F6AF698B156}"/>
    <cellStyle name="Input 12 6" xfId="21586" xr:uid="{089AE7B0-3DD4-4EF7-88A1-4E3DC330BA2D}"/>
    <cellStyle name="Input 12 7" xfId="34640" xr:uid="{DF01787A-6F56-4A71-BFC4-4B4667356693}"/>
    <cellStyle name="Input 13" xfId="3643" xr:uid="{4C0CB3BF-7B05-4DB7-95E6-4C3DA9D14609}"/>
    <cellStyle name="Input 13 2" xfId="2964" xr:uid="{FE44CF9C-40B9-4FBF-90B2-7C2F602DAC79}"/>
    <cellStyle name="Input 13 2 2" xfId="8260" xr:uid="{9F80366F-5D2C-40B2-A402-A0E3345182B0}"/>
    <cellStyle name="Input 13 2 2 2" xfId="13452" xr:uid="{C85FCEAC-D94D-4E0B-8A0C-0345472618A1}"/>
    <cellStyle name="Input 13 2 2 2 2" xfId="29916" xr:uid="{33A9DD4C-9666-459F-A319-EF55D7D3EC24}"/>
    <cellStyle name="Input 13 2 2 2 3" xfId="43254" xr:uid="{A921329B-54F5-47B7-99BD-B327B4D49891}"/>
    <cellStyle name="Input 13 2 2 3" xfId="25769" xr:uid="{F6A5D9A8-D3E3-44CF-B7F1-151EF4192028}"/>
    <cellStyle name="Input 13 2 2 4" xfId="38845" xr:uid="{253F6961-1BA2-4E2D-BB36-41C8B013E0B0}"/>
    <cellStyle name="Input 13 2 3" xfId="6627" xr:uid="{7178C9DA-E28B-4B00-B17B-1EECCB1DD548}"/>
    <cellStyle name="Input 13 2 3 2" xfId="11168" xr:uid="{B0757F3B-64D4-42BC-9233-8B6C9C6EEE84}"/>
    <cellStyle name="Input 13 2 3 2 2" xfId="27962" xr:uid="{002BB08D-7ADA-426F-9B6D-AB06EBD745D8}"/>
    <cellStyle name="Input 13 2 3 2 3" xfId="41144" xr:uid="{4AD7B807-262D-4D8E-A2EC-0792A107FD20}"/>
    <cellStyle name="Input 13 2 3 3" xfId="24260" xr:uid="{8C61DBA6-06F4-469C-92C3-DF92D51D85A5}"/>
    <cellStyle name="Input 13 2 3 4" xfId="37341" xr:uid="{92059454-378B-49E6-89E9-EFC651014637}"/>
    <cellStyle name="Input 13 2 4" xfId="17237" xr:uid="{CA8BE555-AEDB-49DA-9FBF-BEF04BC5A2B1}"/>
    <cellStyle name="Input 13 2 4 2" xfId="32996" xr:uid="{ECA55D16-8D19-47ED-9781-7FBC3E55550C}"/>
    <cellStyle name="Input 13 2 4 3" xfId="46771" xr:uid="{02BEC7B2-896D-47E2-800C-EF84C81989E9}"/>
    <cellStyle name="Input 13 2 5" xfId="21012" xr:uid="{6AC7FB0F-2580-40DD-A01E-34179EEB7252}"/>
    <cellStyle name="Input 13 2 6" xfId="34035" xr:uid="{DDE13EEE-3EA5-44DC-A449-A33158DC94C7}"/>
    <cellStyle name="Input 13 3" xfId="4691" xr:uid="{605634F6-262A-4A94-A574-095148D0D007}"/>
    <cellStyle name="Input 13 3 2" xfId="7278" xr:uid="{1A05238F-C2A0-4491-AB2B-9AB799B94018}"/>
    <cellStyle name="Input 13 3 2 2" xfId="10912" xr:uid="{1FED9283-BACF-4249-A77A-81F7533E0A45}"/>
    <cellStyle name="Input 13 3 2 2 2" xfId="27730" xr:uid="{D17138B4-793E-45CA-BE5E-D14F68CA7B26}"/>
    <cellStyle name="Input 13 3 2 2 3" xfId="40892" xr:uid="{8A41541E-9CC3-48A4-B251-3F11B8AA6165}"/>
    <cellStyle name="Input 13 3 2 3" xfId="24850" xr:uid="{3472DA13-1A7B-424D-BEB5-A30F96460E59}"/>
    <cellStyle name="Input 13 3 2 4" xfId="37931" xr:uid="{BCCA1FC5-4128-4A4E-83C9-0A4450E08C06}"/>
    <cellStyle name="Input 13 3 3" xfId="13064" xr:uid="{962DC098-5284-4EEC-80AD-CDF75001BEB3}"/>
    <cellStyle name="Input 13 3 3 2" xfId="29589" xr:uid="{FEC7CFED-8512-484C-909C-C47ACBA9FAAD}"/>
    <cellStyle name="Input 13 3 3 3" xfId="42894" xr:uid="{B7F8F362-8FF2-4734-B28D-DA021B7B8731}"/>
    <cellStyle name="Input 13 3 4" xfId="22499" xr:uid="{7ABCA253-4BAA-4794-AE27-42C62CDC2074}"/>
    <cellStyle name="Input 13 3 5" xfId="35552" xr:uid="{F509CD50-2002-4E3C-BE1D-BC6B2297FF01}"/>
    <cellStyle name="Input 13 4" xfId="5664" xr:uid="{361A28AF-1E67-474A-A707-6F1EAC04E0DB}"/>
    <cellStyle name="Input 13 4 2" xfId="8848" xr:uid="{90F8FEB5-3A56-4D60-8929-DE9C81D3AB69}"/>
    <cellStyle name="Input 13 4 2 2" xfId="16397" xr:uid="{76D18DE0-2D3C-4B76-8D8C-9C8EFCA74DCC}"/>
    <cellStyle name="Input 13 4 2 2 2" xfId="32414" xr:uid="{23888F66-772A-4419-A8B8-448F07B00CF7}"/>
    <cellStyle name="Input 13 4 2 2 3" xfId="45949" xr:uid="{A2C894BF-CEDD-4EDF-AFCE-0678EDFC7E35}"/>
    <cellStyle name="Input 13 4 2 3" xfId="26339" xr:uid="{8F80C51D-4A48-4CBF-815F-B5DE81CB3EDF}"/>
    <cellStyle name="Input 13 4 2 4" xfId="39415" xr:uid="{C1992E25-B976-49DC-93F5-A9243F847ED5}"/>
    <cellStyle name="Input 13 4 3" xfId="13283" xr:uid="{1938A5ED-4903-4F89-8468-152E35C68921}"/>
    <cellStyle name="Input 13 4 3 2" xfId="29774" xr:uid="{ECB9B23F-ACCC-48D2-AB33-C30B97205946}"/>
    <cellStyle name="Input 13 4 3 3" xfId="43100" xr:uid="{0C864925-D548-4B39-8CD8-158111811585}"/>
    <cellStyle name="Input 13 4 4" xfId="23311" xr:uid="{B06161D0-397E-4E0A-96C7-41C0AAE3C5CC}"/>
    <cellStyle name="Input 13 4 5" xfId="36392" xr:uid="{296CB7B9-3E82-45D9-8D77-47D7F5359594}"/>
    <cellStyle name="Input 13 5" xfId="14427" xr:uid="{0E3A20CB-D47E-4A3C-9973-3C9049C91338}"/>
    <cellStyle name="Input 13 5 2" xfId="30757" xr:uid="{904C5778-2AAA-4418-B75B-46B0B2A3C42F}"/>
    <cellStyle name="Input 13 5 3" xfId="44157" xr:uid="{381CE7AA-0F39-469D-A503-23D29143D14F}"/>
    <cellStyle name="Input 13 6" xfId="21573" xr:uid="{601177B8-F032-453C-9D19-ACE1E78D9411}"/>
    <cellStyle name="Input 13 7" xfId="34627" xr:uid="{5C8D1413-3858-47EB-98B3-1FDE3010A6B0}"/>
    <cellStyle name="Input 14" xfId="3552" xr:uid="{964A2D53-5ABB-4305-9DA8-CBC23B722571}"/>
    <cellStyle name="Input 14 2" xfId="2893" xr:uid="{7E73201E-0827-470C-8B08-3A9EB28166DD}"/>
    <cellStyle name="Input 14 2 2" xfId="8189" xr:uid="{456F46C5-0104-4B44-9019-247999DFE881}"/>
    <cellStyle name="Input 14 2 2 2" xfId="10665" xr:uid="{F5274926-1145-47C8-9592-8D948CC1E294}"/>
    <cellStyle name="Input 14 2 2 2 2" xfId="27515" xr:uid="{B3989DF1-E1F5-46C6-8883-D0025D13F979}"/>
    <cellStyle name="Input 14 2 2 2 3" xfId="40646" xr:uid="{0B3BDF54-12A4-4C5F-995E-8BD802A50B41}"/>
    <cellStyle name="Input 14 2 2 3" xfId="25700" xr:uid="{B785BC7F-1C54-451E-A07D-46737023F1AC}"/>
    <cellStyle name="Input 14 2 2 4" xfId="38776" xr:uid="{90F83193-7831-45EF-887D-5A3030C238DA}"/>
    <cellStyle name="Input 14 2 3" xfId="6556" xr:uid="{5A297921-2435-471C-98FC-3DB9779B342E}"/>
    <cellStyle name="Input 14 2 3 2" xfId="14234" xr:uid="{1A7CDF8D-E6CD-4D06-B5D2-532F74878303}"/>
    <cellStyle name="Input 14 2 3 2 2" xfId="30579" xr:uid="{D33FD3CB-669B-4B36-8072-BC0B2B656559}"/>
    <cellStyle name="Input 14 2 3 2 3" xfId="43971" xr:uid="{14FF0DAD-A433-4F92-B923-E6951FB3181F}"/>
    <cellStyle name="Input 14 2 3 3" xfId="24191" xr:uid="{8CCA0507-2A06-41A3-A31A-9F8363743568}"/>
    <cellStyle name="Input 14 2 3 4" xfId="37272" xr:uid="{E0ED7450-F408-4F49-93A2-86C6A741531D}"/>
    <cellStyle name="Input 14 2 4" xfId="14997" xr:uid="{16F5D83E-A6CA-40BC-B909-990B76ACADC9}"/>
    <cellStyle name="Input 14 2 4 2" xfId="31228" xr:uid="{62F6635B-32EF-4055-A8D7-1C870F08AFA6}"/>
    <cellStyle name="Input 14 2 4 3" xfId="44678" xr:uid="{24E095BC-574F-45DF-B4B5-C1F5E1D8DFDA}"/>
    <cellStyle name="Input 14 2 5" xfId="20943" xr:uid="{FFC34413-A8F8-4ABC-8EC0-47876D7F4810}"/>
    <cellStyle name="Input 14 2 6" xfId="33966" xr:uid="{DAC6A912-F66D-41E1-A296-A728D361BAE7}"/>
    <cellStyle name="Input 14 3" xfId="4655" xr:uid="{4EE3E3C2-1BB8-48D1-BB8F-1024A77C5DF0}"/>
    <cellStyle name="Input 14 3 2" xfId="7194" xr:uid="{D53BA6F7-F0E5-4B46-8048-E06176896954}"/>
    <cellStyle name="Input 14 3 2 2" xfId="16015" xr:uid="{59B6EC88-D7D3-43D7-B813-7299DEBB5F62}"/>
    <cellStyle name="Input 14 3 2 2 2" xfId="32082" xr:uid="{D1065AA2-3A1D-4C50-8C6B-046FAD81E444}"/>
    <cellStyle name="Input 14 3 2 2 3" xfId="45601" xr:uid="{13B2F1EC-9ACD-4D80-9C44-E637A186ECD4}"/>
    <cellStyle name="Input 14 3 2 3" xfId="24791" xr:uid="{3CFAFCC0-F464-48A4-A2B3-2B690D2B2AA3}"/>
    <cellStyle name="Input 14 3 2 4" xfId="37872" xr:uid="{38DFB42C-B12A-4002-86FB-8810F0FB27DB}"/>
    <cellStyle name="Input 14 3 3" xfId="14405" xr:uid="{243058D0-5C5F-47DF-B18C-63FCA6E09015}"/>
    <cellStyle name="Input 14 3 3 2" xfId="30736" xr:uid="{277EEA42-7EC0-41E9-9015-7790CBF182C2}"/>
    <cellStyle name="Input 14 3 3 3" xfId="44135" xr:uid="{C3BB0B79-582D-41D0-9599-324FB370165B}"/>
    <cellStyle name="Input 14 3 4" xfId="22465" xr:uid="{12E70A3C-0CD8-4E1D-AD2D-C585260732CC}"/>
    <cellStyle name="Input 14 3 5" xfId="35518" xr:uid="{23045258-B876-45E9-BBDA-886BCC061E47}"/>
    <cellStyle name="Input 14 4" xfId="5605" xr:uid="{367B18BD-A0CB-40D0-B33A-7685DD8C131B}"/>
    <cellStyle name="Input 14 4 2" xfId="8787" xr:uid="{8572C3A5-7A01-4801-A710-C06953E345CF}"/>
    <cellStyle name="Input 14 4 2 2" xfId="15348" xr:uid="{4BB0491E-9B99-451F-B9E7-9E64E87AEA23}"/>
    <cellStyle name="Input 14 4 2 2 2" xfId="31505" xr:uid="{53937D44-71A8-4411-9F7A-663A025E0143}"/>
    <cellStyle name="Input 14 4 2 2 3" xfId="44991" xr:uid="{66A68489-CDF4-46B8-8635-C4AFF9A668F7}"/>
    <cellStyle name="Input 14 4 2 3" xfId="26280" xr:uid="{D78843EC-7722-4214-95AA-801FAD7EBC69}"/>
    <cellStyle name="Input 14 4 2 4" xfId="39356" xr:uid="{FBE949F8-76E1-4B9E-8239-978734DA3C39}"/>
    <cellStyle name="Input 14 4 3" xfId="13244" xr:uid="{4A702A51-3AA8-41D8-BE23-1FAC3116A8CC}"/>
    <cellStyle name="Input 14 4 3 2" xfId="29738" xr:uid="{70AF009C-3D20-4472-BD89-B1E03FEF66AF}"/>
    <cellStyle name="Input 14 4 3 3" xfId="43062" xr:uid="{E4566CA2-65D3-4F71-A6B5-D8C1BB1E8CC1}"/>
    <cellStyle name="Input 14 4 4" xfId="23252" xr:uid="{39D96BA5-6FD8-46EC-9A87-622D3AAF8BDC}"/>
    <cellStyle name="Input 14 4 5" xfId="36333" xr:uid="{CB1A395E-DE7F-4E31-B590-27D91A0290EB}"/>
    <cellStyle name="Input 14 5" xfId="11051" xr:uid="{B8701CEA-7F61-4B12-A4A3-C35BC0C0499E}"/>
    <cellStyle name="Input 14 5 2" xfId="27854" xr:uid="{F7C32019-0BE1-4AE2-ACC6-30B28CD46329}"/>
    <cellStyle name="Input 14 5 3" xfId="41030" xr:uid="{FD2261C8-ED47-48F0-B0B8-81338350D643}"/>
    <cellStyle name="Input 14 6" xfId="21514" xr:uid="{B1DE0013-1CC0-4FE0-8630-69BCFDEA7416}"/>
    <cellStyle name="Input 14 7" xfId="34566" xr:uid="{CA7340E8-AD2A-4BA6-ABDE-86F2AFDD03C6}"/>
    <cellStyle name="Input 15" xfId="3648" xr:uid="{54B36189-0BEA-46DA-BF7E-0F2BDDB040C5}"/>
    <cellStyle name="Input 15 2" xfId="2969" xr:uid="{1D746836-EAD6-47FB-BFAE-0F4F9A5CFF74}"/>
    <cellStyle name="Input 15 2 2" xfId="8265" xr:uid="{4FD8E932-6E96-412B-9D69-D8A56A39277E}"/>
    <cellStyle name="Input 15 2 2 2" xfId="12366" xr:uid="{C2335D34-71E1-4DCD-B1C1-6C323042926B}"/>
    <cellStyle name="Input 15 2 2 2 2" xfId="29032" xr:uid="{D91BCABA-87D2-4420-ABBA-22978352CF3F}"/>
    <cellStyle name="Input 15 2 2 2 3" xfId="42272" xr:uid="{36D4E07E-74E1-4578-82BF-08EBA6FFF293}"/>
    <cellStyle name="Input 15 2 2 3" xfId="25774" xr:uid="{44D4F7C0-D0B6-4D9A-A1E0-2585C484D84E}"/>
    <cellStyle name="Input 15 2 2 4" xfId="38850" xr:uid="{78AE52CE-562F-4B97-BC9E-05BE5998752B}"/>
    <cellStyle name="Input 15 2 3" xfId="6632" xr:uid="{601CC8CB-3325-44AF-B3DB-6957CBBE9F99}"/>
    <cellStyle name="Input 15 2 3 2" xfId="15246" xr:uid="{43551B81-F8C3-4F81-A2A1-AF49E085782D}"/>
    <cellStyle name="Input 15 2 3 2 2" xfId="31421" xr:uid="{32342412-C4BB-4185-8E23-EF243F4E10D7}"/>
    <cellStyle name="Input 15 2 3 2 3" xfId="44897" xr:uid="{DDCBD9B3-4A6F-4EAC-BB4C-C69879E7FFD1}"/>
    <cellStyle name="Input 15 2 3 3" xfId="24265" xr:uid="{A0E5DE09-30FD-4F7C-8774-4597140F8666}"/>
    <cellStyle name="Input 15 2 3 4" xfId="37346" xr:uid="{09776444-1400-4F18-B94A-4F7C4D32A2A9}"/>
    <cellStyle name="Input 15 2 4" xfId="16885" xr:uid="{EA1F0E94-63D6-48D7-A79E-A200B500721F}"/>
    <cellStyle name="Input 15 2 4 2" xfId="32762" xr:uid="{DD43C38D-4CD2-4A73-BA7F-E93FF6FEF916}"/>
    <cellStyle name="Input 15 2 4 3" xfId="46427" xr:uid="{C42892B1-4B0C-4632-8DAC-F04FDBD07DFC}"/>
    <cellStyle name="Input 15 2 5" xfId="21017" xr:uid="{0BD4F83B-DBD8-4CD4-8481-8EA809D5BC63}"/>
    <cellStyle name="Input 15 2 6" xfId="34040" xr:uid="{D3C41511-8FE2-4EBE-8288-1DE3A8CEA993}"/>
    <cellStyle name="Input 15 3" xfId="4696" xr:uid="{5EBFFB96-44B4-45E8-BC5D-A950A3A893E9}"/>
    <cellStyle name="Input 15 3 2" xfId="7283" xr:uid="{DA8A17D8-CC7E-4344-AE61-FDA3AEAE5641}"/>
    <cellStyle name="Input 15 3 2 2" xfId="10999" xr:uid="{533E48AD-B845-4AAB-B357-9FFD795096C2}"/>
    <cellStyle name="Input 15 3 2 2 2" xfId="27806" xr:uid="{CBA4B1EA-69B9-4EEC-9E82-0AFF5E505636}"/>
    <cellStyle name="Input 15 3 2 2 3" xfId="40979" xr:uid="{02D154EC-C4AA-4946-BDB9-DE471E5253B6}"/>
    <cellStyle name="Input 15 3 2 3" xfId="24855" xr:uid="{400594DD-7DB8-4983-B183-D14D07E93F6F}"/>
    <cellStyle name="Input 15 3 2 4" xfId="37936" xr:uid="{32B02FE6-69E4-45D2-BC1F-16BD2444CC25}"/>
    <cellStyle name="Input 15 3 3" xfId="13276" xr:uid="{D839BF9A-6FF5-4561-863C-467BF90C0182}"/>
    <cellStyle name="Input 15 3 3 2" xfId="29767" xr:uid="{EE5437D8-914B-4A1C-A20E-61F1B059C66A}"/>
    <cellStyle name="Input 15 3 3 3" xfId="43093" xr:uid="{17A53025-69B1-49C5-85D1-034DDD91FA91}"/>
    <cellStyle name="Input 15 3 4" xfId="22504" xr:uid="{0D7AEC77-F3F3-4197-9D9A-805BA484C067}"/>
    <cellStyle name="Input 15 3 5" xfId="35557" xr:uid="{827877CB-2A05-496E-9D48-A9FA5989A81C}"/>
    <cellStyle name="Input 15 4" xfId="5669" xr:uid="{A18D968A-3397-4BC4-A9CD-DFEFBC023E09}"/>
    <cellStyle name="Input 15 4 2" xfId="8853" xr:uid="{C8481E81-94F2-4A01-B9FD-2A84A49CCE80}"/>
    <cellStyle name="Input 15 4 2 2" xfId="14008" xr:uid="{FF5B7F26-C919-4209-AE8F-21C4214FB6BD}"/>
    <cellStyle name="Input 15 4 2 2 2" xfId="30390" xr:uid="{10D2C9A5-4FAC-4B0B-99FB-4D344D44F23C}"/>
    <cellStyle name="Input 15 4 2 2 3" xfId="43769" xr:uid="{4A16B6F4-F533-45CE-A67F-C130B255522F}"/>
    <cellStyle name="Input 15 4 2 3" xfId="26344" xr:uid="{75E639C4-9F87-45B9-B078-BB23708CA4EA}"/>
    <cellStyle name="Input 15 4 2 4" xfId="39420" xr:uid="{94495F4E-41CB-466C-B100-FC1BBB2813AF}"/>
    <cellStyle name="Input 15 4 3" xfId="14166" xr:uid="{4BEE4D9A-C08C-479E-B3C8-5E33C5E36A55}"/>
    <cellStyle name="Input 15 4 3 2" xfId="30521" xr:uid="{BD4BC6A4-9BD2-4426-8F9E-13F0473D9168}"/>
    <cellStyle name="Input 15 4 3 3" xfId="43907" xr:uid="{5B98B2DA-7B90-457C-9957-55E4B73739F5}"/>
    <cellStyle name="Input 15 4 4" xfId="23316" xr:uid="{06B72CAF-5EED-4E2A-A02D-70FEDCD1A7B1}"/>
    <cellStyle name="Input 15 4 5" xfId="36397" xr:uid="{0439A906-72E7-4594-BB5A-4A025A8B3BCB}"/>
    <cellStyle name="Input 15 5" xfId="12027" xr:uid="{2F98BEB3-D76A-47DE-84B8-8061B97B8D09}"/>
    <cellStyle name="Input 15 5 2" xfId="28729" xr:uid="{400F9AF3-10D4-4B48-90CA-BC8E69BD2239}"/>
    <cellStyle name="Input 15 5 3" xfId="41947" xr:uid="{21C355C0-5622-4FE0-9E5D-B4F936585ABE}"/>
    <cellStyle name="Input 15 6" xfId="21578" xr:uid="{0C28F1B2-E01F-4A2F-BEE0-40669D7BCCB2}"/>
    <cellStyle name="Input 15 7" xfId="34632" xr:uid="{D30D719E-8C66-4EB2-8F3C-B1618657E2F9}"/>
    <cellStyle name="Input 16" xfId="3912" xr:uid="{7AE4A6A1-EB66-475A-88B5-24F1AE0C8399}"/>
    <cellStyle name="Input 16 2" xfId="3180" xr:uid="{A8833F6D-5FCA-4874-A146-D977690829BF}"/>
    <cellStyle name="Input 16 2 2" xfId="8472" xr:uid="{CEFB959E-658A-472F-A32F-B1BAAA8BE09E}"/>
    <cellStyle name="Input 16 2 2 2" xfId="12748" xr:uid="{A9DED088-D305-446C-8009-A087D4CE5D77}"/>
    <cellStyle name="Input 16 2 2 2 2" xfId="29326" xr:uid="{14DAD8BC-E394-409A-8042-B09FE3EB259A}"/>
    <cellStyle name="Input 16 2 2 2 3" xfId="42605" xr:uid="{F81F2E86-9CD5-4F72-9F99-1958C32F6802}"/>
    <cellStyle name="Input 16 2 2 3" xfId="25972" xr:uid="{07417545-9F72-40A7-8B08-A3CD55C08DC1}"/>
    <cellStyle name="Input 16 2 2 4" xfId="39048" xr:uid="{7681B7BF-DB94-4D14-9525-4251A8616D5D}"/>
    <cellStyle name="Input 16 2 3" xfId="6839" xr:uid="{A0E992E3-BCD1-4477-A494-A94FE0976263}"/>
    <cellStyle name="Input 16 2 3 2" xfId="16784" xr:uid="{E474F47D-EE39-4448-9D1D-DDBB1F683A82}"/>
    <cellStyle name="Input 16 2 3 2 2" xfId="32665" xr:uid="{C7EBB940-8AFD-4D93-9FCC-7846AB4799F6}"/>
    <cellStyle name="Input 16 2 3 2 3" xfId="46327" xr:uid="{62116A2E-438E-4B55-AC33-8DBAFF6BEB35}"/>
    <cellStyle name="Input 16 2 3 3" xfId="24463" xr:uid="{D93E4E5F-F13A-4769-9362-70ED276EF351}"/>
    <cellStyle name="Input 16 2 3 4" xfId="37544" xr:uid="{EF05CE6E-F01C-4D53-B0DE-784B2556C430}"/>
    <cellStyle name="Input 16 2 4" xfId="16738" xr:uid="{28CAEAC4-180B-42BA-AB69-A8835C90AEC4}"/>
    <cellStyle name="Input 16 2 4 2" xfId="32621" xr:uid="{1E890B45-92D3-4469-BA50-84B4C2F4556E}"/>
    <cellStyle name="Input 16 2 4 3" xfId="46281" xr:uid="{6C2FE1BC-1B03-4086-9DC6-662B2C557474}"/>
    <cellStyle name="Input 16 2 5" xfId="21215" xr:uid="{349FDDED-3F31-40CA-92F2-D3C6D39EF675}"/>
    <cellStyle name="Input 16 2 6" xfId="34238" xr:uid="{B1CAA284-BF31-42C8-AF54-8EFC25DF2252}"/>
    <cellStyle name="Input 16 3" xfId="4848" xr:uid="{F76BD9A5-06A0-4DFE-9365-17B0115EE587}"/>
    <cellStyle name="Input 16 3 2" xfId="7492" xr:uid="{6A88F966-8A61-45B5-92E3-71D3FEDCABFF}"/>
    <cellStyle name="Input 16 3 2 2" xfId="16580" xr:uid="{997C81B4-15DC-4BAB-84E4-8AE813F0CFE8}"/>
    <cellStyle name="Input 16 3 2 2 2" xfId="32503" xr:uid="{73235582-A0B3-4B65-B4D9-7A84F07CD6D2}"/>
    <cellStyle name="Input 16 3 2 2 3" xfId="46127" xr:uid="{69FB9819-DFBC-4BE9-87F2-99E24D9D5A42}"/>
    <cellStyle name="Input 16 3 2 3" xfId="25047" xr:uid="{912D6130-F57F-4566-B826-177797D143E6}"/>
    <cellStyle name="Input 16 3 2 4" xfId="38123" xr:uid="{9755AF00-3669-46B6-9F3D-E2DB55D10DC2}"/>
    <cellStyle name="Input 16 3 3" xfId="12705" xr:uid="{3D93B2BB-82E2-47CA-9862-EB8262A6AC08}"/>
    <cellStyle name="Input 16 3 3 2" xfId="29291" xr:uid="{5CF7256D-B692-4323-B67B-D7C4022F7E47}"/>
    <cellStyle name="Input 16 3 3 3" xfId="42568" xr:uid="{B1FFF7B8-AEB9-430D-AC0E-5079437E7ED9}"/>
    <cellStyle name="Input 16 3 4" xfId="22648" xr:uid="{7D390758-4678-458F-906A-84EA382D5E04}"/>
    <cellStyle name="Input 16 3 5" xfId="35701" xr:uid="{2BA02E07-1A1F-4C37-AB74-15ED7793B0B5}"/>
    <cellStyle name="Input 16 4" xfId="5873" xr:uid="{5026385F-3E71-4F5D-8556-2FDAB1738348}"/>
    <cellStyle name="Input 16 4 2" xfId="9033" xr:uid="{9DB36039-19D0-45DC-A0BD-EFF5F95D2DC4}"/>
    <cellStyle name="Input 16 4 2 2" xfId="11097" xr:uid="{803DC530-C770-4305-8B84-B8DC99A495F9}"/>
    <cellStyle name="Input 16 4 2 2 2" xfId="27898" xr:uid="{27163893-8A74-458F-A195-B4A0A92B4B9B}"/>
    <cellStyle name="Input 16 4 2 2 3" xfId="41076" xr:uid="{DA32F7E0-9225-4CDF-831F-83D0DA45B3FF}"/>
    <cellStyle name="Input 16 4 2 3" xfId="26516" xr:uid="{DDB76AFB-ED56-43BB-9465-21F01FA05C13}"/>
    <cellStyle name="Input 16 4 2 4" xfId="39592" xr:uid="{91E412D3-CC02-4F9A-B5A0-DE99F2A18E6E}"/>
    <cellStyle name="Input 16 4 3" xfId="12822" xr:uid="{9C0DFCDD-1C47-45A4-B9DB-2204A3223C90}"/>
    <cellStyle name="Input 16 4 3 2" xfId="29394" xr:uid="{A0DF99C8-6F92-4D50-AA79-BE31F041FD98}"/>
    <cellStyle name="Input 16 4 3 3" xfId="42676" xr:uid="{FD12A4D0-F0B2-4E4C-8728-8E7C62BB7FDF}"/>
    <cellStyle name="Input 16 4 4" xfId="23520" xr:uid="{4E2CE861-D134-4248-BA6A-361BA955E5EF}"/>
    <cellStyle name="Input 16 4 5" xfId="36601" xr:uid="{F8337A68-EAB2-448F-9C6A-29C3BAB2633F}"/>
    <cellStyle name="Input 16 5" xfId="16864" xr:uid="{CEEF9D79-604B-437E-857C-A94A528176F7}"/>
    <cellStyle name="Input 16 5 2" xfId="32741" xr:uid="{412765FD-5FEF-4286-A41B-C43F5F920FCC}"/>
    <cellStyle name="Input 16 5 3" xfId="46406" xr:uid="{E76F4858-B6EF-4A13-9E00-991502BF9E27}"/>
    <cellStyle name="Input 16 6" xfId="21786" xr:uid="{986EE5DE-3341-462F-80E4-5C2CFECE61C0}"/>
    <cellStyle name="Input 16 7" xfId="34836" xr:uid="{4BDF7B30-138B-47C6-A750-8A3848357F10}"/>
    <cellStyle name="Input 17" xfId="3945" xr:uid="{CB8E7B9E-F332-447D-B961-19E4C644D99B}"/>
    <cellStyle name="Input 17 2" xfId="3201" xr:uid="{E1F3D81D-E136-4F01-970F-25B4A1CD23A0}"/>
    <cellStyle name="Input 17 2 2" xfId="8493" xr:uid="{6F59FE1F-595E-4A1A-9BBB-B3D6BC09A0BE}"/>
    <cellStyle name="Input 17 2 2 2" xfId="12467" xr:uid="{13B7C0AC-2F96-4304-BC7C-35A2821900AA}"/>
    <cellStyle name="Input 17 2 2 2 2" xfId="29108" xr:uid="{40CE5E29-615F-4BCA-9CEB-B2A68B5905E4}"/>
    <cellStyle name="Input 17 2 2 2 3" xfId="42360" xr:uid="{BE012841-38A8-45AC-B130-FAA15B06F1A9}"/>
    <cellStyle name="Input 17 2 2 3" xfId="25993" xr:uid="{C22C711D-E432-4603-A30D-225760A6AB0A}"/>
    <cellStyle name="Input 17 2 2 4" xfId="39069" xr:uid="{8AE1B154-6B0E-466B-846B-260FB907E708}"/>
    <cellStyle name="Input 17 2 3" xfId="6860" xr:uid="{8AC37E38-7893-4CBF-9681-53C45FCF6D5E}"/>
    <cellStyle name="Input 17 2 3 2" xfId="11715" xr:uid="{4AE9A155-51AA-4AD2-8F4A-46CDF7EE2B45}"/>
    <cellStyle name="Input 17 2 3 2 2" xfId="28446" xr:uid="{456587B4-8E64-4D62-905A-61E163C89486}"/>
    <cellStyle name="Input 17 2 3 2 3" xfId="41656" xr:uid="{201A4901-43C8-46C0-91B9-5FA16889EE3E}"/>
    <cellStyle name="Input 17 2 3 3" xfId="24484" xr:uid="{8B826287-C2F0-4FC5-871A-11B90BCF0930}"/>
    <cellStyle name="Input 17 2 3 4" xfId="37565" xr:uid="{9A4DDA8B-8D4C-4937-8F38-B0D8C680D0C4}"/>
    <cellStyle name="Input 17 2 4" xfId="17556" xr:uid="{2869D9ED-2EA0-4835-B557-10222E7A9264}"/>
    <cellStyle name="Input 17 2 4 2" xfId="33293" xr:uid="{6BFD87CD-386F-4E57-86F8-B2E6489AB404}"/>
    <cellStyle name="Input 17 2 4 3" xfId="47081" xr:uid="{329CC48C-9C27-4B56-AC68-A7019391A13F}"/>
    <cellStyle name="Input 17 2 5" xfId="21236" xr:uid="{EEAFFDFE-21AB-4A0D-9B2F-0EDC8800C31F}"/>
    <cellStyle name="Input 17 2 6" xfId="34259" xr:uid="{FC3574F0-21BD-438C-B79E-D95971660996}"/>
    <cellStyle name="Input 17 3" xfId="4861" xr:uid="{76A3521F-1455-4558-8496-D98DCD6A1930}"/>
    <cellStyle name="Input 17 3 2" xfId="7525" xr:uid="{A9FCD0A5-F4F9-4962-997D-7475F9BE91A7}"/>
    <cellStyle name="Input 17 3 2 2" xfId="11618" xr:uid="{BE070D79-C5D1-42CA-B95F-C9D45450AA0B}"/>
    <cellStyle name="Input 17 3 2 2 2" xfId="28364" xr:uid="{23B00838-A7BD-4A19-8525-C28262083D3B}"/>
    <cellStyle name="Input 17 3 2 2 3" xfId="41567" xr:uid="{87F538BB-2087-40E7-A7F0-F05F2A23E28A}"/>
    <cellStyle name="Input 17 3 2 3" xfId="25060" xr:uid="{F84FE983-F5AB-4F79-B405-A70473DC34DF}"/>
    <cellStyle name="Input 17 3 2 4" xfId="38136" xr:uid="{96A3F26A-3449-4AB4-8096-169A3906B7BE}"/>
    <cellStyle name="Input 17 3 3" xfId="11965" xr:uid="{B8BF216F-F851-4904-9B72-DD6E256921E3}"/>
    <cellStyle name="Input 17 3 3 2" xfId="28674" xr:uid="{26849989-E7A3-4297-8D73-CBAA84322454}"/>
    <cellStyle name="Input 17 3 3 3" xfId="41892" xr:uid="{53A6E584-7190-4109-9A89-CAC9E0133C21}"/>
    <cellStyle name="Input 17 3 4" xfId="22661" xr:uid="{6EE4E7E1-2277-42DD-B186-A000BC1A8627}"/>
    <cellStyle name="Input 17 3 5" xfId="35714" xr:uid="{AAD10D49-46FC-4600-BE7E-CDD3786265D3}"/>
    <cellStyle name="Input 17 4" xfId="5886" xr:uid="{2A1C0FAC-A131-446F-B182-D9308DEF1337}"/>
    <cellStyle name="Input 17 4 2" xfId="9046" xr:uid="{C5F4DA65-C1B4-4007-898D-45EA83C77FAC}"/>
    <cellStyle name="Input 17 4 2 2" xfId="16173" xr:uid="{7625EF7D-D508-4F02-99D5-62EEA1C6BEF8}"/>
    <cellStyle name="Input 17 4 2 2 2" xfId="32221" xr:uid="{F4476AB1-5A38-4176-B568-662FC5693BB4}"/>
    <cellStyle name="Input 17 4 2 2 3" xfId="45743" xr:uid="{A8EA9F6B-5317-43FE-9A18-5B75EC4D0D99}"/>
    <cellStyle name="Input 17 4 2 3" xfId="26529" xr:uid="{717CEA83-4E44-4AD8-8DD2-5916C4BDB0EB}"/>
    <cellStyle name="Input 17 4 2 4" xfId="39605" xr:uid="{20DAEF5F-6B73-4B99-87DB-20F4194E1B14}"/>
    <cellStyle name="Input 17 4 3" xfId="11058" xr:uid="{9220FF5C-8D37-4283-9E3A-8DAB9155058E}"/>
    <cellStyle name="Input 17 4 3 2" xfId="27861" xr:uid="{9B3C4192-CDE5-4394-B64D-4A66BC118CB9}"/>
    <cellStyle name="Input 17 4 3 3" xfId="41037" xr:uid="{C7F965DA-15A0-49F0-95AD-0F8B60B07296}"/>
    <cellStyle name="Input 17 4 4" xfId="23533" xr:uid="{7EECCF46-F866-4800-9E40-F1C7F133F299}"/>
    <cellStyle name="Input 17 4 5" xfId="36614" xr:uid="{A48B6B08-1969-49FC-9BAF-8A96BD9F0224}"/>
    <cellStyle name="Input 17 5" xfId="12378" xr:uid="{70E325AF-5D3F-4C2D-A8B3-594F6C2293D9}"/>
    <cellStyle name="Input 17 5 2" xfId="29044" xr:uid="{072D7DE0-24C6-4B7E-AC1E-944D1A56C422}"/>
    <cellStyle name="Input 17 5 3" xfId="42284" xr:uid="{08F6D70D-5F95-4C5D-BACE-6918D06F9C3F}"/>
    <cellStyle name="Input 17 6" xfId="21799" xr:uid="{78B90950-CCCD-4D60-981B-684EFBD4F59E}"/>
    <cellStyle name="Input 17 7" xfId="34849" xr:uid="{19595B4B-7CD1-4DFB-8E5A-D3AF24347465}"/>
    <cellStyle name="Input 18" xfId="3906" xr:uid="{D7DB8711-EDE1-48DD-99C0-D09A0EAC89BC}"/>
    <cellStyle name="Input 18 2" xfId="3175" xr:uid="{3AA71A8F-E262-4271-98AC-1A981FE25FDC}"/>
    <cellStyle name="Input 18 2 2" xfId="8467" xr:uid="{6C52CF78-A028-48BE-A277-82D10CE4B28F}"/>
    <cellStyle name="Input 18 2 2 2" xfId="11034" xr:uid="{D5EF47D9-8549-46E8-9127-6D72CC505A71}"/>
    <cellStyle name="Input 18 2 2 2 2" xfId="27840" xr:uid="{17951E6B-E683-4083-B88D-E481E5ED7279}"/>
    <cellStyle name="Input 18 2 2 2 3" xfId="41014" xr:uid="{F1F490C0-2E97-4BF3-88C7-1BFC6C574C51}"/>
    <cellStyle name="Input 18 2 2 3" xfId="25967" xr:uid="{AD7D4920-C755-4C12-8385-FB02EFB79649}"/>
    <cellStyle name="Input 18 2 2 4" xfId="39043" xr:uid="{DC2E1795-DF87-45AF-A404-EE9DE1D4A3EC}"/>
    <cellStyle name="Input 18 2 3" xfId="6834" xr:uid="{09C556C2-EF57-4902-9019-720D03210ACB}"/>
    <cellStyle name="Input 18 2 3 2" xfId="12164" xr:uid="{3CFF816D-217D-4EE5-9969-53346C3C0174}"/>
    <cellStyle name="Input 18 2 3 2 2" xfId="28861" xr:uid="{ECA02BBF-EEAF-401B-B3A9-DD86B51E1261}"/>
    <cellStyle name="Input 18 2 3 2 3" xfId="42084" xr:uid="{FEE34B3D-A7CB-4740-9453-B1E6C86DF598}"/>
    <cellStyle name="Input 18 2 3 3" xfId="24458" xr:uid="{7F40686D-F509-4171-B902-5C95E960F4FE}"/>
    <cellStyle name="Input 18 2 3 4" xfId="37539" xr:uid="{C5C7B3A9-8E67-4392-BE7E-2C3F9B4822D8}"/>
    <cellStyle name="Input 18 2 4" xfId="15888" xr:uid="{32F8EC16-BE0A-4E31-A008-BAB07CE7870E}"/>
    <cellStyle name="Input 18 2 4 2" xfId="31973" xr:uid="{9E5880AE-07E1-467A-BA0B-4B3EC1465473}"/>
    <cellStyle name="Input 18 2 4 3" xfId="45488" xr:uid="{69A2215A-F212-4BA9-8EBD-8A696DBD9673}"/>
    <cellStyle name="Input 18 2 5" xfId="21210" xr:uid="{FBD08707-9CF0-4E29-85FF-800601C57815}"/>
    <cellStyle name="Input 18 2 6" xfId="34233" xr:uid="{5C65ABFF-C626-4BB5-80BD-944B14B14368}"/>
    <cellStyle name="Input 18 3" xfId="4843" xr:uid="{2CD0AE3A-79A8-48A6-9477-614C1645B1D5}"/>
    <cellStyle name="Input 18 3 2" xfId="7487" xr:uid="{B081B767-D72C-401E-A3C3-00CEB7095BA4}"/>
    <cellStyle name="Input 18 3 2 2" xfId="12254" xr:uid="{6A4F4C0C-F476-4D4E-9F10-9301FB4C6727}"/>
    <cellStyle name="Input 18 3 2 2 2" xfId="28935" xr:uid="{384804FB-560B-4A14-A264-F1E42243550A}"/>
    <cellStyle name="Input 18 3 2 2 3" xfId="42168" xr:uid="{D0AAE92C-4E57-4665-961A-B88A9CFBCD44}"/>
    <cellStyle name="Input 18 3 2 3" xfId="25042" xr:uid="{FEF92EAD-F356-49D9-9BB4-846250657CD3}"/>
    <cellStyle name="Input 18 3 2 4" xfId="38118" xr:uid="{FAB1F581-886B-4643-87DC-88692D7993BF}"/>
    <cellStyle name="Input 18 3 3" xfId="13835" xr:uid="{02F28177-A474-4032-89B7-6DE6CABD2D63}"/>
    <cellStyle name="Input 18 3 3 2" xfId="30237" xr:uid="{B5C6D262-618B-4C31-A5D0-F4843B9F362B}"/>
    <cellStyle name="Input 18 3 3 3" xfId="43607" xr:uid="{9E446E96-3DD2-460C-9DF4-C215E3BFE800}"/>
    <cellStyle name="Input 18 3 4" xfId="22643" xr:uid="{4D424455-FD1B-45DF-82F4-B05870F084C0}"/>
    <cellStyle name="Input 18 3 5" xfId="35696" xr:uid="{EA46F44B-92A9-4834-B578-4DC7F72588A9}"/>
    <cellStyle name="Input 18 4" xfId="5868" xr:uid="{62DADA54-C448-46B4-8B5F-A67B92CE789B}"/>
    <cellStyle name="Input 18 4 2" xfId="9028" xr:uid="{9F39CDED-2686-492A-B7AC-3FD301D40BD6}"/>
    <cellStyle name="Input 18 4 2 2" xfId="15293" xr:uid="{E0E4CB50-6C92-47A4-930F-CE5261DAA4A1}"/>
    <cellStyle name="Input 18 4 2 2 2" xfId="31461" xr:uid="{5D847608-F706-4EC8-B4D0-CC80CBFE9273}"/>
    <cellStyle name="Input 18 4 2 2 3" xfId="44941" xr:uid="{7A665D43-9F16-402D-A11E-608E40AF91E2}"/>
    <cellStyle name="Input 18 4 2 3" xfId="26511" xr:uid="{CE452154-A474-49CE-B3D1-78D4261998D9}"/>
    <cellStyle name="Input 18 4 2 4" xfId="39587" xr:uid="{D234E0A2-CA50-4824-8A74-DEA4B0CD73B1}"/>
    <cellStyle name="Input 18 4 3" xfId="15648" xr:uid="{9B9AAE90-4C45-49E6-AB6E-03DF431FE307}"/>
    <cellStyle name="Input 18 4 3 2" xfId="31766" xr:uid="{20899F90-87AB-442C-BD8B-31CCA4E76C50}"/>
    <cellStyle name="Input 18 4 3 3" xfId="45271" xr:uid="{940D86EE-0116-4E4D-9150-77C4E57E1AEC}"/>
    <cellStyle name="Input 18 4 4" xfId="23515" xr:uid="{9BED5EBA-CD9B-4F9F-873D-75BAB1F148FD}"/>
    <cellStyle name="Input 18 4 5" xfId="36596" xr:uid="{95866D96-DA5F-4965-B9FF-69C44CDDCA6D}"/>
    <cellStyle name="Input 18 5" xfId="11524" xr:uid="{1E48B2CD-73AA-413E-8791-93329E7D1071}"/>
    <cellStyle name="Input 18 5 2" xfId="28282" xr:uid="{1F2BCE8B-FD2D-4A4D-9324-A5D1DC80558F}"/>
    <cellStyle name="Input 18 5 3" xfId="41479" xr:uid="{419E0B41-2961-4B3C-84C8-174D54378BC5}"/>
    <cellStyle name="Input 18 6" xfId="21780" xr:uid="{21D7508F-6F5D-4DF6-A5FF-8187DF0E6A93}"/>
    <cellStyle name="Input 18 7" xfId="34831" xr:uid="{621D3CB4-6253-490A-829F-C408DB93A900}"/>
    <cellStyle name="Input 19" xfId="3954" xr:uid="{C4AAC26D-3961-48E1-A630-C2A4F31FDD9B}"/>
    <cellStyle name="Input 19 2" xfId="3258" xr:uid="{F93A4472-C2BA-4569-B3F2-33A43A08963C}"/>
    <cellStyle name="Input 19 2 2" xfId="8545" xr:uid="{5D873A8E-E853-4027-BAA0-F8FCC0B25506}"/>
    <cellStyle name="Input 19 2 2 2" xfId="10978" xr:uid="{2FB82190-3A3C-42AE-B223-7E5A69E00C55}"/>
    <cellStyle name="Input 19 2 2 2 2" xfId="27787" xr:uid="{DB984EAD-BB3B-4F30-8149-EC7B0967FA8F}"/>
    <cellStyle name="Input 19 2 2 2 3" xfId="40958" xr:uid="{C332ED2D-8FBD-40CD-8932-FE18A8A95786}"/>
    <cellStyle name="Input 19 2 2 3" xfId="26044" xr:uid="{47BDBA14-5E9A-459C-A53C-A7E22E64DD6B}"/>
    <cellStyle name="Input 19 2 2 4" xfId="39120" xr:uid="{6D66A3C7-C82A-459F-B81A-3578A66095D9}"/>
    <cellStyle name="Input 19 2 3" xfId="6916" xr:uid="{555FD6A0-F243-4465-86A4-BAF1A2E267CD}"/>
    <cellStyle name="Input 19 2 3 2" xfId="15666" xr:uid="{88FC813F-6159-44F9-BBDC-F720606F7363}"/>
    <cellStyle name="Input 19 2 3 2 2" xfId="31781" xr:uid="{C3493DA8-71D4-4337-B5E8-8F739EB6AF16}"/>
    <cellStyle name="Input 19 2 3 2 3" xfId="45287" xr:uid="{60B91980-D022-495C-B623-F551A6E7D0AD}"/>
    <cellStyle name="Input 19 2 3 3" xfId="24539" xr:uid="{5A7029FE-C2AD-4FA2-A615-367820DB7ADB}"/>
    <cellStyle name="Input 19 2 3 4" xfId="37620" xr:uid="{5DD91096-1065-4628-A04B-279CF432366F}"/>
    <cellStyle name="Input 19 2 4" xfId="13479" xr:uid="{BB981441-5F89-4E10-9BFD-C2DAC84CC7BC}"/>
    <cellStyle name="Input 19 2 4 2" xfId="29940" xr:uid="{28227627-FF16-49ED-B00A-9EAE658A4947}"/>
    <cellStyle name="Input 19 2 4 3" xfId="43280" xr:uid="{4D76FC40-CA46-47A8-9EEC-FEE1D93C8E46}"/>
    <cellStyle name="Input 19 2 5" xfId="21291" xr:uid="{1AC6DA49-3E0D-4DD3-AC87-13209DB02B06}"/>
    <cellStyle name="Input 19 2 6" xfId="34314" xr:uid="{677D16AE-EFA1-4A62-9979-3D63B033028D}"/>
    <cellStyle name="Input 19 3" xfId="4866" xr:uid="{40080E84-7CBF-4B21-A1B1-6BEF43584047}"/>
    <cellStyle name="Input 19 3 2" xfId="7534" xr:uid="{5AEB3ED2-41E1-4D11-A054-6F04A8DA8F15}"/>
    <cellStyle name="Input 19 3 2 2" xfId="11854" xr:uid="{57F028C6-E64F-4A98-850D-08E4BAAEA7DE}"/>
    <cellStyle name="Input 19 3 2 2 2" xfId="28571" xr:uid="{571D864B-F56A-49C5-B0F6-3F18124F1D7E}"/>
    <cellStyle name="Input 19 3 2 2 3" xfId="41787" xr:uid="{6DAADD25-CF72-4D8B-9C04-7560073C40D2}"/>
    <cellStyle name="Input 19 3 2 3" xfId="25065" xr:uid="{8E869739-8F27-4668-97F1-409D27C7EEF5}"/>
    <cellStyle name="Input 19 3 2 4" xfId="38141" xr:uid="{98CFAF58-7C75-4602-9D41-C452AF3EBAE8}"/>
    <cellStyle name="Input 19 3 3" xfId="17061" xr:uid="{CB9A2A60-F849-47F2-8272-F4F1D0575145}"/>
    <cellStyle name="Input 19 3 3 2" xfId="32832" xr:uid="{A5344FA6-BB78-4253-B336-624CEDE3B2C0}"/>
    <cellStyle name="Input 19 3 3 3" xfId="46602" xr:uid="{0DA8B3B9-4C13-47D0-9C9F-CB84C4153C4B}"/>
    <cellStyle name="Input 19 3 4" xfId="22666" xr:uid="{595C46E3-13E1-4C13-BF32-974761613E32}"/>
    <cellStyle name="Input 19 3 5" xfId="35719" xr:uid="{BC40A6ED-6B1F-435C-821E-AF7646E4E7DC}"/>
    <cellStyle name="Input 19 4" xfId="5891" xr:uid="{25D5B7C1-E980-4284-AC5D-E0CD4D3B558E}"/>
    <cellStyle name="Input 19 4 2" xfId="9051" xr:uid="{992E29A0-B072-4234-A878-A3C25FC202B4}"/>
    <cellStyle name="Input 19 4 2 2" xfId="12160" xr:uid="{D026CC9C-4163-4E16-83B1-E2094B6B3AAE}"/>
    <cellStyle name="Input 19 4 2 2 2" xfId="28858" xr:uid="{BA25B058-37F9-435C-A9EE-BA1A328DDFFD}"/>
    <cellStyle name="Input 19 4 2 2 3" xfId="42080" xr:uid="{1B968CF0-75B6-44A3-8CDE-32FF54F23127}"/>
    <cellStyle name="Input 19 4 2 3" xfId="26534" xr:uid="{D7C8DBE3-E515-45D9-B6C7-82194EBCA98A}"/>
    <cellStyle name="Input 19 4 2 4" xfId="39610" xr:uid="{FAFCE294-5E73-400A-9A0B-1E27A6728C07}"/>
    <cellStyle name="Input 19 4 3" xfId="13412" xr:uid="{8647A5B8-60B3-4F28-A0AD-CCAEE1E542F3}"/>
    <cellStyle name="Input 19 4 3 2" xfId="29881" xr:uid="{6DA4B87F-7961-4372-B0C4-A6C3F8C0F6B9}"/>
    <cellStyle name="Input 19 4 3 3" xfId="43216" xr:uid="{BF9A205C-CEA4-48E3-96E1-996D124140BB}"/>
    <cellStyle name="Input 19 4 4" xfId="23538" xr:uid="{F87F2AB4-3F34-457D-BDDC-DD4FFEB453B7}"/>
    <cellStyle name="Input 19 4 5" xfId="36619" xr:uid="{2A028586-6A2B-46AA-9D10-40130C1B1A8F}"/>
    <cellStyle name="Input 19 5" xfId="16643" xr:uid="{6A681017-620D-44F2-B539-4F6A54E2B762}"/>
    <cellStyle name="Input 19 5 2" xfId="32549" xr:uid="{F9B51626-5B8D-4692-ACE1-16F892A10244}"/>
    <cellStyle name="Input 19 5 3" xfId="46190" xr:uid="{AF4845A3-1A64-4970-A884-6AD27951D087}"/>
    <cellStyle name="Input 19 6" xfId="21804" xr:uid="{52BDE6EC-68D2-4C6A-8045-3090ECD29637}"/>
    <cellStyle name="Input 19 7" xfId="34854" xr:uid="{129F352E-E83F-4D97-AF89-9A25B16CE06D}"/>
    <cellStyle name="Input 2" xfId="3413" xr:uid="{3D0C3F08-BA17-455B-AB37-88CF59593F0B}"/>
    <cellStyle name="Input 2 10" xfId="20486" xr:uid="{1E6009F0-912B-4CE7-9CBC-69BF6B74253A}"/>
    <cellStyle name="Input 2 11" xfId="34431" xr:uid="{85AC6034-670D-4486-B207-0E0B53B79D1B}"/>
    <cellStyle name="Input 2 2" xfId="2755" xr:uid="{6EE7D59A-8B4B-4749-A716-52A8DF5BC1E3}"/>
    <cellStyle name="Input 2 2 2" xfId="5098" xr:uid="{0885BC85-3C99-4F06-ACCB-B91E6C715986}"/>
    <cellStyle name="Input 2 2 2 2" xfId="8051" xr:uid="{CEA9612D-DB1F-4768-A590-221C7CA9AF39}"/>
    <cellStyle name="Input 2 2 2 2 2" xfId="12255" xr:uid="{F2F8411C-FACE-4890-B513-D6E338F509DF}"/>
    <cellStyle name="Input 2 2 2 2 2 2" xfId="28936" xr:uid="{59298702-FD02-4205-800D-5A93C1D37044}"/>
    <cellStyle name="Input 2 2 2 2 2 3" xfId="42169" xr:uid="{6211DECA-C037-4476-BB85-EEED7D55D9C1}"/>
    <cellStyle name="Input 2 2 2 2 3" xfId="25564" xr:uid="{337EE6BA-1B01-41D3-A942-FBD7E585D5FE}"/>
    <cellStyle name="Input 2 2 2 2 4" xfId="38640" xr:uid="{58EF2E56-A183-4B82-8D2B-4D5678A0D1FD}"/>
    <cellStyle name="Input 2 2 2 3" xfId="16552" xr:uid="{95A97208-3D1E-40A6-8555-9DFF1937D5EB}"/>
    <cellStyle name="Input 2 2 2 3 2" xfId="32488" xr:uid="{3ED34F6F-E2E4-40D5-A803-4099A14A51B3}"/>
    <cellStyle name="Input 2 2 2 3 3" xfId="46099" xr:uid="{BDC21744-E4EB-44E3-8847-4C4EDB020AA5}"/>
    <cellStyle name="Input 2 2 2 4" xfId="22823" xr:uid="{E43A5439-FEE8-44A9-9937-A16373C60B0E}"/>
    <cellStyle name="Input 2 2 2 5" xfId="35892" xr:uid="{8106BDEE-DD47-45B8-BFB7-27518EF435D6}"/>
    <cellStyle name="Input 2 2 3" xfId="6418" xr:uid="{A08FA5A0-507B-4727-A126-E3456D9866E9}"/>
    <cellStyle name="Input 2 2 3 2" xfId="15867" xr:uid="{D7CA5073-E3D2-4C6C-BB55-AA8A66109750}"/>
    <cellStyle name="Input 2 2 3 2 2" xfId="31956" xr:uid="{F74FDF60-3687-4856-8C8A-75F1D11B6F56}"/>
    <cellStyle name="Input 2 2 3 2 3" xfId="45470" xr:uid="{405E01AE-FDF2-416C-A2F8-2DED08C1A4B2}"/>
    <cellStyle name="Input 2 2 3 3" xfId="24055" xr:uid="{5EA07EB2-BC3C-46B1-9FE4-B980FE9E9719}"/>
    <cellStyle name="Input 2 2 3 4" xfId="37136" xr:uid="{FE222260-842F-42B0-94E9-D7CC2562F2B0}"/>
    <cellStyle name="Input 2 2 4" xfId="11677" xr:uid="{D6B02D77-9850-486D-81E4-B5D075EA8FCE}"/>
    <cellStyle name="Input 2 2 4 2" xfId="28414" xr:uid="{DDDB9E99-4DA9-4808-9FA2-9B0F40C311FD}"/>
    <cellStyle name="Input 2 2 4 3" xfId="41620" xr:uid="{BA4D786F-E91B-4D1E-8D04-1E538E0C04F2}"/>
    <cellStyle name="Input 2 2 5" xfId="20807" xr:uid="{11BB3481-9DFB-433D-882E-0690A3A6470A}"/>
    <cellStyle name="Input 2 2 6" xfId="33830" xr:uid="{B28329C4-62D5-4793-8D29-596548060512}"/>
    <cellStyle name="Input 2 3" xfId="4050" xr:uid="{75130F8B-C89D-4AB7-9FAF-240643F1F08D}"/>
    <cellStyle name="Input 2 3 2" xfId="5193" xr:uid="{81563B46-DCD3-4ECA-B720-BDCE7A4B0FE9}"/>
    <cellStyle name="Input 2 3 2 2" xfId="9103" xr:uid="{300B6E8E-6A7C-4C2B-8386-66285C3F5281}"/>
    <cellStyle name="Input 2 3 2 2 2" xfId="15418" xr:uid="{806E7CE3-1277-4840-AB94-BA9C1D49FB42}"/>
    <cellStyle name="Input 2 3 2 2 2 2" xfId="31569" xr:uid="{67A87C6B-3F15-42A0-8593-3CD3857A2B66}"/>
    <cellStyle name="Input 2 3 2 2 2 3" xfId="45060" xr:uid="{46310B05-B2AB-4C4F-BFBC-8DB2A992DE03}"/>
    <cellStyle name="Input 2 3 2 2 3" xfId="26584" xr:uid="{377C10EC-F21D-47BD-9895-E43586027027}"/>
    <cellStyle name="Input 2 3 2 2 4" xfId="39660" xr:uid="{697D733E-7D39-4EB5-9847-879BAD389B66}"/>
    <cellStyle name="Input 2 3 2 3" xfId="13471" xr:uid="{DB36F1F5-4789-4AC4-A4F0-8CF89357C782}"/>
    <cellStyle name="Input 2 3 2 3 2" xfId="29933" xr:uid="{8383396F-98D1-4425-B999-7F71938DBA4E}"/>
    <cellStyle name="Input 2 3 2 3 3" xfId="43272" xr:uid="{B6C04406-23A9-49A8-B57F-12887A21DEA1}"/>
    <cellStyle name="Input 2 3 2 4" xfId="22869" xr:uid="{C3B1C261-3746-4954-A730-046D5B481648}"/>
    <cellStyle name="Input 2 3 2 5" xfId="35938" xr:uid="{8D4C35EB-1AB6-4083-BC3E-D1D9C586371F}"/>
    <cellStyle name="Input 2 3 3" xfId="7615" xr:uid="{841B9159-512A-4325-88D6-9789B55D0908}"/>
    <cellStyle name="Input 2 3 3 2" xfId="13963" xr:uid="{7C494016-F8FF-44C3-A989-C1C1469E385C}"/>
    <cellStyle name="Input 2 3 3 2 2" xfId="30350" xr:uid="{D8DF1830-15D7-4665-B74E-34E921A1B9E7}"/>
    <cellStyle name="Input 2 3 3 2 3" xfId="43727" xr:uid="{E144AFE5-7AC6-47D7-9084-269F45CB3119}"/>
    <cellStyle name="Input 2 3 3 3" xfId="25143" xr:uid="{D680223B-577D-4372-8178-444D9509ADA5}"/>
    <cellStyle name="Input 2 3 3 4" xfId="38219" xr:uid="{3780FC06-F30D-4CED-B88C-783972A20019}"/>
    <cellStyle name="Input 2 3 4" xfId="17299" xr:uid="{EA7D79F8-6E51-4503-958C-4B8920AF9B37}"/>
    <cellStyle name="Input 2 3 4 2" xfId="33057" xr:uid="{D950A69B-C12E-4CEF-806E-8531C35FFD7D}"/>
    <cellStyle name="Input 2 3 4 3" xfId="46833" xr:uid="{B8DDF224-E708-4979-B119-12A16251C78F}"/>
    <cellStyle name="Input 2 3 5" xfId="21884" xr:uid="{544AA7F3-C28A-4B48-B696-A2817DF6C0DA}"/>
    <cellStyle name="Input 2 3 6" xfId="34933" xr:uid="{996A3C73-98DE-4D19-88B3-A2D03999403D}"/>
    <cellStyle name="Input 2 4" xfId="2605" xr:uid="{FFE7BE5B-4340-4719-AA0E-68E25C1D7ECA}"/>
    <cellStyle name="Input 2 4 2" xfId="5054" xr:uid="{E13D9CC4-7DD6-4EB1-933B-743CAE1745B7}"/>
    <cellStyle name="Input 2 4 2 2" xfId="7902" xr:uid="{670EDF01-603B-423A-88D5-5AF6A492CD04}"/>
    <cellStyle name="Input 2 4 2 2 2" xfId="16582" xr:uid="{57A530D7-461E-40CF-864C-EEC5AF0CFE52}"/>
    <cellStyle name="Input 2 4 2 2 2 2" xfId="32505" xr:uid="{0CEE5EE9-E194-4B82-87D6-CE36713FA8AD}"/>
    <cellStyle name="Input 2 4 2 2 2 3" xfId="46129" xr:uid="{6FB15915-D9ED-44B6-B36D-36A1DD89C1C8}"/>
    <cellStyle name="Input 2 4 2 2 3" xfId="25419" xr:uid="{1C24260B-556D-4132-99F1-69E8D2E28439}"/>
    <cellStyle name="Input 2 4 2 2 4" xfId="38495" xr:uid="{204778B2-A7E9-4BB5-B9B1-C00218C9C5DE}"/>
    <cellStyle name="Input 2 4 2 3" xfId="10973" xr:uid="{45F25411-B65A-4FC5-A02F-F2E4E355E05B}"/>
    <cellStyle name="Input 2 4 2 3 2" xfId="27783" xr:uid="{08AEB2D1-52A4-4AF3-B7D8-A9D415AA969C}"/>
    <cellStyle name="Input 2 4 2 3 3" xfId="40953" xr:uid="{BB31FDA2-843F-4960-BC73-2D659A830C4B}"/>
    <cellStyle name="Input 2 4 2 4" xfId="22803" xr:uid="{EA43E305-9825-41B2-9004-7F1053AE7495}"/>
    <cellStyle name="Input 2 4 2 5" xfId="35868" xr:uid="{BD98FA49-AD07-4FC5-BD92-927FC8259169}"/>
    <cellStyle name="Input 2 4 3" xfId="6269" xr:uid="{7B153BFE-3DD8-4D73-B2D2-73095D73A579}"/>
    <cellStyle name="Input 2 4 3 2" xfId="14913" xr:uid="{D9FD612A-EC0D-4CEC-A065-E7DECC504BC9}"/>
    <cellStyle name="Input 2 4 3 2 2" xfId="31159" xr:uid="{E8B29B88-B0EF-4D08-A2AE-CBA39DE56EFA}"/>
    <cellStyle name="Input 2 4 3 2 3" xfId="44602" xr:uid="{20D08C86-94E7-480B-9D95-CEECE6E1967F}"/>
    <cellStyle name="Input 2 4 3 3" xfId="23910" xr:uid="{649846B1-D8A0-4DB2-8F80-CAFB2A2C8F65}"/>
    <cellStyle name="Input 2 4 3 4" xfId="36991" xr:uid="{B3C48141-FD11-449C-A6EE-081B7F6F3D18}"/>
    <cellStyle name="Input 2 4 4" xfId="12152" xr:uid="{56EF9BC5-DB78-4ABD-B21E-BD479F579E5E}"/>
    <cellStyle name="Input 2 4 4 2" xfId="28851" xr:uid="{4B12ABB3-DC5D-4B8A-85E6-3DFE4E418D3A}"/>
    <cellStyle name="Input 2 4 4 3" xfId="42072" xr:uid="{EA10C4A8-FA27-4E60-88DB-3926DF7221F5}"/>
    <cellStyle name="Input 2 4 5" xfId="20662" xr:uid="{AFD65C38-8BE2-4CBA-BA23-5601898C6B4B}"/>
    <cellStyle name="Input 2 4 6" xfId="33685" xr:uid="{28BDBA09-F3DD-4A50-B572-412A714C039F}"/>
    <cellStyle name="Input 2 5" xfId="4236" xr:uid="{A59E6F09-54D8-49BF-86F6-0A41D8DB7E8E}"/>
    <cellStyle name="Input 2 5 2" xfId="4983" xr:uid="{883B0AEC-C803-4247-BB97-7823F133E0C8}"/>
    <cellStyle name="Input 2 5 2 2" xfId="9288" xr:uid="{48C9D7EE-5518-4BAA-89D9-FC0BE92C7BD1}"/>
    <cellStyle name="Input 2 5 2 2 2" xfId="15534" xr:uid="{6E52E9A9-A342-4F2F-A16A-379B71FA8C28}"/>
    <cellStyle name="Input 2 5 2 2 2 2" xfId="31669" xr:uid="{E6A2353B-50B7-4103-BB72-ECE1B5E95AA4}"/>
    <cellStyle name="Input 2 5 2 2 2 3" xfId="45168" xr:uid="{4F269FE5-2A48-4CDC-ACFF-7D5AB3DAD0BF}"/>
    <cellStyle name="Input 2 5 2 2 3" xfId="26761" xr:uid="{7CA1CB44-DC2A-4C09-96D8-39CB680E24B1}"/>
    <cellStyle name="Input 2 5 2 2 4" xfId="39837" xr:uid="{E494DF99-68D7-4CD3-A204-4B0FF144F171}"/>
    <cellStyle name="Input 2 5 2 3" xfId="16699" xr:uid="{59F58805-5EDA-4700-80C8-A20805D0BE98}"/>
    <cellStyle name="Input 2 5 2 3 2" xfId="32585" xr:uid="{B4B42185-B8C1-4C68-A529-689F53AE1A4B}"/>
    <cellStyle name="Input 2 5 2 3 3" xfId="46244" xr:uid="{8261F35A-796F-4F8F-A144-635346AEB56D}"/>
    <cellStyle name="Input 2 5 2 4" xfId="22755" xr:uid="{8A97C177-9E23-4267-90B3-86C770135F5B}"/>
    <cellStyle name="Input 2 5 2 5" xfId="35812" xr:uid="{BDC6A50C-84C4-4DA4-83E9-2F2C384722E2}"/>
    <cellStyle name="Input 2 5 3" xfId="7800" xr:uid="{9734ED08-75D4-408C-90A4-A65484970FFE}"/>
    <cellStyle name="Input 2 5 3 2" xfId="12583" xr:uid="{C3E871D6-455A-4F58-9222-C88D497DB98A}"/>
    <cellStyle name="Input 2 5 3 2 2" xfId="29199" xr:uid="{9CF36424-DE6C-4255-83C7-A282F5828ED5}"/>
    <cellStyle name="Input 2 5 3 2 3" xfId="42462" xr:uid="{FCC2F63E-0BE2-4A91-AA1F-4638F4FCF3CD}"/>
    <cellStyle name="Input 2 5 3 3" xfId="25320" xr:uid="{CCC82A61-0D45-45F4-8D26-A43B81D1EC16}"/>
    <cellStyle name="Input 2 5 3 4" xfId="38396" xr:uid="{1DFDC4FC-5FAA-4933-8352-B93EC9B91CDD}"/>
    <cellStyle name="Input 2 5 4" xfId="11134" xr:uid="{BBBE2F43-8CEC-4E21-A87E-3ACC3E86DA89}"/>
    <cellStyle name="Input 2 5 4 2" xfId="27932" xr:uid="{C2879849-D4DB-4F72-9BF3-1E2ED6FD3F76}"/>
    <cellStyle name="Input 2 5 4 3" xfId="41112" xr:uid="{EAA8580F-9ABD-43FD-892F-D0B972562059}"/>
    <cellStyle name="Input 2 5 5" xfId="22061" xr:uid="{F81290E8-74B1-472C-8D00-64DF1ACBF633}"/>
    <cellStyle name="Input 2 5 6" xfId="35110" xr:uid="{B92AAD5A-A5D7-46BC-AA61-B90480BDD675}"/>
    <cellStyle name="Input 2 6" xfId="4416" xr:uid="{F594A193-90AE-44BF-85E7-5EF4D677BB98}"/>
    <cellStyle name="Input 2 6 2" xfId="7055" xr:uid="{6BE34E0C-4AE0-4896-A52D-845930F219D8}"/>
    <cellStyle name="Input 2 6 2 2" xfId="14319" xr:uid="{AE1F027D-53E2-4D74-AA29-9A7360B2F321}"/>
    <cellStyle name="Input 2 6 2 2 2" xfId="30656" xr:uid="{2E663E15-1540-410A-BC8D-74B9C0D4BBAA}"/>
    <cellStyle name="Input 2 6 2 2 3" xfId="44050" xr:uid="{10882166-3DF9-4384-BEDD-AC6AFA817D79}"/>
    <cellStyle name="Input 2 6 2 3" xfId="24656" xr:uid="{59413B9D-EA40-4E0E-8344-C74BAF0C1CA0}"/>
    <cellStyle name="Input 2 6 2 4" xfId="37737" xr:uid="{DD73A600-449B-4FEF-8B97-716C5769E27C}"/>
    <cellStyle name="Input 2 6 3" xfId="14307" xr:uid="{368FE5BB-BEF9-46DF-A8DE-038E5C9310C6}"/>
    <cellStyle name="Input 2 6 3 2" xfId="30645" xr:uid="{1B71112B-2DB0-4FB7-BE79-9436E8189381}"/>
    <cellStyle name="Input 2 6 3 3" xfId="44039" xr:uid="{BB89CEF9-4044-4508-91E7-07668244BD7C}"/>
    <cellStyle name="Input 2 6 4" xfId="22235" xr:uid="{618B2548-50DB-405A-B760-67D6B95D281D}"/>
    <cellStyle name="Input 2 6 5" xfId="35284" xr:uid="{5439BBD0-64EC-4497-BAAE-28579D3DF5EE}"/>
    <cellStyle name="Input 2 7" xfId="5470" xr:uid="{C32D3A65-039B-4DAC-B43F-00D13C8A4B0E}"/>
    <cellStyle name="Input 2 7 2" xfId="8650" xr:uid="{CBBBFD83-969D-49B7-9B58-D3E44ADA8497}"/>
    <cellStyle name="Input 2 7 2 2" xfId="15414" xr:uid="{912B956F-E1E6-4249-8437-AE21ADB369EB}"/>
    <cellStyle name="Input 2 7 2 2 2" xfId="31565" xr:uid="{0BC9CE97-C29A-47AB-ACEE-AD47EDD565E6}"/>
    <cellStyle name="Input 2 7 2 2 3" xfId="45056" xr:uid="{1D9E9856-A128-499A-B6F5-1B9A50797B6B}"/>
    <cellStyle name="Input 2 7 2 3" xfId="26145" xr:uid="{6FACEAF5-64B8-4BD3-8B24-D51B8766D44E}"/>
    <cellStyle name="Input 2 7 2 4" xfId="39221" xr:uid="{FE9005AF-7FE4-4DA0-89D7-4B59C1BB2F26}"/>
    <cellStyle name="Input 2 7 3" xfId="11593" xr:uid="{4A58FE27-C9F4-47B6-90F0-DB3D956E55E0}"/>
    <cellStyle name="Input 2 7 3 2" xfId="28343" xr:uid="{E7F02431-701D-47B2-B922-78FAA5286EF7}"/>
    <cellStyle name="Input 2 7 3 3" xfId="41544" xr:uid="{0C061731-50C9-4459-A7CE-A2CDF88EC3AF}"/>
    <cellStyle name="Input 2 7 4" xfId="23117" xr:uid="{D55448CA-AD58-4E50-A3AA-289A3EEC71CD}"/>
    <cellStyle name="Input 2 7 5" xfId="36198" xr:uid="{7CD0096C-6D19-4446-B871-E419D1FADA98}"/>
    <cellStyle name="Input 2 8" xfId="17280" xr:uid="{3D58E535-06CE-4ECC-BA64-7FA943717211}"/>
    <cellStyle name="Input 2 8 2" xfId="33038" xr:uid="{119E4D0D-2145-4E19-A65F-238A84AB7C58}"/>
    <cellStyle name="Input 2 8 3" xfId="46814" xr:uid="{DC9385BC-17D4-4D8D-B31A-1F0DB0988890}"/>
    <cellStyle name="Input 2 9" xfId="17733" xr:uid="{E6830006-60BE-4C81-9DFD-DCCEC36DEF19}"/>
    <cellStyle name="Input 2 9 2" xfId="33455" xr:uid="{36299A23-7F58-4512-ABE1-DD89278E3CE6}"/>
    <cellStyle name="Input 2 9 3" xfId="47238" xr:uid="{D021673B-8571-47B9-A5B3-781DE7BA160E}"/>
    <cellStyle name="Input 20" xfId="3082" xr:uid="{2B4AFBA6-C500-4B45-B2D8-DBB08DB6937F}"/>
    <cellStyle name="Input 20 2" xfId="4972" xr:uid="{B145FA0D-E903-4201-A0EC-29552FCA37C0}"/>
    <cellStyle name="Input 20 2 2" xfId="8374" xr:uid="{90655F98-FE48-4119-B615-59484827F246}"/>
    <cellStyle name="Input 20 2 2 2" xfId="14620" xr:uid="{71D86C4F-DE57-4D09-BBB1-E137EB630A30}"/>
    <cellStyle name="Input 20 2 2 2 2" xfId="30918" xr:uid="{DAF2643C-8D54-4216-96A4-1961AC11493A}"/>
    <cellStyle name="Input 20 2 2 2 3" xfId="44339" xr:uid="{E2E8EA04-8E26-4A57-95DB-373A83624594}"/>
    <cellStyle name="Input 20 2 2 3" xfId="25878" xr:uid="{AF35E6DC-5E84-4112-ADD6-8FEDF865448D}"/>
    <cellStyle name="Input 20 2 2 4" xfId="38954" xr:uid="{DBEA3B81-29B3-4E3F-AEAB-EC66F73E05C3}"/>
    <cellStyle name="Input 20 2 3" xfId="12715" xr:uid="{3A0677E0-5794-4816-AF8D-2530BB7FF47F}"/>
    <cellStyle name="Input 20 2 3 2" xfId="29298" xr:uid="{037D90FF-ED4F-4D6B-B0E9-19D4F4590E35}"/>
    <cellStyle name="Input 20 2 3 3" xfId="42575" xr:uid="{E28B57FB-63E1-4063-BF90-092E84B858F6}"/>
    <cellStyle name="Input 20 2 4" xfId="22749" xr:uid="{3DEC7249-4A02-41CE-9A2E-606FE60BC67B}"/>
    <cellStyle name="Input 20 2 5" xfId="35805" xr:uid="{301C9A16-D47D-4505-848B-ADBCE184F472}"/>
    <cellStyle name="Input 20 3" xfId="6741" xr:uid="{450C535B-02FE-4ED4-8BEB-7BE1EAA17923}"/>
    <cellStyle name="Input 20 3 2" xfId="16881" xr:uid="{D0ABDDF1-E8D9-4E54-B489-0CA50F4900BC}"/>
    <cellStyle name="Input 20 3 2 2" xfId="32758" xr:uid="{64A09991-3AEA-47EC-8981-5476D45BA20A}"/>
    <cellStyle name="Input 20 3 2 3" xfId="46423" xr:uid="{5BD20776-598E-4805-BBAF-F967EF8BB0D1}"/>
    <cellStyle name="Input 20 3 3" xfId="24369" xr:uid="{8F03F657-E9FB-42CD-808B-28C33ED798B8}"/>
    <cellStyle name="Input 20 3 4" xfId="37450" xr:uid="{E06F6469-70E4-4EC2-BBCD-DDF4A01BCF45}"/>
    <cellStyle name="Input 20 4" xfId="12644" xr:uid="{2718FD8D-1C7B-4219-9A8C-C64CA43A98B7}"/>
    <cellStyle name="Input 20 4 2" xfId="29247" xr:uid="{0419C680-A59E-495E-8888-EE62B645D2E9}"/>
    <cellStyle name="Input 20 4 3" xfId="42515" xr:uid="{8020B7C3-1C8D-4E5B-B558-4EF00CE7D540}"/>
    <cellStyle name="Input 20 5" xfId="21121" xr:uid="{E6314A4A-7DE8-490D-94F4-B99BB093BB0A}"/>
    <cellStyle name="Input 20 6" xfId="34144" xr:uid="{8DB37818-1A03-44CF-9D92-F017E4EDB6D9}"/>
    <cellStyle name="Input 21" xfId="2634" xr:uid="{6AB5607F-198E-4947-B56D-3D58229A92AA}"/>
    <cellStyle name="Input 21 2" xfId="7931" xr:uid="{1B9ABEFE-D0DC-4C2F-AB27-EBC886731A25}"/>
    <cellStyle name="Input 21 2 2" xfId="15086" xr:uid="{C6F0C315-38CA-447C-8D0E-7A9961EE1C88}"/>
    <cellStyle name="Input 21 2 2 2" xfId="31294" xr:uid="{AF95E5B2-956B-4DA6-960F-073ADE93F6F0}"/>
    <cellStyle name="Input 21 2 2 3" xfId="44753" xr:uid="{FB0119A2-1B3E-405B-9E77-0F5627FA51EF}"/>
    <cellStyle name="Input 21 2 3" xfId="25447" xr:uid="{26541B95-E7EF-4875-925A-12E1F63D11EB}"/>
    <cellStyle name="Input 21 2 4" xfId="38523" xr:uid="{E3DF1084-10B3-4E21-808F-1BF2B34BD514}"/>
    <cellStyle name="Input 21 3" xfId="6298" xr:uid="{FB83FD93-7460-4D18-9545-E0C4360AAF06}"/>
    <cellStyle name="Input 21 3 2" xfId="17160" xr:uid="{B53ED6FE-0FA3-4E3E-930E-1B42273E8395}"/>
    <cellStyle name="Input 21 3 2 2" xfId="32923" xr:uid="{4DDDD5EE-7984-43BB-AE13-77DDF9BBD604}"/>
    <cellStyle name="Input 21 3 2 3" xfId="46695" xr:uid="{4E0B3E76-D690-4CE6-B992-0DDFC8CC77AD}"/>
    <cellStyle name="Input 21 3 3" xfId="23938" xr:uid="{2A68A340-2C22-4EFC-9C72-3B85B1C99421}"/>
    <cellStyle name="Input 21 3 4" xfId="37019" xr:uid="{C9071D94-B69D-4A22-A393-F7B0253B1947}"/>
    <cellStyle name="Input 21 4" xfId="11858" xr:uid="{5E0E5DA1-9710-4082-A065-83260B0A4526}"/>
    <cellStyle name="Input 21 4 2" xfId="28575" xr:uid="{257E748E-D7E3-4B21-BBBD-604AB31AAE13}"/>
    <cellStyle name="Input 21 4 3" xfId="41791" xr:uid="{AFB90641-62DE-4DD4-A01D-C6C61ABF7BE8}"/>
    <cellStyle name="Input 21 5" xfId="20690" xr:uid="{D4DB0158-3D46-43FA-8262-BD4298218CD4}"/>
    <cellStyle name="Input 21 6" xfId="33713" xr:uid="{A2A2B8C3-7485-439D-AA13-EAE4C6FA52B0}"/>
    <cellStyle name="Input 22" xfId="2536" xr:uid="{89BAA6F4-3004-4553-BC62-7DC2CB64713A}"/>
    <cellStyle name="Input 22 2" xfId="6128" xr:uid="{FB6C7B0B-0C26-47FA-8ECA-8EF27D339FEB}"/>
    <cellStyle name="Input 22 2 2" xfId="15908" xr:uid="{C61EF980-F41E-49EB-AD5A-E5171311C80A}"/>
    <cellStyle name="Input 22 2 2 2" xfId="31990" xr:uid="{CB5CD3F8-82FC-44F6-B0A2-FD36A2808477}"/>
    <cellStyle name="Input 22 2 2 3" xfId="45506" xr:uid="{CBD8A916-2857-443E-9266-A16C3025E3A0}"/>
    <cellStyle name="Input 22 2 3" xfId="23774" xr:uid="{C1CE5F28-BD03-485F-A195-24C484A61F62}"/>
    <cellStyle name="Input 22 2 4" xfId="36855" xr:uid="{359E4AD9-5AC9-48B1-BBF1-5740E478EC0E}"/>
    <cellStyle name="Input 22 3" xfId="6201" xr:uid="{90C25A04-BAEC-4F24-9FF9-FB706683AEE7}"/>
    <cellStyle name="Input 22 3 2" xfId="16054" xr:uid="{BC035E4E-AC21-4DAB-A313-CE9D0DDE912B}"/>
    <cellStyle name="Input 22 3 2 2" xfId="32116" xr:uid="{EE2FB85E-E9BD-42A4-A2C6-CA72EFCEE11F}"/>
    <cellStyle name="Input 22 3 2 3" xfId="45635" xr:uid="{154425D6-EA5E-4621-8CD2-2F2CA50E7072}"/>
    <cellStyle name="Input 22 3 3" xfId="23845" xr:uid="{0C602761-0BC3-4418-80C4-C5176CFCC2FA}"/>
    <cellStyle name="Input 22 3 4" xfId="36926" xr:uid="{D8A069B1-F5A5-4F96-8FC7-395277454E18}"/>
    <cellStyle name="Input 22 4" xfId="16866" xr:uid="{353273E3-421A-43BD-B8EB-657949B3A011}"/>
    <cellStyle name="Input 22 4 2" xfId="32743" xr:uid="{EF37CCB2-4A0F-409E-B565-8FB01A39759F}"/>
    <cellStyle name="Input 22 4 3" xfId="46408" xr:uid="{FC70D7F1-A72B-40C4-A509-97FD08B4A38E}"/>
    <cellStyle name="Input 22 5" xfId="20597" xr:uid="{D1996AF9-7CD9-4349-B2E2-657488B50BD0}"/>
    <cellStyle name="Input 22 6" xfId="33620" xr:uid="{5C5DBCC5-CDE4-48DA-86C2-CAF99CEF3117}"/>
    <cellStyle name="Input 23" xfId="2542" xr:uid="{681EB64E-A29C-4B6D-99D0-468A20DA3F9A}"/>
    <cellStyle name="Input 23 2" xfId="7840" xr:uid="{EBA9E772-1EED-48A9-83CA-FE46999DF3E0}"/>
    <cellStyle name="Input 23 2 2" xfId="17495" xr:uid="{09ACAFEA-88DB-4B9E-A8DF-6412FB78D623}"/>
    <cellStyle name="Input 23 2 2 2" xfId="33238" xr:uid="{4E1AF5EE-B1FB-4282-8B4B-8B13F381FF52}"/>
    <cellStyle name="Input 23 2 2 3" xfId="47024" xr:uid="{4575A086-C3D1-44FA-9521-7A92AB90878B}"/>
    <cellStyle name="Input 23 2 3" xfId="25360" xr:uid="{8FF3C60D-E912-4CFE-9D2C-430DB6D3BE6A}"/>
    <cellStyle name="Input 23 2 4" xfId="38436" xr:uid="{ABCDC028-2994-4F8F-AAF5-910A9BB3737C}"/>
    <cellStyle name="Input 23 3" xfId="6207" xr:uid="{FFE89E14-C914-4AE6-8B67-F2D059B8BB20}"/>
    <cellStyle name="Input 23 3 2" xfId="13528" xr:uid="{85926745-07A0-45E2-B30A-ABE2F38E0493}"/>
    <cellStyle name="Input 23 3 2 2" xfId="29979" xr:uid="{DA80AFCA-4217-4DC0-B6D0-40040F0B29E3}"/>
    <cellStyle name="Input 23 3 2 3" xfId="43324" xr:uid="{F3DB7EBA-5A90-4A02-BD33-1B3D28A796F9}"/>
    <cellStyle name="Input 23 3 3" xfId="23851" xr:uid="{B4E75C7A-BBFF-471F-BF56-EA6FE7710926}"/>
    <cellStyle name="Input 23 3 4" xfId="36932" xr:uid="{809A3DB4-0258-42EB-B57F-EC20CE94A330}"/>
    <cellStyle name="Input 23 4" xfId="13365" xr:uid="{E310A341-4D5A-4DE8-B2EC-405E95283809}"/>
    <cellStyle name="Input 23 4 2" xfId="29840" xr:uid="{6F996F43-0C36-4D22-840D-4192D931DA45}"/>
    <cellStyle name="Input 23 4 3" xfId="43175" xr:uid="{D92F450D-9697-40B2-B54B-5F29A820A8A2}"/>
    <cellStyle name="Input 23 5" xfId="20603" xr:uid="{D4055FA1-EA12-4697-A22A-5B3658FB6A15}"/>
    <cellStyle name="Input 23 6" xfId="33626" xr:uid="{80DAEF88-95A7-422F-A1A6-41DDCE4C40B1}"/>
    <cellStyle name="Input 24" xfId="4257" xr:uid="{57D322FC-D31D-4B99-9117-DCCF575A31FD}"/>
    <cellStyle name="Input 24 2" xfId="9309" xr:uid="{2BB57A01-9B1D-4EEF-A058-640EC75537A2}"/>
    <cellStyle name="Input 24 2 2" xfId="12825" xr:uid="{1B13AEE7-EA9F-4210-B5DC-429A78B07FCF}"/>
    <cellStyle name="Input 24 2 2 2" xfId="29397" xr:uid="{0217B3D1-890B-4177-956D-C62E224959BD}"/>
    <cellStyle name="Input 24 2 2 3" xfId="42679" xr:uid="{F08D8A3C-A5F7-402A-B8F8-BAEAFBD1121D}"/>
    <cellStyle name="Input 24 2 3" xfId="26782" xr:uid="{558EC1E6-B220-4F6B-829A-433204309951}"/>
    <cellStyle name="Input 24 2 4" xfId="39858" xr:uid="{0B697001-7EBD-4948-B762-A1A463047898}"/>
    <cellStyle name="Input 24 3" xfId="7821" xr:uid="{DC30CB89-D23A-46F9-A3B4-7A30BAC50D81}"/>
    <cellStyle name="Input 24 3 2" xfId="11329" xr:uid="{C20FD989-4C93-4DDC-9F39-307756C4385F}"/>
    <cellStyle name="Input 24 3 2 2" xfId="28108" xr:uid="{3606B6D8-2473-4179-81CF-25A26EBC3EA5}"/>
    <cellStyle name="Input 24 3 2 3" xfId="41296" xr:uid="{BA4B8201-5120-4E16-A595-505700A6A574}"/>
    <cellStyle name="Input 24 3 3" xfId="25341" xr:uid="{84E288DC-C9EF-4D17-B732-8139B586CEC1}"/>
    <cellStyle name="Input 24 3 4" xfId="38417" xr:uid="{B43F45D1-C498-4F1B-A66A-32B8ACAE57E5}"/>
    <cellStyle name="Input 24 4" xfId="11023" xr:uid="{1F73B022-CBA8-4226-82CE-C7F0160CA269}"/>
    <cellStyle name="Input 24 4 2" xfId="27830" xr:uid="{213A4C84-B938-4696-B0E4-5F416F20E355}"/>
    <cellStyle name="Input 24 4 3" xfId="41003" xr:uid="{94668E2F-6DE2-4531-A85B-BB85276E4C61}"/>
    <cellStyle name="Input 24 5" xfId="22082" xr:uid="{57E05239-9B87-4ECA-AEBA-F2F4FE4D40F7}"/>
    <cellStyle name="Input 24 6" xfId="35131" xr:uid="{0441A924-A819-4D23-AC19-F8F1EC9A7E33}"/>
    <cellStyle name="Input 25" xfId="4284" xr:uid="{E54228FD-C836-4857-99B0-BF7C4BCD5345}"/>
    <cellStyle name="Input 25 2" xfId="6153" xr:uid="{B61C8260-78F9-4FF4-86AA-01D8D26E44ED}"/>
    <cellStyle name="Input 25 2 2" xfId="14765" xr:uid="{C2421943-C84E-4BAD-BEA2-C896CD3A9F3A}"/>
    <cellStyle name="Input 25 2 2 2" xfId="31037" xr:uid="{92212355-04BA-489F-BC34-65E04ADE46D3}"/>
    <cellStyle name="Input 25 2 2 3" xfId="44467" xr:uid="{3D828204-49D2-421A-8A83-CDF2D49E9958}"/>
    <cellStyle name="Input 25 2 3" xfId="23798" xr:uid="{47C874DE-6563-4476-B700-6A5DCB4B2190}"/>
    <cellStyle name="Input 25 2 4" xfId="36879" xr:uid="{8A00231D-8FFC-48B5-8D1C-623446885E7C}"/>
    <cellStyle name="Input 25 3" xfId="13806" xr:uid="{D3B42F67-62B1-47FA-963F-911449C53FD8}"/>
    <cellStyle name="Input 25 3 2" xfId="30210" xr:uid="{9658DA7D-9DF5-4207-AF38-1C13951384F5}"/>
    <cellStyle name="Input 25 3 3" xfId="43578" xr:uid="{8C07AB2E-4B56-48BD-9281-3A2CF4B82742}"/>
    <cellStyle name="Input 25 4" xfId="22105" xr:uid="{1E8D0C66-1612-4E55-AD93-62BAD4151DFA}"/>
    <cellStyle name="Input 25 5" xfId="35154" xr:uid="{E9A4EABC-B357-4A92-95EF-6C4FD1CE9E72}"/>
    <cellStyle name="Input 26" xfId="5259" xr:uid="{10E639A2-C9C5-4BB2-98CA-0A4BB20245C1}"/>
    <cellStyle name="Input 26 2" xfId="9692" xr:uid="{E1C6AD36-DF7B-466B-9D72-B58B2BA22415}"/>
    <cellStyle name="Input 26 2 2" xfId="17225" xr:uid="{49319D22-D651-4CB0-A8CC-03321A3AC087}"/>
    <cellStyle name="Input 26 2 2 2" xfId="32984" xr:uid="{426BB52A-AF0C-4771-83A9-AA6F8833519B}"/>
    <cellStyle name="Input 26 2 2 3" xfId="46759" xr:uid="{A6BCF1BE-E2BF-452B-94CF-477B33EEDAFF}"/>
    <cellStyle name="Input 26 2 3" xfId="26996" xr:uid="{BA5860DF-5E95-4332-9187-D497489EDE64}"/>
    <cellStyle name="Input 26 2 4" xfId="40108" xr:uid="{CEF72CAC-E673-40AC-8BB7-5BD89C03B714}"/>
    <cellStyle name="Input 26 3" xfId="12050" xr:uid="{5531E105-C7A2-40B1-9F21-DE988A7C6A2E}"/>
    <cellStyle name="Input 26 3 2" xfId="28750" xr:uid="{DE954650-6156-4AA4-9B68-EDAF14716535}"/>
    <cellStyle name="Input 26 3 3" xfId="41970" xr:uid="{F39F4758-2A87-4FB7-BB79-D7A5275D37EC}"/>
    <cellStyle name="Input 26 4" xfId="22915" xr:uid="{88EE1272-0102-444A-B37A-E5E91DEC80AF}"/>
    <cellStyle name="Input 26 5" xfId="35989" xr:uid="{5CD98E21-7F1D-4159-86FE-E70508609ED8}"/>
    <cellStyle name="Input 27" xfId="10346" xr:uid="{C915E95B-CCE8-4D51-A6B5-39E619C61558}"/>
    <cellStyle name="Input 27 2" xfId="17586" xr:uid="{55962970-1154-42A1-BC9B-0C3EFE47CF75}"/>
    <cellStyle name="Input 27 2 2" xfId="33323" xr:uid="{EA20A06E-E46E-4D96-96DB-DE600638AB31}"/>
    <cellStyle name="Input 27 2 3" xfId="47111" xr:uid="{C3125C8A-4556-459D-94D8-DEDB69A9116D}"/>
    <cellStyle name="Input 27 3" xfId="27397" xr:uid="{00192B75-DFDC-4B8E-95C2-4D2BC244D118}"/>
    <cellStyle name="Input 27 4" xfId="40516" xr:uid="{CC898C0B-45CD-4399-90CD-41C69EA594ED}"/>
    <cellStyle name="Input 28" xfId="10553" xr:uid="{1D433D40-2D60-49D3-833F-8322660DA1A5}"/>
    <cellStyle name="Input 28 2" xfId="17598" xr:uid="{9278B124-D6DF-4CAD-9818-662E07EA9AA4}"/>
    <cellStyle name="Input 28 2 2" xfId="33334" xr:uid="{7D840815-D1D7-4090-B5DF-DFF451F7B544}"/>
    <cellStyle name="Input 28 2 3" xfId="47123" xr:uid="{95B78497-836E-439A-9B2B-DCD3370733A1}"/>
    <cellStyle name="Input 28 3" xfId="27413" xr:uid="{245FF83C-4190-49C8-9A7C-B1D7130860BD}"/>
    <cellStyle name="Input 28 4" xfId="40535" xr:uid="{BAF650F0-71D6-4CC3-867F-01783BF293A4}"/>
    <cellStyle name="Input 29" xfId="11937" xr:uid="{CD4301E2-3FF3-4E16-9064-7B3645954F7B}"/>
    <cellStyle name="Input 29 2" xfId="28648" xr:uid="{925E70C3-6BF8-44D5-8A22-D96763FC6350}"/>
    <cellStyle name="Input 29 3" xfId="41866" xr:uid="{4353A566-AC00-435F-87EE-EDC44F52C59E}"/>
    <cellStyle name="Input 3" xfId="3364" xr:uid="{C0AF5199-67B1-4F8A-985A-A4D394F2BD20}"/>
    <cellStyle name="Input 3 10" xfId="34406" xr:uid="{6C17D72A-9132-416C-B2B7-0558523D308A}"/>
    <cellStyle name="Input 3 2" xfId="2724" xr:uid="{190D981E-5317-4E06-AA6D-825DDCC6E31A}"/>
    <cellStyle name="Input 3 2 2" xfId="8020" xr:uid="{613A78D2-B45D-48CD-95D0-153BD63148A3}"/>
    <cellStyle name="Input 3 2 2 2" xfId="13821" xr:uid="{A75CE63A-504C-4EE7-AAA6-F2F50001E1D5}"/>
    <cellStyle name="Input 3 2 2 2 2" xfId="30223" xr:uid="{C4AE042D-B60C-45B4-B1C3-D04950244A64}"/>
    <cellStyle name="Input 3 2 2 2 3" xfId="43593" xr:uid="{D57D3116-3068-4B18-A224-4D8CF5CF966A}"/>
    <cellStyle name="Input 3 2 2 3" xfId="25533" xr:uid="{3D83740E-A120-4EFB-A2EB-50E20239EA21}"/>
    <cellStyle name="Input 3 2 2 4" xfId="38609" xr:uid="{357B5979-9A11-4F2C-BFE8-AE290E75AFC9}"/>
    <cellStyle name="Input 3 2 3" xfId="6387" xr:uid="{E8CCBA31-93DD-40E4-8FCF-AC0241594EFA}"/>
    <cellStyle name="Input 3 2 3 2" xfId="11775" xr:uid="{104D9390-ED47-4C13-9755-25C7ECFE47B8}"/>
    <cellStyle name="Input 3 2 3 2 2" xfId="28499" xr:uid="{BA90AAC3-7001-4FDF-BE9C-5C984996269B}"/>
    <cellStyle name="Input 3 2 3 2 3" xfId="41710" xr:uid="{FEE2B335-C9AC-4ED1-B592-D46A3820F871}"/>
    <cellStyle name="Input 3 2 3 3" xfId="24024" xr:uid="{F7106FFE-0BE3-4284-960B-4B2B3C8765E9}"/>
    <cellStyle name="Input 3 2 3 4" xfId="37105" xr:uid="{F24EAE1F-6211-4349-9D94-709B4585EC72}"/>
    <cellStyle name="Input 3 2 4" xfId="17150" xr:uid="{69EA55A6-9358-46A0-B508-404CDC00BB34}"/>
    <cellStyle name="Input 3 2 4 2" xfId="32913" xr:uid="{661042A3-66A6-4E42-8ADD-73845773A733}"/>
    <cellStyle name="Input 3 2 4 3" xfId="46685" xr:uid="{A603D572-5C7E-4294-A4EF-0741085735F9}"/>
    <cellStyle name="Input 3 2 5" xfId="20776" xr:uid="{CDFCD65F-5D86-4245-9204-5BEB9C1AAA83}"/>
    <cellStyle name="Input 3 2 6" xfId="33799" xr:uid="{384630EA-C88D-48A9-96A6-36ADB633FE7F}"/>
    <cellStyle name="Input 3 3" xfId="4090" xr:uid="{B19B8E8F-29EC-4EF8-9C9E-D1608F50C06C}"/>
    <cellStyle name="Input 3 3 2" xfId="9142" xr:uid="{5608A0CC-BCA7-4244-93C1-05451794B0C8}"/>
    <cellStyle name="Input 3 3 2 2" xfId="16349" xr:uid="{7FC3035E-1F7F-48ED-AB88-7F299F8EDC97}"/>
    <cellStyle name="Input 3 3 2 2 2" xfId="32371" xr:uid="{664F09F1-29F8-4E0A-8D65-A12502969213}"/>
    <cellStyle name="Input 3 3 2 2 3" xfId="45903" xr:uid="{0E7AD026-29E7-4C30-8EF0-2EAE6B9F296A}"/>
    <cellStyle name="Input 3 3 2 3" xfId="26623" xr:uid="{5F8BA6A6-671D-43E9-BB05-BE1D282CA8EA}"/>
    <cellStyle name="Input 3 3 2 4" xfId="39699" xr:uid="{FBAD2A43-B3D4-4711-AFC7-B5CA8EC1C1F7}"/>
    <cellStyle name="Input 3 3 3" xfId="7654" xr:uid="{67B04450-A423-4B0E-9D87-8628B5D05426}"/>
    <cellStyle name="Input 3 3 3 2" xfId="13517" xr:uid="{43DED014-CE12-40EC-8CBD-114165A0162F}"/>
    <cellStyle name="Input 3 3 3 2 2" xfId="29970" xr:uid="{216BE437-A2FF-4379-A554-53962957345A}"/>
    <cellStyle name="Input 3 3 3 2 3" xfId="43314" xr:uid="{D179AFD5-1682-406D-B327-F96DE34C0F26}"/>
    <cellStyle name="Input 3 3 3 3" xfId="25182" xr:uid="{374D8BAA-C18C-4796-8A13-234FF6BB36E4}"/>
    <cellStyle name="Input 3 3 3 4" xfId="38258" xr:uid="{B22CDDFC-EF8A-45A2-9B2A-B3E1719E7860}"/>
    <cellStyle name="Input 3 3 4" xfId="16521" xr:uid="{5D49F28F-B557-4811-98A5-8E1078F33D8B}"/>
    <cellStyle name="Input 3 3 4 2" xfId="32479" xr:uid="{537C69F2-C7D6-49CC-A788-8240EF0B53CC}"/>
    <cellStyle name="Input 3 3 4 3" xfId="46068" xr:uid="{04F788D0-0AF5-4D2F-8689-85D473B59922}"/>
    <cellStyle name="Input 3 3 5" xfId="21923" xr:uid="{C714CCF7-C13E-41B0-BA8E-AE398EBDCD21}"/>
    <cellStyle name="Input 3 3 6" xfId="34972" xr:uid="{EA90C5E5-6835-4F07-B4C4-E6BD149B85A9}"/>
    <cellStyle name="Input 3 4" xfId="2593" xr:uid="{0FB60105-792B-4A0B-B59A-188F3619555C}"/>
    <cellStyle name="Input 3 4 2" xfId="7890" xr:uid="{1C525102-2D99-4E89-96B4-CB6E5680D52D}"/>
    <cellStyle name="Input 3 4 2 2" xfId="16317" xr:uid="{E8180450-D623-4A0F-9565-7C77CC5CEE3F}"/>
    <cellStyle name="Input 3 4 2 2 2" xfId="32343" xr:uid="{159D2339-C944-4CF5-900B-EAFD331BB9C5}"/>
    <cellStyle name="Input 3 4 2 2 3" xfId="45874" xr:uid="{0BB04BF8-E3A1-4B71-A3F7-65AD9E5F403E}"/>
    <cellStyle name="Input 3 4 2 3" xfId="25407" xr:uid="{C454115E-B395-4C54-BE33-B9DB06CAEE72}"/>
    <cellStyle name="Input 3 4 2 4" xfId="38483" xr:uid="{541095F6-6F6D-4D19-A239-4E0327BE78BD}"/>
    <cellStyle name="Input 3 4 3" xfId="6257" xr:uid="{27966BAD-644E-47BE-96D9-EFA9088E59F4}"/>
    <cellStyle name="Input 3 4 3 2" xfId="12566" xr:uid="{D185D84D-05F0-4D4F-AF8A-1C0556B163E1}"/>
    <cellStyle name="Input 3 4 3 2 2" xfId="29184" xr:uid="{20DAA28A-BD7C-47E0-AB53-9D2558DA414E}"/>
    <cellStyle name="Input 3 4 3 2 3" xfId="42446" xr:uid="{076B15C7-1159-4151-AD06-4CC1F2CE6646}"/>
    <cellStyle name="Input 3 4 3 3" xfId="23898" xr:uid="{F10A88BE-CE24-4E03-A303-4596C09249E8}"/>
    <cellStyle name="Input 3 4 3 4" xfId="36979" xr:uid="{F0F37117-2303-48DF-93B2-1D448C6EB08E}"/>
    <cellStyle name="Input 3 4 4" xfId="13723" xr:uid="{C6939CF2-91C2-403A-8CE7-2833087B46EF}"/>
    <cellStyle name="Input 3 4 4 2" xfId="30139" xr:uid="{078043A4-98A7-4A3E-BF3E-4375B227AA15}"/>
    <cellStyle name="Input 3 4 4 3" xfId="43501" xr:uid="{D22E8612-2901-4F49-BBC0-A214A3C10019}"/>
    <cellStyle name="Input 3 4 5" xfId="20650" xr:uid="{2B73FF55-8692-496D-92A3-AFFFAF16CC6E}"/>
    <cellStyle name="Input 3 4 6" xfId="33673" xr:uid="{43BC08D1-8642-4129-8B9B-B8FFE4FC4BCE}"/>
    <cellStyle name="Input 3 5" xfId="4081" xr:uid="{63868B27-57B5-480C-8607-BB1B81A54B91}"/>
    <cellStyle name="Input 3 5 2" xfId="9133" xr:uid="{0AA8406D-2FCC-4B50-8C00-B9D68E5A96D3}"/>
    <cellStyle name="Input 3 5 2 2" xfId="12398" xr:uid="{70304376-37A5-4634-9913-3837F46D1BBE}"/>
    <cellStyle name="Input 3 5 2 2 2" xfId="29063" xr:uid="{76D78E4A-FF14-4836-808A-EEA6F1541629}"/>
    <cellStyle name="Input 3 5 2 2 3" xfId="42304" xr:uid="{BF6B6825-67FF-4DF3-A8B4-BB3B55CD4F0B}"/>
    <cellStyle name="Input 3 5 2 3" xfId="26614" xr:uid="{2487BD27-B0C7-459C-A4E6-677C42239835}"/>
    <cellStyle name="Input 3 5 2 4" xfId="39690" xr:uid="{77C752FB-BE40-4B74-98B1-CF1E7AF815E7}"/>
    <cellStyle name="Input 3 5 3" xfId="7645" xr:uid="{559823C8-A500-407F-B90D-B876C683AAF6}"/>
    <cellStyle name="Input 3 5 3 2" xfId="15244" xr:uid="{A3C05E39-CD3C-4F40-9863-9B7819859455}"/>
    <cellStyle name="Input 3 5 3 2 2" xfId="31419" xr:uid="{DB419EF3-29C0-4DBD-8027-3AA691DFD02F}"/>
    <cellStyle name="Input 3 5 3 2 3" xfId="44895" xr:uid="{452BE44E-9EF9-4912-B7B4-29158E2EBEC8}"/>
    <cellStyle name="Input 3 5 3 3" xfId="25173" xr:uid="{64B9356C-8B42-472B-AD0F-9D52CB7EDA1D}"/>
    <cellStyle name="Input 3 5 3 4" xfId="38249" xr:uid="{41863CD7-83D3-486E-8ECA-29F5F809FCB0}"/>
    <cellStyle name="Input 3 5 4" xfId="13580" xr:uid="{2D336C09-7812-4E37-9438-649451443D69}"/>
    <cellStyle name="Input 3 5 4 2" xfId="30022" xr:uid="{C009BDCC-CAB1-4891-AA18-DB85DB4ABEE2}"/>
    <cellStyle name="Input 3 5 4 3" xfId="43373" xr:uid="{4FD0E6DA-2026-4102-B550-31A6568515B8}"/>
    <cellStyle name="Input 3 5 5" xfId="21914" xr:uid="{AD98CDBA-8D4C-47CD-BCCB-A2BB69597F44}"/>
    <cellStyle name="Input 3 5 6" xfId="34963" xr:uid="{8FF39AC5-0AA9-4DDB-BD79-7AD007F77C5A}"/>
    <cellStyle name="Input 3 6" xfId="4391" xr:uid="{CBDDA7CE-9941-4BC8-AE53-B4B467567B7C}"/>
    <cellStyle name="Input 3 6 2" xfId="7014" xr:uid="{DC1A73CE-D597-4CC7-9F84-E0EFABD3FCF0}"/>
    <cellStyle name="Input 3 6 2 2" xfId="12786" xr:uid="{E58D5DFF-EE7E-4BC1-AF87-5A617578B44D}"/>
    <cellStyle name="Input 3 6 2 2 2" xfId="29361" xr:uid="{C2E288D3-272D-4F02-9E8C-378956337DDF}"/>
    <cellStyle name="Input 3 6 2 2 3" xfId="42641" xr:uid="{017F50F3-143F-4CDB-8257-5B477D06DD2F}"/>
    <cellStyle name="Input 3 6 2 3" xfId="24631" xr:uid="{7AD77B3D-8170-4CF1-B7E3-6877E6AE0D23}"/>
    <cellStyle name="Input 3 6 2 4" xfId="37712" xr:uid="{31837C2C-0ACF-4CD4-965D-AE1F650F0AAA}"/>
    <cellStyle name="Input 3 6 3" xfId="10815" xr:uid="{89239B76-68EB-4A3A-AE7E-05AB0D9250BE}"/>
    <cellStyle name="Input 3 6 3 2" xfId="27648" xr:uid="{3A29D42C-F4C9-4BAE-A87A-AFDFEF736332}"/>
    <cellStyle name="Input 3 6 3 3" xfId="40796" xr:uid="{EC44EC93-5C27-4DC0-909D-AFC1669902AE}"/>
    <cellStyle name="Input 3 6 4" xfId="22210" xr:uid="{F353E874-7D2A-488B-8F6B-58ED388B8C2F}"/>
    <cellStyle name="Input 3 6 5" xfId="35259" xr:uid="{CF41152E-AB18-4190-8A25-CDBAC8DC7DF3}"/>
    <cellStyle name="Input 3 7" xfId="5445" xr:uid="{3A9F1529-E614-4A8D-8F35-A063F9F3945E}"/>
    <cellStyle name="Input 3 7 2" xfId="8625" xr:uid="{68DB5F0E-4E1C-469E-B5FF-F2F892253C33}"/>
    <cellStyle name="Input 3 7 2 2" xfId="10830" xr:uid="{C8B1949F-BD49-499A-92B8-08D001C44454}"/>
    <cellStyle name="Input 3 7 2 2 2" xfId="27661" xr:uid="{1F121828-B3F2-45CB-BAF9-E86496DEC16A}"/>
    <cellStyle name="Input 3 7 2 2 3" xfId="40811" xr:uid="{C92AE9A4-6E3D-4F67-94B2-D92E07E34AAB}"/>
    <cellStyle name="Input 3 7 2 3" xfId="26120" xr:uid="{A250E829-D94E-4C76-B071-065703CC2A76}"/>
    <cellStyle name="Input 3 7 2 4" xfId="39196" xr:uid="{C5F86B77-75C4-41B8-92CA-30DE202ECDED}"/>
    <cellStyle name="Input 3 7 3" xfId="16979" xr:uid="{F273F054-7F82-42BD-99D1-D82456934FDA}"/>
    <cellStyle name="Input 3 7 3 2" xfId="32802" xr:uid="{A62CFF43-B1F4-4AA5-998E-EDB53617E484}"/>
    <cellStyle name="Input 3 7 3 3" xfId="46521" xr:uid="{33B0BEE9-6358-498F-8493-6B076BE604B1}"/>
    <cellStyle name="Input 3 7 4" xfId="23092" xr:uid="{B37C29FB-0C68-43F2-8057-F532ED65A7EB}"/>
    <cellStyle name="Input 3 7 5" xfId="36173" xr:uid="{CA70BA21-0ABE-45F7-A848-DB8BCCABDA74}"/>
    <cellStyle name="Input 3 8" xfId="12792" xr:uid="{89244516-E989-42DE-9903-90DEF987F360}"/>
    <cellStyle name="Input 3 8 2" xfId="29367" xr:uid="{9D3DF161-80E9-4BAB-8EA8-2F2B8DCDC3FE}"/>
    <cellStyle name="Input 3 8 3" xfId="42647" xr:uid="{842597EA-E239-4B47-BDC3-8BF068259D99}"/>
    <cellStyle name="Input 3 9" xfId="21383" xr:uid="{3052DCE3-89E4-4A5A-832A-4C15F7ED22FE}"/>
    <cellStyle name="Input 30" xfId="13823" xr:uid="{492B1878-45E3-4B11-8BB4-EB4EAE988CD3}"/>
    <cellStyle name="Input 30 2" xfId="30225" xr:uid="{682095E1-ED11-4A36-BFBB-0162EE45DF36}"/>
    <cellStyle name="Input 30 3" xfId="43595" xr:uid="{BB36C815-9787-40CC-B088-F3405282126C}"/>
    <cellStyle name="Input 31" xfId="16721" xr:uid="{F0F60170-917B-4566-A932-63D753EBC6D7}"/>
    <cellStyle name="Input 31 2" xfId="32605" xr:uid="{3C95D92A-5C23-4889-9760-AFACD7354AEF}"/>
    <cellStyle name="Input 31 3" xfId="46265" xr:uid="{F9C13AA8-F762-4191-88C3-1239B7E4DCB7}"/>
    <cellStyle name="Input 32" xfId="17652" xr:uid="{9076D8C5-A3FC-4851-8975-5369C777516F}"/>
    <cellStyle name="Input 32 2" xfId="33375" xr:uid="{2C27EC4A-1E29-4DD6-AC91-D1A30367780D}"/>
    <cellStyle name="Input 32 3" xfId="47164" xr:uid="{9C373336-A57E-4287-9DFB-1644A925FE51}"/>
    <cellStyle name="Input 33" xfId="33549" xr:uid="{FDCD72E0-9A4A-4361-9A5D-A525D165F92B}"/>
    <cellStyle name="Input 4" xfId="3418" xr:uid="{A9AD7AC1-C567-43AF-878F-7CE32B9A772C}"/>
    <cellStyle name="Input 4 10" xfId="34436" xr:uid="{C997C5C4-754F-40FF-99AF-2CBB56C79A4E}"/>
    <cellStyle name="Input 4 2" xfId="2760" xr:uid="{038F2B8E-F868-48E8-AAC2-50CB52A4F9E0}"/>
    <cellStyle name="Input 4 2 2" xfId="8056" xr:uid="{2A252F5A-9430-4D83-A9A5-0BD2056964A1}"/>
    <cellStyle name="Input 4 2 2 2" xfId="16739" xr:uid="{FB064131-C0AD-40C7-A74C-95BA89634F8B}"/>
    <cellStyle name="Input 4 2 2 2 2" xfId="32622" xr:uid="{BED90872-70E5-4158-858F-3C8D72D52471}"/>
    <cellStyle name="Input 4 2 2 2 3" xfId="46282" xr:uid="{112DA0A8-FFB2-464D-9341-30F722902965}"/>
    <cellStyle name="Input 4 2 2 3" xfId="25569" xr:uid="{6B708BC8-CBB8-41BB-8504-1E63C1069ACF}"/>
    <cellStyle name="Input 4 2 2 4" xfId="38645" xr:uid="{5110E6B2-CAAE-4F37-B3FD-F3815AE7DA77}"/>
    <cellStyle name="Input 4 2 3" xfId="6423" xr:uid="{470E48A2-9806-47A1-9699-99A7CAED695E}"/>
    <cellStyle name="Input 4 2 3 2" xfId="16963" xr:uid="{010368C4-1F65-422B-AD02-1171ACB4E47E}"/>
    <cellStyle name="Input 4 2 3 2 2" xfId="32795" xr:uid="{A3B001DB-A5B4-4FD5-8F36-6D0552290A9E}"/>
    <cellStyle name="Input 4 2 3 2 3" xfId="46505" xr:uid="{F1F759D8-8FD6-47E5-9B15-14AB98CA6277}"/>
    <cellStyle name="Input 4 2 3 3" xfId="24060" xr:uid="{42DA68C0-B740-490E-8240-EB4173331966}"/>
    <cellStyle name="Input 4 2 3 4" xfId="37141" xr:uid="{4A6360E0-B713-49EC-90E6-1202CACBFA33}"/>
    <cellStyle name="Input 4 2 4" xfId="11889" xr:uid="{0D3F3CE9-3595-4D22-8CAF-9201291FCBB2}"/>
    <cellStyle name="Input 4 2 4 2" xfId="28604" xr:uid="{FA180417-42E4-46F6-860C-C63574AAA9BF}"/>
    <cellStyle name="Input 4 2 4 3" xfId="41820" xr:uid="{C07D0A79-A1B2-40B4-A19E-55E8764B03F5}"/>
    <cellStyle name="Input 4 2 5" xfId="20812" xr:uid="{579D31F4-537E-4062-A81E-DE0E20634D2E}"/>
    <cellStyle name="Input 4 2 6" xfId="33835" xr:uid="{EC786565-8432-428B-83D4-22C6C4381964}"/>
    <cellStyle name="Input 4 3" xfId="4055" xr:uid="{CB09518C-0355-4310-9D15-8B2A92B74200}"/>
    <cellStyle name="Input 4 3 2" xfId="9108" xr:uid="{DAEF95F3-A70D-4696-BE57-25686C0BCAF6}"/>
    <cellStyle name="Input 4 3 2 2" xfId="13525" xr:uid="{3059BA74-2023-4A79-8735-00CFB1A78353}"/>
    <cellStyle name="Input 4 3 2 2 2" xfId="29977" xr:uid="{19AE8D29-AF43-49B9-8C05-6F6023ACEF14}"/>
    <cellStyle name="Input 4 3 2 2 3" xfId="43321" xr:uid="{5A57DA0E-3C29-4BCC-BA8B-7B62EB92E9D9}"/>
    <cellStyle name="Input 4 3 2 3" xfId="26589" xr:uid="{5575703C-138A-4541-94B6-C3B775F6E53C}"/>
    <cellStyle name="Input 4 3 2 4" xfId="39665" xr:uid="{7B485F18-0460-4277-A772-E7FD541D98F0}"/>
    <cellStyle name="Input 4 3 3" xfId="7620" xr:uid="{7AFAFC41-DE6D-440E-9F3E-F1B5DE888418}"/>
    <cellStyle name="Input 4 3 3 2" xfId="17269" xr:uid="{CABD41CA-3E51-4611-A39D-491155CE0FF6}"/>
    <cellStyle name="Input 4 3 3 2 2" xfId="33028" xr:uid="{2E81D240-5BC3-46DD-B846-E6ED46229A21}"/>
    <cellStyle name="Input 4 3 3 2 3" xfId="46803" xr:uid="{4BF18ED4-AC4D-4A51-9631-9B9870B0694A}"/>
    <cellStyle name="Input 4 3 3 3" xfId="25148" xr:uid="{66951941-DE59-4DA5-B9C6-F6E68C81495F}"/>
    <cellStyle name="Input 4 3 3 4" xfId="38224" xr:uid="{8B188045-9DAA-459A-807D-0FE0F03EE957}"/>
    <cellStyle name="Input 4 3 4" xfId="11871" xr:uid="{ED04128A-2A9E-4A1C-B4FC-65EED2ACFC0B}"/>
    <cellStyle name="Input 4 3 4 2" xfId="28587" xr:uid="{7E3275F8-ABC4-4F50-9141-EE6466DFDBCA}"/>
    <cellStyle name="Input 4 3 4 3" xfId="41803" xr:uid="{1BA77F9D-676C-4A40-B3F8-9B8562512280}"/>
    <cellStyle name="Input 4 3 5" xfId="21889" xr:uid="{53EDE04F-54B5-4647-AE85-9B00E7CDBE8E}"/>
    <cellStyle name="Input 4 3 6" xfId="34938" xr:uid="{A7644CE6-8328-4D22-A7A8-1A822EFC8F7C}"/>
    <cellStyle name="Input 4 4" xfId="2611" xr:uid="{7336B901-F46D-477B-80BF-637B015C2232}"/>
    <cellStyle name="Input 4 4 2" xfId="7908" xr:uid="{8526CC13-0579-4B80-8E54-7B7DD2F09F7F}"/>
    <cellStyle name="Input 4 4 2 2" xfId="17475" xr:uid="{4F338EC9-C8CB-4A48-A4BF-3E9886BC3C71}"/>
    <cellStyle name="Input 4 4 2 2 2" xfId="33218" xr:uid="{D2DDEB80-6D00-4076-9F07-6CC9FFEFA3A3}"/>
    <cellStyle name="Input 4 4 2 2 3" xfId="47004" xr:uid="{9E01D087-977C-494B-9F0F-EABC0338BDB9}"/>
    <cellStyle name="Input 4 4 2 3" xfId="25425" xr:uid="{C4C984E3-4813-4469-9B3D-006FA58742EF}"/>
    <cellStyle name="Input 4 4 2 4" xfId="38501" xr:uid="{085F9ABD-7C68-4F0D-A74E-E5558121CEEE}"/>
    <cellStyle name="Input 4 4 3" xfId="6275" xr:uid="{FDAB2A51-2380-4981-B16E-72F6BA642AF5}"/>
    <cellStyle name="Input 4 4 3 2" xfId="13808" xr:uid="{B2E10590-F596-4506-81C9-347F7EC02F9A}"/>
    <cellStyle name="Input 4 4 3 2 2" xfId="30212" xr:uid="{94224E51-D49E-425A-91CD-9DABE4C292B6}"/>
    <cellStyle name="Input 4 4 3 2 3" xfId="43580" xr:uid="{1DD5CB08-D5EA-42C4-A790-797CA30FEACD}"/>
    <cellStyle name="Input 4 4 3 3" xfId="23916" xr:uid="{10C620A7-324F-4D5E-A1BE-8D58F6ACB221}"/>
    <cellStyle name="Input 4 4 3 4" xfId="36997" xr:uid="{E46D4E90-3A91-4EB5-A5BA-F62EC94CEE2E}"/>
    <cellStyle name="Input 4 4 4" xfId="12531" xr:uid="{BA38340F-E677-4CBB-A097-C5EA42817E3A}"/>
    <cellStyle name="Input 4 4 4 2" xfId="29156" xr:uid="{85684802-5A96-43B3-A9E8-DC94620B90A9}"/>
    <cellStyle name="Input 4 4 4 3" xfId="42415" xr:uid="{AE3B43F0-1883-4DB0-8264-51E87EFBB9A5}"/>
    <cellStyle name="Input 4 4 5" xfId="20668" xr:uid="{F2425759-B792-4C46-B42B-704BDAE1202C}"/>
    <cellStyle name="Input 4 4 6" xfId="33691" xr:uid="{E1C86E81-4A51-4D00-87CA-5B46597DAD19}"/>
    <cellStyle name="Input 4 5" xfId="4233" xr:uid="{4FE06158-91A2-4ED7-B3D7-F4A23231A74C}"/>
    <cellStyle name="Input 4 5 2" xfId="9285" xr:uid="{4A25F4C2-8C44-4328-A6D0-DAD78B023264}"/>
    <cellStyle name="Input 4 5 2 2" xfId="16202" xr:uid="{0752EF34-C9BA-49CA-AC26-A65B7CC21749}"/>
    <cellStyle name="Input 4 5 2 2 2" xfId="32245" xr:uid="{7172C83F-CA0C-4F1A-B257-86969C2F2D14}"/>
    <cellStyle name="Input 4 5 2 2 3" xfId="45770" xr:uid="{6B56168B-B02A-4FEC-8576-C173B605D11C}"/>
    <cellStyle name="Input 4 5 2 3" xfId="26758" xr:uid="{F28BDA61-AF32-4EF6-9133-15320628804B}"/>
    <cellStyle name="Input 4 5 2 4" xfId="39834" xr:uid="{D4C4C793-2393-4743-81E0-B81270497CE1}"/>
    <cellStyle name="Input 4 5 3" xfId="7797" xr:uid="{D93578E4-95EE-48AA-B418-CB9DCFE7AA34}"/>
    <cellStyle name="Input 4 5 3 2" xfId="11238" xr:uid="{F0FDF3FB-EC8D-4270-A2C6-2AE55E506780}"/>
    <cellStyle name="Input 4 5 3 2 2" xfId="28030" xr:uid="{4814CCF2-838E-4345-8894-9DD9EF9F1364}"/>
    <cellStyle name="Input 4 5 3 2 3" xfId="41212" xr:uid="{2033376D-057F-4F6B-96E8-478C18A64CDE}"/>
    <cellStyle name="Input 4 5 3 3" xfId="25317" xr:uid="{DEB92639-760F-4441-A16A-D454678525E0}"/>
    <cellStyle name="Input 4 5 3 4" xfId="38393" xr:uid="{F9053046-11E4-402A-AC73-DEE17496E6A6}"/>
    <cellStyle name="Input 4 5 4" xfId="17141" xr:uid="{44C09B1E-646E-4A3D-8F6F-F7A4ECF29FC8}"/>
    <cellStyle name="Input 4 5 4 2" xfId="32904" xr:uid="{728B6CA0-8F13-486F-B422-CE06ABDA6E8C}"/>
    <cellStyle name="Input 4 5 4 3" xfId="46676" xr:uid="{5CFF442D-2674-4F8F-B00A-25D27F909876}"/>
    <cellStyle name="Input 4 5 5" xfId="22058" xr:uid="{9DA6C495-E2B2-41BD-BBB2-2B0248672D5D}"/>
    <cellStyle name="Input 4 5 6" xfId="35107" xr:uid="{8A6034B2-71FC-445C-8732-0D271D1B498B}"/>
    <cellStyle name="Input 4 6" xfId="4421" xr:uid="{C59BE3E3-EFE6-405E-B55B-CA345E88083C}"/>
    <cellStyle name="Input 4 6 2" xfId="7060" xr:uid="{9184491A-5584-4B9B-95A3-7C17139CB358}"/>
    <cellStyle name="Input 4 6 2 2" xfId="13915" xr:uid="{2A0E2345-96E9-432D-AC3E-8E6821590055}"/>
    <cellStyle name="Input 4 6 2 2 2" xfId="30306" xr:uid="{BBCCD63D-8A45-4F47-84C4-C2B486058484}"/>
    <cellStyle name="Input 4 6 2 2 3" xfId="43680" xr:uid="{5468D5C2-E30B-4FE1-856A-98A00B9C9226}"/>
    <cellStyle name="Input 4 6 2 3" xfId="24661" xr:uid="{58DE4DA4-ED12-4D02-BF9D-3F4DE8A729B7}"/>
    <cellStyle name="Input 4 6 2 4" xfId="37742" xr:uid="{C51902A7-FBE5-492D-B109-0CA6C5CD5697}"/>
    <cellStyle name="Input 4 6 3" xfId="15227" xr:uid="{A62E5A58-5401-491D-8031-A80D7B9E07CF}"/>
    <cellStyle name="Input 4 6 3 2" xfId="31403" xr:uid="{DFFD4625-2A13-49E4-B5EA-956E689F083D}"/>
    <cellStyle name="Input 4 6 3 3" xfId="44878" xr:uid="{B0DF205F-639F-4441-89F0-D8C352762651}"/>
    <cellStyle name="Input 4 6 4" xfId="22240" xr:uid="{895A05BD-BA36-4F65-84AD-F6007D173063}"/>
    <cellStyle name="Input 4 6 5" xfId="35289" xr:uid="{F43F927B-383C-42D1-87A4-DAA47739B069}"/>
    <cellStyle name="Input 4 7" xfId="5475" xr:uid="{88CF7B7A-D9ED-4D8F-8837-0D5B15D09915}"/>
    <cellStyle name="Input 4 7 2" xfId="8655" xr:uid="{B71D2265-AE0B-4685-ABA2-17F918F624B1}"/>
    <cellStyle name="Input 4 7 2 2" xfId="10734" xr:uid="{F1E15A17-F5F3-4F2C-8132-D44CE9E7D1CD}"/>
    <cellStyle name="Input 4 7 2 2 2" xfId="27575" xr:uid="{F6BF6EBB-5A20-4CEE-B965-E58CBB04F776}"/>
    <cellStyle name="Input 4 7 2 2 3" xfId="40715" xr:uid="{A845AEEA-373A-496D-BD38-74F9EE19DBD5}"/>
    <cellStyle name="Input 4 7 2 3" xfId="26150" xr:uid="{20A2B75B-24FD-4EAD-9971-2419071AA3AC}"/>
    <cellStyle name="Input 4 7 2 4" xfId="39226" xr:uid="{B2CE21E6-5627-42D2-977A-F503C036B894}"/>
    <cellStyle name="Input 4 7 3" xfId="13263" xr:uid="{48ACC0E2-4B9F-47DA-B887-A4DF029076F9}"/>
    <cellStyle name="Input 4 7 3 2" xfId="29755" xr:uid="{8007E961-3655-4BF7-A7C5-274B84064030}"/>
    <cellStyle name="Input 4 7 3 3" xfId="43081" xr:uid="{357532B1-81FF-40EE-BBEC-B681E994000E}"/>
    <cellStyle name="Input 4 7 4" xfId="23122" xr:uid="{F8E780AE-3889-45B4-B834-8CE7F12E410A}"/>
    <cellStyle name="Input 4 7 5" xfId="36203" xr:uid="{A9620617-2845-4358-ABE9-FCBFAB43AC50}"/>
    <cellStyle name="Input 4 8" xfId="11894" xr:uid="{4AFA292F-8B26-4A27-AEBE-36AAC88B0CF5}"/>
    <cellStyle name="Input 4 8 2" xfId="28609" xr:uid="{9E427899-46FD-4762-85D1-2E68CDAAE517}"/>
    <cellStyle name="Input 4 8 3" xfId="41825" xr:uid="{B98A7A51-3778-49EA-9BDE-FCA43DF6C271}"/>
    <cellStyle name="Input 4 9" xfId="21407" xr:uid="{17D3018C-B227-40A0-8BA6-F25687C38D56}"/>
    <cellStyle name="Input 5" xfId="3399" xr:uid="{F5DF1185-C431-486A-BDE6-61CCAEF620A0}"/>
    <cellStyle name="Input 5 2" xfId="2747" xr:uid="{95C5818F-DCA9-411E-AA96-95094D38C57F}"/>
    <cellStyle name="Input 5 2 2" xfId="8043" xr:uid="{96BF2A43-2232-44F5-9483-5FC55DF623B8}"/>
    <cellStyle name="Input 5 2 2 2" xfId="14912" xr:uid="{88CFD664-DD95-4465-B6FD-5D65365C2376}"/>
    <cellStyle name="Input 5 2 2 2 2" xfId="31158" xr:uid="{3F56C16A-56FF-4600-8C1D-57220B649FB7}"/>
    <cellStyle name="Input 5 2 2 2 3" xfId="44601" xr:uid="{3E41A918-C63A-46C6-8F9C-6A9F48A7FF6D}"/>
    <cellStyle name="Input 5 2 2 3" xfId="25556" xr:uid="{076F181E-2D0C-4958-AAD6-D49C2CC67872}"/>
    <cellStyle name="Input 5 2 2 4" xfId="38632" xr:uid="{BB3E63C1-CFF9-43B6-BD54-90D01CCEFC78}"/>
    <cellStyle name="Input 5 2 3" xfId="6410" xr:uid="{0D1E37AE-DB6A-41A7-A5D8-0A78BEC208E0}"/>
    <cellStyle name="Input 5 2 3 2" xfId="15838" xr:uid="{78C83873-3AA0-4D9A-AAF5-A958325F69A2}"/>
    <cellStyle name="Input 5 2 3 2 2" xfId="31931" xr:uid="{93E519C5-7B7B-4CAB-BF50-A5E528EE0CA4}"/>
    <cellStyle name="Input 5 2 3 2 3" xfId="45443" xr:uid="{48F2E662-24CE-4F32-8838-BEC3EE312CFF}"/>
    <cellStyle name="Input 5 2 3 3" xfId="24047" xr:uid="{BC917725-B366-4AC0-9EEA-65D324969A65}"/>
    <cellStyle name="Input 5 2 3 4" xfId="37128" xr:uid="{B1DCBB0C-52BA-40E1-B5D2-08F7810EF1AB}"/>
    <cellStyle name="Input 5 2 4" xfId="14104" xr:uid="{179E385D-366E-4D67-BBE0-16C24C89B53F}"/>
    <cellStyle name="Input 5 2 4 2" xfId="30471" xr:uid="{449CCCC5-E696-48EE-A7E7-A34AF1EFF0BC}"/>
    <cellStyle name="Input 5 2 4 3" xfId="43854" xr:uid="{2522DA71-1DC3-42F6-81DA-375110F0FB83}"/>
    <cellStyle name="Input 5 2 5" xfId="20799" xr:uid="{6051C9AA-9499-4313-B1CC-1B338EADB61F}"/>
    <cellStyle name="Input 5 2 6" xfId="33822" xr:uid="{A1CF0696-A022-4119-8156-4277E945EC62}"/>
    <cellStyle name="Input 5 3" xfId="4410" xr:uid="{129661D4-BC47-4664-A0FD-18785D4B0B69}"/>
    <cellStyle name="Input 5 3 2" xfId="7045" xr:uid="{575A64B9-1EC7-4E10-949D-EAC4835A6F8D}"/>
    <cellStyle name="Input 5 3 2 2" xfId="11711" xr:uid="{57625488-FEB4-480C-938C-B4FA1D55F58B}"/>
    <cellStyle name="Input 5 3 2 2 2" xfId="28442" xr:uid="{19B4CD10-7541-46ED-8F54-A362B85E4E51}"/>
    <cellStyle name="Input 5 3 2 2 3" xfId="41652" xr:uid="{5BBAB20D-FC52-424C-8AC4-3290AEEC1491}"/>
    <cellStyle name="Input 5 3 2 3" xfId="24650" xr:uid="{2B42836F-ACCD-4B5D-A238-E840B496B94F}"/>
    <cellStyle name="Input 5 3 2 4" xfId="37731" xr:uid="{46A6EF84-21E9-4AF4-974A-8A6A847EA78E}"/>
    <cellStyle name="Input 5 3 3" xfId="17165" xr:uid="{E821740A-277E-425F-9D52-52D7CBBB5397}"/>
    <cellStyle name="Input 5 3 3 2" xfId="32928" xr:uid="{02746295-EFB6-4660-BEFA-70FD818E934A}"/>
    <cellStyle name="Input 5 3 3 3" xfId="46700" xr:uid="{AF96E449-A99F-4993-91E9-6EE25641C656}"/>
    <cellStyle name="Input 5 3 4" xfId="22229" xr:uid="{0DBB7C8F-F98C-4A73-9455-BA434395E471}"/>
    <cellStyle name="Input 5 3 5" xfId="35278" xr:uid="{3864535E-6D4B-46BC-AF23-A314BE79E303}"/>
    <cellStyle name="Input 5 4" xfId="5464" xr:uid="{7EFADF45-EDF7-482B-A1E8-1AEA54515229}"/>
    <cellStyle name="Input 5 4 2" xfId="8644" xr:uid="{BC8D9247-397C-499B-84AD-5BDA0016E2BF}"/>
    <cellStyle name="Input 5 4 2 2" xfId="10701" xr:uid="{D771EB59-6DB0-4206-AC95-5EA17BC03AAF}"/>
    <cellStyle name="Input 5 4 2 2 2" xfId="27546" xr:uid="{25BC5E08-0DBF-475A-B23B-644F3B8C24ED}"/>
    <cellStyle name="Input 5 4 2 2 3" xfId="40682" xr:uid="{7F10C19E-B8D0-48AB-A8E3-0D7A8D9E7905}"/>
    <cellStyle name="Input 5 4 2 3" xfId="26139" xr:uid="{340B989F-7760-4377-A7A3-89DF9F0AB9C1}"/>
    <cellStyle name="Input 5 4 2 4" xfId="39215" xr:uid="{80E18C15-C150-4190-A7EF-ABA3FA1825E8}"/>
    <cellStyle name="Input 5 4 3" xfId="17298" xr:uid="{59F26A2B-9CF8-4755-AB69-F55BEFF021B6}"/>
    <cellStyle name="Input 5 4 3 2" xfId="33056" xr:uid="{D553106E-7F14-4605-9A10-47A5405A2340}"/>
    <cellStyle name="Input 5 4 3 3" xfId="46832" xr:uid="{87B064BE-8BAE-4928-A63A-03D018E5CF96}"/>
    <cellStyle name="Input 5 4 4" xfId="23111" xr:uid="{1DC17F1C-C791-4D24-BD28-4C7095DA1749}"/>
    <cellStyle name="Input 5 4 5" xfId="36192" xr:uid="{CF69E675-30CE-413E-8F97-2C60E4FDAE7A}"/>
    <cellStyle name="Input 5 5" xfId="12263" xr:uid="{1031E46B-8BCB-4612-81EB-C5E0C4467AB5}"/>
    <cellStyle name="Input 5 5 2" xfId="28942" xr:uid="{C48A0375-FB41-4022-BFE5-CA8404CE66DB}"/>
    <cellStyle name="Input 5 5 3" xfId="42175" xr:uid="{0BDB94A8-4AC8-4E4E-8182-9E6EEC5D9BA9}"/>
    <cellStyle name="Input 5 6" xfId="21401" xr:uid="{A210B08B-5989-4E7D-AC1D-11AB5C76B68A}"/>
    <cellStyle name="Input 5 7" xfId="34425" xr:uid="{73570174-0DFD-425A-B470-396BCFE26F48}"/>
    <cellStyle name="Input 6" xfId="3350" xr:uid="{7B37C0EE-03F4-42CF-99B0-ABD71A076E44}"/>
    <cellStyle name="Input 6 2" xfId="2712" xr:uid="{CD16619C-CF54-47DC-A64D-8A36092168EC}"/>
    <cellStyle name="Input 6 2 2" xfId="8008" xr:uid="{144D91D5-8D90-460D-92E3-A0B724ABB320}"/>
    <cellStyle name="Input 6 2 2 2" xfId="16870" xr:uid="{ED6F6ABC-42C2-41C7-A190-4709B11EDF6A}"/>
    <cellStyle name="Input 6 2 2 2 2" xfId="32747" xr:uid="{00851252-76AC-48ED-9765-505DE67AE0EE}"/>
    <cellStyle name="Input 6 2 2 2 3" xfId="46412" xr:uid="{EBE7D685-A3B0-4E24-8BB6-F1FB0F4026E2}"/>
    <cellStyle name="Input 6 2 2 3" xfId="25523" xr:uid="{1BDC11EE-3310-4AC1-9124-BD7365DEF0B1}"/>
    <cellStyle name="Input 6 2 2 4" xfId="38599" xr:uid="{1760207D-138C-4DEE-8E2C-8C348273A697}"/>
    <cellStyle name="Input 6 2 3" xfId="6375" xr:uid="{BC85BF89-FD39-49BA-A674-5E094AE82EE3}"/>
    <cellStyle name="Input 6 2 3 2" xfId="12831" xr:uid="{DB9727EA-74EA-4BC2-A8E9-765260DEE54B}"/>
    <cellStyle name="Input 6 2 3 2 2" xfId="29403" xr:uid="{DF5CCF5B-33EB-4064-9A32-87B81CF2BFF3}"/>
    <cellStyle name="Input 6 2 3 2 3" xfId="42685" xr:uid="{CC80745E-7319-45FF-A65D-5ABFF5AC5AC5}"/>
    <cellStyle name="Input 6 2 3 3" xfId="24014" xr:uid="{8B1CE6E8-6C00-4CC4-9E81-360DDC0CEAD8}"/>
    <cellStyle name="Input 6 2 3 4" xfId="37095" xr:uid="{2F699AE8-B7EF-4B48-A20C-9EF4A56F8A4D}"/>
    <cellStyle name="Input 6 2 4" xfId="11169" xr:uid="{904173CD-2C9C-4920-B27F-91A1E2EB7412}"/>
    <cellStyle name="Input 6 2 4 2" xfId="27963" xr:uid="{1DD8BAE0-9B9F-4DA1-840B-A2D35F64B5E3}"/>
    <cellStyle name="Input 6 2 4 3" xfId="41145" xr:uid="{E95923D1-D26D-4EC9-BB45-01D906D4CBB0}"/>
    <cellStyle name="Input 6 2 5" xfId="20766" xr:uid="{E163C744-E85F-4DBC-9676-ACC97AE022D6}"/>
    <cellStyle name="Input 6 2 6" xfId="33789" xr:uid="{A63A4C9E-B397-4B5A-8941-4CE6E0844CD1}"/>
    <cellStyle name="Input 6 3" xfId="4381" xr:uid="{3FFDC794-BE51-4D91-B68D-FC794A4A4D66}"/>
    <cellStyle name="Input 6 3 2" xfId="7000" xr:uid="{4691C948-E65F-44BC-B1CD-0F3683135DBA}"/>
    <cellStyle name="Input 6 3 2 2" xfId="12333" xr:uid="{988454EB-6D14-41BD-A354-99B990F392D6}"/>
    <cellStyle name="Input 6 3 2 2 2" xfId="29001" xr:uid="{AB492757-E479-40D7-ACCA-4132794C0499}"/>
    <cellStyle name="Input 6 3 2 2 3" xfId="42241" xr:uid="{0AB521C8-17CE-4745-BBD2-087F1D887EE0}"/>
    <cellStyle name="Input 6 3 2 3" xfId="24621" xr:uid="{1564155A-AFD8-43CE-9789-B1197977EFC8}"/>
    <cellStyle name="Input 6 3 2 4" xfId="37702" xr:uid="{61EA2656-3249-4F71-B85B-66D20760D8DB}"/>
    <cellStyle name="Input 6 3 3" xfId="15725" xr:uid="{AC1E5142-5D45-4511-A442-26A0992449C0}"/>
    <cellStyle name="Input 6 3 3 2" xfId="31835" xr:uid="{C6EBB423-1255-4C51-BA70-A7B12F75BE49}"/>
    <cellStyle name="Input 6 3 3 3" xfId="45344" xr:uid="{50417DE7-9D6D-46AD-9877-5B81018C4471}"/>
    <cellStyle name="Input 6 3 4" xfId="22200" xr:uid="{8B88E7A3-0030-4474-8F76-7083CC83036B}"/>
    <cellStyle name="Input 6 3 5" xfId="35249" xr:uid="{C76A0ED4-1C55-4958-8362-3FE5214D6AED}"/>
    <cellStyle name="Input 6 4" xfId="5435" xr:uid="{45FFD2E4-8AC6-4CB8-B14E-3289F60496B5}"/>
    <cellStyle name="Input 6 4 2" xfId="8613" xr:uid="{E0325891-2641-4710-984E-A036D0D728C3}"/>
    <cellStyle name="Input 6 4 2 2" xfId="14986" xr:uid="{F3322998-4692-452C-A32E-C397FD87DA15}"/>
    <cellStyle name="Input 6 4 2 2 2" xfId="31219" xr:uid="{25268116-52EE-4AD5-87A3-DFDD225D0463}"/>
    <cellStyle name="Input 6 4 2 2 3" xfId="44668" xr:uid="{DD469525-A3E0-455E-B63A-4EBECC21B4D8}"/>
    <cellStyle name="Input 6 4 2 3" xfId="26110" xr:uid="{5706E156-70A6-46FE-84BB-40DECEBA2B52}"/>
    <cellStyle name="Input 6 4 2 4" xfId="39186" xr:uid="{8FF6C416-6084-44F4-949F-A72CDD093A38}"/>
    <cellStyle name="Input 6 4 3" xfId="13441" xr:uid="{7C50D82F-3FA7-415C-A28C-DBAA36EB17AB}"/>
    <cellStyle name="Input 6 4 3 2" xfId="29905" xr:uid="{7CD5AB54-7F25-482E-95B1-5100E51D5ACC}"/>
    <cellStyle name="Input 6 4 3 3" xfId="43243" xr:uid="{02C50C36-A4D2-4072-87C7-668F20AA80C6}"/>
    <cellStyle name="Input 6 4 4" xfId="23082" xr:uid="{99AA15F1-02D1-4CC2-A985-B3F04963C1B5}"/>
    <cellStyle name="Input 6 4 5" xfId="36163" xr:uid="{80D42C6E-6E38-4292-98CC-73E65F796CE7}"/>
    <cellStyle name="Input 6 5" xfId="11407" xr:uid="{7D386F7B-187A-42F5-8F11-F469549F3AFB}"/>
    <cellStyle name="Input 6 5 2" xfId="28177" xr:uid="{29A5D250-B1FB-4272-9EC3-7D4120BFAEF1}"/>
    <cellStyle name="Input 6 5 3" xfId="41368" xr:uid="{0A6F2FF6-1ACF-4E2F-9117-0CE3A30E07ED}"/>
    <cellStyle name="Input 6 6" xfId="21373" xr:uid="{B702CD39-3920-4B1E-ADE1-EF76D5531049}"/>
    <cellStyle name="Input 6 7" xfId="34396" xr:uid="{ACE415DD-7A68-4B8F-9EBD-50986F41183D}"/>
    <cellStyle name="Input 7" xfId="3400" xr:uid="{17AEFD49-85A9-4790-8BC0-AD054B1AC31E}"/>
    <cellStyle name="Input 7 2" xfId="2748" xr:uid="{AB0613C9-F5F2-4C15-8C5B-F011A66FF0F0}"/>
    <cellStyle name="Input 7 2 2" xfId="8044" xr:uid="{3D0B18DD-5D0E-4355-AE17-F67296ED5261}"/>
    <cellStyle name="Input 7 2 2 2" xfId="12554" xr:uid="{C620910E-5059-4BF8-8E17-8FC7BB4C1548}"/>
    <cellStyle name="Input 7 2 2 2 2" xfId="29176" xr:uid="{6866D63B-9729-493F-B048-6802ACF1A2A7}"/>
    <cellStyle name="Input 7 2 2 2 3" xfId="42435" xr:uid="{E4F07E52-2562-44DA-9455-D57CA0269109}"/>
    <cellStyle name="Input 7 2 2 3" xfId="25557" xr:uid="{F7A9C690-8FC2-46CF-BBD2-F34BA69594F9}"/>
    <cellStyle name="Input 7 2 2 4" xfId="38633" xr:uid="{8CAAFBF4-14A9-4E96-AABB-5BD602683B30}"/>
    <cellStyle name="Input 7 2 3" xfId="6411" xr:uid="{319CFC0A-9BE0-40B7-8010-ABE09C39EE19}"/>
    <cellStyle name="Input 7 2 3 2" xfId="13901" xr:uid="{1B4B0E5F-0D56-4478-B271-07057EC2F88C}"/>
    <cellStyle name="Input 7 2 3 2 2" xfId="30293" xr:uid="{D49AC992-C407-4302-8C7C-DBDA610C49D3}"/>
    <cellStyle name="Input 7 2 3 2 3" xfId="43666" xr:uid="{09AC4155-022D-49EE-BBB6-BDB33695CA62}"/>
    <cellStyle name="Input 7 2 3 3" xfId="24048" xr:uid="{F898BD33-AB79-4941-A10D-411057EA3B16}"/>
    <cellStyle name="Input 7 2 3 4" xfId="37129" xr:uid="{9E4B649C-0103-4A49-94F0-B5395E3ED9B8}"/>
    <cellStyle name="Input 7 2 4" xfId="13671" xr:uid="{05657F0A-6EE3-4215-86C3-A1B0115DBC02}"/>
    <cellStyle name="Input 7 2 4 2" xfId="30096" xr:uid="{E438C5B2-4372-4B85-A0D4-D3B52210DDB4}"/>
    <cellStyle name="Input 7 2 4 3" xfId="43455" xr:uid="{A86218FE-FC17-4021-993B-4737C505FF39}"/>
    <cellStyle name="Input 7 2 5" xfId="20800" xr:uid="{E59F6491-3489-4026-845E-2D7CE89B12CB}"/>
    <cellStyle name="Input 7 2 6" xfId="33823" xr:uid="{DC372E20-A4C9-4388-83F4-C8074E3B2D20}"/>
    <cellStyle name="Input 7 3" xfId="4411" xr:uid="{FB48EF39-D897-4B05-9146-D593B71CB3E7}"/>
    <cellStyle name="Input 7 3 2" xfId="7046" xr:uid="{4F95287F-529D-43B4-B402-7AEE2236A59E}"/>
    <cellStyle name="Input 7 3 2 2" xfId="11544" xr:uid="{FDC5A8E2-569B-4A8B-A655-E8B39CE1DA91}"/>
    <cellStyle name="Input 7 3 2 2 2" xfId="28301" xr:uid="{ADB8466A-C261-476C-B45F-E09D326D0069}"/>
    <cellStyle name="Input 7 3 2 2 3" xfId="41499" xr:uid="{E3B0D78A-DA2E-452A-88F6-6E128BF08C0B}"/>
    <cellStyle name="Input 7 3 2 3" xfId="24651" xr:uid="{2551F262-057E-47E3-A389-9235687ABAF0}"/>
    <cellStyle name="Input 7 3 2 4" xfId="37732" xr:uid="{9D4870EA-D6D3-4CA9-8E36-DA5D731452FC}"/>
    <cellStyle name="Input 7 3 3" xfId="12388" xr:uid="{5784D043-C515-4BD3-84B9-E9071A94BBB6}"/>
    <cellStyle name="Input 7 3 3 2" xfId="29053" xr:uid="{53C2C5F3-1B69-45A3-B902-BA1F48699855}"/>
    <cellStyle name="Input 7 3 3 3" xfId="42294" xr:uid="{4260D7BE-1078-43EC-99CB-8C8DFB77F37A}"/>
    <cellStyle name="Input 7 3 4" xfId="22230" xr:uid="{393C7F5F-7CEB-4DB5-8C15-7BEF86F53E2A}"/>
    <cellStyle name="Input 7 3 5" xfId="35279" xr:uid="{A9F0B5FC-2449-437C-8198-032A4F3AA97B}"/>
    <cellStyle name="Input 7 4" xfId="5465" xr:uid="{74EDECA7-733B-400A-865B-D6DFD130BFE2}"/>
    <cellStyle name="Input 7 4 2" xfId="8645" xr:uid="{4B1D29F6-C9D9-4F6F-82C0-4621D24D5758}"/>
    <cellStyle name="Input 7 4 2 2" xfId="10982" xr:uid="{FB99AD48-8C6E-455B-A98F-A6D1E989F0B9}"/>
    <cellStyle name="Input 7 4 2 2 2" xfId="27791" xr:uid="{EA6153BF-1449-48F8-B69D-5F0CB414F7D6}"/>
    <cellStyle name="Input 7 4 2 2 3" xfId="40962" xr:uid="{CD1875A9-82AF-4952-A567-29321402FFD2}"/>
    <cellStyle name="Input 7 4 2 3" xfId="26140" xr:uid="{774A29DE-53EC-44FA-9367-D7B2422DB5FB}"/>
    <cellStyle name="Input 7 4 2 4" xfId="39216" xr:uid="{9BC03C19-842A-421A-8890-FCB8B158866D}"/>
    <cellStyle name="Input 7 4 3" xfId="15410" xr:uid="{1EA24AEE-2F16-4A8B-8F8B-997350AE0A3B}"/>
    <cellStyle name="Input 7 4 3 2" xfId="31563" xr:uid="{7FBA063E-E4A5-4553-B02B-51C2CB856044}"/>
    <cellStyle name="Input 7 4 3 3" xfId="45052" xr:uid="{2B7D46F0-39EC-407A-AC77-3D26EAAE37D8}"/>
    <cellStyle name="Input 7 4 4" xfId="23112" xr:uid="{09DF3734-6214-44E4-A7DE-95D5633D2A4D}"/>
    <cellStyle name="Input 7 4 5" xfId="36193" xr:uid="{C54F2949-4623-4B9A-B1B0-ECFD11E3E2F2}"/>
    <cellStyle name="Input 7 5" xfId="16099" xr:uid="{2589D1B5-62AF-46B9-A829-1C969A60B6E7}"/>
    <cellStyle name="Input 7 5 2" xfId="32157" xr:uid="{708DCC79-6C22-4F16-AFBB-A46A88AE011B}"/>
    <cellStyle name="Input 7 5 3" xfId="45678" xr:uid="{88549E50-2582-4688-91B7-46C2E940A8C5}"/>
    <cellStyle name="Input 7 6" xfId="21402" xr:uid="{41ED87D4-0057-48E6-8BEF-DE7FA053AAF5}"/>
    <cellStyle name="Input 7 7" xfId="34426" xr:uid="{15FFD6C6-CB67-4B6D-B505-6A04E08AB6C8}"/>
    <cellStyle name="Input 8" xfId="3346" xr:uid="{A9AE4E80-2F79-47E9-8F5F-93E30884AA91}"/>
    <cellStyle name="Input 8 2" xfId="2708" xr:uid="{545FB003-4185-459A-8F47-781FE92FD9A3}"/>
    <cellStyle name="Input 8 2 2" xfId="8004" xr:uid="{FEE732EF-2345-48CC-9CAF-4CF7B9854F43}"/>
    <cellStyle name="Input 8 2 2 2" xfId="12767" xr:uid="{B5AD3A62-73FC-433A-A44C-5669BAC77259}"/>
    <cellStyle name="Input 8 2 2 2 2" xfId="29342" xr:uid="{57939C0A-2E0F-491E-B370-91A3A0FD69E5}"/>
    <cellStyle name="Input 8 2 2 2 3" xfId="42622" xr:uid="{41B8F1D7-0040-4127-85E3-505B801EA54F}"/>
    <cellStyle name="Input 8 2 2 3" xfId="25519" xr:uid="{F4CC5C78-84AC-450F-90D7-DCAA6C863233}"/>
    <cellStyle name="Input 8 2 2 4" xfId="38595" xr:uid="{B3F595E9-38A6-49A9-9838-C7447B0B6351}"/>
    <cellStyle name="Input 8 2 3" xfId="6371" xr:uid="{AF0A94D1-6098-45E2-9C03-02C25CA7E36D}"/>
    <cellStyle name="Input 8 2 3 2" xfId="14964" xr:uid="{D06E7C83-3B33-4A60-8E64-91424D64138A}"/>
    <cellStyle name="Input 8 2 3 2 2" xfId="31202" xr:uid="{0B04897A-99D5-47C6-8C7C-AFDE600F6C80}"/>
    <cellStyle name="Input 8 2 3 2 3" xfId="44649" xr:uid="{EDF53D0C-116D-442D-8436-F7D7BBAA07C2}"/>
    <cellStyle name="Input 8 2 3 3" xfId="24010" xr:uid="{0FE9AB13-F538-4717-98A9-21DB33F80A10}"/>
    <cellStyle name="Input 8 2 3 4" xfId="37091" xr:uid="{F6F8A715-EBC4-4E33-AF02-43C77AD4560F}"/>
    <cellStyle name="Input 8 2 4" xfId="10791" xr:uid="{18B4F41C-33E6-4D85-8861-AB5EE76DAD92}"/>
    <cellStyle name="Input 8 2 4 2" xfId="27625" xr:uid="{B4F56CC1-D14E-4B49-A783-6044EC406846}"/>
    <cellStyle name="Input 8 2 4 3" xfId="40772" xr:uid="{8CECB21B-DF5B-4F0E-BEA2-9274D01D6620}"/>
    <cellStyle name="Input 8 2 5" xfId="20762" xr:uid="{A9639BF4-E509-443C-8BAF-C7DCF3C5D557}"/>
    <cellStyle name="Input 8 2 6" xfId="33785" xr:uid="{DAC5BB1D-DCCE-4901-B433-0A0E13D3351D}"/>
    <cellStyle name="Input 8 3" xfId="4377" xr:uid="{92DFA2F8-21C7-43EC-92A1-D0420C0D7071}"/>
    <cellStyle name="Input 8 3 2" xfId="6996" xr:uid="{F2A21D2B-149D-45D3-9F26-1F01D844EED4}"/>
    <cellStyle name="Input 8 3 2 2" xfId="10767" xr:uid="{E4F7A364-D5FF-4FDA-923E-361FB30D51E2}"/>
    <cellStyle name="Input 8 3 2 2 2" xfId="27602" xr:uid="{C21C38A3-E09D-423C-9763-0796E407FE20}"/>
    <cellStyle name="Input 8 3 2 2 3" xfId="40748" xr:uid="{887AEFFA-8F98-4105-A286-AD5CE7061760}"/>
    <cellStyle name="Input 8 3 2 3" xfId="24617" xr:uid="{368F14D9-D65D-4987-9245-78D1E0889935}"/>
    <cellStyle name="Input 8 3 2 4" xfId="37698" xr:uid="{E6385C72-FF27-4F59-9569-E5499B21FD88}"/>
    <cellStyle name="Input 8 3 3" xfId="17145" xr:uid="{EDC5CCB6-43FD-4797-A037-176649ED4692}"/>
    <cellStyle name="Input 8 3 3 2" xfId="32908" xr:uid="{ACFF71B6-8FDD-4FA5-99D7-E605B62F2C22}"/>
    <cellStyle name="Input 8 3 3 3" xfId="46680" xr:uid="{C509A8A8-B672-4CB6-933E-77CF8559CD4E}"/>
    <cellStyle name="Input 8 3 4" xfId="22196" xr:uid="{D5A865B8-DF2D-45E0-9293-061BEF2E01F8}"/>
    <cellStyle name="Input 8 3 5" xfId="35245" xr:uid="{0E95A0E8-F13D-4A89-8213-B7E67402A1C2}"/>
    <cellStyle name="Input 8 4" xfId="5431" xr:uid="{3359C9F3-C55A-4CDD-A28D-635D63507B56}"/>
    <cellStyle name="Input 8 4 2" xfId="8609" xr:uid="{5BD85DDA-C065-42CD-BA7E-011918A23633}"/>
    <cellStyle name="Input 8 4 2 2" xfId="14869" xr:uid="{879500F8-CCBE-47B5-8EA9-556FE7082B22}"/>
    <cellStyle name="Input 8 4 2 2 2" xfId="31123" xr:uid="{A6B44B64-0FC5-42E6-933B-7DFDE2C7177B}"/>
    <cellStyle name="Input 8 4 2 2 3" xfId="44562" xr:uid="{B49F7BF9-A6BC-475A-8F67-5DCDAF30D0E2}"/>
    <cellStyle name="Input 8 4 2 3" xfId="26106" xr:uid="{7A319A0D-3486-4B6F-BB14-183973D5FE65}"/>
    <cellStyle name="Input 8 4 2 4" xfId="39182" xr:uid="{D5F0253B-5B6A-48AD-8058-5418B18CA022}"/>
    <cellStyle name="Input 8 4 3" xfId="10640" xr:uid="{734AEE5B-0BA9-4250-9B4F-38BDF64B6031}"/>
    <cellStyle name="Input 8 4 3 2" xfId="27494" xr:uid="{7EF7F2F8-7E01-4D25-83C8-D76E6AD73EDE}"/>
    <cellStyle name="Input 8 4 3 3" xfId="40621" xr:uid="{1BD2260D-4C96-4567-8F7F-0796B43890D8}"/>
    <cellStyle name="Input 8 4 4" xfId="23078" xr:uid="{048F48AB-54AF-45EF-A79B-74C06CEB008E}"/>
    <cellStyle name="Input 8 4 5" xfId="36159" xr:uid="{8D233F15-5EFB-4E6D-9BCD-85A816205CD1}"/>
    <cellStyle name="Input 8 5" xfId="15791" xr:uid="{4D8951E2-3584-4A24-AD37-BEA874F08A75}"/>
    <cellStyle name="Input 8 5 2" xfId="31892" xr:uid="{848AFCE2-A7A4-4F65-ACEE-D243E460CC57}"/>
    <cellStyle name="Input 8 5 3" xfId="45403" xr:uid="{8F0B243A-3FA4-4FE5-88EF-EAA0C72FE13E}"/>
    <cellStyle name="Input 8 6" xfId="21369" xr:uid="{869670CA-06BE-4AA3-A9CD-30E61D99FB11}"/>
    <cellStyle name="Input 8 7" xfId="34392" xr:uid="{B0D168C9-A1A5-4174-940A-1355CF1779FA}"/>
    <cellStyle name="Input 9" xfId="3608" xr:uid="{2EF80D74-1997-4388-B7BD-120A8CD41A9B}"/>
    <cellStyle name="Input 9 2" xfId="2939" xr:uid="{019F5F0B-9212-4B58-A0D4-0FA18902C5C6}"/>
    <cellStyle name="Input 9 2 2" xfId="8235" xr:uid="{AE816450-A7C5-4952-B9F8-E419C0F19799}"/>
    <cellStyle name="Input 9 2 2 2" xfId="14387" xr:uid="{8AA3C521-B7F1-42C0-B52C-3C8F5DB29B71}"/>
    <cellStyle name="Input 9 2 2 2 2" xfId="30719" xr:uid="{11377956-0E85-42D1-9F82-F70A7D9E9FB5}"/>
    <cellStyle name="Input 9 2 2 2 3" xfId="44117" xr:uid="{76E74F1C-DFAA-48DA-AF6B-19817C63CCFA}"/>
    <cellStyle name="Input 9 2 2 3" xfId="25744" xr:uid="{1092B8AD-C45F-4A66-9198-615D6AEEE6E7}"/>
    <cellStyle name="Input 9 2 2 4" xfId="38820" xr:uid="{B5DBA856-DAE1-4DA2-B303-54C7760CCC6E}"/>
    <cellStyle name="Input 9 2 3" xfId="6602" xr:uid="{9A7BA1DE-3A31-490A-8605-EA0B481F295D}"/>
    <cellStyle name="Input 9 2 3 2" xfId="11853" xr:uid="{6587162F-08E8-4EF4-A9AF-D5BF763C0EC6}"/>
    <cellStyle name="Input 9 2 3 2 2" xfId="28570" xr:uid="{8610A92C-E01E-404B-B356-BF800DF74AE2}"/>
    <cellStyle name="Input 9 2 3 2 3" xfId="41786" xr:uid="{09A642F7-7DD6-4C35-AE8B-26E94434A234}"/>
    <cellStyle name="Input 9 2 3 3" xfId="24235" xr:uid="{94AECC30-7C44-4E60-B42A-954418EFFFA3}"/>
    <cellStyle name="Input 9 2 3 4" xfId="37316" xr:uid="{0C1DBA98-C0DB-4A02-A741-43C24D7CCF52}"/>
    <cellStyle name="Input 9 2 4" xfId="14692" xr:uid="{ACDD6F58-22B9-41BA-B77F-DDCFA302B15A}"/>
    <cellStyle name="Input 9 2 4 2" xfId="30983" xr:uid="{CAA34BB4-29F1-4A10-95A4-1E754AEC185B}"/>
    <cellStyle name="Input 9 2 4 3" xfId="44405" xr:uid="{8BEEDBE2-9513-4FE1-9CA3-4100DCF79AB5}"/>
    <cellStyle name="Input 9 2 5" xfId="20987" xr:uid="{A45AA2FB-6301-4CD6-AC56-13748B635335}"/>
    <cellStyle name="Input 9 2 6" xfId="34010" xr:uid="{BDA66AF7-4034-4D09-AA47-CEBDB8F71E1D}"/>
    <cellStyle name="Input 9 3" xfId="4541" xr:uid="{98D57044-60CC-48D9-BD2A-CC32A12D5490}"/>
    <cellStyle name="Input 9 3 2" xfId="7244" xr:uid="{47B7C01D-AC4B-4DA1-BCC1-2234B4DB08E9}"/>
    <cellStyle name="Input 9 3 2 2" xfId="15105" xr:uid="{12BFF01F-DD03-46BF-971A-9EE2E749DB33}"/>
    <cellStyle name="Input 9 3 2 2 2" xfId="31311" xr:uid="{91F149C8-0048-4130-B19C-2B680B6B505A}"/>
    <cellStyle name="Input 9 3 2 2 3" xfId="44772" xr:uid="{AECEFCB9-9A61-4585-9D49-AC480A31C520}"/>
    <cellStyle name="Input 9 3 2 3" xfId="24832" xr:uid="{FA20E15C-FB75-4863-8EAE-02F7CDA9C4EF}"/>
    <cellStyle name="Input 9 3 2 4" xfId="37913" xr:uid="{C5459A7C-C383-4234-8D6B-E53FD27893FC}"/>
    <cellStyle name="Input 9 3 3" xfId="13844" xr:uid="{CA309EEF-9067-4E9F-9092-D9BCC333F71F}"/>
    <cellStyle name="Input 9 3 3 2" xfId="30246" xr:uid="{CA54848F-EF7C-4848-BB3C-DCEBA1FA3E46}"/>
    <cellStyle name="Input 9 3 3 3" xfId="43616" xr:uid="{004D974F-CD6D-4FF2-8591-607AAAFDFC9C}"/>
    <cellStyle name="Input 9 3 4" xfId="22357" xr:uid="{3516D626-2BD7-4DF0-B4CD-36428FA103F0}"/>
    <cellStyle name="Input 9 3 5" xfId="35406" xr:uid="{E78461D5-0087-4E80-B7F7-8C86B55763E5}"/>
    <cellStyle name="Input 9 4" xfId="5646" xr:uid="{A4B88C95-39EF-4CB3-8275-15BB5BB5CED7}"/>
    <cellStyle name="Input 9 4 2" xfId="8830" xr:uid="{2622A7D7-DE4A-4895-91BC-CC6DB1A509DC}"/>
    <cellStyle name="Input 9 4 2 2" xfId="13144" xr:uid="{824E8DBE-99FB-447D-B6D9-B4588A154F6B}"/>
    <cellStyle name="Input 9 4 2 2 2" xfId="29658" xr:uid="{02FC723E-BCE5-403F-ABA2-7625E2E4B09E}"/>
    <cellStyle name="Input 9 4 2 2 3" xfId="42970" xr:uid="{03CA1FE1-5CE0-4C5D-B480-DDBCC447CE35}"/>
    <cellStyle name="Input 9 4 2 3" xfId="26321" xr:uid="{776EB3E2-B88E-4074-BDB4-BE13D3187007}"/>
    <cellStyle name="Input 9 4 2 4" xfId="39397" xr:uid="{3256F03E-86B7-4E17-BB59-83D628621664}"/>
    <cellStyle name="Input 9 4 3" xfId="15758" xr:uid="{14649577-452D-4654-9F54-C23E1DCA2A15}"/>
    <cellStyle name="Input 9 4 3 2" xfId="31864" xr:uid="{2AAD907E-39B5-4334-94D3-D5656A19C0E1}"/>
    <cellStyle name="Input 9 4 3 3" xfId="45375" xr:uid="{61EC9F5D-527F-4038-8A10-990D8D0A0CA2}"/>
    <cellStyle name="Input 9 4 4" xfId="23293" xr:uid="{BBD6AB0E-822D-469B-BA75-E3CB14915F8B}"/>
    <cellStyle name="Input 9 4 5" xfId="36374" xr:uid="{ADF4CD4C-B2F9-4AE7-80F7-5E0CEC1ADDC4}"/>
    <cellStyle name="Input 9 5" xfId="17136" xr:uid="{D9CD4EED-A670-40E2-A1ED-8BD5D4920B41}"/>
    <cellStyle name="Input 9 5 2" xfId="32899" xr:uid="{B52E0A82-3353-4FC5-890C-95FBBBB9DD20}"/>
    <cellStyle name="Input 9 5 3" xfId="46671" xr:uid="{E95D66B4-981A-4BA3-B7ED-D896FEABA1D2}"/>
    <cellStyle name="Input 9 6" xfId="21555" xr:uid="{95F9BCD4-E8BC-4C96-9A71-DC60AE2DC9D6}"/>
    <cellStyle name="Input 9 7" xfId="34609" xr:uid="{4D88D729-AD5D-4244-8B57-4AF3002EE7AC}"/>
    <cellStyle name="Ioe?uaaaoayny aeia?nnueea" xfId="2221" xr:uid="{E9AA7755-749C-4476-96FA-F6076C2140C9}"/>
    <cellStyle name="Ioe?uaaaoayny aeia?nnueea 1" xfId="2222" xr:uid="{16965FC0-4D63-40B4-9065-A72DCE3ECDB1}"/>
    <cellStyle name="Ioe?uaaaoayny aeia?nnueea 2" xfId="2223" xr:uid="{265E7FAA-1DA9-4ACA-8013-F0C1A8D905FA}"/>
    <cellStyle name="Ioe?uaaaoayny aeia?nnueea 3" xfId="2224" xr:uid="{FEB9CDE7-E37E-4389-9379-5A30470918CE}"/>
    <cellStyle name="Ioe?uaaaoayny aeia?nnueea_АГМ" xfId="2225" xr:uid="{4332DA4F-5684-4C83-89D2-04E431B592AA}"/>
    <cellStyle name="ISO" xfId="2226" xr:uid="{C775B62C-151B-4BDD-884C-33C95D35C39A}"/>
    <cellStyle name="ISO 1" xfId="2227" xr:uid="{8225B153-8041-4623-A5BB-E876612D5EB5}"/>
    <cellStyle name="ISO 1 2" xfId="10348" xr:uid="{7EEE24D8-4047-4118-B8AD-321AE62B4497}"/>
    <cellStyle name="ISO 2" xfId="2228" xr:uid="{F4E5EC85-7AD7-49BA-88E5-B5B6335EAA90}"/>
    <cellStyle name="ISO 2 2" xfId="10349" xr:uid="{D5CB26EB-4BD8-48BC-8115-8ECF0E64F6E6}"/>
    <cellStyle name="ISO 3" xfId="2229" xr:uid="{4C96B091-033C-44C1-8DDF-C575B1E0AA9B}"/>
    <cellStyle name="ISO 3 2" xfId="10350" xr:uid="{8DC6D025-F1B7-48A3-9CFC-604722DBA80C}"/>
    <cellStyle name="ISO 4" xfId="10347" xr:uid="{40BE01CD-A46D-4263-9DD4-6544A3D0C3B0}"/>
    <cellStyle name="ISO_АГМ" xfId="2230" xr:uid="{1704DA1D-8CB1-419E-8AA4-364D79B5FA25}"/>
    <cellStyle name="Linked Cell" xfId="2231" xr:uid="{EC8A8D5B-CF11-4F6A-BAFA-E9723583DFC5}"/>
    <cellStyle name="Neutral" xfId="2232" xr:uid="{BBCCB36D-A106-4089-8331-2C512C3E9159}"/>
    <cellStyle name="Neutral 2" xfId="10351" xr:uid="{E5D3AA69-13BA-4265-A904-98FAEC8704B5}"/>
    <cellStyle name="Norma11l" xfId="2233" xr:uid="{305C9AE2-83B5-44B3-88B4-8DDC45066FCB}"/>
    <cellStyle name="Norma11l 1" xfId="2234" xr:uid="{8267BBB5-3B0F-430B-81D7-AE88093F091F}"/>
    <cellStyle name="Norma11l 1 2" xfId="4614" xr:uid="{BB75F0E0-E335-40BF-B9E3-6082B241B2A4}"/>
    <cellStyle name="Norma11l 1 2 2" xfId="5179" xr:uid="{95BDA121-BE0C-4E85-8833-94215C145222}"/>
    <cellStyle name="Norma11l 1 2 2 2" xfId="9675" xr:uid="{FCF5F5B1-4D87-44D3-A82E-BB3098E22249}"/>
    <cellStyle name="Norma11l 1 2 2 2 2" xfId="10718" xr:uid="{F5B1A5C3-D298-4C7B-864A-82BA021D825A}"/>
    <cellStyle name="Norma11l 1 2 2 2 2 2" xfId="40699" xr:uid="{ABDB98C5-97F4-4EC7-9E32-69DDE324141A}"/>
    <cellStyle name="Norma11l 1 2 2 2 3" xfId="40093" xr:uid="{912D3E37-8444-40A6-9A61-513066625A40}"/>
    <cellStyle name="Norma11l 1 2 2 3" xfId="35932" xr:uid="{50DF4EF8-435A-4287-89D7-6C58746F559A}"/>
    <cellStyle name="Norma11l 1 2 3" xfId="4953" xr:uid="{703E1E4E-235F-40F7-A1E4-E55D5EB08E9A}"/>
    <cellStyle name="Norma11l 1 2 3 2" xfId="9632" xr:uid="{3CFFC3B2-D13E-427F-8829-48C3C75B5FB8}"/>
    <cellStyle name="Norma11l 1 2 3 2 2" xfId="15106" xr:uid="{82C622FC-397E-48D0-84D2-DD43DBA0435C}"/>
    <cellStyle name="Norma11l 1 2 3 2 2 2" xfId="44773" xr:uid="{2158F362-8553-49A6-8CF4-61102D0C05A6}"/>
    <cellStyle name="Norma11l 1 2 3 2 3" xfId="40057" xr:uid="{8ED51D2C-15F2-4ED3-AA92-A15BBBC95ECA}"/>
    <cellStyle name="Norma11l 1 2 3 3" xfId="35791" xr:uid="{AFDCE9B5-F003-4C5D-B607-FA0C2E6E7887}"/>
    <cellStyle name="Norma11l 1 2 4" xfId="5066" xr:uid="{AF793E2A-9211-4431-A82F-76EA48FDF3FD}"/>
    <cellStyle name="Norma11l 1 2 4 2" xfId="9650" xr:uid="{8D75C700-FA1D-4B53-A2DA-A5E9B0E3AED1}"/>
    <cellStyle name="Norma11l 1 2 4 2 2" xfId="10844" xr:uid="{8BD81B8A-5775-44EB-B83D-2C2CFBB0AE8F}"/>
    <cellStyle name="Norma11l 1 2 4 2 2 2" xfId="40825" xr:uid="{0C7F59A9-87B1-4F71-BC39-7D5F23B3FDC0}"/>
    <cellStyle name="Norma11l 1 2 4 2 3" xfId="40070" xr:uid="{62ACA3BF-EAC6-4B36-8D74-DC4AA9CF10E3}"/>
    <cellStyle name="Norma11l 1 2 4 3" xfId="35876" xr:uid="{A6A1E8BA-32F6-4150-80D9-D3AF56507205}"/>
    <cellStyle name="Norma11l 1 2 5" xfId="5224" xr:uid="{C6F489C3-B1DF-4BB5-AF4B-88469B9F3052}"/>
    <cellStyle name="Norma11l 1 2 5 2" xfId="9680" xr:uid="{980F2ACC-4E1F-442B-B9E8-E7946C2AEDC2}"/>
    <cellStyle name="Norma11l 1 2 5 2 2" xfId="10644" xr:uid="{F3029611-4BAA-4482-ABFB-715FCFB99FC5}"/>
    <cellStyle name="Norma11l 1 2 5 2 2 2" xfId="40625" xr:uid="{9D4336C7-E3F6-4D04-8240-EBA28C8A0DC7}"/>
    <cellStyle name="Norma11l 1 2 5 2 3" xfId="40097" xr:uid="{C01ED5C3-1E12-45D1-B672-BB41126ADC0D}"/>
    <cellStyle name="Norma11l 1 2 5 3" xfId="35966" xr:uid="{8BB7FD22-0924-4220-91D1-EE9778BA57FA}"/>
    <cellStyle name="Norma11l 1 2 6" xfId="9600" xr:uid="{C957AE4D-A1C4-419E-8049-9E6CD8B68E39}"/>
    <cellStyle name="Norma11l 1 2 6 2" xfId="12664" xr:uid="{F9A04D54-6BC2-484E-8091-EEF0A8C6F02F}"/>
    <cellStyle name="Norma11l 1 2 6 2 2" xfId="42533" xr:uid="{0B2B0C99-5674-4F28-AB2A-33739FF0D68E}"/>
    <cellStyle name="Norma11l 1 2 6 3" xfId="40040" xr:uid="{3384A593-6BEA-4401-9034-DCD9CA4777B0}"/>
    <cellStyle name="Norma11l 1 2 7" xfId="35477" xr:uid="{B40D34AE-4B9E-4DAD-B232-C0FF8D20949E}"/>
    <cellStyle name="Norma11l 1 3" xfId="5260" xr:uid="{CAAB190F-FC69-4D3A-8D6B-379D917CAAF9}"/>
    <cellStyle name="Norma11l 1 3 2" xfId="9693" xr:uid="{707774B6-566F-4DCD-8016-E1D1221C4BD0}"/>
    <cellStyle name="Norma11l 1 3 2 2" xfId="15079" xr:uid="{20DABE31-FB0D-434A-BF25-3E761752D650}"/>
    <cellStyle name="Norma11l 1 3 2 2 2" xfId="44746" xr:uid="{33945A70-B768-4132-A468-564172EFBCB5}"/>
    <cellStyle name="Norma11l 1 3 2 3" xfId="40109" xr:uid="{861009E0-FE02-44F2-9C8D-A85ACE2BCEE9}"/>
    <cellStyle name="Norma11l 1 3 3" xfId="35990" xr:uid="{FCDD15C6-D6B8-495A-A1C8-CD7553A6BC9C}"/>
    <cellStyle name="Norma11l 1 4" xfId="9379" xr:uid="{ADF9C772-0D24-4BBA-BDF1-3E9BE6969C8B}"/>
    <cellStyle name="Norma11l 1 4 2" xfId="15291" xr:uid="{B89A1AB9-B4C9-4B6E-B251-5F7733E762B4}"/>
    <cellStyle name="Norma11l 1 4 2 2" xfId="44939" xr:uid="{5D3A0D4A-DA57-418C-9E2F-FEDA4488274B}"/>
    <cellStyle name="Norma11l 1 4 3" xfId="39874" xr:uid="{7B55506E-C2FB-46FF-B4D0-C43FD611FE0D}"/>
    <cellStyle name="Norma11l 1 5" xfId="10352" xr:uid="{3B558ED7-DF36-4654-A3D6-8089992CEA05}"/>
    <cellStyle name="Norma11l 1 5 2" xfId="40517" xr:uid="{61FD702E-06DA-48C3-9252-7FBC6817B7FC}"/>
    <cellStyle name="Norma11l 1 6" xfId="33550" xr:uid="{3F5A66E1-E0C1-482D-9C9A-230A19D04E45}"/>
    <cellStyle name="Norma11l 2" xfId="2235" xr:uid="{6DAA5F55-DFA5-4CE4-A235-9172080128B3}"/>
    <cellStyle name="Norma11l 2 2" xfId="4615" xr:uid="{E706175C-8BCD-4C93-A8BD-E7ECAFAB2837}"/>
    <cellStyle name="Norma11l 2 2 2" xfId="5178" xr:uid="{22ECBA7A-76D6-43DA-A830-B1A30A39C71B}"/>
    <cellStyle name="Norma11l 2 2 2 2" xfId="9674" xr:uid="{9DCC4407-616C-4B15-A1BC-4516C05AAC4A}"/>
    <cellStyle name="Norma11l 2 2 2 2 2" xfId="12218" xr:uid="{E171346D-13B1-4778-A4BE-EB88CAF13C1C}"/>
    <cellStyle name="Norma11l 2 2 2 2 2 2" xfId="42135" xr:uid="{2B8A12DD-A8AC-46F0-9D10-885736A36A06}"/>
    <cellStyle name="Norma11l 2 2 2 2 3" xfId="40092" xr:uid="{83C710B7-E5E2-4B86-8099-793FA369F950}"/>
    <cellStyle name="Norma11l 2 2 2 3" xfId="35931" xr:uid="{DD04F738-A229-47A4-9C53-0EBF7B8EB8BF}"/>
    <cellStyle name="Norma11l 2 2 3" xfId="4954" xr:uid="{B4455186-556E-4562-9BAC-E3B46386FC5A}"/>
    <cellStyle name="Norma11l 2 2 3 2" xfId="9633" xr:uid="{DA9F2E32-D3B9-42A0-8287-2E142AC64542}"/>
    <cellStyle name="Norma11l 2 2 3 2 2" xfId="17441" xr:uid="{CB36E0E4-34BB-480D-963B-5B86B724183C}"/>
    <cellStyle name="Norma11l 2 2 3 2 2 2" xfId="46971" xr:uid="{610710A6-B0AD-4236-AEB8-A2344C639ECE}"/>
    <cellStyle name="Norma11l 2 2 3 2 3" xfId="40058" xr:uid="{985F5B1E-108D-4760-BBA9-332CDE00FC70}"/>
    <cellStyle name="Norma11l 2 2 3 3" xfId="35792" xr:uid="{4EB35204-CDE5-4D5C-AD35-3C117C982086}"/>
    <cellStyle name="Norma11l 2 2 4" xfId="4990" xr:uid="{76828951-D14F-4186-8C00-B77E4A590AED}"/>
    <cellStyle name="Norma11l 2 2 4 2" xfId="9639" xr:uid="{2F61D70D-FF62-475B-B3BD-595B5434540D}"/>
    <cellStyle name="Norma11l 2 2 4 2 2" xfId="16086" xr:uid="{7AB8CB8F-D11E-4187-9B65-6012B0266B8A}"/>
    <cellStyle name="Norma11l 2 2 4 2 2 2" xfId="45666" xr:uid="{6B022A99-5CCC-42BB-A9CC-0E867D153568}"/>
    <cellStyle name="Norma11l 2 2 4 2 3" xfId="40062" xr:uid="{B1CA34D4-22C1-4EA1-BFE8-11C03D9903EB}"/>
    <cellStyle name="Norma11l 2 2 4 3" xfId="35819" xr:uid="{3374C7EC-1E72-443E-B8EC-B389C295375F}"/>
    <cellStyle name="Norma11l 2 2 5" xfId="4938" xr:uid="{94A908B6-AB94-440A-B5DA-14D0EC2DE5F7}"/>
    <cellStyle name="Norma11l 2 2 5 2" xfId="9629" xr:uid="{8875D766-345E-4B1A-9D2C-7489D1A476E0}"/>
    <cellStyle name="Norma11l 2 2 5 2 2" xfId="17440" xr:uid="{8088A889-6E92-4A3A-8FF4-CDD7D5A61492}"/>
    <cellStyle name="Norma11l 2 2 5 2 2 2" xfId="46970" xr:uid="{B50356C9-F9F5-4884-AD58-D0C67C3C751E}"/>
    <cellStyle name="Norma11l 2 2 5 2 3" xfId="40056" xr:uid="{5216DA9A-E6DF-4A70-968E-14CD32535C7A}"/>
    <cellStyle name="Norma11l 2 2 5 3" xfId="35787" xr:uid="{780C9DA2-A2DE-4B01-8BC4-A85607C2705B}"/>
    <cellStyle name="Norma11l 2 2 6" xfId="9601" xr:uid="{6095E89B-5BB0-4663-87B5-1783ED181F13}"/>
    <cellStyle name="Norma11l 2 2 6 2" xfId="17462" xr:uid="{68459ACE-DAD0-45AA-AE3A-5C139A6970A0}"/>
    <cellStyle name="Norma11l 2 2 6 2 2" xfId="46991" xr:uid="{8AD0EADA-F184-44C8-A858-E8EF5A8EC662}"/>
    <cellStyle name="Norma11l 2 2 6 3" xfId="40041" xr:uid="{07B241B2-146A-4D33-BF33-06FA2B697D48}"/>
    <cellStyle name="Norma11l 2 2 7" xfId="35478" xr:uid="{50A83623-89CA-4EF7-A76A-4E89069E851F}"/>
    <cellStyle name="Norma11l 2 3" xfId="5261" xr:uid="{4C491DD4-4C7A-4A2D-92B6-A426ACDEE37D}"/>
    <cellStyle name="Norma11l 2 3 2" xfId="9694" xr:uid="{566A6A9B-2BBE-4F40-AA1E-7FB02B60846F}"/>
    <cellStyle name="Norma11l 2 3 2 2" xfId="10634" xr:uid="{56C1FA74-78DB-4949-BC19-192F281BEB36}"/>
    <cellStyle name="Norma11l 2 3 2 2 2" xfId="40615" xr:uid="{FE6F6949-33B6-443C-9566-7A5E0E46B6BC}"/>
    <cellStyle name="Norma11l 2 3 2 3" xfId="40110" xr:uid="{DC4B5193-43A0-4C28-BF67-DF0A094F684B}"/>
    <cellStyle name="Norma11l 2 3 3" xfId="35991" xr:uid="{D2FEE17C-D393-472F-8CD5-F7AE11EFB427}"/>
    <cellStyle name="Norma11l 2 4" xfId="9380" xr:uid="{FC28338C-8F0E-438F-8B01-3A229CADDA15}"/>
    <cellStyle name="Norma11l 2 4 2" xfId="16419" xr:uid="{F27C590C-F049-4B68-A637-60740FDBBF98}"/>
    <cellStyle name="Norma11l 2 4 2 2" xfId="45970" xr:uid="{B95F36CA-F8E5-4DF4-81D2-3113D246C132}"/>
    <cellStyle name="Norma11l 2 4 3" xfId="39875" xr:uid="{BA8651A3-2143-4E8F-B569-654190D8EE42}"/>
    <cellStyle name="Norma11l 2 5" xfId="10353" xr:uid="{9FF0C9D9-42C9-42EC-BC85-D71A91600D1F}"/>
    <cellStyle name="Norma11l 2 5 2" xfId="40518" xr:uid="{46116BDB-D055-470E-8D55-D6F2DE82B2BB}"/>
    <cellStyle name="Norma11l 2 6" xfId="33551" xr:uid="{B32966A4-26FD-484C-B445-1844E0EC3D95}"/>
    <cellStyle name="Norma11l 3" xfId="2236" xr:uid="{E6A4B008-5B6A-4EB1-8405-EEB3F391D780}"/>
    <cellStyle name="Norma11l 3 2" xfId="4616" xr:uid="{D1BC1C08-5E53-451E-A266-04CE74DCF3A7}"/>
    <cellStyle name="Norma11l 3 2 2" xfId="5177" xr:uid="{F60F4F69-E368-4E49-B6DA-76E9704C4A45}"/>
    <cellStyle name="Norma11l 3 2 2 2" xfId="9673" xr:uid="{8A7A4BF8-B2E1-4B61-AF30-C031B5F4FE17}"/>
    <cellStyle name="Norma11l 3 2 2 2 2" xfId="16670" xr:uid="{89B0452A-F109-4FC9-B05F-65F6F25BA3C8}"/>
    <cellStyle name="Norma11l 3 2 2 2 2 2" xfId="46217" xr:uid="{837CC39F-59AD-4D33-9E73-2CAE97813B1E}"/>
    <cellStyle name="Norma11l 3 2 2 2 3" xfId="40091" xr:uid="{B380232C-3F6A-430C-9067-D0B885A5A8D3}"/>
    <cellStyle name="Norma11l 3 2 2 3" xfId="35930" xr:uid="{04CE3B09-A0AB-4286-9E55-F9D4ADF3AE1D}"/>
    <cellStyle name="Norma11l 3 2 3" xfId="4955" xr:uid="{2420201F-8DA3-4852-A1EC-9EB16FB14BD7}"/>
    <cellStyle name="Norma11l 3 2 3 2" xfId="9634" xr:uid="{41E4DA7F-F041-48BA-B4AE-25287C8B54C1}"/>
    <cellStyle name="Norma11l 3 2 3 2 2" xfId="17439" xr:uid="{5A220B10-1B48-4126-A973-8F93C3B51365}"/>
    <cellStyle name="Norma11l 3 2 3 2 2 2" xfId="46969" xr:uid="{E2BF0BF5-AD55-4B19-98B3-B585ABB52EE8}"/>
    <cellStyle name="Norma11l 3 2 3 2 3" xfId="40059" xr:uid="{D07ABAE9-2C81-4202-830D-4BEC1DA4120C}"/>
    <cellStyle name="Norma11l 3 2 3 3" xfId="35793" xr:uid="{9855F1D9-C4B0-4DE7-8944-E6CF9CA9AA9E}"/>
    <cellStyle name="Norma11l 3 2 4" xfId="5151" xr:uid="{153F1EF3-09F4-445D-B028-9EDECFEF1A27}"/>
    <cellStyle name="Norma11l 3 2 4 2" xfId="9662" xr:uid="{4581B9B2-DD24-4EE6-922D-A034537E5D10}"/>
    <cellStyle name="Norma11l 3 2 4 2 2" xfId="14327" xr:uid="{019D2FCD-A151-413F-80D1-E62FA68C546B}"/>
    <cellStyle name="Norma11l 3 2 4 2 2 2" xfId="44057" xr:uid="{A2BFDF3F-219D-4707-AAA4-511A0D7D0FEC}"/>
    <cellStyle name="Norma11l 3 2 4 2 3" xfId="40080" xr:uid="{89FF3924-C007-4AA0-8D96-33FC04414863}"/>
    <cellStyle name="Norma11l 3 2 4 3" xfId="35913" xr:uid="{3979E4D6-6FE3-4394-A55E-26DBB8207089}"/>
    <cellStyle name="Norma11l 3 2 5" xfId="4958" xr:uid="{05BFF8C2-8F90-4DC7-A0ED-C10A8C7B838C}"/>
    <cellStyle name="Norma11l 3 2 5 2" xfId="9635" xr:uid="{18630202-641A-41F5-8984-6EE2A7786E6E}"/>
    <cellStyle name="Norma11l 3 2 5 2 2" xfId="13498" xr:uid="{F7DE4714-CF48-42F3-AC9E-099F33099A67}"/>
    <cellStyle name="Norma11l 3 2 5 2 2 2" xfId="43297" xr:uid="{71D9DCB8-5DD8-401C-9A20-DF58EBC37359}"/>
    <cellStyle name="Norma11l 3 2 5 2 3" xfId="40060" xr:uid="{3EB2A863-3041-4427-9C1D-A894C8A23A72}"/>
    <cellStyle name="Norma11l 3 2 5 3" xfId="35795" xr:uid="{674D7225-9A0B-4497-BEC8-7D1A41488F02}"/>
    <cellStyle name="Norma11l 3 2 6" xfId="9602" xr:uid="{EE296FD4-C7D0-4724-86B6-4A23E36208B2}"/>
    <cellStyle name="Norma11l 3 2 6 2" xfId="17455" xr:uid="{01FC9A8E-C698-418B-BFE1-E153966E0908}"/>
    <cellStyle name="Norma11l 3 2 6 2 2" xfId="46984" xr:uid="{D523C06E-614F-4394-A5E6-A8D23123BC0D}"/>
    <cellStyle name="Norma11l 3 2 6 3" xfId="40042" xr:uid="{28F234DE-3CF4-4544-A52B-9231EC886B04}"/>
    <cellStyle name="Norma11l 3 2 7" xfId="35479" xr:uid="{E75A97BA-D5D7-4E55-84F1-74B458775593}"/>
    <cellStyle name="Norma11l 3 3" xfId="5262" xr:uid="{2D3B6EDD-AFE6-44D1-9BA5-0D45813F2A1A}"/>
    <cellStyle name="Norma11l 3 3 2" xfId="9695" xr:uid="{AC6928EF-4890-4A11-BC12-36D1C87AD095}"/>
    <cellStyle name="Norma11l 3 3 2 2" xfId="10907" xr:uid="{23B25072-BAB4-46AC-A5F5-BAFA7EFCED52}"/>
    <cellStyle name="Norma11l 3 3 2 2 2" xfId="40887" xr:uid="{648D38E3-6C5D-41F8-986A-F17BC288128E}"/>
    <cellStyle name="Norma11l 3 3 2 3" xfId="40111" xr:uid="{F602DA95-A288-4A53-AFDF-AEC0E31D6588}"/>
    <cellStyle name="Norma11l 3 3 3" xfId="35992" xr:uid="{DDFCC3BD-F1F5-4A58-98FB-30E01973C4FA}"/>
    <cellStyle name="Norma11l 3 4" xfId="9381" xr:uid="{08D2172A-4658-4D69-B3E3-824E0E1E3660}"/>
    <cellStyle name="Norma11l 3 4 2" xfId="11286" xr:uid="{17138A74-DD52-4DAB-9EBF-5600BCC21BE1}"/>
    <cellStyle name="Norma11l 3 4 2 2" xfId="41255" xr:uid="{D5D7E511-4153-428A-AF37-F7052577C4CB}"/>
    <cellStyle name="Norma11l 3 4 3" xfId="39876" xr:uid="{E1484EF0-EEDD-4F54-8FE9-90AD92B7CA49}"/>
    <cellStyle name="Norma11l 3 5" xfId="10354" xr:uid="{1DC78F97-EF54-4118-8A43-E3AF7A824F0C}"/>
    <cellStyle name="Norma11l 3 5 2" xfId="40519" xr:uid="{F45B6329-A817-4010-8A39-C5EEFD2AEB18}"/>
    <cellStyle name="Norma11l 3 6" xfId="33552" xr:uid="{E971FD49-39F8-4AF4-9A9B-E861870BC078}"/>
    <cellStyle name="Norma11l 4" xfId="4571" xr:uid="{FEB01AD4-5887-404F-AA8A-4E51A2B83E66}"/>
    <cellStyle name="Norma11l 4 10" xfId="35436" xr:uid="{B06B7C1E-A2C8-42E8-B94B-57D133E78ABB}"/>
    <cellStyle name="Norma11l 4 2" xfId="5028" xr:uid="{ACB196BB-0310-4E21-9FF9-DEC853F6E334}"/>
    <cellStyle name="Norma11l 4 2 2" xfId="9644" xr:uid="{7F3CE818-4662-4308-9A1E-49FB33EEE9C7}"/>
    <cellStyle name="Norma11l 4 2 2 2" xfId="18699" xr:uid="{10421DAB-B455-446C-8D4F-E70E907AB2EF}"/>
    <cellStyle name="Norma11l 4 2 3" xfId="9456" xr:uid="{F292F3F7-2D14-4C48-A1CC-D1AA544BF412}"/>
    <cellStyle name="Norma11l 4 2 3 2" xfId="18526" xr:uid="{8751A7F1-71D2-4C6D-B9C1-810316DABA48}"/>
    <cellStyle name="Norma11l 4 2 4" xfId="35848" xr:uid="{547518C2-3492-4628-880D-E69986934409}"/>
    <cellStyle name="Norma11l 4 3" xfId="4991" xr:uid="{4751CE1B-0B61-4923-8D53-28C712950149}"/>
    <cellStyle name="Norma11l 4 3 2" xfId="9640" xr:uid="{428AD351-C40E-4EE2-B338-9D4A4EFC9EB4}"/>
    <cellStyle name="Norma11l 4 3 2 2" xfId="18698" xr:uid="{C3DB3E71-3AFF-4F84-B729-14086AA12D7B}"/>
    <cellStyle name="Norma11l 4 3 3" xfId="10093" xr:uid="{A4F38A04-B8B0-491D-A821-2B6CDDA67F87}"/>
    <cellStyle name="Norma11l 4 3 3 2" xfId="19056" xr:uid="{A3AB26D0-FA6A-46E0-9B35-178DC822A9EC}"/>
    <cellStyle name="Norma11l 4 3 4" xfId="35820" xr:uid="{C4F1AA69-8500-4A79-9244-E6590A118390}"/>
    <cellStyle name="Norma11l 4 4" xfId="4943" xr:uid="{FCF5B4BB-5909-452E-9913-0272DE37CCDB}"/>
    <cellStyle name="Norma11l 4 4 2" xfId="9631" xr:uid="{5E35FF0E-5BF3-4C6A-A972-75508182A753}"/>
    <cellStyle name="Norma11l 4 4 2 2" xfId="18695" xr:uid="{1F901F71-095E-480E-BDE7-DB4457A39B75}"/>
    <cellStyle name="Norma11l 4 4 3" xfId="10150" xr:uid="{DDD7A2EF-5CDD-4715-B6C5-98DC19C46DBA}"/>
    <cellStyle name="Norma11l 4 4 3 2" xfId="19113" xr:uid="{3F904ACB-385C-457F-8F49-F25BB63A568B}"/>
    <cellStyle name="Norma11l 4 4 4" xfId="35790" xr:uid="{7DBAFA2B-5D66-412F-A0E9-2839A96A6CB7}"/>
    <cellStyle name="Norma11l 4 5" xfId="4974" xr:uid="{9198725F-B0B1-475B-8210-518D19A29225}"/>
    <cellStyle name="Norma11l 4 5 2" xfId="9638" xr:uid="{94DECCD5-8FCA-407D-853E-F4253F4485AC}"/>
    <cellStyle name="Norma11l 4 5 2 2" xfId="18697" xr:uid="{3B041701-5BB9-4157-9737-2ADDC2A2AAC8}"/>
    <cellStyle name="Norma11l 4 5 3" xfId="10148" xr:uid="{96825883-6437-4EFC-9908-EDE45B8C3A7F}"/>
    <cellStyle name="Norma11l 4 5 3 2" xfId="19111" xr:uid="{1AD3E82F-9424-42A3-B5D2-4F33F742C383}"/>
    <cellStyle name="Norma11l 4 5 4" xfId="35807" xr:uid="{074B2C2B-B06E-472C-BCE7-AB814C608387}"/>
    <cellStyle name="Norma11l 4 6" xfId="4940" xr:uid="{758D208C-D82C-45F0-9F9F-EF60FD391822}"/>
    <cellStyle name="Norma11l 4 6 2" xfId="9630" xr:uid="{C160BDEB-276A-4743-B216-D0D53703AAA5}"/>
    <cellStyle name="Norma11l 4 6 2 2" xfId="18694" xr:uid="{5C586823-FBE4-4870-9DB9-3CBDF72BE6B6}"/>
    <cellStyle name="Norma11l 4 6 3" xfId="10146" xr:uid="{51450811-8593-4FA5-9C21-2508932280E1}"/>
    <cellStyle name="Norma11l 4 6 3 2" xfId="19109" xr:uid="{1D321C4F-D7D1-404A-A569-353463078D25}"/>
    <cellStyle name="Norma11l 4 6 4" xfId="35789" xr:uid="{327CB9F3-2AAD-4C56-944C-33DE0B46E183}"/>
    <cellStyle name="Norma11l 4 7" xfId="5082" xr:uid="{2499A33E-8F19-44AC-A4BE-994B7B5C83F4}"/>
    <cellStyle name="Norma11l 4 7 2" xfId="9659" xr:uid="{227605B1-A899-4311-8C69-CD698CC83068}"/>
    <cellStyle name="Norma11l 4 7 2 2" xfId="18707" xr:uid="{CF2AA426-0958-4A11-8BE5-DB5F1DE0FE0D}"/>
    <cellStyle name="Norma11l 4 7 3" xfId="9815" xr:uid="{0D940B7C-6B83-49C4-B839-414DA8478E90}"/>
    <cellStyle name="Norma11l 4 7 3 2" xfId="18799" xr:uid="{8B007080-9B4F-4E8C-8483-9F871032097D}"/>
    <cellStyle name="Norma11l 4 7 4" xfId="18006" xr:uid="{81303DBA-96CB-44A5-B3A1-BC46EA2F770C}"/>
    <cellStyle name="Norma11l 4 8" xfId="9565" xr:uid="{57C9949C-8C30-4C82-B609-A4CF1AEFDE3C}"/>
    <cellStyle name="Norma11l 4 8 2" xfId="18633" xr:uid="{F892B5FE-DC0A-4ECC-93D3-AEB5ADE6B68F}"/>
    <cellStyle name="Norma11l 4 9" xfId="10151" xr:uid="{AE55B68C-3354-48EF-B583-950516EC25EB}"/>
    <cellStyle name="Norma11l 4 9 2" xfId="19114" xr:uid="{26D964B3-D9AB-4728-83B1-48DB6A6036CD}"/>
    <cellStyle name="Norma11l 5" xfId="5253" xr:uid="{F2FD3BF8-128A-4AFB-B856-63607678FD94}"/>
    <cellStyle name="Norma11l 5 2" xfId="9686" xr:uid="{96342173-FE44-4065-BD44-99CA8F823DEA}"/>
    <cellStyle name="Norma11l 5 2 2" xfId="18725" xr:uid="{E675D26F-B148-4071-8A44-C030C2B34E9B}"/>
    <cellStyle name="Norma11l 5 3" xfId="10147" xr:uid="{05A27A6C-3EA2-4BBC-8482-3062CF709553}"/>
    <cellStyle name="Norma11l 5 3 2" xfId="19110" xr:uid="{125526D9-F056-4462-8A8F-14688FAA43B2}"/>
    <cellStyle name="Norma11l 5 4" xfId="18022" xr:uid="{ADB9BA9B-616F-45D5-BC05-B1D67A40BF1F}"/>
    <cellStyle name="Norma11l 6" xfId="9378" xr:uid="{93F13D49-45EC-484A-8107-24BD45E2BDB7}"/>
    <cellStyle name="Norma11l 6 2" xfId="18454" xr:uid="{26F42C9D-01FA-4941-95C7-8718CB8305F5}"/>
    <cellStyle name="Norma11l 7" xfId="10149" xr:uid="{58F1CCE1-9141-4D12-B21D-7BBDAEB937D6}"/>
    <cellStyle name="Norma11l 7 2" xfId="19112" xr:uid="{8F406916-CC5B-48D2-A36D-61DA8DFA0609}"/>
    <cellStyle name="Norma11l_АГМ" xfId="2237" xr:uid="{13051D5B-8484-4231-87E7-2FF0A844CAE1}"/>
    <cellStyle name="Normal 2" xfId="2238" xr:uid="{AC0BF032-A684-481D-897E-59025F7E0E34}"/>
    <cellStyle name="Normal 2 1" xfId="2239" xr:uid="{18A90B7D-5BD3-45DC-80F5-A7AEAB2CE648}"/>
    <cellStyle name="Normal 2 1 2" xfId="10356" xr:uid="{F7243FEA-3E47-48EC-BDB4-1D1DDB143DBD}"/>
    <cellStyle name="Normal 2 10" xfId="3681" xr:uid="{D1629182-DCCA-4004-AD68-E147D11F7929}"/>
    <cellStyle name="Normal 2 10 2" xfId="2997" xr:uid="{4A7284D0-FE35-41F5-B6E1-7F9C58480517}"/>
    <cellStyle name="Normal 2 10 2 2" xfId="8293" xr:uid="{15AFEF7D-FF1E-4170-8AFC-B612CD8CCEC3}"/>
    <cellStyle name="Normal 2 10 2 2 2" xfId="9339" xr:uid="{7520773A-732C-40C0-A46A-FB3315CB570D}"/>
    <cellStyle name="Normal 2 10 2 2 2 2" xfId="10167" xr:uid="{FD0A2990-0E94-4821-BDB6-10029BB319F9}"/>
    <cellStyle name="Normal 2 10 2 2 2 2 2" xfId="16998" xr:uid="{53E448D8-FE11-4AD3-A137-85F53D266DDC}"/>
    <cellStyle name="Normal 2 10 2 2 2 2 2 2" xfId="46540" xr:uid="{0B433C07-66D1-413B-9160-17EB4AA5DE1F}"/>
    <cellStyle name="Normal 2 10 2 2 2 2 3" xfId="14748" xr:uid="{F8068E2B-D137-4E7C-86CB-CFB9314A1618}"/>
    <cellStyle name="Normal 2 10 2 2 2 2 3 2" xfId="44452" xr:uid="{4E4E1A90-1C8C-4A7B-B0C5-2ADE1340B79F}"/>
    <cellStyle name="Normal 2 10 2 2 2 2 4" xfId="19130" xr:uid="{104F1C96-B3D4-4F99-880B-C998B5DD83C4}"/>
    <cellStyle name="Normal 2 10 2 2 2 3" xfId="16474" xr:uid="{BABF9A0E-EA46-4377-A2F3-02B8DB9CDB35}"/>
    <cellStyle name="Normal 2 10 2 2 2 3 2" xfId="46022" xr:uid="{82122332-7829-4BA1-95B1-6D604F1018F3}"/>
    <cellStyle name="Normal 2 10 2 2 2 4" xfId="14468" xr:uid="{FFC3394D-5437-40B7-A74B-D3CC84F074D1}"/>
    <cellStyle name="Normal 2 10 2 2 2 4 2" xfId="44197" xr:uid="{6ECA2283-A5F2-48D6-B799-FE51D0B38648}"/>
    <cellStyle name="Normal 2 10 2 2 2 5" xfId="18419" xr:uid="{45DA72D2-E656-4C8D-AF97-1AF0F34C1DB9}"/>
    <cellStyle name="Normal 2 10 2 3" xfId="6660" xr:uid="{49457B1E-08E0-44AF-9F0A-AADA29BAE30F}"/>
    <cellStyle name="Normal 2 10 2 3 2" xfId="10057" xr:uid="{FE530B9B-FAB9-4D18-8AD5-E7BABD2AD5EB}"/>
    <cellStyle name="Normal 2 10 2 3 2 2" xfId="16917" xr:uid="{A5C4FCA6-3E21-4E2F-94FE-334443E27CCF}"/>
    <cellStyle name="Normal 2 10 2 3 2 2 2" xfId="46459" xr:uid="{0008EB23-3518-4C88-B8E9-46195F22C669}"/>
    <cellStyle name="Normal 2 10 2 3 2 3" xfId="17446" xr:uid="{2FD74C72-0627-407B-BD16-738050412785}"/>
    <cellStyle name="Normal 2 10 2 3 2 3 2" xfId="46976" xr:uid="{7B8F488F-A305-4B5A-A780-9A852342D3CB}"/>
    <cellStyle name="Normal 2 10 2 3 2 4" xfId="19021" xr:uid="{F517AC19-7F73-47D2-A978-591AD2C70116}"/>
    <cellStyle name="Normal 2 10 2 3 3" xfId="14759" xr:uid="{8D98E0F7-1F35-45B0-98E8-0AE0FC799F89}"/>
    <cellStyle name="Normal 2 10 2 3 3 2" xfId="44461" xr:uid="{504BE2D3-0D3B-4C44-A241-600706627C50}"/>
    <cellStyle name="Normal 2 10 2 3 4" xfId="15428" xr:uid="{1A26E9C0-D21D-4A0D-9C40-CEC809413961}"/>
    <cellStyle name="Normal 2 10 2 3 4 2" xfId="45070" xr:uid="{F59C95E8-8EB0-46B2-A374-2BF3E4DE2C50}"/>
    <cellStyle name="Normal 2 10 2 3 5" xfId="18317" xr:uid="{E751ADD7-87DF-4676-A470-379AFD00FA17}"/>
    <cellStyle name="Normal 2 10 2 4" xfId="9425" xr:uid="{31960496-928D-4A64-BD4A-7859D9961FA1}"/>
    <cellStyle name="Normal 2 10 2 4 2" xfId="16543" xr:uid="{7FCC4F53-8DF7-447B-868A-841A98882440}"/>
    <cellStyle name="Normal 2 10 2 4 2 2" xfId="46090" xr:uid="{3512D1E0-11A5-4D4B-B4CE-BFEA411C49DE}"/>
    <cellStyle name="Normal 2 10 2 4 3" xfId="12149" xr:uid="{00D750B7-9AFA-4844-A341-BBB19AA5D12B}"/>
    <cellStyle name="Normal 2 10 2 4 3 2" xfId="42069" xr:uid="{A5464095-AEE9-4417-B847-DAD33CAAF97D}"/>
    <cellStyle name="Normal 2 10 2 4 4" xfId="18495" xr:uid="{7E5CDB8E-EBA2-4CD7-8874-61AA593040C3}"/>
    <cellStyle name="Normal 2 10 2 5" xfId="12458" xr:uid="{08BDDC0E-5FF2-4A22-A4D5-82F12F65798B}"/>
    <cellStyle name="Normal 2 10 2 5 2" xfId="42354" xr:uid="{BC815A7E-19A5-4E96-BF40-016CAA5F1FA8}"/>
    <cellStyle name="Normal 2 10 2 6" xfId="11383" xr:uid="{F1614BE8-CB6A-4D32-91A8-15D431956941}"/>
    <cellStyle name="Normal 2 10 2 6 2" xfId="41345" xr:uid="{06F7F3E4-DC5B-4D93-AC72-D595CAC3698F}"/>
    <cellStyle name="Normal 2 10 3" xfId="4714" xr:uid="{0B6B0680-D611-4D93-A241-EF2DE767E2BE}"/>
    <cellStyle name="Normal 2 10 3 2" xfId="7316" xr:uid="{D89F34CC-4DC5-41D9-8301-D7F2BE213C59}"/>
    <cellStyle name="Normal 2 10 3 2 2" xfId="10097" xr:uid="{E0810527-7C65-4DF5-B704-3576712863D0}"/>
    <cellStyle name="Normal 2 10 3 2 2 2" xfId="16942" xr:uid="{C5F50AED-2FE5-4485-83D4-F0AEBDF5347E}"/>
    <cellStyle name="Normal 2 10 3 2 2 2 2" xfId="46484" xr:uid="{6A4BCF9C-AF0E-4229-A1D8-4AADAF637545}"/>
    <cellStyle name="Normal 2 10 3 2 2 3" xfId="10687" xr:uid="{0E9EE14A-EA9F-49D4-9B11-9E4BAD115A96}"/>
    <cellStyle name="Normal 2 10 3 2 2 3 2" xfId="40668" xr:uid="{C0648DCD-7B5E-469F-A2AB-40ABD1EC6BA4}"/>
    <cellStyle name="Normal 2 10 3 2 2 4" xfId="19060" xr:uid="{3487F4C5-3445-403A-AC60-3B45B48DC314}"/>
    <cellStyle name="Normal 2 10 3 2 3" xfId="15180" xr:uid="{A8516997-FDE9-43EA-96B6-72B0F258E062}"/>
    <cellStyle name="Normal 2 10 3 2 3 2" xfId="44836" xr:uid="{506D346D-DDDB-4FE8-9D10-740BCEE528CE}"/>
    <cellStyle name="Normal 2 10 3 2 4" xfId="14401" xr:uid="{FB8C2C5F-CE8E-4D89-B181-6119AD861CAF}"/>
    <cellStyle name="Normal 2 10 3 2 4 2" xfId="44131" xr:uid="{4ADBE904-9F3D-4DEB-9425-332AB27374D3}"/>
    <cellStyle name="Normal 2 10 3 2 5" xfId="18355" xr:uid="{1922DB0E-8A06-41E9-9279-61E45C8A57E7}"/>
    <cellStyle name="Normal 2 10 3 3" xfId="9609" xr:uid="{02405340-2AA7-425D-8D75-F97B2FCD3718}"/>
    <cellStyle name="Normal 2 10 3 3 2" xfId="16657" xr:uid="{6B7E160E-A6CB-47C9-9CC7-D9709650BF8F}"/>
    <cellStyle name="Normal 2 10 3 3 2 2" xfId="46204" xr:uid="{B0CA95F0-F2C8-4F2C-A753-E43807E9897D}"/>
    <cellStyle name="Normal 2 10 3 3 3" xfId="15216" xr:uid="{77DA0748-84AF-4A5E-B53C-971F8D42C255}"/>
    <cellStyle name="Normal 2 10 3 3 3 2" xfId="44868" xr:uid="{A722BA85-40A1-47C7-AE42-063DAE60331F}"/>
    <cellStyle name="Normal 2 10 3 3 4" xfId="18674" xr:uid="{C254F434-7B0C-4EBB-AF4E-55143D8A4C38}"/>
    <cellStyle name="Normal 2 10 3 4" xfId="13537" xr:uid="{13CD051C-8428-4DAA-8779-9F0C6EAA72FE}"/>
    <cellStyle name="Normal 2 10 3 4 2" xfId="43332" xr:uid="{2FDFA132-2BB0-46E8-8B12-6B0EFE2EA279}"/>
    <cellStyle name="Normal 2 10 3 5" xfId="12472" xr:uid="{D04139D9-8625-49CC-83A3-42AE37944183}"/>
    <cellStyle name="Normal 2 10 3 5 2" xfId="42364" xr:uid="{D5E23DEE-B067-4F09-9026-AD4B10F02322}"/>
    <cellStyle name="Normal 2 10 3 6" xfId="17979" xr:uid="{135D0F06-7CB1-4384-8B90-14BBB079991B}"/>
    <cellStyle name="Normal 2 10 4" xfId="8877" xr:uid="{D9065D52-84F3-456D-B358-6F0562EEC206}"/>
    <cellStyle name="Normal 2 10 4 2" xfId="9357" xr:uid="{48987F2B-BA2F-4EAE-86BD-46E0D9395366}"/>
    <cellStyle name="Normal 2 10 4 2 2" xfId="10185" xr:uid="{0B2824D4-2855-4A2E-A6EC-DDDE0A942B94}"/>
    <cellStyle name="Normal 2 10 4 2 2 2" xfId="17016" xr:uid="{090ECA3A-9F0D-44C1-8138-A8AC74E17053}"/>
    <cellStyle name="Normal 2 10 4 2 2 2 2" xfId="46558" xr:uid="{8C61A367-87E0-49B5-B2DC-79C9FA594AA6}"/>
    <cellStyle name="Normal 2 10 4 2 2 3" xfId="12837" xr:uid="{F48732A3-A9A1-4DAE-8764-13BE7878E2EF}"/>
    <cellStyle name="Normal 2 10 4 2 2 3 2" xfId="42690" xr:uid="{D1BA9D32-E043-4FD2-8AB2-4D1DF44676FE}"/>
    <cellStyle name="Normal 2 10 4 2 2 4" xfId="19148" xr:uid="{82E5CAE7-2419-4554-8C18-2728661C71C6}"/>
    <cellStyle name="Normal 2 10 4 2 3" xfId="16492" xr:uid="{FC70F3C1-8E05-49DD-A92F-9364AB47133F}"/>
    <cellStyle name="Normal 2 10 4 2 3 2" xfId="46040" xr:uid="{0CC46586-FC6C-4C9A-967D-5531CA5A5326}"/>
    <cellStyle name="Normal 2 10 4 2 4" xfId="15711" xr:uid="{EF215320-E529-4481-AD2E-D109B42BB5FD}"/>
    <cellStyle name="Normal 2 10 4 2 4 2" xfId="45330" xr:uid="{17D11245-507F-4669-A0AB-7F59493CC6DD}"/>
    <cellStyle name="Normal 2 10 4 2 5" xfId="18437" xr:uid="{0069DD6A-FDF8-40F9-B929-EFE3DEF77BED}"/>
    <cellStyle name="Normal 2 10 5" xfId="9466" xr:uid="{F79D2BF1-D9A1-4880-85A7-190D4D29D2BA}"/>
    <cellStyle name="Normal 2 10 5 2" xfId="16572" xr:uid="{38CD6F24-EB0F-4C95-AD46-57736F3F1087}"/>
    <cellStyle name="Normal 2 10 5 2 2" xfId="46119" xr:uid="{FB789D9F-58C8-4875-AE2A-E2BB876AC4CA}"/>
    <cellStyle name="Normal 2 10 5 3" xfId="15892" xr:uid="{403E5871-6E01-47AF-BB61-0E2B48472AA2}"/>
    <cellStyle name="Normal 2 10 5 3 2" xfId="45491" xr:uid="{4DD8C34B-43CA-4894-84C1-D55A8D4E9FE6}"/>
    <cellStyle name="Normal 2 10 5 4" xfId="18534" xr:uid="{3CCD4A63-F733-4F61-A7DF-7D06218C3FEF}"/>
    <cellStyle name="Normal 2 10 6" xfId="12905" xr:uid="{2F483C58-E541-4ECA-838E-53A9FD9F60D8}"/>
    <cellStyle name="Normal 2 10 6 2" xfId="42748" xr:uid="{7546A2A4-71C7-47C2-87E6-FBE7AC6DD7A4}"/>
    <cellStyle name="Normal 2 11" xfId="3599" xr:uid="{5FA6FCCE-C62C-49E1-A6B2-F1657A586565}"/>
    <cellStyle name="Normal 2 11 2" xfId="2933" xr:uid="{0E4C7775-3BD9-4150-A7C7-9E0648B86B29}"/>
    <cellStyle name="Normal 2 11 2 2" xfId="8229" xr:uid="{DD8611A8-B4D8-4733-9809-888E4D9B7629}"/>
    <cellStyle name="Normal 2 11 2 2 2" xfId="9334" xr:uid="{D0583F6E-7B1F-433D-997B-45EE94F02B3D}"/>
    <cellStyle name="Normal 2 11 2 2 2 2" xfId="10162" xr:uid="{37AC3D92-6E3A-451E-BCD0-43B9D3411FE9}"/>
    <cellStyle name="Normal 2 11 2 2 2 2 2" xfId="16993" xr:uid="{77236AA9-D040-4D16-B1BA-051E98DD87DC}"/>
    <cellStyle name="Normal 2 11 2 2 2 2 2 2" xfId="46535" xr:uid="{C6D9FFBD-13F5-435B-81C3-B94B97F9C532}"/>
    <cellStyle name="Normal 2 11 2 2 2 2 3" xfId="14564" xr:uid="{9E3B2584-3386-41B5-89C4-558B5EEA00B0}"/>
    <cellStyle name="Normal 2 11 2 2 2 2 3 2" xfId="44285" xr:uid="{21E8A7D2-A4CB-4836-990F-A70649709D6E}"/>
    <cellStyle name="Normal 2 11 2 2 2 2 4" xfId="19125" xr:uid="{9AEA6E78-70F2-49E3-A574-080122F813B5}"/>
    <cellStyle name="Normal 2 11 2 2 2 3" xfId="16469" xr:uid="{66110620-F148-49B7-9AA2-C4E240DF053D}"/>
    <cellStyle name="Normal 2 11 2 2 2 3 2" xfId="46017" xr:uid="{3DFC7F9B-1245-4BDC-A706-431FB999F2A5}"/>
    <cellStyle name="Normal 2 11 2 2 2 4" xfId="11673" xr:uid="{55A29560-B87D-44BB-B23F-C5F9FDC0EFCA}"/>
    <cellStyle name="Normal 2 11 2 2 2 4 2" xfId="41616" xr:uid="{3A67F5D8-7254-40C2-821C-DE07E07F784E}"/>
    <cellStyle name="Normal 2 11 2 2 2 5" xfId="18414" xr:uid="{5C98B606-E919-4D9C-8E51-4CF32189C111}"/>
    <cellStyle name="Normal 2 11 2 3" xfId="6596" xr:uid="{EBA1269D-4241-4859-9C39-155B06179670}"/>
    <cellStyle name="Normal 2 11 2 3 2" xfId="10052" xr:uid="{E8EF37BD-89DC-485E-8E14-E2826E4941E0}"/>
    <cellStyle name="Normal 2 11 2 3 2 2" xfId="16912" xr:uid="{A446FC63-336C-442F-971B-1BB4057600DE}"/>
    <cellStyle name="Normal 2 11 2 3 2 2 2" xfId="46454" xr:uid="{976DA020-B614-4A95-B417-4D192B76A05F}"/>
    <cellStyle name="Normal 2 11 2 3 2 3" xfId="10756" xr:uid="{E8C3A003-DA81-41B1-8CF4-A236429F2AE4}"/>
    <cellStyle name="Normal 2 11 2 3 2 3 2" xfId="40737" xr:uid="{21BB39B2-DBFF-4D6C-9C1B-868D302FDB9D}"/>
    <cellStyle name="Normal 2 11 2 3 2 4" xfId="19016" xr:uid="{A35703C0-D088-4315-A599-E86B3F8B180E}"/>
    <cellStyle name="Normal 2 11 2 3 3" xfId="14719" xr:uid="{6D30847A-AE0E-4649-8510-451F7C255945}"/>
    <cellStyle name="Normal 2 11 2 3 3 2" xfId="44428" xr:uid="{E973A4E8-C619-413B-9536-615ECEEE5111}"/>
    <cellStyle name="Normal 2 11 2 3 4" xfId="15524" xr:uid="{763B3F66-27EF-40F1-9379-359FE3FB8C28}"/>
    <cellStyle name="Normal 2 11 2 3 4 2" xfId="45159" xr:uid="{C810BC01-E9B6-49A0-B42D-9D759FB22ABF}"/>
    <cellStyle name="Normal 2 11 2 3 5" xfId="18312" xr:uid="{8E113E9C-7B7C-4304-BE0A-5F0967E04C7C}"/>
    <cellStyle name="Normal 2 11 2 4" xfId="9420" xr:uid="{3C0A1156-E4EE-4118-8AD4-201FFD2550B5}"/>
    <cellStyle name="Normal 2 11 2 4 2" xfId="16538" xr:uid="{08C24470-1949-4F76-9648-A197F4C60856}"/>
    <cellStyle name="Normal 2 11 2 4 2 2" xfId="46085" xr:uid="{79CBC238-D248-41BA-B30C-5183CA42CE0C}"/>
    <cellStyle name="Normal 2 11 2 4 3" xfId="15974" xr:uid="{4D224072-E364-444F-B9B1-3594D9864949}"/>
    <cellStyle name="Normal 2 11 2 4 3 2" xfId="45567" xr:uid="{902635D8-BDC6-4346-9F6E-4E8592A8130C}"/>
    <cellStyle name="Normal 2 11 2 4 4" xfId="18490" xr:uid="{2124601F-F787-491A-BB05-A5B475118F4C}"/>
    <cellStyle name="Normal 2 11 2 5" xfId="12416" xr:uid="{B38EEE8B-B96E-42F4-B641-94F5F1EB92B1}"/>
    <cellStyle name="Normal 2 11 2 5 2" xfId="42319" xr:uid="{BEDEE0AC-5A4A-4D5E-8C02-326F6533B600}"/>
    <cellStyle name="Normal 2 11 2 6" xfId="11844" xr:uid="{0833E90A-38D7-4BAF-9A1D-50507AEA0932}"/>
    <cellStyle name="Normal 2 11 2 6 2" xfId="41777" xr:uid="{24044F61-1AB8-442C-A2E1-38625DA0165F}"/>
    <cellStyle name="Normal 2 11 3" xfId="4676" xr:uid="{A33FEADF-877E-4FB3-887B-EC412CE6121F}"/>
    <cellStyle name="Normal 2 11 3 2" xfId="7235" xr:uid="{102A9215-948D-4B92-B982-60CA4A8A440C}"/>
    <cellStyle name="Normal 2 11 3 2 2" xfId="10091" xr:uid="{67DD4105-574B-4EB8-94C9-7F10239AB81F}"/>
    <cellStyle name="Normal 2 11 3 2 2 2" xfId="16937" xr:uid="{33197083-F2A8-4BE6-8865-A30756AC4FAF}"/>
    <cellStyle name="Normal 2 11 3 2 2 2 2" xfId="46479" xr:uid="{CF827A47-90AB-4A89-965F-35B96F04FF24}"/>
    <cellStyle name="Normal 2 11 3 2 2 3" xfId="10945" xr:uid="{1A87BB2F-4CA6-4AAB-BA4C-F27BC0D660FC}"/>
    <cellStyle name="Normal 2 11 3 2 2 3 2" xfId="40925" xr:uid="{A1926F95-1AE1-4889-95C2-25394476C656}"/>
    <cellStyle name="Normal 2 11 3 2 2 4" xfId="19054" xr:uid="{A8F4F4EA-CF3C-4629-A58E-8587DD55AC86}"/>
    <cellStyle name="Normal 2 11 3 2 3" xfId="15129" xr:uid="{EA9F8B35-4EFB-44C8-8919-CC9F3A935DFE}"/>
    <cellStyle name="Normal 2 11 3 2 3 2" xfId="44793" xr:uid="{3AD798D4-48A0-4140-BC30-D65146314AF3}"/>
    <cellStyle name="Normal 2 11 3 2 4" xfId="11366" xr:uid="{9E393CA7-C84E-4A4C-88E0-CD18AE8C86C0}"/>
    <cellStyle name="Normal 2 11 3 2 4 2" xfId="41332" xr:uid="{F5EB9710-5B4F-443E-8F50-CD8888E2B809}"/>
    <cellStyle name="Normal 2 11 3 2 5" xfId="18350" xr:uid="{A765B32D-8B8C-423E-A3E1-8674F04DD665}"/>
    <cellStyle name="Normal 2 11 3 3" xfId="9604" xr:uid="{45B38615-746D-4993-9C22-9C05F75D1ADF}"/>
    <cellStyle name="Normal 2 11 3 3 2" xfId="16652" xr:uid="{C3486E9A-B04B-4EFF-B89C-6431870A5DBE}"/>
    <cellStyle name="Normal 2 11 3 3 2 2" xfId="46199" xr:uid="{E99AAEBD-B6AF-4639-8EFE-4BD6F0F32109}"/>
    <cellStyle name="Normal 2 11 3 3 3" xfId="15858" xr:uid="{D934B288-D28B-4412-ABEB-650623901BC3}"/>
    <cellStyle name="Normal 2 11 3 3 3 2" xfId="45462" xr:uid="{2CE65578-3F1A-4055-8357-09DAAE71CC6C}"/>
    <cellStyle name="Normal 2 11 3 3 4" xfId="18669" xr:uid="{96AFC497-F8AD-4A0F-8F37-E8654F5FEFD3}"/>
    <cellStyle name="Normal 2 11 3 4" xfId="13515" xr:uid="{C5BC4EEE-B9A8-465F-BC2B-0A383C746D5F}"/>
    <cellStyle name="Normal 2 11 3 4 2" xfId="43312" xr:uid="{9992F0F4-87B6-4A6C-958F-7BADE81EBE6D}"/>
    <cellStyle name="Normal 2 11 3 5" xfId="11845" xr:uid="{57E4A5E1-E1A4-44AB-BE05-84DED22CD4EC}"/>
    <cellStyle name="Normal 2 11 3 5 2" xfId="41778" xr:uid="{D0B3354E-BF8E-445A-BB36-0A7489C2DACD}"/>
    <cellStyle name="Normal 2 11 3 6" xfId="17975" xr:uid="{008AF6AA-4DD4-4FB1-9745-FCA877F47AAA}"/>
    <cellStyle name="Normal 2 11 4" xfId="8825" xr:uid="{A1EBF7D6-7D94-49EC-80C0-A922CC8C7A84}"/>
    <cellStyle name="Normal 2 11 4 2" xfId="9352" xr:uid="{4B7B6B59-D91A-45F3-A247-8B2D7A2C5A9F}"/>
    <cellStyle name="Normal 2 11 4 2 2" xfId="10180" xr:uid="{09DB2FAB-2F1D-4E22-9B0F-49F0FF13302C}"/>
    <cellStyle name="Normal 2 11 4 2 2 2" xfId="17011" xr:uid="{F1781E48-F751-4B4F-AB52-70F552C18F5B}"/>
    <cellStyle name="Normal 2 11 4 2 2 2 2" xfId="46553" xr:uid="{FF5B7B85-099C-43FD-BA31-4E61A8F6D0FE}"/>
    <cellStyle name="Normal 2 11 4 2 2 3" xfId="14892" xr:uid="{B5D9C6EC-7EC6-4050-B719-0661194FBB31}"/>
    <cellStyle name="Normal 2 11 4 2 2 3 2" xfId="44583" xr:uid="{F71A0A3D-5BFD-44F5-9921-39601436AC07}"/>
    <cellStyle name="Normal 2 11 4 2 2 4" xfId="19143" xr:uid="{BEF09FB2-C8C9-4550-8897-30F22D71D843}"/>
    <cellStyle name="Normal 2 11 4 2 3" xfId="16487" xr:uid="{B1CBD0A0-4E25-42CB-8202-82C6F777D689}"/>
    <cellStyle name="Normal 2 11 4 2 3 2" xfId="46035" xr:uid="{DA0AEC31-5717-4551-8F4B-BEFFCE62C154}"/>
    <cellStyle name="Normal 2 11 4 2 4" xfId="15019" xr:uid="{A9574CE0-73BD-4859-95EA-B61ECB4BF781}"/>
    <cellStyle name="Normal 2 11 4 2 4 2" xfId="44694" xr:uid="{CF59EE6F-C6FE-45B7-BBB5-331B45C47786}"/>
    <cellStyle name="Normal 2 11 4 2 5" xfId="18432" xr:uid="{982353E9-BE7F-4137-9701-488923B02935}"/>
    <cellStyle name="Normal 2 11 5" xfId="9461" xr:uid="{319378A9-AFC1-4AB1-A361-A19757F5409E}"/>
    <cellStyle name="Normal 2 11 5 2" xfId="16567" xr:uid="{A98E8473-AA99-4DDA-9797-A61AE81EEEA4}"/>
    <cellStyle name="Normal 2 11 5 2 2" xfId="46114" xr:uid="{2DB2BB15-05D0-4F86-A014-E67F47480945}"/>
    <cellStyle name="Normal 2 11 5 3" xfId="12411" xr:uid="{21AFE307-50FA-48F5-8883-30E606F64F2B}"/>
    <cellStyle name="Normal 2 11 5 3 2" xfId="42315" xr:uid="{0C4D2174-A0CB-4FD8-8B9B-8F3E3CA41C7D}"/>
    <cellStyle name="Normal 2 11 5 4" xfId="18529" xr:uid="{A8EC6517-2D09-436E-B8DC-04E2A274D8B2}"/>
    <cellStyle name="Normal 2 11 6" xfId="12847" xr:uid="{89E5966E-9542-405E-A3C0-F085138EB92F}"/>
    <cellStyle name="Normal 2 11 6 2" xfId="42700" xr:uid="{CDDFC13F-0D44-4724-97FC-850DDFD0DEE5}"/>
    <cellStyle name="Normal 2 12" xfId="3691" xr:uid="{85BAD332-5DD1-43A5-9CBD-AA61BE9F1F54}"/>
    <cellStyle name="Normal 2 12 2" xfId="3007" xr:uid="{E8350999-6D08-4033-AA78-94FBD85C5414}"/>
    <cellStyle name="Normal 2 12 2 2" xfId="8303" xr:uid="{413AAE2E-CA3C-42FA-8E61-BCD2532FA71D}"/>
    <cellStyle name="Normal 2 12 2 2 2" xfId="9340" xr:uid="{BE4528C8-F02F-4494-9701-CDF77C245A29}"/>
    <cellStyle name="Normal 2 12 2 2 2 2" xfId="10168" xr:uid="{A5C839C4-BB50-4010-9E72-1A5655C18FE8}"/>
    <cellStyle name="Normal 2 12 2 2 2 2 2" xfId="16999" xr:uid="{C3853A4B-1570-4D1D-A26B-D990986F81AE}"/>
    <cellStyle name="Normal 2 12 2 2 2 2 2 2" xfId="46541" xr:uid="{3DCB2419-08FA-470E-BB20-16CC01E68012}"/>
    <cellStyle name="Normal 2 12 2 2 2 2 3" xfId="10690" xr:uid="{2D8AC71C-650B-4743-B923-7B46949C3C25}"/>
    <cellStyle name="Normal 2 12 2 2 2 2 3 2" xfId="40671" xr:uid="{3EADB3D5-0504-4D22-8C6A-952CE779FFE9}"/>
    <cellStyle name="Normal 2 12 2 2 2 2 4" xfId="19131" xr:uid="{E77EF77A-9AE6-4B3A-8585-B9C3285FAE8C}"/>
    <cellStyle name="Normal 2 12 2 2 2 3" xfId="16475" xr:uid="{D094BC0A-2DF1-43B2-B912-A9281712C9C2}"/>
    <cellStyle name="Normal 2 12 2 2 2 3 2" xfId="46023" xr:uid="{78A13855-9FCC-43D4-A4E4-84C715A4E65B}"/>
    <cellStyle name="Normal 2 12 2 2 2 4" xfId="11305" xr:uid="{7F586764-2A33-40FC-9AE2-99D4989C5001}"/>
    <cellStyle name="Normal 2 12 2 2 2 4 2" xfId="41272" xr:uid="{ABAB519F-206A-4587-9E4F-28F7C8DC713D}"/>
    <cellStyle name="Normal 2 12 2 2 2 5" xfId="18420" xr:uid="{2AE357C3-A6B4-4A03-A5F5-AAF7A4E63644}"/>
    <cellStyle name="Normal 2 12 2 3" xfId="6670" xr:uid="{466311EC-82AC-4A48-9065-3CA77BE19A0A}"/>
    <cellStyle name="Normal 2 12 2 3 2" xfId="10058" xr:uid="{CDEB0852-8ED7-43B6-B96F-BEF8EC4B996D}"/>
    <cellStyle name="Normal 2 12 2 3 2 2" xfId="16918" xr:uid="{266BDA08-D944-4035-AE0A-E4C930A90F4D}"/>
    <cellStyle name="Normal 2 12 2 3 2 2 2" xfId="46460" xr:uid="{EC4AFCA0-00A1-48D8-A177-F2AF1E74F953}"/>
    <cellStyle name="Normal 2 12 2 3 2 3" xfId="16886" xr:uid="{1C831E65-87FC-41DD-9E0F-9500D5326CE6}"/>
    <cellStyle name="Normal 2 12 2 3 2 3 2" xfId="46428" xr:uid="{DA124E92-1C6B-4B79-B94B-93F729C230C6}"/>
    <cellStyle name="Normal 2 12 2 3 2 4" xfId="19022" xr:uid="{D76FF120-1DDE-4794-AF8E-1C80F10EC734}"/>
    <cellStyle name="Normal 2 12 2 3 3" xfId="14767" xr:uid="{F644C458-EFB9-4C6A-935B-726482EAAE48}"/>
    <cellStyle name="Normal 2 12 2 3 3 2" xfId="44469" xr:uid="{74AE5F3D-9575-4AA0-AFEF-EE81B95DB589}"/>
    <cellStyle name="Normal 2 12 2 3 4" xfId="16214" xr:uid="{9563664E-5560-468D-B899-1B1B951EC72A}"/>
    <cellStyle name="Normal 2 12 2 3 4 2" xfId="45781" xr:uid="{B7C1CD05-70F6-419A-BBBF-2AFD982B7D2B}"/>
    <cellStyle name="Normal 2 12 2 3 5" xfId="18318" xr:uid="{D6A86652-880A-4F10-9070-775826CDBE0F}"/>
    <cellStyle name="Normal 2 12 2 4" xfId="9426" xr:uid="{4E3A6C3E-A6E2-40B3-A852-1F05D9B1D13A}"/>
    <cellStyle name="Normal 2 12 2 4 2" xfId="16544" xr:uid="{97A37AD4-4899-4817-AC78-25997A7A7717}"/>
    <cellStyle name="Normal 2 12 2 4 2 2" xfId="46091" xr:uid="{15784BE2-33CD-40BB-9014-94E0AB6B1C43}"/>
    <cellStyle name="Normal 2 12 2 4 3" xfId="11460" xr:uid="{D94ACD8D-7335-47CD-87D1-B7DE0A1703D8}"/>
    <cellStyle name="Normal 2 12 2 4 3 2" xfId="41419" xr:uid="{CA79EBC1-D32F-4E61-86CF-0C462393D5EF}"/>
    <cellStyle name="Normal 2 12 2 4 4" xfId="18496" xr:uid="{AE668E8C-797C-4A09-B458-99D91C22D1C9}"/>
    <cellStyle name="Normal 2 12 2 5" xfId="12465" xr:uid="{6875E22E-3451-409A-8332-F1C2CDD44B9E}"/>
    <cellStyle name="Normal 2 12 2 5 2" xfId="42358" xr:uid="{72F58EF3-0B63-407E-A2A9-A2E1030E3DF9}"/>
    <cellStyle name="Normal 2 12 2 6" xfId="16408" xr:uid="{46E14F12-980D-4EFC-A942-50B576AB073D}"/>
    <cellStyle name="Normal 2 12 2 6 2" xfId="45959" xr:uid="{EE68AECA-946D-4CCD-9698-32AA59958C81}"/>
    <cellStyle name="Normal 2 12 3" xfId="4721" xr:uid="{5D482A5F-6A65-41A3-BBA8-D79FC52DE39F}"/>
    <cellStyle name="Normal 2 12 3 2" xfId="7326" xr:uid="{733E5E6E-1F34-4519-9D35-9B0F12A51343}"/>
    <cellStyle name="Normal 2 12 3 2 2" xfId="10098" xr:uid="{50E1F7AF-A195-4574-8E26-4DAF88637116}"/>
    <cellStyle name="Normal 2 12 3 2 2 2" xfId="16943" xr:uid="{5BEAA0C8-383D-4109-916F-8930EC6EA063}"/>
    <cellStyle name="Normal 2 12 3 2 2 2 2" xfId="46485" xr:uid="{4C63E174-FE5F-4EAE-A9BB-9EAB1C0F22CB}"/>
    <cellStyle name="Normal 2 12 3 2 2 3" xfId="10965" xr:uid="{AE667A53-9C6E-456F-901C-4E7D06D49396}"/>
    <cellStyle name="Normal 2 12 3 2 2 3 2" xfId="40945" xr:uid="{422221F9-4C8F-4276-ABFC-9EA3881302CE}"/>
    <cellStyle name="Normal 2 12 3 2 2 4" xfId="19061" xr:uid="{E1529489-4372-40E5-9166-73C42EEF18C8}"/>
    <cellStyle name="Normal 2 12 3 2 3" xfId="15187" xr:uid="{4816BCE9-AB83-411C-9264-01F9FEDC594C}"/>
    <cellStyle name="Normal 2 12 3 2 3 2" xfId="44842" xr:uid="{DDFD94E5-50AE-48C5-BBDC-2A934FA4BB28}"/>
    <cellStyle name="Normal 2 12 3 2 4" xfId="16343" xr:uid="{3B190E70-2AF5-45C7-B68B-9CA25772EA77}"/>
    <cellStyle name="Normal 2 12 3 2 4 2" xfId="45898" xr:uid="{E023FFD6-3C71-4C5F-85C7-C7BD86EB16DD}"/>
    <cellStyle name="Normal 2 12 3 2 5" xfId="18356" xr:uid="{A845B26B-75EB-4911-B899-FA45D7E83CCA}"/>
    <cellStyle name="Normal 2 12 3 3" xfId="9610" xr:uid="{BAAE0D76-0FDF-4E01-8609-1285EDF5A416}"/>
    <cellStyle name="Normal 2 12 3 3 2" xfId="16658" xr:uid="{57CD4D83-B2CE-4731-A3DB-1D29A281778B}"/>
    <cellStyle name="Normal 2 12 3 3 2 2" xfId="46205" xr:uid="{ABD3E5E1-DC54-4E28-9796-5A59058542BB}"/>
    <cellStyle name="Normal 2 12 3 3 3" xfId="13566" xr:uid="{F1F37B5C-5A73-4673-B845-EDBB7BB5056D}"/>
    <cellStyle name="Normal 2 12 3 3 3 2" xfId="43359" xr:uid="{461C2AA6-A070-4A7A-8A6C-3588C6DA5C33}"/>
    <cellStyle name="Normal 2 12 3 3 4" xfId="18675" xr:uid="{D42B04E6-90CC-4166-9FFA-3857049426CC}"/>
    <cellStyle name="Normal 2 12 3 4" xfId="13541" xr:uid="{91E6FC61-A7E1-4621-8E24-B4FD22B55905}"/>
    <cellStyle name="Normal 2 12 3 4 2" xfId="43336" xr:uid="{057584E5-0C07-4208-A61D-AC2692BE50EE}"/>
    <cellStyle name="Normal 2 12 3 5" xfId="16350" xr:uid="{FB3117C5-38EE-4A2D-8F44-562F9AE275D2}"/>
    <cellStyle name="Normal 2 12 3 5 2" xfId="45904" xr:uid="{71CA383D-54AA-493D-B265-32943B0AA8F9}"/>
    <cellStyle name="Normal 2 12 3 6" xfId="17980" xr:uid="{975BFAEB-7C95-4254-95A5-A832D96BEBA5}"/>
    <cellStyle name="Normal 2 12 4" xfId="8887" xr:uid="{84A574C0-E623-4BE2-8769-63C28069D717}"/>
    <cellStyle name="Normal 2 12 4 2" xfId="9358" xr:uid="{BFF88685-4DF1-45F7-9094-546BD0FC60F8}"/>
    <cellStyle name="Normal 2 12 4 2 2" xfId="10186" xr:uid="{0628AF55-1E5C-412A-AD2F-E22B0DA268FD}"/>
    <cellStyle name="Normal 2 12 4 2 2 2" xfId="17017" xr:uid="{E315AF28-A6B9-4B46-B6EE-C5E9B6F57B2B}"/>
    <cellStyle name="Normal 2 12 4 2 2 2 2" xfId="46559" xr:uid="{E30A1F88-F321-4D85-9F9B-4F53FD32856B}"/>
    <cellStyle name="Normal 2 12 4 2 2 3" xfId="13658" xr:uid="{5DCC6485-826D-4C02-8B7E-53D3B2AB56E3}"/>
    <cellStyle name="Normal 2 12 4 2 2 3 2" xfId="43443" xr:uid="{21DA751B-268E-453E-AABC-FF32D80BE661}"/>
    <cellStyle name="Normal 2 12 4 2 2 4" xfId="19149" xr:uid="{3FE579E9-D927-4A3C-AD35-E41FBCEED2B5}"/>
    <cellStyle name="Normal 2 12 4 2 3" xfId="16493" xr:uid="{62C32711-4678-41E2-96FC-4C6C5E85CC86}"/>
    <cellStyle name="Normal 2 12 4 2 3 2" xfId="46041" xr:uid="{C4073416-3717-4258-9088-691B98F6DBEA}"/>
    <cellStyle name="Normal 2 12 4 2 4" xfId="16681" xr:uid="{0EDE32C4-73E1-49FB-AA29-B12952B36EB7}"/>
    <cellStyle name="Normal 2 12 4 2 4 2" xfId="46226" xr:uid="{92DCD170-A6CB-4D15-93AE-0349E7EDB43C}"/>
    <cellStyle name="Normal 2 12 4 2 5" xfId="18438" xr:uid="{E6651993-CF7C-4D00-B921-672C6FFC9FBD}"/>
    <cellStyle name="Normal 2 12 5" xfId="9467" xr:uid="{9899E83F-9DC0-4BAC-869B-A2164D27B150}"/>
    <cellStyle name="Normal 2 12 5 2" xfId="16573" xr:uid="{2BE1C388-08E3-42D7-8A82-EFBF688E37F3}"/>
    <cellStyle name="Normal 2 12 5 2 2" xfId="46120" xr:uid="{B7F910CC-AC78-4B83-B2C5-8FAFD8F420D5}"/>
    <cellStyle name="Normal 2 12 5 3" xfId="11561" xr:uid="{79303ADA-E88F-4BE1-9FC9-5D51447DAC7B}"/>
    <cellStyle name="Normal 2 12 5 3 2" xfId="41516" xr:uid="{B631E4FB-C8FA-4E3A-BD36-1F4E2F2A6100}"/>
    <cellStyle name="Normal 2 12 5 4" xfId="18535" xr:uid="{C4FD97AC-BAD0-4374-BD04-9F94A9720F2B}"/>
    <cellStyle name="Normal 2 12 6" xfId="12913" xr:uid="{C68162CA-7A86-4BD9-B931-56C862713FD4}"/>
    <cellStyle name="Normal 2 12 6 2" xfId="42754" xr:uid="{F17982F0-D9F6-4E61-8EE1-8DDAE81A72D1}"/>
    <cellStyle name="Normal 2 13" xfId="3667" xr:uid="{D090BBFC-3E9F-4F76-A68F-C3CC1CE58DBE}"/>
    <cellStyle name="Normal 2 13 2" xfId="2986" xr:uid="{4365E994-1FBD-4791-A9BA-5CC8E169E599}"/>
    <cellStyle name="Normal 2 13 2 2" xfId="8282" xr:uid="{532EE487-EC4F-4FFB-9FBA-69E18A12FB53}"/>
    <cellStyle name="Normal 2 13 2 2 2" xfId="9338" xr:uid="{91F1DA66-A4AD-465D-8319-4D343C073223}"/>
    <cellStyle name="Normal 2 13 2 2 2 2" xfId="10166" xr:uid="{BA932DAD-6550-4B59-B93B-CE57AABF32FF}"/>
    <cellStyle name="Normal 2 13 2 2 2 2 2" xfId="16997" xr:uid="{79A60DEA-7FB4-46F2-81FE-33938BA1A996}"/>
    <cellStyle name="Normal 2 13 2 2 2 2 2 2" xfId="46539" xr:uid="{74489943-9EEF-4503-8263-BE2AE0679438}"/>
    <cellStyle name="Normal 2 13 2 2 2 2 3" xfId="14357" xr:uid="{ADD44375-E420-47F6-9B91-DA3DCD055DAD}"/>
    <cellStyle name="Normal 2 13 2 2 2 2 3 2" xfId="44087" xr:uid="{1DD507ED-D490-435E-A30F-BC1642487B01}"/>
    <cellStyle name="Normal 2 13 2 2 2 2 4" xfId="19129" xr:uid="{AAF94314-0CED-40FA-A5AC-F7A7D6975532}"/>
    <cellStyle name="Normal 2 13 2 2 2 3" xfId="16473" xr:uid="{C139697A-12F1-4FBF-AF52-B9DAF56498C9}"/>
    <cellStyle name="Normal 2 13 2 2 2 3 2" xfId="46021" xr:uid="{9453B6B1-D651-4943-BECF-14F65E162816}"/>
    <cellStyle name="Normal 2 13 2 2 2 4" xfId="16950" xr:uid="{62C2E96A-7517-4460-A08D-2663CE4E4950}"/>
    <cellStyle name="Normal 2 13 2 2 2 4 2" xfId="46492" xr:uid="{745146F2-088A-4AA8-A528-0D5857672FF7}"/>
    <cellStyle name="Normal 2 13 2 2 2 5" xfId="18418" xr:uid="{C2B704C2-8B29-42E3-9F31-37F015420478}"/>
    <cellStyle name="Normal 2 13 2 3" xfId="6649" xr:uid="{6D85001D-1533-41C2-8B64-E301E61BE7C7}"/>
    <cellStyle name="Normal 2 13 2 3 2" xfId="10056" xr:uid="{E9DA54C9-E98C-446C-B7A7-8EECF3933316}"/>
    <cellStyle name="Normal 2 13 2 3 2 2" xfId="16916" xr:uid="{04EFDEAD-8D3A-4E0A-91C9-0516105E750E}"/>
    <cellStyle name="Normal 2 13 2 3 2 2 2" xfId="46458" xr:uid="{0CF4A25B-7280-4463-A6EF-228483647D90}"/>
    <cellStyle name="Normal 2 13 2 3 2 3" xfId="15223" xr:uid="{3EFE08ED-17B8-4CE6-8C0E-43C012EFABDE}"/>
    <cellStyle name="Normal 2 13 2 3 2 3 2" xfId="44874" xr:uid="{D801FDEC-56DE-4B0C-8AF1-ABDA972D6AFF}"/>
    <cellStyle name="Normal 2 13 2 3 2 4" xfId="19020" xr:uid="{620C9D7C-4790-4382-B3FE-C9AD74BEFF2E}"/>
    <cellStyle name="Normal 2 13 2 3 3" xfId="14752" xr:uid="{73AE8CF8-1338-4DD0-B33F-3F2A64ABA790}"/>
    <cellStyle name="Normal 2 13 2 3 3 2" xfId="44456" xr:uid="{AADC31B4-B339-41B1-9556-070C949C3FB5}"/>
    <cellStyle name="Normal 2 13 2 3 4" xfId="16834" xr:uid="{7AAE97DC-341B-4713-B818-36FA15127AA8}"/>
    <cellStyle name="Normal 2 13 2 3 4 2" xfId="46376" xr:uid="{C05480F6-6B20-49C6-A567-28933749FF28}"/>
    <cellStyle name="Normal 2 13 2 3 5" xfId="18316" xr:uid="{7474330B-6FF7-4705-B094-A29D1DBE1B2D}"/>
    <cellStyle name="Normal 2 13 2 4" xfId="9424" xr:uid="{73C7933E-7AEF-48CE-B3AB-6A1F7580B79C}"/>
    <cellStyle name="Normal 2 13 2 4 2" xfId="16542" xr:uid="{A6252352-3064-42E0-9F46-159C7DA946A6}"/>
    <cellStyle name="Normal 2 13 2 4 2 2" xfId="46089" xr:uid="{7B1E1A07-8B2F-476C-927F-21D36A83AB5C}"/>
    <cellStyle name="Normal 2 13 2 4 3" xfId="15310" xr:uid="{8C4B2731-616D-4D1D-9FCE-E577A8F9603F}"/>
    <cellStyle name="Normal 2 13 2 4 3 2" xfId="44956" xr:uid="{EBD5F99C-E73A-4BD7-AEDF-CE7A65E3828A}"/>
    <cellStyle name="Normal 2 13 2 4 4" xfId="18494" xr:uid="{99DC7B4C-F30D-41E1-8E67-049BB1BF33A4}"/>
    <cellStyle name="Normal 2 13 2 5" xfId="12451" xr:uid="{FB7EF786-4F9C-4E8A-9BBD-8B67FF265250}"/>
    <cellStyle name="Normal 2 13 2 5 2" xfId="42348" xr:uid="{3E954B3C-8354-4BC3-8CC8-C98FF8D12CF7}"/>
    <cellStyle name="Normal 2 13 2 6" xfId="14180" xr:uid="{0E683C83-3E7F-48B7-A9E3-87E1998F490E}"/>
    <cellStyle name="Normal 2 13 2 6 2" xfId="43919" xr:uid="{D5031A9B-0B43-4D3F-83ED-854DD60F173B}"/>
    <cellStyle name="Normal 2 13 3" xfId="4709" xr:uid="{3AE67490-DD0C-4AA0-9F9E-2C11C4D02602}"/>
    <cellStyle name="Normal 2 13 3 2" xfId="7302" xr:uid="{ABADFCEB-3F79-4173-8BCD-19FA591AFC0E}"/>
    <cellStyle name="Normal 2 13 3 2 2" xfId="10096" xr:uid="{EDEA04C9-5882-4C3C-A771-D0F1A4FE0B83}"/>
    <cellStyle name="Normal 2 13 3 2 2 2" xfId="16941" xr:uid="{5130A63A-FC56-453A-853B-473C7EBF46E5}"/>
    <cellStyle name="Normal 2 13 3 2 2 2 2" xfId="46483" xr:uid="{D823B715-BD2F-4F2A-B3BB-CE2914E1A08A}"/>
    <cellStyle name="Normal 2 13 3 2 2 3" xfId="15796" xr:uid="{505296AC-9B87-4667-B37D-3BF792C6D59D}"/>
    <cellStyle name="Normal 2 13 3 2 2 3 2" xfId="45407" xr:uid="{8C6C8F50-7D32-489B-BC90-5D3C680466BA}"/>
    <cellStyle name="Normal 2 13 3 2 2 4" xfId="19059" xr:uid="{B59CE1DB-7DC7-4771-BB46-C771B35543A0}"/>
    <cellStyle name="Normal 2 13 3 2 3" xfId="15172" xr:uid="{D577BF51-F1D0-4ABE-806C-8FFFA04D871C}"/>
    <cellStyle name="Normal 2 13 3 2 3 2" xfId="44829" xr:uid="{32D65BDB-3060-4449-AFEB-B646B2012642}"/>
    <cellStyle name="Normal 2 13 3 2 4" xfId="12634" xr:uid="{CEB324C6-7A3F-4687-845B-FC96F6FC325C}"/>
    <cellStyle name="Normal 2 13 3 2 4 2" xfId="42507" xr:uid="{9CD67212-6045-40D0-9F59-01E393E2D849}"/>
    <cellStyle name="Normal 2 13 3 2 5" xfId="18354" xr:uid="{5F2FAE2D-EBAE-4D3D-87FD-98FC3E93B4A4}"/>
    <cellStyle name="Normal 2 13 3 3" xfId="9608" xr:uid="{4615CEA1-9DC5-4FA8-92E7-5D41ECA21003}"/>
    <cellStyle name="Normal 2 13 3 3 2" xfId="16656" xr:uid="{039CDD8D-F798-4947-B8C3-8276BBAE00A9}"/>
    <cellStyle name="Normal 2 13 3 3 2 2" xfId="46203" xr:uid="{05F3E90A-357A-43E3-ADFF-AADC2B6D6EDB}"/>
    <cellStyle name="Normal 2 13 3 3 3" xfId="14200" xr:uid="{C2866C6A-D83B-4C6F-88D2-5FB5D186BB7A}"/>
    <cellStyle name="Normal 2 13 3 3 3 2" xfId="43937" xr:uid="{FDBC3104-0B2F-4C7A-A66B-2153FC92AF77}"/>
    <cellStyle name="Normal 2 13 3 3 4" xfId="18673" xr:uid="{C8F43AE8-7FB8-4167-9CC3-B09CF09E2FD1}"/>
    <cellStyle name="Normal 2 13 3 4" xfId="13535" xr:uid="{BBACF667-9847-44CA-86F2-2B3B392B81F3}"/>
    <cellStyle name="Normal 2 13 3 4 2" xfId="43330" xr:uid="{DE5234AF-F1A9-4EB6-A0BE-7879AD2ACB0E}"/>
    <cellStyle name="Normal 2 13 3 5" xfId="17085" xr:uid="{6982E14D-E4DC-4A90-A588-D0839C987013}"/>
    <cellStyle name="Normal 2 13 3 5 2" xfId="46625" xr:uid="{0CC48964-C8BA-4AF4-BC30-7D8013DC9103}"/>
    <cellStyle name="Normal 2 13 3 6" xfId="17978" xr:uid="{7336496A-A3AB-4BCD-B1E8-D8B8E9F7E142}"/>
    <cellStyle name="Normal 2 13 4" xfId="8867" xr:uid="{A003134A-0842-4067-BCAA-EBF6860D60F4}"/>
    <cellStyle name="Normal 2 13 4 2" xfId="9356" xr:uid="{C3A605EE-A062-4FDC-A04E-1BB29CB0B8FC}"/>
    <cellStyle name="Normal 2 13 4 2 2" xfId="10184" xr:uid="{21AD52C7-88DC-4888-925B-941EBD675DB6}"/>
    <cellStyle name="Normal 2 13 4 2 2 2" xfId="17015" xr:uid="{71EC5279-D4FA-49F5-ABCB-6E40FECE91A0}"/>
    <cellStyle name="Normal 2 13 4 2 2 2 2" xfId="46557" xr:uid="{B9602DF5-02BC-4EDE-96F6-FC63483D6694}"/>
    <cellStyle name="Normal 2 13 4 2 2 3" xfId="15199" xr:uid="{1BD4129F-8562-4756-8DC9-FC6FD9132593}"/>
    <cellStyle name="Normal 2 13 4 2 2 3 2" xfId="44854" xr:uid="{4C110438-2995-49DA-9B2D-F748199E1D17}"/>
    <cellStyle name="Normal 2 13 4 2 2 4" xfId="19147" xr:uid="{CF641258-A7D4-494F-8369-CE5DE6CC3ADA}"/>
    <cellStyle name="Normal 2 13 4 2 3" xfId="16491" xr:uid="{81397A54-9FB2-4B11-A9E4-7205EDF7959F}"/>
    <cellStyle name="Normal 2 13 4 2 3 2" xfId="46039" xr:uid="{9602BA27-D83D-495D-997D-2E68622CBC80}"/>
    <cellStyle name="Normal 2 13 4 2 4" xfId="11317" xr:uid="{ADC9B3DE-F2CE-4039-B913-C8E21541FD63}"/>
    <cellStyle name="Normal 2 13 4 2 4 2" xfId="41284" xr:uid="{7CF4375D-A0FA-4332-B7A4-59DA9E65FFF0}"/>
    <cellStyle name="Normal 2 13 4 2 5" xfId="18436" xr:uid="{891BF7E2-31C2-43CC-80DC-18392C0AB715}"/>
    <cellStyle name="Normal 2 13 5" xfId="9465" xr:uid="{B84BCAB9-AEB9-406E-9377-AD49E8DA2293}"/>
    <cellStyle name="Normal 2 13 5 2" xfId="16571" xr:uid="{4D11F534-9777-44CC-9CBF-31281E69CAC0}"/>
    <cellStyle name="Normal 2 13 5 2 2" xfId="46118" xr:uid="{FE8FE3B9-3C4B-4E87-A055-73C1B21C0954}"/>
    <cellStyle name="Normal 2 13 5 3" xfId="12876" xr:uid="{B7E0F852-79B1-47B3-9EDF-1925B1FEE06A}"/>
    <cellStyle name="Normal 2 13 5 3 2" xfId="42724" xr:uid="{CBEC27FE-B548-4E14-865F-491B0E3B5BA4}"/>
    <cellStyle name="Normal 2 13 5 4" xfId="18533" xr:uid="{115AA0E2-DC24-4DBC-99C3-3BC0314B5DED}"/>
    <cellStyle name="Normal 2 13 6" xfId="12897" xr:uid="{825CC388-F80B-44CF-A873-4A39C9624B9B}"/>
    <cellStyle name="Normal 2 13 6 2" xfId="42742" xr:uid="{C25AF62B-CE02-4618-A899-9362713C8069}"/>
    <cellStyle name="Normal 2 14" xfId="3649" xr:uid="{28AA4D8F-0B6D-4151-8F9A-1E3EF3AFE7F1}"/>
    <cellStyle name="Normal 2 14 2" xfId="2970" xr:uid="{5A596295-BFD5-491D-9817-AE298D756F17}"/>
    <cellStyle name="Normal 2 14 2 2" xfId="8266" xr:uid="{B6F04C40-C884-4970-B333-ADF9EB069354}"/>
    <cellStyle name="Normal 2 14 2 2 2" xfId="9336" xr:uid="{D2F3B564-3993-43A8-98E6-A8A2A55B0F6B}"/>
    <cellStyle name="Normal 2 14 2 2 2 2" xfId="10164" xr:uid="{36B6E391-D87E-4495-96E7-87F099BB60BE}"/>
    <cellStyle name="Normal 2 14 2 2 2 2 2" xfId="16995" xr:uid="{F5CC5B89-0A5F-477C-82CC-AFF6131F8FB3}"/>
    <cellStyle name="Normal 2 14 2 2 2 2 2 2" xfId="46537" xr:uid="{FFC42B8F-4D12-4D12-9AD4-905097156C2A}"/>
    <cellStyle name="Normal 2 14 2 2 2 2 3" xfId="12525" xr:uid="{79364B8C-8828-4C53-965F-77B94B35D802}"/>
    <cellStyle name="Normal 2 14 2 2 2 2 3 2" xfId="42410" xr:uid="{6299AD91-D9FB-4EF8-829D-10899F684FE9}"/>
    <cellStyle name="Normal 2 14 2 2 2 2 4" xfId="19127" xr:uid="{D7F3FFEE-9701-4255-B549-5544F9549322}"/>
    <cellStyle name="Normal 2 14 2 2 2 3" xfId="16471" xr:uid="{3E5415C7-77D1-4B71-ADA3-A033C827FF03}"/>
    <cellStyle name="Normal 2 14 2 2 2 3 2" xfId="46019" xr:uid="{34052C63-94F1-406A-B1C7-8ECE1FC24EA9}"/>
    <cellStyle name="Normal 2 14 2 2 2 4" xfId="13082" xr:uid="{E9EED19C-5B10-4647-B7CD-C7E3E66B9D27}"/>
    <cellStyle name="Normal 2 14 2 2 2 4 2" xfId="42911" xr:uid="{6A9674A5-B619-4F8D-931A-7F4BE60DEF54}"/>
    <cellStyle name="Normal 2 14 2 2 2 5" xfId="18416" xr:uid="{456A7D06-0465-4256-95A5-3929073F9978}"/>
    <cellStyle name="Normal 2 14 2 3" xfId="6633" xr:uid="{6A9F4FA2-B2CD-48EB-B428-63ABE43E54EE}"/>
    <cellStyle name="Normal 2 14 2 3 2" xfId="10054" xr:uid="{2FDEA1FB-4042-4AC8-BA7F-470945ED494E}"/>
    <cellStyle name="Normal 2 14 2 3 2 2" xfId="16914" xr:uid="{C74716B8-B1A3-4083-9F1C-D0C9677AB070}"/>
    <cellStyle name="Normal 2 14 2 3 2 2 2" xfId="46456" xr:uid="{1C1C8BFB-F291-4E54-8FD9-B137D2FC52AB}"/>
    <cellStyle name="Normal 2 14 2 3 2 3" xfId="11045" xr:uid="{35415185-E134-4C1E-8F3E-8E3779B228DC}"/>
    <cellStyle name="Normal 2 14 2 3 2 3 2" xfId="41025" xr:uid="{A64843D2-22C3-4B97-A761-032CBE097009}"/>
    <cellStyle name="Normal 2 14 2 3 2 4" xfId="19018" xr:uid="{898F8D48-5027-4B97-BB5A-EE04CDA219C7}"/>
    <cellStyle name="Normal 2 14 2 3 3" xfId="14742" xr:uid="{1E798ED9-39F6-4873-9690-9C12ED4A6737}"/>
    <cellStyle name="Normal 2 14 2 3 3 2" xfId="44447" xr:uid="{3E8B7267-5F2C-4721-901E-87A1645EC8BB}"/>
    <cellStyle name="Normal 2 14 2 3 4" xfId="12631" xr:uid="{8B20701C-D420-4090-9A8C-E370628D8593}"/>
    <cellStyle name="Normal 2 14 2 3 4 2" xfId="42504" xr:uid="{88FEF56A-60C3-492C-BEBB-088870D4DA9A}"/>
    <cellStyle name="Normal 2 14 2 3 5" xfId="18314" xr:uid="{1A351F0C-F177-40EC-8611-474453E55382}"/>
    <cellStyle name="Normal 2 14 2 4" xfId="9422" xr:uid="{F2DF15E2-0027-4F7C-A1EA-2ADF8122AE83}"/>
    <cellStyle name="Normal 2 14 2 4 2" xfId="16540" xr:uid="{9EEAF718-1A3D-446E-9061-508C25554D3C}"/>
    <cellStyle name="Normal 2 14 2 4 2 2" xfId="46087" xr:uid="{0C109A60-0486-4B03-943A-142C508E6037}"/>
    <cellStyle name="Normal 2 14 2 4 3" xfId="12818" xr:uid="{6796F122-EF89-4343-BA33-E4E57E633368}"/>
    <cellStyle name="Normal 2 14 2 4 3 2" xfId="42672" xr:uid="{79566603-6D2A-4901-B653-EE90ACF8B0FC}"/>
    <cellStyle name="Normal 2 14 2 4 4" xfId="18492" xr:uid="{C7C48A35-FA84-4853-A7A1-A49DD064C2C9}"/>
    <cellStyle name="Normal 2 14 2 5" xfId="12441" xr:uid="{20B5CDB2-B0EC-46A1-93A4-4A5611809575}"/>
    <cellStyle name="Normal 2 14 2 5 2" xfId="42339" xr:uid="{B8F6705B-4934-41B2-9649-B37F60139DB0}"/>
    <cellStyle name="Normal 2 14 2 6" xfId="13364" xr:uid="{6F9CCB3A-1486-4570-9E04-30B03F79879C}"/>
    <cellStyle name="Normal 2 14 2 6 2" xfId="43174" xr:uid="{F9949335-4195-429E-8801-E22D58043D83}"/>
    <cellStyle name="Normal 2 14 3" xfId="4697" xr:uid="{C352963E-C1D3-4F5B-AB8F-525BE794238A}"/>
    <cellStyle name="Normal 2 14 3 2" xfId="7284" xr:uid="{7C6C993C-4E2C-4091-97C2-F15A7D0AD8F1}"/>
    <cellStyle name="Normal 2 14 3 2 2" xfId="10094" xr:uid="{9E6B65D6-931E-4208-A551-5A79552AEE13}"/>
    <cellStyle name="Normal 2 14 3 2 2 2" xfId="16939" xr:uid="{FE1DD8A5-3395-49F9-A223-693AF166BCF7}"/>
    <cellStyle name="Normal 2 14 3 2 2 2 2" xfId="46481" xr:uid="{0B033C5C-81DD-42D5-A507-021ACAF99F06}"/>
    <cellStyle name="Normal 2 14 3 2 2 3" xfId="13072" xr:uid="{94833DCA-1A2E-4551-BCB9-76141FCA9463}"/>
    <cellStyle name="Normal 2 14 3 2 2 3 2" xfId="42902" xr:uid="{7BCCFBF0-641F-42F3-AA0E-473E1B02AF54}"/>
    <cellStyle name="Normal 2 14 3 2 2 4" xfId="19057" xr:uid="{134D09E3-35CC-4950-BAAE-FAF313B9B851}"/>
    <cellStyle name="Normal 2 14 3 2 3" xfId="15159" xr:uid="{391D77B2-31AC-495D-B6AF-057B850E595D}"/>
    <cellStyle name="Normal 2 14 3 2 3 2" xfId="44819" xr:uid="{8ACFFBF9-DD74-40BB-A0C4-07059CF52A69}"/>
    <cellStyle name="Normal 2 14 3 2 4" xfId="13303" xr:uid="{6741FB8F-E8DA-4A7D-9BC9-F24DF209676C}"/>
    <cellStyle name="Normal 2 14 3 2 4 2" xfId="43118" xr:uid="{6077FFD8-DCC1-4C0A-80E9-BD6A1A2E3542}"/>
    <cellStyle name="Normal 2 14 3 2 5" xfId="18352" xr:uid="{7B11BAB1-1901-4B08-B897-C3E4A3E08706}"/>
    <cellStyle name="Normal 2 14 3 3" xfId="9606" xr:uid="{69EE0183-BEED-45F0-94BB-2E4D5D5FAC9B}"/>
    <cellStyle name="Normal 2 14 3 3 2" xfId="16654" xr:uid="{6DC65903-7101-495D-B8F8-3ADBA8BE9CE2}"/>
    <cellStyle name="Normal 2 14 3 3 2 2" xfId="46201" xr:uid="{7A9F8911-3794-49E3-9827-9E0B4FDDC1C8}"/>
    <cellStyle name="Normal 2 14 3 3 3" xfId="13005" xr:uid="{8E55A33D-8463-49C2-9432-39BD5B153549}"/>
    <cellStyle name="Normal 2 14 3 3 3 2" xfId="42841" xr:uid="{4871A345-C69C-4406-BA60-1F98490F7767}"/>
    <cellStyle name="Normal 2 14 3 3 4" xfId="18671" xr:uid="{FE4CAE8D-B5DB-4B9B-93B9-0CCA3333233E}"/>
    <cellStyle name="Normal 2 14 3 4" xfId="13527" xr:uid="{2B406F03-A009-4C66-AF98-DC410D4614D5}"/>
    <cellStyle name="Normal 2 14 3 4 2" xfId="43323" xr:uid="{61F681C6-D397-4513-ADCD-33961B897E3B}"/>
    <cellStyle name="Normal 2 14 3 5" xfId="16743" xr:uid="{4F299D83-E934-48B6-BC8C-759C004925F8}"/>
    <cellStyle name="Normal 2 14 3 5 2" xfId="46286" xr:uid="{6B11A33D-B695-4648-AE0F-9C82EB08C843}"/>
    <cellStyle name="Normal 2 14 3 6" xfId="17976" xr:uid="{E521E4E5-938A-4EA4-BF1A-0D1A840DB891}"/>
    <cellStyle name="Normal 2 14 4" xfId="8854" xr:uid="{8F2AC5AD-09A5-4217-9B3F-4120C3838BC5}"/>
    <cellStyle name="Normal 2 14 4 2" xfId="9354" xr:uid="{AC2C0CF3-EDB0-46CC-A666-1AD0A7328F8C}"/>
    <cellStyle name="Normal 2 14 4 2 2" xfId="10182" xr:uid="{8D56482B-49D0-4E47-B85E-205BEC3BB2C8}"/>
    <cellStyle name="Normal 2 14 4 2 2 2" xfId="17013" xr:uid="{63E672B1-917A-4DAE-B138-917A96A8617E}"/>
    <cellStyle name="Normal 2 14 4 2 2 2 2" xfId="46555" xr:uid="{23FE3C28-CDFB-46D0-A1AC-E4B423D4E3F3}"/>
    <cellStyle name="Normal 2 14 4 2 2 3" xfId="10983" xr:uid="{AB7E3941-734D-4861-A7E4-6BB9AF57F2A3}"/>
    <cellStyle name="Normal 2 14 4 2 2 3 2" xfId="40963" xr:uid="{BB90F760-6D63-4648-B552-939C02C3E619}"/>
    <cellStyle name="Normal 2 14 4 2 2 4" xfId="19145" xr:uid="{325A5430-39DE-4132-9DE0-2BF943CF2B6D}"/>
    <cellStyle name="Normal 2 14 4 2 3" xfId="16489" xr:uid="{782F8EAD-9AA8-4F64-AB60-E334B77DACD7}"/>
    <cellStyle name="Normal 2 14 4 2 3 2" xfId="46037" xr:uid="{7C93ECFF-0862-42DF-9DDE-6D6065A60C75}"/>
    <cellStyle name="Normal 2 14 4 2 4" xfId="12162" xr:uid="{62C1D9D1-49CC-46D1-89F3-91E726149716}"/>
    <cellStyle name="Normal 2 14 4 2 4 2" xfId="42082" xr:uid="{818AEF72-ABA6-4325-BF09-8312088D426B}"/>
    <cellStyle name="Normal 2 14 4 2 5" xfId="18434" xr:uid="{2F5DDDE5-034A-4732-A22C-845B7A220989}"/>
    <cellStyle name="Normal 2 14 5" xfId="9463" xr:uid="{2F64AA65-B869-45FE-86C3-BFB2C89E236D}"/>
    <cellStyle name="Normal 2 14 5 2" xfId="16569" xr:uid="{15AECDA3-EE1E-4E0D-A888-26A54D40876E}"/>
    <cellStyle name="Normal 2 14 5 2 2" xfId="46116" xr:uid="{78E03919-AB09-48AF-9485-653BE2320B15}"/>
    <cellStyle name="Normal 2 14 5 3" xfId="14002" xr:uid="{79193A0A-D561-4AFD-A248-76A83F5CB6E0}"/>
    <cellStyle name="Normal 2 14 5 3 2" xfId="43764" xr:uid="{F68E717D-FDA3-45CE-8B17-286E465D6770}"/>
    <cellStyle name="Normal 2 14 5 4" xfId="18531" xr:uid="{6DD64CEB-673F-4884-849A-BF54312E081D}"/>
    <cellStyle name="Normal 2 14 6" xfId="12885" xr:uid="{CB8B1856-4812-41F1-8DD1-9D500C676D88}"/>
    <cellStyle name="Normal 2 14 6 2" xfId="42732" xr:uid="{1C8BAAD9-CF0F-465A-A200-D8106A515E26}"/>
    <cellStyle name="Normal 2 15" xfId="3823" xr:uid="{0BBB1E00-93FC-4A81-9FDC-824D70326319}"/>
    <cellStyle name="Normal 2 15 2" xfId="3085" xr:uid="{CBBB2ED1-90F9-4A49-BE2B-D655CB229E30}"/>
    <cellStyle name="Normal 2 15 2 2" xfId="8377" xr:uid="{5F04F09F-491F-4D8A-A8CE-2B3534212B54}"/>
    <cellStyle name="Normal 2 15 2 2 2" xfId="9341" xr:uid="{8B5CFDF2-8FF8-47EE-812A-98B4F3B26D94}"/>
    <cellStyle name="Normal 2 15 2 2 2 2" xfId="10169" xr:uid="{3974DCC5-EB83-4C9C-B6FD-4F4B82FD0D92}"/>
    <cellStyle name="Normal 2 15 2 2 2 2 2" xfId="17000" xr:uid="{C376608E-1116-4DCF-B402-88E7BCFA69B2}"/>
    <cellStyle name="Normal 2 15 2 2 2 2 2 2" xfId="46542" xr:uid="{67168DE4-1616-4926-A2B9-E0065E4C4A7C}"/>
    <cellStyle name="Normal 2 15 2 2 2 2 3" xfId="17042" xr:uid="{2AE638B6-4656-454F-960C-EC47F96721D8}"/>
    <cellStyle name="Normal 2 15 2 2 2 2 3 2" xfId="46584" xr:uid="{93876D50-FFF0-4AFE-AC2D-49317611650E}"/>
    <cellStyle name="Normal 2 15 2 2 2 2 4" xfId="19132" xr:uid="{B6199D0D-CD2D-40A4-99B6-D2C562E03E45}"/>
    <cellStyle name="Normal 2 15 2 2 2 3" xfId="16476" xr:uid="{D2F360C5-5088-4F2D-8FB9-0E99022B5F8C}"/>
    <cellStyle name="Normal 2 15 2 2 2 3 2" xfId="46024" xr:uid="{17FD49AA-93BC-4603-A345-0FBA995AB457}"/>
    <cellStyle name="Normal 2 15 2 2 2 4" xfId="15276" xr:uid="{078E2EFD-2F8D-4C8D-9CEE-1FB47C2E6EB9}"/>
    <cellStyle name="Normal 2 15 2 2 2 4 2" xfId="44926" xr:uid="{E045F425-87ED-4802-8ECB-4F1F5361B5E1}"/>
    <cellStyle name="Normal 2 15 2 2 2 5" xfId="18421" xr:uid="{326E84D3-CB5A-4048-BA87-D2FA1F64752D}"/>
    <cellStyle name="Normal 2 15 2 3" xfId="6744" xr:uid="{E89E40D6-CEBD-4B53-9EDB-197E9D3ADD53}"/>
    <cellStyle name="Normal 2 15 2 3 2" xfId="10060" xr:uid="{DFA71FB8-FF37-4E4D-9521-387787A0E681}"/>
    <cellStyle name="Normal 2 15 2 3 2 2" xfId="16919" xr:uid="{77B94C60-663B-4B7E-ACE8-8CA99702942D}"/>
    <cellStyle name="Normal 2 15 2 3 2 2 2" xfId="46461" xr:uid="{95F30E88-D2E6-49AD-847A-880B3D062E48}"/>
    <cellStyle name="Normal 2 15 2 3 2 3" xfId="16294" xr:uid="{0B9AE337-2A7D-4009-9FC3-2363A0E9EF42}"/>
    <cellStyle name="Normal 2 15 2 3 2 3 2" xfId="45854" xr:uid="{5B233576-6D64-41A5-889C-26D3C8C7957A}"/>
    <cellStyle name="Normal 2 15 2 3 2 4" xfId="19023" xr:uid="{6217B330-2A2B-416C-A525-C959F8F6B6B7}"/>
    <cellStyle name="Normal 2 15 2 3 3" xfId="14818" xr:uid="{993AE8F7-B7C6-478C-9097-9C000D66A7C6}"/>
    <cellStyle name="Normal 2 15 2 3 3 2" xfId="44515" xr:uid="{F6ADEC97-7FFC-4286-A94E-4E171556EC78}"/>
    <cellStyle name="Normal 2 15 2 3 4" xfId="12983" xr:uid="{B1097752-DBFC-4970-A318-0D7E36845DB8}"/>
    <cellStyle name="Normal 2 15 2 3 4 2" xfId="42820" xr:uid="{509A0A62-07A9-46C4-993D-E70660600E73}"/>
    <cellStyle name="Normal 2 15 2 3 5" xfId="18319" xr:uid="{4BFB88E7-D735-4AC1-B703-63D3ACF2CDB8}"/>
    <cellStyle name="Normal 2 15 2 4" xfId="9427" xr:uid="{2E43D5E9-ABC0-4721-B006-965F78ECD756}"/>
    <cellStyle name="Normal 2 15 2 4 2" xfId="16545" xr:uid="{A57F19E1-6ACF-4A7F-B498-354637790D3B}"/>
    <cellStyle name="Normal 2 15 2 4 2 2" xfId="46092" xr:uid="{4789FEA0-8D23-48FB-BF26-A996C8278B8D}"/>
    <cellStyle name="Normal 2 15 2 4 3" xfId="12653" xr:uid="{3F0E46BC-E4B9-41A0-A936-61403EC888B8}"/>
    <cellStyle name="Normal 2 15 2 4 3 2" xfId="42524" xr:uid="{F99E205C-257C-4CB3-B152-2AB0B77A0580}"/>
    <cellStyle name="Normal 2 15 2 4 4" xfId="18497" xr:uid="{A3E30FB8-36D1-4CD4-A0F5-5B3321EF0F80}"/>
    <cellStyle name="Normal 2 15 2 5" xfId="12507" xr:uid="{85F39727-5D2B-478B-8FC3-74E7DECB1A56}"/>
    <cellStyle name="Normal 2 15 2 5 2" xfId="42394" xr:uid="{0D2ABAC7-01BC-4293-9B7F-074492F8E9FC}"/>
    <cellStyle name="Normal 2 15 2 6" xfId="13780" xr:uid="{6805A7FA-404E-43CA-AFD7-B408EA2BE796}"/>
    <cellStyle name="Normal 2 15 2 6 2" xfId="43553" xr:uid="{CC59F88A-9642-4FD1-9CC5-8A7B298DEAFA}"/>
    <cellStyle name="Normal 2 15 3" xfId="4769" xr:uid="{19BD3393-D4CE-4D8C-B251-322D71C1EC0A}"/>
    <cellStyle name="Normal 2 15 3 2" xfId="7410" xr:uid="{37AF59F0-1302-4FB9-9792-DAE482691301}"/>
    <cellStyle name="Normal 2 15 3 2 2" xfId="10111" xr:uid="{0BFC71A1-D4BD-4472-8357-FFC321761E3F}"/>
    <cellStyle name="Normal 2 15 3 2 2 2" xfId="16954" xr:uid="{F046A960-95E1-42B5-B31D-842F081F6E30}"/>
    <cellStyle name="Normal 2 15 3 2 2 2 2" xfId="46496" xr:uid="{F330157C-B4CB-4C7F-99CB-5B0C43D04955}"/>
    <cellStyle name="Normal 2 15 3 2 2 3" xfId="10754" xr:uid="{4285713D-A42A-40E1-847C-295553996E18}"/>
    <cellStyle name="Normal 2 15 3 2 2 3 2" xfId="40735" xr:uid="{0A50F2E0-FAE2-4702-BDF8-99848B67F836}"/>
    <cellStyle name="Normal 2 15 3 2 2 4" xfId="19074" xr:uid="{48D3E4E6-B934-4194-9325-6818487DA947}"/>
    <cellStyle name="Normal 2 15 3 2 3" xfId="15243" xr:uid="{DFED71ED-5C1A-4D22-BF25-C497C688DFD2}"/>
    <cellStyle name="Normal 2 15 3 2 3 2" xfId="44894" xr:uid="{B23C77C7-F597-40FC-AB57-62595E9AC062}"/>
    <cellStyle name="Normal 2 15 3 2 4" xfId="11780" xr:uid="{41BE8813-4CA4-4885-A7A4-CB003DBA0A85}"/>
    <cellStyle name="Normal 2 15 3 2 4 2" xfId="41715" xr:uid="{701D8A31-8940-42B0-94F2-4FEF6EEF0721}"/>
    <cellStyle name="Normal 2 15 3 2 5" xfId="18369" xr:uid="{220BE2D2-31B8-48AE-AB78-BB8E2659591A}"/>
    <cellStyle name="Normal 2 15 3 3" xfId="9611" xr:uid="{BEE25B43-9E85-44AF-A625-5E174A1C850E}"/>
    <cellStyle name="Normal 2 15 3 3 2" xfId="16659" xr:uid="{765F5486-530B-442A-8547-D4DC51EBA384}"/>
    <cellStyle name="Normal 2 15 3 3 2 2" xfId="46206" xr:uid="{45F502F8-C071-4AB6-80AD-D845837BFC90}"/>
    <cellStyle name="Normal 2 15 3 3 3" xfId="14797" xr:uid="{D054B179-782F-4D09-808E-2A5B7E5DE682}"/>
    <cellStyle name="Normal 2 15 3 3 3 2" xfId="44495" xr:uid="{9A8C69F0-8D8E-4FA9-8B7F-A42AD6E152F8}"/>
    <cellStyle name="Normal 2 15 3 3 4" xfId="18676" xr:uid="{67674D1B-EC91-4FFD-9BAB-CE76FA6DACD0}"/>
    <cellStyle name="Normal 2 15 3 4" xfId="13574" xr:uid="{9F6F8442-6BD2-4CE9-9E92-044882FF1524}"/>
    <cellStyle name="Normal 2 15 3 4 2" xfId="43367" xr:uid="{9A17B0F8-3C8A-4107-8AE2-98A092C4BD7B}"/>
    <cellStyle name="Normal 2 15 3 5" xfId="11487" xr:uid="{D1FA28AF-5D1B-4A9A-88CB-9124B65EAB08}"/>
    <cellStyle name="Normal 2 15 3 5 2" xfId="41446" xr:uid="{196B4487-FC28-4C47-960A-9C612AE750A3}"/>
    <cellStyle name="Normal 2 15 3 6" xfId="17981" xr:uid="{510EA794-D250-433A-B127-5DCD3E006767}"/>
    <cellStyle name="Normal 2 15 4" xfId="8955" xr:uid="{B792E699-A5A3-411C-AC71-626E9884CD8E}"/>
    <cellStyle name="Normal 2 15 4 2" xfId="9359" xr:uid="{7AB95773-B0EE-4A7E-8125-326B17447A4C}"/>
    <cellStyle name="Normal 2 15 4 2 2" xfId="10187" xr:uid="{F439BBA8-F0DB-470A-A0DE-6CBF0B5522B0}"/>
    <cellStyle name="Normal 2 15 4 2 2 2" xfId="17018" xr:uid="{7BD3246B-83BC-4FF2-9D0D-00AA4E975688}"/>
    <cellStyle name="Normal 2 15 4 2 2 2 2" xfId="46560" xr:uid="{B362DD3F-BD15-41F4-A881-DE4127997F0F}"/>
    <cellStyle name="Normal 2 15 4 2 2 3" xfId="12863" xr:uid="{7E0A5283-EA66-40E5-B99C-9DCA740B5A15}"/>
    <cellStyle name="Normal 2 15 4 2 2 3 2" xfId="42712" xr:uid="{D41832D0-B25E-452B-A4D6-A8F4DD4DD4D7}"/>
    <cellStyle name="Normal 2 15 4 2 2 4" xfId="19150" xr:uid="{F392481B-84B0-4432-94AF-A26F35ABBFF3}"/>
    <cellStyle name="Normal 2 15 4 2 3" xfId="16494" xr:uid="{F3BCF6D5-E08D-49F5-AC2A-70C88BE7A6A1}"/>
    <cellStyle name="Normal 2 15 4 2 3 2" xfId="46042" xr:uid="{D189D9D9-D2C0-42D7-BCB5-D375CB24E2A3}"/>
    <cellStyle name="Normal 2 15 4 2 4" xfId="11670" xr:uid="{6142C4D9-8FD5-446F-BAB2-6D5D98ED1531}"/>
    <cellStyle name="Normal 2 15 4 2 4 2" xfId="41613" xr:uid="{B648C85B-B190-4ED4-BFD7-1F7A5F3BE106}"/>
    <cellStyle name="Normal 2 15 4 2 5" xfId="18439" xr:uid="{7ACA21D1-B18B-4F12-89DD-FD09071D8CCB}"/>
    <cellStyle name="Normal 2 15 5" xfId="9497" xr:uid="{7F9ED139-474B-4A0D-B827-95AE43006D80}"/>
    <cellStyle name="Normal 2 15 5 2" xfId="16591" xr:uid="{E912893A-1294-41C3-9C9A-1FADC9CDEF3D}"/>
    <cellStyle name="Normal 2 15 5 2 2" xfId="46138" xr:uid="{1811D9EC-187F-4B66-B53A-B195F18DAC3C}"/>
    <cellStyle name="Normal 2 15 5 3" xfId="14021" xr:uid="{2B62EB11-9CBE-46F1-B90B-7B5F661643DC}"/>
    <cellStyle name="Normal 2 15 5 3 2" xfId="43780" xr:uid="{D537E602-1939-4254-B762-AFBD6C1F87D2}"/>
    <cellStyle name="Normal 2 15 5 4" xfId="18565" xr:uid="{8E6910CF-53D8-4013-8798-64D7B330CA0E}"/>
    <cellStyle name="Normal 2 15 6" xfId="12994" xr:uid="{E5AC7B70-BD00-4DFA-BBDC-C02E2259B3EF}"/>
    <cellStyle name="Normal 2 15 6 2" xfId="42831" xr:uid="{C2A24ACD-0D25-48F6-A606-1311846F95B8}"/>
    <cellStyle name="Normal 2 16" xfId="3664" xr:uid="{8290F8C2-DB9D-4651-ADFF-066FB25A199F}"/>
    <cellStyle name="Normal 2 16 2" xfId="2983" xr:uid="{475C40BB-274E-4BD9-BA59-8468A0479CD1}"/>
    <cellStyle name="Normal 2 16 2 2" xfId="8279" xr:uid="{4275F8CD-C185-4C3C-905D-162F6DBAAE42}"/>
    <cellStyle name="Normal 2 16 2 2 2" xfId="9337" xr:uid="{352AEF78-BCC6-4445-8F9C-6A95C79DD9D9}"/>
    <cellStyle name="Normal 2 16 2 2 2 2" xfId="10165" xr:uid="{5A3AABD7-4F28-4AFC-B6BF-277C1692FCD9}"/>
    <cellStyle name="Normal 2 16 2 2 2 2 2" xfId="16996" xr:uid="{F84E434C-05D2-449A-82C9-B0C4DE38028C}"/>
    <cellStyle name="Normal 2 16 2 2 2 2 2 2" xfId="46538" xr:uid="{649293FB-A73E-4E2C-B37D-36DB15B92A7A}"/>
    <cellStyle name="Normal 2 16 2 2 2 2 3" xfId="10727" xr:uid="{83B8BB14-1C83-4E18-80D6-EC429B912711}"/>
    <cellStyle name="Normal 2 16 2 2 2 2 3 2" xfId="40708" xr:uid="{0DDAC99A-DC65-46EB-8C75-2D7BEBB8853D}"/>
    <cellStyle name="Normal 2 16 2 2 2 2 4" xfId="19128" xr:uid="{BEE63979-6108-4ED4-928C-3D2C7A639378}"/>
    <cellStyle name="Normal 2 16 2 2 2 3" xfId="16472" xr:uid="{531546E9-0B20-42EF-8A1A-F2BE2E9A5EEE}"/>
    <cellStyle name="Normal 2 16 2 2 2 3 2" xfId="46020" xr:uid="{C24D416B-8235-487D-9CFF-704A21EA73D7}"/>
    <cellStyle name="Normal 2 16 2 2 2 4" xfId="13798" xr:uid="{DDABEC6F-1209-41FD-8846-04A4B95C93C4}"/>
    <cellStyle name="Normal 2 16 2 2 2 4 2" xfId="43570" xr:uid="{F25C30A7-6B89-464E-92FC-4BF5E6BDBADD}"/>
    <cellStyle name="Normal 2 16 2 2 2 5" xfId="18417" xr:uid="{5031E88E-474A-433D-A35C-FF293C5A16D7}"/>
    <cellStyle name="Normal 2 16 2 3" xfId="6646" xr:uid="{7F630AC6-B2F2-4953-9DD9-6E9E2ACA16AF}"/>
    <cellStyle name="Normal 2 16 2 3 2" xfId="10055" xr:uid="{DF9D6550-43B2-4B94-BEF5-9A02411EC13D}"/>
    <cellStyle name="Normal 2 16 2 3 2 2" xfId="16915" xr:uid="{F9151956-E354-40AB-9647-040CB40A6F51}"/>
    <cellStyle name="Normal 2 16 2 3 2 2 2" xfId="46457" xr:uid="{5A7B7457-501A-441C-8941-17E984CAA451}"/>
    <cellStyle name="Normal 2 16 2 3 2 3" xfId="17445" xr:uid="{6C8CE39D-DAC1-4009-B3B2-545FE527D9E2}"/>
    <cellStyle name="Normal 2 16 2 3 2 3 2" xfId="46975" xr:uid="{514137BA-D294-4BE1-BEFF-0BA6DF2236D4}"/>
    <cellStyle name="Normal 2 16 2 3 2 4" xfId="19019" xr:uid="{D7F29905-998B-4678-A471-E6878AE63393}"/>
    <cellStyle name="Normal 2 16 2 3 3" xfId="14751" xr:uid="{C3B36ACF-BFF8-46E1-9B2D-05DAF0E1EECB}"/>
    <cellStyle name="Normal 2 16 2 3 3 2" xfId="44455" xr:uid="{A0F32654-3D87-4373-9C3F-B73053E900DD}"/>
    <cellStyle name="Normal 2 16 2 3 4" xfId="10893" xr:uid="{49D18DDE-E333-4415-985C-573684D43D95}"/>
    <cellStyle name="Normal 2 16 2 3 4 2" xfId="40873" xr:uid="{BA29D8E1-06D9-4B82-A866-AA7E1998DD3D}"/>
    <cellStyle name="Normal 2 16 2 3 5" xfId="18315" xr:uid="{577AA633-3602-4B52-B256-9492AE019DD2}"/>
    <cellStyle name="Normal 2 16 2 4" xfId="9423" xr:uid="{DD1DE9DF-B3B7-4C1F-9F93-EE6C34F3346F}"/>
    <cellStyle name="Normal 2 16 2 4 2" xfId="16541" xr:uid="{FF251B19-D651-4DAF-9A4B-FFD3DC220D73}"/>
    <cellStyle name="Normal 2 16 2 4 2 2" xfId="46088" xr:uid="{A0545BB2-5E96-48A4-B493-F82B9A8D3883}"/>
    <cellStyle name="Normal 2 16 2 4 3" xfId="14573" xr:uid="{478BE856-9B8C-400D-943F-DD8EBD69226B}"/>
    <cellStyle name="Normal 2 16 2 4 3 2" xfId="44294" xr:uid="{1135E201-5B7A-4507-8F6A-DA36F4F93684}"/>
    <cellStyle name="Normal 2 16 2 4 4" xfId="18493" xr:uid="{BD4AF5A4-D571-473E-996D-232C9CE3CDD5}"/>
    <cellStyle name="Normal 2 16 2 5" xfId="12449" xr:uid="{994518BA-63E1-4A20-9545-A03A6AD26D4D}"/>
    <cellStyle name="Normal 2 16 2 5 2" xfId="42346" xr:uid="{38F9AEAF-B881-4572-ACD6-E633BB6B01DE}"/>
    <cellStyle name="Normal 2 16 2 6" xfId="13284" xr:uid="{37A6871D-7A47-4D58-AFE2-C801A084C032}"/>
    <cellStyle name="Normal 2 16 2 6 2" xfId="43101" xr:uid="{83C011F1-F2FA-495D-8C1E-9C94B38AC001}"/>
    <cellStyle name="Normal 2 16 3" xfId="4706" xr:uid="{BF3C2BB8-58C1-4D05-9F07-88F169D37CD5}"/>
    <cellStyle name="Normal 2 16 3 2" xfId="7299" xr:uid="{026E9F5D-5AFC-4727-8A10-BB24F775ABA1}"/>
    <cellStyle name="Normal 2 16 3 2 2" xfId="10095" xr:uid="{027A8E5C-8AD9-41E1-8F27-BEAEABCB8D2C}"/>
    <cellStyle name="Normal 2 16 3 2 2 2" xfId="16940" xr:uid="{246FAC78-A15E-4B49-9BBF-498C2C3C293F}"/>
    <cellStyle name="Normal 2 16 3 2 2 2 2" xfId="46482" xr:uid="{71B1A110-CD92-4CF5-91CB-FCF7469DD9A4}"/>
    <cellStyle name="Normal 2 16 3 2 2 3" xfId="10725" xr:uid="{8C625C0F-B131-4C0C-BE9B-14BA098B0CCA}"/>
    <cellStyle name="Normal 2 16 3 2 2 3 2" xfId="40706" xr:uid="{9B0BD3F0-E95F-4EEE-9C9E-91CF6F4535EA}"/>
    <cellStyle name="Normal 2 16 3 2 2 4" xfId="19058" xr:uid="{BB26ED27-25D9-4087-B29E-CC1C736566E0}"/>
    <cellStyle name="Normal 2 16 3 2 3" xfId="15170" xr:uid="{F6546AEA-1B73-4405-9279-0C35942D190E}"/>
    <cellStyle name="Normal 2 16 3 2 3 2" xfId="44827" xr:uid="{092034CF-CF5B-47F7-A522-68B87909E553}"/>
    <cellStyle name="Normal 2 16 3 2 4" xfId="15068" xr:uid="{256A38F9-0BC3-4F2A-B8D3-704D1BEBFE9F}"/>
    <cellStyle name="Normal 2 16 3 2 4 2" xfId="44735" xr:uid="{0AB7D4C2-0D3D-4DCA-BCA7-F04C91A778E8}"/>
    <cellStyle name="Normal 2 16 3 2 5" xfId="18353" xr:uid="{A038E677-B5EE-4C99-8C19-37CEF114B33E}"/>
    <cellStyle name="Normal 2 16 3 3" xfId="9607" xr:uid="{07574B42-7807-4E2B-AF78-E51D6A00DC77}"/>
    <cellStyle name="Normal 2 16 3 3 2" xfId="16655" xr:uid="{FFBCB77B-C226-4EE9-9FF8-50921BD9CCEE}"/>
    <cellStyle name="Normal 2 16 3 3 2 2" xfId="46202" xr:uid="{C682B2E9-687C-44AF-9865-452C29FC3717}"/>
    <cellStyle name="Normal 2 16 3 3 3" xfId="16204" xr:uid="{30EBD5D5-DD91-4B1B-9032-B8403C5D27EC}"/>
    <cellStyle name="Normal 2 16 3 3 3 2" xfId="45771" xr:uid="{B0912429-6D40-4CBA-9FCD-9CF19191B700}"/>
    <cellStyle name="Normal 2 16 3 3 4" xfId="18672" xr:uid="{6A422F80-866B-4FD8-AA12-D40EC0787740}"/>
    <cellStyle name="Normal 2 16 3 4" xfId="13534" xr:uid="{5184458B-9B39-4BC6-8669-14C29A68ECE4}"/>
    <cellStyle name="Normal 2 16 3 4 2" xfId="43329" xr:uid="{8009F479-9EDC-4F7E-84BB-B849647BF26D}"/>
    <cellStyle name="Normal 2 16 3 5" xfId="12616" xr:uid="{5C159103-A7BD-4F7E-8B8A-DC44ADD7BE78}"/>
    <cellStyle name="Normal 2 16 3 5 2" xfId="42491" xr:uid="{77A169A5-2F98-4E23-A1DA-50BBE5CC6C67}"/>
    <cellStyle name="Normal 2 16 3 6" xfId="17977" xr:uid="{6D4A1180-AD57-40FA-BA15-E6BF3A206FFE}"/>
    <cellStyle name="Normal 2 16 4" xfId="8864" xr:uid="{B5D0BAFD-DC30-4E7A-81CD-679D158AE3FF}"/>
    <cellStyle name="Normal 2 16 4 2" xfId="9355" xr:uid="{A9C56F6D-885F-4E4F-8762-13ED7DC927E0}"/>
    <cellStyle name="Normal 2 16 4 2 2" xfId="10183" xr:uid="{5AE39AD6-9446-49DB-A511-4FAFF39D9C16}"/>
    <cellStyle name="Normal 2 16 4 2 2 2" xfId="17014" xr:uid="{C80756A7-F2B5-406E-A1A1-1434F4DB7F52}"/>
    <cellStyle name="Normal 2 16 4 2 2 2 2" xfId="46556" xr:uid="{4C0A1619-DFA5-408D-9D78-00B3418B533C}"/>
    <cellStyle name="Normal 2 16 4 2 2 3" xfId="17448" xr:uid="{45EA1333-5B47-40A2-990E-A860459BD833}"/>
    <cellStyle name="Normal 2 16 4 2 2 3 2" xfId="46978" xr:uid="{AB343DB8-24F8-4A84-B71F-569013944FBD}"/>
    <cellStyle name="Normal 2 16 4 2 2 4" xfId="19146" xr:uid="{61120AB0-DC58-4190-80D5-B1A9D6B1769A}"/>
    <cellStyle name="Normal 2 16 4 2 3" xfId="16490" xr:uid="{77A9446C-0767-46CF-A093-DDE5AAED160A}"/>
    <cellStyle name="Normal 2 16 4 2 3 2" xfId="46038" xr:uid="{47D93C28-DE25-40A0-93C4-053E3131BB0B}"/>
    <cellStyle name="Normal 2 16 4 2 4" xfId="14029" xr:uid="{91A8CA7F-40A8-483A-BFD0-60A6DBF592F6}"/>
    <cellStyle name="Normal 2 16 4 2 4 2" xfId="43788" xr:uid="{5781D3A0-F9E0-4D3B-B9AB-DC18BCC361CD}"/>
    <cellStyle name="Normal 2 16 4 2 5" xfId="18435" xr:uid="{F55D3E62-BF82-4E4B-866D-7AE9263A92D7}"/>
    <cellStyle name="Normal 2 16 5" xfId="9464" xr:uid="{1B15C9F7-33AE-423B-B638-9B01311B3DD4}"/>
    <cellStyle name="Normal 2 16 5 2" xfId="16570" xr:uid="{185FD447-E37E-4E3D-A0EF-BA5D4D9B39E4}"/>
    <cellStyle name="Normal 2 16 5 2 2" xfId="46117" xr:uid="{A71BEC4E-7598-40E0-9A88-8E3AD359B0F8}"/>
    <cellStyle name="Normal 2 16 5 3" xfId="15555" xr:uid="{C32EA687-65C2-432B-A127-4732FB29C83E}"/>
    <cellStyle name="Normal 2 16 5 3 2" xfId="45187" xr:uid="{12023BF6-862C-493B-95B3-C407E91068E9}"/>
    <cellStyle name="Normal 2 16 5 4" xfId="18532" xr:uid="{77818D0A-22B3-4CB7-A6F0-7F10C0227C8E}"/>
    <cellStyle name="Normal 2 16 6" xfId="12894" xr:uid="{A4303265-D503-4E68-ABD4-2ED4EBEC9644}"/>
    <cellStyle name="Normal 2 16 6 2" xfId="42739" xr:uid="{B1E41FBC-B67C-49AD-8803-9FCE1D77A69E}"/>
    <cellStyle name="Normal 2 17" xfId="3905" xr:uid="{5D46953E-20B3-4047-AD49-0F85B8C98E40}"/>
    <cellStyle name="Normal 2 17 2" xfId="3174" xr:uid="{163E2360-14BE-4AF9-A77F-2E41513AD36B}"/>
    <cellStyle name="Normal 2 17 2 2" xfId="8466" xr:uid="{832988CE-F922-49CE-9319-A9710345279D}"/>
    <cellStyle name="Normal 2 17 2 2 2" xfId="9344" xr:uid="{DE580AF3-870F-4DAC-A8A2-E2636571E268}"/>
    <cellStyle name="Normal 2 17 2 2 2 2" xfId="10172" xr:uid="{27E71ABE-E095-4D47-97A2-9D1DC6CCB94D}"/>
    <cellStyle name="Normal 2 17 2 2 2 2 2" xfId="17003" xr:uid="{6F30F752-C0E6-42D1-8E02-189056BA491B}"/>
    <cellStyle name="Normal 2 17 2 2 2 2 2 2" xfId="46545" xr:uid="{470519E4-1257-4674-AEDB-42A5BF1968C7}"/>
    <cellStyle name="Normal 2 17 2 2 2 2 3" xfId="10645" xr:uid="{E14A4F30-D5E8-42F6-BB88-6A6490BF2C89}"/>
    <cellStyle name="Normal 2 17 2 2 2 2 3 2" xfId="40626" xr:uid="{B141E41C-622B-4170-BC20-25EB88CE4336}"/>
    <cellStyle name="Normal 2 17 2 2 2 2 4" xfId="19135" xr:uid="{98E994FE-4B84-49F9-8B4C-046F5F96A26B}"/>
    <cellStyle name="Normal 2 17 2 2 2 3" xfId="16479" xr:uid="{9FCD3700-5AAC-46D2-8FA8-5AAEC0DF7AD1}"/>
    <cellStyle name="Normal 2 17 2 2 2 3 2" xfId="46027" xr:uid="{8DF7DD77-5B7C-458C-AB85-C1F1C755792D}"/>
    <cellStyle name="Normal 2 17 2 2 2 4" xfId="12215" xr:uid="{593E8C07-8028-45C2-B58E-2DFFB7B416C9}"/>
    <cellStyle name="Normal 2 17 2 2 2 4 2" xfId="42132" xr:uid="{0DD4CCCF-7576-4600-82F9-37A9FF54E7DE}"/>
    <cellStyle name="Normal 2 17 2 2 2 5" xfId="18424" xr:uid="{FF065723-1008-4FC5-8F4E-E5E844966FEE}"/>
    <cellStyle name="Normal 2 17 2 3" xfId="6833" xr:uid="{5E472736-9D4E-49CE-84B6-8260D9975E3E}"/>
    <cellStyle name="Normal 2 17 2 3 2" xfId="10063" xr:uid="{54BD46D0-15DE-4F35-A4F7-B8399898180B}"/>
    <cellStyle name="Normal 2 17 2 3 2 2" xfId="16922" xr:uid="{936112D7-DEEE-44E0-ACE1-3D863BD20BDE}"/>
    <cellStyle name="Normal 2 17 2 3 2 2 2" xfId="46464" xr:uid="{3EC4BCB6-B743-47B5-8643-14A5BCA9C495}"/>
    <cellStyle name="Normal 2 17 2 3 2 3" xfId="10944" xr:uid="{FC87E387-6A0F-48AA-8A00-AFACC301238D}"/>
    <cellStyle name="Normal 2 17 2 3 2 3 2" xfId="40924" xr:uid="{457983EC-E452-41EB-9B2A-3EC1CCA7EC82}"/>
    <cellStyle name="Normal 2 17 2 3 2 4" xfId="19026" xr:uid="{21EB1F5A-B3D5-418A-8AEE-CD6FDFEA6D81}"/>
    <cellStyle name="Normal 2 17 2 3 3" xfId="14874" xr:uid="{0F918B3D-ECB2-4348-A3AA-2DB93AA37A97}"/>
    <cellStyle name="Normal 2 17 2 3 3 2" xfId="44566" xr:uid="{191E3CF9-E048-42EB-BB04-514E474946A6}"/>
    <cellStyle name="Normal 2 17 2 3 4" xfId="13454" xr:uid="{43367736-ED43-4AB2-A2C4-8E2DF0386C31}"/>
    <cellStyle name="Normal 2 17 2 3 4 2" xfId="43256" xr:uid="{CAF7007C-1017-4184-9842-78B4065FA537}"/>
    <cellStyle name="Normal 2 17 2 3 5" xfId="18322" xr:uid="{C1165DA5-A950-4329-9612-4E20567154A1}"/>
    <cellStyle name="Normal 2 17 2 4" xfId="9430" xr:uid="{89C6E76A-2639-4153-94FD-D31A46E1C02D}"/>
    <cellStyle name="Normal 2 17 2 4 2" xfId="16548" xr:uid="{F1673DAA-17CB-40AD-82FC-B89B22EE5E95}"/>
    <cellStyle name="Normal 2 17 2 4 2 2" xfId="46095" xr:uid="{18A36FE5-E969-4329-B50C-D4DF671B8ED6}"/>
    <cellStyle name="Normal 2 17 2 4 3" xfId="14287" xr:uid="{011C8CFC-FF53-4E94-85D2-52D86C018B54}"/>
    <cellStyle name="Normal 2 17 2 4 3 2" xfId="44020" xr:uid="{B2BEFF17-220B-48EF-80BF-AAC587AE044C}"/>
    <cellStyle name="Normal 2 17 2 4 4" xfId="18500" xr:uid="{B21773CA-48C3-43D8-836A-6A15ADB68A93}"/>
    <cellStyle name="Normal 2 17 2 5" xfId="12565" xr:uid="{F7263FBA-3ED4-496F-9BA0-A995A4EC5707}"/>
    <cellStyle name="Normal 2 17 2 5 2" xfId="42445" xr:uid="{EFFA9441-39BC-4E18-A0B1-CA252C733756}"/>
    <cellStyle name="Normal 2 17 2 6" xfId="14331" xr:uid="{E13B21BA-596F-4B10-A658-1161124DBBC0}"/>
    <cellStyle name="Normal 2 17 2 6 2" xfId="44061" xr:uid="{627B788A-A04A-43B2-B309-C48A13256C2A}"/>
    <cellStyle name="Normal 2 17 3" xfId="4842" xr:uid="{EE742BBA-5201-467E-8D8B-A76BC3A9242C}"/>
    <cellStyle name="Normal 2 17 3 2" xfId="7486" xr:uid="{F134A6E3-1B88-418B-A0E9-EFF3E2571D50}"/>
    <cellStyle name="Normal 2 17 3 2 2" xfId="10116" xr:uid="{81AD2481-BC30-4C9F-819B-D7FC1F2A622D}"/>
    <cellStyle name="Normal 2 17 3 2 2 2" xfId="16956" xr:uid="{E7EC7F01-9D8D-4C29-B852-BFDDB69B8FC0}"/>
    <cellStyle name="Normal 2 17 3 2 2 2 2" xfId="46498" xr:uid="{EACF0ADC-A487-484D-8D15-FB35E01A614D}"/>
    <cellStyle name="Normal 2 17 3 2 2 3" xfId="10852" xr:uid="{DE0C8A2E-9522-4B70-9149-C377C2FC8A4D}"/>
    <cellStyle name="Normal 2 17 3 2 2 3 2" xfId="40833" xr:uid="{E2F9DAE9-58B4-4EA0-A568-7A4256471643}"/>
    <cellStyle name="Normal 2 17 3 2 2 4" xfId="19079" xr:uid="{E9D488A9-6394-404C-A8B6-906A93326D98}"/>
    <cellStyle name="Normal 2 17 3 2 3" xfId="15285" xr:uid="{D72672ED-63A5-408A-906B-30B45C2C44EF}"/>
    <cellStyle name="Normal 2 17 3 2 3 2" xfId="44934" xr:uid="{7F79C0C2-8C55-4A3F-8BD9-8C940D696289}"/>
    <cellStyle name="Normal 2 17 3 2 4" xfId="11634" xr:uid="{89467D14-C88C-414F-9098-C9A29DB16806}"/>
    <cellStyle name="Normal 2 17 3 2 4 2" xfId="41582" xr:uid="{B80EDB9C-41FE-48F5-9A55-80BC3F00E1A1}"/>
    <cellStyle name="Normal 2 17 3 2 5" xfId="18374" xr:uid="{06A6E13A-2D95-4F31-BDD3-9E17CCC8938D}"/>
    <cellStyle name="Normal 2 17 3 3" xfId="9614" xr:uid="{2F2B187C-A838-4F47-BC27-71A1431E67D9}"/>
    <cellStyle name="Normal 2 17 3 3 2" xfId="16661" xr:uid="{566A48C7-0C44-4550-9941-D1CCC8C42F0F}"/>
    <cellStyle name="Normal 2 17 3 3 2 2" xfId="46208" xr:uid="{1995ACE8-71C5-4C88-9F59-928478A455B1}"/>
    <cellStyle name="Normal 2 17 3 3 3" xfId="12942" xr:uid="{D6FE6DCC-CBBC-43E7-85D7-0D97E9A6A1FA}"/>
    <cellStyle name="Normal 2 17 3 3 3 2" xfId="42780" xr:uid="{EFD8064A-22ED-4916-9A6F-FB12AF71DFFF}"/>
    <cellStyle name="Normal 2 17 3 3 4" xfId="18679" xr:uid="{97045C86-1134-4D5D-8DE8-295E074B6A35}"/>
    <cellStyle name="Normal 2 17 3 4" xfId="13623" xr:uid="{2971ADED-3F45-4F39-928E-B565A74548C0}"/>
    <cellStyle name="Normal 2 17 3 4 2" xfId="43414" xr:uid="{752ECE8E-CBA4-4C0B-8BDE-317D90C5CE3E}"/>
    <cellStyle name="Normal 2 17 3 5" xfId="11073" xr:uid="{A91535D1-121E-40B8-9B58-F3D90F53AA22}"/>
    <cellStyle name="Normal 2 17 3 5 2" xfId="41052" xr:uid="{2A00516F-500B-4B11-91D4-3CBAB670542E}"/>
    <cellStyle name="Normal 2 17 3 6" xfId="17984" xr:uid="{2F8F6095-AFF2-4E8D-A054-3137756687F8}"/>
    <cellStyle name="Normal 2 17 4" xfId="9027" xr:uid="{F7C103C3-8D6F-4B87-BCCE-8CC570853568}"/>
    <cellStyle name="Normal 2 17 4 2" xfId="9361" xr:uid="{A6BF09F6-AC56-49D2-BCBD-97F2F788F1E8}"/>
    <cellStyle name="Normal 2 17 4 2 2" xfId="10189" xr:uid="{C9A61DD5-E5B7-4633-815F-F35B9DE30BD9}"/>
    <cellStyle name="Normal 2 17 4 2 2 2" xfId="17020" xr:uid="{8429A7F3-6BC5-49F4-84E2-85FC7333011C}"/>
    <cellStyle name="Normal 2 17 4 2 2 2 2" xfId="46562" xr:uid="{6AB1110A-2705-4BE3-853C-DF831A2C8A19}"/>
    <cellStyle name="Normal 2 17 4 2 2 3" xfId="10887" xr:uid="{7FF0E2B3-66EF-4EE8-BD15-66263C0E6174}"/>
    <cellStyle name="Normal 2 17 4 2 2 3 2" xfId="40867" xr:uid="{E494C6DE-A0BC-4115-96B1-281FF557CC78}"/>
    <cellStyle name="Normal 2 17 4 2 2 4" xfId="19152" xr:uid="{A0011F5A-0295-4211-943E-36C2C75D5EBB}"/>
    <cellStyle name="Normal 2 17 4 2 3" xfId="16496" xr:uid="{F1A2E0BD-F04C-46C7-98B4-3E1010BFFABB}"/>
    <cellStyle name="Normal 2 17 4 2 3 2" xfId="46044" xr:uid="{5AA1BC07-5858-4CDB-9919-D123A5CABE25}"/>
    <cellStyle name="Normal 2 17 4 2 4" xfId="14261" xr:uid="{7CBEF56A-5772-46EC-9964-C423C5FAF9DF}"/>
    <cellStyle name="Normal 2 17 4 2 4 2" xfId="43997" xr:uid="{88E30472-297A-415F-B091-5D9C1B7FD7A6}"/>
    <cellStyle name="Normal 2 17 4 2 5" xfId="18441" xr:uid="{A618E013-6BD9-4FF7-98BE-BF619F0A7814}"/>
    <cellStyle name="Normal 2 17 5" xfId="9502" xr:uid="{7288000B-9316-4124-8423-9888839C20D6}"/>
    <cellStyle name="Normal 2 17 5 2" xfId="16593" xr:uid="{0D5402F3-DFAC-423F-80D3-B124B0E3BE45}"/>
    <cellStyle name="Normal 2 17 5 2 2" xfId="46140" xr:uid="{D96E2BAA-CBF7-465B-95DF-394BA415BE5E}"/>
    <cellStyle name="Normal 2 17 5 3" xfId="13893" xr:uid="{62B9F2DE-B0D9-49D9-8F78-8033235571AF}"/>
    <cellStyle name="Normal 2 17 5 3 2" xfId="43659" xr:uid="{33B642E3-27A6-452D-9AD1-BE9C8FF16CAE}"/>
    <cellStyle name="Normal 2 17 5 4" xfId="18570" xr:uid="{070D592E-4B6B-4FBD-871D-FCA98B4B4E1D}"/>
    <cellStyle name="Normal 2 17 6" xfId="13047" xr:uid="{5DF9520E-F3DF-4809-BA64-F4BA5D238D86}"/>
    <cellStyle name="Normal 2 17 6 2" xfId="42877" xr:uid="{DAB65D6B-8F6C-4E08-A3D2-CC164C20EF39}"/>
    <cellStyle name="Normal 2 18" xfId="3955" xr:uid="{D9B795C6-F62A-4AC5-9E47-ED4FE9AAABF1}"/>
    <cellStyle name="Normal 2 18 2" xfId="3265" xr:uid="{CFA6B53A-3D06-48A4-AC7B-AF0D06B7CBFE}"/>
    <cellStyle name="Normal 2 18 2 2" xfId="8548" xr:uid="{8D18AD3F-2D86-4E9D-B1E6-706F60A910EF}"/>
    <cellStyle name="Normal 2 18 2 2 2" xfId="9346" xr:uid="{1B9E483D-1217-4C7A-B899-9304B62181E5}"/>
    <cellStyle name="Normal 2 18 2 2 2 2" xfId="10174" xr:uid="{003015F9-27CC-4EEC-8A48-2C1BFFC5573A}"/>
    <cellStyle name="Normal 2 18 2 2 2 2 2" xfId="17005" xr:uid="{06BD1AA1-9079-40FB-9E2E-C0D550064E4B}"/>
    <cellStyle name="Normal 2 18 2 2 2 2 2 2" xfId="46547" xr:uid="{4AD4BDA2-481F-48B1-9142-854117BB5EB9}"/>
    <cellStyle name="Normal 2 18 2 2 2 2 3" xfId="15367" xr:uid="{21252F6E-E970-4C67-B3B6-23C3CDD78F74}"/>
    <cellStyle name="Normal 2 18 2 2 2 2 3 2" xfId="45010" xr:uid="{DCF620E7-17B8-4E41-A546-0D29F59A4C6B}"/>
    <cellStyle name="Normal 2 18 2 2 2 2 4" xfId="19137" xr:uid="{CCFC3E5B-41A1-4684-B003-1B7C480DF958}"/>
    <cellStyle name="Normal 2 18 2 2 2 3" xfId="16481" xr:uid="{5BAD90A7-DDF5-48BC-B17C-DE2CD3031784}"/>
    <cellStyle name="Normal 2 18 2 2 2 3 2" xfId="46029" xr:uid="{71857C89-4F34-4F75-BAE9-857484798F43}"/>
    <cellStyle name="Normal 2 18 2 2 2 4" xfId="13711" xr:uid="{A1E010E2-602E-4D21-9F22-3AA39C93D97C}"/>
    <cellStyle name="Normal 2 18 2 2 2 4 2" xfId="43490" xr:uid="{73C75A47-EFA6-4F27-B87C-16802AB3FF04}"/>
    <cellStyle name="Normal 2 18 2 2 2 5" xfId="18426" xr:uid="{4287E533-9DCE-4160-AF43-B1C86C40B577}"/>
    <cellStyle name="Normal 2 18 2 3" xfId="6922" xr:uid="{90884A9B-359A-459C-9BBD-D6C26FF1A82F}"/>
    <cellStyle name="Normal 2 18 2 3 2" xfId="10072" xr:uid="{115D18D0-6C50-4AB8-AFB2-624B6F54FDDE}"/>
    <cellStyle name="Normal 2 18 2 3 2 2" xfId="16928" xr:uid="{9A3BB6FE-A0E1-4C31-AF3C-48F97320D5E7}"/>
    <cellStyle name="Normal 2 18 2 3 2 2 2" xfId="46470" xr:uid="{37526218-45C2-4C10-8302-04DBDEA0EE65}"/>
    <cellStyle name="Normal 2 18 2 3 2 3" xfId="15090" xr:uid="{643A6323-96BD-4C30-BE69-B9FB6791B9B8}"/>
    <cellStyle name="Normal 2 18 2 3 2 3 2" xfId="44757" xr:uid="{F8075D94-CCB8-48A1-AF69-48077B3DE4B6}"/>
    <cellStyle name="Normal 2 18 2 3 2 4" xfId="19035" xr:uid="{086BEA12-13EF-4592-B1D9-17479CDFCC64}"/>
    <cellStyle name="Normal 2 18 2 3 3" xfId="14926" xr:uid="{0036103E-595E-4CA1-964C-685BA61BF7C0}"/>
    <cellStyle name="Normal 2 18 2 3 3 2" xfId="44614" xr:uid="{8A706D62-663B-4D14-A566-F33E92CBF0C6}"/>
    <cellStyle name="Normal 2 18 2 3 4" xfId="15937" xr:uid="{3BF02660-A30A-46A1-90DF-910AB2201FD4}"/>
    <cellStyle name="Normal 2 18 2 3 4 2" xfId="45533" xr:uid="{FDE8D91E-D619-472A-9AF1-E9449383CC48}"/>
    <cellStyle name="Normal 2 18 2 3 5" xfId="18331" xr:uid="{BB4BA816-D720-4589-BA18-801A08657922}"/>
    <cellStyle name="Normal 2 18 2 4" xfId="9439" xr:uid="{6D37FD5A-8713-4AE5-BF41-9FD1BB1F285D}"/>
    <cellStyle name="Normal 2 18 2 4 2" xfId="16554" xr:uid="{6FE2CCF4-736B-4A5B-BB19-239FE529DCCD}"/>
    <cellStyle name="Normal 2 18 2 4 2 2" xfId="46101" xr:uid="{D0250675-3998-4F2F-8AD2-0127A8C2EAC4}"/>
    <cellStyle name="Normal 2 18 2 4 3" xfId="13257" xr:uid="{FE03CCB8-8870-4464-9805-A9F4D4E296F1}"/>
    <cellStyle name="Normal 2 18 2 4 3 2" xfId="43075" xr:uid="{52A8FB02-7710-427C-9283-E169C4F8D9FC}"/>
    <cellStyle name="Normal 2 18 2 4 4" xfId="18509" xr:uid="{CB179183-F86C-413E-AC45-7F8004591AC3}"/>
    <cellStyle name="Normal 2 18 2 5" xfId="12630" xr:uid="{C54D3A4F-2171-4A20-9E2D-CBE6420BBB64}"/>
    <cellStyle name="Normal 2 18 2 5 2" xfId="42503" xr:uid="{4B5B81AF-25BF-4FA8-B7FC-D3DFF066AA92}"/>
    <cellStyle name="Normal 2 18 2 6" xfId="12046" xr:uid="{C9A3BCB0-FDBC-4BEC-ABC0-52050E158910}"/>
    <cellStyle name="Normal 2 18 2 6 2" xfId="41966" xr:uid="{8D676951-74F3-4274-A5D6-CB8847A02923}"/>
    <cellStyle name="Normal 2 18 3" xfId="4867" xr:uid="{24F9AB7D-3DE0-4E74-A8D2-BCC50F2E0654}"/>
    <cellStyle name="Normal 2 18 3 2" xfId="7535" xr:uid="{E668AFA5-B229-484F-884C-51E083B6EBD1}"/>
    <cellStyle name="Normal 2 18 3 2 2" xfId="10117" xr:uid="{C5353A3C-527B-469D-A2F4-7809D43B4848}"/>
    <cellStyle name="Normal 2 18 3 2 2 2" xfId="16957" xr:uid="{CB49C200-4CDD-4390-A2BD-9FA77D0E7B26}"/>
    <cellStyle name="Normal 2 18 3 2 2 2 2" xfId="46499" xr:uid="{DE89730A-7BA7-4A89-B716-D007300F0992}"/>
    <cellStyle name="Normal 2 18 3 2 2 3" xfId="14930" xr:uid="{33D39669-55F6-4520-B515-0778EEDA9761}"/>
    <cellStyle name="Normal 2 18 3 2 2 3 2" xfId="44617" xr:uid="{900BDF0E-82F4-4638-A380-BBC7A7860942}"/>
    <cellStyle name="Normal 2 18 3 2 2 4" xfId="19080" xr:uid="{99709FE6-2808-4C3C-9197-E12D9AD167A3}"/>
    <cellStyle name="Normal 2 18 3 2 3" xfId="15311" xr:uid="{5AE36713-73E8-4D52-BA54-78F8E783A0E7}"/>
    <cellStyle name="Normal 2 18 3 2 3 2" xfId="44957" xr:uid="{D2BDFC4A-5485-4435-897A-9CBF429D9F9C}"/>
    <cellStyle name="Normal 2 18 3 2 4" xfId="14459" xr:uid="{F74C77E4-615B-40C0-ABE4-A681123590FF}"/>
    <cellStyle name="Normal 2 18 3 2 4 2" xfId="44188" xr:uid="{D7E082CB-40EE-4642-A912-80B88C82C363}"/>
    <cellStyle name="Normal 2 18 3 2 5" xfId="18375" xr:uid="{0DAE4B5B-81ED-46D7-AB28-81AE5703D267}"/>
    <cellStyle name="Normal 2 18 3 3" xfId="9615" xr:uid="{69D57DE5-A684-4C66-A3C0-ADC291610233}"/>
    <cellStyle name="Normal 2 18 3 3 2" xfId="16662" xr:uid="{E4AD9D08-D200-49A4-9FF8-AE707F1A5862}"/>
    <cellStyle name="Normal 2 18 3 3 2 2" xfId="46209" xr:uid="{255F28D4-8389-4F29-9896-3B290BA479C9}"/>
    <cellStyle name="Normal 2 18 3 3 3" xfId="14368" xr:uid="{C76F056C-2202-43BC-9FDF-EFE04B516A5F}"/>
    <cellStyle name="Normal 2 18 3 3 3 2" xfId="44098" xr:uid="{00D86D9F-3443-432C-A8CD-8D6551710AE6}"/>
    <cellStyle name="Normal 2 18 3 3 4" xfId="18680" xr:uid="{35CDDBF2-F5B6-43AA-ACC6-4710BCCEC335}"/>
    <cellStyle name="Normal 2 18 3 4" xfId="13640" xr:uid="{DE436D2E-C7B3-421B-BDD4-660A60E3BC53}"/>
    <cellStyle name="Normal 2 18 3 4 2" xfId="43428" xr:uid="{4486ECF5-846A-4153-95A2-A066A6C0A5AD}"/>
    <cellStyle name="Normal 2 18 3 5" xfId="12180" xr:uid="{71569F23-6344-4C92-88A7-F19EC03905A4}"/>
    <cellStyle name="Normal 2 18 3 5 2" xfId="42100" xr:uid="{112866A7-3E4D-4C6B-B796-CC6C5141C206}"/>
    <cellStyle name="Normal 2 18 3 6" xfId="17985" xr:uid="{89C81A7B-4966-4623-AEB7-E390B6E82E45}"/>
    <cellStyle name="Normal 2 18 4" xfId="9052" xr:uid="{7E2A31AF-5D51-48B4-884D-E2A67322DDD2}"/>
    <cellStyle name="Normal 2 18 4 2" xfId="9362" xr:uid="{98E30E03-0EF1-4F28-8E5E-527405E9E041}"/>
    <cellStyle name="Normal 2 18 4 2 2" xfId="10190" xr:uid="{BF2788E8-D0AC-44A6-99EE-8726AE770797}"/>
    <cellStyle name="Normal 2 18 4 2 2 2" xfId="17021" xr:uid="{5922F9E2-515C-406F-B1DC-29A1B8C9C91D}"/>
    <cellStyle name="Normal 2 18 4 2 2 2 2" xfId="46563" xr:uid="{73777C18-FD40-4903-9304-DEF41EBEBB0E}"/>
    <cellStyle name="Normal 2 18 4 2 2 3" xfId="15608" xr:uid="{C3D0AE30-EBB2-4A77-890F-6EF75452CABC}"/>
    <cellStyle name="Normal 2 18 4 2 2 3 2" xfId="45235" xr:uid="{AB1F52AD-ED85-4CBC-916D-2CA736959A70}"/>
    <cellStyle name="Normal 2 18 4 2 2 4" xfId="19153" xr:uid="{FCCE5F9B-603D-4588-A9BA-B84652E34B7C}"/>
    <cellStyle name="Normal 2 18 4 2 3" xfId="16497" xr:uid="{EB13F28A-F8E6-42A4-9814-868FF41E50EF}"/>
    <cellStyle name="Normal 2 18 4 2 3 2" xfId="46045" xr:uid="{4FB14277-DEB5-47C6-BD2A-1CF645B7CF25}"/>
    <cellStyle name="Normal 2 18 4 2 4" xfId="16281" xr:uid="{278AA944-D52B-45F9-BEBF-759065F2B2B6}"/>
    <cellStyle name="Normal 2 18 4 2 4 2" xfId="45843" xr:uid="{04544AB3-9DB2-46B6-BE0B-569F7D205C8A}"/>
    <cellStyle name="Normal 2 18 4 2 5" xfId="18442" xr:uid="{AEDF3275-01FF-48C2-9D2E-FB55B8A8441F}"/>
    <cellStyle name="Normal 2 18 5" xfId="9503" xr:uid="{4B09687B-5149-4022-96B7-83EE4EEE54B9}"/>
    <cellStyle name="Normal 2 18 5 2" xfId="16594" xr:uid="{88B445FE-FBCC-4DCE-9B80-30F7E23515A7}"/>
    <cellStyle name="Normal 2 18 5 2 2" xfId="46141" xr:uid="{DF6670F5-9BD4-4441-A625-D0AB196A7804}"/>
    <cellStyle name="Normal 2 18 5 3" xfId="12946" xr:uid="{E498A9EC-90C8-4491-B1B6-49509EB0A4B3}"/>
    <cellStyle name="Normal 2 18 5 3 2" xfId="42783" xr:uid="{FCCE7FC9-3188-4114-BCF6-0B69B3BEA555}"/>
    <cellStyle name="Normal 2 18 5 4" xfId="18571" xr:uid="{66E689C3-20F8-48F5-BE55-D243AD6E4FE7}"/>
    <cellStyle name="Normal 2 18 6" xfId="13067" xr:uid="{9763B327-F992-4295-BF6D-F670A18C0989}"/>
    <cellStyle name="Normal 2 18 6 2" xfId="42897" xr:uid="{F3809A3E-9287-4103-909B-D3488980FA64}"/>
    <cellStyle name="Normal 2 19" xfId="3901" xr:uid="{37D8BD54-0D84-4D11-9AC1-311070D7EEBD}"/>
    <cellStyle name="Normal 2 19 2" xfId="3170" xr:uid="{61AA18B9-C119-4EA3-95C6-7F82C5A92590}"/>
    <cellStyle name="Normal 2 19 2 2" xfId="8462" xr:uid="{A19A3175-E214-4E15-8535-F2E7690AA8BB}"/>
    <cellStyle name="Normal 2 19 2 2 2" xfId="9343" xr:uid="{585A7646-01DC-43EC-A789-2709D4FD9E40}"/>
    <cellStyle name="Normal 2 19 2 2 2 2" xfId="10171" xr:uid="{9A54C233-0F02-4B0B-87F1-60C0B6C4A9F6}"/>
    <cellStyle name="Normal 2 19 2 2 2 2 2" xfId="17002" xr:uid="{836A8F06-2653-4211-B652-9A4C3D43B3DC}"/>
    <cellStyle name="Normal 2 19 2 2 2 2 2 2" xfId="46544" xr:uid="{0D17F609-D8C3-4F0A-A5F2-4E6D18DDB566}"/>
    <cellStyle name="Normal 2 19 2 2 2 2 3" xfId="15503" xr:uid="{7CD64CC4-8AAA-4DBE-B0A8-8A84CED1F6D9}"/>
    <cellStyle name="Normal 2 19 2 2 2 2 3 2" xfId="45139" xr:uid="{F5DE920C-664E-480F-8F44-601C710F0A97}"/>
    <cellStyle name="Normal 2 19 2 2 2 2 4" xfId="19134" xr:uid="{8BD92088-07B6-422B-83D8-69DB90F554C6}"/>
    <cellStyle name="Normal 2 19 2 2 2 3" xfId="16478" xr:uid="{2D272327-34A2-4581-BF80-48EBC83897C8}"/>
    <cellStyle name="Normal 2 19 2 2 2 3 2" xfId="46026" xr:uid="{1281C379-EE52-4058-9453-412EC9892362}"/>
    <cellStyle name="Normal 2 19 2 2 2 4" xfId="11681" xr:uid="{57C6C386-34DE-450C-A32C-10F27B1A11CC}"/>
    <cellStyle name="Normal 2 19 2 2 2 4 2" xfId="41624" xr:uid="{3D33E687-C5B2-4563-B6A0-95F699D5A794}"/>
    <cellStyle name="Normal 2 19 2 2 2 5" xfId="18423" xr:uid="{B85750CC-D137-444F-981A-EF65221EBE0E}"/>
    <cellStyle name="Normal 2 19 2 3" xfId="6829" xr:uid="{13958DCA-A1B5-4A99-BF1B-F8661CD1918E}"/>
    <cellStyle name="Normal 2 19 2 3 2" xfId="10062" xr:uid="{A5B4D236-532A-4724-8DEB-C86D7D37A218}"/>
    <cellStyle name="Normal 2 19 2 3 2 2" xfId="16921" xr:uid="{C727875E-3324-4B32-B946-5071FEDB20C7}"/>
    <cellStyle name="Normal 2 19 2 3 2 2 2" xfId="46463" xr:uid="{749D0DDA-E4BE-42FF-BAA1-54D94B6CAF2F}"/>
    <cellStyle name="Normal 2 19 2 3 2 3" xfId="10632" xr:uid="{33AA1AD8-90F2-4B26-9656-E042FB79480C}"/>
    <cellStyle name="Normal 2 19 2 3 2 3 2" xfId="40613" xr:uid="{B35E21D0-1274-4626-9F6D-FD7A7F986F20}"/>
    <cellStyle name="Normal 2 19 2 3 2 4" xfId="19025" xr:uid="{50E0BDF7-BA07-403B-991C-7868091E5257}"/>
    <cellStyle name="Normal 2 19 2 3 3" xfId="14872" xr:uid="{0BB0FD4C-5A32-4666-BC4C-3EFBE567E3D8}"/>
    <cellStyle name="Normal 2 19 2 3 3 2" xfId="44564" xr:uid="{2F3E67A7-4940-4D4C-93F4-24183B6D01DE}"/>
    <cellStyle name="Normal 2 19 2 3 4" xfId="15669" xr:uid="{A1911C34-70C7-4B28-BEF6-9C22D6DB10A8}"/>
    <cellStyle name="Normal 2 19 2 3 4 2" xfId="45290" xr:uid="{502DC76B-B408-4FF8-9B63-CC6009C89928}"/>
    <cellStyle name="Normal 2 19 2 3 5" xfId="18321" xr:uid="{93A8AA36-C055-44C0-977B-4BFDA11052E5}"/>
    <cellStyle name="Normal 2 19 2 4" xfId="9429" xr:uid="{CD03766A-A9D9-42AC-A2DE-2D0B1490BB9E}"/>
    <cellStyle name="Normal 2 19 2 4 2" xfId="16547" xr:uid="{ECA26D14-3455-4EAE-A262-F04F5700B00D}"/>
    <cellStyle name="Normal 2 19 2 4 2 2" xfId="46094" xr:uid="{E3B25EDE-2173-424D-ACC1-5580405AD69F}"/>
    <cellStyle name="Normal 2 19 2 4 3" xfId="11580" xr:uid="{B52F2757-5EB9-4E34-99A3-2A86BB15AC5A}"/>
    <cellStyle name="Normal 2 19 2 4 3 2" xfId="41532" xr:uid="{E42BE098-5584-45B8-855B-0D02C83B003C}"/>
    <cellStyle name="Normal 2 19 2 4 4" xfId="18499" xr:uid="{35BDA89B-7BD3-4FBF-A32E-7FE259FE28C9}"/>
    <cellStyle name="Normal 2 19 2 5" xfId="12562" xr:uid="{BD95801C-0CC6-43CC-BE42-4434E42CA595}"/>
    <cellStyle name="Normal 2 19 2 5 2" xfId="42442" xr:uid="{980AAF89-1D14-4DE6-9DB0-B5E63F0208C7}"/>
    <cellStyle name="Normal 2 19 2 6" xfId="16201" xr:uid="{C4A0306F-12D0-4ACC-9A03-DE4607B2D101}"/>
    <cellStyle name="Normal 2 19 2 6 2" xfId="45769" xr:uid="{3E0B02AF-E7F6-48A3-9A56-D9234D8CD0B3}"/>
    <cellStyle name="Normal 2 19 3" xfId="4838" xr:uid="{AAAA21C4-F0FF-4D99-9432-ADEA1D748E9A}"/>
    <cellStyle name="Normal 2 19 3 2" xfId="7482" xr:uid="{9D728945-976D-45C9-9A80-D7D38FEF5101}"/>
    <cellStyle name="Normal 2 19 3 2 2" xfId="10115" xr:uid="{603741A8-B42E-4098-8AF4-E96ACE7E4B01}"/>
    <cellStyle name="Normal 2 19 3 2 2 2" xfId="16955" xr:uid="{89C06D67-7ACD-4B2A-84DA-04C9B3810E4C}"/>
    <cellStyle name="Normal 2 19 3 2 2 2 2" xfId="46497" xr:uid="{84264768-EEF3-4837-85E1-A4FE28062A2C}"/>
    <cellStyle name="Normal 2 19 3 2 2 3" xfId="16371" xr:uid="{1BB28628-DE75-49EA-933A-F515CCFAB35B}"/>
    <cellStyle name="Normal 2 19 3 2 2 3 2" xfId="45925" xr:uid="{0300DF23-9648-4CCB-83BB-1457ACD2E333}"/>
    <cellStyle name="Normal 2 19 3 2 2 4" xfId="19078" xr:uid="{148416B0-66FA-49D6-B908-372D4955B79E}"/>
    <cellStyle name="Normal 2 19 3 2 3" xfId="15282" xr:uid="{EDF0FAAB-2BEA-4CB3-A7E6-6FE0CD01F1B1}"/>
    <cellStyle name="Normal 2 19 3 2 3 2" xfId="44931" xr:uid="{2864BDC5-0C14-45F5-BB57-2304C3806616}"/>
    <cellStyle name="Normal 2 19 3 2 4" xfId="13239" xr:uid="{6320117C-1C06-4FE0-A016-E7436A858875}"/>
    <cellStyle name="Normal 2 19 3 2 4 2" xfId="43058" xr:uid="{A358FB7F-F006-4FA9-A59B-27C42D0F7279}"/>
    <cellStyle name="Normal 2 19 3 2 5" xfId="18373" xr:uid="{340EFB1F-492C-479B-A5E6-0AC7BC6D1AD4}"/>
    <cellStyle name="Normal 2 19 3 3" xfId="9613" xr:uid="{103EE99F-9DB0-4101-9EF2-ECECCE5E21CF}"/>
    <cellStyle name="Normal 2 19 3 3 2" xfId="16660" xr:uid="{96424F56-CE42-4FA6-8C88-202D04B36431}"/>
    <cellStyle name="Normal 2 19 3 3 2 2" xfId="46207" xr:uid="{64F3BFFE-E5D2-4BBE-B4EB-A90AB73CFB88}"/>
    <cellStyle name="Normal 2 19 3 3 3" xfId="12488" xr:uid="{D3F5A7EB-84AA-450D-99C9-810C582F9150}"/>
    <cellStyle name="Normal 2 19 3 3 3 2" xfId="42378" xr:uid="{3CF3B064-F4A0-4CD8-AA3A-C499F22EB67C}"/>
    <cellStyle name="Normal 2 19 3 3 4" xfId="18678" xr:uid="{FB0C6B60-3ADA-4D85-BEF2-CCC983DFFE25}"/>
    <cellStyle name="Normal 2 19 3 4" xfId="13619" xr:uid="{AA231370-5AFF-4C38-A642-3CCC47836DD6}"/>
    <cellStyle name="Normal 2 19 3 4 2" xfId="43410" xr:uid="{E0B14F47-4376-4020-AADA-C64C32914CE8}"/>
    <cellStyle name="Normal 2 19 3 5" xfId="14807" xr:uid="{9073A5EB-7D3B-452F-8AD8-F4E37DFEDDF9}"/>
    <cellStyle name="Normal 2 19 3 5 2" xfId="44504" xr:uid="{95D91B3C-C6EF-4642-8E83-7FA8620E5FD5}"/>
    <cellStyle name="Normal 2 19 3 6" xfId="17983" xr:uid="{DAE8C081-D03E-49B1-ABCA-20D18DA16537}"/>
    <cellStyle name="Normal 2 19 4" xfId="9023" xr:uid="{36A477EB-7098-4E7E-A38C-10F7684FCDE4}"/>
    <cellStyle name="Normal 2 19 4 2" xfId="9360" xr:uid="{497E9E7C-C13A-4D57-8529-2052BD873D16}"/>
    <cellStyle name="Normal 2 19 4 2 2" xfId="10188" xr:uid="{DE5D61C9-94A5-4B68-9DCE-C88EF8491626}"/>
    <cellStyle name="Normal 2 19 4 2 2 2" xfId="17019" xr:uid="{F584684F-0688-4315-B60D-E348F5DEFFED}"/>
    <cellStyle name="Normal 2 19 4 2 2 2 2" xfId="46561" xr:uid="{D8089F69-AF54-4524-A5BF-E53338C2205A}"/>
    <cellStyle name="Normal 2 19 4 2 2 3" xfId="10635" xr:uid="{55E75256-41AC-4953-A128-483676C4C483}"/>
    <cellStyle name="Normal 2 19 4 2 2 3 2" xfId="40616" xr:uid="{11CBC88A-EDAD-4919-B876-8FBA381F7D46}"/>
    <cellStyle name="Normal 2 19 4 2 2 4" xfId="19151" xr:uid="{A0D49DCD-9BFB-4E7B-AB55-D0B5F6045E87}"/>
    <cellStyle name="Normal 2 19 4 2 3" xfId="16495" xr:uid="{7E74399B-60E6-4201-8788-8DFAACC4B1CA}"/>
    <cellStyle name="Normal 2 19 4 2 3 2" xfId="46043" xr:uid="{8DD28C58-6268-4EDC-B33C-BEC83B8D257B}"/>
    <cellStyle name="Normal 2 19 4 2 4" xfId="12208" xr:uid="{C32CFFBC-FE1F-4641-BD50-8A1E5394D82B}"/>
    <cellStyle name="Normal 2 19 4 2 4 2" xfId="42126" xr:uid="{A186D5DA-D506-4C50-BD39-F473ABDA1215}"/>
    <cellStyle name="Normal 2 19 4 2 5" xfId="18440" xr:uid="{B93C5817-701C-412A-81A0-4E345E9FF570}"/>
    <cellStyle name="Normal 2 19 5" xfId="9501" xr:uid="{880BC80A-3F74-4D92-9F67-05AD1CB31531}"/>
    <cellStyle name="Normal 2 19 5 2" xfId="16592" xr:uid="{F1FB04BB-FBF5-4A89-88C9-56CC13862AF5}"/>
    <cellStyle name="Normal 2 19 5 2 2" xfId="46139" xr:uid="{B30F2002-A8E0-48A4-A178-B65509B9EE3D}"/>
    <cellStyle name="Normal 2 19 5 3" xfId="11439" xr:uid="{B4B072E9-2615-4729-A07A-4BF812D9A016}"/>
    <cellStyle name="Normal 2 19 5 3 2" xfId="41398" xr:uid="{778092DC-A5D4-4B4E-B5D1-AA5534EFEB41}"/>
    <cellStyle name="Normal 2 19 5 4" xfId="18569" xr:uid="{49B1A6D5-DAD1-4820-8587-E39BA9181C09}"/>
    <cellStyle name="Normal 2 19 6" xfId="13045" xr:uid="{EA70568E-AC5A-46C7-AB84-863C8DAD0325}"/>
    <cellStyle name="Normal 2 19 6 2" xfId="42875" xr:uid="{DA92F641-34E3-469E-B880-EBEBAAAD1847}"/>
    <cellStyle name="Normal 2 2" xfId="2240" xr:uid="{3D430E4A-B1EB-4216-928C-0CD43DDF0D9F}"/>
    <cellStyle name="Normal 2 2 2" xfId="10357" xr:uid="{BDCDCD70-5CBE-42CE-8313-75AD2ED4CB0D}"/>
    <cellStyle name="Normal 2 20" xfId="3959" xr:uid="{1087A8EF-62AC-4A23-852C-3298B4434751}"/>
    <cellStyle name="Normal 2 20 2" xfId="3207" xr:uid="{3BC68F5E-4D60-4005-9F48-D5FE6EE1A45E}"/>
    <cellStyle name="Normal 2 20 2 2" xfId="8498" xr:uid="{0BA52F2E-D770-495A-A331-CEF6C98FD939}"/>
    <cellStyle name="Normal 2 20 2 2 2" xfId="9345" xr:uid="{F5A63DBA-BA66-4C96-8F92-E809536CBF85}"/>
    <cellStyle name="Normal 2 20 2 2 2 2" xfId="10173" xr:uid="{AE87BDC9-8041-4C9C-9E68-89E50E7CE263}"/>
    <cellStyle name="Normal 2 20 2 2 2 2 2" xfId="17004" xr:uid="{158BB35F-DBA4-4390-9295-59CEA27482AA}"/>
    <cellStyle name="Normal 2 20 2 2 2 2 2 2" xfId="46546" xr:uid="{0D646E5E-9CC1-4351-B7BB-93615F8788BD}"/>
    <cellStyle name="Normal 2 20 2 2 2 2 3" xfId="10933" xr:uid="{EB75F317-2386-48AC-8F43-41873B5B71CD}"/>
    <cellStyle name="Normal 2 20 2 2 2 2 3 2" xfId="40913" xr:uid="{C92C162B-5A5D-470A-966F-27CD2B28B8BB}"/>
    <cellStyle name="Normal 2 20 2 2 2 2 4" xfId="19136" xr:uid="{17DC5D7A-CFA1-4F12-928E-17334ED886C1}"/>
    <cellStyle name="Normal 2 20 2 2 2 3" xfId="16480" xr:uid="{FF51CC49-E31D-4079-B5ED-53DE63DD8F4A}"/>
    <cellStyle name="Normal 2 20 2 2 2 3 2" xfId="46028" xr:uid="{534F673A-1E6A-4141-ADF1-E38D4466922E}"/>
    <cellStyle name="Normal 2 20 2 2 2 4" xfId="12750" xr:uid="{1A499A3B-2ADE-4947-9FF6-C6A648140A68}"/>
    <cellStyle name="Normal 2 20 2 2 2 4 2" xfId="42607" xr:uid="{08F4250D-BCAE-4D0F-AEA2-6135B67594E5}"/>
    <cellStyle name="Normal 2 20 2 2 2 5" xfId="18425" xr:uid="{4C28B79F-0133-4922-9E1C-81C6A0D3C69E}"/>
    <cellStyle name="Normal 2 20 2 3" xfId="6866" xr:uid="{5890D444-7A3C-4434-A3EC-6B23D4B904B7}"/>
    <cellStyle name="Normal 2 20 2 3 2" xfId="10065" xr:uid="{EAB73EBE-FB3F-4997-8E71-7C6ADEC4757F}"/>
    <cellStyle name="Normal 2 20 2 3 2 2" xfId="16924" xr:uid="{D615A553-CA63-4B9B-AB40-936F844DE1B0}"/>
    <cellStyle name="Normal 2 20 2 3 2 2 2" xfId="46466" xr:uid="{F46ECEC7-6EBA-4385-8109-C36F33F928E8}"/>
    <cellStyle name="Normal 2 20 2 3 2 3" xfId="10761" xr:uid="{4857C89E-E15F-4196-8031-A896599D0B3A}"/>
    <cellStyle name="Normal 2 20 2 3 2 3 2" xfId="40742" xr:uid="{819BE2AD-BC27-4769-846A-DE8B807E864E}"/>
    <cellStyle name="Normal 2 20 2 3 2 4" xfId="19028" xr:uid="{C88A7E28-237C-442B-9ABA-733D720336DC}"/>
    <cellStyle name="Normal 2 20 2 3 3" xfId="14893" xr:uid="{02645528-D746-459C-9198-55C4697B9A76}"/>
    <cellStyle name="Normal 2 20 2 3 3 2" xfId="44584" xr:uid="{C16E0278-28BC-4B94-9E50-412D3D45A950}"/>
    <cellStyle name="Normal 2 20 2 3 4" xfId="11504" xr:uid="{E69A0E0B-278A-454A-8857-0266B6BAF762}"/>
    <cellStyle name="Normal 2 20 2 3 4 2" xfId="41460" xr:uid="{3627F106-9A71-412F-95F1-1C708C6B6D96}"/>
    <cellStyle name="Normal 2 20 2 3 5" xfId="18324" xr:uid="{B07F5A2B-7C62-4812-A983-2A289FD34DC2}"/>
    <cellStyle name="Normal 2 20 2 4" xfId="9432" xr:uid="{58BC3D46-3FEA-4B9D-84DA-AD7DEC5E5AD5}"/>
    <cellStyle name="Normal 2 20 2 4 2" xfId="16550" xr:uid="{F2C564CD-8817-4EE3-BBC5-3D5E45EC0A9E}"/>
    <cellStyle name="Normal 2 20 2 4 2 2" xfId="46097" xr:uid="{3AE25896-CDBD-4D5A-B64E-F66ECC69E3AA}"/>
    <cellStyle name="Normal 2 20 2 4 3" xfId="12870" xr:uid="{42C0093A-01E6-4F0E-B8CD-57794AE3C24C}"/>
    <cellStyle name="Normal 2 20 2 4 3 2" xfId="42719" xr:uid="{5A8880B0-BB03-4CAB-A4D6-8FC490A57F86}"/>
    <cellStyle name="Normal 2 20 2 4 4" xfId="18502" xr:uid="{F23E48FF-AA9D-4A04-95A9-CFA5C04D58A3}"/>
    <cellStyle name="Normal 2 20 2 5" xfId="12588" xr:uid="{9387797A-CF77-4BF8-9C01-C82C8BF58619}"/>
    <cellStyle name="Normal 2 20 2 5 2" xfId="42467" xr:uid="{2537370A-11DB-4E65-A04B-BDD756E8B2E5}"/>
    <cellStyle name="Normal 2 20 2 6" xfId="17551" xr:uid="{09769B82-50BC-4BEE-9832-2D87066F82B0}"/>
    <cellStyle name="Normal 2 20 2 6 2" xfId="47076" xr:uid="{33A95D11-C881-4E83-9CE5-50591F1055EC}"/>
    <cellStyle name="Normal 2 20 3" xfId="4871" xr:uid="{B47ACD84-51B2-4B18-B73D-858729BCF699}"/>
    <cellStyle name="Normal 2 20 3 2" xfId="7539" xr:uid="{C4A29BEB-4E08-4101-85BE-DF921B861173}"/>
    <cellStyle name="Normal 2 20 3 2 2" xfId="10118" xr:uid="{D3BA5B23-358A-497B-B34A-C4F98902251C}"/>
    <cellStyle name="Normal 2 20 3 2 2 2" xfId="16958" xr:uid="{5D52BC55-0B4B-44F4-AE10-E7D6C3CEEA9F}"/>
    <cellStyle name="Normal 2 20 3 2 2 2 2" xfId="46500" xr:uid="{91E412C9-1822-494A-AAB2-4971507D1752}"/>
    <cellStyle name="Normal 2 20 3 2 2 3" xfId="10800" xr:uid="{63D0ED62-1ED9-448D-AFAE-7530D6007FEF}"/>
    <cellStyle name="Normal 2 20 3 2 2 3 2" xfId="40781" xr:uid="{6175D975-A4CB-4140-B88A-F73F98B2BB0D}"/>
    <cellStyle name="Normal 2 20 3 2 2 4" xfId="19081" xr:uid="{27809244-35FD-4E1F-907F-ACAB6C940714}"/>
    <cellStyle name="Normal 2 20 3 2 3" xfId="15314" xr:uid="{B0E98697-480E-4B71-B4EA-DB2FF7E0C423}"/>
    <cellStyle name="Normal 2 20 3 2 3 2" xfId="44960" xr:uid="{F7589A69-082E-43DD-B205-F09E4C784526}"/>
    <cellStyle name="Normal 2 20 3 2 4" xfId="10974" xr:uid="{22DD2CD1-8038-4ED9-A226-497E3FB10A96}"/>
    <cellStyle name="Normal 2 20 3 2 4 2" xfId="40954" xr:uid="{79C7BFD5-4E92-4DD9-890D-DBF23899E812}"/>
    <cellStyle name="Normal 2 20 3 2 5" xfId="18376" xr:uid="{798FD8E2-87A3-45DE-BE23-F6BEE10EA54F}"/>
    <cellStyle name="Normal 2 20 3 3" xfId="9616" xr:uid="{22687A12-B7F0-43EE-8EAF-F35AD6ACFB8A}"/>
    <cellStyle name="Normal 2 20 3 3 2" xfId="16663" xr:uid="{0AE01C3B-2EB7-4DB5-8759-45AF9AA3C275}"/>
    <cellStyle name="Normal 2 20 3 3 2 2" xfId="46210" xr:uid="{324418E0-2BD0-47D5-BC35-1EFA173B8049}"/>
    <cellStyle name="Normal 2 20 3 3 3" xfId="16206" xr:uid="{2BE067F8-2943-4F98-8303-301B007C46BC}"/>
    <cellStyle name="Normal 2 20 3 3 3 2" xfId="45773" xr:uid="{D67DF310-03BB-4308-BA15-D25556BD4124}"/>
    <cellStyle name="Normal 2 20 3 3 4" xfId="18681" xr:uid="{5EF4B964-4E86-42AE-B79A-0D980604FB61}"/>
    <cellStyle name="Normal 2 20 3 4" xfId="13643" xr:uid="{F5F7285A-FE0D-4ED4-A644-2D90B8DDAFF7}"/>
    <cellStyle name="Normal 2 20 3 4 2" xfId="43431" xr:uid="{7380F8DD-7A25-49A8-8942-A439BFE31832}"/>
    <cellStyle name="Normal 2 20 3 5" xfId="10868" xr:uid="{8352561A-6702-407C-8F58-86FDE80EDEAE}"/>
    <cellStyle name="Normal 2 20 3 5 2" xfId="40848" xr:uid="{A23E5CCC-DEF5-4B94-BB9B-97A960A90D28}"/>
    <cellStyle name="Normal 2 20 3 6" xfId="17986" xr:uid="{77A62396-BC84-4841-9C94-7FA2FDD4ECBC}"/>
    <cellStyle name="Normal 2 20 4" xfId="9056" xr:uid="{10F04EFB-38B6-4B14-9A83-4C20CA0ED2A6}"/>
    <cellStyle name="Normal 2 20 4 2" xfId="9363" xr:uid="{FF317C1A-9B3F-4529-8189-F9941E9A8689}"/>
    <cellStyle name="Normal 2 20 4 2 2" xfId="10191" xr:uid="{726FE1AD-EA20-4148-B98D-81857970697B}"/>
    <cellStyle name="Normal 2 20 4 2 2 2" xfId="17022" xr:uid="{B8626AFF-350F-421A-B4CA-8176B6743FCD}"/>
    <cellStyle name="Normal 2 20 4 2 2 2 2" xfId="46564" xr:uid="{0AB3F11D-310A-420B-A0F2-6EFDB6FDFA76}"/>
    <cellStyle name="Normal 2 20 4 2 2 3" xfId="10908" xr:uid="{45A5E8F5-6FFE-451A-AA38-A120F9DB9C9B}"/>
    <cellStyle name="Normal 2 20 4 2 2 3 2" xfId="40888" xr:uid="{86C2CDB7-B4B5-4573-AE38-103C87C46411}"/>
    <cellStyle name="Normal 2 20 4 2 2 4" xfId="19154" xr:uid="{0B87C9E7-32ED-40F4-8A5B-DC21DC5DAE4B}"/>
    <cellStyle name="Normal 2 20 4 2 3" xfId="16498" xr:uid="{0A7B309D-9DDF-4D15-BD47-14DFC9380F02}"/>
    <cellStyle name="Normal 2 20 4 2 3 2" xfId="46046" xr:uid="{3AFE73E7-4CA1-492B-905C-A55BC6B141AE}"/>
    <cellStyle name="Normal 2 20 4 2 4" xfId="12168" xr:uid="{70F0B1C8-300A-4FD3-A4F2-45BBBAF5A036}"/>
    <cellStyle name="Normal 2 20 4 2 4 2" xfId="42088" xr:uid="{35A90440-AD96-4F72-9CF8-D8EB9508E39F}"/>
    <cellStyle name="Normal 2 20 4 2 5" xfId="18443" xr:uid="{0D634527-B9D0-435B-8329-3B9A0469B33C}"/>
    <cellStyle name="Normal 2 20 5" xfId="9504" xr:uid="{43AE5106-7B29-4C01-AEBE-5F91008B2F3D}"/>
    <cellStyle name="Normal 2 20 5 2" xfId="16595" xr:uid="{10CA3812-80D2-4D5D-BFF7-FC5334787F33}"/>
    <cellStyle name="Normal 2 20 5 2 2" xfId="46142" xr:uid="{B6ACD2BD-DA5D-4611-8608-48E5616DDD1C}"/>
    <cellStyle name="Normal 2 20 5 3" xfId="11820" xr:uid="{C9FE465D-2814-44BF-BEEF-A091F3B14307}"/>
    <cellStyle name="Normal 2 20 5 3 2" xfId="41753" xr:uid="{70B6BC43-F51B-4881-92F8-1DB28A758C16}"/>
    <cellStyle name="Normal 2 20 5 4" xfId="18572" xr:uid="{8E042FB3-EA79-4D79-BA11-93A1001B15A1}"/>
    <cellStyle name="Normal 2 20 6" xfId="13069" xr:uid="{DB9AFB3F-A497-428F-8F57-90F2D7240CAD}"/>
    <cellStyle name="Normal 2 20 6 2" xfId="42899" xr:uid="{FFD307B2-CE2E-4FDF-8AF1-736D96AC5D04}"/>
    <cellStyle name="Normal 2 21" xfId="3960" xr:uid="{8C9BD44A-340E-4209-B1F7-63046E4A9E63}"/>
    <cellStyle name="Normal 2 21 2" xfId="4151" xr:uid="{635EB45F-64BE-44BD-B738-EADCFBD84146}"/>
    <cellStyle name="Normal 2 21 2 2" xfId="9203" xr:uid="{D384EC04-1163-4BE9-9761-290A3A228FEB}"/>
    <cellStyle name="Normal 2 21 2 2 2" xfId="9369" xr:uid="{D2DDD993-45A3-4159-BDAE-6690DA8B2738}"/>
    <cellStyle name="Normal 2 21 2 2 2 2" xfId="10197" xr:uid="{E2456272-BE55-477B-A1CE-8F1BCB95605F}"/>
    <cellStyle name="Normal 2 21 2 2 2 2 2" xfId="17028" xr:uid="{48102630-603D-4A6A-918B-22FAAA482963}"/>
    <cellStyle name="Normal 2 21 2 2 2 2 2 2" xfId="46570" xr:uid="{B2976EF1-A932-4440-A822-F1E672063AE4}"/>
    <cellStyle name="Normal 2 21 2 2 2 2 3" xfId="10689" xr:uid="{C6F61A75-5940-4AC4-BBEE-D802C6C577E6}"/>
    <cellStyle name="Normal 2 21 2 2 2 2 3 2" xfId="40670" xr:uid="{D8FA69EA-CC9D-491A-B389-1F91BC3F1780}"/>
    <cellStyle name="Normal 2 21 2 2 2 2 4" xfId="19160" xr:uid="{1FC06BFE-08CA-4977-AFEF-F28AF32A82D4}"/>
    <cellStyle name="Normal 2 21 2 2 2 3" xfId="16504" xr:uid="{2F5DB704-0FD0-42E0-B120-93FBEACC382D}"/>
    <cellStyle name="Normal 2 21 2 2 2 3 2" xfId="46052" xr:uid="{D6359912-7425-4FFB-802F-2F08AC4DE34F}"/>
    <cellStyle name="Normal 2 21 2 2 2 4" xfId="13810" xr:uid="{D7309EE7-1917-4D2A-9BCB-6B7B9CAEB3CE}"/>
    <cellStyle name="Normal 2 21 2 2 2 4 2" xfId="43582" xr:uid="{5BA0AB8C-4873-44B0-AB3F-6EF406B5616F}"/>
    <cellStyle name="Normal 2 21 2 2 2 5" xfId="18449" xr:uid="{7FF3AFC6-AB1B-4E58-A82B-FA33345C0389}"/>
    <cellStyle name="Normal 2 21 2 3" xfId="7715" xr:uid="{55E43777-8853-451F-868D-6CBE2399CBBD}"/>
    <cellStyle name="Normal 2 21 2 3 2" xfId="10143" xr:uid="{601CDF48-A029-4112-8843-DEC34CA108F9}"/>
    <cellStyle name="Normal 2 21 2 3 2 2" xfId="16975" xr:uid="{6C5C7F3B-B63C-46B1-A6BC-E18C56C44321}"/>
    <cellStyle name="Normal 2 21 2 3 2 2 2" xfId="46517" xr:uid="{5E0B3BBE-D6D0-414C-A4A2-C538FF6721C5}"/>
    <cellStyle name="Normal 2 21 2 3 2 3" xfId="10935" xr:uid="{BEFA3AE7-E418-4D7B-B43C-37E3F3C3EAAC}"/>
    <cellStyle name="Normal 2 21 2 3 2 3 2" xfId="40915" xr:uid="{0E5C1C19-E4E2-4191-86C8-18D3BBACFE22}"/>
    <cellStyle name="Normal 2 21 2 3 2 4" xfId="19106" xr:uid="{9EB04F06-F21E-4DC4-B977-D9524F237F92}"/>
    <cellStyle name="Normal 2 21 2 3 3" xfId="15426" xr:uid="{6C85A97F-8F01-4E26-9252-50293D9A6EE9}"/>
    <cellStyle name="Normal 2 21 2 3 3 2" xfId="45068" xr:uid="{5D3747AA-5D2A-485B-8A2D-87AE866A0B6A}"/>
    <cellStyle name="Normal 2 21 2 3 4" xfId="12278" xr:uid="{0BB71FEA-FCE8-443C-845D-EB625D23F549}"/>
    <cellStyle name="Normal 2 21 2 3 4 2" xfId="42190" xr:uid="{F8DD1AF7-B177-40ED-9C25-CA2ECB15252D}"/>
    <cellStyle name="Normal 2 21 2 3 5" xfId="18401" xr:uid="{800197DE-E1C3-4BC4-B964-FD478E5E2720}"/>
    <cellStyle name="Normal 2 21 2 4" xfId="9530" xr:uid="{84987A40-E202-47E2-BFA6-C797BD97F465}"/>
    <cellStyle name="Normal 2 21 2 4 2" xfId="16611" xr:uid="{899ECBA2-6005-4612-9DE3-B4440B927E22}"/>
    <cellStyle name="Normal 2 21 2 4 2 2" xfId="46158" xr:uid="{0D9B65EB-576C-4D7B-B321-5DF348F20EBA}"/>
    <cellStyle name="Normal 2 21 2 4 3" xfId="17204" xr:uid="{8F335FA7-EF48-4AF7-A0EE-27CD10BAF089}"/>
    <cellStyle name="Normal 2 21 2 4 3 2" xfId="46739" xr:uid="{510D3327-1C92-449A-B4DB-A719BC9317C7}"/>
    <cellStyle name="Normal 2 21 2 4 4" xfId="18598" xr:uid="{E3CD165B-2806-44FC-B57F-E7D988B43CBA}"/>
    <cellStyle name="Normal 2 21 2 5" xfId="13190" xr:uid="{2319A035-26E2-44A1-87BF-2FE31197111E}"/>
    <cellStyle name="Normal 2 21 2 5 2" xfId="43012" xr:uid="{E8AAC1C2-241F-4390-9A23-850B6A7F4782}"/>
    <cellStyle name="Normal 2 21 2 6" xfId="16245" xr:uid="{3D7C8A7C-2F13-4DF8-A5FC-AE46D29B6CBB}"/>
    <cellStyle name="Normal 2 21 2 6 2" xfId="45809" xr:uid="{984AD401-86C1-4B87-BEFB-72838B8E5674}"/>
    <cellStyle name="Normal 2 21 3" xfId="4872" xr:uid="{C7EED5D3-D0D7-480A-A8EF-48764CCBB3AF}"/>
    <cellStyle name="Normal 2 21 3 2" xfId="7540" xr:uid="{8200F5CE-53E9-422C-898D-560CE3E7559B}"/>
    <cellStyle name="Normal 2 21 3 2 2" xfId="10119" xr:uid="{3FD48B6A-FB9E-429D-B165-960E736A803F}"/>
    <cellStyle name="Normal 2 21 3 2 2 2" xfId="16959" xr:uid="{A8367930-5C77-4705-933F-31EF747A71CA}"/>
    <cellStyle name="Normal 2 21 3 2 2 2 2" xfId="46501" xr:uid="{CE6CAF44-701E-4846-829F-654C7D4D5AE9}"/>
    <cellStyle name="Normal 2 21 3 2 2 3" xfId="15030" xr:uid="{FE17CA3A-7E14-40DC-9A99-A57E9514BA6E}"/>
    <cellStyle name="Normal 2 21 3 2 2 3 2" xfId="44705" xr:uid="{C61CE3EC-FEA8-4204-9C86-3DEB867E70DA}"/>
    <cellStyle name="Normal 2 21 3 2 2 4" xfId="19082" xr:uid="{5C11E7F6-C0FF-4FEE-9B25-179A913716FD}"/>
    <cellStyle name="Normal 2 21 3 2 3" xfId="15315" xr:uid="{7C5BB512-B84A-4598-86BE-AB41C1129604}"/>
    <cellStyle name="Normal 2 21 3 2 3 2" xfId="44961" xr:uid="{50ED4261-9D23-4175-98CE-BE52F1C892B1}"/>
    <cellStyle name="Normal 2 21 3 2 4" xfId="14937" xr:uid="{F46FA85E-12E1-4429-9E1A-8D5CAD52388C}"/>
    <cellStyle name="Normal 2 21 3 2 4 2" xfId="44624" xr:uid="{1F348D71-7518-4F89-B053-47147D399329}"/>
    <cellStyle name="Normal 2 21 3 2 5" xfId="18377" xr:uid="{3CF47F41-97C2-4F83-899B-0E58F6F1ED43}"/>
    <cellStyle name="Normal 2 21 3 3" xfId="9617" xr:uid="{C95966EA-2AB1-4111-A5D6-DC38F753411B}"/>
    <cellStyle name="Normal 2 21 3 3 2" xfId="16664" xr:uid="{7D7AA25D-451E-48A9-846D-F8683B7D43D1}"/>
    <cellStyle name="Normal 2 21 3 3 2 2" xfId="46211" xr:uid="{051A839E-74AE-4AD5-BBC7-B2CAE5497380}"/>
    <cellStyle name="Normal 2 21 3 3 3" xfId="14201" xr:uid="{47DC5E8C-DE30-4D32-B93C-9D7A04141E14}"/>
    <cellStyle name="Normal 2 21 3 3 3 2" xfId="43938" xr:uid="{DD9D028E-D9C6-4AA4-93F4-B8527511351F}"/>
    <cellStyle name="Normal 2 21 3 3 4" xfId="18682" xr:uid="{EC83A3EE-8048-4BA7-AD5A-851EBAFFD6AC}"/>
    <cellStyle name="Normal 2 21 3 4" xfId="13644" xr:uid="{83BC868E-321B-47AF-A977-84F54467F8A4}"/>
    <cellStyle name="Normal 2 21 3 4 2" xfId="43432" xr:uid="{C7F85B13-F72B-4077-87C5-E4C3800999A3}"/>
    <cellStyle name="Normal 2 21 3 5" xfId="12462" xr:uid="{05DD63CD-18BD-4AAF-A3E0-392C12C93CD1}"/>
    <cellStyle name="Normal 2 21 3 5 2" xfId="42356" xr:uid="{15C22EAE-0456-40EB-943B-77E4870B4FCB}"/>
    <cellStyle name="Normal 2 21 3 6" xfId="17987" xr:uid="{2ED1DDF2-F53E-4CD1-9CBA-6BF6A6895E33}"/>
    <cellStyle name="Normal 2 21 4" xfId="5244" xr:uid="{94DFDC84-466D-49B6-AD36-F229B219BE29}"/>
    <cellStyle name="Normal 2 21 5" xfId="9505" xr:uid="{0F065618-0B09-43F3-9235-55FE8E28F69C}"/>
    <cellStyle name="Normal 2 21 5 2" xfId="16596" xr:uid="{27963C7F-BDFA-44A2-BF5D-4ED5464683E2}"/>
    <cellStyle name="Normal 2 21 5 2 2" xfId="46143" xr:uid="{816441FD-505C-476D-82F8-B251E73F0F02}"/>
    <cellStyle name="Normal 2 21 5 3" xfId="15639" xr:uid="{9AA13EA6-799C-43A3-8510-E47FFD736C47}"/>
    <cellStyle name="Normal 2 21 5 3 2" xfId="45263" xr:uid="{D60866CB-DAA3-4394-8B5A-8C3CA66C416D}"/>
    <cellStyle name="Normal 2 21 5 4" xfId="18573" xr:uid="{B37CFE00-BD8B-4A6B-A203-0EB4637E5481}"/>
    <cellStyle name="Normal 2 21 6" xfId="13070" xr:uid="{D36B9C42-E96F-4526-8BD4-674618F45F97}"/>
    <cellStyle name="Normal 2 21 6 2" xfId="42900" xr:uid="{16CA595C-6B60-4D06-A828-33F86FC860A1}"/>
    <cellStyle name="Normal 2 22" xfId="3100" xr:uid="{E4292A6E-D35D-4B55-8507-DBAF1D216EFE}"/>
    <cellStyle name="Normal 2 22 2" xfId="8392" xr:uid="{AC86A056-6F96-4300-869F-FEB05DB08E58}"/>
    <cellStyle name="Normal 2 22 2 2" xfId="9342" xr:uid="{11F00450-D413-4494-897A-AD471AF64191}"/>
    <cellStyle name="Normal 2 22 2 2 2" xfId="10170" xr:uid="{ABD20BC6-A79A-4F9D-AA51-CCB46770198F}"/>
    <cellStyle name="Normal 2 22 2 2 2 2" xfId="17001" xr:uid="{9FE079C9-5AEC-4242-BEB3-6A8B6B0B3407}"/>
    <cellStyle name="Normal 2 22 2 2 2 2 2" xfId="46543" xr:uid="{7EBCAD49-48D3-4CAE-8D55-D5DA22F86572}"/>
    <cellStyle name="Normal 2 22 2 2 2 3" xfId="14187" xr:uid="{B200DF6E-D388-442D-9729-2C501FE90A03}"/>
    <cellStyle name="Normal 2 22 2 2 2 3 2" xfId="43924" xr:uid="{B5FFA56F-D5E6-47E0-B94F-01C3A8A82B0E}"/>
    <cellStyle name="Normal 2 22 2 2 2 4" xfId="19133" xr:uid="{6677CEB7-F6EF-4CBA-90F2-8CEB7B9EA550}"/>
    <cellStyle name="Normal 2 22 2 2 3" xfId="16477" xr:uid="{8B40DE99-0575-4168-8CF4-D9124C67953D}"/>
    <cellStyle name="Normal 2 22 2 2 3 2" xfId="46025" xr:uid="{0DC3C388-0E2A-44B9-98FE-E987460236D6}"/>
    <cellStyle name="Normal 2 22 2 2 4" xfId="14800" xr:uid="{57592540-7F3D-459E-85A5-BAEA02A11DD5}"/>
    <cellStyle name="Normal 2 22 2 2 4 2" xfId="44497" xr:uid="{474A17C6-DD04-414C-A385-96C9CE2F50FC}"/>
    <cellStyle name="Normal 2 22 2 2 5" xfId="18422" xr:uid="{D82419CF-95E7-4B8E-A038-A9F29F5E313C}"/>
    <cellStyle name="Normal 2 22 3" xfId="6759" xr:uid="{4023A3E3-3C26-4010-A8F1-1A9EDF59B448}"/>
    <cellStyle name="Normal 2 22 3 2" xfId="10061" xr:uid="{81F61829-BB98-4C49-B04C-CCB5D0CA538E}"/>
    <cellStyle name="Normal 2 22 3 2 2" xfId="16920" xr:uid="{F74A9CBE-A059-412F-AC9F-57538CB92CE8}"/>
    <cellStyle name="Normal 2 22 3 2 2 2" xfId="46462" xr:uid="{66F6EA74-0E6D-4063-BBD8-50EBCF3C1357}"/>
    <cellStyle name="Normal 2 22 3 2 3" xfId="13848" xr:uid="{BCC7A953-FE5C-4C7A-9B68-591C4190C737}"/>
    <cellStyle name="Normal 2 22 3 2 3 2" xfId="43620" xr:uid="{B97BBF58-E158-40DA-8697-CEAA6585CBF6}"/>
    <cellStyle name="Normal 2 22 3 2 4" xfId="19024" xr:uid="{1D51DF79-5C2D-4C58-BA1A-9163D553D190}"/>
    <cellStyle name="Normal 2 22 3 3" xfId="14829" xr:uid="{C282A000-3DBB-4884-86E5-AE0E98A5A6C3}"/>
    <cellStyle name="Normal 2 22 3 3 2" xfId="44525" xr:uid="{0490A026-F0C2-4CA5-B889-118B87B139BD}"/>
    <cellStyle name="Normal 2 22 3 4" xfId="14939" xr:uid="{3C576D50-493F-492F-994A-35DC57D3A061}"/>
    <cellStyle name="Normal 2 22 3 4 2" xfId="44626" xr:uid="{62299ABD-A0DB-4F27-B054-78E0524FE498}"/>
    <cellStyle name="Normal 2 22 3 5" xfId="18320" xr:uid="{3B0D4078-2624-4342-918A-54F480E31969}"/>
    <cellStyle name="Normal 2 22 4" xfId="9428" xr:uid="{9E925465-41B2-4A96-93F9-9ED1A764468A}"/>
    <cellStyle name="Normal 2 22 4 2" xfId="16546" xr:uid="{7F7A7D0E-EE2D-4742-B635-AF4B70E5AE07}"/>
    <cellStyle name="Normal 2 22 4 2 2" xfId="46093" xr:uid="{899A555D-D37C-4951-8DE2-41BFF05570C3}"/>
    <cellStyle name="Normal 2 22 4 3" xfId="13511" xr:uid="{BA332F55-AC5A-4D8C-ADAD-4DA87371FBB3}"/>
    <cellStyle name="Normal 2 22 4 3 2" xfId="43308" xr:uid="{1B9F0FA6-0649-4B39-A6E9-C5D70716DF16}"/>
    <cellStyle name="Normal 2 22 4 4" xfId="18498" xr:uid="{18B1EBFF-205B-4206-A1FD-4153D4FD4E79}"/>
    <cellStyle name="Normal 2 22 5" xfId="12519" xr:uid="{E7E39339-EA6C-4F53-B341-06869671BA92}"/>
    <cellStyle name="Normal 2 22 5 2" xfId="42405" xr:uid="{6CF2452F-9B75-41D9-ABE4-498D385983AD}"/>
    <cellStyle name="Normal 2 23" xfId="2535" xr:uid="{EC6F0370-274B-45D0-943C-A20E12FE4490}"/>
    <cellStyle name="Normal 2 23 2" xfId="6129" xr:uid="{B594AC20-4074-411B-AC9D-2C20F4D26DBF}"/>
    <cellStyle name="Normal 2 23 2 2" xfId="9323" xr:uid="{9C893F30-DDBC-41F9-93F7-0925A66D965D}"/>
    <cellStyle name="Normal 2 23 2 2 2" xfId="10152" xr:uid="{F734D01A-1130-46F6-8D19-AB5D12845B17}"/>
    <cellStyle name="Normal 2 23 2 2 2 2" xfId="16983" xr:uid="{2645AE4D-A7FB-401A-9411-E38A777E07C4}"/>
    <cellStyle name="Normal 2 23 2 2 2 2 2" xfId="46525" xr:uid="{86F16F20-3535-411D-A231-38ECEB50A16F}"/>
    <cellStyle name="Normal 2 23 2 2 2 3" xfId="10986" xr:uid="{4356901E-67A0-4873-8779-57815183C29C}"/>
    <cellStyle name="Normal 2 23 2 2 2 3 2" xfId="40966" xr:uid="{612742AF-0FE5-4400-9D19-66A1DFBF8CF0}"/>
    <cellStyle name="Normal 2 23 2 2 2 4" xfId="19115" xr:uid="{BB4A47BD-A2FD-4A5C-B027-F6139CAA1A4E}"/>
    <cellStyle name="Normal 2 23 2 2 3" xfId="16459" xr:uid="{41A968F4-BFC2-40BD-8540-C9D236403786}"/>
    <cellStyle name="Normal 2 23 2 2 3 2" xfId="46007" xr:uid="{A537F31A-2C82-41B9-AAB6-70BD9ED458DD}"/>
    <cellStyle name="Normal 2 23 2 2 4" xfId="11432" xr:uid="{2213D4B5-0782-4C1D-A0E1-FDA71B211300}"/>
    <cellStyle name="Normal 2 23 2 2 4 2" xfId="41391" xr:uid="{CACE2341-52D5-4B38-8771-2F35D2CEEED4}"/>
    <cellStyle name="Normal 2 23 2 2 5" xfId="18404" xr:uid="{097EC7D3-C93F-43D4-B68F-7F2B04A1249A}"/>
    <cellStyle name="Normal 2 23 3" xfId="6200" xr:uid="{54303450-CCB9-4E91-AA22-E0E784C41482}"/>
    <cellStyle name="Normal 2 23 3 2" xfId="10042" xr:uid="{35ECE773-CA53-45C0-A278-DFCD28FCA3EF}"/>
    <cellStyle name="Normal 2 23 3 2 2" xfId="16902" xr:uid="{D70800DC-EF4D-4F76-99D5-425AD3597FD0}"/>
    <cellStyle name="Normal 2 23 3 2 2 2" xfId="46444" xr:uid="{2F4DBFE1-FBB6-4FC8-ADE8-D950BA3D06C6}"/>
    <cellStyle name="Normal 2 23 3 2 3" xfId="10682" xr:uid="{988FD50A-56A9-4B6A-B8ED-B93FD69AC7B1}"/>
    <cellStyle name="Normal 2 23 3 2 3 2" xfId="40663" xr:uid="{584CE448-5CDC-4C47-855A-FB095D84F2A1}"/>
    <cellStyle name="Normal 2 23 3 2 4" xfId="19006" xr:uid="{E0AECD84-07DE-433F-8CF4-E9C04C486B6D}"/>
    <cellStyle name="Normal 2 23 3 3" xfId="14460" xr:uid="{C084C853-77B7-461E-A7EC-7B3942E05F60}"/>
    <cellStyle name="Normal 2 23 3 3 2" xfId="44189" xr:uid="{72D9E8D8-DC5C-4532-AF7C-46F317A2353D}"/>
    <cellStyle name="Normal 2 23 3 4" xfId="11401" xr:uid="{2E7949D7-2284-4714-8DE1-EBD150F40A8A}"/>
    <cellStyle name="Normal 2 23 3 4 2" xfId="41363" xr:uid="{C897405F-70DE-442B-AE09-1C51DA4349AD}"/>
    <cellStyle name="Normal 2 23 3 5" xfId="18302" xr:uid="{299EC6BB-A997-41BA-8D05-796EB7B4D89C}"/>
    <cellStyle name="Normal 2 23 4" xfId="9410" xr:uid="{13C2B0D3-9359-4FE0-893E-1A57C411D282}"/>
    <cellStyle name="Normal 2 23 4 2" xfId="16528" xr:uid="{B01F4C5E-F139-456D-84DD-1546F829CD27}"/>
    <cellStyle name="Normal 2 23 4 2 2" xfId="46075" xr:uid="{F84694E5-F61E-44FF-8A94-C4994DFB8FD4}"/>
    <cellStyle name="Normal 2 23 4 3" xfId="13318" xr:uid="{59DB3AC3-1324-4873-B70B-5A5071246B3C}"/>
    <cellStyle name="Normal 2 23 4 3 2" xfId="43133" xr:uid="{80E47869-C7DF-4952-9EDF-B9E6A9308B3A}"/>
    <cellStyle name="Normal 2 23 4 4" xfId="18480" xr:uid="{546A3BA0-0DD8-49ED-8480-172F2C858833}"/>
    <cellStyle name="Normal 2 23 5" xfId="12158" xr:uid="{1811EF97-71B7-4284-A397-595EA57DD0F2}"/>
    <cellStyle name="Normal 2 23 5 2" xfId="42078" xr:uid="{EAB39B75-B87D-484C-BEB9-73CEECD79805}"/>
    <cellStyle name="Normal 2 23 6" xfId="12937" xr:uid="{A166EC5B-39BD-467B-B88D-090DB625A733}"/>
    <cellStyle name="Normal 2 23 6 2" xfId="42776" xr:uid="{4374C57A-C4DB-4F9F-A1AF-A07114642BF0}"/>
    <cellStyle name="Normal 2 24" xfId="2543" xr:uid="{2865F1C2-3C41-41F0-8C00-88248D9CE735}"/>
    <cellStyle name="Normal 2 24 2" xfId="7841" xr:uid="{421C0793-1695-4FC6-9C71-ACBABD0D3B8E}"/>
    <cellStyle name="Normal 2 24 2 2" xfId="9325" xr:uid="{60866976-3E27-4C3E-B853-AD859546EF9B}"/>
    <cellStyle name="Normal 2 24 2 2 2" xfId="10153" xr:uid="{A28CB0F2-1DD1-4D3F-B429-3ACA52633E66}"/>
    <cellStyle name="Normal 2 24 2 2 2 2" xfId="16984" xr:uid="{940E6BFF-0598-4E6D-AB2A-7E407B6F3A50}"/>
    <cellStyle name="Normal 2 24 2 2 2 2 2" xfId="46526" xr:uid="{0FB357C2-181A-418D-A43A-74A8A3DBEA69}"/>
    <cellStyle name="Normal 2 24 2 2 2 3" xfId="17447" xr:uid="{8C1550E5-964D-4E73-B388-5540832ED616}"/>
    <cellStyle name="Normal 2 24 2 2 2 3 2" xfId="46977" xr:uid="{865DA0CB-B356-41BF-A955-3B27FF71D953}"/>
    <cellStyle name="Normal 2 24 2 2 2 4" xfId="19116" xr:uid="{3416EE4C-23A7-4F0B-B14F-AAA8AAA33416}"/>
    <cellStyle name="Normal 2 24 2 2 3" xfId="16460" xr:uid="{BD71E420-B0AC-478E-A6CC-5B89DE8F2FFF}"/>
    <cellStyle name="Normal 2 24 2 2 3 2" xfId="46008" xr:uid="{D599FA53-E8C6-4238-9EE0-9952E9DBFFCE}"/>
    <cellStyle name="Normal 2 24 2 2 4" xfId="14202" xr:uid="{08383483-3E05-4BD6-A60B-E27B28C1AE51}"/>
    <cellStyle name="Normal 2 24 2 2 4 2" xfId="43939" xr:uid="{E4981D73-2D12-44D9-A1EB-8F29A9A4194F}"/>
    <cellStyle name="Normal 2 24 2 2 5" xfId="18405" xr:uid="{E6A6EFBF-AA0A-4118-B373-E1F82294CDB0}"/>
    <cellStyle name="Normal 2 24 3" xfId="6208" xr:uid="{720950EC-6AB7-4550-9787-4F879C7B15A5}"/>
    <cellStyle name="Normal 2 24 3 2" xfId="10043" xr:uid="{7C269ADE-DA5E-43F1-9BFA-788A5938A506}"/>
    <cellStyle name="Normal 2 24 3 2 2" xfId="16903" xr:uid="{A5D7E45C-64D9-45C8-948F-0DE6DBD46DB4}"/>
    <cellStyle name="Normal 2 24 3 2 2 2" xfId="46445" xr:uid="{C3FFBA59-5A47-4430-9B0E-A7956FEF6416}"/>
    <cellStyle name="Normal 2 24 3 2 3" xfId="11031" xr:uid="{38DDE312-8A7B-4B33-9860-115B9D2E6BD9}"/>
    <cellStyle name="Normal 2 24 3 2 3 2" xfId="41011" xr:uid="{69720A72-269F-4D8C-94CC-B2686B0757AB}"/>
    <cellStyle name="Normal 2 24 3 2 4" xfId="19007" xr:uid="{43B663A4-AE00-4C58-96AC-0475D3A0D76F}"/>
    <cellStyle name="Normal 2 24 3 3" xfId="14465" xr:uid="{DBD039C0-51C6-441B-B125-470784DEC497}"/>
    <cellStyle name="Normal 2 24 3 3 2" xfId="44194" xr:uid="{A27471A8-6366-4B26-BDDA-6B178A54748C}"/>
    <cellStyle name="Normal 2 24 3 4" xfId="13429" xr:uid="{A98BD07D-D1FC-40C1-AA9C-12227F425F88}"/>
    <cellStyle name="Normal 2 24 3 4 2" xfId="43232" xr:uid="{B682A315-F060-4979-A07E-3013D8117421}"/>
    <cellStyle name="Normal 2 24 3 5" xfId="18303" xr:uid="{866AEA85-2F48-4C38-ADB4-EEF4DE958AC2}"/>
    <cellStyle name="Normal 2 24 4" xfId="9411" xr:uid="{903FA8C5-1055-4295-A243-41D7E5AF8B07}"/>
    <cellStyle name="Normal 2 24 4 2" xfId="16529" xr:uid="{F2B8C890-B985-466B-8649-CAE2B02E29F4}"/>
    <cellStyle name="Normal 2 24 4 2 2" xfId="46076" xr:uid="{AFA58C62-C4FA-4142-AF45-BC5742D906F7}"/>
    <cellStyle name="Normal 2 24 4 3" xfId="16178" xr:uid="{2338176B-AE68-4DBC-AAE8-E64B52C0D128}"/>
    <cellStyle name="Normal 2 24 4 3 2" xfId="45748" xr:uid="{6A681E30-0938-485C-9AA0-F0C9521EC807}"/>
    <cellStyle name="Normal 2 24 4 4" xfId="18481" xr:uid="{72ADF565-DD5A-4582-A0DF-358B25244AC5}"/>
    <cellStyle name="Normal 2 24 5" xfId="12165" xr:uid="{E993D889-C1C6-40A6-918E-2C9241CA8577}"/>
    <cellStyle name="Normal 2 24 5 2" xfId="42085" xr:uid="{62DF709C-96C9-4A7F-A06A-218A13AC3F97}"/>
    <cellStyle name="Normal 2 24 6" xfId="15024" xr:uid="{35D4F5BB-439E-4A52-847B-9BAAE5BAE912}"/>
    <cellStyle name="Normal 2 24 6 2" xfId="44699" xr:uid="{6450F5DC-D712-4511-9CF3-9289B973D4BD}"/>
    <cellStyle name="Normal 2 25" xfId="4212" xr:uid="{5D7811A7-9F52-4674-AD47-ACAF491C1B98}"/>
    <cellStyle name="Normal 2 25 2" xfId="9264" xr:uid="{ED3CA408-3E33-41DA-8814-7B096B3CF996}"/>
    <cellStyle name="Normal 2 25 2 2" xfId="9371" xr:uid="{009A4E3D-2A65-42DA-AE50-197B35232B40}"/>
    <cellStyle name="Normal 2 25 2 2 2" xfId="10199" xr:uid="{1C63E9AD-CA5B-4DB5-8498-AC50DA89F63C}"/>
    <cellStyle name="Normal 2 25 2 2 2 2" xfId="17030" xr:uid="{F9512B6A-89E2-4DC0-8B73-8DAB8F5D491B}"/>
    <cellStyle name="Normal 2 25 2 2 2 2 2" xfId="46572" xr:uid="{0E7FD7E0-5CDE-4F53-9EE3-E525BA996FF5}"/>
    <cellStyle name="Normal 2 25 2 2 2 3" xfId="14783" xr:uid="{271FBF83-ACFA-4E93-8D1F-E78B4E45884A}"/>
    <cellStyle name="Normal 2 25 2 2 2 3 2" xfId="44481" xr:uid="{A44663AA-3D58-497F-B01A-3E7D34901D4C}"/>
    <cellStyle name="Normal 2 25 2 2 2 4" xfId="19162" xr:uid="{58CF6D19-28E8-4734-AFDC-3CA91FA0A48D}"/>
    <cellStyle name="Normal 2 25 2 2 3" xfId="16506" xr:uid="{041BDBC5-05E1-4991-BACB-C406596DE5D5}"/>
    <cellStyle name="Normal 2 25 2 2 3 2" xfId="46054" xr:uid="{530664D5-8A07-4678-B537-2D823D368EC5}"/>
    <cellStyle name="Normal 2 25 2 2 4" xfId="13238" xr:uid="{6C439526-4D9D-4E20-ADA8-BAB529411F55}"/>
    <cellStyle name="Normal 2 25 2 2 4 2" xfId="43057" xr:uid="{5B76CAB2-6883-41ED-8205-7684809F793E}"/>
    <cellStyle name="Normal 2 25 2 2 5" xfId="18451" xr:uid="{1D188739-C810-4630-8A0D-D6703B5DC67C}"/>
    <cellStyle name="Normal 2 25 3" xfId="7776" xr:uid="{41083C7C-87C8-496D-A7DF-5C4DF9F1BB76}"/>
    <cellStyle name="Normal 2 25 3 2" xfId="10145" xr:uid="{27466BDB-EBFE-4444-BD7A-1C9E7AF37811}"/>
    <cellStyle name="Normal 2 25 3 2 2" xfId="16977" xr:uid="{20F4D90A-6DBD-4627-9326-361D24C6BBDF}"/>
    <cellStyle name="Normal 2 25 3 2 2 2" xfId="46519" xr:uid="{C4F713CE-7A18-42C2-A3BF-2264C06ABE58}"/>
    <cellStyle name="Normal 2 25 3 2 3" xfId="10831" xr:uid="{25DC1F02-4BBA-4AF7-9470-13AF00B7B0EC}"/>
    <cellStyle name="Normal 2 25 3 2 3 2" xfId="40812" xr:uid="{67878D11-66D1-431A-8DC2-0F24C0DC51C4}"/>
    <cellStyle name="Normal 2 25 3 2 4" xfId="19108" xr:uid="{8CBF871F-342E-4F38-B536-EA1443164AF9}"/>
    <cellStyle name="Normal 2 25 3 3" xfId="15466" xr:uid="{12D4E594-21FE-4588-9DD4-8AA751A55B56}"/>
    <cellStyle name="Normal 2 25 3 3 2" xfId="45105" xr:uid="{17E31ECE-69CF-4B46-BB4D-F2607ED490AE}"/>
    <cellStyle name="Normal 2 25 3 4" xfId="11616" xr:uid="{8B8C8069-40C7-436B-8047-6EC1D9E3A72B}"/>
    <cellStyle name="Normal 2 25 3 4 2" xfId="41565" xr:uid="{0AC01F04-389E-4A0D-BCA3-4FEDD2190D67}"/>
    <cellStyle name="Normal 2 25 3 5" xfId="18403" xr:uid="{8BA3FE73-5E1A-4B19-A4BF-93F718673DB9}"/>
    <cellStyle name="Normal 2 25 4" xfId="9532" xr:uid="{CAB06B99-646A-4846-BEF4-AA0293FAE3EB}"/>
    <cellStyle name="Normal 2 25 4 2" xfId="16613" xr:uid="{FD240054-E115-4AFC-B44E-C1EECF8F770C}"/>
    <cellStyle name="Normal 2 25 4 2 2" xfId="46160" xr:uid="{909BDE07-6D88-4B45-9BA8-13DCBAD5CDAE}"/>
    <cellStyle name="Normal 2 25 4 3" xfId="16897" xr:uid="{DCCEEBAB-E770-48AD-A025-92FBAE279E3A}"/>
    <cellStyle name="Normal 2 25 4 3 2" xfId="46439" xr:uid="{45D5F3C6-7070-4EAD-941F-DB7E79CAE60D}"/>
    <cellStyle name="Normal 2 25 4 4" xfId="18600" xr:uid="{99A839E9-30DB-40FE-B14E-E717F75CE6E8}"/>
    <cellStyle name="Normal 2 25 5" xfId="13229" xr:uid="{9BE59606-95B8-42A7-9D33-D9A17199F3C6}"/>
    <cellStyle name="Normal 2 25 5 2" xfId="43048" xr:uid="{475595FD-0EE8-4059-905C-096311E64B23}"/>
    <cellStyle name="Normal 2 25 6" xfId="12802" xr:uid="{3A743E98-29A3-44B4-A9CA-DA4C494B44F4}"/>
    <cellStyle name="Normal 2 25 6 2" xfId="42657" xr:uid="{B667992D-AA1B-49CC-8312-E934D25BEAF8}"/>
    <cellStyle name="Normal 2 26" xfId="9382" xr:uid="{BEF50C3A-5ED0-44AF-8022-47D27D358E2E}"/>
    <cellStyle name="Normal 2 26 2" xfId="16512" xr:uid="{7CC1015E-9ED0-4643-AD75-5B895923E408}"/>
    <cellStyle name="Normal 2 26 2 2" xfId="46060" xr:uid="{DF89FBA6-2F84-4D04-BDE3-9331FC9E197B}"/>
    <cellStyle name="Normal 2 26 3" xfId="16064" xr:uid="{DA316B08-D2A1-4273-A4C7-595440C9A135}"/>
    <cellStyle name="Normal 2 26 3 2" xfId="45644" xr:uid="{B5623595-BB8E-4CA4-A3C1-7DEB26558434}"/>
    <cellStyle name="Normal 2 26 4" xfId="18455" xr:uid="{7A40F266-F8B9-4D95-A9E0-C0E84100F00D}"/>
    <cellStyle name="Normal 2 27" xfId="10355" xr:uid="{FECF95EA-A6FE-4F66-9863-F82FDFCE0B14}"/>
    <cellStyle name="Normal 2 27 2" xfId="17118" xr:uid="{8514D091-8917-4DED-A5B2-7A59AC79EB4F}"/>
    <cellStyle name="Normal 2 27 2 2" xfId="46654" xr:uid="{33D958CA-75C2-446A-8DA3-40F89B030392}"/>
    <cellStyle name="Normal 2 27 3" xfId="17587" xr:uid="{25389D6D-8507-4929-A87C-3A6D80E99ED5}"/>
    <cellStyle name="Normal 2 27 3 2" xfId="47112" xr:uid="{95CE2D85-8F11-410A-BD6F-9DA18FE9F94D}"/>
    <cellStyle name="Normal 2 27 4" xfId="19163" xr:uid="{54F37D3A-9CF3-4654-BE99-E088E8453552}"/>
    <cellStyle name="Normal 2 28" xfId="10554" xr:uid="{9F504F77-CE04-456E-BEFD-AA3ADCE37194}"/>
    <cellStyle name="Normal 2 28 2" xfId="17222" xr:uid="{1064F120-E6C0-4A85-84D1-81F763DFD8C7}"/>
    <cellStyle name="Normal 2 28 2 2" xfId="46756" xr:uid="{029FE22F-5816-4BC8-8270-A0928F2A71E0}"/>
    <cellStyle name="Normal 2 28 3" xfId="17599" xr:uid="{5581BD89-2F33-4AA9-84C8-234A3B3B5F62}"/>
    <cellStyle name="Normal 2 28 3 2" xfId="47124" xr:uid="{75D69FEB-8A35-4001-8F0F-B0AD6790F515}"/>
    <cellStyle name="Normal 2 28 4" xfId="19169" xr:uid="{3065F305-4B11-4450-990A-B206926B5A77}"/>
    <cellStyle name="Normal 2 29" xfId="17642" xr:uid="{AD38822E-48DE-44A0-81D1-E674FCABD524}"/>
    <cellStyle name="Normal 2 3" xfId="2241" xr:uid="{9717DA00-30E9-4799-8295-AD2B66028C9A}"/>
    <cellStyle name="Normal 2 3 2" xfId="10358" xr:uid="{ADB85E6A-5B7D-4E1E-8A22-9C96E44BC9F3}"/>
    <cellStyle name="Normal 2 4" xfId="3360" xr:uid="{A33A0A81-6260-4584-A285-F12C1D804092}"/>
    <cellStyle name="Normal 2 4 2" xfId="2722" xr:uid="{1EF91B9D-5C98-4AA0-B4C9-8A651FABFBFE}"/>
    <cellStyle name="Normal 2 4 2 2" xfId="5099" xr:uid="{68E05001-3695-4F1C-9D82-2A5A13B25C59}"/>
    <cellStyle name="Normal 2 4 2 2 2" xfId="8018" xr:uid="{B3E2CF5C-39F4-4E2E-91B7-501B7E1FD179}"/>
    <cellStyle name="Normal 2 4 2 2 3" xfId="9331" xr:uid="{ECA5D00F-0072-4B26-9867-8B059064BC71}"/>
    <cellStyle name="Normal 2 4 2 2 3 2" xfId="10159" xr:uid="{A73ED6CA-2A54-461C-93E7-2F2B543BD016}"/>
    <cellStyle name="Normal 2 4 2 2 3 2 2" xfId="16990" xr:uid="{1CECC584-2E5C-4441-B8BA-687AAD45AB69}"/>
    <cellStyle name="Normal 2 4 2 2 3 2 2 2" xfId="46532" xr:uid="{87891052-C7D1-4688-A3FD-006304013F39}"/>
    <cellStyle name="Normal 2 4 2 2 3 2 3" xfId="10888" xr:uid="{EF3599AE-52E3-4054-971F-78E32EF41544}"/>
    <cellStyle name="Normal 2 4 2 2 3 2 3 2" xfId="40868" xr:uid="{16860F24-F159-476C-9347-5FA7D82FEB14}"/>
    <cellStyle name="Normal 2 4 2 2 3 2 4" xfId="19122" xr:uid="{A1BCAD5C-7F9A-4077-8E1E-6E48FE1DB6AD}"/>
    <cellStyle name="Normal 2 4 2 2 3 3" xfId="16466" xr:uid="{0A3FC9B0-17F3-41D0-82F4-28A3CC401C8D}"/>
    <cellStyle name="Normal 2 4 2 2 3 3 2" xfId="46014" xr:uid="{F1F405B2-9012-4D11-A0C6-B20EC7B0BCC3}"/>
    <cellStyle name="Normal 2 4 2 2 3 4" xfId="11313" xr:uid="{F983FC44-10F6-4577-8817-90D00DB33C05}"/>
    <cellStyle name="Normal 2 4 2 2 3 4 2" xfId="41280" xr:uid="{DDA74118-211A-4589-8773-0BBCE6E6AA45}"/>
    <cellStyle name="Normal 2 4 2 2 3 5" xfId="18411" xr:uid="{B0EF7902-82DC-41F8-927C-F8D4885FCE26}"/>
    <cellStyle name="Normal 2 4 2 2 4" xfId="9660" xr:uid="{A690A8A1-6ED8-4862-B897-28D1180F2C24}"/>
    <cellStyle name="Normal 2 4 2 2 4 2" xfId="16692" xr:uid="{B72988DF-D997-45EA-991B-FF5957778777}"/>
    <cellStyle name="Normal 2 4 2 2 4 2 2" xfId="46237" xr:uid="{8BE4A58A-DA83-4E68-BD23-2A28028DECC8}"/>
    <cellStyle name="Normal 2 4 2 2 4 3" xfId="14044" xr:uid="{5D5CC282-F370-451E-862E-0CD20D7B2879}"/>
    <cellStyle name="Normal 2 4 2 2 4 3 2" xfId="43799" xr:uid="{FE5B635C-F8CF-43C4-B87F-0EB9BA24B3B8}"/>
    <cellStyle name="Normal 2 4 2 2 4 4" xfId="18708" xr:uid="{06239BA2-3D27-45CA-A569-67925CDF83B0}"/>
    <cellStyle name="Normal 2 4 2 2 5" xfId="13802" xr:uid="{5EBB2CCE-AF91-4CF3-9E03-F8872A5ED1FE}"/>
    <cellStyle name="Normal 2 4 2 2 5 2" xfId="43574" xr:uid="{6A1C3718-BF10-4A02-BE94-5B41B0EEA2A0}"/>
    <cellStyle name="Normal 2 4 2 2 6" xfId="16387" xr:uid="{CAD80072-AA11-4468-B8CF-3B81ED449AC9}"/>
    <cellStyle name="Normal 2 4 2 2 6 2" xfId="45941" xr:uid="{97BB40D9-09B3-4F53-B747-D32D4BB5E511}"/>
    <cellStyle name="Normal 2 4 2 3" xfId="5246" xr:uid="{C074CE11-2809-405C-9E32-D4FC6850CD87}"/>
    <cellStyle name="Normal 2 4 2 4" xfId="6385" xr:uid="{CAE278F2-BDD9-41D1-8521-E6783B7AF0C0}"/>
    <cellStyle name="Normal 2 4 2 4 2" xfId="10049" xr:uid="{E5BBDD04-25A9-40DB-9A14-7499ABA5B72E}"/>
    <cellStyle name="Normal 2 4 2 4 2 2" xfId="16909" xr:uid="{5EC05973-0A28-440A-AADA-3E0539E217B2}"/>
    <cellStyle name="Normal 2 4 2 4 2 2 2" xfId="46451" xr:uid="{1B149FC2-EEBF-4B6B-9544-36F02874AD67}"/>
    <cellStyle name="Normal 2 4 2 4 2 3" xfId="15036" xr:uid="{0A8034A4-58C1-4286-9EE2-90C304D290FF}"/>
    <cellStyle name="Normal 2 4 2 4 2 3 2" xfId="44709" xr:uid="{84C29EDF-21AE-49B1-A80C-15C59F493FDE}"/>
    <cellStyle name="Normal 2 4 2 4 2 4" xfId="19013" xr:uid="{464DB0EB-1AF5-4A50-8288-C19A09B7F549}"/>
    <cellStyle name="Normal 2 4 2 4 3" xfId="14583" xr:uid="{DE18EFB8-8EAB-40CE-AC60-9A0281A5F032}"/>
    <cellStyle name="Normal 2 4 2 4 3 2" xfId="44303" xr:uid="{654848C2-F0F9-4F2A-AD8C-5A05DA3498DB}"/>
    <cellStyle name="Normal 2 4 2 4 4" xfId="12579" xr:uid="{7E4D1EB0-F751-4FA5-908C-ABF53DCE04C1}"/>
    <cellStyle name="Normal 2 4 2 4 4 2" xfId="42458" xr:uid="{5A595021-54E5-48DE-BC87-37AB2CF63414}"/>
    <cellStyle name="Normal 2 4 2 4 5" xfId="18309" xr:uid="{9DDBE14F-A8F4-4C4A-AF0E-74509688AAB2}"/>
    <cellStyle name="Normal 2 4 2 5" xfId="9417" xr:uid="{71AD103D-6D2B-438C-A953-41B3D09B72FB}"/>
    <cellStyle name="Normal 2 4 2 5 2" xfId="16535" xr:uid="{11378240-855F-44E0-9FF3-46F659FFF2D3}"/>
    <cellStyle name="Normal 2 4 2 5 2 2" xfId="46082" xr:uid="{0F922988-8293-4426-83A9-150BDF823F36}"/>
    <cellStyle name="Normal 2 4 2 5 3" xfId="11608" xr:uid="{8A2189F0-10BC-4663-AFD9-7079367DD9CE}"/>
    <cellStyle name="Normal 2 4 2 5 3 2" xfId="41557" xr:uid="{E21531EB-8A98-4EDA-8284-AACFC2530C27}"/>
    <cellStyle name="Normal 2 4 2 5 4" xfId="18487" xr:uid="{2D0F7101-601F-4AEE-81C8-6E66E9A0D547}"/>
    <cellStyle name="Normal 2 4 2 6" xfId="12283" xr:uid="{B171D7DA-635A-4C0F-A866-90EDEFC533C7}"/>
    <cellStyle name="Normal 2 4 2 6 2" xfId="42195" xr:uid="{2681A3F3-7C1B-44B4-BC12-47C4D474C8A1}"/>
    <cellStyle name="Normal 2 4 2 7" xfId="14409" xr:uid="{5A08F1B8-5CC3-48EC-B38A-80355ADE1FB7}"/>
    <cellStyle name="Normal 2 4 2 7 2" xfId="44139" xr:uid="{4F56C8C0-01E6-421E-8844-13AA9A9816AA}"/>
    <cellStyle name="Normal 2 4 3" xfId="4142" xr:uid="{A663B367-83D6-4B85-B684-2F3F09F411FE}"/>
    <cellStyle name="Normal 2 4 3 2" xfId="5194" xr:uid="{2302282D-DEBB-47F5-B7B8-D27D5D05995C}"/>
    <cellStyle name="Normal 2 4 3 2 2" xfId="9194" xr:uid="{E248DB79-269C-47B7-A2D4-3E02B0F5D269}"/>
    <cellStyle name="Normal 2 4 3 2 3" xfId="9368" xr:uid="{9A553126-22E5-47E1-9BBF-E46D4073687A}"/>
    <cellStyle name="Normal 2 4 3 2 3 2" xfId="10196" xr:uid="{2188DB6D-7C8F-4EC9-8946-B8445901B5FE}"/>
    <cellStyle name="Normal 2 4 3 2 3 2 2" xfId="17027" xr:uid="{3B5AF237-E8C1-4F96-BEB7-EB8568A110E8}"/>
    <cellStyle name="Normal 2 4 3 2 3 2 2 2" xfId="46569" xr:uid="{1AD472D4-3EAC-45C2-8064-B7391FC1D777}"/>
    <cellStyle name="Normal 2 4 3 2 3 2 3" xfId="12448" xr:uid="{07285B25-6D70-4F28-A95F-CF668E7084DF}"/>
    <cellStyle name="Normal 2 4 3 2 3 2 3 2" xfId="42345" xr:uid="{9DA52CC5-A3D8-40D3-98B9-E4F1E208B4C0}"/>
    <cellStyle name="Normal 2 4 3 2 3 2 4" xfId="19159" xr:uid="{22AF4573-8BF0-48D8-A765-932BC8038F13}"/>
    <cellStyle name="Normal 2 4 3 2 3 3" xfId="16503" xr:uid="{44598271-5525-486D-B205-FA0EA4AD373A}"/>
    <cellStyle name="Normal 2 4 3 2 3 3 2" xfId="46051" xr:uid="{0B3A7B20-B513-4CFA-84FB-C5FA996C8E64}"/>
    <cellStyle name="Normal 2 4 3 2 3 4" xfId="14509" xr:uid="{45F3D761-694C-441D-8BD5-0192622F60C6}"/>
    <cellStyle name="Normal 2 4 3 2 3 4 2" xfId="44237" xr:uid="{599A751A-8405-471D-92DA-14DEC1B0AEAF}"/>
    <cellStyle name="Normal 2 4 3 2 3 5" xfId="18448" xr:uid="{B34D5F3B-5A41-4CF3-90F9-3093E6D426FD}"/>
    <cellStyle name="Normal 2 4 3 2 4" xfId="9676" xr:uid="{2E9BEE4A-132E-49C9-9156-3FD85E642938}"/>
    <cellStyle name="Normal 2 4 3 2 4 2" xfId="16704" xr:uid="{6B76C0DC-C497-414B-ACEA-CBFBD4572DB6}"/>
    <cellStyle name="Normal 2 4 3 2 4 2 2" xfId="46248" xr:uid="{741412B6-FB70-4AA1-B35E-60D053A2B1FE}"/>
    <cellStyle name="Normal 2 4 3 2 4 3" xfId="15073" xr:uid="{4FBF6051-722A-4F2C-99C8-44A351B22032}"/>
    <cellStyle name="Normal 2 4 3 2 4 3 2" xfId="44740" xr:uid="{DA89EEAB-3E6C-4722-9AFB-9FC52C5C4BCF}"/>
    <cellStyle name="Normal 2 4 3 2 4 4" xfId="18720" xr:uid="{27D8215C-21A3-435D-9ABF-737F15798932}"/>
    <cellStyle name="Normal 2 4 3 2 5" xfId="13865" xr:uid="{EF315E0E-03DF-4D5B-87EA-717039101B09}"/>
    <cellStyle name="Normal 2 4 3 2 5 2" xfId="43635" xr:uid="{D233E87C-E4FA-403B-B3C1-D5BB99188C20}"/>
    <cellStyle name="Normal 2 4 3 2 6" xfId="12036" xr:uid="{88ECE68D-546C-40CE-9AC2-F9097A6146FD}"/>
    <cellStyle name="Normal 2 4 3 2 6 2" xfId="41956" xr:uid="{5FD3F75A-AB93-4277-87DE-288716DFA55F}"/>
    <cellStyle name="Normal 2 4 3 3" xfId="7706" xr:uid="{585B80BA-F4BB-495E-A666-3C942D209313}"/>
    <cellStyle name="Normal 2 4 3 3 2" xfId="10142" xr:uid="{97F3C5B2-8072-4BCD-9BA2-D95D7A2FF0E0}"/>
    <cellStyle name="Normal 2 4 3 3 2 2" xfId="16974" xr:uid="{A018FF67-D557-477A-83E2-222D023B148B}"/>
    <cellStyle name="Normal 2 4 3 3 2 2 2" xfId="46516" xr:uid="{537EA349-F52B-4C27-ACD4-706177F0E4C8}"/>
    <cellStyle name="Normal 2 4 3 3 2 3" xfId="10646" xr:uid="{88D0F00D-50AC-4CB5-A569-57ABF92AD640}"/>
    <cellStyle name="Normal 2 4 3 3 2 3 2" xfId="40627" xr:uid="{D482BF09-D6B6-4720-8470-09EAF7E68695}"/>
    <cellStyle name="Normal 2 4 3 3 2 4" xfId="19105" xr:uid="{8B72B310-C7A4-458C-ABAA-4C784359F85D}"/>
    <cellStyle name="Normal 2 4 3 3 3" xfId="15420" xr:uid="{993A3E19-B131-428A-BBBE-E5CE7EBBB7F4}"/>
    <cellStyle name="Normal 2 4 3 3 3 2" xfId="45062" xr:uid="{DE17614A-1A1D-43DD-9C2B-280B3DF1B825}"/>
    <cellStyle name="Normal 2 4 3 3 4" xfId="17504" xr:uid="{FDA39EAD-35AE-467A-B863-66645884636A}"/>
    <cellStyle name="Normal 2 4 3 3 4 2" xfId="47029" xr:uid="{99E56194-5C0F-42D6-85AD-CC18B6552B5A}"/>
    <cellStyle name="Normal 2 4 3 3 5" xfId="18400" xr:uid="{D6A962D0-283F-4311-97F7-15C4E5B3A9EB}"/>
    <cellStyle name="Normal 2 4 3 4" xfId="9529" xr:uid="{7CAA3585-0472-4169-B008-E37F7A136827}"/>
    <cellStyle name="Normal 2 4 3 4 2" xfId="16610" xr:uid="{1F0FF4BD-A8BD-44D0-A79F-728A73E0F58F}"/>
    <cellStyle name="Normal 2 4 3 4 2 2" xfId="46157" xr:uid="{7AC1B4FA-83EF-4BF1-B32E-7BCB699A89FB}"/>
    <cellStyle name="Normal 2 4 3 4 3" xfId="12523" xr:uid="{53EE48D5-70DE-4A83-A95C-9CD8FE2E2179}"/>
    <cellStyle name="Normal 2 4 3 4 3 2" xfId="42408" xr:uid="{4D822596-2A6A-4F80-AD2E-0F4CF97C0EB8}"/>
    <cellStyle name="Normal 2 4 3 4 4" xfId="18597" xr:uid="{2B9CD678-C871-4FCD-96BB-8874FA0E473F}"/>
    <cellStyle name="Normal 2 4 3 5" xfId="13183" xr:uid="{EDAD45E7-0E72-489F-B7FC-62CEAC103ABC}"/>
    <cellStyle name="Normal 2 4 3 5 2" xfId="43006" xr:uid="{20CEABB1-F665-47F7-B54A-88D2F67CD972}"/>
    <cellStyle name="Normal 2 4 3 6" xfId="11726" xr:uid="{4680947B-EED9-40CC-9661-E222018C5EE0}"/>
    <cellStyle name="Normal 2 4 3 6 2" xfId="41665" xr:uid="{7F52DBA5-6E3C-42B3-A747-523B438CD458}"/>
    <cellStyle name="Normal 2 4 4" xfId="2592" xr:uid="{3192712C-2161-4CFF-A8CF-1179A5391335}"/>
    <cellStyle name="Normal 2 4 4 2" xfId="5033" xr:uid="{CA2F7A2E-31A0-4F92-8B8E-4CA2BDF8DF4B}"/>
    <cellStyle name="Normal 2 4 4 2 2" xfId="7889" xr:uid="{DE5FCE2E-CFB6-4E54-881A-F7F16D4E2F4F}"/>
    <cellStyle name="Normal 2 4 4 2 3" xfId="9327" xr:uid="{4DBBBC4B-B587-4D18-85A9-FC83E577CE23}"/>
    <cellStyle name="Normal 2 4 4 2 3 2" xfId="10155" xr:uid="{F71A2D09-1938-41D8-A724-DCDEC46D7481}"/>
    <cellStyle name="Normal 2 4 4 2 3 2 2" xfId="16986" xr:uid="{542C634B-A694-406F-83C5-454B73E55BD9}"/>
    <cellStyle name="Normal 2 4 4 2 3 2 2 2" xfId="46528" xr:uid="{05AEEC56-96B1-4021-9A57-57C63AEF9015}"/>
    <cellStyle name="Normal 2 4 4 2 3 2 3" xfId="14712" xr:uid="{4F0C1225-5682-40BF-B11A-00241BD738ED}"/>
    <cellStyle name="Normal 2 4 4 2 3 2 3 2" xfId="44422" xr:uid="{BA8D6294-7034-4865-BF1C-D9EF943ECA94}"/>
    <cellStyle name="Normal 2 4 4 2 3 2 4" xfId="19118" xr:uid="{B078B99C-FB4E-4CCE-989B-C7EA96AF1EA2}"/>
    <cellStyle name="Normal 2 4 4 2 3 3" xfId="16462" xr:uid="{CDBAADFF-B778-47AF-85CF-00437E69A908}"/>
    <cellStyle name="Normal 2 4 4 2 3 3 2" xfId="46010" xr:uid="{D88D8D6F-6D57-41BB-8644-DF7C90E2BF92}"/>
    <cellStyle name="Normal 2 4 4 2 3 4" xfId="13222" xr:uid="{2BE8B344-1E9E-4ABC-B380-845DF1AD9A8A}"/>
    <cellStyle name="Normal 2 4 4 2 3 4 2" xfId="43041" xr:uid="{103F44B7-5A99-4AD1-BC9D-7D8B7F0A803B}"/>
    <cellStyle name="Normal 2 4 4 2 3 5" xfId="18407" xr:uid="{D9AC56DE-45CC-4A01-9068-2C6C5F65F9EE}"/>
    <cellStyle name="Normal 2 4 4 2 4" xfId="9645" xr:uid="{2C2FA4A4-D110-4859-898B-D864186FA125}"/>
    <cellStyle name="Normal 2 4 4 2 4 2" xfId="16683" xr:uid="{F2BD6043-816A-43A9-9015-9594BE2588FA}"/>
    <cellStyle name="Normal 2 4 4 2 4 2 2" xfId="46228" xr:uid="{64AA1750-83F4-44FD-B158-40DCC7866931}"/>
    <cellStyle name="Normal 2 4 4 2 4 3" xfId="10657" xr:uid="{8A06E901-A36F-4335-A7E6-E38554E48D44}"/>
    <cellStyle name="Normal 2 4 4 2 4 3 2" xfId="40638" xr:uid="{C1A2DA71-1688-4F3F-BDE5-4483774B7257}"/>
    <cellStyle name="Normal 2 4 4 2 4 4" xfId="18700" xr:uid="{87C5413C-903F-4B98-9C03-EF5BDFF41600}"/>
    <cellStyle name="Normal 2 4 4 2 5" xfId="13757" xr:uid="{A9D7731C-5E68-43B8-AEB9-C0A8C7625F38}"/>
    <cellStyle name="Normal 2 4 4 2 5 2" xfId="43530" xr:uid="{1E5EB31B-9FE6-4652-89D3-25B2B5E49966}"/>
    <cellStyle name="Normal 2 4 4 2 6" xfId="11124" xr:uid="{EC739BA7-7376-46D5-962E-9B6DB9BCC636}"/>
    <cellStyle name="Normal 2 4 4 2 6 2" xfId="41102" xr:uid="{644789C4-DF29-481B-B3F1-B488C7A2705E}"/>
    <cellStyle name="Normal 2 4 4 3" xfId="6256" xr:uid="{CDEFB7D8-1D87-4832-A03C-DCA8FDF3BDF2}"/>
    <cellStyle name="Normal 2 4 4 3 2" xfId="10045" xr:uid="{B3633FDC-7467-43E7-A199-1F7223D8E7DC}"/>
    <cellStyle name="Normal 2 4 4 3 2 2" xfId="16905" xr:uid="{E58C11AC-086D-4596-84F3-420109B3034E}"/>
    <cellStyle name="Normal 2 4 4 3 2 2 2" xfId="46447" xr:uid="{2341D8F9-AE7B-4A28-80D5-8C040DBE8161}"/>
    <cellStyle name="Normal 2 4 4 3 2 3" xfId="10956" xr:uid="{43D2506F-F806-441C-9534-6CC6EA10446A}"/>
    <cellStyle name="Normal 2 4 4 3 2 3 2" xfId="40936" xr:uid="{3F3594F5-E58E-4EE6-907A-8D7CDF83E09A}"/>
    <cellStyle name="Normal 2 4 4 3 2 4" xfId="19009" xr:uid="{97E1BAFD-597B-4DD3-BE60-124C639AAB66}"/>
    <cellStyle name="Normal 2 4 4 3 3" xfId="14501" xr:uid="{B3124E06-FF09-41BB-BA9B-1BE0477D1851}"/>
    <cellStyle name="Normal 2 4 4 3 3 2" xfId="44229" xr:uid="{226531EE-010C-4828-9444-404A8711CD25}"/>
    <cellStyle name="Normal 2 4 4 3 4" xfId="11074" xr:uid="{6C08A420-8BE1-4D75-89D7-FB3B88469D1C}"/>
    <cellStyle name="Normal 2 4 4 3 4 2" xfId="41053" xr:uid="{E5E96BDF-1BD6-457D-83AA-DE174E9A8992}"/>
    <cellStyle name="Normal 2 4 4 3 5" xfId="18305" xr:uid="{4B4EA2C6-BE7F-4316-AD44-623CD24C9970}"/>
    <cellStyle name="Normal 2 4 4 4" xfId="9413" xr:uid="{A3338B45-7C8F-4195-923D-E74C5DB1A64D}"/>
    <cellStyle name="Normal 2 4 4 4 2" xfId="16531" xr:uid="{5547AF57-E8FD-48F0-BF96-029997BDD226}"/>
    <cellStyle name="Normal 2 4 4 4 2 2" xfId="46078" xr:uid="{43A0B863-F8C4-4242-9204-FE60E0AAA334}"/>
    <cellStyle name="Normal 2 4 4 4 3" xfId="11141" xr:uid="{84BD5EF6-332B-46AB-815C-F9D54650B6B9}"/>
    <cellStyle name="Normal 2 4 4 4 3 2" xfId="41119" xr:uid="{ED6E37B7-C05F-4F45-A53D-0E689BD4BC95}"/>
    <cellStyle name="Normal 2 4 4 4 4" xfId="18483" xr:uid="{7FEB12A7-F833-45BA-9CBB-AE562FBD321D}"/>
    <cellStyle name="Normal 2 4 4 5" xfId="12203" xr:uid="{087E88A2-7BB5-4DE5-9D62-6A076023F4FB}"/>
    <cellStyle name="Normal 2 4 4 5 2" xfId="42121" xr:uid="{17767915-0DE1-4BBD-900E-09C269A0BEAB}"/>
    <cellStyle name="Normal 2 4 4 6" xfId="13924" xr:uid="{81A312F7-E346-4AB6-ADBB-221538A5285E}"/>
    <cellStyle name="Normal 2 4 4 6 2" xfId="43689" xr:uid="{E16D1ECE-5FF3-49D8-AF58-CC20A5FC3C3F}"/>
    <cellStyle name="Normal 2 4 5" xfId="4210" xr:uid="{2A0C08C3-7C5E-4941-9AF7-A1C13BF1DD20}"/>
    <cellStyle name="Normal 2 4 5 2" xfId="9262" xr:uid="{21C16C9F-2DB6-4E6F-B89C-8486EF1358E3}"/>
    <cellStyle name="Normal 2 4 5 2 2" xfId="9370" xr:uid="{59241F06-274E-4424-A81A-73C52954F196}"/>
    <cellStyle name="Normal 2 4 5 2 2 2" xfId="10198" xr:uid="{C6CD9726-58AB-43C6-9578-831D1FF1505C}"/>
    <cellStyle name="Normal 2 4 5 2 2 2 2" xfId="17029" xr:uid="{9F0E8992-E37C-4F64-A653-988182A96F34}"/>
    <cellStyle name="Normal 2 4 5 2 2 2 2 2" xfId="46571" xr:uid="{923A00B4-33F6-4856-BA00-0CA2AD2752CC}"/>
    <cellStyle name="Normal 2 4 5 2 2 2 3" xfId="10967" xr:uid="{001BCEB8-1079-477B-B441-275689279231}"/>
    <cellStyle name="Normal 2 4 5 2 2 2 3 2" xfId="40947" xr:uid="{BBBB9830-F176-43C1-8D33-805E6D0DF8BD}"/>
    <cellStyle name="Normal 2 4 5 2 2 2 4" xfId="19161" xr:uid="{36FE82AF-5C1E-4338-825A-B6E6648BB748}"/>
    <cellStyle name="Normal 2 4 5 2 2 3" xfId="16505" xr:uid="{79189AB5-D336-4660-A670-DF40C3F34071}"/>
    <cellStyle name="Normal 2 4 5 2 2 3 2" xfId="46053" xr:uid="{E1C21090-FD09-4ACB-AE35-F7EB1E91BCB3}"/>
    <cellStyle name="Normal 2 4 5 2 2 4" xfId="15558" xr:uid="{A221CD58-EA8B-46A0-A7BA-16FFBA731484}"/>
    <cellStyle name="Normal 2 4 5 2 2 4 2" xfId="45190" xr:uid="{3D694ED0-0810-4355-BF98-E056E51F7449}"/>
    <cellStyle name="Normal 2 4 5 2 2 5" xfId="18450" xr:uid="{39E71157-ADC5-4685-93DD-91A566FE622F}"/>
    <cellStyle name="Normal 2 4 5 3" xfId="7774" xr:uid="{EA5FC847-7D1D-46C6-9974-88646A7C065E}"/>
    <cellStyle name="Normal 2 4 5 3 2" xfId="10144" xr:uid="{33727845-DC22-4848-AE2D-7B63A16A7E0B}"/>
    <cellStyle name="Normal 2 4 5 3 2 2" xfId="16976" xr:uid="{579FA073-9F8D-4B2A-8FC2-F5EAF33C9BEB}"/>
    <cellStyle name="Normal 2 4 5 3 2 2 2" xfId="46518" xr:uid="{FC35C986-A909-415D-A204-1FBA72878096}"/>
    <cellStyle name="Normal 2 4 5 3 2 3" xfId="13908" xr:uid="{E6C68A4D-B57E-473C-B8FC-C0E6104DC027}"/>
    <cellStyle name="Normal 2 4 5 3 2 3 2" xfId="43673" xr:uid="{C1D8AE36-0C72-4A2A-8822-C786F933A122}"/>
    <cellStyle name="Normal 2 4 5 3 2 4" xfId="19107" xr:uid="{015B2C41-DAC2-4540-BB13-26330F77E9DC}"/>
    <cellStyle name="Normal 2 4 5 3 3" xfId="15465" xr:uid="{9637F129-3264-48DC-9165-7FA44C24FFE4}"/>
    <cellStyle name="Normal 2 4 5 3 3 2" xfId="45104" xr:uid="{B27A85B6-813B-40EC-92A4-F6D723FADAA1}"/>
    <cellStyle name="Normal 2 4 5 3 4" xfId="14445" xr:uid="{BB7D5D82-D29A-4F80-A2D8-BB8410B9788F}"/>
    <cellStyle name="Normal 2 4 5 3 4 2" xfId="44174" xr:uid="{A62B63D2-FAC3-4A34-B0C6-64F5F8A95176}"/>
    <cellStyle name="Normal 2 4 5 3 5" xfId="18402" xr:uid="{E297CCFB-A01F-4BBB-8251-D473D0536FCD}"/>
    <cellStyle name="Normal 2 4 5 4" xfId="9531" xr:uid="{628D67B0-2C68-4801-9833-03E603DB2DFA}"/>
    <cellStyle name="Normal 2 4 5 4 2" xfId="16612" xr:uid="{3CC69291-9515-4941-971C-57676295E727}"/>
    <cellStyle name="Normal 2 4 5 4 2 2" xfId="46159" xr:uid="{565A7F9F-2E92-430C-937C-1498CF26A0A1}"/>
    <cellStyle name="Normal 2 4 5 4 3" xfId="14555" xr:uid="{FD07038E-90A6-4669-BEAF-2680E0B3F007}"/>
    <cellStyle name="Normal 2 4 5 4 3 2" xfId="44276" xr:uid="{312DEA6D-944E-4D7D-9450-434B603EBC88}"/>
    <cellStyle name="Normal 2 4 5 4 4" xfId="18599" xr:uid="{A0FAEA6D-3027-4D3B-85A6-C94EBF1220E7}"/>
    <cellStyle name="Normal 2 4 5 5" xfId="13228" xr:uid="{017710FD-1545-47BA-9571-9CEB63C9BB5C}"/>
    <cellStyle name="Normal 2 4 5 5 2" xfId="43047" xr:uid="{C7DB7D37-EB1F-4444-8DDF-B4925F8C858E}"/>
    <cellStyle name="Normal 2 4 5 6" xfId="17279" xr:uid="{BBC1B248-2F8B-46E5-854F-E7741B56241A}"/>
    <cellStyle name="Normal 2 4 5 6 2" xfId="46813" xr:uid="{0ECA563A-B7B7-4EE6-ACC9-01EBD59AD55D}"/>
    <cellStyle name="Normal 2 4 6" xfId="4964" xr:uid="{0EC4A9FC-FB03-498D-A7A1-48D06BC0CF66}"/>
    <cellStyle name="Normal 2 4 6 2" xfId="7010" xr:uid="{C7D25B1E-5DB3-429E-A680-0B16EA0F2A66}"/>
    <cellStyle name="Normal 2 4 6 2 2" xfId="10088" xr:uid="{D35FDD07-BED1-4E3F-858C-009190CD64D9}"/>
    <cellStyle name="Normal 2 4 6 2 2 2" xfId="16934" xr:uid="{51B0ADD2-970C-447A-9566-27157A91F279}"/>
    <cellStyle name="Normal 2 4 6 2 2 2 2" xfId="46476" xr:uid="{29B64DD3-E158-422A-AADD-2185E05F0A48}"/>
    <cellStyle name="Normal 2 4 6 2 2 3" xfId="13031" xr:uid="{7B075B5F-2E7E-4219-8809-9007356803B1}"/>
    <cellStyle name="Normal 2 4 6 2 2 3 2" xfId="42863" xr:uid="{82E741E2-C2E5-4F01-96DC-0F436871CF1E}"/>
    <cellStyle name="Normal 2 4 6 2 2 4" xfId="19051" xr:uid="{3AC22905-9B01-4673-91F2-E7DBBE03947C}"/>
    <cellStyle name="Normal 2 4 6 2 3" xfId="14989" xr:uid="{ED457AD4-2A00-4B58-A8AF-809C1E29E15D}"/>
    <cellStyle name="Normal 2 4 6 2 3 2" xfId="44671" xr:uid="{0D8B806F-357C-4127-80F5-BB57216ECE35}"/>
    <cellStyle name="Normal 2 4 6 2 4" xfId="11571" xr:uid="{F92E26F1-E704-4A99-99ED-A771C12F50B4}"/>
    <cellStyle name="Normal 2 4 6 2 4 2" xfId="41524" xr:uid="{09E76739-40B4-46F9-9840-796EEEAC3EC6}"/>
    <cellStyle name="Normal 2 4 6 2 5" xfId="18347" xr:uid="{3E86C3B1-7346-42BA-A419-BE6923A6173F}"/>
    <cellStyle name="Normal 2 4 6 3" xfId="9636" xr:uid="{05DA164B-BC9A-4625-94C5-CB451205132F}"/>
    <cellStyle name="Normal 2 4 6 3 2" xfId="16676" xr:uid="{19A560CE-012D-435A-87E6-C42DCEAE1842}"/>
    <cellStyle name="Normal 2 4 6 3 2 2" xfId="46223" xr:uid="{D5807E38-11E6-4D06-9561-CC2A21CB5EC0}"/>
    <cellStyle name="Normal 2 4 6 3 3" xfId="14690" xr:uid="{36FE1F4F-1E65-4C52-BFC1-DAF3A862B55A}"/>
    <cellStyle name="Normal 2 4 6 3 3 2" xfId="44403" xr:uid="{1F06E589-29FF-4A57-BB3A-064C051A5F18}"/>
    <cellStyle name="Normal 2 4 6 3 4" xfId="18696" xr:uid="{FDB7C622-E9D2-44C2-9199-70E04479303D}"/>
    <cellStyle name="Normal 2 4 6 4" xfId="13707" xr:uid="{9BFF4E51-08CB-4F3B-9825-68A62A8D8738}"/>
    <cellStyle name="Normal 2 4 6 4 2" xfId="43486" xr:uid="{41301E08-D312-421E-A6F6-B79DF3A88790}"/>
    <cellStyle name="Normal 2 4 6 5" xfId="12851" xr:uid="{8AD6C261-D9B7-47D1-9B71-8B93E2F7BEBD}"/>
    <cellStyle name="Normal 2 4 6 5 2" xfId="42704" xr:uid="{94420DC8-B1E6-4949-906A-DF7DE43AE2C4}"/>
    <cellStyle name="Normal 2 4 6 6" xfId="17999" xr:uid="{9B773B7F-F4CE-438F-8208-4D9C95B7EE62}"/>
    <cellStyle name="Normal 2 4 7" xfId="8623" xr:uid="{96F316FE-10DD-472B-BF40-A6778C0E43C4}"/>
    <cellStyle name="Normal 2 4 7 2" xfId="9349" xr:uid="{1FD576E5-27B8-49D6-88A5-66995B3958F7}"/>
    <cellStyle name="Normal 2 4 7 2 2" xfId="10177" xr:uid="{A794A2A8-3CD9-4E38-9978-A8FD8230AC69}"/>
    <cellStyle name="Normal 2 4 7 2 2 2" xfId="17008" xr:uid="{0125019E-53D9-45A1-980E-627B3A45FEA5}"/>
    <cellStyle name="Normal 2 4 7 2 2 2 2" xfId="46550" xr:uid="{D82B815A-849E-4CB3-9B37-47712E2A42CF}"/>
    <cellStyle name="Normal 2 4 7 2 2 3" xfId="10780" xr:uid="{4A938029-E170-408A-B937-0DF5B990600D}"/>
    <cellStyle name="Normal 2 4 7 2 2 3 2" xfId="40761" xr:uid="{BD6E492C-D478-406E-8C4B-F16614E00555}"/>
    <cellStyle name="Normal 2 4 7 2 2 4" xfId="19140" xr:uid="{B2C7FF57-B560-433F-A733-2AFE2F11C40E}"/>
    <cellStyle name="Normal 2 4 7 2 3" xfId="16484" xr:uid="{A450B405-1D53-466B-9003-389960BEA784}"/>
    <cellStyle name="Normal 2 4 7 2 3 2" xfId="46032" xr:uid="{76491B58-FA24-4600-BF59-3CAADA91476C}"/>
    <cellStyle name="Normal 2 4 7 2 4" xfId="15875" xr:uid="{008CA2C8-D277-4DC8-B36B-416E39FE6A53}"/>
    <cellStyle name="Normal 2 4 7 2 4 2" xfId="45477" xr:uid="{74E84AEB-5593-4281-8BA9-F0BB7EC745A5}"/>
    <cellStyle name="Normal 2 4 7 2 5" xfId="18429" xr:uid="{D8278F36-6896-450D-9746-B6179F7751D1}"/>
    <cellStyle name="Normal 2 4 8" xfId="9455" xr:uid="{26648E4D-8012-436F-BC6D-238CA08C0879}"/>
    <cellStyle name="Normal 2 4 8 2" xfId="16563" xr:uid="{148C94C5-C979-4362-B373-8DC134BFE898}"/>
    <cellStyle name="Normal 2 4 8 2 2" xfId="46110" xr:uid="{CB10C7F2-83BE-4717-8DF9-25EB08BE6BF4}"/>
    <cellStyle name="Normal 2 4 8 3" xfId="13612" xr:uid="{ED4D6119-B1C7-4ABE-84E3-3C7C975AC66F}"/>
    <cellStyle name="Normal 2 4 8 3 2" xfId="43403" xr:uid="{C4F4F05B-3E92-4D7B-BE4A-1FF713DF04AF}"/>
    <cellStyle name="Normal 2 4 8 4" xfId="18525" xr:uid="{0FAA05B3-DCD1-40B8-B526-473A0F2A2274}"/>
    <cellStyle name="Normal 2 4 9" xfId="12692" xr:uid="{12607BD3-3E2C-49DA-B0DE-38F8CC68FE8A}"/>
    <cellStyle name="Normal 2 4 9 2" xfId="42558" xr:uid="{5C4156FB-8D7B-4080-BD2B-122203E3BF20}"/>
    <cellStyle name="Normal 2 5" xfId="3427" xr:uid="{FF7021BB-4D20-43E1-81FA-6D73F3ED3ED7}"/>
    <cellStyle name="Normal 2 5 2" xfId="2769" xr:uid="{A038340A-52B7-47DE-917A-5E00B5ADB5AA}"/>
    <cellStyle name="Normal 2 5 2 2" xfId="8065" xr:uid="{5936EB61-BFEA-4293-8A62-A80C72E831A3}"/>
    <cellStyle name="Normal 2 5 2 2 2" xfId="9333" xr:uid="{453EF89A-0F5D-4408-A8B7-264EC3675017}"/>
    <cellStyle name="Normal 2 5 2 2 2 2" xfId="10161" xr:uid="{060FA045-D16D-4D10-A811-6966A7F42E8F}"/>
    <cellStyle name="Normal 2 5 2 2 2 2 2" xfId="16992" xr:uid="{855F613A-A323-47D9-BCE2-C51B95F3D3D5}"/>
    <cellStyle name="Normal 2 5 2 2 2 2 2 2" xfId="46534" xr:uid="{F2500E31-952E-4737-8672-6075827703DD}"/>
    <cellStyle name="Normal 2 5 2 2 2 2 3" xfId="10909" xr:uid="{3D6E6844-FE4C-45E6-A158-D4A664B0E89F}"/>
    <cellStyle name="Normal 2 5 2 2 2 2 3 2" xfId="40889" xr:uid="{FD303361-821B-4690-AF2E-161D20B5514A}"/>
    <cellStyle name="Normal 2 5 2 2 2 2 4" xfId="19124" xr:uid="{F2409746-793A-403D-B404-3F254D41F82F}"/>
    <cellStyle name="Normal 2 5 2 2 2 3" xfId="16468" xr:uid="{18CD014C-B788-49FF-BD28-CC285DF8DF5D}"/>
    <cellStyle name="Normal 2 5 2 2 2 3 2" xfId="46016" xr:uid="{448169EA-6100-446B-AACA-4C959F30277D}"/>
    <cellStyle name="Normal 2 5 2 2 2 4" xfId="13927" xr:uid="{04C9D373-E11C-4318-906B-165A540DA4AC}"/>
    <cellStyle name="Normal 2 5 2 2 2 4 2" xfId="43692" xr:uid="{0E34B367-8F9E-4DDE-BD82-F36785D6B850}"/>
    <cellStyle name="Normal 2 5 2 2 2 5" xfId="18413" xr:uid="{354CD43C-A533-4F6C-9EFE-6F59E5E55C3E}"/>
    <cellStyle name="Normal 2 5 2 3" xfId="6432" xr:uid="{5555F392-F3AB-4898-995F-7DE984358EC2}"/>
    <cellStyle name="Normal 2 5 2 3 2" xfId="10051" xr:uid="{2E5031CB-09E4-4424-9DAC-DB9C51E0A028}"/>
    <cellStyle name="Normal 2 5 2 3 2 2" xfId="16911" xr:uid="{523702EB-3DC4-4668-89DE-97C6E5998699}"/>
    <cellStyle name="Normal 2 5 2 3 2 2 2" xfId="46453" xr:uid="{EEE2A4CD-907B-445B-B89C-DA1CC3E9AA66}"/>
    <cellStyle name="Normal 2 5 2 3 2 3" xfId="12310" xr:uid="{FE1AEB22-8664-4A9E-AA9D-809FAE796CAB}"/>
    <cellStyle name="Normal 2 5 2 3 2 3 2" xfId="42219" xr:uid="{FDD2E912-2FCB-410C-80EA-C16CB201BDFF}"/>
    <cellStyle name="Normal 2 5 2 3 2 4" xfId="19015" xr:uid="{A34E4F0B-FAC6-48A3-B8D9-0571A1FE5FAD}"/>
    <cellStyle name="Normal 2 5 2 3 3" xfId="14615" xr:uid="{EA7617DE-7ADD-40F9-8FF3-98D5C1E9C5DB}"/>
    <cellStyle name="Normal 2 5 2 3 3 2" xfId="44334" xr:uid="{9DB0DA12-4233-4EB3-A8E1-9665E795AF99}"/>
    <cellStyle name="Normal 2 5 2 3 4" xfId="16967" xr:uid="{0166BA18-1B5A-4A2D-B878-3FA1E33850A4}"/>
    <cellStyle name="Normal 2 5 2 3 4 2" xfId="46509" xr:uid="{60AAF58B-E6EA-44EE-8B7C-BEBA375F9374}"/>
    <cellStyle name="Normal 2 5 2 3 5" xfId="18311" xr:uid="{D2F7DD32-1141-4855-B50E-88ABA12671F6}"/>
    <cellStyle name="Normal 2 5 2 4" xfId="9419" xr:uid="{9C132FBE-31B0-476E-BA47-23CB46A2695C}"/>
    <cellStyle name="Normal 2 5 2 4 2" xfId="16537" xr:uid="{FFD6A0A1-5D42-41C1-AC40-E6F9C4BE9320}"/>
    <cellStyle name="Normal 2 5 2 4 2 2" xfId="46084" xr:uid="{8C1C6224-E520-41B5-B69D-0A2009666D0C}"/>
    <cellStyle name="Normal 2 5 2 4 3" xfId="14852" xr:uid="{63D18F71-6938-46E2-AE1F-A2941092A036}"/>
    <cellStyle name="Normal 2 5 2 4 3 2" xfId="44547" xr:uid="{83D6EA5B-DC30-44CA-A855-4665F88F4090}"/>
    <cellStyle name="Normal 2 5 2 4 4" xfId="18489" xr:uid="{4C96024B-4278-4754-A74A-2081A220FC8C}"/>
    <cellStyle name="Normal 2 5 2 5" xfId="12316" xr:uid="{F848EF90-A6C0-44B1-BC23-D51DBBE604F2}"/>
    <cellStyle name="Normal 2 5 2 5 2" xfId="42224" xr:uid="{43B6E8C9-90E3-4713-8F8A-263E12360FCD}"/>
    <cellStyle name="Normal 2 5 2 6" xfId="15389" xr:uid="{E39E1B64-626C-45E4-849D-BB6EB1F6DFB4}"/>
    <cellStyle name="Normal 2 5 2 6 2" xfId="45031" xr:uid="{F8C89CAA-0C5D-40E7-BEC7-36F5A167B88A}"/>
    <cellStyle name="Normal 2 5 3" xfId="4124" xr:uid="{D49D0753-C20C-4303-A066-21DB1FC285F1}"/>
    <cellStyle name="Normal 2 5 3 2" xfId="9176" xr:uid="{4C7BE0E4-1A52-4152-9D16-BB2F18BFD3BA}"/>
    <cellStyle name="Normal 2 5 3 2 2" xfId="9365" xr:uid="{ED8D66EC-D5D0-4F64-A62F-E5CC9CDBD4AD}"/>
    <cellStyle name="Normal 2 5 3 2 2 2" xfId="10193" xr:uid="{AAC09C7D-44F6-4EC6-AD7C-771E812042E3}"/>
    <cellStyle name="Normal 2 5 3 2 2 2 2" xfId="17024" xr:uid="{7AF15306-B9DC-460C-A6AF-F618EB95E08F}"/>
    <cellStyle name="Normal 2 5 3 2 2 2 2 2" xfId="46566" xr:uid="{31702572-83BC-40D9-B570-99EA21C55A57}"/>
    <cellStyle name="Normal 2 5 3 2 2 2 3" xfId="10763" xr:uid="{EFE9ACE0-3378-4429-B944-C21059CFCF22}"/>
    <cellStyle name="Normal 2 5 3 2 2 2 3 2" xfId="40744" xr:uid="{4E0EB0B3-5C8C-4430-823D-F0330CBDC503}"/>
    <cellStyle name="Normal 2 5 3 2 2 2 4" xfId="19156" xr:uid="{DB1E7AD1-FF07-46A7-90EE-F71EE07F5A8D}"/>
    <cellStyle name="Normal 2 5 3 2 2 3" xfId="16500" xr:uid="{505CACD9-892C-4F3A-B9C1-7A13E04FE9FD}"/>
    <cellStyle name="Normal 2 5 3 2 2 3 2" xfId="46048" xr:uid="{44C0098A-727F-4375-8723-368ED05937B4}"/>
    <cellStyle name="Normal 2 5 3 2 2 4" xfId="15932" xr:uid="{2E8D1A38-07F8-4A69-A836-0E500F8E3025}"/>
    <cellStyle name="Normal 2 5 3 2 2 4 2" xfId="45529" xr:uid="{B8830B67-F421-4E34-8FE0-B34A534E5618}"/>
    <cellStyle name="Normal 2 5 3 2 2 5" xfId="18445" xr:uid="{22975060-9AE9-4309-9364-22E1A3C10746}"/>
    <cellStyle name="Normal 2 5 3 3" xfId="7688" xr:uid="{4BE54FB5-493A-408B-930E-9C518EE96422}"/>
    <cellStyle name="Normal 2 5 3 3 2" xfId="10139" xr:uid="{E685691D-D615-4A17-A0F7-EB3B1E947DAD}"/>
    <cellStyle name="Normal 2 5 3 3 2 2" xfId="16971" xr:uid="{43CCD94B-DEAD-415E-B50A-CA05F103CDCA}"/>
    <cellStyle name="Normal 2 5 3 3 2 2 2" xfId="46513" xr:uid="{C1EF688E-7116-4B07-92C1-59C1903ACC37}"/>
    <cellStyle name="Normal 2 5 3 3 2 3" xfId="10968" xr:uid="{81E9A810-FA26-4294-905B-F1AC4B82A306}"/>
    <cellStyle name="Normal 2 5 3 3 2 3 2" xfId="40948" xr:uid="{1C0FD13D-B045-438F-9E47-6AC5D71446B4}"/>
    <cellStyle name="Normal 2 5 3 3 2 4" xfId="19102" xr:uid="{86C483AE-37F1-4EC6-AF7F-8DD9738F54A7}"/>
    <cellStyle name="Normal 2 5 3 3 3" xfId="15411" xr:uid="{8BF5BD4F-E0E7-442B-8235-826226759EC0}"/>
    <cellStyle name="Normal 2 5 3 3 3 2" xfId="45053" xr:uid="{E220FD81-B60C-4F8C-AA72-21BCADE6AA47}"/>
    <cellStyle name="Normal 2 5 3 3 4" xfId="16841" xr:uid="{59AA51D7-0D88-4E18-B01D-A19674F57513}"/>
    <cellStyle name="Normal 2 5 3 3 4 2" xfId="46383" xr:uid="{697C50D9-D59D-4608-BD14-01F84692C252}"/>
    <cellStyle name="Normal 2 5 3 3 5" xfId="18397" xr:uid="{75F8BEF3-395B-42F4-9172-57469A841A54}"/>
    <cellStyle name="Normal 2 5 3 4" xfId="9526" xr:uid="{2BF3AD09-4FB4-4246-9DF0-92F5F3B37CCA}"/>
    <cellStyle name="Normal 2 5 3 4 2" xfId="16607" xr:uid="{15FE3F42-3DE7-4DE5-B321-9F53C7059FE9}"/>
    <cellStyle name="Normal 2 5 3 4 2 2" xfId="46154" xr:uid="{08BEF80A-2E04-4975-8D69-70F25F3941A7}"/>
    <cellStyle name="Normal 2 5 3 4 3" xfId="13589" xr:uid="{B6B15EDF-491F-41B9-8A3F-F88D547AEB5D}"/>
    <cellStyle name="Normal 2 5 3 4 3 2" xfId="43381" xr:uid="{FB782184-4E7B-4940-954C-AFEFCC19B948}"/>
    <cellStyle name="Normal 2 5 3 4 4" xfId="18594" xr:uid="{C4DEA1FC-B9E9-41B0-ABBA-8152F1619B84}"/>
    <cellStyle name="Normal 2 5 3 5" xfId="13171" xr:uid="{19D0EAC3-0F28-4B98-9FE7-25B22958F622}"/>
    <cellStyle name="Normal 2 5 3 5 2" xfId="42995" xr:uid="{3ECDD49C-0C5D-441D-AFBF-A26EE0E6CEA0}"/>
    <cellStyle name="Normal 2 5 3 6" xfId="17048" xr:uid="{EEB33E84-8C2A-42C7-A865-70FE0CA83881}"/>
    <cellStyle name="Normal 2 5 3 6 2" xfId="46590" xr:uid="{3D5344F8-6AF6-4CAF-83A4-8A6D7A78EE3E}"/>
    <cellStyle name="Normal 2 5 4" xfId="2614" xr:uid="{064587C9-9345-4BC9-8C29-A011643C574B}"/>
    <cellStyle name="Normal 2 5 4 2" xfId="7911" xr:uid="{3BF99EA0-8F8D-499F-8A8B-8F920E7C1D2E}"/>
    <cellStyle name="Normal 2 5 4 2 2" xfId="9328" xr:uid="{3EC15BF0-B8C3-4017-8161-8927D2D32CDB}"/>
    <cellStyle name="Normal 2 5 4 2 2 2" xfId="10156" xr:uid="{2E06E3C2-159F-43D0-AC8C-5561BACDFABA}"/>
    <cellStyle name="Normal 2 5 4 2 2 2 2" xfId="16987" xr:uid="{6D72EDE6-AF11-4D27-9C6D-67B8B180665C}"/>
    <cellStyle name="Normal 2 5 4 2 2 2 2 2" xfId="46529" xr:uid="{B95A53D2-99BE-4EB8-83F7-240CC854FDCB}"/>
    <cellStyle name="Normal 2 5 4 2 2 2 3" xfId="15329" xr:uid="{941122B9-6437-4399-A9AB-527A7A2C8B39}"/>
    <cellStyle name="Normal 2 5 4 2 2 2 3 2" xfId="44973" xr:uid="{BE9B6053-ACA8-4242-9DCA-46AFA6920FA0}"/>
    <cellStyle name="Normal 2 5 4 2 2 2 4" xfId="19119" xr:uid="{296CEF3B-CC96-432E-AB25-07A22DF21F8E}"/>
    <cellStyle name="Normal 2 5 4 2 2 3" xfId="16463" xr:uid="{BC7CFB95-D729-4A56-B4CF-A0B34A115906}"/>
    <cellStyle name="Normal 2 5 4 2 2 3 2" xfId="46011" xr:uid="{1AEC0846-CB46-415C-AB61-09277A4C1A4B}"/>
    <cellStyle name="Normal 2 5 4 2 2 4" xfId="14124" xr:uid="{CFD583DC-EDDA-4F64-9D1B-2BE99EC059FB}"/>
    <cellStyle name="Normal 2 5 4 2 2 4 2" xfId="43872" xr:uid="{CD79EC57-4F62-4351-BACB-F25A76A5F371}"/>
    <cellStyle name="Normal 2 5 4 2 2 5" xfId="18408" xr:uid="{FA036C25-B947-44A3-9D5A-5F45741B570A}"/>
    <cellStyle name="Normal 2 5 4 3" xfId="6278" xr:uid="{540C52BE-A325-4774-9198-F7E85E02CAF2}"/>
    <cellStyle name="Normal 2 5 4 3 2" xfId="10046" xr:uid="{B2F81DB0-8C2A-4517-B0D0-1C7E98862A75}"/>
    <cellStyle name="Normal 2 5 4 3 2 2" xfId="16906" xr:uid="{EF495960-0AF1-423E-AB36-CB720A8E751F}"/>
    <cellStyle name="Normal 2 5 4 3 2 2 2" xfId="46448" xr:uid="{01CFAE3A-75A5-4957-B99B-2CFD9A40D580}"/>
    <cellStyle name="Normal 2 5 4 3 2 3" xfId="15752" xr:uid="{3A03A3EB-B37A-4A3B-A466-1571DF14E87D}"/>
    <cellStyle name="Normal 2 5 4 3 2 3 2" xfId="45369" xr:uid="{7E46BA6A-0536-430D-B091-76829C9672B1}"/>
    <cellStyle name="Normal 2 5 4 3 2 4" xfId="19010" xr:uid="{FFDF4C0D-66BA-4DAB-BBF9-E477DA13AF01}"/>
    <cellStyle name="Normal 2 5 4 3 3" xfId="14515" xr:uid="{747B1459-0FA8-480A-867A-2E1119700E80}"/>
    <cellStyle name="Normal 2 5 4 3 3 2" xfId="44243" xr:uid="{AF6584A2-3088-4890-A938-76CDBE04EAED}"/>
    <cellStyle name="Normal 2 5 4 3 4" xfId="16145" xr:uid="{05C65B12-3912-4C51-9DD0-8AE469C27E6B}"/>
    <cellStyle name="Normal 2 5 4 3 4 2" xfId="45720" xr:uid="{B8431A4E-2112-4157-BE48-F6C51F72A4E4}"/>
    <cellStyle name="Normal 2 5 4 3 5" xfId="18306" xr:uid="{517A76BD-9EC7-4876-AAFE-9126A3484DC8}"/>
    <cellStyle name="Normal 2 5 4 4" xfId="9414" xr:uid="{9BD4D23A-4432-4CBE-8817-C9AB28315C3E}"/>
    <cellStyle name="Normal 2 5 4 4 2" xfId="16532" xr:uid="{294FA0C2-AF49-4703-A97F-DA10F25A6933}"/>
    <cellStyle name="Normal 2 5 4 4 2 2" xfId="46079" xr:uid="{BD204BD7-F9C4-4B04-9015-569C9BE007D8}"/>
    <cellStyle name="Normal 2 5 4 4 3" xfId="11918" xr:uid="{0D085622-EAB0-41B5-897A-AFA56153A30B}"/>
    <cellStyle name="Normal 2 5 4 4 3 2" xfId="41849" xr:uid="{5A2678D7-33BC-4686-AA9B-B56DFA3FA378}"/>
    <cellStyle name="Normal 2 5 4 4 4" xfId="18484" xr:uid="{F9713505-6F2C-4ED4-B81A-F7C62D209EA8}"/>
    <cellStyle name="Normal 2 5 4 5" xfId="12219" xr:uid="{DD47B3C4-4A84-4E3F-9B21-4AF3F1A9895F}"/>
    <cellStyle name="Normal 2 5 4 5 2" xfId="42136" xr:uid="{3B21F5E8-9D7C-44D8-BA28-EBD06B054B7D}"/>
    <cellStyle name="Normal 2 5 4 6" xfId="13817" xr:uid="{C94F2566-E7E4-4F72-8235-B1A27EFF3C3E}"/>
    <cellStyle name="Normal 2 5 4 6 2" xfId="43589" xr:uid="{DA9C59FD-DFC9-4350-B2E7-70EB8F87A08C}"/>
    <cellStyle name="Normal 2 5 5" xfId="4130" xr:uid="{6A4860EC-1ABC-4D40-91FA-7F7F7FCE4241}"/>
    <cellStyle name="Normal 2 5 5 2" xfId="9182" xr:uid="{468DE7B7-6B62-429E-AF95-7DFC935AF8AE}"/>
    <cellStyle name="Normal 2 5 5 2 2" xfId="9366" xr:uid="{7CC5717D-50C3-4891-9FAA-83BCD456C725}"/>
    <cellStyle name="Normal 2 5 5 2 2 2" xfId="10194" xr:uid="{4D0A9C80-BA5A-4ABC-B27B-997AC14A98A1}"/>
    <cellStyle name="Normal 2 5 5 2 2 2 2" xfId="17025" xr:uid="{D9898E61-F4C9-44BF-8F05-1507326B62D9}"/>
    <cellStyle name="Normal 2 5 5 2 2 2 2 2" xfId="46567" xr:uid="{17AF5601-E376-4151-8C7D-01E62CAEE743}"/>
    <cellStyle name="Normal 2 5 5 2 2 2 3" xfId="16802" xr:uid="{BEC12092-C620-4FB9-98A4-56B03E6107B1}"/>
    <cellStyle name="Normal 2 5 5 2 2 2 3 2" xfId="46345" xr:uid="{B14CA820-997A-4306-A1F1-56830318F3BE}"/>
    <cellStyle name="Normal 2 5 5 2 2 2 4" xfId="19157" xr:uid="{2B311D3F-B169-49FE-9E6F-31F0894D21F3}"/>
    <cellStyle name="Normal 2 5 5 2 2 3" xfId="16501" xr:uid="{F9ECAEF8-9442-44AF-96B5-E2127520876B}"/>
    <cellStyle name="Normal 2 5 5 2 2 3 2" xfId="46049" xr:uid="{F5FBC381-D924-4056-BE36-FE1F4DCC3BCC}"/>
    <cellStyle name="Normal 2 5 5 2 2 4" xfId="15221" xr:uid="{40C40574-9009-440C-ABD4-D6ACA83F172C}"/>
    <cellStyle name="Normal 2 5 5 2 2 4 2" xfId="44872" xr:uid="{D7421EBA-7F7F-4936-A2FE-CA228659B76D}"/>
    <cellStyle name="Normal 2 5 5 2 2 5" xfId="18446" xr:uid="{3F2E506D-0366-4F99-A39D-8488882573C1}"/>
    <cellStyle name="Normal 2 5 5 3" xfId="7694" xr:uid="{C341F998-CE77-4227-BC39-D2C41A673D7F}"/>
    <cellStyle name="Normal 2 5 5 3 2" xfId="10140" xr:uid="{3E348A75-EEDE-4667-9A0C-67C41006F418}"/>
    <cellStyle name="Normal 2 5 5 3 2 2" xfId="16972" xr:uid="{E86D4767-A531-4861-B558-54123F9CE854}"/>
    <cellStyle name="Normal 2 5 5 3 2 2 2" xfId="46514" xr:uid="{A35E72CF-F147-48D5-95AA-309C4AE3B13F}"/>
    <cellStyle name="Normal 2 5 5 3 2 3" xfId="12557" xr:uid="{9D9F58AB-F06D-4C42-9CB7-E0A0C604DF78}"/>
    <cellStyle name="Normal 2 5 5 3 2 3 2" xfId="42438" xr:uid="{EAA69C65-7766-4B74-BE30-2AC53D0147AE}"/>
    <cellStyle name="Normal 2 5 5 3 2 4" xfId="19103" xr:uid="{7F722AEB-DBE3-4770-B86B-8F7E0E1627F3}"/>
    <cellStyle name="Normal 2 5 5 3 3" xfId="15413" xr:uid="{9325AAA5-D1FC-48A2-B45B-CF7C24F9F324}"/>
    <cellStyle name="Normal 2 5 5 3 3 2" xfId="45055" xr:uid="{44C1DF6A-078C-4FFA-BCD3-7D14BAE1A012}"/>
    <cellStyle name="Normal 2 5 5 3 4" xfId="16770" xr:uid="{8E588C33-59EF-451D-BE30-4D2B18AC6AA4}"/>
    <cellStyle name="Normal 2 5 5 3 4 2" xfId="46313" xr:uid="{241A0D4F-7AED-4395-AC2C-410BFA93C59F}"/>
    <cellStyle name="Normal 2 5 5 3 5" xfId="18398" xr:uid="{E283FBD7-0DE2-4641-BD44-B36985BC6B53}"/>
    <cellStyle name="Normal 2 5 5 4" xfId="9527" xr:uid="{E16FF5E2-573D-43B0-BB04-0755535DFA9F}"/>
    <cellStyle name="Normal 2 5 5 4 2" xfId="16608" xr:uid="{0C02A395-1F31-4265-B765-C4C16701402C}"/>
    <cellStyle name="Normal 2 5 5 4 2 2" xfId="46155" xr:uid="{D61C2A4D-AD22-4BDB-86FC-F49D671CC0AC}"/>
    <cellStyle name="Normal 2 5 5 4 3" xfId="14832" xr:uid="{65738BB7-8FBC-4A05-98D7-89A459237E73}"/>
    <cellStyle name="Normal 2 5 5 4 3 2" xfId="44527" xr:uid="{BA33B215-2913-4B1C-ACB0-A0ABF78681ED}"/>
    <cellStyle name="Normal 2 5 5 4 4" xfId="18595" xr:uid="{14279B49-B525-4B69-BF47-971F9190FD42}"/>
    <cellStyle name="Normal 2 5 5 5" xfId="13176" xr:uid="{C58673D5-3C18-45A3-AC7A-471F86C8136B}"/>
    <cellStyle name="Normal 2 5 5 5 2" xfId="42999" xr:uid="{F62D7C1D-B1F6-41B9-9712-691F32585AA1}"/>
    <cellStyle name="Normal 2 5 5 6" xfId="13420" xr:uid="{AC4363F3-1B01-42AC-BEEA-CB0F351B05D6}"/>
    <cellStyle name="Normal 2 5 5 6 2" xfId="43224" xr:uid="{7D26DAF7-4485-4581-AE84-86B4C06934A0}"/>
    <cellStyle name="Normal 2 5 6" xfId="7069" xr:uid="{3F9CE7EF-8C72-4B97-9C45-4409A0B4A693}"/>
    <cellStyle name="Normal 2 5 6 2" xfId="10090" xr:uid="{B8A98DFA-E525-4800-BFE0-631979E2CB4E}"/>
    <cellStyle name="Normal 2 5 6 2 2" xfId="16936" xr:uid="{E4690B21-D0FB-40D2-A175-B2ED1E261A80}"/>
    <cellStyle name="Normal 2 5 6 2 2 2" xfId="46478" xr:uid="{5ABCE5BD-1F53-4814-B243-E88E8120AA91}"/>
    <cellStyle name="Normal 2 5 6 2 3" xfId="10633" xr:uid="{5E58FB91-0FE5-417A-BF1D-0691898A31A4}"/>
    <cellStyle name="Normal 2 5 6 2 3 2" xfId="40614" xr:uid="{48641991-3596-4EB7-B7A6-1B8E41566449}"/>
    <cellStyle name="Normal 2 5 6 2 4" xfId="19053" xr:uid="{8C03C74C-75B5-434C-8540-242E0FD316EE}"/>
    <cellStyle name="Normal 2 5 6 3" xfId="15028" xr:uid="{C7CEDED6-13B9-45CB-88B5-3B03E059EEC2}"/>
    <cellStyle name="Normal 2 5 6 3 2" xfId="44703" xr:uid="{F8D591F9-E842-4765-A1E5-1106967563EA}"/>
    <cellStyle name="Normal 2 5 6 4" xfId="12385" xr:uid="{4BB00705-C672-4539-9DC2-424F3F1BAF18}"/>
    <cellStyle name="Normal 2 5 6 4 2" xfId="42291" xr:uid="{4CE190C2-59B3-4BB4-BEFD-B6F56F359E88}"/>
    <cellStyle name="Normal 2 5 6 5" xfId="18349" xr:uid="{045D3216-B2E3-4164-84D4-3C276255C571}"/>
    <cellStyle name="Normal 2 5 7" xfId="8664" xr:uid="{7D98F459-9FDF-4340-BF67-512C5E86EBB1}"/>
    <cellStyle name="Normal 2 5 7 2" xfId="9351" xr:uid="{A475CBC0-2D7A-4937-AFB5-1BE44CBDF601}"/>
    <cellStyle name="Normal 2 5 7 2 2" xfId="10179" xr:uid="{424B2EA6-19E3-475B-A6D4-0FD1FCB5F626}"/>
    <cellStyle name="Normal 2 5 7 2 2 2" xfId="17010" xr:uid="{63944E7C-7789-4AE7-B159-18426A81C2DA}"/>
    <cellStyle name="Normal 2 5 7 2 2 2 2" xfId="46552" xr:uid="{5EDD454D-314C-4C92-965B-338E15F494E0}"/>
    <cellStyle name="Normal 2 5 7 2 2 3" xfId="10738" xr:uid="{30A1B83A-EA3D-47CF-97D6-98BD66870FDC}"/>
    <cellStyle name="Normal 2 5 7 2 2 3 2" xfId="40719" xr:uid="{233F65FA-5F55-45D8-9FE3-F6F3FD29D5F7}"/>
    <cellStyle name="Normal 2 5 7 2 2 4" xfId="19142" xr:uid="{65F048F8-7A53-4FD5-B570-E6F342A9616F}"/>
    <cellStyle name="Normal 2 5 7 2 3" xfId="16486" xr:uid="{FA12E3BE-E8C7-44BA-A635-76DFE1CE5179}"/>
    <cellStyle name="Normal 2 5 7 2 3 2" xfId="46034" xr:uid="{F6C7D8E8-4051-4352-8F48-509339B3E85E}"/>
    <cellStyle name="Normal 2 5 7 2 4" xfId="11688" xr:uid="{C5334495-8232-49BE-A113-3807A783BA71}"/>
    <cellStyle name="Normal 2 5 7 2 4 2" xfId="41631" xr:uid="{CC802E0C-8FBD-467E-B79C-E45EF576C10D}"/>
    <cellStyle name="Normal 2 5 7 2 5" xfId="18431" xr:uid="{9CEB69D1-EAF2-4C8D-B97D-30442469D1F3}"/>
    <cellStyle name="Normal 2 5 8" xfId="9458" xr:uid="{FE307704-6ABF-4305-B73E-A334367B2F36}"/>
    <cellStyle name="Normal 2 5 8 2" xfId="16565" xr:uid="{064FC150-B0CA-4854-9FE0-51364ED5F8C0}"/>
    <cellStyle name="Normal 2 5 8 2 2" xfId="46112" xr:uid="{FCDA7CB6-EF39-4918-BC85-7D33D0CB416B}"/>
    <cellStyle name="Normal 2 5 8 3" xfId="13766" xr:uid="{831016E1-02D6-4046-958A-3DE05CBF549F}"/>
    <cellStyle name="Normal 2 5 8 3 2" xfId="43539" xr:uid="{F40124AA-1C3F-4306-A231-1DFEFD724396}"/>
    <cellStyle name="Normal 2 5 8 4" xfId="18528" xr:uid="{6870A09E-1BAF-4812-9947-C9D3BA8383B8}"/>
    <cellStyle name="Normal 2 5 9" xfId="12740" xr:uid="{489932B2-9CCB-47BE-A8F3-49C9BC9C59E4}"/>
    <cellStyle name="Normal 2 5 9 2" xfId="42598" xr:uid="{50AE70D1-ADAD-4C53-B924-D27AD768075E}"/>
    <cellStyle name="Normal 2 6" xfId="3356" xr:uid="{714A8B10-C349-43C9-829C-44563477FB6C}"/>
    <cellStyle name="Normal 2 6 2" xfId="2718" xr:uid="{424281FA-DCA8-41E7-AA49-DF26D02C22AD}"/>
    <cellStyle name="Normal 2 6 2 2" xfId="8014" xr:uid="{FA99DC4F-B669-4EC4-BB35-1ECAF815BEEB}"/>
    <cellStyle name="Normal 2 6 2 2 2" xfId="9330" xr:uid="{6BDFA7AE-82DB-4752-9E23-7EDB17CA021E}"/>
    <cellStyle name="Normal 2 6 2 2 2 2" xfId="10158" xr:uid="{04CBF252-93CB-4BD4-9654-53C4B0AC755B}"/>
    <cellStyle name="Normal 2 6 2 2 2 2 2" xfId="16989" xr:uid="{3AFA2A53-1FBF-44C8-A42E-90D6644C62AF}"/>
    <cellStyle name="Normal 2 6 2 2 2 2 2 2" xfId="46531" xr:uid="{E3E36A5F-D06D-4357-9B00-9410A01A1752}"/>
    <cellStyle name="Normal 2 6 2 2 2 2 3" xfId="10636" xr:uid="{844615B8-23C7-4109-A468-7E00E993294C}"/>
    <cellStyle name="Normal 2 6 2 2 2 2 3 2" xfId="40617" xr:uid="{0B95688E-3E14-4A9F-9225-BEA52EB43CAD}"/>
    <cellStyle name="Normal 2 6 2 2 2 2 4" xfId="19121" xr:uid="{FBB3DAB9-5DD3-447C-B553-035E0F96A051}"/>
    <cellStyle name="Normal 2 6 2 2 2 3" xfId="16465" xr:uid="{333920E8-9298-4748-81B7-4624144DEAC6}"/>
    <cellStyle name="Normal 2 6 2 2 2 3 2" xfId="46013" xr:uid="{32DCF01F-0ED1-42E3-A9A1-8E1D723244C1}"/>
    <cellStyle name="Normal 2 6 2 2 2 4" xfId="16431" xr:uid="{3A9E3BA2-BD8A-4350-B762-E61429956CCC}"/>
    <cellStyle name="Normal 2 6 2 2 2 4 2" xfId="45982" xr:uid="{FF211A83-5335-49FB-94A2-9C34FE30697F}"/>
    <cellStyle name="Normal 2 6 2 2 2 5" xfId="18410" xr:uid="{343F919C-4C49-4F71-B15C-7CC4319B1A38}"/>
    <cellStyle name="Normal 2 6 2 3" xfId="6381" xr:uid="{0272D856-8E0D-4C44-B271-BF67A15D5FD1}"/>
    <cellStyle name="Normal 2 6 2 3 2" xfId="10048" xr:uid="{46CE61CF-2D5E-4FD4-8977-91F6BB6C1B22}"/>
    <cellStyle name="Normal 2 6 2 3 2 2" xfId="16908" xr:uid="{F11FC82F-B581-4054-AA4E-CA50AD7049E5}"/>
    <cellStyle name="Normal 2 6 2 3 2 2 2" xfId="46450" xr:uid="{9474EF53-C9A9-47D6-BDFD-176F26265DCA}"/>
    <cellStyle name="Normal 2 6 2 3 2 3" xfId="10876" xr:uid="{C257F357-A80F-4B5C-93E3-163BCBB70D9E}"/>
    <cellStyle name="Normal 2 6 2 3 2 3 2" xfId="40856" xr:uid="{5D24A964-0E6B-4C91-A8EF-9911BC418AB6}"/>
    <cellStyle name="Normal 2 6 2 3 2 4" xfId="19012" xr:uid="{A11D792E-8D70-4353-9783-5163D05B36BA}"/>
    <cellStyle name="Normal 2 6 2 3 3" xfId="14580" xr:uid="{52698B8C-C1AA-4C2E-AAE7-CB317CD86EE7}"/>
    <cellStyle name="Normal 2 6 2 3 3 2" xfId="44300" xr:uid="{FC37CA1C-E531-4BEF-AF29-B33CA30A0D4D}"/>
    <cellStyle name="Normal 2 6 2 3 4" xfId="17215" xr:uid="{5DEE1DA3-1876-493E-9981-7A137A178F19}"/>
    <cellStyle name="Normal 2 6 2 3 4 2" xfId="46749" xr:uid="{DD52D5D8-ECBC-4D86-A80A-19EB565889DD}"/>
    <cellStyle name="Normal 2 6 2 3 5" xfId="18308" xr:uid="{ED5D5559-2912-4996-8A6A-825AB5BC4F58}"/>
    <cellStyle name="Normal 2 6 2 4" xfId="9416" xr:uid="{1D2BBD61-605F-4771-896E-5B20F393BA08}"/>
    <cellStyle name="Normal 2 6 2 4 2" xfId="16534" xr:uid="{3BECC99B-D5BE-497B-A0CD-76930E5F8B04}"/>
    <cellStyle name="Normal 2 6 2 4 2 2" xfId="46081" xr:uid="{5DC6FA4E-5534-4E20-96EE-5D592B53EC3E}"/>
    <cellStyle name="Normal 2 6 2 4 3" xfId="14050" xr:uid="{100EA305-7248-4F2F-B4F0-98C8371C4B4F}"/>
    <cellStyle name="Normal 2 6 2 4 3 2" xfId="43803" xr:uid="{3D96AD7B-866F-4371-AE67-7A0CE47F12DC}"/>
    <cellStyle name="Normal 2 6 2 4 4" xfId="18486" xr:uid="{E7E2663D-3BA1-4C43-A72E-9EA32244F1E5}"/>
    <cellStyle name="Normal 2 6 2 5" xfId="12280" xr:uid="{A640BA90-E19F-4FD7-BD26-6E35FF03A88A}"/>
    <cellStyle name="Normal 2 6 2 5 2" xfId="42192" xr:uid="{99BB59D1-A47D-4833-B689-0E64B6EFCE34}"/>
    <cellStyle name="Normal 2 6 2 6" xfId="14141" xr:uid="{ECB5C798-7F74-44FB-9AA9-4F8AF5C84773}"/>
    <cellStyle name="Normal 2 6 2 6 2" xfId="43888" xr:uid="{782F4D0C-02D1-4352-8E63-5AA81726C404}"/>
    <cellStyle name="Normal 2 6 3" xfId="4119" xr:uid="{195AD778-3630-4AD4-B969-4D99091F90A9}"/>
    <cellStyle name="Normal 2 6 3 2" xfId="9171" xr:uid="{6C4B8275-9355-496F-8FDE-6BCE939627BE}"/>
    <cellStyle name="Normal 2 6 3 2 2" xfId="9364" xr:uid="{2BF76F17-D48C-432B-937E-BF4F7FDC56A5}"/>
    <cellStyle name="Normal 2 6 3 2 2 2" xfId="10192" xr:uid="{BC702EF5-68DF-4844-B082-1146B16971B1}"/>
    <cellStyle name="Normal 2 6 3 2 2 2 2" xfId="17023" xr:uid="{4BBB15BD-8747-4370-A6D5-08FE6CA114D0}"/>
    <cellStyle name="Normal 2 6 3 2 2 2 2 2" xfId="46565" xr:uid="{0B2B131C-B497-4840-8255-66FD8A41E853}"/>
    <cellStyle name="Normal 2 6 3 2 2 2 3" xfId="12671" xr:uid="{6FC31CC8-E1DE-4D26-9DFA-7E449E669E93}"/>
    <cellStyle name="Normal 2 6 3 2 2 2 3 2" xfId="42539" xr:uid="{673C3FB7-FA9A-4070-B161-243EE556C25B}"/>
    <cellStyle name="Normal 2 6 3 2 2 2 4" xfId="19155" xr:uid="{35A14D58-F965-4121-BCB9-31F7CD6F1D6E}"/>
    <cellStyle name="Normal 2 6 3 2 2 3" xfId="16499" xr:uid="{D70CEBFB-3417-496E-BD06-23D85F571DF2}"/>
    <cellStyle name="Normal 2 6 3 2 2 3 2" xfId="46047" xr:uid="{8E0A40A1-0D5B-4A76-861B-BC4E6053B3F6}"/>
    <cellStyle name="Normal 2 6 3 2 2 4" xfId="11304" xr:uid="{4B39F1FE-AA77-447D-8D7D-435BB72E911B}"/>
    <cellStyle name="Normal 2 6 3 2 2 4 2" xfId="41271" xr:uid="{AAA0BE94-2F78-4043-97C1-4E97E6B6527A}"/>
    <cellStyle name="Normal 2 6 3 2 2 5" xfId="18444" xr:uid="{BCF60BED-A8E3-4B62-8584-8F7E173D08FE}"/>
    <cellStyle name="Normal 2 6 3 3" xfId="7683" xr:uid="{4E5D4143-FF37-4B9E-A636-D667D4A9938D}"/>
    <cellStyle name="Normal 2 6 3 3 2" xfId="10138" xr:uid="{3AD28C90-3AE6-4AAD-BAB3-F0F9457527CE}"/>
    <cellStyle name="Normal 2 6 3 3 2 2" xfId="16970" xr:uid="{FD07876E-EF30-42F3-AFF0-5A0D2C20AC9C}"/>
    <cellStyle name="Normal 2 6 3 3 2 2 2" xfId="46512" xr:uid="{0214BB3C-64ED-43DC-AE53-118C56060875}"/>
    <cellStyle name="Normal 2 6 3 3 2 3" xfId="10691" xr:uid="{06758CBA-C212-44A6-BD3A-07DF6F982930}"/>
    <cellStyle name="Normal 2 6 3 3 2 3 2" xfId="40672" xr:uid="{036E3A4C-9877-456D-8FDE-E56F39F97926}"/>
    <cellStyle name="Normal 2 6 3 3 2 4" xfId="19101" xr:uid="{45840B10-5F10-45C1-9310-580399D7DB3D}"/>
    <cellStyle name="Normal 2 6 3 3 3" xfId="15407" xr:uid="{728BE3D5-A01D-4AD0-8CAC-C2C51ED5B4B8}"/>
    <cellStyle name="Normal 2 6 3 3 3 2" xfId="45049" xr:uid="{55D3E8A7-BA11-4899-AEC3-EE36F8B74AFD}"/>
    <cellStyle name="Normal 2 6 3 3 4" xfId="13417" xr:uid="{1B0A6DBD-DC82-44A0-AF16-F550C08D856D}"/>
    <cellStyle name="Normal 2 6 3 3 4 2" xfId="43221" xr:uid="{9793EFD0-9454-4ED0-ABD6-C1202FAC2E83}"/>
    <cellStyle name="Normal 2 6 3 3 5" xfId="18396" xr:uid="{D44CF8C5-D81C-4435-8B49-787F1A2CB9C3}"/>
    <cellStyle name="Normal 2 6 3 4" xfId="9525" xr:uid="{72648A30-AF45-4AB9-A97D-9CA97374CC37}"/>
    <cellStyle name="Normal 2 6 3 4 2" xfId="16606" xr:uid="{8223FD1E-D1B3-4D3F-8DA6-C3CB155FDA60}"/>
    <cellStyle name="Normal 2 6 3 4 2 2" xfId="46153" xr:uid="{32456749-1EDA-4284-B759-ABB123FCD727}"/>
    <cellStyle name="Normal 2 6 3 4 3" xfId="11433" xr:uid="{EA01C314-03A6-4368-A62C-A29FB92152C9}"/>
    <cellStyle name="Normal 2 6 3 4 3 2" xfId="41392" xr:uid="{7DE38B0C-D74D-41C4-904E-9F8EFBCF533F}"/>
    <cellStyle name="Normal 2 6 3 4 4" xfId="18593" xr:uid="{5C70B141-C8BA-431E-BB7B-6C19AFDAB0E9}"/>
    <cellStyle name="Normal 2 6 3 5" xfId="13167" xr:uid="{EFBAC6D0-6F58-445B-BA31-66B5335B06AD}"/>
    <cellStyle name="Normal 2 6 3 5 2" xfId="42991" xr:uid="{C5770E39-9F09-415F-BB3F-CBF8837D3E68}"/>
    <cellStyle name="Normal 2 6 3 6" xfId="11536" xr:uid="{D11B0B28-0CA5-4585-AF35-31413A1A82D1}"/>
    <cellStyle name="Normal 2 6 3 6 2" xfId="41491" xr:uid="{C28655A5-69D1-4B96-A862-53FE116BFAEE}"/>
    <cellStyle name="Normal 2 6 4" xfId="2588" xr:uid="{DCE97669-0A96-4DB0-BC0E-79E22FD338D5}"/>
    <cellStyle name="Normal 2 6 4 2" xfId="7885" xr:uid="{1DB503DE-DFAB-43DA-B049-B8B8FD5D06F1}"/>
    <cellStyle name="Normal 2 6 4 2 2" xfId="9326" xr:uid="{662845A9-01F2-45BB-8C6B-AB6407A3D416}"/>
    <cellStyle name="Normal 2 6 4 2 2 2" xfId="10154" xr:uid="{E7694AD7-FC36-44E9-9D15-AC2054346BCD}"/>
    <cellStyle name="Normal 2 6 4 2 2 2 2" xfId="16985" xr:uid="{76A63B2F-0278-4ADD-B1C2-AEDF487B8946}"/>
    <cellStyle name="Normal 2 6 4 2 2 2 2 2" xfId="46527" xr:uid="{A7B07868-4E7B-43B1-BC67-F8CE390238FC}"/>
    <cellStyle name="Normal 2 6 4 2 2 2 3" xfId="12915" xr:uid="{32C1417F-199E-408B-8814-65C3C534EED4}"/>
    <cellStyle name="Normal 2 6 4 2 2 2 3 2" xfId="42756" xr:uid="{217C1225-838F-4250-A5BF-AF49F1AC1BA4}"/>
    <cellStyle name="Normal 2 6 4 2 2 2 4" xfId="19117" xr:uid="{164557A5-2AD4-4114-96DC-E66D55C8191B}"/>
    <cellStyle name="Normal 2 6 4 2 2 3" xfId="16461" xr:uid="{D26F1DBA-60F2-46E2-A29F-48E14E994FE7}"/>
    <cellStyle name="Normal 2 6 4 2 2 3 2" xfId="46009" xr:uid="{B6275F0A-38ED-446B-9152-34A44BFD4219}"/>
    <cellStyle name="Normal 2 6 4 2 2 4" xfId="11684" xr:uid="{C5584A99-988F-461E-B3BA-90636BC8F886}"/>
    <cellStyle name="Normal 2 6 4 2 2 4 2" xfId="41627" xr:uid="{CE6E6F46-8588-4D96-9E70-3DCC0E4FD6D5}"/>
    <cellStyle name="Normal 2 6 4 2 2 5" xfId="18406" xr:uid="{B850992D-CF8A-4498-A9D8-95CE970B651C}"/>
    <cellStyle name="Normal 2 6 4 3" xfId="6252" xr:uid="{894A6DD5-9052-4E6F-924A-7C9D9DBEA366}"/>
    <cellStyle name="Normal 2 6 4 3 2" xfId="10044" xr:uid="{628C8B34-F7F4-4BDE-902C-E327042EC41B}"/>
    <cellStyle name="Normal 2 6 4 3 2 2" xfId="16904" xr:uid="{1C9FFAA4-7C62-498A-8796-7253B5CDB543}"/>
    <cellStyle name="Normal 2 6 4 3 2 2 2" xfId="46446" xr:uid="{CC78F15A-909C-41F6-A077-546F80A8E488}"/>
    <cellStyle name="Normal 2 6 4 3 2 3" xfId="15676" xr:uid="{7D186072-B9F9-40F3-80BB-3522A3DA93EA}"/>
    <cellStyle name="Normal 2 6 4 3 2 3 2" xfId="45297" xr:uid="{1335EFCB-6D56-458D-84E7-2FF6CD807EFF}"/>
    <cellStyle name="Normal 2 6 4 3 2 4" xfId="19008" xr:uid="{69E56EDF-7114-404F-91BB-A2F9E1538A05}"/>
    <cellStyle name="Normal 2 6 4 3 3" xfId="14497" xr:uid="{713D5BC4-467E-40B9-B398-2F0BAE52BEF7}"/>
    <cellStyle name="Normal 2 6 4 3 3 2" xfId="44226" xr:uid="{D6C507E1-99F2-4D53-92C0-21281C98FB64}"/>
    <cellStyle name="Normal 2 6 4 3 4" xfId="13120" xr:uid="{81DC46A3-D72F-4351-B8F0-7D6202144072}"/>
    <cellStyle name="Normal 2 6 4 3 4 2" xfId="42946" xr:uid="{C129854B-3D25-4E84-A3F6-ACDF952CA1B5}"/>
    <cellStyle name="Normal 2 6 4 3 5" xfId="18304" xr:uid="{DCFC3440-49A3-4961-8341-18E5677D3C56}"/>
    <cellStyle name="Normal 2 6 4 4" xfId="9412" xr:uid="{15E2B749-F856-4632-85EC-37B309CDB7FE}"/>
    <cellStyle name="Normal 2 6 4 4 2" xfId="16530" xr:uid="{FCC9FEA5-A4F4-42E5-8FDF-01DF25BFE6EA}"/>
    <cellStyle name="Normal 2 6 4 4 2 2" xfId="46077" xr:uid="{F32943AA-C7E6-4733-8A43-357D06B61367}"/>
    <cellStyle name="Normal 2 6 4 4 3" xfId="12908" xr:uid="{F9F76C48-D3D4-442E-8C9C-93AB2FFA92A8}"/>
    <cellStyle name="Normal 2 6 4 4 3 2" xfId="42750" xr:uid="{21F1BAA3-05F9-4C3B-A411-D40F762A2907}"/>
    <cellStyle name="Normal 2 6 4 4 4" xfId="18482" xr:uid="{D0FFCC70-186F-4F7F-83AD-CD6252FF58CE}"/>
    <cellStyle name="Normal 2 6 4 5" xfId="12200" xr:uid="{5DCD86DC-BEAB-497F-A149-1A9921D64917}"/>
    <cellStyle name="Normal 2 6 4 5 2" xfId="42118" xr:uid="{ACBFB836-6024-4B26-9FA8-3DEC56FD58F4}"/>
    <cellStyle name="Normal 2 6 4 6" xfId="15174" xr:uid="{EEA853D2-1E92-4A96-83AA-DDFF8E6B74D8}"/>
    <cellStyle name="Normal 2 6 4 6 2" xfId="44831" xr:uid="{6B2EF89F-75FC-47D5-8805-EA031CC82822}"/>
    <cellStyle name="Normal 2 6 5" xfId="4140" xr:uid="{44035C52-92C6-4466-A75C-68D84F6640EF}"/>
    <cellStyle name="Normal 2 6 5 2" xfId="9192" xr:uid="{8BBE26C7-D02B-4B9F-987E-D8C5B18DB76B}"/>
    <cellStyle name="Normal 2 6 5 2 2" xfId="9367" xr:uid="{C5E1E0F3-93F4-4472-8ABC-5A125695CE15}"/>
    <cellStyle name="Normal 2 6 5 2 2 2" xfId="10195" xr:uid="{A9C5143F-2F74-448D-85CD-BC9AE9AFC21A}"/>
    <cellStyle name="Normal 2 6 5 2 2 2 2" xfId="17026" xr:uid="{011228EE-731B-4609-840A-DD872FA50C36}"/>
    <cellStyle name="Normal 2 6 5 2 2 2 2 2" xfId="46568" xr:uid="{AA887689-0AF8-48FD-AA34-EC919A199BE3}"/>
    <cellStyle name="Normal 2 6 5 2 2 2 3" xfId="10726" xr:uid="{341FE800-9846-4711-B333-D35A0B6E6690}"/>
    <cellStyle name="Normal 2 6 5 2 2 2 3 2" xfId="40707" xr:uid="{DE29FF41-455D-4E26-AF37-1FC9F93EF479}"/>
    <cellStyle name="Normal 2 6 5 2 2 2 4" xfId="19158" xr:uid="{F3AA519E-CE23-4E45-AA5D-FD95C0DE3123}"/>
    <cellStyle name="Normal 2 6 5 2 2 3" xfId="16502" xr:uid="{DA334592-6BE0-4CE1-9D62-FF61CBFF7CC7}"/>
    <cellStyle name="Normal 2 6 5 2 2 3 2" xfId="46050" xr:uid="{4A30EC8F-99DE-4667-B5EC-04FF59CB85D0}"/>
    <cellStyle name="Normal 2 6 5 2 2 4" xfId="11683" xr:uid="{0BDD1813-65D3-4BCD-9438-08D0A9A61B83}"/>
    <cellStyle name="Normal 2 6 5 2 2 4 2" xfId="41626" xr:uid="{22989969-9742-4525-8B0D-F34F5A95814D}"/>
    <cellStyle name="Normal 2 6 5 2 2 5" xfId="18447" xr:uid="{3E40A2C7-CFF1-4840-BABE-44BA34AD793F}"/>
    <cellStyle name="Normal 2 6 5 3" xfId="7704" xr:uid="{F69CF3A5-CC79-4A9A-8291-DFED0340C852}"/>
    <cellStyle name="Normal 2 6 5 3 2" xfId="10141" xr:uid="{EFC8617F-59BD-47D3-9565-5102219B1CA7}"/>
    <cellStyle name="Normal 2 6 5 3 2 2" xfId="16973" xr:uid="{E73F2BC9-F923-47B9-821A-798746D9752D}"/>
    <cellStyle name="Normal 2 6 5 3 2 2 2" xfId="46515" xr:uid="{4E6803D7-6A20-4292-8F4A-97FA641ADC7D}"/>
    <cellStyle name="Normal 2 6 5 3 2 3" xfId="13341" xr:uid="{F50FB9ED-0C36-4F16-9721-6186C3C754FF}"/>
    <cellStyle name="Normal 2 6 5 3 2 3 2" xfId="43154" xr:uid="{50D18796-E129-43B7-B37C-6B483AF88F7F}"/>
    <cellStyle name="Normal 2 6 5 3 2 4" xfId="19104" xr:uid="{E4BD64F6-714F-409A-B4A0-CA76125986F3}"/>
    <cellStyle name="Normal 2 6 5 3 3" xfId="15419" xr:uid="{5ABD1B12-37C9-45DB-B7D0-BB3E2DEC1A5C}"/>
    <cellStyle name="Normal 2 6 5 3 3 2" xfId="45061" xr:uid="{57467B5C-773F-4A3A-A6C8-74C58165BDC7}"/>
    <cellStyle name="Normal 2 6 5 3 4" xfId="15152" xr:uid="{21A1D3E3-4ED7-49C9-AACC-9EB382684232}"/>
    <cellStyle name="Normal 2 6 5 3 4 2" xfId="44814" xr:uid="{A394D625-FCBE-4786-A71E-4C4971030BDD}"/>
    <cellStyle name="Normal 2 6 5 3 5" xfId="18399" xr:uid="{8372DA8E-17E0-4032-92AF-3F1D323D2882}"/>
    <cellStyle name="Normal 2 6 5 4" xfId="9528" xr:uid="{F2DAE158-4CBE-4D6F-9FAC-79BDC6A430EA}"/>
    <cellStyle name="Normal 2 6 5 4 2" xfId="16609" xr:uid="{BC90DAD1-9394-4650-8D4F-7FBADA4C8990}"/>
    <cellStyle name="Normal 2 6 5 4 2 2" xfId="46156" xr:uid="{BCFCE413-5C0E-4260-8AA3-5A4459C2CE67}"/>
    <cellStyle name="Normal 2 6 5 4 3" xfId="15862" xr:uid="{5963328F-850C-4B40-B15F-960098E07E3E}"/>
    <cellStyle name="Normal 2 6 5 4 3 2" xfId="45465" xr:uid="{E1616B69-D715-42FA-B087-9161178A412D}"/>
    <cellStyle name="Normal 2 6 5 4 4" xfId="18596" xr:uid="{1FCCAFDF-F8C8-4B99-946B-C8CB064BD715}"/>
    <cellStyle name="Normal 2 6 5 5" xfId="13181" xr:uid="{342A7666-904F-49CB-83DF-440EED02F69D}"/>
    <cellStyle name="Normal 2 6 5 5 2" xfId="43004" xr:uid="{4C99220C-FC0B-47F8-9B8B-C445CA7D3722}"/>
    <cellStyle name="Normal 2 6 5 6" xfId="11841" xr:uid="{596400BD-2965-458B-A59F-585A6A299172}"/>
    <cellStyle name="Normal 2 6 5 6 2" xfId="41774" xr:uid="{65C42C38-F7A9-45A2-A82D-F2E23BCB104A}"/>
    <cellStyle name="Normal 2 6 6" xfId="7006" xr:uid="{28E4FB8C-1B06-4BC0-9296-EB2AF677EE61}"/>
    <cellStyle name="Normal 2 6 6 2" xfId="10087" xr:uid="{D040D7C0-F347-49FB-9CA2-4A6B5B68B58F}"/>
    <cellStyle name="Normal 2 6 6 2 2" xfId="16933" xr:uid="{7EB4F556-EEB2-43AB-8BAC-B372BEB78C24}"/>
    <cellStyle name="Normal 2 6 6 2 2 2" xfId="46475" xr:uid="{AAD8B51F-A703-417D-965B-5841E47B6363}"/>
    <cellStyle name="Normal 2 6 6 2 3" xfId="13980" xr:uid="{AB41EE41-6F5A-43DE-BBF2-245854A5CAA0}"/>
    <cellStyle name="Normal 2 6 6 2 3 2" xfId="43744" xr:uid="{DF8428E1-64F7-4C5E-B8B1-8545F1448045}"/>
    <cellStyle name="Normal 2 6 6 2 4" xfId="19050" xr:uid="{40A481B4-3DB5-4927-825D-9EBE5E9E23CD}"/>
    <cellStyle name="Normal 2 6 6 3" xfId="14985" xr:uid="{530FD7D6-006B-4558-B738-C51D758406CC}"/>
    <cellStyle name="Normal 2 6 6 3 2" xfId="44667" xr:uid="{7A1EDE70-1883-4318-8D47-FDCEB6DD6958}"/>
    <cellStyle name="Normal 2 6 6 4" xfId="14481" xr:uid="{00854642-E90E-434E-990C-92E8DA92A46F}"/>
    <cellStyle name="Normal 2 6 6 4 2" xfId="44210" xr:uid="{4ADAABBF-340C-4C76-A04E-6A7433F41CDD}"/>
    <cellStyle name="Normal 2 6 6 5" xfId="18346" xr:uid="{73A2B8C7-502A-45A4-8191-72744F4E08EA}"/>
    <cellStyle name="Normal 2 6 7" xfId="8619" xr:uid="{BA6BA850-ECBF-4A2B-ABDD-B9BBCEAE1AB1}"/>
    <cellStyle name="Normal 2 6 7 2" xfId="9348" xr:uid="{CD6B3FD3-FAF7-484E-8072-583931FA0BD6}"/>
    <cellStyle name="Normal 2 6 7 2 2" xfId="10176" xr:uid="{953A0687-D75A-4B79-A0E7-EEFB7254A28D}"/>
    <cellStyle name="Normal 2 6 7 2 2 2" xfId="17007" xr:uid="{34A7F165-C99C-46CF-8478-07D6DD37801B}"/>
    <cellStyle name="Normal 2 6 7 2 2 2 2" xfId="46549" xr:uid="{07B567D2-5D9D-46AA-9D31-503FFE703CC4}"/>
    <cellStyle name="Normal 2 6 7 2 2 3" xfId="14498" xr:uid="{6B35569D-88DA-4B1D-9037-61E3AC0B2E15}"/>
    <cellStyle name="Normal 2 6 7 2 2 3 2" xfId="44227" xr:uid="{248F3157-D6C5-42EE-961B-A011D14D01D1}"/>
    <cellStyle name="Normal 2 6 7 2 2 4" xfId="19139" xr:uid="{C97A428F-D8C6-44EC-B67B-B2549F155948}"/>
    <cellStyle name="Normal 2 6 7 2 3" xfId="16483" xr:uid="{AB963624-4B11-4A79-A33F-17D6217B928E}"/>
    <cellStyle name="Normal 2 6 7 2 3 2" xfId="46031" xr:uid="{490CC146-0645-460C-AEAF-32516DFDE2AF}"/>
    <cellStyle name="Normal 2 6 7 2 4" xfId="11311" xr:uid="{2CD2BE17-3B42-4773-AD88-DCAE5BA0DE19}"/>
    <cellStyle name="Normal 2 6 7 2 4 2" xfId="41278" xr:uid="{B4EC4DBB-77A4-4CD0-AAC7-FF1A39C035C4}"/>
    <cellStyle name="Normal 2 6 7 2 5" xfId="18428" xr:uid="{79497F1A-1425-4108-9BEA-DC779C6BF83A}"/>
    <cellStyle name="Normal 2 6 8" xfId="9454" xr:uid="{4A575A35-DD86-4B5E-9E17-6251612B1D77}"/>
    <cellStyle name="Normal 2 6 8 2" xfId="16562" xr:uid="{F6B96E38-E11A-4F94-8B6D-291BFAFC57A1}"/>
    <cellStyle name="Normal 2 6 8 2 2" xfId="46109" xr:uid="{85FACF75-5C0A-4FD2-89E2-501031D11648}"/>
    <cellStyle name="Normal 2 6 8 3" xfId="12415" xr:uid="{88D16B09-9CF9-40D4-99C2-22DB5431BE64}"/>
    <cellStyle name="Normal 2 6 8 3 2" xfId="42318" xr:uid="{8E24954F-DFA1-4E74-BA62-9CC7FFE89E17}"/>
    <cellStyle name="Normal 2 6 8 4" xfId="18524" xr:uid="{427DC0B7-2B0E-4D2F-8BF7-39C9F056BE8F}"/>
    <cellStyle name="Normal 2 6 9" xfId="12690" xr:uid="{E9D93F94-084C-44D5-A9D1-1BF2E9675C81}"/>
    <cellStyle name="Normal 2 6 9 2" xfId="42556" xr:uid="{275EBE28-EFF5-4C9D-9593-AC00CA7247CD}"/>
    <cellStyle name="Normal 2 7" xfId="3333" xr:uid="{6E0FD34C-A51B-49D4-B68E-A5F20AF958E8}"/>
    <cellStyle name="Normal 2 7 2" xfId="2695" xr:uid="{D5AD9BFC-E6F2-4BF1-8699-D54844454F52}"/>
    <cellStyle name="Normal 2 7 2 2" xfId="7991" xr:uid="{E8BBBA2E-429A-465C-94F2-5312E28083E4}"/>
    <cellStyle name="Normal 2 7 2 2 2" xfId="9329" xr:uid="{78633974-5A06-4DE2-8D5F-82F9988BD584}"/>
    <cellStyle name="Normal 2 7 2 2 2 2" xfId="10157" xr:uid="{91B3B26C-16D3-4604-8E9C-EB3D01AC33D5}"/>
    <cellStyle name="Normal 2 7 2 2 2 2 2" xfId="16988" xr:uid="{87CC5FDA-B5BC-40C6-BD95-C2B3454AF7DA}"/>
    <cellStyle name="Normal 2 7 2 2 2 2 2 2" xfId="46530" xr:uid="{9A72644C-A0B2-43B3-BAD0-D9EFBAE8B7F4}"/>
    <cellStyle name="Normal 2 7 2 2 2 2 3" xfId="15302" xr:uid="{66CC69DB-087B-4F75-9F11-7D4A12F8F287}"/>
    <cellStyle name="Normal 2 7 2 2 2 2 3 2" xfId="44950" xr:uid="{0E88DC60-AD7B-4BE2-9332-B1B178220DB7}"/>
    <cellStyle name="Normal 2 7 2 2 2 2 4" xfId="19120" xr:uid="{9E2A2FDA-11AF-43BD-B4FE-E0123DFDFA6E}"/>
    <cellStyle name="Normal 2 7 2 2 2 3" xfId="16464" xr:uid="{83C3E22D-4E44-4C47-98B1-CB487EF8BCC7}"/>
    <cellStyle name="Normal 2 7 2 2 2 3 2" xfId="46012" xr:uid="{C0CECF71-80D8-4ADF-97BE-56007D262D9C}"/>
    <cellStyle name="Normal 2 7 2 2 2 4" xfId="14525" xr:uid="{64999750-849F-4FE9-B170-312AC226F2D8}"/>
    <cellStyle name="Normal 2 7 2 2 2 4 2" xfId="44252" xr:uid="{3C0183AA-096E-4DF9-9535-C46F9B9BA9E9}"/>
    <cellStyle name="Normal 2 7 2 2 2 5" xfId="18409" xr:uid="{5B4F0753-F337-450B-8404-D0D164825627}"/>
    <cellStyle name="Normal 2 7 2 3" xfId="6358" xr:uid="{987F652E-EC03-4245-9FB8-7FF29441E996}"/>
    <cellStyle name="Normal 2 7 2 3 2" xfId="10047" xr:uid="{2B10936D-3C0C-4939-B713-AE2665202E01}"/>
    <cellStyle name="Normal 2 7 2 3 2 2" xfId="16907" xr:uid="{A5AB8240-1E12-443B-90F9-F1124B689D3E}"/>
    <cellStyle name="Normal 2 7 2 3 2 2 2" xfId="46449" xr:uid="{59CBD251-2025-4D26-950B-8A6B54828773}"/>
    <cellStyle name="Normal 2 7 2 3 2 3" xfId="16586" xr:uid="{F0C341C3-884C-4666-A731-48AD289CA95F}"/>
    <cellStyle name="Normal 2 7 2 3 2 3 2" xfId="46133" xr:uid="{D8D1C9C0-2B15-4331-995A-F2D885087441}"/>
    <cellStyle name="Normal 2 7 2 3 2 4" xfId="19011" xr:uid="{8E9E490D-F910-4537-8B3A-ABBB31827143}"/>
    <cellStyle name="Normal 2 7 2 3 3" xfId="14569" xr:uid="{99592CB2-3956-4F62-99DB-52D3A15E4CA6}"/>
    <cellStyle name="Normal 2 7 2 3 3 2" xfId="44290" xr:uid="{A7FB8B67-E26B-4ADD-9379-77AE85BBCAC5}"/>
    <cellStyle name="Normal 2 7 2 3 4" xfId="13092" xr:uid="{BF9985A0-CE74-4976-AAEE-96275CDE3730}"/>
    <cellStyle name="Normal 2 7 2 3 4 2" xfId="42919" xr:uid="{D0A316B7-ACBD-4FD7-8A06-CC40401E6DD0}"/>
    <cellStyle name="Normal 2 7 2 3 5" xfId="18307" xr:uid="{1B389D57-F5A2-4BDB-A2F5-635DF8278C57}"/>
    <cellStyle name="Normal 2 7 2 4" xfId="9415" xr:uid="{82AB413D-AEC7-4D94-B820-423B6DEE9306}"/>
    <cellStyle name="Normal 2 7 2 4 2" xfId="16533" xr:uid="{E6211A46-B157-4280-8352-B55220F8E83A}"/>
    <cellStyle name="Normal 2 7 2 4 2 2" xfId="46080" xr:uid="{7853FDAB-EA63-40BE-BF96-1989D8E20D21}"/>
    <cellStyle name="Normal 2 7 2 4 3" xfId="16960" xr:uid="{FD82C837-922C-4C33-AFBE-2657537F75EF}"/>
    <cellStyle name="Normal 2 7 2 4 3 2" xfId="46502" xr:uid="{F1D837F0-E5E3-4705-A88B-74715A6449DA}"/>
    <cellStyle name="Normal 2 7 2 4 4" xfId="18485" xr:uid="{28E53CEC-D7B2-45E5-AF3E-4B1F4AE00A2F}"/>
    <cellStyle name="Normal 2 7 2 5" xfId="12269" xr:uid="{D578B283-E82E-48F1-A59D-E0D1D8CC4CD6}"/>
    <cellStyle name="Normal 2 7 2 5 2" xfId="42181" xr:uid="{F1F9412F-63D4-4B98-BB5D-5178A68A6F97}"/>
    <cellStyle name="Normal 2 7 2 6" xfId="10883" xr:uid="{DF6AB3E3-4776-4290-8389-F1D0DD45EAFE}"/>
    <cellStyle name="Normal 2 7 2 6 2" xfId="40863" xr:uid="{80C04117-723F-4EA1-A754-E603C9663A56}"/>
    <cellStyle name="Normal 2 7 3" xfId="4364" xr:uid="{6847C5AF-40C3-4CA6-AE7D-AA7E6BC98AF1}"/>
    <cellStyle name="Normal 2 7 3 2" xfId="6983" xr:uid="{78C770D5-891A-4C43-8E6E-865675E83A41}"/>
    <cellStyle name="Normal 2 7 3 2 2" xfId="10086" xr:uid="{F509DCEC-2FCD-4E15-BB32-4EB68B67653A}"/>
    <cellStyle name="Normal 2 7 3 2 2 2" xfId="16932" xr:uid="{43681B21-6102-445B-90A8-A9435F5D1EF6}"/>
    <cellStyle name="Normal 2 7 3 2 2 2 2" xfId="46474" xr:uid="{6A62D03B-2300-46CD-B111-D7C3E0F6ABAF}"/>
    <cellStyle name="Normal 2 7 3 2 2 3" xfId="11044" xr:uid="{DDF57F74-5F39-4B20-8718-AAAEA0A70047}"/>
    <cellStyle name="Normal 2 7 3 2 2 3 2" xfId="41024" xr:uid="{358BF21D-3244-4C97-A1D8-C2EFCE0ADF86}"/>
    <cellStyle name="Normal 2 7 3 2 2 4" xfId="19049" xr:uid="{588482BA-C16B-4536-9A75-4F760531149F}"/>
    <cellStyle name="Normal 2 7 3 2 3" xfId="14968" xr:uid="{F79BF7E5-69D2-4DFF-A0D5-8DD5DFEDEB6A}"/>
    <cellStyle name="Normal 2 7 3 2 3 2" xfId="44652" xr:uid="{D379BDB5-CBFC-4165-A8D2-576223447FCB}"/>
    <cellStyle name="Normal 2 7 3 2 4" xfId="13293" xr:uid="{6C7463AD-A052-423E-9794-2C6B97F5466A}"/>
    <cellStyle name="Normal 2 7 3 2 4 2" xfId="43109" xr:uid="{8F403EF3-D9A4-4CA9-A08D-5A520DE19A51}"/>
    <cellStyle name="Normal 2 7 3 2 5" xfId="18345" xr:uid="{74FD4A06-C434-44EF-9839-46ECE2BD2446}"/>
    <cellStyle name="Normal 2 7 3 3" xfId="9557" xr:uid="{1AAD33F6-EC28-429A-88D0-09B8E752B6E6}"/>
    <cellStyle name="Normal 2 7 3 3 2" xfId="16622" xr:uid="{F317F6AA-DA56-40E3-96C3-E1D3248BB57F}"/>
    <cellStyle name="Normal 2 7 3 3 2 2" xfId="46169" xr:uid="{858CEFFF-C0FF-4179-9B7A-115119498D65}"/>
    <cellStyle name="Normal 2 7 3 3 3" xfId="17459" xr:uid="{43BEE3DF-6DE5-4343-96EB-7EDD99A0925B}"/>
    <cellStyle name="Normal 2 7 3 3 3 2" xfId="46988" xr:uid="{79E9A972-633A-4417-9BFC-25D10ED60872}"/>
    <cellStyle name="Normal 2 7 3 3 4" xfId="18625" xr:uid="{20887DC4-C233-433A-91E6-E40071C25EA5}"/>
    <cellStyle name="Normal 2 7 3 4" xfId="13313" xr:uid="{C9CB5BCF-B0A2-4BCD-B7FD-5015E68D34CB}"/>
    <cellStyle name="Normal 2 7 3 4 2" xfId="43128" xr:uid="{7C716F1C-8366-4CC5-9DC2-AC7F0F7009FB}"/>
    <cellStyle name="Normal 2 7 3 5" xfId="13350" xr:uid="{628D7E7A-8FBB-4EE5-89C9-68BDC300CF0F}"/>
    <cellStyle name="Normal 2 7 3 5 2" xfId="43163" xr:uid="{FCF47F53-390F-40FE-9C1E-FC71AFB13412}"/>
    <cellStyle name="Normal 2 7 3 6" xfId="17932" xr:uid="{35429825-B8CB-4139-800D-65146B34BB16}"/>
    <cellStyle name="Normal 2 7 4" xfId="8596" xr:uid="{E8313C6B-40DF-43CE-9595-26632A780E5F}"/>
    <cellStyle name="Normal 2 7 4 2" xfId="9347" xr:uid="{D5091A2E-5473-4476-96AF-20F3DBC5A9C7}"/>
    <cellStyle name="Normal 2 7 4 2 2" xfId="10175" xr:uid="{C61458C5-54B7-46DB-91ED-9E9DD228673B}"/>
    <cellStyle name="Normal 2 7 4 2 2 2" xfId="17006" xr:uid="{6F704A16-3FDA-4505-A4CF-0C643540BB0F}"/>
    <cellStyle name="Normal 2 7 4 2 2 2 2" xfId="46548" xr:uid="{0A948F17-9548-40B0-893B-AFB4E0B49FA3}"/>
    <cellStyle name="Normal 2 7 4 2 2 3" xfId="10828" xr:uid="{2AABF929-D020-4D25-805E-5BF47D24DB03}"/>
    <cellStyle name="Normal 2 7 4 2 2 3 2" xfId="40809" xr:uid="{6CC0E843-C79F-4EC3-9501-0E6D38034B4E}"/>
    <cellStyle name="Normal 2 7 4 2 2 4" xfId="19138" xr:uid="{009D3A37-6A5D-4054-B437-39CACE6F6243}"/>
    <cellStyle name="Normal 2 7 4 2 3" xfId="16482" xr:uid="{C94E5582-6235-4B89-895C-4766CA55A7B1}"/>
    <cellStyle name="Normal 2 7 4 2 3 2" xfId="46030" xr:uid="{E953CEDE-1165-4864-8BE1-58A39572DE06}"/>
    <cellStyle name="Normal 2 7 4 2 4" xfId="15552" xr:uid="{90C5E9D2-DEE8-4815-BD8F-20AA2DE9F621}"/>
    <cellStyle name="Normal 2 7 4 2 4 2" xfId="45184" xr:uid="{88C7451B-B805-4DA1-AE92-805D0883837B}"/>
    <cellStyle name="Normal 2 7 4 2 5" xfId="18427" xr:uid="{D4D6A2C8-1CEA-4AAB-B2D3-68246960BF78}"/>
    <cellStyle name="Normal 2 7 5" xfId="9453" xr:uid="{B68E93C1-2AD2-448B-BDEF-DC763E1724B8}"/>
    <cellStyle name="Normal 2 7 5 2" xfId="16561" xr:uid="{C982868B-DE93-405F-8D4D-3F6D93A013A4}"/>
    <cellStyle name="Normal 2 7 5 2 2" xfId="46108" xr:uid="{96929932-8887-4424-9358-D16ED15C1B6D}"/>
    <cellStyle name="Normal 2 7 5 3" xfId="14144" xr:uid="{77A269EF-85DD-47B3-B165-BC232EA3AE72}"/>
    <cellStyle name="Normal 2 7 5 3 2" xfId="43890" xr:uid="{751E664B-C1BB-437C-8127-A81172349310}"/>
    <cellStyle name="Normal 2 7 5 4" xfId="18523" xr:uid="{DE9AC4DC-06A9-4777-968A-DD22D77B01FB}"/>
    <cellStyle name="Normal 2 7 6" xfId="12674" xr:uid="{09199EA2-DCEE-40D5-980A-C99AAA46C0BB}"/>
    <cellStyle name="Normal 2 7 6 2" xfId="42542" xr:uid="{B40BEC3D-CB30-4D05-A3AB-C3C4C28B4819}"/>
    <cellStyle name="Normal 2 8" xfId="3421" xr:uid="{C9AC523E-C5E9-436D-B032-FCD79DF8CB5F}"/>
    <cellStyle name="Normal 2 8 2" xfId="2763" xr:uid="{1B62708C-BC01-4537-8E46-340466F95EB1}"/>
    <cellStyle name="Normal 2 8 2 2" xfId="8059" xr:uid="{5B0F32DD-C8F7-496A-A744-5425CE98F36D}"/>
    <cellStyle name="Normal 2 8 2 2 2" xfId="9332" xr:uid="{516115D9-A159-434F-978D-3F1CA4AD5727}"/>
    <cellStyle name="Normal 2 8 2 2 2 2" xfId="10160" xr:uid="{BED31712-E431-4318-AAD8-9C30C14DE923}"/>
    <cellStyle name="Normal 2 8 2 2 2 2 2" xfId="16991" xr:uid="{C5FFC37B-CF82-4DD8-8C63-9B042C709E69}"/>
    <cellStyle name="Normal 2 8 2 2 2 2 2 2" xfId="46533" xr:uid="{FB7FECF7-4CFB-4AF0-8064-A0A2439C32B1}"/>
    <cellStyle name="Normal 2 8 2 2 2 2 3" xfId="13198" xr:uid="{1B5BD1A5-2C35-4DEA-AA66-9E960F0FCD1D}"/>
    <cellStyle name="Normal 2 8 2 2 2 2 3 2" xfId="43020" xr:uid="{B29CA7B7-72FE-43BA-91D3-0595B645F6C2}"/>
    <cellStyle name="Normal 2 8 2 2 2 2 4" xfId="19123" xr:uid="{28541DE2-3D93-4491-9244-6EE5F5DFAFF0}"/>
    <cellStyle name="Normal 2 8 2 2 2 3" xfId="16467" xr:uid="{35CADB62-AEE8-49A3-9392-B0329FC20431}"/>
    <cellStyle name="Normal 2 8 2 2 2 3 2" xfId="46015" xr:uid="{5E88B950-91EB-4B71-8A6F-296AC3318255}"/>
    <cellStyle name="Normal 2 8 2 2 2 4" xfId="15089" xr:uid="{76C7F7D0-A3AE-48B0-A93F-E9A3C31FD467}"/>
    <cellStyle name="Normal 2 8 2 2 2 4 2" xfId="44756" xr:uid="{905B8961-3330-40E4-BA42-2E344277F140}"/>
    <cellStyle name="Normal 2 8 2 2 2 5" xfId="18412" xr:uid="{9366D4A6-D2F0-45B2-A0A3-8A63104D4474}"/>
    <cellStyle name="Normal 2 8 2 3" xfId="6426" xr:uid="{0DA96D8F-BFE2-4135-9618-3333C21CCB20}"/>
    <cellStyle name="Normal 2 8 2 3 2" xfId="10050" xr:uid="{0F20E85C-01A0-423E-B2CD-8CEFA955D501}"/>
    <cellStyle name="Normal 2 8 2 3 2 2" xfId="16910" xr:uid="{512FEF89-283E-46C8-B7B6-3139C9ABBA2C}"/>
    <cellStyle name="Normal 2 8 2 3 2 2 2" xfId="46452" xr:uid="{5F3376BF-B9D0-4ED0-9AB2-AF72595AB006}"/>
    <cellStyle name="Normal 2 8 2 3 2 3" xfId="10817" xr:uid="{F6444221-2B0E-40C5-BE93-2493ABABB5F3}"/>
    <cellStyle name="Normal 2 8 2 3 2 3 2" xfId="40798" xr:uid="{B6825032-0419-47B6-B50D-57580A5CE531}"/>
    <cellStyle name="Normal 2 8 2 3 2 4" xfId="19014" xr:uid="{DDEC670F-62CA-4ABE-8726-E78EA863D566}"/>
    <cellStyle name="Normal 2 8 2 3 3" xfId="14612" xr:uid="{72DE46EE-93CB-418A-80A9-9C393281D827}"/>
    <cellStyle name="Normal 2 8 2 3 3 2" xfId="44331" xr:uid="{A9C20199-1EC3-4D02-A8C1-7ED3F91A673E}"/>
    <cellStyle name="Normal 2 8 2 3 4" xfId="13472" xr:uid="{2557509A-CC83-4E4A-874E-C1C3576443E7}"/>
    <cellStyle name="Normal 2 8 2 3 4 2" xfId="43273" xr:uid="{B42CDE11-7C58-4803-ABD5-460D1376C380}"/>
    <cellStyle name="Normal 2 8 2 3 5" xfId="18310" xr:uid="{29379A6C-1C69-4C3B-9F65-F8D152142593}"/>
    <cellStyle name="Normal 2 8 2 4" xfId="9418" xr:uid="{70955FDE-3D28-49A7-9BF6-BE2030F6E70D}"/>
    <cellStyle name="Normal 2 8 2 4 2" xfId="16536" xr:uid="{21A0B5BE-2B53-4063-B626-D3E104DE3DE0}"/>
    <cellStyle name="Normal 2 8 2 4 2 2" xfId="46083" xr:uid="{ADF1E98D-B4F1-4A4A-AC96-C532CFFF4075}"/>
    <cellStyle name="Normal 2 8 2 4 3" xfId="12698" xr:uid="{EA4C9282-55AB-4152-B4E2-33E9E8CB71E5}"/>
    <cellStyle name="Normal 2 8 2 4 3 2" xfId="42563" xr:uid="{62081989-BCE8-45EF-AF6E-6F73D6537A1D}"/>
    <cellStyle name="Normal 2 8 2 4 4" xfId="18488" xr:uid="{9A0305F6-53EC-4782-82DE-3E14B802CF3D}"/>
    <cellStyle name="Normal 2 8 2 5" xfId="12311" xr:uid="{F81A86A7-0320-4E31-A4BD-160D599D8AB3}"/>
    <cellStyle name="Normal 2 8 2 5 2" xfId="42220" xr:uid="{77D03548-61D4-4D6B-864B-28CB04FFA1CC}"/>
    <cellStyle name="Normal 2 8 2 6" xfId="16194" xr:uid="{846E2C60-E9A9-4BD3-B866-3BB0D709D3E2}"/>
    <cellStyle name="Normal 2 8 2 6 2" xfId="45762" xr:uid="{E2DD2008-43C0-4970-983B-63333C439DEB}"/>
    <cellStyle name="Normal 2 8 3" xfId="4424" xr:uid="{9184B82C-F0B2-4B7F-85C9-983D610D4CA9}"/>
    <cellStyle name="Normal 2 8 3 2" xfId="7063" xr:uid="{72E84F50-38FF-409C-BAD8-35323910BE67}"/>
    <cellStyle name="Normal 2 8 3 2 2" xfId="10089" xr:uid="{3ED17F8D-2F17-4871-84F9-0A3C1B8919D7}"/>
    <cellStyle name="Normal 2 8 3 2 2 2" xfId="16935" xr:uid="{CA76779E-85B6-43D6-85A4-64CBBB73F1A7}"/>
    <cellStyle name="Normal 2 8 3 2 2 2 2" xfId="46477" xr:uid="{C16CA380-3FE4-4EC0-A042-30EE6EEDF536}"/>
    <cellStyle name="Normal 2 8 3 2 2 3" xfId="13779" xr:uid="{45D7E407-B454-44C5-8623-5B45B576F62B}"/>
    <cellStyle name="Normal 2 8 3 2 2 3 2" xfId="43552" xr:uid="{22EB8944-BD90-4C93-BE43-1507D9F71A7D}"/>
    <cellStyle name="Normal 2 8 3 2 2 4" xfId="19052" xr:uid="{315A8C17-ACA1-4024-B251-F5EC8435D93F}"/>
    <cellStyle name="Normal 2 8 3 2 3" xfId="15023" xr:uid="{3988EB4D-E249-472F-8F80-3C1880BCBF0E}"/>
    <cellStyle name="Normal 2 8 3 2 3 2" xfId="44698" xr:uid="{45E111BE-B92D-4DC9-9A3E-43C266AE459B}"/>
    <cellStyle name="Normal 2 8 3 2 4" xfId="12185" xr:uid="{0C1A218B-364F-459F-A9A3-31EA3169B8A0}"/>
    <cellStyle name="Normal 2 8 3 2 4 2" xfId="42105" xr:uid="{8FEDF1B3-95BA-4FA5-BBDA-291EBBEBF076}"/>
    <cellStyle name="Normal 2 8 3 2 5" xfId="18348" xr:uid="{041D7A73-69E5-4B09-A305-E195A47C1812}"/>
    <cellStyle name="Normal 2 8 3 3" xfId="9558" xr:uid="{1E5322A1-75CB-4EEC-B1DE-3B2C1828210C}"/>
    <cellStyle name="Normal 2 8 3 3 2" xfId="16623" xr:uid="{C7E232B8-251A-4D3C-A074-9F259526E147}"/>
    <cellStyle name="Normal 2 8 3 3 2 2" xfId="46170" xr:uid="{7898030D-3A66-42F1-9589-B8E6802531F6}"/>
    <cellStyle name="Normal 2 8 3 3 3" xfId="12645" xr:uid="{42DAE6F2-F014-4BE6-84C4-13849C3279E1}"/>
    <cellStyle name="Normal 2 8 3 3 3 2" xfId="42516" xr:uid="{39232823-78D9-499C-A4B4-A8A94CAE0AF3}"/>
    <cellStyle name="Normal 2 8 3 3 4" xfId="18626" xr:uid="{600F797D-29EC-4F9B-B9D6-E03517502655}"/>
    <cellStyle name="Normal 2 8 3 4" xfId="13348" xr:uid="{2439790F-EDDF-451E-AFBD-D478D918A4DC}"/>
    <cellStyle name="Normal 2 8 3 4 2" xfId="43161" xr:uid="{2A3398C6-E340-4073-BB49-505A5A468A8E}"/>
    <cellStyle name="Normal 2 8 3 5" xfId="16448" xr:uid="{ED2E296A-ABDE-4DF8-A98A-4A4512A21569}"/>
    <cellStyle name="Normal 2 8 3 5 2" xfId="45996" xr:uid="{3AC57400-F624-42FB-AF91-11F6AC397288}"/>
    <cellStyle name="Normal 2 8 3 6" xfId="17933" xr:uid="{A2B28599-A467-4B3A-81B9-9541FA641149}"/>
    <cellStyle name="Normal 2 8 4" xfId="8658" xr:uid="{4C1C11CB-A7EE-4433-9B4B-8C95BCBC2708}"/>
    <cellStyle name="Normal 2 8 4 2" xfId="9350" xr:uid="{759D594E-FA8A-4F07-A13E-F92A963BE6F8}"/>
    <cellStyle name="Normal 2 8 4 2 2" xfId="10178" xr:uid="{E7A51BED-F906-49FB-9D69-D6986AB781BB}"/>
    <cellStyle name="Normal 2 8 4 2 2 2" xfId="17009" xr:uid="{CDD68AD0-8F12-41CD-A405-020969B46CF8}"/>
    <cellStyle name="Normal 2 8 4 2 2 2 2" xfId="46551" xr:uid="{74655001-FFE7-49C8-A1DD-C43BC1408A01}"/>
    <cellStyle name="Normal 2 8 4 2 2 3" xfId="12691" xr:uid="{1922073B-A685-44C3-BB19-A81C58210B92}"/>
    <cellStyle name="Normal 2 8 4 2 2 3 2" xfId="42557" xr:uid="{40148CF5-8B43-4859-94A2-07BEC5BB2CB9}"/>
    <cellStyle name="Normal 2 8 4 2 2 4" xfId="19141" xr:uid="{70C40C3D-71A3-4EFD-868F-23C1A1EDC844}"/>
    <cellStyle name="Normal 2 8 4 2 3" xfId="16485" xr:uid="{824BDC18-ADAF-402B-99DE-BE9D406028E3}"/>
    <cellStyle name="Normal 2 8 4 2 3 2" xfId="46033" xr:uid="{4FD96ED2-07E0-4C1A-82B4-C2E0C01385D9}"/>
    <cellStyle name="Normal 2 8 4 2 4" xfId="15732" xr:uid="{500BF53E-145C-4940-BE53-3494620F216B}"/>
    <cellStyle name="Normal 2 8 4 2 4 2" xfId="45351" xr:uid="{7892A218-6D9B-4D62-ABAB-B5CCD0E08304}"/>
    <cellStyle name="Normal 2 8 4 2 5" xfId="18430" xr:uid="{55BDB713-0AA2-4FD7-957B-CB96C8FAC9F6}"/>
    <cellStyle name="Normal 2 8 5" xfId="9457" xr:uid="{49F19C2D-6421-4814-BC9D-0119D944891B}"/>
    <cellStyle name="Normal 2 8 5 2" xfId="16564" xr:uid="{18971FDB-A073-43CE-A533-F060FDFCE2BE}"/>
    <cellStyle name="Normal 2 8 5 2 2" xfId="46111" xr:uid="{616B4E5B-DE0E-4347-B0DC-E2BB7AE0E1C7}"/>
    <cellStyle name="Normal 2 8 5 3" xfId="11927" xr:uid="{EC4A3155-877D-4B6B-8BCA-D5659F6F8BC7}"/>
    <cellStyle name="Normal 2 8 5 3 2" xfId="41858" xr:uid="{5D08A3B3-0201-4307-B69B-56D800165E76}"/>
    <cellStyle name="Normal 2 8 5 4" xfId="18527" xr:uid="{88555170-CE3F-47B8-952D-144E85BFAD77}"/>
    <cellStyle name="Normal 2 8 6" xfId="12736" xr:uid="{980E3ADD-1F3F-4A82-9659-F2E9B6BC57A8}"/>
    <cellStyle name="Normal 2 8 6 2" xfId="42594" xr:uid="{09CAA64E-5ACD-4187-8245-E9B4C5A5BC3B}"/>
    <cellStyle name="Normal 2 9" xfId="3602" xr:uid="{20FDFB6A-0663-425E-937C-179ECFC4FE66}"/>
    <cellStyle name="Normal 2 9 2" xfId="2936" xr:uid="{886321C3-8A90-4D7D-970B-2C80ADCE4960}"/>
    <cellStyle name="Normal 2 9 2 2" xfId="8232" xr:uid="{BD034BCF-4870-4D35-AFE9-B27FFD594202}"/>
    <cellStyle name="Normal 2 9 2 2 2" xfId="9335" xr:uid="{D6E03F85-F11F-4E0D-879F-F19E1A95E9C9}"/>
    <cellStyle name="Normal 2 9 2 2 2 2" xfId="10163" xr:uid="{616EDEAB-CC24-4BFC-AFA6-878D5EC1A7A6}"/>
    <cellStyle name="Normal 2 9 2 2 2 2 2" xfId="16994" xr:uid="{484B87B6-60A8-4A49-8BA2-64EFE7CE2719}"/>
    <cellStyle name="Normal 2 9 2 2 2 2 2 2" xfId="46536" xr:uid="{77554BAD-BC52-4EE9-A309-ED483C4D3E9F}"/>
    <cellStyle name="Normal 2 9 2 2 2 2 3" xfId="10764" xr:uid="{C26B51AB-A37F-425B-AB82-072559E26340}"/>
    <cellStyle name="Normal 2 9 2 2 2 2 3 2" xfId="40745" xr:uid="{CFC9E453-0CB8-4DB8-B8F6-2BD5953816C2}"/>
    <cellStyle name="Normal 2 9 2 2 2 2 4" xfId="19126" xr:uid="{A38AAB4C-FB56-42CB-9D87-2A538EA6F767}"/>
    <cellStyle name="Normal 2 9 2 2 2 3" xfId="16470" xr:uid="{BE126362-D5B3-4C4C-9804-9D85A008F770}"/>
    <cellStyle name="Normal 2 9 2 2 2 3 2" xfId="46018" xr:uid="{3E99789E-9432-4AE4-94CF-D42C909B9C40}"/>
    <cellStyle name="Normal 2 9 2 2 2 4" xfId="13253" xr:uid="{E8635E84-8FAC-45AA-8138-7528C0A7228A}"/>
    <cellStyle name="Normal 2 9 2 2 2 4 2" xfId="43071" xr:uid="{DB0A020A-6457-4002-A514-F3DB4DC3FACF}"/>
    <cellStyle name="Normal 2 9 2 2 2 5" xfId="18415" xr:uid="{0B19276C-8862-42E8-8197-FBA5E96CB3C3}"/>
    <cellStyle name="Normal 2 9 2 3" xfId="6599" xr:uid="{8E6AD60C-AC2F-4F53-B5F3-120944E99149}"/>
    <cellStyle name="Normal 2 9 2 3 2" xfId="10053" xr:uid="{7866CA47-90BB-4886-A652-4128560E2454}"/>
    <cellStyle name="Normal 2 9 2 3 2 2" xfId="16913" xr:uid="{03BF7F15-97A8-44CB-B143-470EA079A017}"/>
    <cellStyle name="Normal 2 9 2 3 2 2 2" xfId="46455" xr:uid="{CB9E5246-AEFB-4718-854E-FA6C299C24C7}"/>
    <cellStyle name="Normal 2 9 2 3 2 3" xfId="14204" xr:uid="{1E49FC5A-7DFD-4032-BD66-7263BF0521BD}"/>
    <cellStyle name="Normal 2 9 2 3 2 3 2" xfId="43941" xr:uid="{673CCC48-8C30-44D2-8ED8-C92B63495452}"/>
    <cellStyle name="Normal 2 9 2 3 2 4" xfId="19017" xr:uid="{682DA58A-95BC-4626-B526-4DC5E3AD87EF}"/>
    <cellStyle name="Normal 2 9 2 3 3" xfId="14722" xr:uid="{4641A2FA-A6FF-4B16-A65B-0FBC8303D99A}"/>
    <cellStyle name="Normal 2 9 2 3 3 2" xfId="44431" xr:uid="{C798D956-3831-411A-B8AB-91FCA3F904D6}"/>
    <cellStyle name="Normal 2 9 2 3 4" xfId="13941" xr:uid="{A7DEAAE7-9D89-4C1E-848B-74B7FC0ECFA6}"/>
    <cellStyle name="Normal 2 9 2 3 4 2" xfId="43706" xr:uid="{E468F8AA-BE09-4F95-8D07-69F6BE01C2F4}"/>
    <cellStyle name="Normal 2 9 2 3 5" xfId="18313" xr:uid="{A35D96E3-4FE5-40D1-B789-814F54EEF3D4}"/>
    <cellStyle name="Normal 2 9 2 4" xfId="9421" xr:uid="{E66DFB96-0B16-4366-924B-C94739205273}"/>
    <cellStyle name="Normal 2 9 2 4 2" xfId="16539" xr:uid="{7F856872-4676-4454-9D4C-00C52FE48C71}"/>
    <cellStyle name="Normal 2 9 2 4 2 2" xfId="46086" xr:uid="{6506349D-F2F4-4325-8A65-DC7CF1E17F5D}"/>
    <cellStyle name="Normal 2 9 2 4 3" xfId="11159" xr:uid="{E49AD9C0-D156-4345-BBF1-174BB528B3CA}"/>
    <cellStyle name="Normal 2 9 2 4 3 2" xfId="41135" xr:uid="{9A98109A-69F9-42D3-A69C-1F5639D78A7C}"/>
    <cellStyle name="Normal 2 9 2 4 4" xfId="18491" xr:uid="{1FE0FBC8-578D-4A64-8927-4D91702138D1}"/>
    <cellStyle name="Normal 2 9 2 5" xfId="12418" xr:uid="{DEE61C7F-09C5-43AA-9001-81EB121019C7}"/>
    <cellStyle name="Normal 2 9 2 5 2" xfId="42321" xr:uid="{04515F6C-A0BD-40CE-A2A8-0CEE5B98F159}"/>
    <cellStyle name="Normal 2 9 2 6" xfId="16444" xr:uid="{BAA9EF24-31FB-4214-8EAA-294F164CADD4}"/>
    <cellStyle name="Normal 2 9 2 6 2" xfId="45993" xr:uid="{60A207CC-4F5F-40E0-9465-C90C89B0BFE7}"/>
    <cellStyle name="Normal 2 9 3" xfId="4572" xr:uid="{51AD477D-E892-46BA-8DA3-A7560F508A90}"/>
    <cellStyle name="Normal 2 9 3 2" xfId="7238" xr:uid="{FF43D2DB-A897-48F3-9BE0-18FC6D0A9F91}"/>
    <cellStyle name="Normal 2 9 3 2 2" xfId="10092" xr:uid="{D851D44E-3267-468A-A2EB-54DC34E3B1E8}"/>
    <cellStyle name="Normal 2 9 3 2 2 2" xfId="16938" xr:uid="{9247191C-8997-4A3A-9BB5-96ED7FD1971D}"/>
    <cellStyle name="Normal 2 9 3 2 2 2 2" xfId="46480" xr:uid="{1EBC9AC7-FFDB-4266-9A1A-4A0B1D97701B}"/>
    <cellStyle name="Normal 2 9 3 2 2 3" xfId="15601" xr:uid="{E03A051C-4EDD-4B83-AAE2-083D6E8B9038}"/>
    <cellStyle name="Normal 2 9 3 2 2 3 2" xfId="45228" xr:uid="{1EE74BCF-CF82-46BD-AF51-3C1263F595D3}"/>
    <cellStyle name="Normal 2 9 3 2 2 4" xfId="19055" xr:uid="{95F0C8EC-10EF-43D2-B636-D15FB04980F3}"/>
    <cellStyle name="Normal 2 9 3 2 3" xfId="15132" xr:uid="{D2D6259B-CE76-42D7-A875-6041A53BA4B9}"/>
    <cellStyle name="Normal 2 9 3 2 3 2" xfId="44796" xr:uid="{439162AE-0E8A-4E45-9A9C-031C7EDB4148}"/>
    <cellStyle name="Normal 2 9 3 2 4" xfId="14551" xr:uid="{D7CB9CD6-E416-4EC9-9DF4-99E77CF2F141}"/>
    <cellStyle name="Normal 2 9 3 2 4 2" xfId="44274" xr:uid="{D8DA1061-D3D2-44B1-8531-59467DC8086E}"/>
    <cellStyle name="Normal 2 9 3 2 5" xfId="18351" xr:uid="{03A3E9A6-CFAC-4794-8874-3EFDA15A6F75}"/>
    <cellStyle name="Normal 2 9 4" xfId="4677" xr:uid="{70AB1C9A-2524-4C78-B351-5FA5CE26DB52}"/>
    <cellStyle name="Normal 2 9 4 2" xfId="8828" xr:uid="{EAD2DC27-9AFF-4759-ADB4-E35F3A3D3BCD}"/>
    <cellStyle name="Normal 2 9 4 3" xfId="9353" xr:uid="{0A3F8017-6C55-4FD0-B6A9-B158E4A64199}"/>
    <cellStyle name="Normal 2 9 4 3 2" xfId="10181" xr:uid="{16E4BC7C-B8EF-4C7F-8B6C-5B76792EA8A5}"/>
    <cellStyle name="Normal 2 9 4 3 2 2" xfId="17012" xr:uid="{29DE0024-14A7-4610-BD56-662E1D7687AD}"/>
    <cellStyle name="Normal 2 9 4 3 2 2 2" xfId="46554" xr:uid="{041D64FF-075E-446F-B716-09B43B2515DA}"/>
    <cellStyle name="Normal 2 9 4 3 2 3" xfId="17035" xr:uid="{08BEC173-4B05-4C78-AC6B-B072F6741CB2}"/>
    <cellStyle name="Normal 2 9 4 3 2 3 2" xfId="46577" xr:uid="{15466084-9907-4BC7-807B-63B2C3EE4192}"/>
    <cellStyle name="Normal 2 9 4 3 2 4" xfId="19144" xr:uid="{F54439D4-D16D-43C6-A2D8-42BB50EB4168}"/>
    <cellStyle name="Normal 2 9 4 3 3" xfId="16488" xr:uid="{9DB6488D-9F57-4016-93D7-0A572F2004E9}"/>
    <cellStyle name="Normal 2 9 4 3 3 2" xfId="46036" xr:uid="{8431A6F2-E2D1-47D8-84DF-9C1619154BBD}"/>
    <cellStyle name="Normal 2 9 4 3 4" xfId="15663" xr:uid="{4BAEE987-7061-423E-8598-5C27AC59EFFC}"/>
    <cellStyle name="Normal 2 9 4 3 4 2" xfId="45285" xr:uid="{76764EF6-E39E-442F-8D06-DF753245E526}"/>
    <cellStyle name="Normal 2 9 4 3 5" xfId="18433" xr:uid="{31FC6C63-0865-490C-B53E-AA4F674BDE44}"/>
    <cellStyle name="Normal 2 9 4 4" xfId="9605" xr:uid="{9F667894-C60B-4245-8A24-8A5B586951B2}"/>
    <cellStyle name="Normal 2 9 4 4 2" xfId="16653" xr:uid="{2E4A22D5-4831-445C-A385-F7F54B901B42}"/>
    <cellStyle name="Normal 2 9 4 4 2 2" xfId="46200" xr:uid="{BCDE12B7-0FF4-45EB-AA53-502CFBAE8199}"/>
    <cellStyle name="Normal 2 9 4 4 3" xfId="12520" xr:uid="{B7769413-35ED-489D-B808-683EB9597B08}"/>
    <cellStyle name="Normal 2 9 4 4 3 2" xfId="42406" xr:uid="{987C967F-C0F7-490E-A7DD-BDEDF31C7F2A}"/>
    <cellStyle name="Normal 2 9 4 4 4" xfId="18670" xr:uid="{9FB9CF18-4449-4ED5-B6F3-A5A023C4853A}"/>
    <cellStyle name="Normal 2 9 4 5" xfId="13516" xr:uid="{4FBF4F80-8DF7-42CC-BDFC-7D5FEE50426D}"/>
    <cellStyle name="Normal 2 9 4 5 2" xfId="43313" xr:uid="{76881F24-DD86-42D7-8FAD-250D9BFF3AA2}"/>
    <cellStyle name="Normal 2 9 4 6" xfId="13720" xr:uid="{806DAF70-EAF0-419B-AFDF-191D8D9BE9DC}"/>
    <cellStyle name="Normal 2 9 4 6 2" xfId="43498" xr:uid="{7130CECA-F1F0-4772-A9B9-6766135F91B7}"/>
    <cellStyle name="Normal 2 9 5" xfId="9462" xr:uid="{C89369E8-F46B-49EF-9E7F-6450BB1C7E78}"/>
    <cellStyle name="Normal 2 9 5 2" xfId="16568" xr:uid="{93EEA6E0-D99E-429A-BA25-C6B5DC42A1F4}"/>
    <cellStyle name="Normal 2 9 5 2 2" xfId="46115" xr:uid="{BDF097E9-8633-4C23-BE38-23CED2FD6D2D}"/>
    <cellStyle name="Normal 2 9 5 3" xfId="11120" xr:uid="{47339D1D-05C8-443B-BD9F-0FCF78142B63}"/>
    <cellStyle name="Normal 2 9 5 3 2" xfId="41098" xr:uid="{681E49BE-519B-47C5-BE37-8FEE1FDB8030}"/>
    <cellStyle name="Normal 2 9 5 4" xfId="18530" xr:uid="{791896FC-904F-4F70-BDF1-9A2384372533}"/>
    <cellStyle name="Normal 2 9 6" xfId="12849" xr:uid="{394F95C9-DA83-4871-A609-F1F1987C530E}"/>
    <cellStyle name="Normal 2 9 6 2" xfId="42702" xr:uid="{01C0B94C-D3C3-41CD-B5A4-7117F6017631}"/>
    <cellStyle name="Normal 2_АГМ" xfId="2242" xr:uid="{4C6B20F9-A927-4C73-9FE8-88E14B2EEC9D}"/>
    <cellStyle name="Normal_#10-Headcount" xfId="2243" xr:uid="{242AB273-DD69-4E3E-ACA7-E91B25B32807}"/>
    <cellStyle name="normбlnм_laroux" xfId="2244" xr:uid="{44D2D839-8E45-4091-9188-1F21378F14BC}"/>
    <cellStyle name="Note" xfId="2245" xr:uid="{3096BD65-D914-453B-8102-D02016695664}"/>
    <cellStyle name="Note 10" xfId="3686" xr:uid="{6CDB50CB-7F09-4335-B673-FB5BA202B061}"/>
    <cellStyle name="Note 10 2" xfId="3002" xr:uid="{6C6563EF-EB57-46C7-993B-B9023408E33D}"/>
    <cellStyle name="Note 10 2 2" xfId="8298" xr:uid="{3801B199-4C8B-429B-9464-4EADDBB23B81}"/>
    <cellStyle name="Note 10 2 2 2" xfId="13241" xr:uid="{47AC1CC6-406C-4505-9DBC-3195C0134598}"/>
    <cellStyle name="Note 10 2 2 2 2" xfId="29736" xr:uid="{835C4541-D492-4671-B062-FA6746F58302}"/>
    <cellStyle name="Note 10 2 2 2 3" xfId="43060" xr:uid="{BAE7E0DB-5510-46CB-8758-F32FA59F2D8A}"/>
    <cellStyle name="Note 10 2 2 3" xfId="25803" xr:uid="{FDC6B50B-FF7F-4D76-9615-4C6B2D2CEA0A}"/>
    <cellStyle name="Note 10 2 2 4" xfId="38879" xr:uid="{579120A9-E33F-41C2-9398-C1113123A868}"/>
    <cellStyle name="Note 10 2 3" xfId="6665" xr:uid="{7FF498B1-C76E-41CA-A906-54717FD0D6B7}"/>
    <cellStyle name="Note 10 2 3 2" xfId="12961" xr:uid="{4550CA04-61AA-4242-B412-3DB57D68418F}"/>
    <cellStyle name="Note 10 2 3 2 2" xfId="29499" xr:uid="{A7411116-2ABA-49EB-80FF-2F4B4952B88D}"/>
    <cellStyle name="Note 10 2 3 2 3" xfId="42798" xr:uid="{F46397F5-4E82-4520-BDE8-437328F994A4}"/>
    <cellStyle name="Note 10 2 3 3" xfId="24294" xr:uid="{8B8AB52E-02B9-4E92-A71F-AF8A4175D57B}"/>
    <cellStyle name="Note 10 2 3 4" xfId="37375" xr:uid="{7F366930-2B0B-4445-A4C3-B7B07CBD06A5}"/>
    <cellStyle name="Note 10 2 4" xfId="12407" xr:uid="{67D1A63F-356F-4FC0-A576-E6A90D102FC5}"/>
    <cellStyle name="Note 10 2 4 2" xfId="29071" xr:uid="{44AD6493-33EE-4059-8A6A-257908926742}"/>
    <cellStyle name="Note 10 2 4 3" xfId="42312" xr:uid="{E50281CD-6381-4B66-8961-83C275065656}"/>
    <cellStyle name="Note 10 2 5" xfId="21046" xr:uid="{5CF2AF9D-976E-4941-AADB-A5BB6BE154F1}"/>
    <cellStyle name="Note 10 2 6" xfId="34069" xr:uid="{C1CF6D2A-33A1-497C-ADB7-B533D829675E}"/>
    <cellStyle name="Note 10 3" xfId="4617" xr:uid="{E88E1F8A-CAFB-417C-BAEF-AF5E8D184D24}"/>
    <cellStyle name="Note 10 3 2" xfId="7321" xr:uid="{0A68C4BE-325A-49DB-9B32-D3DD9B68C1E1}"/>
    <cellStyle name="Note 10 3 2 2" xfId="14244" xr:uid="{5DA2FF18-9902-4915-A238-33974340DE08}"/>
    <cellStyle name="Note 10 3 2 2 2" xfId="30589" xr:uid="{60D9EE7A-71D3-44A2-82D4-6E9ACC8ABC5E}"/>
    <cellStyle name="Note 10 3 2 2 3" xfId="43981" xr:uid="{29D426FA-0845-4E93-BF03-FB83F28B1E33}"/>
    <cellStyle name="Note 10 3 2 3" xfId="24881" xr:uid="{A2850943-F434-41FA-A747-51B39D5FF67E}"/>
    <cellStyle name="Note 10 3 2 4" xfId="37961" xr:uid="{476D3E01-63A0-4B5D-9D59-24FDD2840D67}"/>
    <cellStyle name="Note 10 3 3" xfId="10769" xr:uid="{1E0FD59C-6AEF-4E70-8921-AF6DBD7B3BFF}"/>
    <cellStyle name="Note 10 3 3 2" xfId="27604" xr:uid="{3AF1E66F-16CB-49B8-99B7-5708EB7A2F11}"/>
    <cellStyle name="Note 10 3 3 3" xfId="40750" xr:uid="{EE8D3BA8-AEBC-4ABC-85F6-AE51B4B1B727}"/>
    <cellStyle name="Note 10 3 4" xfId="22427" xr:uid="{A450A4B5-07F5-4416-81B0-058A7D41CE55}"/>
    <cellStyle name="Note 10 3 5" xfId="35480" xr:uid="{522DCFC8-AE17-40C1-8F9A-DA2E8521F1C6}"/>
    <cellStyle name="Note 10 4" xfId="5694" xr:uid="{C2D2A4B4-70A3-4268-B984-42C6AA0F3220}"/>
    <cellStyle name="Note 10 4 2" xfId="8882" xr:uid="{20DA8B45-4208-40E5-B45C-F851D9C32CA1}"/>
    <cellStyle name="Note 10 4 2 2" xfId="11464" xr:uid="{509CB9D9-FFDE-4BAB-B0AB-56CEBA4649CA}"/>
    <cellStyle name="Note 10 4 2 2 2" xfId="28228" xr:uid="{45207D7A-4EB5-4F2B-BF2D-B8B3AEF79ABA}"/>
    <cellStyle name="Note 10 4 2 2 3" xfId="41423" xr:uid="{5DF657C0-3E30-42A8-880A-D087BAC0E0D6}"/>
    <cellStyle name="Note 10 4 2 3" xfId="26369" xr:uid="{8C17136B-FCC1-40AE-B65F-AACF79834B26}"/>
    <cellStyle name="Note 10 4 2 4" xfId="39445" xr:uid="{4E65599A-46BE-4816-AB9B-B6C35274BCDC}"/>
    <cellStyle name="Note 10 4 3" xfId="16117" xr:uid="{5AE35448-9925-4B59-A69A-34A26021BAB0}"/>
    <cellStyle name="Note 10 4 3 2" xfId="32173" xr:uid="{CB1D5AB0-7A67-43BE-AB5C-B5968637DF80}"/>
    <cellStyle name="Note 10 4 3 3" xfId="45694" xr:uid="{AD304A5A-BAF0-4288-92F2-34013F4A7259}"/>
    <cellStyle name="Note 10 4 4" xfId="23341" xr:uid="{BADAD902-6019-4890-A047-39277B0B9ECA}"/>
    <cellStyle name="Note 10 4 5" xfId="36422" xr:uid="{19F155BB-35ED-4534-A16B-0AE7B49036A9}"/>
    <cellStyle name="Note 10 5" xfId="16395" xr:uid="{69CC87A6-5247-48CE-9084-56F2CDD8ACB7}"/>
    <cellStyle name="Note 10 5 2" xfId="32412" xr:uid="{A1C7BB57-54C6-44A2-8674-471978AC806D}"/>
    <cellStyle name="Note 10 5 3" xfId="45947" xr:uid="{D24F6198-DF5C-4B13-BE99-8D9431951411}"/>
    <cellStyle name="Note 10 6" xfId="21603" xr:uid="{39216617-538C-4BF9-B83C-C419455D5AC4}"/>
    <cellStyle name="Note 10 7" xfId="34657" xr:uid="{BE32BA9F-A4D1-48EC-9402-3FAE2B7554B9}"/>
    <cellStyle name="Note 11" xfId="3597" xr:uid="{EA24EDF6-E768-4147-B18B-4F8734358FAD}"/>
    <cellStyle name="Note 11 2" xfId="2931" xr:uid="{D3E0CD48-3BCB-4F59-B052-DFB7D83BC931}"/>
    <cellStyle name="Note 11 2 2" xfId="8227" xr:uid="{93C866E4-9D4B-4F7F-80CF-60717EFD7370}"/>
    <cellStyle name="Note 11 2 2 2" xfId="13162" xr:uid="{E5D164D7-533B-4DE5-A7EE-5835BFAB1C3B}"/>
    <cellStyle name="Note 11 2 2 2 2" xfId="29675" xr:uid="{4E566E33-C13D-4A4F-9365-6DC736A2BD0E}"/>
    <cellStyle name="Note 11 2 2 2 3" xfId="42987" xr:uid="{9B2A560A-21ED-4CEE-8CE5-8A3D8950B6E3}"/>
    <cellStyle name="Note 11 2 2 3" xfId="25738" xr:uid="{D77E1AB1-F35F-4C30-A8D2-BD01111D1BED}"/>
    <cellStyle name="Note 11 2 2 4" xfId="38814" xr:uid="{84CE7D0D-6773-41FB-B7B7-C04340BD682F}"/>
    <cellStyle name="Note 11 2 3" xfId="6594" xr:uid="{A7E238D8-BBBA-487A-80C6-7DEB0637C55B}"/>
    <cellStyle name="Note 11 2 3 2" xfId="11389" xr:uid="{C381CA64-7210-4529-B758-05C81ABC639D}"/>
    <cellStyle name="Note 11 2 3 2 2" xfId="28161" xr:uid="{6FB17D47-DFB8-4762-BE49-CB6FB2533BC8}"/>
    <cellStyle name="Note 11 2 3 2 3" xfId="41351" xr:uid="{E3F53632-CA7E-4671-A606-5D6B421C2A53}"/>
    <cellStyle name="Note 11 2 3 3" xfId="24229" xr:uid="{A593EAB2-DA3E-4574-804B-DFD9888FE94E}"/>
    <cellStyle name="Note 11 2 3 4" xfId="37310" xr:uid="{B64037B1-61AC-4EAD-9FE8-3EB23584B7A0}"/>
    <cellStyle name="Note 11 2 4" xfId="12827" xr:uid="{4611D220-4966-4A6B-8CA4-DC8E7D630A5E}"/>
    <cellStyle name="Note 11 2 4 2" xfId="29399" xr:uid="{8AA134C0-B462-4A9C-83C2-4230360E505D}"/>
    <cellStyle name="Note 11 2 4 3" xfId="42681" xr:uid="{4CEEBBE2-4FE2-4D05-9119-A6DC3E24D914}"/>
    <cellStyle name="Note 11 2 5" xfId="20981" xr:uid="{2DF64660-7DE1-4ABF-95C9-DE294CB56011}"/>
    <cellStyle name="Note 11 2 6" xfId="34004" xr:uid="{26F935EE-2756-4097-9053-DF4E0A70D4E0}"/>
    <cellStyle name="Note 11 3" xfId="4675" xr:uid="{42953367-06EA-4EF4-A10D-B581CD6A04D9}"/>
    <cellStyle name="Note 11 3 2" xfId="7233" xr:uid="{0B6985F8-12FE-462C-974C-7B83208E49C2}"/>
    <cellStyle name="Note 11 3 2 2" xfId="11416" xr:uid="{25667BC9-CD1B-4B92-AF34-178CE6FAAF23}"/>
    <cellStyle name="Note 11 3 2 2 2" xfId="28185" xr:uid="{27DEC7A8-B49B-4B00-8960-C538857050FF}"/>
    <cellStyle name="Note 11 3 2 2 3" xfId="41376" xr:uid="{2033B5BC-0C6B-455F-9667-729BF9ABA157}"/>
    <cellStyle name="Note 11 3 2 3" xfId="24827" xr:uid="{1A3488FA-5AA6-4CA5-9133-2D1A7F811EA7}"/>
    <cellStyle name="Note 11 3 2 4" xfId="37908" xr:uid="{1FF2E150-D794-4A47-A802-6B0EC14955C0}"/>
    <cellStyle name="Note 11 3 3" xfId="14878" xr:uid="{3A869E6A-70C1-4887-9B04-E0DE8650C3AD}"/>
    <cellStyle name="Note 11 3 3 2" xfId="31128" xr:uid="{61412E10-9C1B-484C-94A1-D52CE2821080}"/>
    <cellStyle name="Note 11 3 3 3" xfId="44569" xr:uid="{C073990B-B0AA-40C3-999E-00E4675B47EB}"/>
    <cellStyle name="Note 11 3 4" xfId="22485" xr:uid="{53BE8E9B-4BCD-409E-974D-D198B2C0B688}"/>
    <cellStyle name="Note 11 3 5" xfId="35538" xr:uid="{5FB4FBB7-EE25-48E8-99E6-234893CA5013}"/>
    <cellStyle name="Note 11 4" xfId="5641" xr:uid="{5CFC6D87-060A-408C-B5D2-6880C18652D8}"/>
    <cellStyle name="Note 11 4 2" xfId="8823" xr:uid="{8F99827D-68CD-4C3A-B573-4A1F0A388F4F}"/>
    <cellStyle name="Note 11 4 2 2" xfId="14165" xr:uid="{2F11E555-1202-4290-9417-EDECFF5EDEAD}"/>
    <cellStyle name="Note 11 4 2 2 2" xfId="30520" xr:uid="{68223625-1240-485E-901F-C6FD253598EB}"/>
    <cellStyle name="Note 11 4 2 2 3" xfId="43906" xr:uid="{DED32517-F982-4BB3-B7FB-0DF4F0511B0D}"/>
    <cellStyle name="Note 11 4 2 3" xfId="26316" xr:uid="{FE50B3AD-BB42-4905-AD45-B18103DC4458}"/>
    <cellStyle name="Note 11 4 2 4" xfId="39392" xr:uid="{8CA2CD1D-417E-4D0F-93E8-5DFB9C3789FC}"/>
    <cellStyle name="Note 11 4 3" xfId="16093" xr:uid="{966FD702-79FE-45B8-947C-4B1ED06718BD}"/>
    <cellStyle name="Note 11 4 3 2" xfId="32151" xr:uid="{D8B02C50-318D-4076-84CF-F636F7966540}"/>
    <cellStyle name="Note 11 4 3 3" xfId="45672" xr:uid="{32CB9C25-DEBA-47CE-B92C-2F6E61C89BA7}"/>
    <cellStyle name="Note 11 4 4" xfId="23288" xr:uid="{9102EFED-C4F6-4F1C-A822-2479FD1FBF8C}"/>
    <cellStyle name="Note 11 4 5" xfId="36369" xr:uid="{068701DB-4400-4814-9457-547C32DDC1F2}"/>
    <cellStyle name="Note 11 5" xfId="13226" xr:uid="{5C33A204-36BD-4C34-8B4E-20594E5486BD}"/>
    <cellStyle name="Note 11 5 2" xfId="29725" xr:uid="{7ADA9474-0461-46FF-BF7F-62C9D70A274F}"/>
    <cellStyle name="Note 11 5 3" xfId="43045" xr:uid="{139D6B28-64ED-48A7-9A07-EFA0451AAA9A}"/>
    <cellStyle name="Note 11 6" xfId="21550" xr:uid="{1C22B0B2-68CC-42A9-BDBA-15A6F60D0C7B}"/>
    <cellStyle name="Note 11 7" xfId="34604" xr:uid="{32B6D586-62DF-40BA-917B-9D6C0E034E64}"/>
    <cellStyle name="Note 12" xfId="3677" xr:uid="{B4526591-A3F4-4A6A-B1E5-EDFDCC35BD95}"/>
    <cellStyle name="Note 12 2" xfId="2993" xr:uid="{3C18BAF6-4079-4E4B-AEC1-6AEBC61528F1}"/>
    <cellStyle name="Note 12 2 2" xfId="8289" xr:uid="{2574391E-06F1-4CB2-9815-5F88DCF9CEC5}"/>
    <cellStyle name="Note 12 2 2 2" xfId="12582" xr:uid="{B92521A0-BB61-44AC-86B9-4293FB7A10CA}"/>
    <cellStyle name="Note 12 2 2 2 2" xfId="29198" xr:uid="{341AF762-B125-4F36-8C17-1256430A72C9}"/>
    <cellStyle name="Note 12 2 2 2 3" xfId="42461" xr:uid="{66227E33-9661-4297-8858-AD6203D80F9A}"/>
    <cellStyle name="Note 12 2 2 3" xfId="25795" xr:uid="{882F9B15-0C55-4133-849B-7FBABA07A32A}"/>
    <cellStyle name="Note 12 2 2 4" xfId="38871" xr:uid="{1E108506-008A-4C69-B6B0-D2326848C5F1}"/>
    <cellStyle name="Note 12 2 3" xfId="6656" xr:uid="{41AE51EF-3759-4703-95A2-29CCFB4CC2BF}"/>
    <cellStyle name="Note 12 2 3 2" xfId="12084" xr:uid="{D9BB2B77-460A-4BB9-9C24-978AF4C651A9}"/>
    <cellStyle name="Note 12 2 3 2 2" xfId="28784" xr:uid="{AFCE41DA-FAD0-4577-93F5-F99B960D88CC}"/>
    <cellStyle name="Note 12 2 3 2 3" xfId="42004" xr:uid="{3B013260-37DE-4481-AA31-BBADDAA024D6}"/>
    <cellStyle name="Note 12 2 3 3" xfId="24286" xr:uid="{22C509EA-3697-4CCD-9910-E75D9806EEFB}"/>
    <cellStyle name="Note 12 2 3 4" xfId="37367" xr:uid="{8ABC394B-3165-40ED-B6BB-6B60D6AF8F8D}"/>
    <cellStyle name="Note 12 2 4" xfId="15990" xr:uid="{CAB583F5-2BD2-48A9-9787-94B1BE701CEB}"/>
    <cellStyle name="Note 12 2 4 2" xfId="32064" xr:uid="{8B912D02-008F-426F-9FA7-1C4D28835346}"/>
    <cellStyle name="Note 12 2 4 3" xfId="45583" xr:uid="{57AB15F4-2475-42E3-9836-5118E7667AC8}"/>
    <cellStyle name="Note 12 2 5" xfId="21038" xr:uid="{ED206199-ED0C-4AD0-A367-B620FB11E321}"/>
    <cellStyle name="Note 12 2 6" xfId="34061" xr:uid="{F0A208CD-1947-4656-B9BF-B64D92C4467C}"/>
    <cellStyle name="Note 12 3" xfId="4711" xr:uid="{7B35A2A3-5612-42A0-B7B8-511854C1B4C3}"/>
    <cellStyle name="Note 12 3 2" xfId="7312" xr:uid="{DED52BB2-AA4C-418D-AF9A-40883CC2E913}"/>
    <cellStyle name="Note 12 3 2 2" xfId="17075" xr:uid="{1A578ABC-4265-443A-A150-889604BF530B}"/>
    <cellStyle name="Note 12 3 2 2 2" xfId="32845" xr:uid="{93FFCA60-346C-4E8A-9875-513B5DD8F606}"/>
    <cellStyle name="Note 12 3 2 2 3" xfId="46615" xr:uid="{A2FEF4ED-79AF-4088-8DE7-CA3822AA6DCC}"/>
    <cellStyle name="Note 12 3 2 3" xfId="24873" xr:uid="{E79094E0-E314-4596-B3A3-14EF5D136F66}"/>
    <cellStyle name="Note 12 3 2 4" xfId="37953" xr:uid="{966FE1A5-D9E0-4895-9F72-DCD07CEED493}"/>
    <cellStyle name="Note 12 3 3" xfId="14495" xr:uid="{D34B0E20-6AE2-464F-A14A-4F37554196F1}"/>
    <cellStyle name="Note 12 3 3 2" xfId="30818" xr:uid="{CB18B970-CCCB-4EB3-A83E-9755FF22FC64}"/>
    <cellStyle name="Note 12 3 3 3" xfId="44224" xr:uid="{9DB18A4C-2A0E-4AE9-947E-11E99C3047F0}"/>
    <cellStyle name="Note 12 3 4" xfId="22516" xr:uid="{EC5BC96B-D14E-4B33-A250-87641F77527E}"/>
    <cellStyle name="Note 12 3 5" xfId="35569" xr:uid="{AFB753C8-D337-49F6-8162-3499658D024C}"/>
    <cellStyle name="Note 12 4" xfId="5686" xr:uid="{7D884F11-79CF-4C22-871B-3DD8352C094A}"/>
    <cellStyle name="Note 12 4 2" xfId="8873" xr:uid="{3353B3B5-9AE0-4EE1-B7D8-F09C33162896}"/>
    <cellStyle name="Note 12 4 2 2" xfId="16254" xr:uid="{E69564AD-D4AD-4F30-9FC0-3C80106BE774}"/>
    <cellStyle name="Note 12 4 2 2 2" xfId="32288" xr:uid="{2B161943-FDFB-485C-BBCA-2BBB196E8B18}"/>
    <cellStyle name="Note 12 4 2 2 3" xfId="45817" xr:uid="{38238B5B-F1BE-4C2D-A4F1-D8ADD4E8D7A6}"/>
    <cellStyle name="Note 12 4 2 3" xfId="26361" xr:uid="{7710368D-E10F-4513-B96E-500631CEEBF6}"/>
    <cellStyle name="Note 12 4 2 4" xfId="39437" xr:uid="{331860E5-3F7B-4D55-A596-C83FCE5F80D1}"/>
    <cellStyle name="Note 12 4 3" xfId="17533" xr:uid="{B1FCA4DC-05C2-4C10-BFEC-E2130E997240}"/>
    <cellStyle name="Note 12 4 3 2" xfId="33271" xr:uid="{8B31F504-474E-474D-A4C8-3C63F316B57F}"/>
    <cellStyle name="Note 12 4 3 3" xfId="47058" xr:uid="{D731DD45-C9BC-460D-A415-23AEA505C32A}"/>
    <cellStyle name="Note 12 4 4" xfId="23333" xr:uid="{51CAC46E-2CD3-4350-BD3C-62AF9D3C5EB3}"/>
    <cellStyle name="Note 12 4 5" xfId="36414" xr:uid="{E384AC31-B682-4CD9-BE65-E6C7EDCCA87A}"/>
    <cellStyle name="Note 12 5" xfId="14371" xr:uid="{C8344CF1-099D-4683-B820-B25F90253170}"/>
    <cellStyle name="Note 12 5 2" xfId="30703" xr:uid="{07D7BB20-9834-45E1-BD60-4D3193B9D5C2}"/>
    <cellStyle name="Note 12 5 3" xfId="44101" xr:uid="{2C548BEB-0BB9-4D29-B284-5896990ACBF6}"/>
    <cellStyle name="Note 12 6" xfId="21595" xr:uid="{5D7B3D48-B7C9-487B-988A-6B751DB46F40}"/>
    <cellStyle name="Note 12 7" xfId="34649" xr:uid="{359DB7DA-E514-436A-9C59-8E0D86511556}"/>
    <cellStyle name="Note 13" xfId="3659" xr:uid="{5D5FFEBF-2A8B-426C-A22A-7E145F3BE7E7}"/>
    <cellStyle name="Note 13 2" xfId="2979" xr:uid="{BF67EB45-4F13-4B2C-B043-AE961AC9B790}"/>
    <cellStyle name="Note 13 2 2" xfId="8275" xr:uid="{73D580D1-C09D-4D19-844B-5FB6EA8458DC}"/>
    <cellStyle name="Note 13 2 2 2" xfId="10746" xr:uid="{377B8CE6-E6AA-4689-AEEC-B8FC163DDDF9}"/>
    <cellStyle name="Note 13 2 2 2 2" xfId="27586" xr:uid="{3D516691-FB67-4798-9938-A6E82D96D92E}"/>
    <cellStyle name="Note 13 2 2 2 3" xfId="40727" xr:uid="{7C455850-663C-4E99-A0D0-C0A750DE5812}"/>
    <cellStyle name="Note 13 2 2 3" xfId="25783" xr:uid="{9A20FC85-1922-42C0-8DB3-F52A7AA54BC9}"/>
    <cellStyle name="Note 13 2 2 4" xfId="38859" xr:uid="{5F54D0AA-E399-486A-9D28-7B053630E62C}"/>
    <cellStyle name="Note 13 2 3" xfId="6642" xr:uid="{5B96DCF8-0062-4D53-B945-9A4A0AB84822}"/>
    <cellStyle name="Note 13 2 3 2" xfId="15753" xr:uid="{2BCEF3AA-0421-4332-A0D4-111AAB57D308}"/>
    <cellStyle name="Note 13 2 3 2 2" xfId="31859" xr:uid="{32ED6003-8F71-431B-87EE-EF0086847C14}"/>
    <cellStyle name="Note 13 2 3 2 3" xfId="45370" xr:uid="{57C6E35F-D0CA-4687-8E55-DEA1C01AF70B}"/>
    <cellStyle name="Note 13 2 3 3" xfId="24274" xr:uid="{B28B5172-B60D-44D5-A1A6-D7F3F41C20AB}"/>
    <cellStyle name="Note 13 2 3 4" xfId="37355" xr:uid="{71EF2827-2110-4452-BB87-E8399F43E31C}"/>
    <cellStyle name="Note 13 2 4" xfId="14484" xr:uid="{C7CD57B7-297A-41C5-AEA8-2266BD3A01B7}"/>
    <cellStyle name="Note 13 2 4 2" xfId="30807" xr:uid="{B82927AB-C2A8-4DC4-AF85-4FE8A31564EA}"/>
    <cellStyle name="Note 13 2 4 3" xfId="44213" xr:uid="{77D823F1-59D5-4025-AF92-D35DB9EFBD9B}"/>
    <cellStyle name="Note 13 2 5" xfId="21026" xr:uid="{9E76563E-BB63-4178-8526-FC24285C1C6D}"/>
    <cellStyle name="Note 13 2 6" xfId="34049" xr:uid="{CA275973-52E6-487D-8603-1C58EE9964B9}"/>
    <cellStyle name="Note 13 3" xfId="4702" xr:uid="{E3D1FEF7-5E9F-4F2F-AE2F-8822063833D4}"/>
    <cellStyle name="Note 13 3 2" xfId="7294" xr:uid="{1CE4B136-958A-4D05-BC1A-0E2FCB3D35DE}"/>
    <cellStyle name="Note 13 3 2 2" xfId="10641" xr:uid="{664778C5-54B3-4E56-A54D-598D352C66F6}"/>
    <cellStyle name="Note 13 3 2 2 2" xfId="27495" xr:uid="{09081E68-938D-4A30-9878-81422395AD7F}"/>
    <cellStyle name="Note 13 3 2 2 3" xfId="40622" xr:uid="{4DA0729B-93D6-457C-92BE-10FCE2A35258}"/>
    <cellStyle name="Note 13 3 2 3" xfId="24861" xr:uid="{D7A8C253-71C3-496E-B5C1-399FBB1B67D3}"/>
    <cellStyle name="Note 13 3 2 4" xfId="37942" xr:uid="{1ABAB93B-AB5E-4FE4-A68A-7666B591CF53}"/>
    <cellStyle name="Note 13 3 3" xfId="16338" xr:uid="{F3646BA3-9FEC-4701-861F-129B82DB03FE}"/>
    <cellStyle name="Note 13 3 3 2" xfId="32362" xr:uid="{23411A9E-1588-4D76-A1F5-A86E48A2B90B}"/>
    <cellStyle name="Note 13 3 3 3" xfId="45893" xr:uid="{DB1C73D1-AA3D-442E-BF98-3F9AC6B0B690}"/>
    <cellStyle name="Note 13 3 4" xfId="22509" xr:uid="{CC515084-169F-4787-B0D7-23600CF6C206}"/>
    <cellStyle name="Note 13 3 5" xfId="35562" xr:uid="{9F9EF3A0-9EC4-4234-A9D1-8E1B9F02D7C5}"/>
    <cellStyle name="Note 13 4" xfId="5675" xr:uid="{8274D4D2-3833-40E4-AAB9-6E9A190063FB}"/>
    <cellStyle name="Note 13 4 2" xfId="8860" xr:uid="{FAFE29E1-B642-4D17-9DE6-9105610F9E8E}"/>
    <cellStyle name="Note 13 4 2 2" xfId="11826" xr:uid="{7611E43F-F76F-4B87-902E-2FA7DEB98862}"/>
    <cellStyle name="Note 13 4 2 2 2" xfId="28546" xr:uid="{C12CD224-A7DB-4EF9-9400-6C1CBAB5A671}"/>
    <cellStyle name="Note 13 4 2 2 3" xfId="41759" xr:uid="{E11D38B9-3CF8-449B-AB00-A6FC11B0DD1C}"/>
    <cellStyle name="Note 13 4 2 3" xfId="26350" xr:uid="{1EE42B2D-9E2D-438F-8CD3-EEFEA8FF2631}"/>
    <cellStyle name="Note 13 4 2 4" xfId="39426" xr:uid="{B72D3BDC-A2F5-412A-BCDC-5BA1931EE322}"/>
    <cellStyle name="Note 13 4 3" xfId="17068" xr:uid="{CB17E30B-2374-4043-9B9B-E27636C69E4E}"/>
    <cellStyle name="Note 13 4 3 2" xfId="32839" xr:uid="{356250D1-E841-4A92-8322-75D7626EE4FD}"/>
    <cellStyle name="Note 13 4 3 3" xfId="46609" xr:uid="{06B78AAC-B4FB-4409-B411-E730817FC12D}"/>
    <cellStyle name="Note 13 4 4" xfId="23322" xr:uid="{FD720B73-9F6D-4981-89DD-E6CDBCB60C04}"/>
    <cellStyle name="Note 13 4 5" xfId="36403" xr:uid="{1A9C3D7B-4164-499F-BFAA-C27E9126A056}"/>
    <cellStyle name="Note 13 5" xfId="17065" xr:uid="{79E6244C-A41E-4856-8FBF-5E44C25286A5}"/>
    <cellStyle name="Note 13 5 2" xfId="32836" xr:uid="{D9DD5C0E-136F-402C-A7ED-CC9CA8F17C55}"/>
    <cellStyle name="Note 13 5 3" xfId="46606" xr:uid="{64F3F478-E9F4-4DC9-B307-6F840956693D}"/>
    <cellStyle name="Note 13 6" xfId="21584" xr:uid="{98DD8668-2072-4603-88B0-5B777996FE1C}"/>
    <cellStyle name="Note 13 7" xfId="34638" xr:uid="{84991589-B118-4C45-BD6A-F126765BC27F}"/>
    <cellStyle name="Note 14" xfId="3547" xr:uid="{8C8048BD-6DDB-4F45-9F68-5C7928FA4E2D}"/>
    <cellStyle name="Note 14 2" xfId="2888" xr:uid="{3C8C28C0-CDB1-474A-9F78-F887D1D4ABF4}"/>
    <cellStyle name="Note 14 2 2" xfId="8184" xr:uid="{F4AEA4D5-CCA9-48F6-AD9A-5DC093E48376}"/>
    <cellStyle name="Note 14 2 2 2" xfId="10712" xr:uid="{7E28B202-E379-4F6C-8650-3CB8FF052F23}"/>
    <cellStyle name="Note 14 2 2 2 2" xfId="27557" xr:uid="{638B15B5-69C7-4932-8D50-8B0818A2D8B2}"/>
    <cellStyle name="Note 14 2 2 2 3" xfId="40693" xr:uid="{F0490A74-28DF-4C49-93E7-ACF09E742AE2}"/>
    <cellStyle name="Note 14 2 2 3" xfId="25695" xr:uid="{2DAA68E2-2E21-4B5E-85FB-BF100A050562}"/>
    <cellStyle name="Note 14 2 2 4" xfId="38771" xr:uid="{28725ABE-648E-48B3-B5A7-BEB0C72838D6}"/>
    <cellStyle name="Note 14 2 3" xfId="6551" xr:uid="{BFB38368-EB15-4DA3-99E6-F1C657F8E713}"/>
    <cellStyle name="Note 14 2 3 2" xfId="12361" xr:uid="{C0D07556-2D41-475A-8291-B7142D42DA23}"/>
    <cellStyle name="Note 14 2 3 2 2" xfId="29027" xr:uid="{3309A270-5817-4D94-B9FE-A74952DE1FD7}"/>
    <cellStyle name="Note 14 2 3 2 3" xfId="42267" xr:uid="{45E6D366-C178-444C-8660-CE70DD5B3939}"/>
    <cellStyle name="Note 14 2 3 3" xfId="24186" xr:uid="{AE158FFC-AD14-4BB1-88D7-C6F95F0EC60A}"/>
    <cellStyle name="Note 14 2 3 4" xfId="37267" xr:uid="{A6564544-4A00-4725-9847-CDA77663E88C}"/>
    <cellStyle name="Note 14 2 4" xfId="10874" xr:uid="{ECD83BEB-C20F-465E-A9F9-883D37948B42}"/>
    <cellStyle name="Note 14 2 4 2" xfId="27700" xr:uid="{5C008BFB-0D0B-4EA8-A48C-7AEE607C1539}"/>
    <cellStyle name="Note 14 2 4 3" xfId="40854" xr:uid="{E8C36B2D-210A-4037-A09F-113B8AE1FEB9}"/>
    <cellStyle name="Note 14 2 5" xfId="20938" xr:uid="{CB43C004-1149-4A82-81C7-151850C03944}"/>
    <cellStyle name="Note 14 2 6" xfId="33961" xr:uid="{AA3BB4EC-54F6-4915-B1A9-22810FD2B0D1}"/>
    <cellStyle name="Note 14 3" xfId="4650" xr:uid="{218E6B97-521A-430A-B271-8A6781617B96}"/>
    <cellStyle name="Note 14 3 2" xfId="7189" xr:uid="{0994BE30-E64D-4CA8-9C9E-AEAC8BC1F48A}"/>
    <cellStyle name="Note 14 3 2 2" xfId="17564" xr:uid="{7906CD39-7DFC-4E4C-831E-6116308606EB}"/>
    <cellStyle name="Note 14 3 2 2 2" xfId="33301" xr:uid="{9EE972EB-9274-44FB-A9BA-74F75E6182E2}"/>
    <cellStyle name="Note 14 3 2 2 3" xfId="47089" xr:uid="{EA57421E-4A23-4B60-AD3D-802D1CE4D733}"/>
    <cellStyle name="Note 14 3 2 3" xfId="24786" xr:uid="{9AF3A89D-FE71-4C42-A2E7-3D4B270CB71F}"/>
    <cellStyle name="Note 14 3 2 4" xfId="37867" xr:uid="{45121AA9-D029-4ABB-B47A-BC11719D55F3}"/>
    <cellStyle name="Note 14 3 3" xfId="16161" xr:uid="{A664EC22-02F5-4B7F-B607-3118213833BB}"/>
    <cellStyle name="Note 14 3 3 2" xfId="32211" xr:uid="{C09772A1-7623-468C-8EA8-4D65CB29AA71}"/>
    <cellStyle name="Note 14 3 3 3" xfId="45733" xr:uid="{ED0DC859-8998-4B3D-9AA7-54C1EC477C64}"/>
    <cellStyle name="Note 14 3 4" xfId="22460" xr:uid="{82C46461-C6C7-42E0-871D-5C572EDCC452}"/>
    <cellStyle name="Note 14 3 5" xfId="35513" xr:uid="{CE31A6A5-D787-41D7-AB67-48897257432C}"/>
    <cellStyle name="Note 14 4" xfId="5600" xr:uid="{118EA393-8742-48D0-8552-27F2D8264A5A}"/>
    <cellStyle name="Note 14 4 2" xfId="8782" xr:uid="{36559374-EB72-4B03-A4A9-BCAC900873AE}"/>
    <cellStyle name="Note 14 4 2 2" xfId="13709" xr:uid="{C42D8DAC-5701-49D3-9155-E4F3CDC195E2}"/>
    <cellStyle name="Note 14 4 2 2 2" xfId="30128" xr:uid="{05685C31-7290-4655-8383-93F3924CBECB}"/>
    <cellStyle name="Note 14 4 2 2 3" xfId="43488" xr:uid="{11429DAE-E1BD-4C83-BE42-80E0207B9352}"/>
    <cellStyle name="Note 14 4 2 3" xfId="26275" xr:uid="{7E4BD4CF-D408-4DA5-8288-AE7E53D71EAE}"/>
    <cellStyle name="Note 14 4 2 4" xfId="39351" xr:uid="{5DD34550-9943-48A3-8658-3BFD288FD0A8}"/>
    <cellStyle name="Note 14 4 3" xfId="13232" xr:uid="{989C5433-853A-42D4-A419-8BB7F6359557}"/>
    <cellStyle name="Note 14 4 3 2" xfId="29729" xr:uid="{A56CFA81-164C-44CA-B73C-D40A3EB5078A}"/>
    <cellStyle name="Note 14 4 3 3" xfId="43051" xr:uid="{F1ADC45D-2B37-4093-B1A0-C789AF14EC63}"/>
    <cellStyle name="Note 14 4 4" xfId="23247" xr:uid="{6F6DAD67-21EC-48FD-8D84-F2292B815F46}"/>
    <cellStyle name="Note 14 4 5" xfId="36328" xr:uid="{41EB3AF4-B0B8-47CE-BAFE-CE37635A1004}"/>
    <cellStyle name="Note 14 5" xfId="17230" xr:uid="{54F342A2-41B9-4E6E-A3E0-B28B5B877C65}"/>
    <cellStyle name="Note 14 5 2" xfId="32989" xr:uid="{38A07464-6EC7-43E7-B9B1-ABFE1AFB20C0}"/>
    <cellStyle name="Note 14 5 3" xfId="46764" xr:uid="{B0ABA6AE-916E-4ACB-8EB4-BFBEF9B252BD}"/>
    <cellStyle name="Note 14 6" xfId="21509" xr:uid="{B30E9C6E-98B3-44BD-A17F-A1F9BDE43FEF}"/>
    <cellStyle name="Note 14 7" xfId="34561" xr:uid="{69B24FD0-082A-449F-94A3-2DBE32B1F512}"/>
    <cellStyle name="Note 15" xfId="3665" xr:uid="{26EFBD50-D9B9-4F4E-88B2-82251B9BA573}"/>
    <cellStyle name="Note 15 2" xfId="2984" xr:uid="{1B118459-F8C9-43E6-9D77-6829B4243EE5}"/>
    <cellStyle name="Note 15 2 2" xfId="8280" xr:uid="{DD179687-AF37-4567-A7E6-223F74A4CEC7}"/>
    <cellStyle name="Note 15 2 2 2" xfId="17388" xr:uid="{B168E0DC-ADB7-41EC-8752-CE8A40E214FD}"/>
    <cellStyle name="Note 15 2 2 2 2" xfId="33142" xr:uid="{E6B45E06-FF33-4BC0-A924-1302D1954906}"/>
    <cellStyle name="Note 15 2 2 2 3" xfId="46918" xr:uid="{440458B5-6B80-4287-939D-692D1D2F3756}"/>
    <cellStyle name="Note 15 2 2 3" xfId="25787" xr:uid="{EEBC4C6A-9A36-4BAD-BE73-73CC2D5CD455}"/>
    <cellStyle name="Note 15 2 2 4" xfId="38863" xr:uid="{A6C99250-CC41-4FE6-8E5F-16AFE3CA1064}"/>
    <cellStyle name="Note 15 2 3" xfId="6647" xr:uid="{7899A2CF-6DF4-4389-90A2-EF9E3DA0214F}"/>
    <cellStyle name="Note 15 2 3 2" xfId="16601" xr:uid="{C3F68A3B-100B-4DEB-905B-5A88486F93A8}"/>
    <cellStyle name="Note 15 2 3 2 2" xfId="32517" xr:uid="{CC25EACA-C7CA-4F70-8CE5-72C95253E56B}"/>
    <cellStyle name="Note 15 2 3 2 3" xfId="46148" xr:uid="{894CC72F-E13B-4963-8A1F-E240EC78F2F5}"/>
    <cellStyle name="Note 15 2 3 3" xfId="24278" xr:uid="{1A93D251-D384-4C8F-B551-ABE2DE37FF26}"/>
    <cellStyle name="Note 15 2 3 4" xfId="37359" xr:uid="{AE639EB1-C91C-4076-88CC-4F347DE7484E}"/>
    <cellStyle name="Note 15 2 4" xfId="14116" xr:uid="{8E1119FE-746E-4690-B7B6-6B638D4E0B49}"/>
    <cellStyle name="Note 15 2 4 2" xfId="30481" xr:uid="{1118E4A8-A597-4AEF-82B9-E11073A7E5F0}"/>
    <cellStyle name="Note 15 2 4 3" xfId="43864" xr:uid="{226933A4-94BA-45B7-BBF3-8AFC717B7763}"/>
    <cellStyle name="Note 15 2 5" xfId="21030" xr:uid="{C81428BB-3800-47DF-A27D-FC833774459A}"/>
    <cellStyle name="Note 15 2 6" xfId="34053" xr:uid="{F066D217-34CC-4E0C-956F-49D4CCD41C86}"/>
    <cellStyle name="Note 15 3" xfId="4707" xr:uid="{7D98C1AB-5CEE-47EE-BE0D-F2738F950BE0}"/>
    <cellStyle name="Note 15 3 2" xfId="7300" xr:uid="{DDC7BE34-5DA4-4A36-81FC-097DFE2C072D}"/>
    <cellStyle name="Note 15 3 2 2" xfId="12481" xr:uid="{FFFBC586-1E04-4508-831A-79B389E012BA}"/>
    <cellStyle name="Note 15 3 2 2 2" xfId="29119" xr:uid="{0C615CEC-2832-4B41-895E-5606C428E4BC}"/>
    <cellStyle name="Note 15 3 2 2 3" xfId="42372" xr:uid="{19E8F8CF-02E8-4A83-A1CC-16DD292FC087}"/>
    <cellStyle name="Note 15 3 2 3" xfId="24866" xr:uid="{CF189CB2-B1EF-4259-B230-9234C141F749}"/>
    <cellStyle name="Note 15 3 2 4" xfId="37946" xr:uid="{0913029A-C07B-42F2-B884-46DFC923F548}"/>
    <cellStyle name="Note 15 3 3" xfId="13059" xr:uid="{01CC4752-266F-452C-8135-E36F551262BD}"/>
    <cellStyle name="Note 15 3 3 2" xfId="29584" xr:uid="{5F642AD4-FFE6-4BE6-8FD6-DB3F288B2ABB}"/>
    <cellStyle name="Note 15 3 3 3" xfId="42889" xr:uid="{0A708701-0385-4A9F-A2EC-D93DE290AC19}"/>
    <cellStyle name="Note 15 3 4" xfId="22513" xr:uid="{B8BA132A-539E-4591-A932-7FEA39D9BFDD}"/>
    <cellStyle name="Note 15 3 5" xfId="35566" xr:uid="{52E10E62-2AA4-4FE6-A59D-726F70BC72E3}"/>
    <cellStyle name="Note 15 4" xfId="5679" xr:uid="{7ADC44DD-05D3-4627-9320-4747CBB2D423}"/>
    <cellStyle name="Note 15 4 2" xfId="8865" xr:uid="{19ADCE4F-ACE1-4646-A21B-791346BB2848}"/>
    <cellStyle name="Note 15 4 2 2" xfId="12154" xr:uid="{3216A4CD-CEAB-414D-9177-7A7B436B136A}"/>
    <cellStyle name="Note 15 4 2 2 2" xfId="28853" xr:uid="{782168F0-17B1-48C1-A7A3-C42ACE6EF92D}"/>
    <cellStyle name="Note 15 4 2 2 3" xfId="42074" xr:uid="{5F2E68C4-4E8C-4142-9631-E78BC1F61458}"/>
    <cellStyle name="Note 15 4 2 3" xfId="26354" xr:uid="{9DC33E28-12A9-449A-8D53-ABE9900867F4}"/>
    <cellStyle name="Note 15 4 2 4" xfId="39430" xr:uid="{CF2F1DB9-91A9-47F6-8469-1BA5C716F587}"/>
    <cellStyle name="Note 15 4 3" xfId="12567" xr:uid="{4EFDC0AD-6501-415A-9015-9B3F03FDA58D}"/>
    <cellStyle name="Note 15 4 3 2" xfId="29185" xr:uid="{DB801F9C-EB63-46E3-92EA-E1A6D8617778}"/>
    <cellStyle name="Note 15 4 3 3" xfId="42447" xr:uid="{C98F1F6E-CC6A-4E76-8549-18A8F86FA1B4}"/>
    <cellStyle name="Note 15 4 4" xfId="23326" xr:uid="{EBED8308-4B51-4EB6-BE34-EC818396E468}"/>
    <cellStyle name="Note 15 4 5" xfId="36407" xr:uid="{9F0F7B72-F1EC-4544-BC12-8FB528573C47}"/>
    <cellStyle name="Note 15 5" xfId="15100" xr:uid="{E6BDE56F-0418-49C0-B1F3-852C6F5C41E9}"/>
    <cellStyle name="Note 15 5 2" xfId="31306" xr:uid="{F19D01FB-B81B-4093-9477-A95F72E1D5DF}"/>
    <cellStyle name="Note 15 5 3" xfId="44767" xr:uid="{46E56913-6F7D-4921-AA1F-F6B42F176B80}"/>
    <cellStyle name="Note 15 6" xfId="21588" xr:uid="{D4FEB440-FAC7-4124-A8BB-21890EE0FED2}"/>
    <cellStyle name="Note 15 7" xfId="34642" xr:uid="{44106759-C29F-42B3-8F30-61C8812C4AC1}"/>
    <cellStyle name="Note 16" xfId="3904" xr:uid="{36EDEEBB-A4F9-4B0B-9311-26E6E06FC5F7}"/>
    <cellStyle name="Note 16 2" xfId="3173" xr:uid="{D4B9FFAD-6157-46D2-930A-4EE70D38748B}"/>
    <cellStyle name="Note 16 2 2" xfId="8465" xr:uid="{34CBCBDF-A069-49D9-802B-0EB45F4D4949}"/>
    <cellStyle name="Note 16 2 2 2" xfId="13645" xr:uid="{000FFF8A-E713-4384-9906-B210F3A99B30}"/>
    <cellStyle name="Note 16 2 2 2 2" xfId="30075" xr:uid="{61F5E028-944D-41C7-BEC2-DB0642DEA7B9}"/>
    <cellStyle name="Note 16 2 2 2 3" xfId="43433" xr:uid="{530B61B6-0C35-4A15-B5F1-A9643F6EA097}"/>
    <cellStyle name="Note 16 2 2 3" xfId="25966" xr:uid="{48D1FB1E-7F34-4F76-B307-AAEA159EBC60}"/>
    <cellStyle name="Note 16 2 2 4" xfId="39042" xr:uid="{850154F2-A04A-4164-8D29-914783CF3374}"/>
    <cellStyle name="Note 16 2 3" xfId="6832" xr:uid="{789F4C94-F964-40AB-A89C-4FDFE2057765}"/>
    <cellStyle name="Note 16 2 3 2" xfId="16715" xr:uid="{16D9C9A2-3280-4707-BAEF-784574169330}"/>
    <cellStyle name="Note 16 2 3 2 2" xfId="32599" xr:uid="{35269E76-6D1C-4CD3-92D6-41FF36CB077C}"/>
    <cellStyle name="Note 16 2 3 2 3" xfId="46259" xr:uid="{05D93F34-8B60-4146-A549-89287CD776C6}"/>
    <cellStyle name="Note 16 2 3 3" xfId="24457" xr:uid="{BF11AD44-6488-4F20-A7BF-42DD4ED394DD}"/>
    <cellStyle name="Note 16 2 3 4" xfId="37538" xr:uid="{1F3E4B39-C332-4D4C-9970-20DEAA08EB46}"/>
    <cellStyle name="Note 16 2 4" xfId="15709" xr:uid="{FE955936-6FEC-4B70-A078-C30CAA585320}"/>
    <cellStyle name="Note 16 2 4 2" xfId="31820" xr:uid="{8E34339C-AFF1-49A6-8EB6-53352D15C1A0}"/>
    <cellStyle name="Note 16 2 4 3" xfId="45328" xr:uid="{5D173B9E-BA85-417A-9186-0864AD632B49}"/>
    <cellStyle name="Note 16 2 5" xfId="21209" xr:uid="{6606A59F-CF65-484D-8285-CF237365E5A5}"/>
    <cellStyle name="Note 16 2 6" xfId="34232" xr:uid="{C14B8800-34E6-4791-9390-10EC024272EF}"/>
    <cellStyle name="Note 16 3" xfId="4841" xr:uid="{3A25A21F-1D13-4202-88ED-9549A7F44296}"/>
    <cellStyle name="Note 16 3 2" xfId="7485" xr:uid="{CD9BC4B4-0F65-4AA5-A7C0-0AE1C4DBC251}"/>
    <cellStyle name="Note 16 3 2 2" xfId="13327" xr:uid="{4BED06A4-DB6C-4F1B-A2DE-CB2D30D671E4}"/>
    <cellStyle name="Note 16 3 2 2 2" xfId="29810" xr:uid="{83486AB7-487F-4EC2-B316-07DDBB2EBC7A}"/>
    <cellStyle name="Note 16 3 2 2 3" xfId="43141" xr:uid="{5B1C4740-5226-4F9C-AE92-A9C1A0D6D5D1}"/>
    <cellStyle name="Note 16 3 2 3" xfId="25041" xr:uid="{A5AC4BBC-D050-41A3-A70B-564A7134926D}"/>
    <cellStyle name="Note 16 3 2 4" xfId="38117" xr:uid="{10FA4E96-8D32-4948-B6A4-5D3DD3F396B0}"/>
    <cellStyle name="Note 16 3 3" xfId="15176" xr:uid="{80E11544-BE95-4FAA-B5C4-506F37E7C387}"/>
    <cellStyle name="Note 16 3 3 2" xfId="31363" xr:uid="{C441D275-23F5-4EE1-8E3A-1E0133F40F14}"/>
    <cellStyle name="Note 16 3 3 3" xfId="44832" xr:uid="{81D0CDA2-E8B0-4D98-B7AF-473DE8710F7C}"/>
    <cellStyle name="Note 16 3 4" xfId="22642" xr:uid="{E1F3E00C-C20D-497D-88C1-1119B31EE433}"/>
    <cellStyle name="Note 16 3 5" xfId="35695" xr:uid="{F66CB269-0F9A-4196-BBA5-FBAD0EF27D0A}"/>
    <cellStyle name="Note 16 4" xfId="5867" xr:uid="{297DB576-09E9-4497-A8B2-AA5BEF4422A8}"/>
    <cellStyle name="Note 16 4 2" xfId="9026" xr:uid="{3A8E6B36-C47A-4E9E-B138-8406B0E601F5}"/>
    <cellStyle name="Note 16 4 2 2" xfId="15984" xr:uid="{47C70F36-B229-40B3-8541-2DF25A874292}"/>
    <cellStyle name="Note 16 4 2 2 2" xfId="32058" xr:uid="{AE043196-08AA-4FB0-A906-72540FB518C6}"/>
    <cellStyle name="Note 16 4 2 2 3" xfId="45577" xr:uid="{1CF5BF61-8EF3-48F0-A241-E79E74F59D0E}"/>
    <cellStyle name="Note 16 4 2 3" xfId="26510" xr:uid="{D2CB517B-095B-4BF0-A046-D5F9C734AFB9}"/>
    <cellStyle name="Note 16 4 2 4" xfId="39586" xr:uid="{F540714E-13E8-41BA-956B-60F3C1D68A5C}"/>
    <cellStyle name="Note 16 4 3" xfId="14266" xr:uid="{2C26AE52-4735-4CCB-9BDF-D3FFF43171F0}"/>
    <cellStyle name="Note 16 4 3 2" xfId="30609" xr:uid="{A57D236D-F9D9-4A3A-AE25-55A737FD824A}"/>
    <cellStyle name="Note 16 4 3 3" xfId="44002" xr:uid="{42A85E98-CDCC-4EF5-9925-B9DE889BD1BE}"/>
    <cellStyle name="Note 16 4 4" xfId="23514" xr:uid="{96C07C27-4C8F-4A14-98A2-1D014326BD56}"/>
    <cellStyle name="Note 16 4 5" xfId="36595" xr:uid="{EEC133FB-9D58-4351-9531-C8B1E475581E}"/>
    <cellStyle name="Note 16 5" xfId="12313" xr:uid="{E717B065-7533-47F4-80CD-5199AF80AC2A}"/>
    <cellStyle name="Note 16 5 2" xfId="28983" xr:uid="{7F2956E7-F620-42F7-9C69-7660DA628183}"/>
    <cellStyle name="Note 16 5 3" xfId="42222" xr:uid="{70787B89-B682-433F-8159-7F9176D444EA}"/>
    <cellStyle name="Note 16 6" xfId="21779" xr:uid="{045AEB91-25DB-4C25-B8D6-B81A542B1C4C}"/>
    <cellStyle name="Note 16 7" xfId="34830" xr:uid="{5DF906E0-6DC3-42AB-AB82-91BF18992284}"/>
    <cellStyle name="Note 17" xfId="3956" xr:uid="{22D2ACDF-DD19-4B7B-8826-884255333B99}"/>
    <cellStyle name="Note 17 2" xfId="3297" xr:uid="{C478BAC9-33D1-4447-81C1-866199B9E64C}"/>
    <cellStyle name="Note 17 2 2" xfId="8561" xr:uid="{60BE090F-E503-49CE-BB98-22C85AB82000}"/>
    <cellStyle name="Note 17 2 2 2" xfId="10936" xr:uid="{E9B26117-0281-4327-8870-6F6B69D52795}"/>
    <cellStyle name="Note 17 2 2 2 2" xfId="27752" xr:uid="{3498C413-41EB-44BC-A9E7-B81A6CE06A19}"/>
    <cellStyle name="Note 17 2 2 2 3" xfId="40916" xr:uid="{081F4A35-3C20-4094-9793-F7FEF61485E0}"/>
    <cellStyle name="Note 17 2 2 3" xfId="26059" xr:uid="{89BDC41E-BE7F-4E19-B40A-7EBEF2F0180C}"/>
    <cellStyle name="Note 17 2 2 4" xfId="39135" xr:uid="{8166D18E-0473-4059-813C-5DAB9C518841}"/>
    <cellStyle name="Note 17 2 3" xfId="6948" xr:uid="{30CC65C8-C1F0-4DB9-ADDF-25E00D08140D}"/>
    <cellStyle name="Note 17 2 3 2" xfId="13485" xr:uid="{8EAB8936-0359-4944-9CB7-EF0096AEF09F}"/>
    <cellStyle name="Note 17 2 3 2 2" xfId="29946" xr:uid="{00AE508F-2381-4050-A2D6-B32E2269AD69}"/>
    <cellStyle name="Note 17 2 3 2 3" xfId="43286" xr:uid="{C12AA748-3DB7-471A-9847-97656FAE5D48}"/>
    <cellStyle name="Note 17 2 3 3" xfId="24570" xr:uid="{41E95A8F-93C2-48AD-87C8-C6A7C68F67F8}"/>
    <cellStyle name="Note 17 2 3 4" xfId="37651" xr:uid="{EDE52AAA-D231-49D8-B456-51EDD31BE1B0}"/>
    <cellStyle name="Note 17 2 4" xfId="15602" xr:uid="{23EB8BFF-E541-4C93-95BF-9FC6495B7C4F}"/>
    <cellStyle name="Note 17 2 4 2" xfId="31726" xr:uid="{657FD144-F764-4B18-8EB6-B0479E7BEFB3}"/>
    <cellStyle name="Note 17 2 4 3" xfId="45229" xr:uid="{C5F79CAB-E038-4B9E-B956-67261A3A01AE}"/>
    <cellStyle name="Note 17 2 5" xfId="21322" xr:uid="{ABA40A85-4A67-4CF4-B52E-42795DF8A45A}"/>
    <cellStyle name="Note 17 2 6" xfId="34345" xr:uid="{FCA177ED-8038-4F80-A37E-DDE321CE8EA7}"/>
    <cellStyle name="Note 17 3" xfId="4868" xr:uid="{48C29B11-433B-472C-A5E6-EC5DFACB7265}"/>
    <cellStyle name="Note 17 3 2" xfId="7536" xr:uid="{F0AD76C7-A30A-408F-9FE1-0915677F16B5}"/>
    <cellStyle name="Note 17 3 2 2" xfId="17338" xr:uid="{6CB74902-3733-4DA9-9F53-6CC7FBC41277}"/>
    <cellStyle name="Note 17 3 2 2 2" xfId="33092" xr:uid="{118F444C-6C44-4B3F-AC5B-D7CB70181393}"/>
    <cellStyle name="Note 17 3 2 2 3" xfId="46868" xr:uid="{71057B16-DAF6-43DB-AA6E-9D44850454EA}"/>
    <cellStyle name="Note 17 3 2 3" xfId="25066" xr:uid="{E4790A39-8CF0-4BD4-AF2F-639423673A86}"/>
    <cellStyle name="Note 17 3 2 4" xfId="38142" xr:uid="{45165D65-7B46-4CAC-AA12-195181DA7E92}"/>
    <cellStyle name="Note 17 3 3" xfId="11466" xr:uid="{868724EB-9981-498B-8698-620F72AE2172}"/>
    <cellStyle name="Note 17 3 3 2" xfId="28230" xr:uid="{04141AF8-D77F-4A82-82F3-C8E92BE1FC94}"/>
    <cellStyle name="Note 17 3 3 3" xfId="41425" xr:uid="{547D48D0-7313-40FB-9B77-2B26EAC68153}"/>
    <cellStyle name="Note 17 3 4" xfId="22667" xr:uid="{2CF2784A-65B0-455A-B557-3A4E858CEF85}"/>
    <cellStyle name="Note 17 3 5" xfId="35720" xr:uid="{B5A39875-D143-4D36-A214-0138E2CE9231}"/>
    <cellStyle name="Note 17 4" xfId="5892" xr:uid="{AD3A427B-078C-4FF1-B12D-15E35A298D0E}"/>
    <cellStyle name="Note 17 4 2" xfId="9053" xr:uid="{58813F4F-2F85-4E89-BC6A-198CB7E298A0}"/>
    <cellStyle name="Note 17 4 2 2" xfId="14052" xr:uid="{127410BA-8314-4310-BA4C-E3C6C8AC2191}"/>
    <cellStyle name="Note 17 4 2 2 2" xfId="30422" xr:uid="{9BFC9A4B-1A06-46C8-8699-B45BD9E7409D}"/>
    <cellStyle name="Note 17 4 2 2 3" xfId="43805" xr:uid="{6DA85CD3-F70F-4AD0-9241-23F8146B2B12}"/>
    <cellStyle name="Note 17 4 2 3" xfId="26535" xr:uid="{919AAA7F-75E2-45B7-BF9B-E83CD2E4F216}"/>
    <cellStyle name="Note 17 4 2 4" xfId="39611" xr:uid="{4DCD3B54-9017-4312-84BC-0B99282D6FF7}"/>
    <cellStyle name="Note 17 4 3" xfId="11390" xr:uid="{1F562737-2D49-4915-9DA5-2E1B67152E31}"/>
    <cellStyle name="Note 17 4 3 2" xfId="28162" xr:uid="{BABA56D7-A943-4938-8F72-32A2ACE59EA2}"/>
    <cellStyle name="Note 17 4 3 3" xfId="41352" xr:uid="{7ABDFA0C-E4D8-4977-BF26-31E70D83EADF}"/>
    <cellStyle name="Note 17 4 4" xfId="23539" xr:uid="{6F3341F2-0377-474C-A49E-EF49D7BACA34}"/>
    <cellStyle name="Note 17 4 5" xfId="36620" xr:uid="{B4600DB0-176C-4BF9-9DDE-722446D1EB69}"/>
    <cellStyle name="Note 17 5" xfId="16450" xr:uid="{B305229A-2E6B-455D-ADD5-A1BE1C5B4EFE}"/>
    <cellStyle name="Note 17 5 2" xfId="32458" xr:uid="{BEE0B293-8160-4BCC-8FA3-ED32381BBC05}"/>
    <cellStyle name="Note 17 5 3" xfId="45998" xr:uid="{F53B4E86-E0E3-4D39-B19C-A90799378B47}"/>
    <cellStyle name="Note 17 6" xfId="21805" xr:uid="{CC239386-D8CB-4140-BC0D-EE9147FDE10B}"/>
    <cellStyle name="Note 17 7" xfId="34855" xr:uid="{32006ABB-89E3-4276-BF18-2873A0590E11}"/>
    <cellStyle name="Note 18" xfId="3900" xr:uid="{BD4A74F7-01A3-4A46-BBA5-B622BE179B07}"/>
    <cellStyle name="Note 18 2" xfId="3169" xr:uid="{8FE1C6B1-A936-493C-B0A1-0161B78C95C6}"/>
    <cellStyle name="Note 18 2 2" xfId="8461" xr:uid="{2AE2A464-0110-4068-AB76-BE2E7F1F513F}"/>
    <cellStyle name="Note 18 2 2 2" xfId="14448" xr:uid="{5781CE3D-8A1C-4517-9E69-862800FF6918}"/>
    <cellStyle name="Note 18 2 2 2 2" xfId="30776" xr:uid="{46AA02EF-4625-4E72-B2F4-3CE1EF1F2DA4}"/>
    <cellStyle name="Note 18 2 2 2 3" xfId="44177" xr:uid="{9048B3D9-C234-41A1-B884-81F33FFD7689}"/>
    <cellStyle name="Note 18 2 2 3" xfId="25963" xr:uid="{6A74F315-6EB8-436E-8A38-137BF86CA401}"/>
    <cellStyle name="Note 18 2 2 4" xfId="39039" xr:uid="{DF0A130E-B166-478D-A6F4-58F0DA3C6D72}"/>
    <cellStyle name="Note 18 2 3" xfId="6828" xr:uid="{44C5EF7C-BB95-4C6C-8FD7-C89C603B1DAA}"/>
    <cellStyle name="Note 18 2 3 2" xfId="11911" xr:uid="{EC610ED2-EB66-44EF-988A-6B54E6E2AC87}"/>
    <cellStyle name="Note 18 2 3 2 2" xfId="28626" xr:uid="{A1012E85-E3BE-400A-888E-9F176BCD4655}"/>
    <cellStyle name="Note 18 2 3 2 3" xfId="41842" xr:uid="{3D2DD6CC-37FF-4448-984F-FD590035B248}"/>
    <cellStyle name="Note 18 2 3 3" xfId="24454" xr:uid="{0679EB44-E888-4334-BC38-D567193766A9}"/>
    <cellStyle name="Note 18 2 3 4" xfId="37535" xr:uid="{6A4FB27D-346D-41C7-8FBA-53D1EA09A7C4}"/>
    <cellStyle name="Note 18 2 4" xfId="12336" xr:uid="{BEFCB881-6B50-4B12-B517-47123E7DC992}"/>
    <cellStyle name="Note 18 2 4 2" xfId="29004" xr:uid="{140DC60D-BE24-4860-A10C-39A65E6C68F5}"/>
    <cellStyle name="Note 18 2 4 3" xfId="42244" xr:uid="{26F99ECD-98E6-49D7-83AF-B9CCF55C5FC1}"/>
    <cellStyle name="Note 18 2 5" xfId="21206" xr:uid="{860BF6F0-DA66-4B42-999B-C68CA1D80ACF}"/>
    <cellStyle name="Note 18 2 6" xfId="34229" xr:uid="{611AD917-567C-48E7-B974-EBCD4F39FB14}"/>
    <cellStyle name="Note 18 3" xfId="4837" xr:uid="{25BADA78-3D71-4BAD-A72C-9A88357B6443}"/>
    <cellStyle name="Note 18 3 2" xfId="7481" xr:uid="{2ED86CDD-0708-4698-BEE8-BE25B984223F}"/>
    <cellStyle name="Note 18 3 2 2" xfId="15139" xr:uid="{6EA5494F-3FFC-4689-8D7C-C136C62EEA50}"/>
    <cellStyle name="Note 18 3 2 2 2" xfId="31339" xr:uid="{084A9EC4-20D6-4907-B0D1-12C4480CBA9B}"/>
    <cellStyle name="Note 18 3 2 2 3" xfId="44803" xr:uid="{5D467642-0E32-4EB6-9C77-EC1EF75DAD98}"/>
    <cellStyle name="Note 18 3 2 3" xfId="25038" xr:uid="{EA155506-B4F8-4A11-A117-E19E1BDD43C8}"/>
    <cellStyle name="Note 18 3 2 4" xfId="38114" xr:uid="{E2C717FA-5CA1-4795-BAA6-87B57B5F05A3}"/>
    <cellStyle name="Note 18 3 3" xfId="16012" xr:uid="{85531D69-2258-4523-BE02-6D78D9584C16}"/>
    <cellStyle name="Note 18 3 3 2" xfId="32081" xr:uid="{92C3783D-87F7-48D0-8055-263EFAF36647}"/>
    <cellStyle name="Note 18 3 3 3" xfId="45600" xr:uid="{1881AC13-8628-417E-966C-BF5F9DC6781B}"/>
    <cellStyle name="Note 18 3 4" xfId="22639" xr:uid="{59EA16BD-8F5B-4437-AAD4-53FD6DF07B25}"/>
    <cellStyle name="Note 18 3 5" xfId="35692" xr:uid="{2E6D3A51-C383-4871-9B2C-2262FD3D3C1A}"/>
    <cellStyle name="Note 18 4" xfId="5864" xr:uid="{2EBDCDD7-5824-45E1-BE80-C9D246B3E542}"/>
    <cellStyle name="Note 18 4 2" xfId="9022" xr:uid="{76684678-701F-422A-829B-0D358467784B}"/>
    <cellStyle name="Note 18 4 2 2" xfId="12729" xr:uid="{458515F7-EDE3-496D-BE1F-48E66A7CBBE3}"/>
    <cellStyle name="Note 18 4 2 2 2" xfId="29311" xr:uid="{10B4FE98-3697-4558-AE56-203E0880D86F}"/>
    <cellStyle name="Note 18 4 2 2 3" xfId="42588" xr:uid="{373CEC02-A868-485A-8904-AA2DD972702D}"/>
    <cellStyle name="Note 18 4 2 3" xfId="26507" xr:uid="{5922664D-E394-4456-99A1-5DA198828EF3}"/>
    <cellStyle name="Note 18 4 2 4" xfId="39583" xr:uid="{71111DE8-AD26-4963-A096-563B13CBA2FD}"/>
    <cellStyle name="Note 18 4 3" xfId="16441" xr:uid="{F60C56D3-567D-48CA-9250-92B1BA1C52E7}"/>
    <cellStyle name="Note 18 4 3 2" xfId="32453" xr:uid="{510DDBDD-5B7C-4F25-BEE9-5B0CAAF42BFC}"/>
    <cellStyle name="Note 18 4 3 3" xfId="45991" xr:uid="{4E4A815D-C3A3-41C4-A36F-6FACEE9CACCE}"/>
    <cellStyle name="Note 18 4 4" xfId="23511" xr:uid="{5AFBD680-C16D-4620-9466-999F6CF38E19}"/>
    <cellStyle name="Note 18 4 5" xfId="36592" xr:uid="{3B8A8EAD-B718-4B3A-BFE0-627085CBEB03}"/>
    <cellStyle name="Note 18 5" xfId="14335" xr:uid="{47AFC7C4-BFEA-40CC-AE86-DA1ED4E58373}"/>
    <cellStyle name="Note 18 5 2" xfId="30669" xr:uid="{E09F9E7B-72BA-4CA5-B205-0DC39FD583E8}"/>
    <cellStyle name="Note 18 5 3" xfId="44065" xr:uid="{B7F8B5E7-4E3A-4047-99FC-EF38229C1FBA}"/>
    <cellStyle name="Note 18 6" xfId="21776" xr:uid="{6B4B7F67-F157-4E6B-97B1-F3223AD027B2}"/>
    <cellStyle name="Note 18 7" xfId="34827" xr:uid="{0253BCFC-8469-49E9-8F7B-0F89FA398104}"/>
    <cellStyle name="Note 19" xfId="3961" xr:uid="{960AF385-14D8-481E-96A7-22DAD2C2874C}"/>
    <cellStyle name="Note 19 2" xfId="3208" xr:uid="{7506EF06-39B9-40D4-99F2-A281E16F42EC}"/>
    <cellStyle name="Note 19 2 2" xfId="8499" xr:uid="{165F0015-99D9-4EAE-875C-00DB3EDABFB3}"/>
    <cellStyle name="Note 19 2 2 2" xfId="15620" xr:uid="{12ADC833-03AF-41B5-A34E-D1C19E05F111}"/>
    <cellStyle name="Note 19 2 2 2 2" xfId="31741" xr:uid="{61224112-6B2A-4873-9CB9-BEECC55A9E40}"/>
    <cellStyle name="Note 19 2 2 2 3" xfId="45245" xr:uid="{688E1212-C373-48A6-9258-840E02D93AB9}"/>
    <cellStyle name="Note 19 2 2 3" xfId="25998" xr:uid="{4A8F5852-175C-4CF2-B701-83E389B3185F}"/>
    <cellStyle name="Note 19 2 2 4" xfId="39074" xr:uid="{0693A697-B32A-453E-B3FA-FBD1F1B870AC}"/>
    <cellStyle name="Note 19 2 3" xfId="6867" xr:uid="{FF97428D-AE4D-403F-8A0D-FAF1CD507D99}"/>
    <cellStyle name="Note 19 2 3 2" xfId="15634" xr:uid="{3852004C-E08F-4CDB-A3A9-CBF5339C1E5F}"/>
    <cellStyle name="Note 19 2 3 2 2" xfId="31754" xr:uid="{1CB3352F-B228-4C45-840B-D75D34400364}"/>
    <cellStyle name="Note 19 2 3 2 3" xfId="45258" xr:uid="{5630E8A9-B854-49B7-A1B0-651C45CD68CF}"/>
    <cellStyle name="Note 19 2 3 3" xfId="24490" xr:uid="{689ACFF3-4092-439E-82CC-53F099DBEBB8}"/>
    <cellStyle name="Note 19 2 3 4" xfId="37571" xr:uid="{3813EE34-E79F-4645-999B-13842053C2C5}"/>
    <cellStyle name="Note 19 2 4" xfId="17554" xr:uid="{EBB7DF10-33FF-44B3-B086-044AE18AD994}"/>
    <cellStyle name="Note 19 2 4 2" xfId="33291" xr:uid="{C522096E-7309-42F2-945D-0EC85258097D}"/>
    <cellStyle name="Note 19 2 4 3" xfId="47079" xr:uid="{1B1700F4-8434-4F0E-AF43-98C0EF4FC6AE}"/>
    <cellStyle name="Note 19 2 5" xfId="21242" xr:uid="{8FA919FB-1F59-4281-927A-CDFF4F9B08ED}"/>
    <cellStyle name="Note 19 2 6" xfId="34265" xr:uid="{4966F938-B336-400D-9801-58A1639E22FE}"/>
    <cellStyle name="Note 19 3" xfId="4873" xr:uid="{DE01E885-CC92-45B4-B0DE-8B3C2D7F756C}"/>
    <cellStyle name="Note 19 3 2" xfId="7541" xr:uid="{A6787715-FC73-40C5-9E8C-2935506D747D}"/>
    <cellStyle name="Note 19 3 2 2" xfId="17474" xr:uid="{3F2D98D2-6356-47BF-BBB4-BFA9B0508E95}"/>
    <cellStyle name="Note 19 3 2 2 2" xfId="33217" xr:uid="{52FC1896-3151-47B7-9582-6AA103CAD62A}"/>
    <cellStyle name="Note 19 3 2 2 3" xfId="47003" xr:uid="{25500B09-953C-44AD-A4F5-4C93E1790468}"/>
    <cellStyle name="Note 19 3 2 3" xfId="25069" xr:uid="{E50AFF50-D82F-4EE4-8AA7-6B896EAC3E34}"/>
    <cellStyle name="Note 19 3 2 4" xfId="38145" xr:uid="{E23FFDA7-7AE7-4C14-9617-91A02CC84CB9}"/>
    <cellStyle name="Note 19 3 3" xfId="13340" xr:uid="{BFF3B54B-55A8-419F-9496-BB34515F92E9}"/>
    <cellStyle name="Note 19 3 3 2" xfId="29822" xr:uid="{EF15A81B-83C1-4900-8C62-2FAE84F9F3B3}"/>
    <cellStyle name="Note 19 3 3 3" xfId="43153" xr:uid="{4E7885FD-76CB-4DC8-A82E-8CD566D39976}"/>
    <cellStyle name="Note 19 3 4" xfId="22670" xr:uid="{AD2EAD64-B2C8-4689-9752-2FF7DB2E5134}"/>
    <cellStyle name="Note 19 3 5" xfId="35723" xr:uid="{901A0AE2-45D1-41B1-984A-9D4A183F795B}"/>
    <cellStyle name="Note 19 4" xfId="5895" xr:uid="{8C7BBCD0-CBF8-4A98-8583-17E98805F321}"/>
    <cellStyle name="Note 19 4 2" xfId="9057" xr:uid="{F5CFD61C-A518-4448-AA99-642EB1753AF6}"/>
    <cellStyle name="Note 19 4 2 2" xfId="14154" xr:uid="{612370AF-1D22-4E72-9D87-3DC410E725FD}"/>
    <cellStyle name="Note 19 4 2 2 2" xfId="30511" xr:uid="{3CC12B59-FFD6-4C76-8E02-0AFBF2352167}"/>
    <cellStyle name="Note 19 4 2 2 3" xfId="43897" xr:uid="{28054232-B1AA-4063-9F6E-86CA7D100E1B}"/>
    <cellStyle name="Note 19 4 2 3" xfId="26538" xr:uid="{98F7BDEB-45FE-47C2-A6F1-ED66D4AFABBB}"/>
    <cellStyle name="Note 19 4 2 4" xfId="39614" xr:uid="{B0AA96A8-E0F0-4966-94C0-5926E4DA68EC}"/>
    <cellStyle name="Note 19 4 3" xfId="16574" xr:uid="{5CF09F71-AA97-4F7D-8820-5C91C60DDFEE}"/>
    <cellStyle name="Note 19 4 3 2" xfId="32497" xr:uid="{ABC77695-355C-4A01-8912-6B9BF5D1F4AF}"/>
    <cellStyle name="Note 19 4 3 3" xfId="46121" xr:uid="{04624C8F-279F-4EBE-9757-8256C49B2878}"/>
    <cellStyle name="Note 19 4 4" xfId="23542" xr:uid="{828CB939-7735-4F06-AC41-F38B04A176CA}"/>
    <cellStyle name="Note 19 4 5" xfId="36623" xr:uid="{0C0FB421-FFAC-4540-9D15-059EE152DB1D}"/>
    <cellStyle name="Note 19 5" xfId="17320" xr:uid="{615C25CE-2A7E-412C-9FED-35868EDD0CEC}"/>
    <cellStyle name="Note 19 5 2" xfId="33074" xr:uid="{7A1728D1-C5A5-489B-8D75-2236C7E7BE0E}"/>
    <cellStyle name="Note 19 5 3" xfId="46850" xr:uid="{9B5AD0C4-F30E-4C33-8D58-364DDCED0D8D}"/>
    <cellStyle name="Note 19 6" xfId="21808" xr:uid="{A90FBAB6-91D9-4FCC-928F-080CEF568D97}"/>
    <cellStyle name="Note 19 7" xfId="34858" xr:uid="{9BE6C8FD-7821-4EA8-B78D-69EC0DC4AAA6}"/>
    <cellStyle name="Note 2" xfId="3425" xr:uid="{DDFA4C14-9D03-4E3A-8ECB-5F20C34C4B61}"/>
    <cellStyle name="Note 2 10" xfId="20487" xr:uid="{9E304808-F6D4-4947-9A48-76B1585DDD62}"/>
    <cellStyle name="Note 2 11" xfId="34442" xr:uid="{979C02E0-730D-4828-9CFA-675CF00CD642}"/>
    <cellStyle name="Note 2 2" xfId="2767" xr:uid="{6B7B7A98-4269-4E3D-A729-D57E41CD3828}"/>
    <cellStyle name="Note 2 2 2" xfId="5100" xr:uid="{0289B601-0410-4A13-8883-BC2F8F84A651}"/>
    <cellStyle name="Note 2 2 2 2" xfId="8063" xr:uid="{6039DA1B-D070-41BF-8D7E-95C262ABCE73}"/>
    <cellStyle name="Note 2 2 2 2 2" xfId="11365" xr:uid="{99FE33C0-0976-4FC6-B6B3-A5BE0F249396}"/>
    <cellStyle name="Note 2 2 2 2 2 2" xfId="28143" xr:uid="{29C5025D-6D55-46E1-BD4C-EB82106B6CA7}"/>
    <cellStyle name="Note 2 2 2 2 2 3" xfId="41331" xr:uid="{A8064FAA-73D3-485B-A791-6376EF01A728}"/>
    <cellStyle name="Note 2 2 2 2 3" xfId="25575" xr:uid="{99A28043-D01E-4591-BFAA-ECD98BCE8BEF}"/>
    <cellStyle name="Note 2 2 2 2 4" xfId="38651" xr:uid="{84159D0D-78DC-44E3-835F-F10240D5B28C}"/>
    <cellStyle name="Note 2 2 2 3" xfId="15617" xr:uid="{D06DC203-5FE8-44FA-9540-222422C32FB0}"/>
    <cellStyle name="Note 2 2 2 3 2" xfId="31738" xr:uid="{FB49AF2F-C6C8-42BD-9A4F-F9F0B7838A55}"/>
    <cellStyle name="Note 2 2 2 3 3" xfId="45242" xr:uid="{9CC7550C-C6B7-4B75-8AD3-6B3B439C0A12}"/>
    <cellStyle name="Note 2 2 2 4" xfId="22824" xr:uid="{EB4A22C0-7D51-497E-8475-D21CEA028FE9}"/>
    <cellStyle name="Note 2 2 2 5" xfId="35893" xr:uid="{ED4C174F-7E9D-46CC-A0FF-73BF055673EC}"/>
    <cellStyle name="Note 2 2 3" xfId="6430" xr:uid="{568BC9CC-4780-47E7-9225-4D55B6F835C9}"/>
    <cellStyle name="Note 2 2 3 2" xfId="15836" xr:uid="{A7D5F9C6-2B9E-4046-92CA-6CB645873AB2}"/>
    <cellStyle name="Note 2 2 3 2 2" xfId="31929" xr:uid="{0E41C23D-5B3D-4621-B9F3-25D6B365DAA5}"/>
    <cellStyle name="Note 2 2 3 2 3" xfId="45441" xr:uid="{AC571D2F-D68D-4108-AF9D-F47C16E07078}"/>
    <cellStyle name="Note 2 2 3 3" xfId="24066" xr:uid="{0EC6E506-686F-4C54-A637-30C3BEF13DF3}"/>
    <cellStyle name="Note 2 2 3 4" xfId="37147" xr:uid="{902AD2C6-40AB-4F9C-BBCF-BFAD18697C2C}"/>
    <cellStyle name="Note 2 2 4" xfId="15294" xr:uid="{E16D85E9-5E48-4D0E-BACD-DAEB5269C708}"/>
    <cellStyle name="Note 2 2 4 2" xfId="31462" xr:uid="{944DFCEB-F830-45E8-A1DA-5A22A504E5B7}"/>
    <cellStyle name="Note 2 2 4 3" xfId="44942" xr:uid="{9B7A4B33-3C1C-41C8-8823-8DFC94EA5A55}"/>
    <cellStyle name="Note 2 2 5" xfId="20818" xr:uid="{853E0CDE-CBD9-4EB8-A5A7-E372D15C405D}"/>
    <cellStyle name="Note 2 2 6" xfId="33841" xr:uid="{E46316C1-2086-433B-917A-8898B09DFE31}"/>
    <cellStyle name="Note 2 3" xfId="4161" xr:uid="{31DF439D-528F-4415-BCC1-C2AE4300FE8E}"/>
    <cellStyle name="Note 2 3 2" xfId="5195" xr:uid="{7D1B73F2-874D-4F9F-999B-D22C33925092}"/>
    <cellStyle name="Note 2 3 2 2" xfId="9213" xr:uid="{A55ADD49-747E-4473-AC21-F1ECAFC643F2}"/>
    <cellStyle name="Note 2 3 2 2 2" xfId="11614" xr:uid="{19BBEAF1-04B4-4199-BA16-33ED369515C6}"/>
    <cellStyle name="Note 2 3 2 2 2 2" xfId="28361" xr:uid="{9BB7AA47-CE6C-425A-83A4-348E1BCBDB53}"/>
    <cellStyle name="Note 2 3 2 2 2 3" xfId="41563" xr:uid="{2F0F2B48-3F61-4040-AB96-98D47708F58D}"/>
    <cellStyle name="Note 2 3 2 2 3" xfId="26688" xr:uid="{278754F4-C9B7-411C-8F65-7E4ED4FC7891}"/>
    <cellStyle name="Note 2 3 2 2 4" xfId="39764" xr:uid="{5362D7DF-FFAC-41C2-B25E-AE577E3E24F5}"/>
    <cellStyle name="Note 2 3 2 3" xfId="16560" xr:uid="{7FE73F60-1685-4293-B005-0CF216FFDA46}"/>
    <cellStyle name="Note 2 3 2 3 2" xfId="32495" xr:uid="{3CEDC3D1-2B44-4127-A897-2036124898B3}"/>
    <cellStyle name="Note 2 3 2 3 3" xfId="46107" xr:uid="{3663E890-D1C2-4E40-A5D1-60E8A457F62A}"/>
    <cellStyle name="Note 2 3 2 4" xfId="22870" xr:uid="{9962ED79-26D2-4654-AE22-0909962F08F6}"/>
    <cellStyle name="Note 2 3 2 5" xfId="35939" xr:uid="{A7C5F03A-B1CB-4B42-91D0-1EBBE6C41672}"/>
    <cellStyle name="Note 2 3 3" xfId="7725" xr:uid="{0B6FF3C9-4799-4DD9-8FA3-65B04DEC5BA7}"/>
    <cellStyle name="Note 2 3 3 2" xfId="11052" xr:uid="{E6545B6B-4283-445F-A356-D5D68A051238}"/>
    <cellStyle name="Note 2 3 3 2 2" xfId="27855" xr:uid="{41740691-9C20-45C5-909E-A3FBEF005518}"/>
    <cellStyle name="Note 2 3 3 2 3" xfId="41031" xr:uid="{93F3942F-8834-4BFC-B9CE-F22BE61A0D1C}"/>
    <cellStyle name="Note 2 3 3 3" xfId="25247" xr:uid="{266F54F1-658D-4691-B7AF-7D05494B53BD}"/>
    <cellStyle name="Note 2 3 3 4" xfId="38323" xr:uid="{62C8D6E6-9BD0-47C7-A263-79FCDBDE564F}"/>
    <cellStyle name="Note 2 3 4" xfId="15057" xr:uid="{0776FD9B-50B4-4A06-877B-03F1F8B66191}"/>
    <cellStyle name="Note 2 3 4 2" xfId="31269" xr:uid="{300221CA-4F51-4BF6-BDA7-B44360ECA557}"/>
    <cellStyle name="Note 2 3 4 3" xfId="44725" xr:uid="{E5888838-EBCC-427F-B181-C0376260A854}"/>
    <cellStyle name="Note 2 3 5" xfId="21988" xr:uid="{C4B1E037-00F3-4D28-9572-FE60F3902733}"/>
    <cellStyle name="Note 2 3 6" xfId="35037" xr:uid="{92E6A49F-06EF-45E2-ACC9-218F981BECAF}"/>
    <cellStyle name="Note 2 4" xfId="2612" xr:uid="{24F5FBCA-60AD-4072-A19D-10A94C08731B}"/>
    <cellStyle name="Note 2 4 2" xfId="5055" xr:uid="{B0D79282-1124-4DB9-88EF-CA4440A7CC55}"/>
    <cellStyle name="Note 2 4 2 2" xfId="7909" xr:uid="{F9CCC3F9-8250-42A5-8EBC-D88F6095A0B8}"/>
    <cellStyle name="Note 2 4 2 2 2" xfId="14837" xr:uid="{D1885430-8CF2-46CC-9620-4096F95AE343}"/>
    <cellStyle name="Note 2 4 2 2 2 2" xfId="31094" xr:uid="{73FBFB65-804E-438F-8C65-5B6D035D928E}"/>
    <cellStyle name="Note 2 4 2 2 2 3" xfId="44532" xr:uid="{D8236A5E-9D5D-4F01-A08A-B6A252B44156}"/>
    <cellStyle name="Note 2 4 2 2 3" xfId="25426" xr:uid="{E70A95D4-3A9D-403B-AAC7-0257BF2795A0}"/>
    <cellStyle name="Note 2 4 2 2 4" xfId="38502" xr:uid="{3046056D-67C8-47AD-94DF-10859C9540E6}"/>
    <cellStyle name="Note 2 4 2 3" xfId="12111" xr:uid="{888DCC31-1579-4132-9267-D057229F546B}"/>
    <cellStyle name="Note 2 4 2 3 2" xfId="28811" xr:uid="{012E1A6B-2F81-4D98-8EB0-C715369F6D31}"/>
    <cellStyle name="Note 2 4 2 3 3" xfId="42031" xr:uid="{0CCA5D77-47A0-479C-AD24-DE6832F1B3F0}"/>
    <cellStyle name="Note 2 4 2 4" xfId="22804" xr:uid="{972438F1-F261-4F68-ABF9-AE10A7397C5F}"/>
    <cellStyle name="Note 2 4 2 5" xfId="35869" xr:uid="{194F350B-25BC-4FE1-99F6-880C562BEA1F}"/>
    <cellStyle name="Note 2 4 3" xfId="6276" xr:uid="{2244F76C-8391-49F7-B12B-6034DAEEF3F6}"/>
    <cellStyle name="Note 2 4 3 2" xfId="15628" xr:uid="{FC49196F-EF28-4327-8723-181453DEF6A6}"/>
    <cellStyle name="Note 2 4 3 2 2" xfId="31748" xr:uid="{F3B4A961-C76E-4566-952E-7088BD1461CD}"/>
    <cellStyle name="Note 2 4 3 2 3" xfId="45252" xr:uid="{957FEFD1-F430-4E3B-A5DA-9DA90F36D333}"/>
    <cellStyle name="Note 2 4 3 3" xfId="23917" xr:uid="{C8BCCAF0-D329-42DC-98D2-4353DFBC5B97}"/>
    <cellStyle name="Note 2 4 3 4" xfId="36998" xr:uid="{80A4A266-0878-48BC-B277-A3F987DDFFC7}"/>
    <cellStyle name="Note 2 4 4" xfId="13521" xr:uid="{F3F8F83C-3E76-4C79-A7A4-E9EA35C4B9F5}"/>
    <cellStyle name="Note 2 4 4 2" xfId="29974" xr:uid="{5D4D2429-CF2B-4EBF-99CF-8848863907A4}"/>
    <cellStyle name="Note 2 4 4 3" xfId="43318" xr:uid="{CF354C29-7155-400F-94E0-F69503DC68A3}"/>
    <cellStyle name="Note 2 4 5" xfId="20669" xr:uid="{85ED6AEC-D219-4E6B-BD18-C4B263A70982}"/>
    <cellStyle name="Note 2 4 6" xfId="33692" xr:uid="{E5F90F84-2831-4065-A8F2-22FAAFCA25F4}"/>
    <cellStyle name="Note 2 5" xfId="4101" xr:uid="{0645A465-4172-43C1-815C-A154ABC375BC}"/>
    <cellStyle name="Note 2 5 2" xfId="5050" xr:uid="{B1232C87-06A7-4A5B-9887-3408C558EB06}"/>
    <cellStyle name="Note 2 5 2 2" xfId="9153" xr:uid="{0256B6AC-198F-4706-AFC8-537B185F26DC}"/>
    <cellStyle name="Note 2 5 2 2 2" xfId="12364" xr:uid="{7CCCC69F-A608-4D83-BEC2-7C44A8345C69}"/>
    <cellStyle name="Note 2 5 2 2 2 2" xfId="29030" xr:uid="{6CEB487C-DF6F-4AF8-B384-31338763CF12}"/>
    <cellStyle name="Note 2 5 2 2 2 3" xfId="42270" xr:uid="{35304773-E67E-4BB6-94A3-909A5918DE6A}"/>
    <cellStyle name="Note 2 5 2 2 3" xfId="26634" xr:uid="{EDF7CECB-293A-466C-B2E4-C2EF27A8C653}"/>
    <cellStyle name="Note 2 5 2 2 4" xfId="39710" xr:uid="{BA252721-E1BE-4929-9202-DFEB037E28BD}"/>
    <cellStyle name="Note 2 5 2 3" xfId="12613" xr:uid="{54F23BD0-8513-4F5F-A503-CAEF1B06ECBF}"/>
    <cellStyle name="Note 2 5 2 3 2" xfId="29224" xr:uid="{D858DF9B-3227-43BE-B13A-DF4F415EFE5C}"/>
    <cellStyle name="Note 2 5 2 3 3" xfId="42488" xr:uid="{FFD0C76F-0E51-4734-8E6F-FE25BF6E228D}"/>
    <cellStyle name="Note 2 5 2 4" xfId="22799" xr:uid="{6C828034-7615-4931-87A7-C3A5314C556D}"/>
    <cellStyle name="Note 2 5 2 5" xfId="35864" xr:uid="{D762EDE6-0969-479B-A3D5-AE4EA0A643DA}"/>
    <cellStyle name="Note 2 5 3" xfId="7665" xr:uid="{58F0DA80-5CF0-438D-8B36-4A6F762117C8}"/>
    <cellStyle name="Note 2 5 3 2" xfId="16712" xr:uid="{6BF7BFBA-C2E9-495A-8258-5F5AE223C5DD}"/>
    <cellStyle name="Note 2 5 3 2 2" xfId="32596" xr:uid="{0C8D035F-8599-4400-AD39-2356F784CD07}"/>
    <cellStyle name="Note 2 5 3 2 3" xfId="46256" xr:uid="{384B94A3-9591-44B4-A3D1-9129266D0376}"/>
    <cellStyle name="Note 2 5 3 3" xfId="25193" xr:uid="{9D80B877-F1E0-468F-9C45-F35EC67AC17F}"/>
    <cellStyle name="Note 2 5 3 4" xfId="38269" xr:uid="{D06E119B-1338-4CAA-89CB-24969EDD32AA}"/>
    <cellStyle name="Note 2 5 4" xfId="16106" xr:uid="{5C1A00C8-79FF-45B7-9262-116471D3B961}"/>
    <cellStyle name="Note 2 5 4 2" xfId="32164" xr:uid="{5BF0C4DC-263F-49B9-8E84-835D4E647DDB}"/>
    <cellStyle name="Note 2 5 4 3" xfId="45685" xr:uid="{A997347A-5B9F-4C7C-B64E-34CD56D66B2A}"/>
    <cellStyle name="Note 2 5 5" xfId="21934" xr:uid="{563F84FF-1543-4017-AF90-87658F940F65}"/>
    <cellStyle name="Note 2 5 6" xfId="34983" xr:uid="{004988FB-8215-4AEE-8CE2-D23C596BF9DF}"/>
    <cellStyle name="Note 2 6" xfId="4428" xr:uid="{98DC5E16-71F3-4DBE-B218-478FB2D96824}"/>
    <cellStyle name="Note 2 6 2" xfId="7067" xr:uid="{A9490F71-3818-4E9E-A10A-7FE0797C167C}"/>
    <cellStyle name="Note 2 6 2 2" xfId="14683" xr:uid="{11832D13-ADB9-44F9-B780-0D02B287E5A5}"/>
    <cellStyle name="Note 2 6 2 2 2" xfId="30976" xr:uid="{4BE11DD0-5A5F-4778-B03B-BFC9C1FD426D}"/>
    <cellStyle name="Note 2 6 2 2 3" xfId="44397" xr:uid="{7289DD64-A856-4579-88FB-4B57E8A7CC77}"/>
    <cellStyle name="Note 2 6 2 3" xfId="24667" xr:uid="{64665C09-C75D-47D2-AF05-839429027AA2}"/>
    <cellStyle name="Note 2 6 2 4" xfId="37748" xr:uid="{9EE018E8-1476-470D-92D4-4F13F910B6AE}"/>
    <cellStyle name="Note 2 6 3" xfId="16151" xr:uid="{E506D29B-0E54-4589-9B6D-78DA1A2090C9}"/>
    <cellStyle name="Note 2 6 3 2" xfId="32202" xr:uid="{8CCA78FA-A315-4133-813D-53ED37E32DF5}"/>
    <cellStyle name="Note 2 6 3 3" xfId="45724" xr:uid="{33C9B821-F1FE-4102-96B3-324AB88B853D}"/>
    <cellStyle name="Note 2 6 4" xfId="22246" xr:uid="{E8DFCD59-9482-46B1-BD5C-057870E2355E}"/>
    <cellStyle name="Note 2 6 5" xfId="35295" xr:uid="{96E05716-1774-4EFA-9753-98072F05798C}"/>
    <cellStyle name="Note 2 7" xfId="5481" xr:uid="{6917A014-F18A-4992-80B5-BF8535A115B9}"/>
    <cellStyle name="Note 2 7 2" xfId="8662" xr:uid="{52590D94-4D40-4D04-A5B1-381706B06751}"/>
    <cellStyle name="Note 2 7 2 2" xfId="12332" xr:uid="{E4EBEB71-6BC2-440C-8775-C20894D0A4A9}"/>
    <cellStyle name="Note 2 7 2 2 2" xfId="29000" xr:uid="{574B70D5-0083-437F-8BA5-AC23D0CCB8B2}"/>
    <cellStyle name="Note 2 7 2 2 3" xfId="42240" xr:uid="{3D554CE6-0506-4B2E-87E8-6A2EC4AADC2E}"/>
    <cellStyle name="Note 2 7 2 3" xfId="26156" xr:uid="{31C46F04-6E3F-465E-BBE0-2AE430DF31D0}"/>
    <cellStyle name="Note 2 7 2 4" xfId="39232" xr:uid="{44BDB71F-9036-4B96-A178-2076A9D18DA1}"/>
    <cellStyle name="Note 2 7 3" xfId="17066" xr:uid="{58FD3389-B642-499F-9615-A006198F6288}"/>
    <cellStyle name="Note 2 7 3 2" xfId="32837" xr:uid="{4FBC1049-D475-492A-980C-ECC5AF05D741}"/>
    <cellStyle name="Note 2 7 3 3" xfId="46607" xr:uid="{86B0E17A-CF80-4B6E-8346-914F6C22B99E}"/>
    <cellStyle name="Note 2 7 4" xfId="23128" xr:uid="{8EF04CB8-FCF4-4AAA-A865-14226E856DCA}"/>
    <cellStyle name="Note 2 7 5" xfId="36209" xr:uid="{DCF501A1-42FD-4BFF-B444-06DCFC1BFBCC}"/>
    <cellStyle name="Note 2 8" xfId="14461" xr:uid="{6DCC20B0-6902-48A6-A42E-4C673A5EA04D}"/>
    <cellStyle name="Note 2 8 2" xfId="30787" xr:uid="{6055FEE7-AF74-440D-9CBF-C1ABE0D08F0B}"/>
    <cellStyle name="Note 2 8 3" xfId="44190" xr:uid="{6C603C6D-A7FA-46A7-8C23-9FDA7DCBAE5B}"/>
    <cellStyle name="Note 2 9" xfId="17734" xr:uid="{B83501DC-8DF3-4B06-8613-56BFDE859D77}"/>
    <cellStyle name="Note 2 9 2" xfId="33456" xr:uid="{C5D83EBB-A570-4F5F-9766-64209A3B98C1}"/>
    <cellStyle name="Note 2 9 3" xfId="47239" xr:uid="{3EDD4F18-A589-4FA1-8D2F-6AD6B8FA57B9}"/>
    <cellStyle name="Note 20" xfId="3107" xr:uid="{8383C54E-9760-48A8-8850-8869A0762992}"/>
    <cellStyle name="Note 20 2" xfId="4973" xr:uid="{98F277C0-34FA-4DDD-B6C8-ECC6C8AF2274}"/>
    <cellStyle name="Note 20 2 2" xfId="8399" xr:uid="{94479748-AB71-4051-9154-1D6DF8E8508A}"/>
    <cellStyle name="Note 20 2 2 2" xfId="10785" xr:uid="{ACE7A70B-71E2-4EB5-8EC9-6948751A3CC9}"/>
    <cellStyle name="Note 20 2 2 2 2" xfId="27619" xr:uid="{791536A5-6109-4A9E-8337-98E9004C1308}"/>
    <cellStyle name="Note 20 2 2 2 3" xfId="40766" xr:uid="{BDAE7E20-9721-4F84-8F2A-46533E6A651B}"/>
    <cellStyle name="Note 20 2 2 3" xfId="25901" xr:uid="{883F696F-3BF1-427F-B759-56EC641A9E92}"/>
    <cellStyle name="Note 20 2 2 4" xfId="38977" xr:uid="{E6EA16E5-30C3-4470-A62E-435D76E5B38F}"/>
    <cellStyle name="Note 20 2 3" xfId="14550" xr:uid="{98B782FA-DB42-4748-AD27-6D2F4CFDF126}"/>
    <cellStyle name="Note 20 2 3 2" xfId="30861" xr:uid="{B9D4BF4F-46AE-46BD-BB9F-52A436A7C2F8}"/>
    <cellStyle name="Note 20 2 3 3" xfId="44273" xr:uid="{1564A1A2-5DA1-44EF-AC0F-EC98A11A5304}"/>
    <cellStyle name="Note 20 2 4" xfId="22750" xr:uid="{6C2B24B6-6C39-4A0A-B07A-CBF7E045EC74}"/>
    <cellStyle name="Note 20 2 5" xfId="35806" xr:uid="{7AB1B336-6A60-4500-8EF2-4E45F257BE41}"/>
    <cellStyle name="Note 20 3" xfId="6766" xr:uid="{869CD850-19A5-4F53-AE46-FA3BB48327A1}"/>
    <cellStyle name="Note 20 3 2" xfId="17211" xr:uid="{C3D5111A-C98B-4CF2-A765-6DC8F2476BEA}"/>
    <cellStyle name="Note 20 3 2 2" xfId="32972" xr:uid="{3AF4AE49-8F22-4038-827F-6DD4FD7F757E}"/>
    <cellStyle name="Note 20 3 2 3" xfId="46745" xr:uid="{AC8DD3D9-823C-4D1C-A79C-BEB05826A507}"/>
    <cellStyle name="Note 20 3 3" xfId="24392" xr:uid="{E6ECCA6A-D251-41E3-8B84-1D86A3F034CD}"/>
    <cellStyle name="Note 20 3 4" xfId="37473" xr:uid="{E37B5102-62A2-4725-B109-B1B43D246B3F}"/>
    <cellStyle name="Note 20 4" xfId="14272" xr:uid="{41888DC4-5769-45CB-B043-69FCAD1C1B89}"/>
    <cellStyle name="Note 20 4 2" xfId="30614" xr:uid="{6229F5EB-3E3D-4FA3-A520-D6269ADD187A}"/>
    <cellStyle name="Note 20 4 3" xfId="44007" xr:uid="{FAAB04AA-E3B9-4EE6-812C-94999C9D43AD}"/>
    <cellStyle name="Note 20 5" xfId="21144" xr:uid="{FD8C78B2-433F-44B6-8F84-D41ADECA30D5}"/>
    <cellStyle name="Note 20 6" xfId="34167" xr:uid="{7431C773-F469-4F0D-B933-8F92C3F991D8}"/>
    <cellStyle name="Note 21" xfId="2635" xr:uid="{0FA65806-626C-4952-A2DB-BA2EBC62C790}"/>
    <cellStyle name="Note 21 2" xfId="7932" xr:uid="{82792855-FA72-4FC0-A19A-AB7C6CCB64F3}"/>
    <cellStyle name="Note 21 2 2" xfId="11492" xr:uid="{5CB2B82D-4DBD-4AF5-A69D-7AA798F7B712}"/>
    <cellStyle name="Note 21 2 2 2" xfId="28253" xr:uid="{416092B2-BC12-4FC4-BAEB-70F24164B8C9}"/>
    <cellStyle name="Note 21 2 2 3" xfId="41449" xr:uid="{D21F1D44-B4CB-40ED-A39A-F996D62673AE}"/>
    <cellStyle name="Note 21 2 3" xfId="25448" xr:uid="{B2611DCC-1F48-4D06-8ECB-04128546125F}"/>
    <cellStyle name="Note 21 2 4" xfId="38524" xr:uid="{EE4600CD-6B58-41CB-95BE-95D32582ACD6}"/>
    <cellStyle name="Note 21 3" xfId="6299" xr:uid="{B961CDAF-DD48-4C7B-BFD9-1014D5BCA8B9}"/>
    <cellStyle name="Note 21 3 2" xfId="13477" xr:uid="{E7970EB9-9FB8-4873-8ECE-06D311898477}"/>
    <cellStyle name="Note 21 3 2 2" xfId="29938" xr:uid="{C79B9F93-479A-412E-B30D-13AB81B6D3D7}"/>
    <cellStyle name="Note 21 3 2 3" xfId="43278" xr:uid="{EA6F75DF-38DA-4B51-B81A-83DB7B579673}"/>
    <cellStyle name="Note 21 3 3" xfId="23939" xr:uid="{B02287F9-72BE-4EA5-B0F8-04643F493AE9}"/>
    <cellStyle name="Note 21 3 4" xfId="37020" xr:uid="{FC7435EB-7BE5-4B4F-8EEE-4BC3C131F3CF}"/>
    <cellStyle name="Note 21 4" xfId="12516" xr:uid="{EC6AD32F-4102-4EF4-B1A5-A9EA6A3CB7B7}"/>
    <cellStyle name="Note 21 4 2" xfId="29148" xr:uid="{4F117D90-7785-4283-8B0D-142C86F4D354}"/>
    <cellStyle name="Note 21 4 3" xfId="42403" xr:uid="{36BD4E95-E7AC-4FD6-A62E-3E14A50A25BE}"/>
    <cellStyle name="Note 21 5" xfId="20691" xr:uid="{C25139AA-453A-4263-A91B-E0AA86A02892}"/>
    <cellStyle name="Note 21 6" xfId="33714" xr:uid="{60F7789D-F352-4846-A3F8-885181349EF8}"/>
    <cellStyle name="Note 22" xfId="4105" xr:uid="{96F2175A-92C5-4562-A291-F4FD2A2F3C21}"/>
    <cellStyle name="Note 22 2" xfId="9157" xr:uid="{1126342A-AED9-4AAB-9C40-F742EDA175A5}"/>
    <cellStyle name="Note 22 2 2" xfId="15279" xr:uid="{03C7E0DA-B450-4864-82CA-9095808456D0}"/>
    <cellStyle name="Note 22 2 2 2" xfId="31452" xr:uid="{CFA9EFAC-06DF-4B29-AABA-DB46EC31D357}"/>
    <cellStyle name="Note 22 2 2 3" xfId="44929" xr:uid="{CA51B851-2402-454E-A418-9CA6AF400591}"/>
    <cellStyle name="Note 22 2 3" xfId="26638" xr:uid="{43A96599-EA22-40C7-825F-B572745C122A}"/>
    <cellStyle name="Note 22 2 4" xfId="39714" xr:uid="{CD32D340-EF7F-4513-AE69-D04EA273B866}"/>
    <cellStyle name="Note 22 3" xfId="7669" xr:uid="{08B491E6-E6DE-4EE2-B927-59BC88077A67}"/>
    <cellStyle name="Note 22 3 2" xfId="12220" xr:uid="{5583B223-E985-4E6B-8483-1701A163CE8F}"/>
    <cellStyle name="Note 22 3 2 2" xfId="28904" xr:uid="{069137E9-312B-4A92-B0E2-EE8543862591}"/>
    <cellStyle name="Note 22 3 2 3" xfId="42137" xr:uid="{5EA138A9-C0AB-4573-B59A-F89AFA89F2EC}"/>
    <cellStyle name="Note 22 3 3" xfId="25197" xr:uid="{0EE39D35-1515-4095-A2E1-3677735953FC}"/>
    <cellStyle name="Note 22 3 4" xfId="38273" xr:uid="{C8EBF868-7CA7-4DFD-A70A-8371E553EB86}"/>
    <cellStyle name="Note 22 4" xfId="15772" xr:uid="{6D93939D-BEFB-4D95-BF88-D56EBA92E8F0}"/>
    <cellStyle name="Note 22 4 2" xfId="31874" xr:uid="{5746B1D0-44A3-41BE-AD49-1ED3608FE967}"/>
    <cellStyle name="Note 22 4 3" xfId="45385" xr:uid="{BF94D0F9-61CA-487B-9FF2-035B74B482C7}"/>
    <cellStyle name="Note 22 5" xfId="21938" xr:uid="{50EE9E49-CAB4-4C93-B9E0-413A570703FA}"/>
    <cellStyle name="Note 22 6" xfId="34987" xr:uid="{F9F02B77-1FA1-49F7-9E49-FFBECF98978C}"/>
    <cellStyle name="Note 23" xfId="2544" xr:uid="{279B5D55-055C-44AF-A96C-1248E0701AEB}"/>
    <cellStyle name="Note 23 2" xfId="7842" xr:uid="{C55C8448-6B86-4A38-BB81-E788F8BA6BCD}"/>
    <cellStyle name="Note 23 2 2" xfId="10666" xr:uid="{D6C5B8F4-8B51-435E-BE36-6A1CE2C09E4F}"/>
    <cellStyle name="Note 23 2 2 2" xfId="27516" xr:uid="{414E7EFC-F596-4EBB-A0CE-2FBAEBD2E88A}"/>
    <cellStyle name="Note 23 2 2 3" xfId="40647" xr:uid="{A1F441E0-A0D5-4676-96D1-F092D384A57A}"/>
    <cellStyle name="Note 23 2 3" xfId="25361" xr:uid="{1F4DBBF5-10D8-4828-985B-E546B2555DF0}"/>
    <cellStyle name="Note 23 2 4" xfId="38437" xr:uid="{FAC7459D-9E54-4115-B7D9-7E063116BA8F}"/>
    <cellStyle name="Note 23 3" xfId="6209" xr:uid="{F57684AD-209E-4D7E-849A-522237ED1595}"/>
    <cellStyle name="Note 23 3 2" xfId="15296" xr:uid="{DF5D7721-5938-4B09-818A-B905A1EA3ED8}"/>
    <cellStyle name="Note 23 3 2 2" xfId="31464" xr:uid="{536AE76A-E329-4033-8C9A-1DCA1E162F28}"/>
    <cellStyle name="Note 23 3 2 3" xfId="44944" xr:uid="{6CE44E6A-33FB-4D78-A2A0-DEF708065E42}"/>
    <cellStyle name="Note 23 3 3" xfId="23852" xr:uid="{5B7078D1-9CF4-43D1-AD19-DC19DB64716B}"/>
    <cellStyle name="Note 23 3 4" xfId="36933" xr:uid="{B283A6BE-5210-4F9E-BE4B-34E10AAAA734}"/>
    <cellStyle name="Note 23 4" xfId="13323" xr:uid="{8DA4E47F-D9E4-4CBD-B57B-365E51B1AD80}"/>
    <cellStyle name="Note 23 4 2" xfId="29806" xr:uid="{8DA81BE7-70E3-4A94-A00F-9CF0D9BCC7C9}"/>
    <cellStyle name="Note 23 4 3" xfId="43137" xr:uid="{AA4F5FA8-09FD-436D-8E8C-0D25D9969818}"/>
    <cellStyle name="Note 23 5" xfId="20604" xr:uid="{E9DEFCB5-B9B9-41E8-8D10-7AF8C70E2289}"/>
    <cellStyle name="Note 23 6" xfId="33627" xr:uid="{528DD6B4-8D2C-4B39-85B6-B59FFF0BA845}"/>
    <cellStyle name="Note 24" xfId="4220" xr:uid="{9FD738DC-39E7-4862-9542-8AC1D69DB663}"/>
    <cellStyle name="Note 24 2" xfId="9272" xr:uid="{C8A0ECCC-4282-4412-A744-99BABF3E3CEE}"/>
    <cellStyle name="Note 24 2 2" xfId="11917" xr:uid="{501C6795-1964-4827-B819-34AB36284F9C}"/>
    <cellStyle name="Note 24 2 2 2" xfId="28632" xr:uid="{6622764B-9B52-4357-9009-028D19ED479A}"/>
    <cellStyle name="Note 24 2 2 3" xfId="41848" xr:uid="{F870AFB8-7BB8-48ED-8CC5-6EB335EAAD53}"/>
    <cellStyle name="Note 24 2 3" xfId="26745" xr:uid="{80585781-6967-42AD-A115-A1A92303E16B}"/>
    <cellStyle name="Note 24 2 4" xfId="39821" xr:uid="{8A5A6BE1-3F18-4A9D-9A94-D2325EE3D354}"/>
    <cellStyle name="Note 24 3" xfId="7784" xr:uid="{2B6A449D-8DB4-4E17-A6F1-5AA741E705EC}"/>
    <cellStyle name="Note 24 3 2" xfId="14549" xr:uid="{2103CC4D-FC7D-44C0-A5A0-0A213FF68C0A}"/>
    <cellStyle name="Note 24 3 2 2" xfId="30860" xr:uid="{F33656D0-4720-45F0-908A-CF6414CE6AFC}"/>
    <cellStyle name="Note 24 3 2 3" xfId="44272" xr:uid="{70DF0545-AD23-49D5-913D-F48D4BF256C8}"/>
    <cellStyle name="Note 24 3 3" xfId="25304" xr:uid="{1205AFEB-10F6-485F-865D-7E8377BAE5F7}"/>
    <cellStyle name="Note 24 3 4" xfId="38380" xr:uid="{F522BC28-51E1-4304-8D13-50C0CEF1ABE1}"/>
    <cellStyle name="Note 24 4" xfId="14688" xr:uid="{A76CD600-E665-4566-855B-8DD78488CEDE}"/>
    <cellStyle name="Note 24 4 2" xfId="30981" xr:uid="{9E34CC71-9541-4D70-96AC-75121AC10A45}"/>
    <cellStyle name="Note 24 4 3" xfId="44402" xr:uid="{7DA5C34E-C506-4612-A9C0-737A510C19C8}"/>
    <cellStyle name="Note 24 5" xfId="22045" xr:uid="{B97BD3C8-6EF4-45B8-9623-15F075C10B19}"/>
    <cellStyle name="Note 24 6" xfId="35094" xr:uid="{89D385B2-8BD5-4EDF-A123-98A280115BA5}"/>
    <cellStyle name="Note 25" xfId="4285" xr:uid="{AA528B4E-0C35-4F5D-9E5E-75EDC1838071}"/>
    <cellStyle name="Note 25 2" xfId="6154" xr:uid="{143EFCB7-3E4F-459B-B4D2-5CFD61CDA59A}"/>
    <cellStyle name="Note 25 2 2" xfId="10673" xr:uid="{55BD177B-7206-477A-A1FC-186F555BC08E}"/>
    <cellStyle name="Note 25 2 2 2" xfId="27523" xr:uid="{AED65479-267F-4287-9DC1-FD5D1F3FB10E}"/>
    <cellStyle name="Note 25 2 2 3" xfId="40654" xr:uid="{B93057EF-46BE-46B4-BBB8-FA3BEE35E6BB}"/>
    <cellStyle name="Note 25 2 3" xfId="23799" xr:uid="{A64320ED-B48B-4B54-B135-D833FC2E353C}"/>
    <cellStyle name="Note 25 2 4" xfId="36880" xr:uid="{69972B1E-FC64-44FD-8F06-189A9514BC87}"/>
    <cellStyle name="Note 25 3" xfId="11191" xr:uid="{AC197737-E6F9-4907-9B7D-50F21D67E7B0}"/>
    <cellStyle name="Note 25 3 2" xfId="27985" xr:uid="{F99DD890-38C1-45AB-9AAF-C834F092D3C1}"/>
    <cellStyle name="Note 25 3 3" xfId="41167" xr:uid="{C9EA594F-A49F-4B94-9D2D-651C3DB608D0}"/>
    <cellStyle name="Note 25 4" xfId="22106" xr:uid="{CEDF5316-837D-4576-AE79-37A44F8CB6B2}"/>
    <cellStyle name="Note 25 5" xfId="35155" xr:uid="{A1659825-2CE0-46C7-BC8D-EC6ADBFE3F0D}"/>
    <cellStyle name="Note 26" xfId="5263" xr:uid="{AD24305A-0C7E-4F43-A7E6-99839513FC89}"/>
    <cellStyle name="Note 26 2" xfId="9696" xr:uid="{E9C08997-B25D-487F-B2AC-EE8D58330D60}"/>
    <cellStyle name="Note 26 2 2" xfId="15025" xr:uid="{3DCD0BE0-D6AD-426A-A9C0-554B9A99FAA9}"/>
    <cellStyle name="Note 26 2 2 2" xfId="31247" xr:uid="{944FDCBC-9597-454C-987A-89EA1ACEC816}"/>
    <cellStyle name="Note 26 2 2 3" xfId="44700" xr:uid="{99CC7ED8-CFF4-418F-8DC3-0F49F17C6934}"/>
    <cellStyle name="Note 26 2 3" xfId="26997" xr:uid="{FBA05D7E-846E-416F-A55C-D6429F58E0F2}"/>
    <cellStyle name="Note 26 2 4" xfId="40112" xr:uid="{BE2EAEBB-C99B-4D16-A9BB-EF8E434B941D}"/>
    <cellStyle name="Note 26 3" xfId="14310" xr:uid="{8EC041F1-E0EB-48AD-BBFF-8864E7179BA7}"/>
    <cellStyle name="Note 26 3 2" xfId="30647" xr:uid="{BB30D319-6A6C-4D1D-B8A2-F6BC549DBD94}"/>
    <cellStyle name="Note 26 3 3" xfId="44041" xr:uid="{9AE2CF95-BF3F-49B4-BAB0-6BDA814247D5}"/>
    <cellStyle name="Note 26 4" xfId="22916" xr:uid="{20DCAA80-287F-4780-979B-D15A42288C07}"/>
    <cellStyle name="Note 26 5" xfId="35993" xr:uid="{D5FA4242-D7AC-4675-B186-6F018D975042}"/>
    <cellStyle name="Note 27" xfId="5349" xr:uid="{00DC9E31-3AB0-4D09-8315-B6C91D0980EF}"/>
    <cellStyle name="Note 27 2" xfId="9780" xr:uid="{EC1158E5-95E5-4F42-B5CD-836E39A2D20F}"/>
    <cellStyle name="Note 27 2 2" xfId="10694" xr:uid="{B87E4E00-C1A0-42E3-8C06-5E2E527B1386}"/>
    <cellStyle name="Note 27 2 2 2" xfId="27539" xr:uid="{ED88316B-6293-4925-9C68-0292C8BA0795}"/>
    <cellStyle name="Note 27 2 2 3" xfId="40675" xr:uid="{94E0BE95-F6D5-46EA-A344-B2323DAFD8EB}"/>
    <cellStyle name="Note 27 2 3" xfId="27077" xr:uid="{CC1EB551-3461-492D-90F2-FAE564DCEBF5}"/>
    <cellStyle name="Note 27 2 4" xfId="40196" xr:uid="{931CBFFF-35CA-412D-B4E9-606D1B743ED6}"/>
    <cellStyle name="Note 27 3" xfId="12287" xr:uid="{B82F3C1B-44D6-4F57-A9DD-30F605EFBFF5}"/>
    <cellStyle name="Note 27 3 2" xfId="28961" xr:uid="{6DF5B0C6-7294-4475-9075-4F6B692E20D5}"/>
    <cellStyle name="Note 27 3 3" xfId="42198" xr:uid="{FC6BD09B-1BE9-4C52-BCB4-FAECDFCC7766}"/>
    <cellStyle name="Note 27 4" xfId="22996" xr:uid="{C78EFFFC-D299-4722-98FC-2F4973A18651}"/>
    <cellStyle name="Note 27 5" xfId="36077" xr:uid="{0D97D9D5-8A90-42AB-B326-8A5C370D9279}"/>
    <cellStyle name="Note 28" xfId="10359" xr:uid="{EFEC4754-77FD-4915-9D99-3EBC7129E527}"/>
    <cellStyle name="Note 28 2" xfId="17588" xr:uid="{0E78E064-766D-48C6-80A4-EBB0A3479B6E}"/>
    <cellStyle name="Note 28 2 2" xfId="33324" xr:uid="{2A1B66CF-362E-467F-BC25-F102D8A35F80}"/>
    <cellStyle name="Note 28 2 3" xfId="47113" xr:uid="{2DB528F6-7462-4A0E-8A7C-9DF805A5343E}"/>
    <cellStyle name="Note 28 3" xfId="27398" xr:uid="{76773CBE-C58F-4953-A0C0-35EA40A6DA08}"/>
    <cellStyle name="Note 28 4" xfId="40520" xr:uid="{0A31C5FB-6405-47D0-896D-C12D86076CA8}"/>
    <cellStyle name="Note 29" xfId="10555" xr:uid="{3502636B-40F9-49CA-BB05-D790126CE12A}"/>
    <cellStyle name="Note 29 2" xfId="17600" xr:uid="{9AE644FA-54D1-4A5A-BE71-D22342FDC998}"/>
    <cellStyle name="Note 29 2 2" xfId="33335" xr:uid="{CDF09A4B-E56B-4FF2-99C1-9AD226F6DC9C}"/>
    <cellStyle name="Note 29 2 3" xfId="47125" xr:uid="{F8E52838-A709-45A4-85E0-D8107EDF22C9}"/>
    <cellStyle name="Note 29 3" xfId="27414" xr:uid="{742BB7F2-BD11-482D-A1BC-DBB2D042F8D9}"/>
    <cellStyle name="Note 29 4" xfId="40536" xr:uid="{7CFEF8BA-4585-4915-A7B9-601E9527A1E1}"/>
    <cellStyle name="Note 3" xfId="3359" xr:uid="{E4C0A5EC-C189-4737-8D96-721CC8AAF0F5}"/>
    <cellStyle name="Note 3 10" xfId="34404" xr:uid="{7928018D-BF66-446B-84C6-564677E05735}"/>
    <cellStyle name="Note 3 2" xfId="2721" xr:uid="{298A3973-958C-4112-92F9-4D3727ECBE4D}"/>
    <cellStyle name="Note 3 2 2" xfId="8017" xr:uid="{A13CF3EB-E981-41FC-A9AF-AC09FD4B9559}"/>
    <cellStyle name="Note 3 2 2 2" xfId="10766" xr:uid="{08062A1B-E62D-4DC5-A2A8-20171D979468}"/>
    <cellStyle name="Note 3 2 2 2 2" xfId="27601" xr:uid="{41D9AE41-10A8-4ADB-AC3F-23E0C818D794}"/>
    <cellStyle name="Note 3 2 2 2 3" xfId="40747" xr:uid="{284C64EA-F4E3-4831-B9F2-7C8DB3FDA44F}"/>
    <cellStyle name="Note 3 2 2 3" xfId="25531" xr:uid="{624DA8DD-802C-4BA8-818D-BA1C402AAC3D}"/>
    <cellStyle name="Note 3 2 2 4" xfId="38607" xr:uid="{21F6843B-931C-4A0F-A590-0A8696A87F2C}"/>
    <cellStyle name="Note 3 2 3" xfId="6384" xr:uid="{C4CF5298-031A-4A0F-82AE-3C87B1EFD8D1}"/>
    <cellStyle name="Note 3 2 3 2" xfId="14490" xr:uid="{CF5790CC-4656-4D23-9199-0DDCC245EA9F}"/>
    <cellStyle name="Note 3 2 3 2 2" xfId="30813" xr:uid="{5EE32EA4-1C40-4DDD-8E1F-C34391CE20FB}"/>
    <cellStyle name="Note 3 2 3 2 3" xfId="44219" xr:uid="{585CD17E-6E61-4B07-ACCB-4FF4AB0EA308}"/>
    <cellStyle name="Note 3 2 3 3" xfId="24022" xr:uid="{83F0D3AA-5146-451A-85D0-5FA1CE9F97E6}"/>
    <cellStyle name="Note 3 2 3 4" xfId="37103" xr:uid="{4D77D91B-DCF2-499B-AEA5-064FC2070DC0}"/>
    <cellStyle name="Note 3 2 4" xfId="16081" xr:uid="{445F6BB2-8FE9-4CB0-A16F-E880BB9042D5}"/>
    <cellStyle name="Note 3 2 4 2" xfId="32141" xr:uid="{E639BB9B-71FB-46D5-A531-BA7185A4C751}"/>
    <cellStyle name="Note 3 2 4 3" xfId="45661" xr:uid="{EF745A01-AD2C-48E1-8982-91592942CEBA}"/>
    <cellStyle name="Note 3 2 5" xfId="20774" xr:uid="{0BDE881E-2383-42E0-9C62-86A56D2DD54D}"/>
    <cellStyle name="Note 3 2 6" xfId="33797" xr:uid="{DEA9B5B5-9DB2-4EA5-86F1-D1CA2635ACFB}"/>
    <cellStyle name="Note 3 3" xfId="4117" xr:uid="{9002A538-0906-4CC0-A7ED-2D6F585C254E}"/>
    <cellStyle name="Note 3 3 2" xfId="9169" xr:uid="{4469CD26-21E7-402F-BD26-02AEB15108BC}"/>
    <cellStyle name="Note 3 3 2 2" xfId="13381" xr:uid="{04315E84-0AD3-4F1B-83C8-53DA96F213AE}"/>
    <cellStyle name="Note 3 3 2 2 2" xfId="29854" xr:uid="{D8FAC432-0E45-49DF-9DE5-216AE75DB33C}"/>
    <cellStyle name="Note 3 3 2 2 3" xfId="43189" xr:uid="{2B347302-F5E9-4D0F-83C8-DB22C5DA1A46}"/>
    <cellStyle name="Note 3 3 2 3" xfId="26650" xr:uid="{267206AF-E1A8-40F7-AC86-74D89BE120EB}"/>
    <cellStyle name="Note 3 3 2 4" xfId="39726" xr:uid="{D1D7F293-B96B-410F-806E-C0D7D3CE8A62}"/>
    <cellStyle name="Note 3 3 3" xfId="7681" xr:uid="{21198DDD-1DD6-40C8-B439-2E3BC95E13E9}"/>
    <cellStyle name="Note 3 3 3 2" xfId="14146" xr:uid="{D5F7BEA6-6AD6-4F00-AD7A-622CD756F297}"/>
    <cellStyle name="Note 3 3 3 2 2" xfId="30506" xr:uid="{DACABF5B-F613-4CB3-8214-220A44543C43}"/>
    <cellStyle name="Note 3 3 3 2 3" xfId="43892" xr:uid="{94CA39B9-BFD2-4594-BDAB-2B5F1E77263F}"/>
    <cellStyle name="Note 3 3 3 3" xfId="25209" xr:uid="{2967E8F1-E49E-482F-B957-3633F79A1E7D}"/>
    <cellStyle name="Note 3 3 3 4" xfId="38285" xr:uid="{C1AB1AC7-C0FA-4490-9113-1D9B255D4CA4}"/>
    <cellStyle name="Note 3 3 4" xfId="13143" xr:uid="{6220E078-90AC-4E5D-9D1E-FC859275A9B3}"/>
    <cellStyle name="Note 3 3 4 2" xfId="29657" xr:uid="{364FC408-E3C7-4974-9DB1-48113864A5B9}"/>
    <cellStyle name="Note 3 3 4 3" xfId="42969" xr:uid="{C4E91450-7BE6-4745-B10D-CBBF934D77EA}"/>
    <cellStyle name="Note 3 3 5" xfId="21950" xr:uid="{7A765CC7-C827-4886-875B-521630FA4356}"/>
    <cellStyle name="Note 3 3 6" xfId="34999" xr:uid="{568317B5-E7F4-452B-A9CE-AD6C1ACBAF77}"/>
    <cellStyle name="Note 3 4" xfId="2591" xr:uid="{4658B69F-A7E5-469B-A821-D2A1C741827A}"/>
    <cellStyle name="Note 3 4 2" xfId="7888" xr:uid="{08F6393C-9B02-426C-8B08-CA10B5C047B2}"/>
    <cellStyle name="Note 3 4 2 2" xfId="17132" xr:uid="{B00A6743-D362-442D-BC15-216935515681}"/>
    <cellStyle name="Note 3 4 2 2 2" xfId="32895" xr:uid="{DEF753DE-8B91-44E0-ADA9-07A65F080199}"/>
    <cellStyle name="Note 3 4 2 2 3" xfId="46667" xr:uid="{BA3B47CC-4697-4BF2-AEE8-F732250D4711}"/>
    <cellStyle name="Note 3 4 2 3" xfId="25406" xr:uid="{5B053F26-8ED3-406D-B83D-F2FC1A313E7A}"/>
    <cellStyle name="Note 3 4 2 4" xfId="38482" xr:uid="{C7A5442C-260C-497B-8228-10CEDBF6D99A}"/>
    <cellStyle name="Note 3 4 3" xfId="6255" xr:uid="{23A992CA-ADEC-4D13-A3A1-CF989422146E}"/>
    <cellStyle name="Note 3 4 3 2" xfId="15843" xr:uid="{1FCF52CB-8B3F-4CCB-B49A-B8BE6D4CE2D4}"/>
    <cellStyle name="Note 3 4 3 2 2" xfId="31936" xr:uid="{68EC7B30-1C44-46EE-AADA-EA6A1041E8AB}"/>
    <cellStyle name="Note 3 4 3 2 3" xfId="45448" xr:uid="{806CC225-BD16-4317-B951-5CAEAFE3C356}"/>
    <cellStyle name="Note 3 4 3 3" xfId="23897" xr:uid="{924CBB1B-DE49-416C-A32C-799ECAEF4966}"/>
    <cellStyle name="Note 3 4 3 4" xfId="36978" xr:uid="{F3E94BFD-080A-4EDD-8248-3AFD4EA951F3}"/>
    <cellStyle name="Note 3 4 4" xfId="14896" xr:uid="{8E24B7CF-693B-4846-A2F6-2DADE63DFEA0}"/>
    <cellStyle name="Note 3 4 4 2" xfId="31144" xr:uid="{5FD1C033-5756-4789-87A2-FF232C6AC186}"/>
    <cellStyle name="Note 3 4 4 3" xfId="44587" xr:uid="{E6BE3820-91E5-4C50-832F-2C81836DDB1B}"/>
    <cellStyle name="Note 3 4 5" xfId="20649" xr:uid="{0CF53C07-010B-49B4-AF40-4A73316A672B}"/>
    <cellStyle name="Note 3 4 6" xfId="33672" xr:uid="{3C169403-0038-4E6F-AF08-B0C9B8E69ABF}"/>
    <cellStyle name="Note 3 5" xfId="4095" xr:uid="{A3304057-E219-46D3-9BE6-A16BA367590A}"/>
    <cellStyle name="Note 3 5 2" xfId="9147" xr:uid="{3BD779F8-96FF-4F16-A76A-3C4BD423FE1A}"/>
    <cellStyle name="Note 3 5 2 2" xfId="14359" xr:uid="{FB8DAF2D-6F0A-4E0B-8B49-A1333602743B}"/>
    <cellStyle name="Note 3 5 2 2 2" xfId="30692" xr:uid="{2E08A08B-7774-4745-A6AE-2190D9C5FC4D}"/>
    <cellStyle name="Note 3 5 2 2 3" xfId="44089" xr:uid="{BCD478C0-86CD-4C55-BB5E-4576F1D219C5}"/>
    <cellStyle name="Note 3 5 2 3" xfId="26628" xr:uid="{FE743560-A250-469C-8E12-7C5FDC3A5E58}"/>
    <cellStyle name="Note 3 5 2 4" xfId="39704" xr:uid="{4A259A67-0BDF-457E-873D-7B4DE7F5570D}"/>
    <cellStyle name="Note 3 5 3" xfId="7659" xr:uid="{E78F6FB0-6B4E-4FC7-B0F4-C0716E944309}"/>
    <cellStyle name="Note 3 5 3 2" xfId="11078" xr:uid="{D7C1710F-889E-464B-9E63-3892C2BFBF7A}"/>
    <cellStyle name="Note 3 5 3 2 2" xfId="27879" xr:uid="{81E036BD-2C70-4119-A1CF-B64D26DD66DB}"/>
    <cellStyle name="Note 3 5 3 2 3" xfId="41057" xr:uid="{4A2ED024-D6BD-4C66-AFB1-8566C0F61782}"/>
    <cellStyle name="Note 3 5 3 3" xfId="25187" xr:uid="{8BA359DF-378F-431F-856C-C801B2817C04}"/>
    <cellStyle name="Note 3 5 3 4" xfId="38263" xr:uid="{CD9E7875-0723-4B71-8D1D-BB0823500BC1}"/>
    <cellStyle name="Note 3 5 4" xfId="15969" xr:uid="{25AB0EB7-58AA-4122-ACF2-C8AEE506ECD0}"/>
    <cellStyle name="Note 3 5 4 2" xfId="32044" xr:uid="{61C9A311-ADB6-4300-980C-D7160C65309B}"/>
    <cellStyle name="Note 3 5 4 3" xfId="45562" xr:uid="{76463B9D-31E7-4138-AA98-B28596C5BF93}"/>
    <cellStyle name="Note 3 5 5" xfId="21928" xr:uid="{BEEB64B7-0F52-49D6-8951-7DA1372939A7}"/>
    <cellStyle name="Note 3 5 6" xfId="34977" xr:uid="{FBE1B37A-508A-450B-8E0E-6AC4F5A31CB1}"/>
    <cellStyle name="Note 3 6" xfId="4389" xr:uid="{98D9E042-EE58-4A0D-AE71-DA97A840B23E}"/>
    <cellStyle name="Note 3 6 2" xfId="7009" xr:uid="{940E9A52-0E01-4CFD-A5BC-9786AA5C2564}"/>
    <cellStyle name="Note 3 6 2 2" xfId="11482" xr:uid="{F8CBB5DA-1607-46AE-9E1A-ADAC96F754BF}"/>
    <cellStyle name="Note 3 6 2 2 2" xfId="28246" xr:uid="{830F1FA3-0403-4072-BC3F-03131AD35036}"/>
    <cellStyle name="Note 3 6 2 2 3" xfId="41441" xr:uid="{02E0908D-CA8A-484E-AAE0-DD495EA96A6A}"/>
    <cellStyle name="Note 3 6 2 3" xfId="24629" xr:uid="{6544557D-B64D-4883-9300-58D20761683C}"/>
    <cellStyle name="Note 3 6 2 4" xfId="37710" xr:uid="{6A0AAF53-7E57-4009-B405-B5F4BF4469DC}"/>
    <cellStyle name="Note 3 6 3" xfId="16238" xr:uid="{C60C67DA-AAB7-4F73-968A-3AE7E157E35F}"/>
    <cellStyle name="Note 3 6 3 2" xfId="32274" xr:uid="{935ECB99-6FF1-4542-BBA1-A23B04C32789}"/>
    <cellStyle name="Note 3 6 3 3" xfId="45802" xr:uid="{B2292C7D-4D78-49B3-ABD8-A72DC3AC39D7}"/>
    <cellStyle name="Note 3 6 4" xfId="22208" xr:uid="{8D7B8478-22C5-4E6A-8994-E3F1B7C1AC0B}"/>
    <cellStyle name="Note 3 6 5" xfId="35257" xr:uid="{A52E6F2E-9810-4160-8621-C93032221D8D}"/>
    <cellStyle name="Note 3 7" xfId="5443" xr:uid="{A1645DED-5F1D-403B-A01A-0F2C439E9A91}"/>
    <cellStyle name="Note 3 7 2" xfId="8622" xr:uid="{0718E8E8-A924-4CAC-BB4B-DF7AF7DE8E0F}"/>
    <cellStyle name="Note 3 7 2 2" xfId="13039" xr:uid="{85B98667-BD56-4035-9BBD-7451B23F457B}"/>
    <cellStyle name="Note 3 7 2 2 2" xfId="29567" xr:uid="{32A1AB44-F237-43C9-AD0F-96EE6CCB82BD}"/>
    <cellStyle name="Note 3 7 2 2 3" xfId="42870" xr:uid="{86829F4E-4809-47EC-92A2-0D6C52A556ED}"/>
    <cellStyle name="Note 3 7 2 3" xfId="26118" xr:uid="{B26BB86B-468E-4F92-BE67-08CBF8278DD4}"/>
    <cellStyle name="Note 3 7 2 4" xfId="39194" xr:uid="{607AFC92-B973-4146-9EF0-62C59BE63D17}"/>
    <cellStyle name="Note 3 7 3" xfId="15947" xr:uid="{491199E3-BB2A-4572-A237-02D2A54A6A27}"/>
    <cellStyle name="Note 3 7 3 2" xfId="32024" xr:uid="{67D87D60-F880-40B7-9FBF-36D47B40C5CD}"/>
    <cellStyle name="Note 3 7 3 3" xfId="45542" xr:uid="{3AB468C7-5840-4B1A-A8AF-F9EA58DF4BB1}"/>
    <cellStyle name="Note 3 7 4" xfId="23090" xr:uid="{284AC322-D242-48DA-8694-62CAEFC73121}"/>
    <cellStyle name="Note 3 7 5" xfId="36171" xr:uid="{F2FF28B7-DA5C-4F09-9438-FE9AF3FF1230}"/>
    <cellStyle name="Note 3 8" xfId="15400" xr:uid="{F43B47B5-04DF-4781-9FD9-F5A637DB08EE}"/>
    <cellStyle name="Note 3 8 2" xfId="31554" xr:uid="{10D876FE-59F8-4A55-9403-A2C8F61CB623}"/>
    <cellStyle name="Note 3 8 3" xfId="45042" xr:uid="{E04D53B7-0ED2-4CA1-8AD5-58C19C0C96A4}"/>
    <cellStyle name="Note 3 9" xfId="21381" xr:uid="{31552D75-36C6-405B-ABBF-59DF890A6990}"/>
    <cellStyle name="Note 30" xfId="11954" xr:uid="{4C04AFC1-768F-41FB-8329-DFCF19D07775}"/>
    <cellStyle name="Note 30 2" xfId="28663" xr:uid="{3FC15C60-99BC-4EF3-95C9-40E818DB00ED}"/>
    <cellStyle name="Note 30 3" xfId="41881" xr:uid="{E751D880-83E8-4468-809D-6690FD529E25}"/>
    <cellStyle name="Note 31" xfId="12026" xr:uid="{BCA8AD00-7225-41EF-8E46-D3A71A014ADE}"/>
    <cellStyle name="Note 31 2" xfId="28728" xr:uid="{E70FF351-9F2D-48D1-ACF5-8F21F331048D}"/>
    <cellStyle name="Note 31 3" xfId="41946" xr:uid="{B17146EB-4BF7-469E-A073-D2C38C55ED35}"/>
    <cellStyle name="Note 32" xfId="15570" xr:uid="{BD154197-C5AE-460C-A930-2086B85E1C0A}"/>
    <cellStyle name="Note 32 2" xfId="31699" xr:uid="{4F8B8A7D-11E3-40BF-9111-6B7EB58F4485}"/>
    <cellStyle name="Note 32 3" xfId="45201" xr:uid="{F7F955A1-8607-43CA-BC46-0BF42742A9AB}"/>
    <cellStyle name="Note 33" xfId="17653" xr:uid="{6EA04185-5673-4322-B9A4-11F7DEFEE881}"/>
    <cellStyle name="Note 33 2" xfId="33376" xr:uid="{A8AF893F-C5B7-4652-9198-3C4DF5E7399F}"/>
    <cellStyle name="Note 33 3" xfId="47165" xr:uid="{3CA35CE2-656C-4B09-A435-28272BACC7F5}"/>
    <cellStyle name="Note 34" xfId="33553" xr:uid="{0F0E5E3F-4592-4E32-B795-43D5EE989FC2}"/>
    <cellStyle name="Note 4" xfId="3430" xr:uid="{8A5C2151-5888-4219-87DB-F7732674F217}"/>
    <cellStyle name="Note 4 10" xfId="34446" xr:uid="{ED6DCE89-2F73-4C37-ACD3-C8B02966CF0C}"/>
    <cellStyle name="Note 4 2" xfId="2772" xr:uid="{96A63860-DE5D-477A-9930-1A798D804624}"/>
    <cellStyle name="Note 4 2 2" xfId="8068" xr:uid="{7CD5D9E3-5F2A-4F60-8207-BADECFB614E9}"/>
    <cellStyle name="Note 4 2 2 2" xfId="10881" xr:uid="{FF430095-7D46-40EC-8F74-DBE91C1F3FEE}"/>
    <cellStyle name="Note 4 2 2 2 2" xfId="27706" xr:uid="{717EB724-87A1-4457-AE10-FC5B46821A39}"/>
    <cellStyle name="Note 4 2 2 2 3" xfId="40861" xr:uid="{4DECC0C5-C69A-44BF-A35F-CF101014AE20}"/>
    <cellStyle name="Note 4 2 2 3" xfId="25579" xr:uid="{AB4DBA4E-47FD-47FA-80B7-0EC6F9210C20}"/>
    <cellStyle name="Note 4 2 2 4" xfId="38655" xr:uid="{C33CE9F8-55FC-4C85-8350-382182C384F7}"/>
    <cellStyle name="Note 4 2 3" xfId="6435" xr:uid="{2D2F1032-7C4A-48A0-9517-07BAA235FF58}"/>
    <cellStyle name="Note 4 2 3 2" xfId="13455" xr:uid="{DBECC163-2CBF-4F68-8463-AA057F2879CF}"/>
    <cellStyle name="Note 4 2 3 2 2" xfId="29918" xr:uid="{54DB87BE-7D17-41E9-A630-11861FD88EDD}"/>
    <cellStyle name="Note 4 2 3 2 3" xfId="43257" xr:uid="{8FDB6812-B884-4CD8-BC34-28C78C2A2380}"/>
    <cellStyle name="Note 4 2 3 3" xfId="24070" xr:uid="{04BCDED0-5A94-4D2C-8197-02DAEFDEC3BA}"/>
    <cellStyle name="Note 4 2 3 4" xfId="37151" xr:uid="{44CAB4AC-AA8A-4D5E-98FD-5C3B1CCFB05D}"/>
    <cellStyle name="Note 4 2 4" xfId="14933" xr:uid="{E61A3DF0-0FDB-46EE-86EB-73356874B79F}"/>
    <cellStyle name="Note 4 2 4 2" xfId="31175" xr:uid="{13202D27-84B8-47F7-829F-BC552E0862D6}"/>
    <cellStyle name="Note 4 2 4 3" xfId="44620" xr:uid="{C9097C40-D766-447C-811F-7C28C0D00652}"/>
    <cellStyle name="Note 4 2 5" xfId="20822" xr:uid="{F237AFC5-2291-4D54-AE2A-D8A0B6C125A0}"/>
    <cellStyle name="Note 4 2 6" xfId="33845" xr:uid="{5FFB96D3-2490-4206-BC6F-47C8FEEE8DAA}"/>
    <cellStyle name="Note 4 3" xfId="4126" xr:uid="{71ABED44-BB10-40DE-92A2-8EFCFB18AFCD}"/>
    <cellStyle name="Note 4 3 2" xfId="9178" xr:uid="{420F2E23-EE65-4AC5-884D-86671A802DCC}"/>
    <cellStyle name="Note 4 3 2 2" xfId="13391" xr:uid="{559A3C55-FA8D-4463-8C40-2A7008AF2430}"/>
    <cellStyle name="Note 4 3 2 2 2" xfId="29862" xr:uid="{E423341E-4016-4159-954B-457C3385AA25}"/>
    <cellStyle name="Note 4 3 2 2 3" xfId="43197" xr:uid="{6FF64B7B-9D11-487A-9335-98682FD82C5C}"/>
    <cellStyle name="Note 4 3 2 3" xfId="26657" xr:uid="{E3FED79F-905E-4A83-8847-A3B934A32DA1}"/>
    <cellStyle name="Note 4 3 2 4" xfId="39733" xr:uid="{AF615F79-FB1F-41FF-A6AA-8EC19B8DC15E}"/>
    <cellStyle name="Note 4 3 3" xfId="7690" xr:uid="{AE0CB2AA-484A-49D1-B042-9BE674619A73}"/>
    <cellStyle name="Note 4 3 3 2" xfId="16309" xr:uid="{5580AD13-70A2-45D6-9540-FCEDDDA1A1E0}"/>
    <cellStyle name="Note 4 3 3 2 2" xfId="32335" xr:uid="{CDF25557-4587-4149-A3F6-D234395A3E5C}"/>
    <cellStyle name="Note 4 3 3 2 3" xfId="45866" xr:uid="{5B584FBB-9633-443B-BF9E-D65CDF0EB35B}"/>
    <cellStyle name="Note 4 3 3 3" xfId="25216" xr:uid="{D4FBAEEA-E97E-4F45-81B8-3A20B952436D}"/>
    <cellStyle name="Note 4 3 3 4" xfId="38292" xr:uid="{0CCA9AFE-1772-4E1A-9AD2-D1CE4F4984D8}"/>
    <cellStyle name="Note 4 3 4" xfId="16152" xr:uid="{3393B75C-9D41-4569-B96D-8D87E65DE1D6}"/>
    <cellStyle name="Note 4 3 4 2" xfId="32203" xr:uid="{30D36767-DB4B-41E6-AA2D-9F2C029838C9}"/>
    <cellStyle name="Note 4 3 4 3" xfId="45725" xr:uid="{9F89CF7C-27F5-4665-85B7-DB70A060076E}"/>
    <cellStyle name="Note 4 3 5" xfId="21957" xr:uid="{C089D129-948C-4E7B-9D99-821E7BED1ECA}"/>
    <cellStyle name="Note 4 3 6" xfId="35006" xr:uid="{F0939697-4920-43F9-8270-40DAB22532C4}"/>
    <cellStyle name="Note 4 4" xfId="2616" xr:uid="{2BC8970F-E701-4178-9608-7BAFFE2B2B9E}"/>
    <cellStyle name="Note 4 4 2" xfId="7913" xr:uid="{8DFFD077-BF1F-4358-9E23-8027E3BF80BC}"/>
    <cellStyle name="Note 4 4 2 2" xfId="14897" xr:uid="{5C461982-04B5-4BEF-B666-3740443E6DA3}"/>
    <cellStyle name="Note 4 4 2 2 2" xfId="31145" xr:uid="{2B3CB5C3-1BAE-4B2E-A7FC-7E0D60FD48D0}"/>
    <cellStyle name="Note 4 4 2 2 3" xfId="44588" xr:uid="{21EE6E66-64DF-4539-AFE3-E1DF23FF4900}"/>
    <cellStyle name="Note 4 4 2 3" xfId="25429" xr:uid="{3EEE1A71-7348-45C6-ACB8-AE6AD19C348D}"/>
    <cellStyle name="Note 4 4 2 4" xfId="38505" xr:uid="{DF1287C5-4285-451B-90F6-684ABA50A5C1}"/>
    <cellStyle name="Note 4 4 3" xfId="6280" xr:uid="{E9877B31-C042-41B4-A69F-B401864953A0}"/>
    <cellStyle name="Note 4 4 3 2" xfId="16075" xr:uid="{C7009937-6488-4DD1-9371-9802F7509E8F}"/>
    <cellStyle name="Note 4 4 3 2 2" xfId="32135" xr:uid="{28E2526D-54E0-4AD2-839A-04E31986418E}"/>
    <cellStyle name="Note 4 4 3 2 3" xfId="45655" xr:uid="{6F6798A9-5FB1-4342-8247-351752D6D2C5}"/>
    <cellStyle name="Note 4 4 3 3" xfId="23920" xr:uid="{7A56B8F0-7C41-4932-B02C-C4A055475FE0}"/>
    <cellStyle name="Note 4 4 3 4" xfId="37001" xr:uid="{3C67CE06-BE63-48A5-AD62-24B28AD2D009}"/>
    <cellStyle name="Note 4 4 4" xfId="13839" xr:uid="{C611225F-C62A-4C51-B494-2FD1B371BF25}"/>
    <cellStyle name="Note 4 4 4 2" xfId="30241" xr:uid="{9070C587-CCD5-4DC6-A46B-B3CA11168B81}"/>
    <cellStyle name="Note 4 4 4 3" xfId="43611" xr:uid="{7D7A8087-2611-4C7E-8DEA-699B7BADD047}"/>
    <cellStyle name="Note 4 4 5" xfId="20672" xr:uid="{14A642CC-1AC3-402A-8325-79E1C91B10A8}"/>
    <cellStyle name="Note 4 4 6" xfId="33695" xr:uid="{3DFB07C9-AF64-4411-BC6F-F4E6DF45D6E5}"/>
    <cellStyle name="Note 4 5" xfId="4203" xr:uid="{325259C7-3359-4FA4-B363-6BCD3F6EC330}"/>
    <cellStyle name="Note 4 5 2" xfId="9255" xr:uid="{FD5AD2E2-0A23-45D3-BA26-53D6C8D1E1E6}"/>
    <cellStyle name="Note 4 5 2 2" xfId="15295" xr:uid="{F63E6730-B4DA-4437-A318-B78B95684821}"/>
    <cellStyle name="Note 4 5 2 2 2" xfId="31463" xr:uid="{E5E78148-644A-4938-BD4B-1B62173B5D23}"/>
    <cellStyle name="Note 4 5 2 2 3" xfId="44943" xr:uid="{FD78F7EA-1831-45ED-9B2A-3A9023DC23A3}"/>
    <cellStyle name="Note 4 5 2 3" xfId="26730" xr:uid="{03F71C46-9753-4100-8B69-5E4A656EF17E}"/>
    <cellStyle name="Note 4 5 2 4" xfId="39806" xr:uid="{70EAAE7F-2E1F-46DF-8144-D21E8943D5BD}"/>
    <cellStyle name="Note 4 5 3" xfId="7767" xr:uid="{6041086F-4DCD-41E3-824E-2ABA9D596BD5}"/>
    <cellStyle name="Note 4 5 3 2" xfId="16109" xr:uid="{431AEA99-622D-4C56-80D5-3B5F122097AF}"/>
    <cellStyle name="Note 4 5 3 2 2" xfId="32166" xr:uid="{986890D4-3529-4BAD-B125-0615A8A152E6}"/>
    <cellStyle name="Note 4 5 3 2 3" xfId="45687" xr:uid="{8CBFB31B-5192-4C56-93EE-28FC05A89390}"/>
    <cellStyle name="Note 4 5 3 3" xfId="25289" xr:uid="{D4B590BA-8FCF-404E-9201-B8B6FFFCFB35}"/>
    <cellStyle name="Note 4 5 3 4" xfId="38365" xr:uid="{625B7B3D-D305-4511-B253-CB325CF8ADDB}"/>
    <cellStyle name="Note 4 5 4" xfId="13993" xr:uid="{4C34332C-DD03-44BB-BDDB-8B79F0C78266}"/>
    <cellStyle name="Note 4 5 4 2" xfId="30378" xr:uid="{188FD39E-B620-4F4B-8741-5D3D894B324B}"/>
    <cellStyle name="Note 4 5 4 3" xfId="43756" xr:uid="{72BC8661-5D76-4528-8062-C706443E299E}"/>
    <cellStyle name="Note 4 5 5" xfId="22030" xr:uid="{3EA55894-9BCD-400E-86F9-394C5FB486E0}"/>
    <cellStyle name="Note 4 5 6" xfId="35079" xr:uid="{D3E42EE8-46F5-4A25-93F8-9C2F42CF1B22}"/>
    <cellStyle name="Note 4 6" xfId="4432" xr:uid="{2B58A223-270B-4B17-9791-F33F8AF0AF97}"/>
    <cellStyle name="Note 4 6 2" xfId="7072" xr:uid="{E2D59B54-7C44-4E31-A2FB-FD4736E1D444}"/>
    <cellStyle name="Note 4 6 2 2" xfId="13885" xr:uid="{45395062-23BE-4CAC-AF37-0424686421FA}"/>
    <cellStyle name="Note 4 6 2 2 2" xfId="30280" xr:uid="{ECFAAB48-A863-4FCE-8BC6-36FD3F511AF5}"/>
    <cellStyle name="Note 4 6 2 2 3" xfId="43652" xr:uid="{479FEA1D-ABA7-4614-B28F-893AC7C8CC0D}"/>
    <cellStyle name="Note 4 6 2 3" xfId="24671" xr:uid="{F9AEE50C-B318-479B-AFC7-1855813EC280}"/>
    <cellStyle name="Note 4 6 2 4" xfId="37752" xr:uid="{791D9DC9-F4F2-4978-8104-4363A1CFF696}"/>
    <cellStyle name="Note 4 6 3" xfId="11178" xr:uid="{965A168B-8CCA-4680-AB29-CF79EFC339F6}"/>
    <cellStyle name="Note 4 6 3 2" xfId="27972" xr:uid="{700E269D-1FF4-4B87-A20A-0B5C6C7EA4CA}"/>
    <cellStyle name="Note 4 6 3 3" xfId="41154" xr:uid="{2FF16839-31AA-4531-A065-5F1E6A48CF78}"/>
    <cellStyle name="Note 4 6 4" xfId="22250" xr:uid="{F3A8D212-8947-4615-A1A6-9A76FFBE201C}"/>
    <cellStyle name="Note 4 6 5" xfId="35299" xr:uid="{CB9DD0D6-1BD3-4625-A8BE-45F26D9E4E36}"/>
    <cellStyle name="Note 4 7" xfId="5485" xr:uid="{0B5F1E26-7212-4FF7-AB62-9B9075E46F17}"/>
    <cellStyle name="Note 4 7 2" xfId="8667" xr:uid="{E9480DDB-E6A2-4ED9-8DB8-4C48E7219A56}"/>
    <cellStyle name="Note 4 7 2 2" xfId="11033" xr:uid="{D4DE6832-2844-4033-A3B0-701BFCF98E06}"/>
    <cellStyle name="Note 4 7 2 2 2" xfId="27839" xr:uid="{97A07C59-7539-48AD-A048-ED83AC9BB34F}"/>
    <cellStyle name="Note 4 7 2 2 3" xfId="41013" xr:uid="{EA588FAE-D155-4718-994D-8264A91CC109}"/>
    <cellStyle name="Note 4 7 2 3" xfId="26160" xr:uid="{F908E5CB-1861-4078-BE3B-5B2CBF956E19}"/>
    <cellStyle name="Note 4 7 2 4" xfId="39236" xr:uid="{DBB06AEB-7A3D-48BD-B312-83D0A13BEEF8}"/>
    <cellStyle name="Note 4 7 3" xfId="14262" xr:uid="{A560F555-F716-4AA5-8C5D-5EBCC113F2B2}"/>
    <cellStyle name="Note 4 7 3 2" xfId="30605" xr:uid="{E005F205-399A-4AC4-95D8-488F4C88FA59}"/>
    <cellStyle name="Note 4 7 3 3" xfId="43998" xr:uid="{3EA02EDA-6317-4149-AD58-4DC10B8E626A}"/>
    <cellStyle name="Note 4 7 4" xfId="23132" xr:uid="{2D31F9C1-1F98-4C8C-85AA-63760FD596EC}"/>
    <cellStyle name="Note 4 7 5" xfId="36213" xr:uid="{BD955F39-6537-4010-9823-6656F52AA83F}"/>
    <cellStyle name="Note 4 8" xfId="11922" xr:uid="{240DF6DE-3344-4222-BA60-90537E80DBA5}"/>
    <cellStyle name="Note 4 8 2" xfId="28636" xr:uid="{6A72B076-ED74-4A5F-AC47-EECB89313293}"/>
    <cellStyle name="Note 4 8 3" xfId="41853" xr:uid="{9EF980FD-4C3C-4FD1-BD09-9FB53EF569DE}"/>
    <cellStyle name="Note 4 9" xfId="21414" xr:uid="{37F03958-A3EA-4583-BDFC-2D5BE6CBF716}"/>
    <cellStyle name="Note 5" xfId="3419" xr:uid="{39399269-2445-49A0-867E-733B028F4F2F}"/>
    <cellStyle name="Note 5 2" xfId="2761" xr:uid="{74C9B1ED-9C16-4884-A82D-C3EDF1870DD3}"/>
    <cellStyle name="Note 5 2 2" xfId="8057" xr:uid="{2DB88AAF-FAD8-4154-9DAF-B8F53CA8A0BF}"/>
    <cellStyle name="Note 5 2 2 2" xfId="13888" xr:uid="{4A6EA8E3-7AF4-4AC1-9E3F-3A98D0E314E3}"/>
    <cellStyle name="Note 5 2 2 2 2" xfId="30283" xr:uid="{9FD769EA-2BF2-4BDB-AF18-5CCD1ACBF615}"/>
    <cellStyle name="Note 5 2 2 2 3" xfId="43655" xr:uid="{8CB7DE65-6723-4447-9BE2-50C4404B8B5A}"/>
    <cellStyle name="Note 5 2 2 3" xfId="25570" xr:uid="{984B81CD-E386-4970-A780-5CD3D4A600A7}"/>
    <cellStyle name="Note 5 2 2 4" xfId="38646" xr:uid="{67E24BE1-BC17-42E5-8202-9EDA850B389D}"/>
    <cellStyle name="Note 5 2 3" xfId="6424" xr:uid="{ACBAC21F-D193-4207-9EDB-ACD61FF473F8}"/>
    <cellStyle name="Note 5 2 3 2" xfId="14210" xr:uid="{8301C1E3-EB46-4D82-8EFE-7DC4FDE1D69C}"/>
    <cellStyle name="Note 5 2 3 2 2" xfId="30555" xr:uid="{C3610E8B-AEE6-46BC-872C-3C61B6DF5E51}"/>
    <cellStyle name="Note 5 2 3 2 3" xfId="43947" xr:uid="{8149DEEC-BF62-4355-A850-3DF15BA0D553}"/>
    <cellStyle name="Note 5 2 3 3" xfId="24061" xr:uid="{A75463E7-F941-4C70-96EC-FF8BBFD73C99}"/>
    <cellStyle name="Note 5 2 3 4" xfId="37142" xr:uid="{73449F54-F861-42A5-9D27-28A9D4DCAF4D}"/>
    <cellStyle name="Note 5 2 4" xfId="16845" xr:uid="{B337287A-61C8-4EC1-BF93-FC30DAEDA967}"/>
    <cellStyle name="Note 5 2 4 2" xfId="32722" xr:uid="{1647E986-E642-4F92-9F90-1AEF9D2DCB0A}"/>
    <cellStyle name="Note 5 2 4 3" xfId="46387" xr:uid="{85A61C85-4E19-4F0C-AE20-15CF79E86B8C}"/>
    <cellStyle name="Note 5 2 5" xfId="20813" xr:uid="{0EBA5FA8-A732-4974-B4C2-3F3302C61ED2}"/>
    <cellStyle name="Note 5 2 6" xfId="33836" xr:uid="{051EE411-2990-4454-B44D-DE7AB3C15863}"/>
    <cellStyle name="Note 5 3" xfId="4422" xr:uid="{0653A2BD-47BB-461E-A728-E3E2E14F4BEC}"/>
    <cellStyle name="Note 5 3 2" xfId="7061" xr:uid="{021B6C5D-4F83-4F68-87C0-6C02A351FA2D}"/>
    <cellStyle name="Note 5 3 2 2" xfId="15497" xr:uid="{84657BAF-B3C4-4287-8DE6-261F6DF2279F}"/>
    <cellStyle name="Note 5 3 2 2 2" xfId="31636" xr:uid="{A32C571C-CB44-44D7-962F-78CF8A413AB3}"/>
    <cellStyle name="Note 5 3 2 2 3" xfId="45133" xr:uid="{75431845-322D-4E39-A5EF-546A690E3854}"/>
    <cellStyle name="Note 5 3 2 3" xfId="24662" xr:uid="{C37CF7D9-2B35-4055-9638-EE4A0C4BDE3F}"/>
    <cellStyle name="Note 5 3 2 4" xfId="37743" xr:uid="{29F9D911-91D7-4651-BF08-E2F6DF38C493}"/>
    <cellStyle name="Note 5 3 3" xfId="13122" xr:uid="{9B211CC3-06A1-4E74-88C1-62586E652123}"/>
    <cellStyle name="Note 5 3 3 2" xfId="29636" xr:uid="{50CA7C73-0727-4763-8899-9D0C9662EB62}"/>
    <cellStyle name="Note 5 3 3 3" xfId="42948" xr:uid="{601D40A6-A3EF-486C-B18A-75852555AC9F}"/>
    <cellStyle name="Note 5 3 4" xfId="22241" xr:uid="{FB31183D-AC8C-442A-9AED-62BFDF34178D}"/>
    <cellStyle name="Note 5 3 5" xfId="35290" xr:uid="{41C61ADA-1C30-4AC6-A537-32A49A21E82F}"/>
    <cellStyle name="Note 5 4" xfId="5476" xr:uid="{124428AD-09FF-4B40-8433-1B4AC06488C7}"/>
    <cellStyle name="Note 5 4 2" xfId="8656" xr:uid="{B8C7EBD9-CD01-4F24-A3C7-A945A3423363}"/>
    <cellStyle name="Note 5 4 2 2" xfId="15283" xr:uid="{59CADA49-568A-425D-A664-A22719F38ED3}"/>
    <cellStyle name="Note 5 4 2 2 2" xfId="31454" xr:uid="{619534E6-E398-4E1A-8778-E3D85BC22743}"/>
    <cellStyle name="Note 5 4 2 2 3" xfId="44932" xr:uid="{BB64EC7E-CFA0-4EAA-9363-049D036FF70E}"/>
    <cellStyle name="Note 5 4 2 3" xfId="26151" xr:uid="{F4EF6E13-37CA-4560-9FA2-1B22BE57E63B}"/>
    <cellStyle name="Note 5 4 2 4" xfId="39227" xr:uid="{A0DA66AE-41D9-4728-8A35-A9BFC52F76D2}"/>
    <cellStyle name="Note 5 4 3" xfId="11147" xr:uid="{B2A4FAD1-0285-4933-BDB5-8D5FD392A4FE}"/>
    <cellStyle name="Note 5 4 3 2" xfId="27944" xr:uid="{0EE2502C-2330-4A56-B15B-16B5F5C8EDEE}"/>
    <cellStyle name="Note 5 4 3 3" xfId="41125" xr:uid="{37F442CC-3CDD-47C6-9A6B-CC2FF1C08441}"/>
    <cellStyle name="Note 5 4 4" xfId="23123" xr:uid="{ACE0371B-025C-4CBC-9528-95D9DDB6C782}"/>
    <cellStyle name="Note 5 4 5" xfId="36204" xr:uid="{696F911B-8A39-43B6-8EF2-33C621173798}"/>
    <cellStyle name="Note 5 5" xfId="14027" xr:uid="{1F74D15B-6FD7-4895-A77F-66E6D246DD4D}"/>
    <cellStyle name="Note 5 5 2" xfId="30406" xr:uid="{60069DE5-D0E3-4EED-A4C8-B349CDBAEB37}"/>
    <cellStyle name="Note 5 5 3" xfId="43786" xr:uid="{1992226D-D204-4FAC-BF5B-BD386A481D7A}"/>
    <cellStyle name="Note 5 6" xfId="21408" xr:uid="{D453DC86-AA13-4A55-9DBE-583488542F32}"/>
    <cellStyle name="Note 5 7" xfId="34437" xr:uid="{3FD50290-3E86-4B56-8023-53B39781F9DC}"/>
    <cellStyle name="Note 6" xfId="3332" xr:uid="{20735A47-1B41-40D4-A0EE-3694477D657F}"/>
    <cellStyle name="Note 6 2" xfId="2694" xr:uid="{BA9D6E1C-A81C-4E41-9B18-13F62E3335EA}"/>
    <cellStyle name="Note 6 2 2" xfId="7990" xr:uid="{07B91F47-1238-4802-BDCC-2BD7D6609908}"/>
    <cellStyle name="Note 6 2 2 2" xfId="13788" xr:uid="{8045186E-C16A-4DB3-AC91-7D586A59199D}"/>
    <cellStyle name="Note 6 2 2 2 2" xfId="30194" xr:uid="{F6C8AC41-7197-4341-99D0-253A2128BF04}"/>
    <cellStyle name="Note 6 2 2 2 3" xfId="43560" xr:uid="{CC50C710-E00F-430C-86F1-6B765FD00DD8}"/>
    <cellStyle name="Note 6 2 2 3" xfId="25506" xr:uid="{3652EDB8-94E1-48CD-89C7-A82CBE630238}"/>
    <cellStyle name="Note 6 2 2 4" xfId="38582" xr:uid="{24548D83-4262-480A-88A9-25B8F63E2174}"/>
    <cellStyle name="Note 6 2 3" xfId="6357" xr:uid="{E637FAB9-834A-4643-AB9F-D01B1D8FA7D5}"/>
    <cellStyle name="Note 6 2 3 2" xfId="14822" xr:uid="{C3CFF5AE-8CF7-42E9-AAFF-9A506CAC00E3}"/>
    <cellStyle name="Note 6 2 3 2 2" xfId="31083" xr:uid="{67236C94-400A-4525-B905-023AA224819A}"/>
    <cellStyle name="Note 6 2 3 2 3" xfId="44519" xr:uid="{5C267A29-DBB1-4ECC-B85C-784ECF4DDE3E}"/>
    <cellStyle name="Note 6 2 3 3" xfId="23997" xr:uid="{AD8F73E6-22BA-480C-A510-8A5A0FB20197}"/>
    <cellStyle name="Note 6 2 3 4" xfId="37078" xr:uid="{19262F54-ABA5-4167-B70F-27EA31956812}"/>
    <cellStyle name="Note 6 2 4" xfId="11540" xr:uid="{F656C95F-0B0B-4B9B-9652-C8720DAB2397}"/>
    <cellStyle name="Note 6 2 4 2" xfId="28297" xr:uid="{F7AFBBED-26C0-4244-BED6-8AE86640AE17}"/>
    <cellStyle name="Note 6 2 4 3" xfId="41495" xr:uid="{5276CC87-5F20-48A7-A7A1-FE75838356A9}"/>
    <cellStyle name="Note 6 2 5" xfId="20749" xr:uid="{E0A45C08-EEDA-46D8-8775-D792787D86C7}"/>
    <cellStyle name="Note 6 2 6" xfId="33772" xr:uid="{102AE2A1-C7AA-4ED4-844E-CD6300C07DEA}"/>
    <cellStyle name="Note 6 3" xfId="4363" xr:uid="{72143B25-A8C6-4A17-9A91-CFF0D4BC5243}"/>
    <cellStyle name="Note 6 3 2" xfId="6982" xr:uid="{8220B519-21B0-4A79-B361-F0728BCB0C30}"/>
    <cellStyle name="Note 6 3 2 2" xfId="17254" xr:uid="{78EEBC3C-3C56-49C1-BDCD-A7A4982CA96B}"/>
    <cellStyle name="Note 6 3 2 2 2" xfId="33013" xr:uid="{DDE00190-7361-4E4A-B6DE-EC76CF56AB9F}"/>
    <cellStyle name="Note 6 3 2 2 3" xfId="46788" xr:uid="{22337C7E-81BB-4DA3-8E69-6E6DB846F2F5}"/>
    <cellStyle name="Note 6 3 2 3" xfId="24604" xr:uid="{A1DD659B-DEA0-4179-9726-060A58F00922}"/>
    <cellStyle name="Note 6 3 2 4" xfId="37685" xr:uid="{0666C6D6-67FD-410D-B316-F36977DD86B9}"/>
    <cellStyle name="Note 6 3 3" xfId="17451" xr:uid="{26FC1E3C-1379-49CF-AD93-6B7FFEC74104}"/>
    <cellStyle name="Note 6 3 3 2" xfId="33198" xr:uid="{FF786B4C-6014-413A-A6D1-5BCA3DB8EE3C}"/>
    <cellStyle name="Note 6 3 3 3" xfId="46981" xr:uid="{984A8408-D7BA-4D1C-95D0-106B743EE9B5}"/>
    <cellStyle name="Note 6 3 4" xfId="22183" xr:uid="{344633A3-132E-4090-9B62-97E92D30EE1A}"/>
    <cellStyle name="Note 6 3 5" xfId="35232" xr:uid="{73B3B15B-746B-4233-A1E9-93C2F3E3461A}"/>
    <cellStyle name="Note 6 4" xfId="5418" xr:uid="{205F5B51-5E33-40E3-AA60-614BD9D93741}"/>
    <cellStyle name="Note 6 4 2" xfId="8595" xr:uid="{8DDFF973-84A4-4397-A75E-19A65E77C17C}"/>
    <cellStyle name="Note 6 4 2 2" xfId="14624" xr:uid="{62FD7FDD-CC0C-4A36-B049-EDFF8B5C9E4F}"/>
    <cellStyle name="Note 6 4 2 2 2" xfId="30921" xr:uid="{AD23DED0-34B2-454D-BEE8-0A72E7369E5F}"/>
    <cellStyle name="Note 6 4 2 2 3" xfId="44342" xr:uid="{7EA9A2A6-FE25-4C5F-B1EA-7E6B51147440}"/>
    <cellStyle name="Note 6 4 2 3" xfId="26093" xr:uid="{F94234C7-DEED-42BB-B09F-5B2087D55F81}"/>
    <cellStyle name="Note 6 4 2 4" xfId="39169" xr:uid="{96C0C492-4007-4596-93C5-B0EF918370DB}"/>
    <cellStyle name="Note 6 4 3" xfId="16084" xr:uid="{0C5AEAA8-13EE-4D88-AD88-932B47E65297}"/>
    <cellStyle name="Note 6 4 3 2" xfId="32144" xr:uid="{708338E5-0B21-47F6-B6A2-DECFC0D343B1}"/>
    <cellStyle name="Note 6 4 3 3" xfId="45664" xr:uid="{C6C6BD3B-1F2F-4245-8C2F-6A62F4FDA889}"/>
    <cellStyle name="Note 6 4 4" xfId="23065" xr:uid="{89592D83-0381-478C-ADFF-B54475C46570}"/>
    <cellStyle name="Note 6 4 5" xfId="36146" xr:uid="{334704EA-B886-4C43-B298-582D0B0B4E8F}"/>
    <cellStyle name="Note 6 5" xfId="11521" xr:uid="{1D475D37-195D-474F-ABD5-33C67F24446A}"/>
    <cellStyle name="Note 6 5 2" xfId="28279" xr:uid="{89D6AF77-97B7-49FF-A310-BC2E8DBC4F91}"/>
    <cellStyle name="Note 6 5 3" xfId="41476" xr:uid="{8BBAA4F7-9923-4594-8374-F3F5F4332112}"/>
    <cellStyle name="Note 6 6" xfId="21356" xr:uid="{602FA56A-4AA1-449B-BB0A-ABE0ABC7E74E}"/>
    <cellStyle name="Note 6 7" xfId="34379" xr:uid="{60B43B54-587A-4F10-84B6-BEC334F58209}"/>
    <cellStyle name="Note 7" xfId="3423" xr:uid="{7C044BD8-0DBB-4E10-9F24-2B9E3C0AE086}"/>
    <cellStyle name="Note 7 2" xfId="2765" xr:uid="{BA6EADD5-1300-4AE8-95EA-16DBDAB115E1}"/>
    <cellStyle name="Note 7 2 2" xfId="8061" xr:uid="{52AF75AC-46CF-48B9-A0BA-793FD21BDD84}"/>
    <cellStyle name="Note 7 2 2 2" xfId="11751" xr:uid="{E221E7CC-7DC6-4E28-843A-ABF46958000B}"/>
    <cellStyle name="Note 7 2 2 2 2" xfId="28478" xr:uid="{550EEEEE-2F49-4E2E-8706-54B1A0203DF0}"/>
    <cellStyle name="Note 7 2 2 2 3" xfId="41689" xr:uid="{67C8D29B-B250-4FE9-BBE7-FE3856AF3CC9}"/>
    <cellStyle name="Note 7 2 2 3" xfId="25573" xr:uid="{C9A920DA-74BB-4B55-93AE-10D912A7557C}"/>
    <cellStyle name="Note 7 2 2 4" xfId="38649" xr:uid="{AA3F72C9-FB01-4244-86ED-069A34E3A1F7}"/>
    <cellStyle name="Note 7 2 3" xfId="6428" xr:uid="{5C7EC92A-1E26-4973-A46F-417AA3A37EC1}"/>
    <cellStyle name="Note 7 2 3 2" xfId="12184" xr:uid="{422BE9D1-E7E8-4F6D-AAE5-198709EAF9A1}"/>
    <cellStyle name="Note 7 2 3 2 2" xfId="28878" xr:uid="{9070620C-8077-4F3B-AEDB-238C5335243F}"/>
    <cellStyle name="Note 7 2 3 2 3" xfId="42104" xr:uid="{7691DDF4-DFF7-46A5-A340-96DF469B7CE4}"/>
    <cellStyle name="Note 7 2 3 3" xfId="24064" xr:uid="{BBF7012E-CBA0-42AD-BE3D-12715A88637D}"/>
    <cellStyle name="Note 7 2 3 4" xfId="37145" xr:uid="{3826E127-7112-41FF-8DBA-E62EC69FAF8D}"/>
    <cellStyle name="Note 7 2 4" xfId="11187" xr:uid="{7359B6B0-656E-4BB4-BD58-25A62983C930}"/>
    <cellStyle name="Note 7 2 4 2" xfId="27981" xr:uid="{3B477BE4-5DA4-4BFF-B7A2-40A259238ED5}"/>
    <cellStyle name="Note 7 2 4 3" xfId="41163" xr:uid="{396C3E9D-233B-4346-96C8-AF85904B4140}"/>
    <cellStyle name="Note 7 2 5" xfId="20816" xr:uid="{26BE749B-CA9B-447C-9ACC-C6F8AACA3CDA}"/>
    <cellStyle name="Note 7 2 6" xfId="33839" xr:uid="{011DF7C2-FE0D-487C-92DB-D39931573C9F}"/>
    <cellStyle name="Note 7 3" xfId="4426" xr:uid="{7B0750B7-CEEB-4C2D-B936-3453ACA4AC06}"/>
    <cellStyle name="Note 7 3 2" xfId="7065" xr:uid="{F1B6F799-2DBA-4392-92B3-D4B51431B60E}"/>
    <cellStyle name="Note 7 3 2 2" xfId="12587" xr:uid="{8AB09088-342A-4DA5-8EF0-61C7D6ACB59E}"/>
    <cellStyle name="Note 7 3 2 2 2" xfId="29203" xr:uid="{1A723FCA-9802-4E76-B5F7-277452C67D05}"/>
    <cellStyle name="Note 7 3 2 2 3" xfId="42466" xr:uid="{55A904AA-9ACB-47F9-A559-F62F717A4B2C}"/>
    <cellStyle name="Note 7 3 2 3" xfId="24665" xr:uid="{1511AE45-5EFB-41BD-9A29-A103E5184373}"/>
    <cellStyle name="Note 7 3 2 4" xfId="37746" xr:uid="{31674436-3778-48FF-95DB-1E97F4623C29}"/>
    <cellStyle name="Note 7 3 3" xfId="12062" xr:uid="{841BA4A3-58A2-4CCA-9677-015AE3BC3854}"/>
    <cellStyle name="Note 7 3 3 2" xfId="28762" xr:uid="{125AE1C8-369C-4001-AEB3-BA2294DF8A80}"/>
    <cellStyle name="Note 7 3 3 3" xfId="41982" xr:uid="{4EF952C5-6A9F-40EB-9C43-AE009AD2BF07}"/>
    <cellStyle name="Note 7 3 4" xfId="22244" xr:uid="{C8D6713B-F568-43B3-8B1E-17C5AD528A1B}"/>
    <cellStyle name="Note 7 3 5" xfId="35293" xr:uid="{D0C5994D-551A-4BDE-98DC-0083AA0D9B20}"/>
    <cellStyle name="Note 7 4" xfId="5479" xr:uid="{282B9677-F55B-46D1-BA1E-64735F2F011E}"/>
    <cellStyle name="Note 7 4 2" xfId="8660" xr:uid="{C4CA293C-BF0B-4A9F-84E0-E83850AEECFF}"/>
    <cellStyle name="Note 7 4 2 2" xfId="13506" xr:uid="{4470A5ED-2F65-4C36-906B-70066F812C0A}"/>
    <cellStyle name="Note 7 4 2 2 2" xfId="29962" xr:uid="{81BD2C13-0C90-4F14-BD17-DC6599CB3165}"/>
    <cellStyle name="Note 7 4 2 2 3" xfId="43303" xr:uid="{98697BF4-62D5-405A-981F-C3702214DB06}"/>
    <cellStyle name="Note 7 4 2 3" xfId="26154" xr:uid="{C55B1E7B-382E-435E-9E99-7429705013EC}"/>
    <cellStyle name="Note 7 4 2 4" xfId="39230" xr:uid="{3C731A49-36DE-474B-A76B-FB486446AE3D}"/>
    <cellStyle name="Note 7 4 3" xfId="11060" xr:uid="{EABCBD96-392C-4698-91F0-6C9489994CD8}"/>
    <cellStyle name="Note 7 4 3 2" xfId="27863" xr:uid="{DE348826-B5F9-4154-9E97-07C7FE1747E0}"/>
    <cellStyle name="Note 7 4 3 3" xfId="41039" xr:uid="{5082204E-5385-49E1-A115-7E9CFF972706}"/>
    <cellStyle name="Note 7 4 4" xfId="23126" xr:uid="{2F16F70F-B5E1-48A7-9E08-4CAD2E7B825D}"/>
    <cellStyle name="Note 7 4 5" xfId="36207" xr:uid="{C29592BA-8B65-48B3-8BB8-411EC1154C47}"/>
    <cellStyle name="Note 7 5" xfId="14229" xr:uid="{C0A9670F-442E-4637-BE6F-1D51B2A78C11}"/>
    <cellStyle name="Note 7 5 2" xfId="30574" xr:uid="{AE2860DA-39A0-4FA3-8734-1BCC3BA62BAB}"/>
    <cellStyle name="Note 7 5 3" xfId="43966" xr:uid="{E40792F3-E475-48A2-A03E-AAFA453E6A1D}"/>
    <cellStyle name="Note 7 6" xfId="21411" xr:uid="{6656A8EF-5585-4CB1-B22B-9FFA57615868}"/>
    <cellStyle name="Note 7 7" xfId="34440" xr:uid="{A5BF84FC-4B25-4155-B0E3-46C96EFD9BA6}"/>
    <cellStyle name="Note 8" xfId="3329" xr:uid="{E15801BE-4470-4E7E-BB73-8F41915E1997}"/>
    <cellStyle name="Note 8 2" xfId="2691" xr:uid="{5BDBE971-AA01-4E35-9B6F-45BDC92BD072}"/>
    <cellStyle name="Note 8 2 2" xfId="7987" xr:uid="{89BF1191-14BB-47C7-A8ED-72552C4BAE0A}"/>
    <cellStyle name="Note 8 2 2 2" xfId="14678" xr:uid="{D607B144-5B20-40D5-92B3-9B253E3F0E5C}"/>
    <cellStyle name="Note 8 2 2 2 2" xfId="30971" xr:uid="{B8F4E591-6B03-43D5-892E-0F2DAC1D138A}"/>
    <cellStyle name="Note 8 2 2 2 3" xfId="44392" xr:uid="{C2988F9A-7F2E-4FBD-8D84-57ACBAC4ADED}"/>
    <cellStyle name="Note 8 2 2 3" xfId="25503" xr:uid="{22C97F31-C80B-4DCF-8DAD-EAAFF065FC21}"/>
    <cellStyle name="Note 8 2 2 4" xfId="38579" xr:uid="{F72313BC-7BEB-4673-ADC5-4E06D82AD382}"/>
    <cellStyle name="Note 8 2 3" xfId="6354" xr:uid="{F136927B-F81B-4134-B688-9729F5C4F620}"/>
    <cellStyle name="Note 8 2 3 2" xfId="12100" xr:uid="{385DC6ED-4463-4411-AE69-AFB227C350E6}"/>
    <cellStyle name="Note 8 2 3 2 2" xfId="28800" xr:uid="{A6DF1B0C-E119-4F10-8329-CBE50006B605}"/>
    <cellStyle name="Note 8 2 3 2 3" xfId="42020" xr:uid="{4BDF014E-F4BC-46B6-8093-9C878203CEB3}"/>
    <cellStyle name="Note 8 2 3 3" xfId="23994" xr:uid="{5715D7A8-4606-4471-9D32-5702DD11E630}"/>
    <cellStyle name="Note 8 2 3 4" xfId="37075" xr:uid="{C8EB64D4-112D-4FAC-BC6F-C1FD05E5391D}"/>
    <cellStyle name="Note 8 2 4" xfId="15850" xr:uid="{F6C57665-A739-4F27-B03F-2149F9AC6539}"/>
    <cellStyle name="Note 8 2 4 2" xfId="31943" xr:uid="{529352DE-F8CC-4D35-AA05-29841B59BA9E}"/>
    <cellStyle name="Note 8 2 4 3" xfId="45455" xr:uid="{C1E302BC-DE0F-4CC7-82DE-2795F683D7A6}"/>
    <cellStyle name="Note 8 2 5" xfId="20746" xr:uid="{081C7B1F-9C49-46C1-AC66-19CC9D82F1A6}"/>
    <cellStyle name="Note 8 2 6" xfId="33769" xr:uid="{44F4590C-9B29-4729-A3D0-309A728FA494}"/>
    <cellStyle name="Note 8 3" xfId="4360" xr:uid="{4ACFE278-52B6-434A-9E4A-189FF9C811CE}"/>
    <cellStyle name="Note 8 3 2" xfId="6979" xr:uid="{AF8F51A7-5E6A-4461-8367-866362FFB12A}"/>
    <cellStyle name="Note 8 3 2 2" xfId="12112" xr:uid="{7472F307-272D-41F1-B264-5CCE66F4E962}"/>
    <cellStyle name="Note 8 3 2 2 2" xfId="28812" xr:uid="{C9D09178-F5D7-42BC-970A-115D745F2A0B}"/>
    <cellStyle name="Note 8 3 2 2 3" xfId="42032" xr:uid="{FECFA528-582B-46A3-AD70-C6D1BBEDFACC}"/>
    <cellStyle name="Note 8 3 2 3" xfId="24601" xr:uid="{94B6EB65-C079-4E57-9C5B-D02A4443A431}"/>
    <cellStyle name="Note 8 3 2 4" xfId="37682" xr:uid="{89AC62BE-C591-4D02-99BB-276EB1F306A6}"/>
    <cellStyle name="Note 8 3 3" xfId="15168" xr:uid="{1A200F5D-4B2E-4B13-AA92-17E095F09D49}"/>
    <cellStyle name="Note 8 3 3 2" xfId="31359" xr:uid="{8536F1AC-8274-41F5-B719-A5156EB45149}"/>
    <cellStyle name="Note 8 3 3 3" xfId="44825" xr:uid="{8C417473-CD17-4830-AF7E-87F37DEE1E58}"/>
    <cellStyle name="Note 8 3 4" xfId="22180" xr:uid="{35FF15C0-7D0D-4406-A604-60B92C21F953}"/>
    <cellStyle name="Note 8 3 5" xfId="35229" xr:uid="{1B5FCC32-E5EF-4D94-B96D-D48BC141CC88}"/>
    <cellStyle name="Note 8 4" xfId="5415" xr:uid="{F214A090-7C17-411E-8285-9B8E2D91E776}"/>
    <cellStyle name="Note 8 4 2" xfId="8592" xr:uid="{1AF6CE4B-BC75-415E-A542-5D8230570FA4}"/>
    <cellStyle name="Note 8 4 2 2" xfId="15979" xr:uid="{21CFD0F6-4CD7-40F3-B2B6-6B6E4F25A248}"/>
    <cellStyle name="Note 8 4 2 2 2" xfId="32053" xr:uid="{87C9595C-D6D3-4402-B55E-BE302E3141BC}"/>
    <cellStyle name="Note 8 4 2 2 3" xfId="45572" xr:uid="{0F2B807C-E3B7-4AE8-B79B-9C76F88586FE}"/>
    <cellStyle name="Note 8 4 2 3" xfId="26090" xr:uid="{FEB33B97-891A-45EB-890C-DA753A87A13C}"/>
    <cellStyle name="Note 8 4 2 4" xfId="39166" xr:uid="{42330352-1E36-4C1F-A918-3DCC7EFFB57A}"/>
    <cellStyle name="Note 8 4 3" xfId="16269" xr:uid="{981EDA3B-88A5-4563-83A8-92B69485E535}"/>
    <cellStyle name="Note 8 4 3 2" xfId="32303" xr:uid="{785E16BA-D65D-424F-BF51-8B3DF793188F}"/>
    <cellStyle name="Note 8 4 3 3" xfId="45832" xr:uid="{934A23CC-FEED-410C-95C7-5F2936AF0DE8}"/>
    <cellStyle name="Note 8 4 4" xfId="23062" xr:uid="{CD514475-0FD9-4A2A-AC5B-16CDBB2F280E}"/>
    <cellStyle name="Note 8 4 5" xfId="36143" xr:uid="{4142B794-9F94-4CC8-AAF9-2E285055089B}"/>
    <cellStyle name="Note 8 5" xfId="15470" xr:uid="{91CEBBAA-28C3-4FC3-9E91-63A8B7F31E00}"/>
    <cellStyle name="Note 8 5 2" xfId="31612" xr:uid="{B6FC9821-9ECE-47D5-91C9-B1BE8D1BDB62}"/>
    <cellStyle name="Note 8 5 3" xfId="45109" xr:uid="{37436294-DD3E-41E2-859D-254E9367F5E2}"/>
    <cellStyle name="Note 8 6" xfId="21353" xr:uid="{A3F1AEAB-497F-466C-A44B-B7F15CC68FAC}"/>
    <cellStyle name="Note 8 7" xfId="34376" xr:uid="{9C8919D6-A428-4641-AC17-170C50946839}"/>
    <cellStyle name="Note 9" xfId="3601" xr:uid="{D235AC5B-E738-45AA-BFF1-8CFD1FAB4F01}"/>
    <cellStyle name="Note 9 2" xfId="2935" xr:uid="{4CA77E1C-8B00-457B-B6FF-541A1D45813B}"/>
    <cellStyle name="Note 9 2 2" xfId="8231" xr:uid="{EA039F14-C683-4C31-9E1C-4D36CA05A423}"/>
    <cellStyle name="Note 9 2 2 2" xfId="12106" xr:uid="{F2182FC6-D336-4C41-B465-84AFC7DDB9F9}"/>
    <cellStyle name="Note 9 2 2 2 2" xfId="28806" xr:uid="{0C953C7C-7A5B-474E-B497-40A557CBA8E6}"/>
    <cellStyle name="Note 9 2 2 2 3" xfId="42026" xr:uid="{EAFE5EC2-932C-46CD-97D3-F91073BA2347}"/>
    <cellStyle name="Note 9 2 2 3" xfId="25741" xr:uid="{76B83612-9E37-4FA5-9039-3F32C615584F}"/>
    <cellStyle name="Note 9 2 2 4" xfId="38817" xr:uid="{C1BD7864-5BB4-4EFA-8A2D-E8A906305DE8}"/>
    <cellStyle name="Note 9 2 3" xfId="6598" xr:uid="{1C523B0D-34D8-43B9-BB91-24886E6DC66C}"/>
    <cellStyle name="Note 9 2 3 2" xfId="13308" xr:uid="{DA23A475-B48A-4FAA-8786-7C119D78251A}"/>
    <cellStyle name="Note 9 2 3 2 2" xfId="29794" xr:uid="{55E8D314-B9B4-4544-B429-61004096EA98}"/>
    <cellStyle name="Note 9 2 3 2 3" xfId="43123" xr:uid="{368BAAC2-474F-43BC-BE09-6D44F58EC4B3}"/>
    <cellStyle name="Note 9 2 3 3" xfId="24232" xr:uid="{F6DFC165-82A6-4690-93F8-A144BB8ACF1D}"/>
    <cellStyle name="Note 9 2 3 4" xfId="37313" xr:uid="{37BC7DE7-DDF3-42EB-8520-16D7D37B0A9A}"/>
    <cellStyle name="Note 9 2 4" xfId="14209" xr:uid="{D8C5295C-3C24-4789-B156-75A901D91BF5}"/>
    <cellStyle name="Note 9 2 4 2" xfId="30554" xr:uid="{3F7F1065-90FE-4367-9BE4-ED55FC3CF58B}"/>
    <cellStyle name="Note 9 2 4 3" xfId="43946" xr:uid="{6377E035-9364-426C-9DBA-18F8715871BC}"/>
    <cellStyle name="Note 9 2 5" xfId="20984" xr:uid="{4DF56F3F-DA00-45E8-9BEB-1077D0E3E9FB}"/>
    <cellStyle name="Note 9 2 6" xfId="34007" xr:uid="{E3426F86-BD63-4D5C-9EF1-0919D6F7D31E}"/>
    <cellStyle name="Note 9 3" xfId="4542" xr:uid="{AEB6A4C6-E3ED-4916-BB68-790E2AF4A991}"/>
    <cellStyle name="Note 9 3 2" xfId="7237" xr:uid="{CF7D64FB-5ED3-4C67-BF30-57AD9250573C}"/>
    <cellStyle name="Note 9 3 2 2" xfId="14628" xr:uid="{2CEAF98A-0A3E-45F0-8272-7EE2E6563DAA}"/>
    <cellStyle name="Note 9 3 2 2 2" xfId="30925" xr:uid="{32E21C8E-E37C-4335-B5B4-733F68F0DB7C}"/>
    <cellStyle name="Note 9 3 2 2 3" xfId="44346" xr:uid="{EB756E09-BF43-41E2-B571-1D1868BCD66A}"/>
    <cellStyle name="Note 9 3 2 3" xfId="24830" xr:uid="{72BCBE37-ADD3-4B2E-8371-FB0CC5350302}"/>
    <cellStyle name="Note 9 3 2 4" xfId="37911" xr:uid="{3F3765DC-02EA-4913-8D7A-93F037A0F0D0}"/>
    <cellStyle name="Note 9 3 3" xfId="16447" xr:uid="{39CB9378-F24F-4A7E-A73A-43BA92586FFA}"/>
    <cellStyle name="Note 9 3 3 2" xfId="32456" xr:uid="{3EE9A549-6363-43E2-A0E0-2E3FE5155CF1}"/>
    <cellStyle name="Note 9 3 3 3" xfId="45995" xr:uid="{F41D6F04-E00B-4B1D-A06D-95995277A773}"/>
    <cellStyle name="Note 9 3 4" xfId="22358" xr:uid="{53245D87-03AF-4210-8AA9-FA8D8EFA7681}"/>
    <cellStyle name="Note 9 3 5" xfId="35407" xr:uid="{7847472A-F2FD-419D-8DC3-DF638D1AC936}"/>
    <cellStyle name="Note 9 4" xfId="5644" xr:uid="{8FF1A48E-C7E5-4B42-B0E4-1FD6EA5E7C0C}"/>
    <cellStyle name="Note 9 4 2" xfId="8827" xr:uid="{B4CBFF63-A2EE-4E23-AFD7-AB98FB369CD9}"/>
    <cellStyle name="Note 9 4 2 2" xfId="16415" xr:uid="{C50D1222-1D50-4552-87B3-2F59A8EE6741}"/>
    <cellStyle name="Note 9 4 2 2 2" xfId="32430" xr:uid="{879AEA41-15D3-4AD1-B7C4-CDDA9605CD95}"/>
    <cellStyle name="Note 9 4 2 2 3" xfId="45966" xr:uid="{A7B83795-9C2F-4962-B404-ADFBA0E6C45F}"/>
    <cellStyle name="Note 9 4 2 3" xfId="26319" xr:uid="{A16D6650-630C-4ECE-955F-F245EFD3DBD5}"/>
    <cellStyle name="Note 9 4 2 4" xfId="39395" xr:uid="{7DFBA8F5-B03C-462C-899F-A0D41414CF69}"/>
    <cellStyle name="Note 9 4 3" xfId="13988" xr:uid="{8289401E-E59A-41A8-9447-FBFAC409D0B1}"/>
    <cellStyle name="Note 9 4 3 2" xfId="30374" xr:uid="{F4C1D5D1-EEC8-409D-BC73-1FB8A5EA3673}"/>
    <cellStyle name="Note 9 4 3 3" xfId="43752" xr:uid="{50F329CA-83FF-42C6-A3F4-5EF6EED8AB60}"/>
    <cellStyle name="Note 9 4 4" xfId="23291" xr:uid="{E838B123-3105-4601-B69D-BF3097FBA2CF}"/>
    <cellStyle name="Note 9 4 5" xfId="36372" xr:uid="{C704039A-B628-449A-96C9-25424052C020}"/>
    <cellStyle name="Note 9 5" xfId="12060" xr:uid="{DB0616D9-2BA5-42F2-9A16-5265808FC8B9}"/>
    <cellStyle name="Note 9 5 2" xfId="28760" xr:uid="{697557C4-51D4-45E0-AFD5-D88B33B4F011}"/>
    <cellStyle name="Note 9 5 3" xfId="41980" xr:uid="{81596A03-D18A-45E6-816C-AF9FCC7EF3F9}"/>
    <cellStyle name="Note 9 6" xfId="21553" xr:uid="{4C9ACEE4-4F2D-45F6-B9EC-F03738CA04F4}"/>
    <cellStyle name="Note 9 7" xfId="34607" xr:uid="{370CC347-2295-4806-9E24-7B733997CE46}"/>
    <cellStyle name="Output" xfId="2246" xr:uid="{838AECA0-F85B-4DA1-9954-63C055C8DB03}"/>
    <cellStyle name="Output 10" xfId="3687" xr:uid="{FF4FA9B7-3A63-4F8E-BD69-6F263E4ED7D1}"/>
    <cellStyle name="Output 10 2" xfId="3003" xr:uid="{50A2BB2F-C4F1-4379-9A6C-3A47BACA0D90}"/>
    <cellStyle name="Output 10 2 2" xfId="8299" xr:uid="{F66D6A6E-692F-4868-9153-0BDE4B3E476A}"/>
    <cellStyle name="Output 10 2 2 2" xfId="10752" xr:uid="{F4E5514D-D3A3-4B59-B3EA-D0BC556431D3}"/>
    <cellStyle name="Output 10 2 2 2 2" xfId="27592" xr:uid="{677B232B-A62C-45CD-9948-D5308EC5A7B9}"/>
    <cellStyle name="Output 10 2 2 2 3" xfId="40733" xr:uid="{1437E3E4-87B7-4252-9F85-6F100CD09EF9}"/>
    <cellStyle name="Output 10 2 2 3" xfId="25804" xr:uid="{3106A3FB-6CCE-4C3A-B332-BFABE07FD133}"/>
    <cellStyle name="Output 10 2 2 4" xfId="38880" xr:uid="{80392331-E66C-4BBC-A12D-F5A075B2A776}"/>
    <cellStyle name="Output 10 2 3" xfId="6666" xr:uid="{C8A77529-6CFA-4AD8-B1F3-27145167D4E4}"/>
    <cellStyle name="Output 10 2 3 2" xfId="13290" xr:uid="{83364024-5C7D-4A97-81DE-3F402D122C32}"/>
    <cellStyle name="Output 10 2 3 2 2" xfId="29780" xr:uid="{2D4D3ACB-1921-4C52-8C74-4EFADEF0123B}"/>
    <cellStyle name="Output 10 2 3 2 3" xfId="43107" xr:uid="{D051E430-E2D9-40DB-9D2C-EE09C30658BC}"/>
    <cellStyle name="Output 10 2 3 3" xfId="24295" xr:uid="{BC9C5925-16D7-45E7-B622-1857EB03C196}"/>
    <cellStyle name="Output 10 2 3 4" xfId="37376" xr:uid="{CC137B5C-507C-4663-941C-4BB0DEBBCBE2}"/>
    <cellStyle name="Output 10 2 4" xfId="13680" xr:uid="{8028EA63-4F42-4761-819E-3AA6E28B74EC}"/>
    <cellStyle name="Output 10 2 4 2" xfId="30105" xr:uid="{044FAED8-3382-4D09-BFC2-E21B896F7507}"/>
    <cellStyle name="Output 10 2 4 3" xfId="43464" xr:uid="{FA4DA224-F61E-4C5F-9BB6-B8C2C8BB1BED}"/>
    <cellStyle name="Output 10 2 5" xfId="21047" xr:uid="{B86452C5-0925-422C-9EF0-5C4284FE4505}"/>
    <cellStyle name="Output 10 2 6" xfId="34070" xr:uid="{1BCDE8BE-482D-47ED-A7FC-097CE516DAE8}"/>
    <cellStyle name="Output 10 3" xfId="4618" xr:uid="{C9007A98-E02C-424C-BDC0-0FDF86AB5CBA}"/>
    <cellStyle name="Output 10 3 2" xfId="7322" xr:uid="{DCFC8A7B-B7F6-478E-ABBF-6B778BB7B067}"/>
    <cellStyle name="Output 10 3 2 2" xfId="11635" xr:uid="{561A11DF-FAD6-49F6-839F-C8EF3D2AF869}"/>
    <cellStyle name="Output 10 3 2 2 2" xfId="28379" xr:uid="{C969B70C-0A01-4A56-B703-71F87D45EED4}"/>
    <cellStyle name="Output 10 3 2 2 3" xfId="41583" xr:uid="{C252EA10-8670-4697-A1DB-F8F09CEAF9DD}"/>
    <cellStyle name="Output 10 3 2 3" xfId="24882" xr:uid="{3C6A5258-EAD4-4CAA-BF37-E8F5EA63AD7D}"/>
    <cellStyle name="Output 10 3 2 4" xfId="37962" xr:uid="{EEF05371-B4A7-4271-B87A-4BC2575A607F}"/>
    <cellStyle name="Output 10 3 3" xfId="10994" xr:uid="{CCB8DEA6-7505-4F89-9497-690F7CDBFA9C}"/>
    <cellStyle name="Output 10 3 3 2" xfId="27801" xr:uid="{82DDCCF3-2D99-4BAA-BF00-F0D15C36CB83}"/>
    <cellStyle name="Output 10 3 3 3" xfId="40974" xr:uid="{00E55F53-A36D-498F-91C5-9BBD12CEA150}"/>
    <cellStyle name="Output 10 3 4" xfId="22428" xr:uid="{706D2AF9-B8FA-4311-BF8E-13078CEBFC08}"/>
    <cellStyle name="Output 10 3 5" xfId="35481" xr:uid="{CF698DD2-C0DA-4076-930A-B0F601D15A45}"/>
    <cellStyle name="Output 10 4" xfId="5695" xr:uid="{BEC2D66E-9104-406B-B419-E23C94FFEDF5}"/>
    <cellStyle name="Output 10 4 2" xfId="8883" xr:uid="{03C30028-AC0D-4188-B4BA-20DF9A41CA1B}"/>
    <cellStyle name="Output 10 4 2 2" xfId="15556" xr:uid="{827B46B9-9883-4FF6-902C-3158FB93751F}"/>
    <cellStyle name="Output 10 4 2 2 2" xfId="31687" xr:uid="{2ED4CBD7-A577-4A09-B86C-7854370F41B2}"/>
    <cellStyle name="Output 10 4 2 2 3" xfId="45188" xr:uid="{D4A7C09A-9A87-4AAF-B491-B2E92FA38842}"/>
    <cellStyle name="Output 10 4 2 3" xfId="26370" xr:uid="{DA71512A-21FE-4555-89A8-86B34833D269}"/>
    <cellStyle name="Output 10 4 2 4" xfId="39446" xr:uid="{39D4B109-3DC3-4B1D-BBB8-98863D985A55}"/>
    <cellStyle name="Output 10 4 3" xfId="11819" xr:uid="{9AA8B259-7939-41CA-B88E-D43A643F114C}"/>
    <cellStyle name="Output 10 4 3 2" xfId="28540" xr:uid="{233F9839-AA01-4E0E-A013-BA957A94F456}"/>
    <cellStyle name="Output 10 4 3 3" xfId="41752" xr:uid="{E8B2B7DA-429F-4F97-AA1F-5214EAF9DB53}"/>
    <cellStyle name="Output 10 4 4" xfId="23342" xr:uid="{232A4AC1-1ACE-4F86-B963-4998BA62D989}"/>
    <cellStyle name="Output 10 4 5" xfId="36423" xr:uid="{CAEB5C4F-F4AA-4AFA-819E-7D7030CE6F31}"/>
    <cellStyle name="Output 10 5" xfId="12259" xr:uid="{9E593197-225F-48B1-91DC-9B8252C520BF}"/>
    <cellStyle name="Output 10 5 2" xfId="28939" xr:uid="{2C290F27-EF85-4585-9079-E73BFCF646DF}"/>
    <cellStyle name="Output 10 5 3" xfId="42172" xr:uid="{4E994A53-9666-4932-97F8-4F709BD9AD3F}"/>
    <cellStyle name="Output 10 6" xfId="21604" xr:uid="{BAAF6CC0-8936-44FA-9045-A868C0C3EACB}"/>
    <cellStyle name="Output 10 7" xfId="34658" xr:uid="{D282F7CB-108B-46DB-86A0-45B5650B4B4B}"/>
    <cellStyle name="Output 11" xfId="3596" xr:uid="{437FCE8B-249A-41A0-9D94-22A5E43F40F3}"/>
    <cellStyle name="Output 11 2" xfId="2930" xr:uid="{89D1686A-F4D3-455C-8B3C-E5EEE7003027}"/>
    <cellStyle name="Output 11 2 2" xfId="8226" xr:uid="{ABEC328B-1135-4FA5-9E5A-FBF3D20A33CC}"/>
    <cellStyle name="Output 11 2 2 2" xfId="12772" xr:uid="{9D009B44-842E-491F-B1A0-DA339448DA04}"/>
    <cellStyle name="Output 11 2 2 2 2" xfId="29347" xr:uid="{11B82962-0CDF-4937-885B-1CCB793B8E95}"/>
    <cellStyle name="Output 11 2 2 2 3" xfId="42627" xr:uid="{5D6EA4EE-4045-4CE2-B7D5-653D302B6599}"/>
    <cellStyle name="Output 11 2 2 3" xfId="25737" xr:uid="{63F40A26-DEF4-4B1E-848B-F5FCDD521D42}"/>
    <cellStyle name="Output 11 2 2 4" xfId="38813" xr:uid="{69606062-80B3-4964-BE57-E172D8AD4406}"/>
    <cellStyle name="Output 11 2 3" xfId="6593" xr:uid="{B093C633-0A43-4C9F-A984-1C73C70C3BBE}"/>
    <cellStyle name="Output 11 2 3 2" xfId="13965" xr:uid="{DECE3C83-38B3-43A5-9E57-0CA5E0099F46}"/>
    <cellStyle name="Output 11 2 3 2 2" xfId="30352" xr:uid="{72255612-CCD9-4A11-BC1D-A5412CE3F9C1}"/>
    <cellStyle name="Output 11 2 3 2 3" xfId="43729" xr:uid="{C400DDBD-072D-4A25-BF1D-3DB693815E36}"/>
    <cellStyle name="Output 11 2 3 3" xfId="24228" xr:uid="{1E02129D-7E5C-4B95-ADBA-F6FB0A316553}"/>
    <cellStyle name="Output 11 2 3 4" xfId="37309" xr:uid="{923CEADD-04BA-47FD-9051-E554DAF272F1}"/>
    <cellStyle name="Output 11 2 4" xfId="13374" xr:uid="{EA9CA7C2-B09E-40BC-A92A-69C6135ECF99}"/>
    <cellStyle name="Output 11 2 4 2" xfId="29847" xr:uid="{8E8FEC1D-2F48-42D4-9C38-65B129ED15A1}"/>
    <cellStyle name="Output 11 2 4 3" xfId="43182" xr:uid="{0B86C27A-C18B-4A27-971B-550F1DB1397D}"/>
    <cellStyle name="Output 11 2 5" xfId="20980" xr:uid="{2EBA6E2C-8EB1-4FA6-9493-627CF5A82B34}"/>
    <cellStyle name="Output 11 2 6" xfId="34003" xr:uid="{04F2245B-F43D-48C1-B48E-9147766B1EE5}"/>
    <cellStyle name="Output 11 3" xfId="4674" xr:uid="{F7DA8C0C-CB9F-4505-B80F-EE64EFAA9DD7}"/>
    <cellStyle name="Output 11 3 2" xfId="7232" xr:uid="{76DFE040-195F-40E0-9B87-FA8104E275B5}"/>
    <cellStyle name="Output 11 3 2 2" xfId="11617" xr:uid="{7B814BC4-889E-49F7-BFA4-9F6FB821BB89}"/>
    <cellStyle name="Output 11 3 2 2 2" xfId="28363" xr:uid="{B737EF8D-04FD-440E-9F73-B3E7E03C5C21}"/>
    <cellStyle name="Output 11 3 2 2 3" xfId="41566" xr:uid="{9D23B328-AAA2-403F-9741-9D7014263A3E}"/>
    <cellStyle name="Output 11 3 2 3" xfId="24826" xr:uid="{A0DA6492-B962-4FD4-BE4F-84698D4DCA60}"/>
    <cellStyle name="Output 11 3 2 4" xfId="37907" xr:uid="{8FED450D-A607-467A-92A9-CC3C8640CBBF}"/>
    <cellStyle name="Output 11 3 3" xfId="14887" xr:uid="{77AD284A-3172-4FC4-B56E-26CAA64FC9D0}"/>
    <cellStyle name="Output 11 3 3 2" xfId="31137" xr:uid="{5F89B831-FD52-4F94-ADFE-1EFCD54E5A1D}"/>
    <cellStyle name="Output 11 3 3 3" xfId="44578" xr:uid="{E46424B7-ED72-4B88-9361-8548EA4A9104}"/>
    <cellStyle name="Output 11 3 4" xfId="22484" xr:uid="{FBD19617-27DF-4CFB-875A-5D997F9425E9}"/>
    <cellStyle name="Output 11 3 5" xfId="35537" xr:uid="{45A48477-0631-46B9-9BD0-0373B21AFB58}"/>
    <cellStyle name="Output 11 4" xfId="5640" xr:uid="{581F642D-50CA-4E97-A0A4-4C91CB2B383B}"/>
    <cellStyle name="Output 11 4 2" xfId="8822" xr:uid="{5116FF50-0690-4E3D-9B60-6A311DEA96F2}"/>
    <cellStyle name="Output 11 4 2 2" xfId="14733" xr:uid="{9CDEAE6E-C4F1-48A2-984A-4F51FFA084D9}"/>
    <cellStyle name="Output 11 4 2 2 2" xfId="31015" xr:uid="{394C6A2F-D300-4C76-92F2-224C182AF638}"/>
    <cellStyle name="Output 11 4 2 2 3" xfId="44440" xr:uid="{A0565416-A6D6-4786-8CF9-23F7964FEACC}"/>
    <cellStyle name="Output 11 4 2 3" xfId="26315" xr:uid="{8CF23D0E-7790-4B43-8B79-82783CC4A615}"/>
    <cellStyle name="Output 11 4 2 4" xfId="39391" xr:uid="{C341409E-147A-4648-A106-E314E3955924}"/>
    <cellStyle name="Output 11 4 3" xfId="17536" xr:uid="{132FE401-50A8-4A64-B049-B5F4AFAE72B1}"/>
    <cellStyle name="Output 11 4 3 2" xfId="33274" xr:uid="{21418561-E445-4259-BF83-378995797796}"/>
    <cellStyle name="Output 11 4 3 3" xfId="47061" xr:uid="{7D43EDDC-7432-4E81-8157-C6E920AF5DED}"/>
    <cellStyle name="Output 11 4 4" xfId="23287" xr:uid="{E172B4CB-4D14-4E15-8678-11866CDBD83D}"/>
    <cellStyle name="Output 11 4 5" xfId="36368" xr:uid="{85E14EA9-1364-4647-88AD-77443EF0825C}"/>
    <cellStyle name="Output 11 5" xfId="17252" xr:uid="{568644CB-3817-493C-ABC0-21A87F4C5E5F}"/>
    <cellStyle name="Output 11 5 2" xfId="33011" xr:uid="{E2B9C696-0A5A-4FEE-AA66-E75C56DA9666}"/>
    <cellStyle name="Output 11 5 3" xfId="46786" xr:uid="{0ACAAE9B-B9E0-4F07-A8BD-0AAA79F8B6C6}"/>
    <cellStyle name="Output 11 6" xfId="21549" xr:uid="{FCAEF895-095A-4174-BA3D-61B4DD451C6D}"/>
    <cellStyle name="Output 11 7" xfId="34603" xr:uid="{ED684935-78BC-4C6E-ADE4-2DBE61D1C3EF}"/>
    <cellStyle name="Output 12" xfId="3678" xr:uid="{00903489-D8DD-4EF3-97B6-F298C725ED81}"/>
    <cellStyle name="Output 12 2" xfId="2994" xr:uid="{AE570C24-141F-4399-810C-D6D6B10997ED}"/>
    <cellStyle name="Output 12 2 2" xfId="8290" xr:uid="{91DEF365-1C96-4054-AADD-A5E78BA863EB}"/>
    <cellStyle name="Output 12 2 2 2" xfId="10663" xr:uid="{6AA267B6-13DA-483A-AAAF-C416073A42CA}"/>
    <cellStyle name="Output 12 2 2 2 2" xfId="27513" xr:uid="{2EC01F97-A7AA-4230-8C15-37165699BF6F}"/>
    <cellStyle name="Output 12 2 2 2 3" xfId="40644" xr:uid="{0DAD54E2-D93E-498C-A723-43B87A943CAD}"/>
    <cellStyle name="Output 12 2 2 3" xfId="25796" xr:uid="{67CF82C0-5539-4B90-8423-D3D4877E18D1}"/>
    <cellStyle name="Output 12 2 2 4" xfId="38872" xr:uid="{8CAA1725-5014-49B3-8A22-A05805C0A362}"/>
    <cellStyle name="Output 12 2 3" xfId="6657" xr:uid="{85A10445-35D6-4D63-9C4C-C87F1CDE1527}"/>
    <cellStyle name="Output 12 2 3 2" xfId="14369" xr:uid="{E32322AF-C725-47EA-A620-2AB9A3A9A12B}"/>
    <cellStyle name="Output 12 2 3 2 2" xfId="30701" xr:uid="{5A923F69-6682-4EA1-979A-945EEDDC38D3}"/>
    <cellStyle name="Output 12 2 3 2 3" xfId="44099" xr:uid="{057502F0-48D9-4078-B7C8-1450FC462BEB}"/>
    <cellStyle name="Output 12 2 3 3" xfId="24287" xr:uid="{24C8FD39-2F58-4E8B-90A1-4968509408C2}"/>
    <cellStyle name="Output 12 2 3 4" xfId="37368" xr:uid="{744B9409-2020-43C7-B733-FA644CF60CDE}"/>
    <cellStyle name="Output 12 2 4" xfId="13279" xr:uid="{A826E5C1-0F0C-4EBE-9581-B80F4A53D1C1}"/>
    <cellStyle name="Output 12 2 4 2" xfId="29770" xr:uid="{02C15634-969C-4A5F-A713-0233B6C15B14}"/>
    <cellStyle name="Output 12 2 4 3" xfId="43096" xr:uid="{633404A7-4A2D-4567-812F-A839B0147D50}"/>
    <cellStyle name="Output 12 2 5" xfId="21039" xr:uid="{F2139C08-BC30-4FD9-B7FC-AA0846062589}"/>
    <cellStyle name="Output 12 2 6" xfId="34062" xr:uid="{8A51751F-EBFC-416B-ABC3-020602A7FCDF}"/>
    <cellStyle name="Output 12 3" xfId="4712" xr:uid="{5115ED10-A489-47D8-8E7A-DC705D1B3A69}"/>
    <cellStyle name="Output 12 3 2" xfId="7313" xr:uid="{F3C6C919-52F3-4579-BEF2-2A0D4B27BC02}"/>
    <cellStyle name="Output 12 3 2 2" xfId="16246" xr:uid="{DFB5CB84-E0EF-4133-B8CF-5BB16FD2EB5E}"/>
    <cellStyle name="Output 12 3 2 2 2" xfId="32281" xr:uid="{F5AD3EEB-6AF5-4B2D-AE75-697EDB7BBB47}"/>
    <cellStyle name="Output 12 3 2 2 3" xfId="45810" xr:uid="{62B45802-735B-4B71-A762-0D845E8C740D}"/>
    <cellStyle name="Output 12 3 2 3" xfId="24874" xr:uid="{C72F37FA-BBAE-4644-BAEF-012DE39C124A}"/>
    <cellStyle name="Output 12 3 2 4" xfId="37954" xr:uid="{EF21101F-64BA-4AFE-9A63-14B06865BD81}"/>
    <cellStyle name="Output 12 3 3" xfId="17570" xr:uid="{E4D53CE1-BF64-4D3E-B05A-0B331D69FC1D}"/>
    <cellStyle name="Output 12 3 3 2" xfId="33307" xr:uid="{3DBE36B6-7FA6-47C6-8A86-0DD66B63EFF1}"/>
    <cellStyle name="Output 12 3 3 3" xfId="47095" xr:uid="{E93C2965-FBEF-48EA-80BF-D5AAA6BC3DFC}"/>
    <cellStyle name="Output 12 3 4" xfId="22517" xr:uid="{08DD129F-DBC6-4D41-B934-986E2A7AB097}"/>
    <cellStyle name="Output 12 3 5" xfId="35570" xr:uid="{417F7D18-14A5-46DE-A32D-F48C7E1CE3BF}"/>
    <cellStyle name="Output 12 4" xfId="5687" xr:uid="{23559FE3-5DFE-4AD6-A5DF-59B529D28C5C}"/>
    <cellStyle name="Output 12 4 2" xfId="8874" xr:uid="{6FF5B6A6-2C2F-49D8-AC20-2AB8B2559A19}"/>
    <cellStyle name="Output 12 4 2 2" xfId="11451" xr:uid="{D27527F4-E8FD-47FE-90CF-D1E5F0AF936A}"/>
    <cellStyle name="Output 12 4 2 2 2" xfId="28216" xr:uid="{7E159B92-3CD4-427A-A218-23076AF3B4E4}"/>
    <cellStyle name="Output 12 4 2 2 3" xfId="41410" xr:uid="{9629CA3A-DA5F-499D-A4A4-D34CFD60F46D}"/>
    <cellStyle name="Output 12 4 2 3" xfId="26362" xr:uid="{08640F68-E292-4767-BD1E-46E59F45981B}"/>
    <cellStyle name="Output 12 4 2 4" xfId="39438" xr:uid="{D6216DBA-3245-4997-BA67-57DA57E78498}"/>
    <cellStyle name="Output 12 4 3" xfId="15013" xr:uid="{8C7841DF-D2DE-4C30-99F1-30425E7E50E8}"/>
    <cellStyle name="Output 12 4 3 2" xfId="31239" xr:uid="{6B774965-05B1-4181-9281-8125A15DD14D}"/>
    <cellStyle name="Output 12 4 3 3" xfId="44689" xr:uid="{F2873DF6-0093-45DA-842F-AE1C14CE7BFD}"/>
    <cellStyle name="Output 12 4 4" xfId="23334" xr:uid="{4C05469E-51AB-417F-B3D5-BCA6ACF7647A}"/>
    <cellStyle name="Output 12 4 5" xfId="36415" xr:uid="{E6C4B69D-0F05-4625-A547-4FE1350A055A}"/>
    <cellStyle name="Output 12 5" xfId="14596" xr:uid="{A977741C-DDBC-4900-A2D1-F99881B0A092}"/>
    <cellStyle name="Output 12 5 2" xfId="30896" xr:uid="{392B7229-B38A-4D8C-A9C7-414F5BF10005}"/>
    <cellStyle name="Output 12 5 3" xfId="44315" xr:uid="{03717996-737F-448C-B062-FE1A6A5D3E21}"/>
    <cellStyle name="Output 12 6" xfId="21596" xr:uid="{44DB3B64-28A8-4562-B9E1-16654A1932CE}"/>
    <cellStyle name="Output 12 7" xfId="34650" xr:uid="{AAF45EC8-83B2-44BE-9E84-752AB27D3F6B}"/>
    <cellStyle name="Output 13" xfId="3661" xr:uid="{0584787A-6515-4277-BD78-836212254B87}"/>
    <cellStyle name="Output 13 2" xfId="2980" xr:uid="{07A61808-A69F-4A61-83ED-E4AD008ADE76}"/>
    <cellStyle name="Output 13 2 2" xfId="8276" xr:uid="{40C8CFA6-6D58-4BF5-8D58-09F09BE36452}"/>
    <cellStyle name="Output 13 2 2 2" xfId="12590" xr:uid="{D34165B5-E345-416C-8880-BD55CB363437}"/>
    <cellStyle name="Output 13 2 2 2 2" xfId="29205" xr:uid="{A0A993F5-FCD5-4532-8C4F-D858C613BB20}"/>
    <cellStyle name="Output 13 2 2 2 3" xfId="42469" xr:uid="{9D8A19FA-4237-4951-A8C1-3F4B4747E918}"/>
    <cellStyle name="Output 13 2 2 3" xfId="25784" xr:uid="{E4C9E1F0-133B-4713-9314-A880232364A8}"/>
    <cellStyle name="Output 13 2 2 4" xfId="38860" xr:uid="{750673AA-E8AA-440A-ADD6-DBBD48654703}"/>
    <cellStyle name="Output 13 2 3" xfId="6643" xr:uid="{C2AB1AB6-815D-4576-B23A-A659A02FC5D3}"/>
    <cellStyle name="Output 13 2 3 2" xfId="16051" xr:uid="{666C0A6B-D25D-44A1-BFC9-9A83C9A4A386}"/>
    <cellStyle name="Output 13 2 3 2 2" xfId="32113" xr:uid="{AE2E1988-75BA-4B1B-B635-659EE4C1D1BA}"/>
    <cellStyle name="Output 13 2 3 2 3" xfId="45632" xr:uid="{8A184C5A-91E8-4E13-B93F-196AF6E2BADA}"/>
    <cellStyle name="Output 13 2 3 3" xfId="24275" xr:uid="{F308B564-E4CB-497D-9AA7-1BEDB1687239}"/>
    <cellStyle name="Output 13 2 3 4" xfId="37356" xr:uid="{5B9AA8F7-17E6-4907-9B4B-4E2A1C7141C8}"/>
    <cellStyle name="Output 13 2 4" xfId="14948" xr:uid="{5ABBAFDA-02E9-45E9-9EED-45F99A6F73AF}"/>
    <cellStyle name="Output 13 2 4 2" xfId="31187" xr:uid="{2E1341DB-E598-4674-A930-765CCF856503}"/>
    <cellStyle name="Output 13 2 4 3" xfId="44634" xr:uid="{C89F606D-4C5B-4EFE-B70D-C807FCA134FE}"/>
    <cellStyle name="Output 13 2 5" xfId="21027" xr:uid="{50D0C4D3-711F-4FED-923B-AD64D7716F3F}"/>
    <cellStyle name="Output 13 2 6" xfId="34050" xr:uid="{8A74079D-7D80-4D28-A13F-CE7A1B259164}"/>
    <cellStyle name="Output 13 3" xfId="4703" xr:uid="{9B7ACF23-EEAE-4DC1-BE1F-BA5A76C42B18}"/>
    <cellStyle name="Output 13 3 2" xfId="7296" xr:uid="{CE58738F-62EC-438A-B323-281F3BB64162}"/>
    <cellStyle name="Output 13 3 2 2" xfId="11912" xr:uid="{C407EB9B-75F3-447B-9B1F-86B9F581DD91}"/>
    <cellStyle name="Output 13 3 2 2 2" xfId="28627" xr:uid="{B5CB45E9-0ABE-4948-912C-385E9B6034CC}"/>
    <cellStyle name="Output 13 3 2 2 3" xfId="41843" xr:uid="{04BC1374-1E79-4DC0-A099-9602D3FDDC97}"/>
    <cellStyle name="Output 13 3 2 3" xfId="24863" xr:uid="{34FFDAD4-3B1E-4D9F-9E87-40F4779D9050}"/>
    <cellStyle name="Output 13 3 2 4" xfId="37943" xr:uid="{6D84A5D9-931B-45D1-9A92-3CA54BC5464E}"/>
    <cellStyle name="Output 13 3 3" xfId="16900" xr:uid="{587A861C-456C-4AFD-A125-0D08032E2A43}"/>
    <cellStyle name="Output 13 3 3 2" xfId="32775" xr:uid="{9FAEFECD-DE3E-4952-B7BC-FF89310CA0B3}"/>
    <cellStyle name="Output 13 3 3 3" xfId="46442" xr:uid="{1EC8B02F-5435-41D4-BA57-07D07374A91D}"/>
    <cellStyle name="Output 13 3 4" xfId="22510" xr:uid="{775AAEC8-95D5-47C8-9BF9-EA116707D5BA}"/>
    <cellStyle name="Output 13 3 5" xfId="35563" xr:uid="{73253558-4BF0-46BB-89BA-4E85D41EF4FA}"/>
    <cellStyle name="Output 13 4" xfId="5676" xr:uid="{90AC06F9-53F8-4A57-90C1-B2CE6AEDA534}"/>
    <cellStyle name="Output 13 4 2" xfId="8861" xr:uid="{42044ED1-B992-4A30-8F05-F9DD3F0C64FE}"/>
    <cellStyle name="Output 13 4 2 2" xfId="13995" xr:uid="{3DBCCEBB-C528-4ED4-B00E-8EDA0E2A80F0}"/>
    <cellStyle name="Output 13 4 2 2 2" xfId="30379" xr:uid="{661A8881-1287-4D7E-A61B-02974C18E5A2}"/>
    <cellStyle name="Output 13 4 2 2 3" xfId="43757" xr:uid="{BF1C8A80-A31A-4716-8D86-2D4BA77607F8}"/>
    <cellStyle name="Output 13 4 2 3" xfId="26351" xr:uid="{1771BC5E-2BA0-4580-9E1B-1E147A7FB9E6}"/>
    <cellStyle name="Output 13 4 2 4" xfId="39427" xr:uid="{34E67B06-B3D5-4E57-B41B-613347339D0B}"/>
    <cellStyle name="Output 13 4 3" xfId="17535" xr:uid="{A0C80205-F041-41A0-81E8-EE3E452BFE26}"/>
    <cellStyle name="Output 13 4 3 2" xfId="33273" xr:uid="{30CC9496-E208-4712-8C1A-E594BC3689E8}"/>
    <cellStyle name="Output 13 4 3 3" xfId="47060" xr:uid="{F12BFFED-580E-48B1-968B-755999267AB7}"/>
    <cellStyle name="Output 13 4 4" xfId="23323" xr:uid="{8E7F9907-74E0-4DCC-9AB8-A4CE4758BD66}"/>
    <cellStyle name="Output 13 4 5" xfId="36404" xr:uid="{3F37FD86-C48E-43D2-B45B-A777EFAED1E8}"/>
    <cellStyle name="Output 13 5" xfId="16730" xr:uid="{B911E395-4046-449D-976E-2F11DC5432BD}"/>
    <cellStyle name="Output 13 5 2" xfId="32613" xr:uid="{798DDC82-3EBA-4E33-B64B-B5A9D0A5F969}"/>
    <cellStyle name="Output 13 5 3" xfId="46273" xr:uid="{75F53CD4-6F9F-4C0C-A9CE-B28FF3B20A70}"/>
    <cellStyle name="Output 13 6" xfId="21585" xr:uid="{2DBEB2BF-2688-460B-A10C-9BCDFFDB65FF}"/>
    <cellStyle name="Output 13 7" xfId="34639" xr:uid="{98A05D7C-E763-4A8B-A3EE-E887F156BFE3}"/>
    <cellStyle name="Output 14" xfId="3820" xr:uid="{013882C4-A9A7-44E9-A873-D3519C1895D7}"/>
    <cellStyle name="Output 14 2" xfId="3081" xr:uid="{68FCDC30-8787-40BF-9EF4-709BF73543C3}"/>
    <cellStyle name="Output 14 2 2" xfId="8373" xr:uid="{1B0C63DB-A25A-4A1A-8E3E-6E9AD62CCA79}"/>
    <cellStyle name="Output 14 2 2 2" xfId="10836" xr:uid="{CBB3B16D-BF09-4977-8891-E157EB482B63}"/>
    <cellStyle name="Output 14 2 2 2 2" xfId="27666" xr:uid="{5789E3B6-15C0-4171-A1C9-211DBF1191ED}"/>
    <cellStyle name="Output 14 2 2 2 3" xfId="40817" xr:uid="{565A3D70-2AF8-422B-9BAD-D0B463825396}"/>
    <cellStyle name="Output 14 2 2 3" xfId="25877" xr:uid="{87C1344E-20DB-4803-8290-2F9B811D565B}"/>
    <cellStyle name="Output 14 2 2 4" xfId="38953" xr:uid="{58DB2995-2725-416B-A91A-BED7E31ED901}"/>
    <cellStyle name="Output 14 2 3" xfId="6740" xr:uid="{1BEA2EA6-F583-4877-A0C0-5B9DCE3CA5DE}"/>
    <cellStyle name="Output 14 2 3 2" xfId="13546" xr:uid="{0E80886A-7B3F-43BA-83FD-A095AD70344A}"/>
    <cellStyle name="Output 14 2 3 2 2" xfId="29992" xr:uid="{1AD8888A-08E1-4D0D-8DBC-A10E44686BE5}"/>
    <cellStyle name="Output 14 2 3 2 3" xfId="43341" xr:uid="{7FE6D23E-925E-4520-9EC7-C9BE9600E524}"/>
    <cellStyle name="Output 14 2 3 3" xfId="24368" xr:uid="{1E6D06C4-6130-4B98-A4AD-D04AF0E88E8B}"/>
    <cellStyle name="Output 14 2 3 4" xfId="37449" xr:uid="{DAF0D85E-1D3B-486D-A5B7-3C849BDAA4B4}"/>
    <cellStyle name="Output 14 2 4" xfId="16510" xr:uid="{936B2402-B9FE-4823-A83C-785CCC41A649}"/>
    <cellStyle name="Output 14 2 4 2" xfId="32470" xr:uid="{27EFA9E0-D2E7-4216-BED6-DEED47A18F73}"/>
    <cellStyle name="Output 14 2 4 3" xfId="46058" xr:uid="{D2CCFDCF-ADCA-4469-9ECE-411A919C3BC3}"/>
    <cellStyle name="Output 14 2 5" xfId="21120" xr:uid="{66D857DE-101F-4736-97E0-668660A39465}"/>
    <cellStyle name="Output 14 2 6" xfId="34143" xr:uid="{6EFA9A85-AE98-4EF1-9B83-7BECC4830926}"/>
    <cellStyle name="Output 14 3" xfId="4766" xr:uid="{B37AA3A6-EB2B-455F-BF5D-A634B477596D}"/>
    <cellStyle name="Output 14 3 2" xfId="7407" xr:uid="{11CDDBD9-71F6-4BAD-82BE-14AEFA694C80}"/>
    <cellStyle name="Output 14 3 2 2" xfId="12501" xr:uid="{061FE560-7986-4C6B-A49D-7F878D699484}"/>
    <cellStyle name="Output 14 3 2 2 2" xfId="29135" xr:uid="{CD90B84F-CA5A-4168-9B42-101E633BDE83}"/>
    <cellStyle name="Output 14 3 2 2 3" xfId="42389" xr:uid="{E68F8FD4-1B27-4488-AB40-9AE1E60D7AF8}"/>
    <cellStyle name="Output 14 3 2 3" xfId="24966" xr:uid="{2DF3FA55-ED48-4EFC-83C6-D26C5FC83C18}"/>
    <cellStyle name="Output 14 3 2 4" xfId="38042" xr:uid="{E2F874D3-BCBF-4D84-9902-E670A92E9DF2}"/>
    <cellStyle name="Output 14 3 3" xfId="14088" xr:uid="{671EE705-7925-4387-8783-A4A3EC3DB53F}"/>
    <cellStyle name="Output 14 3 3 2" xfId="30455" xr:uid="{7164BC6E-7636-460D-83AA-01E320368666}"/>
    <cellStyle name="Output 14 3 3 3" xfId="43838" xr:uid="{29A3D577-57FD-44F5-BACE-55505E5C9316}"/>
    <cellStyle name="Output 14 3 4" xfId="22569" xr:uid="{A12FA669-F4AC-4D63-8EB7-78CA40984EE0}"/>
    <cellStyle name="Output 14 3 5" xfId="35622" xr:uid="{DB938F3C-56BA-454A-8E4C-494EA683B98B}"/>
    <cellStyle name="Output 14 4" xfId="5792" xr:uid="{A3449BB8-BA9B-4F3E-9C72-5A3CE674D1CB}"/>
    <cellStyle name="Output 14 4 2" xfId="8952" xr:uid="{C08D5F22-E071-4B85-AA9F-A22FE9CA8230}"/>
    <cellStyle name="Output 14 4 2 2" xfId="14422" xr:uid="{241EEF1C-521F-4BD5-BD60-1C132E17E3A6}"/>
    <cellStyle name="Output 14 4 2 2 2" xfId="30752" xr:uid="{C19F8080-E9EA-45B5-ABC4-9128D53AA326}"/>
    <cellStyle name="Output 14 4 2 2 3" xfId="44152" xr:uid="{4BB904EA-D136-4BD8-B11A-33176D083D60}"/>
    <cellStyle name="Output 14 4 2 3" xfId="26438" xr:uid="{2D39BE4F-4481-4FF4-935F-D0B4112BF989}"/>
    <cellStyle name="Output 14 4 2 4" xfId="39514" xr:uid="{77B933C7-F264-4425-9692-4075D847F161}"/>
    <cellStyle name="Output 14 4 3" xfId="15083" xr:uid="{2651ECBD-F8A3-42C0-9F90-0898E98DD633}"/>
    <cellStyle name="Output 14 4 3 2" xfId="31291" xr:uid="{A92064AA-5EB8-4FB3-B5AD-BB05CC513CF6}"/>
    <cellStyle name="Output 14 4 3 3" xfId="44750" xr:uid="{F599B0F3-3AA8-4937-8C91-D126CBBA092E}"/>
    <cellStyle name="Output 14 4 4" xfId="23439" xr:uid="{B570E1E8-23F8-492F-B21F-024BECEEB56A}"/>
    <cellStyle name="Output 14 4 5" xfId="36520" xr:uid="{BFC03530-2787-4543-8C23-A130B327A82B}"/>
    <cellStyle name="Output 14 5" xfId="16650" xr:uid="{0595CDAA-9C26-4982-83B9-AD3FDC5CE32E}"/>
    <cellStyle name="Output 14 5 2" xfId="32556" xr:uid="{496F466D-A078-4A44-AB3F-989416B49E29}"/>
    <cellStyle name="Output 14 5 3" xfId="46197" xr:uid="{26E4F2C2-0368-4824-9824-A936B38C500E}"/>
    <cellStyle name="Output 14 6" xfId="21701" xr:uid="{C1B81E05-418F-444C-B2AF-9F22BA52ABF4}"/>
    <cellStyle name="Output 14 7" xfId="34755" xr:uid="{4BEA16B1-1F03-4A1E-8361-D31B1B2D8914}"/>
    <cellStyle name="Output 15" xfId="3666" xr:uid="{7F9C2FD7-F3BD-4998-A9E6-BC62EF4A6CDB}"/>
    <cellStyle name="Output 15 2" xfId="2985" xr:uid="{25758155-8585-42A9-9EC4-589469877A23}"/>
    <cellStyle name="Output 15 2 2" xfId="8281" xr:uid="{5B0DA2FB-E9CB-4952-8E72-E77022F1DD54}"/>
    <cellStyle name="Output 15 2 2 2" xfId="14313" xr:uid="{56414C9D-E815-46F4-ABF0-83E34800A522}"/>
    <cellStyle name="Output 15 2 2 2 2" xfId="30650" xr:uid="{DCB0425C-5ADA-48A4-8873-E145AABCBF87}"/>
    <cellStyle name="Output 15 2 2 2 3" xfId="44044" xr:uid="{C1B024FB-EA9D-4253-A72C-35A129002C41}"/>
    <cellStyle name="Output 15 2 2 3" xfId="25788" xr:uid="{6D301311-9681-41FF-AE27-9DAE563BD0AE}"/>
    <cellStyle name="Output 15 2 2 4" xfId="38864" xr:uid="{C57F91AA-F501-4171-9F37-86055ECD5062}"/>
    <cellStyle name="Output 15 2 3" xfId="6648" xr:uid="{45F7FC8C-7476-45BA-8DFF-93E99089DDD3}"/>
    <cellStyle name="Output 15 2 3 2" xfId="12958" xr:uid="{9766AC87-63E0-4E18-BDAB-AC722FDF98A0}"/>
    <cellStyle name="Output 15 2 3 2 2" xfId="29496" xr:uid="{2A38A083-7683-4383-A393-E94143548FD8}"/>
    <cellStyle name="Output 15 2 3 2 3" xfId="42795" xr:uid="{1A00BC71-05AF-4E2D-A918-1AE07CE26AA4}"/>
    <cellStyle name="Output 15 2 3 3" xfId="24279" xr:uid="{B7BD052E-3954-41EC-B38B-0F3DE90B0E12}"/>
    <cellStyle name="Output 15 2 3 4" xfId="37360" xr:uid="{D2E08B21-28CC-4213-BCD5-9AB0F048189D}"/>
    <cellStyle name="Output 15 2 4" xfId="14436" xr:uid="{2ADCA90E-2E82-4592-A790-0DFFC25591AA}"/>
    <cellStyle name="Output 15 2 4 2" xfId="30766" xr:uid="{B4632785-936E-44C8-AE14-C535F6738C32}"/>
    <cellStyle name="Output 15 2 4 3" xfId="44166" xr:uid="{B19E9F51-6E8C-45F3-A646-F9BD463109D5}"/>
    <cellStyle name="Output 15 2 5" xfId="21031" xr:uid="{E3A7529B-7ECC-4814-8464-B016297170F4}"/>
    <cellStyle name="Output 15 2 6" xfId="34054" xr:uid="{9FD44D57-2799-43A3-B7A5-BFA55A22FBD6}"/>
    <cellStyle name="Output 15 3" xfId="4708" xr:uid="{4B59DB69-F70B-4560-BD6E-6F60B768D5EA}"/>
    <cellStyle name="Output 15 3 2" xfId="7301" xr:uid="{8897808F-AEEC-42C9-9B91-09C36AA5F1A4}"/>
    <cellStyle name="Output 15 3 2 2" xfId="13907" xr:uid="{532D7316-3CB4-420D-A90E-DC1AF7CBAD01}"/>
    <cellStyle name="Output 15 3 2 2 2" xfId="30299" xr:uid="{213005B9-E963-44ED-BB9E-DAC1BA0C4BC8}"/>
    <cellStyle name="Output 15 3 2 2 3" xfId="43672" xr:uid="{AB4D7DF6-0B57-4AD0-B7BE-BA50CADCB317}"/>
    <cellStyle name="Output 15 3 2 3" xfId="24867" xr:uid="{5067DA68-76F2-49A8-91CD-EBD002F661C9}"/>
    <cellStyle name="Output 15 3 2 4" xfId="37947" xr:uid="{DD866D6C-2159-45AD-8A10-AB7495BCEF56}"/>
    <cellStyle name="Output 15 3 3" xfId="10653" xr:uid="{FC92B266-06D9-4A79-96E3-FD12791CE790}"/>
    <cellStyle name="Output 15 3 3 2" xfId="27504" xr:uid="{BBB80D21-D913-46AA-AB9A-75B274882658}"/>
    <cellStyle name="Output 15 3 3 3" xfId="40634" xr:uid="{42E56259-E948-4B17-8E9F-FE66D97B0F85}"/>
    <cellStyle name="Output 15 3 4" xfId="22514" xr:uid="{8FA634AA-14B6-463E-A33F-13FF9FC95F1A}"/>
    <cellStyle name="Output 15 3 5" xfId="35567" xr:uid="{BA9E0566-85D1-49EA-8567-35D40D533D69}"/>
    <cellStyle name="Output 15 4" xfId="5680" xr:uid="{4331CEF4-23E0-4160-B9A9-FA6BCA7ECB6F}"/>
    <cellStyle name="Output 15 4 2" xfId="8866" xr:uid="{FF214CAB-D200-4727-A151-C419A88882AC}"/>
    <cellStyle name="Output 15 4 2 2" xfId="11763" xr:uid="{D75214DD-2683-4B29-B4B6-9CE131B4EB5D}"/>
    <cellStyle name="Output 15 4 2 2 2" xfId="28488" xr:uid="{C2A90AF3-6BEC-4A02-805D-E1AA3A287626}"/>
    <cellStyle name="Output 15 4 2 2 3" xfId="41699" xr:uid="{79F866F7-3D1F-4C0A-9988-2AB200AD70A7}"/>
    <cellStyle name="Output 15 4 2 3" xfId="26355" xr:uid="{5D0A2FAF-ADA4-476F-882B-D61E04114483}"/>
    <cellStyle name="Output 15 4 2 4" xfId="39431" xr:uid="{01A8777E-CE0E-49A4-8829-2FFD1F85F442}"/>
    <cellStyle name="Output 15 4 3" xfId="15960" xr:uid="{E83DA532-F19A-4028-AFB4-790489FAF17C}"/>
    <cellStyle name="Output 15 4 3 2" xfId="32036" xr:uid="{6C347C15-347B-4382-94CE-92AE643CA658}"/>
    <cellStyle name="Output 15 4 3 3" xfId="45554" xr:uid="{7B498EF3-E67D-473B-A1D7-94C05E37D05D}"/>
    <cellStyle name="Output 15 4 4" xfId="23327" xr:uid="{CE67E464-3646-460F-9143-8F915CB410BA}"/>
    <cellStyle name="Output 15 4 5" xfId="36408" xr:uid="{69526E4D-C0B6-4412-ACA4-39B4A9D42E11}"/>
    <cellStyle name="Output 15 5" xfId="14299" xr:uid="{DC598D9D-0831-4531-B718-0118D3265BFC}"/>
    <cellStyle name="Output 15 5 2" xfId="30637" xr:uid="{70A5E6C3-1D73-43F4-87F6-243F74B36231}"/>
    <cellStyle name="Output 15 5 3" xfId="44031" xr:uid="{9054EE96-0CA2-455E-91F4-3C1950BB3040}"/>
    <cellStyle name="Output 15 6" xfId="21589" xr:uid="{C81B6325-0CEB-4A68-8261-2636236AE974}"/>
    <cellStyle name="Output 15 7" xfId="34643" xr:uid="{1A43575E-AB50-44BF-BCFA-7DE68B0FCD00}"/>
    <cellStyle name="Output 16" xfId="3903" xr:uid="{B7A98776-B3E9-4CF0-9F5C-D19532825A98}"/>
    <cellStyle name="Output 16 2" xfId="3172" xr:uid="{FC474A6C-C091-4B24-8282-062CDA3FC696}"/>
    <cellStyle name="Output 16 2 2" xfId="8464" xr:uid="{52B012D2-3616-417F-9BBD-2A592055DC02}"/>
    <cellStyle name="Output 16 2 2 2" xfId="10747" xr:uid="{91F53723-5099-4B92-8AA7-EFEA36B2E21C}"/>
    <cellStyle name="Output 16 2 2 2 2" xfId="27587" xr:uid="{7B6C7833-9CB0-457A-9AED-DC451DA79E49}"/>
    <cellStyle name="Output 16 2 2 2 3" xfId="40728" xr:uid="{26188442-B88F-4B1C-9FFA-7C5462938E6B}"/>
    <cellStyle name="Output 16 2 2 3" xfId="25965" xr:uid="{D03D207D-4559-411B-8FC3-55DB083370E9}"/>
    <cellStyle name="Output 16 2 2 4" xfId="39041" xr:uid="{62B20C2E-B45E-4D93-83C2-59F23156CDDA}"/>
    <cellStyle name="Output 16 2 3" xfId="6831" xr:uid="{4591D51C-3071-4257-A653-056A873DF1E3}"/>
    <cellStyle name="Output 16 2 3 2" xfId="12375" xr:uid="{569F538A-AF31-4B83-B50D-4CEC1898CB9F}"/>
    <cellStyle name="Output 16 2 3 2 2" xfId="29041" xr:uid="{02676184-7510-4892-B95D-AFF45A202B67}"/>
    <cellStyle name="Output 16 2 3 2 3" xfId="42281" xr:uid="{4C243DFB-1677-4AA2-9416-0460ADD05C49}"/>
    <cellStyle name="Output 16 2 3 3" xfId="24456" xr:uid="{0A7FC813-A1FF-47EF-B06A-99C8DAFE52D3}"/>
    <cellStyle name="Output 16 2 3 4" xfId="37537" xr:uid="{974DDB9C-C354-43CD-8725-D054574A18B3}"/>
    <cellStyle name="Output 16 2 4" xfId="17557" xr:uid="{91546AAA-1F47-4ACB-B91D-C209342135C9}"/>
    <cellStyle name="Output 16 2 4 2" xfId="33294" xr:uid="{F8231FE6-6D84-4551-B926-A4220CDBC377}"/>
    <cellStyle name="Output 16 2 4 3" xfId="47082" xr:uid="{2A13FC87-7E7A-4D83-A4D7-3201B5DE4A9E}"/>
    <cellStyle name="Output 16 2 5" xfId="21208" xr:uid="{FA4C7E18-1939-4274-9BFE-520DC9E03DDC}"/>
    <cellStyle name="Output 16 2 6" xfId="34231" xr:uid="{951E11EB-FD99-424D-80FE-F55CEB57DBA5}"/>
    <cellStyle name="Output 16 3" xfId="4840" xr:uid="{C182829B-1BC8-482D-BD8B-1FF8DDC8243E}"/>
    <cellStyle name="Output 16 3 2" xfId="7484" xr:uid="{DCE8A9B4-AED3-4D43-80B1-4C7C9468D8CE}"/>
    <cellStyle name="Output 16 3 2 2" xfId="12065" xr:uid="{DA97A181-EB23-4D2D-BD14-05054F165981}"/>
    <cellStyle name="Output 16 3 2 2 2" xfId="28765" xr:uid="{7B1B2DF8-1E66-46CE-AF93-FBB2A4FA13D2}"/>
    <cellStyle name="Output 16 3 2 2 3" xfId="41985" xr:uid="{662A77B3-D93E-4240-A8C1-F510783B5F8B}"/>
    <cellStyle name="Output 16 3 2 3" xfId="25040" xr:uid="{F95A080B-C57B-450C-81A0-4659384C626D}"/>
    <cellStyle name="Output 16 3 2 4" xfId="38116" xr:uid="{9282A8D6-25E4-4B91-A412-4592DCF14E4A}"/>
    <cellStyle name="Output 16 3 3" xfId="16728" xr:uid="{DF85B31D-05CF-4410-AF4C-D9BA3703416A}"/>
    <cellStyle name="Output 16 3 3 2" xfId="32611" xr:uid="{BA75742F-65A5-43FF-8B1E-5AE598447B33}"/>
    <cellStyle name="Output 16 3 3 3" xfId="46271" xr:uid="{11571269-EA88-4448-BC64-5E15AC5DCAA5}"/>
    <cellStyle name="Output 16 3 4" xfId="22641" xr:uid="{79001F0A-970E-4A11-9876-74931242DD41}"/>
    <cellStyle name="Output 16 3 5" xfId="35694" xr:uid="{9BDEB2F9-5522-4696-93A5-B659A77EBA8B}"/>
    <cellStyle name="Output 16 4" xfId="5866" xr:uid="{0CB287CC-F7C8-4089-8B43-591E487F06CD}"/>
    <cellStyle name="Output 16 4 2" xfId="9025" xr:uid="{4F1719CA-4C5C-4374-ACB6-BDF93DB326A5}"/>
    <cellStyle name="Output 16 4 2 2" xfId="15178" xr:uid="{656A3252-1B61-40F8-93E8-F96C6FB47D2E}"/>
    <cellStyle name="Output 16 4 2 2 2" xfId="31365" xr:uid="{6BDCA73A-811D-486A-945D-8DB61395B803}"/>
    <cellStyle name="Output 16 4 2 2 3" xfId="44834" xr:uid="{D280BAF8-BAE7-487E-B6E5-40EF4F1D53D0}"/>
    <cellStyle name="Output 16 4 2 3" xfId="26509" xr:uid="{F774C3EC-8073-45FF-BD42-7CA3D6633EF4}"/>
    <cellStyle name="Output 16 4 2 4" xfId="39585" xr:uid="{818804E9-94D2-47F0-82D6-AD02EFADD134}"/>
    <cellStyle name="Output 16 4 3" xfId="15571" xr:uid="{485CD29D-70EF-487E-B01A-F79C84B08F5A}"/>
    <cellStyle name="Output 16 4 3 2" xfId="31700" xr:uid="{F34D5CDC-492A-4DF5-BF88-D6A15955411A}"/>
    <cellStyle name="Output 16 4 3 3" xfId="45202" xr:uid="{9F52E58A-BA0A-4B8A-BCE7-0CD3DD1BBB59}"/>
    <cellStyle name="Output 16 4 4" xfId="23513" xr:uid="{7C52E616-6BCC-4521-A883-9EA5D43DFBC0}"/>
    <cellStyle name="Output 16 4 5" xfId="36594" xr:uid="{960ED457-99F5-467C-BE30-38B12D611B3A}"/>
    <cellStyle name="Output 16 5" xfId="12948" xr:uid="{7B6FBC9B-3CDC-4528-A5DD-2EB217880CDE}"/>
    <cellStyle name="Output 16 5 2" xfId="29486" xr:uid="{DC1B0380-9FCE-4476-A7C7-F228B4E5900C}"/>
    <cellStyle name="Output 16 5 3" xfId="42785" xr:uid="{4A68239E-7FDC-4A8C-BF21-8F6EA817CAA4}"/>
    <cellStyle name="Output 16 6" xfId="21778" xr:uid="{131F9F13-3D1B-4167-9D47-AE827A7BEA02}"/>
    <cellStyle name="Output 16 7" xfId="34829" xr:uid="{DE1C7B82-8F9A-41D0-86F6-DFF42C80ACD6}"/>
    <cellStyle name="Output 17" xfId="3957" xr:uid="{6760B23E-BEA4-414B-BFCE-EDD072B56DFD}"/>
    <cellStyle name="Output 17 2" xfId="3205" xr:uid="{0C01810A-6DE3-4531-AF3F-DB02E125965C}"/>
    <cellStyle name="Output 17 2 2" xfId="8496" xr:uid="{A275F7F7-A3D1-48B4-9291-90632DFF0DDA}"/>
    <cellStyle name="Output 17 2 2 2" xfId="10928" xr:uid="{5B48EFF3-A156-4B51-A968-DE5EF40719B5}"/>
    <cellStyle name="Output 17 2 2 2 2" xfId="27746" xr:uid="{30089355-EAC6-4657-8220-8164502B0B8B}"/>
    <cellStyle name="Output 17 2 2 2 3" xfId="40908" xr:uid="{F7D255FA-0336-42D3-95AA-6A5F9341B520}"/>
    <cellStyle name="Output 17 2 2 3" xfId="25996" xr:uid="{B4E82110-4649-4E0E-8B69-84178BF30C3F}"/>
    <cellStyle name="Output 17 2 2 4" xfId="39072" xr:uid="{7E88E7C3-A6FC-4B33-BE40-77DF5EE7E08D}"/>
    <cellStyle name="Output 17 2 3" xfId="6864" xr:uid="{603B886F-9DF5-4F76-B08E-F56B78117540}"/>
    <cellStyle name="Output 17 2 3 2" xfId="13912" xr:uid="{FD0A1574-36D6-4690-90A8-4CDA7817F3B8}"/>
    <cellStyle name="Output 17 2 3 2 2" xfId="30303" xr:uid="{9F89A9E7-95A0-445E-B640-9EF99C95C0B4}"/>
    <cellStyle name="Output 17 2 3 2 3" xfId="43677" xr:uid="{70026029-71F3-426F-87EF-F1F4825EDF26}"/>
    <cellStyle name="Output 17 2 3 3" xfId="24488" xr:uid="{1C113A04-1993-4163-B2C3-D88FAC7D65FB}"/>
    <cellStyle name="Output 17 2 3 4" xfId="37569" xr:uid="{F9DE2075-7CB2-4FC9-9C5D-2F0330D4EED8}"/>
    <cellStyle name="Output 17 2 4" xfId="15081" xr:uid="{A619D34E-B777-44EC-9AA8-54EA6FFEC066}"/>
    <cellStyle name="Output 17 2 4 2" xfId="31289" xr:uid="{FCA03917-2741-4ADD-9529-32D033F2459B}"/>
    <cellStyle name="Output 17 2 4 3" xfId="44748" xr:uid="{80EF461B-731D-4F6A-A992-01CECB3F0EF6}"/>
    <cellStyle name="Output 17 2 5" xfId="21240" xr:uid="{8A412A28-C95D-46E8-BF4E-EE64D755C40D}"/>
    <cellStyle name="Output 17 2 6" xfId="34263" xr:uid="{58A52ACC-A4F3-4E06-8CC3-3A8D209247E0}"/>
    <cellStyle name="Output 17 3" xfId="4869" xr:uid="{32F04374-B016-41D6-B073-8540945C120A}"/>
    <cellStyle name="Output 17 3 2" xfId="7537" xr:uid="{1DC61F8F-D3E9-4996-859E-926BAB2BA319}"/>
    <cellStyle name="Output 17 3 2 2" xfId="14609" xr:uid="{258D49A0-D5F9-412B-954F-A096937D531F}"/>
    <cellStyle name="Output 17 3 2 2 2" xfId="30909" xr:uid="{4F2582B2-9A3F-4B91-B868-1D2A1E090D2C}"/>
    <cellStyle name="Output 17 3 2 2 3" xfId="44328" xr:uid="{89E52248-449B-46E6-A9FD-AB01DB8377F9}"/>
    <cellStyle name="Output 17 3 2 3" xfId="25067" xr:uid="{78ABC0BF-9AAE-4424-9C67-168B08D7F725}"/>
    <cellStyle name="Output 17 3 2 4" xfId="38143" xr:uid="{CD6AB178-7B93-40C9-AEBF-D951D97C4B10}"/>
    <cellStyle name="Output 17 3 3" xfId="15140" xr:uid="{E8ED4D8D-5304-4CF3-8520-8881988EAA68}"/>
    <cellStyle name="Output 17 3 3 2" xfId="31340" xr:uid="{4B5D2FF7-AD3A-4A5C-B9B9-C79E0A2CECA3}"/>
    <cellStyle name="Output 17 3 3 3" xfId="44804" xr:uid="{5D17F661-B9F1-4D21-A922-DA7136F149B8}"/>
    <cellStyle name="Output 17 3 4" xfId="22668" xr:uid="{FA529C76-7C72-4C6D-8251-29C3B9BCF8D6}"/>
    <cellStyle name="Output 17 3 5" xfId="35721" xr:uid="{897FCA61-6E20-4CE9-B0D3-95F963779AC3}"/>
    <cellStyle name="Output 17 4" xfId="5893" xr:uid="{D5767DCA-6CAC-4E4F-A8B7-731621C94EC3}"/>
    <cellStyle name="Output 17 4 2" xfId="9054" xr:uid="{E0C7A9EA-4B26-47F7-89D7-F531A1EECD3D}"/>
    <cellStyle name="Output 17 4 2 2" xfId="11095" xr:uid="{7672953B-DE45-45B0-BC49-996EAC6AAA50}"/>
    <cellStyle name="Output 17 4 2 2 2" xfId="27896" xr:uid="{0BED1136-B1C0-49BA-AE07-2BA56B038732}"/>
    <cellStyle name="Output 17 4 2 2 3" xfId="41074" xr:uid="{2D1DA804-411E-453B-9570-DBC124835DE2}"/>
    <cellStyle name="Output 17 4 2 3" xfId="26536" xr:uid="{D9763BC8-74F1-4071-94E1-5DA836844608}"/>
    <cellStyle name="Output 17 4 2 4" xfId="39612" xr:uid="{E924E61B-BE3C-4F85-8980-AE2AB539A367}"/>
    <cellStyle name="Output 17 4 3" xfId="12724" xr:uid="{D795CF02-8287-4E68-A626-D32C6B1222D2}"/>
    <cellStyle name="Output 17 4 3 2" xfId="29307" xr:uid="{09384E33-597A-4952-8291-06AE48E4A7A0}"/>
    <cellStyle name="Output 17 4 3 3" xfId="42584" xr:uid="{8AE48A85-C5BA-4010-BE93-37E53BC9501C}"/>
    <cellStyle name="Output 17 4 4" xfId="23540" xr:uid="{14DBC5AD-BAD9-4D8C-B1B0-A02877716EFA}"/>
    <cellStyle name="Output 17 4 5" xfId="36621" xr:uid="{7CD2A23E-5F0D-4718-8F74-9A5B2844D46C}"/>
    <cellStyle name="Output 17 5" xfId="13177" xr:uid="{C7AEE116-F44B-457F-8F14-449C545B20BF}"/>
    <cellStyle name="Output 17 5 2" xfId="29685" xr:uid="{97736032-DFF9-4E53-9117-7DCD4DEB94EB}"/>
    <cellStyle name="Output 17 5 3" xfId="43000" xr:uid="{C234719B-AAA5-4E81-83DA-2251F3B2A638}"/>
    <cellStyle name="Output 17 6" xfId="21806" xr:uid="{38192FF3-701C-4B4B-BCDA-8F21774F80FA}"/>
    <cellStyle name="Output 17 7" xfId="34856" xr:uid="{9E66D444-F444-471E-B5C7-0E403DBA475E}"/>
    <cellStyle name="Output 18" xfId="3899" xr:uid="{25F3782C-B52C-4898-933A-F1A0A8FE6114}"/>
    <cellStyle name="Output 18 2" xfId="3168" xr:uid="{A347CF4F-C8C1-4409-BD9E-9071F9AD8956}"/>
    <cellStyle name="Output 18 2 2" xfId="8460" xr:uid="{CBC6577F-F53F-4C69-88FC-95A601663A99}"/>
    <cellStyle name="Output 18 2 2 2" xfId="10843" xr:uid="{0D768707-5583-4E64-A870-370E3940D266}"/>
    <cellStyle name="Output 18 2 2 2 2" xfId="27673" xr:uid="{9BE7966A-5874-4485-A230-0C3532661E2E}"/>
    <cellStyle name="Output 18 2 2 2 3" xfId="40824" xr:uid="{4BD07C6C-9C6E-4E92-93F8-FFC7D8B583CB}"/>
    <cellStyle name="Output 18 2 2 3" xfId="25962" xr:uid="{45E04D4E-2B43-4DD3-939D-B821F0C502CC}"/>
    <cellStyle name="Output 18 2 2 4" xfId="39038" xr:uid="{0A48AC5D-66F6-431F-8AEA-D77C8A226B25}"/>
    <cellStyle name="Output 18 2 3" xfId="6827" xr:uid="{809CF71C-BE1A-4325-803D-229DA5591DFB}"/>
    <cellStyle name="Output 18 2 3 2" xfId="12858" xr:uid="{0B498687-2546-4AA9-BF36-76A08990C08D}"/>
    <cellStyle name="Output 18 2 3 2 2" xfId="29424" xr:uid="{ED232998-082F-47E7-BEB3-264B8275E901}"/>
    <cellStyle name="Output 18 2 3 2 3" xfId="42710" xr:uid="{7FDB3CB1-DF96-46A0-95F9-3FFAD371C164}"/>
    <cellStyle name="Output 18 2 3 3" xfId="24453" xr:uid="{63564214-9471-4F29-A714-0E93A68F50E3}"/>
    <cellStyle name="Output 18 2 3 4" xfId="37534" xr:uid="{5C12CE1F-97F6-4201-9519-E89F5245E217}"/>
    <cellStyle name="Output 18 2 4" xfId="15922" xr:uid="{5F52A688-FCC4-47BB-846A-3BD6C81D60CD}"/>
    <cellStyle name="Output 18 2 4 2" xfId="32003" xr:uid="{F39FF24A-07D4-4500-B4FC-19205F8A57D7}"/>
    <cellStyle name="Output 18 2 4 3" xfId="45519" xr:uid="{09E87311-BD8C-4A4E-AD25-3E850AF45869}"/>
    <cellStyle name="Output 18 2 5" xfId="21205" xr:uid="{3E089907-F157-4A1C-8875-D2A11DDA7E92}"/>
    <cellStyle name="Output 18 2 6" xfId="34228" xr:uid="{183AD478-0758-4589-A7CF-370FDE25AD2A}"/>
    <cellStyle name="Output 18 3" xfId="4836" xr:uid="{E5D4DA8A-02C6-476C-9939-579C02ED0373}"/>
    <cellStyle name="Output 18 3 2" xfId="7480" xr:uid="{E85E4484-A05C-453E-AE43-8603D825C299}"/>
    <cellStyle name="Output 18 3 2 2" xfId="15549" xr:uid="{87F8F53A-5487-4BE3-85CE-D989EFED0E51}"/>
    <cellStyle name="Output 18 3 2 2 2" xfId="31682" xr:uid="{943F678D-C9F7-4B87-AFBC-C4023FBC33A0}"/>
    <cellStyle name="Output 18 3 2 2 3" xfId="45181" xr:uid="{402A9797-9709-4745-AD2F-09DBBBADBEC2}"/>
    <cellStyle name="Output 18 3 2 3" xfId="25037" xr:uid="{5532E706-D90F-4368-8CC7-9785B08B06CC}"/>
    <cellStyle name="Output 18 3 2 4" xfId="38113" xr:uid="{F8A6CDC7-BDF7-43CE-87B1-E477661A2240}"/>
    <cellStyle name="Output 18 3 3" xfId="12710" xr:uid="{B91DB40C-3202-4B1C-A859-BFA67636C569}"/>
    <cellStyle name="Output 18 3 3 2" xfId="29294" xr:uid="{D380A9F4-648F-4D01-9F9D-3E0D7D3A1AFB}"/>
    <cellStyle name="Output 18 3 3 3" xfId="42571" xr:uid="{D1E721D8-9753-407A-BBD9-1FE7F9196E0E}"/>
    <cellStyle name="Output 18 3 4" xfId="22638" xr:uid="{8B70653D-ADB6-4312-955C-5261718D2128}"/>
    <cellStyle name="Output 18 3 5" xfId="35691" xr:uid="{C86FB766-A446-4355-BA61-536A6223DF48}"/>
    <cellStyle name="Output 18 4" xfId="5863" xr:uid="{D44FC1E7-4CAA-4F55-BDFB-B52FE2BC43F8}"/>
    <cellStyle name="Output 18 4 2" xfId="9021" xr:uid="{4F0FB486-BAAA-43A9-95F2-A0A77004C6D0}"/>
    <cellStyle name="Output 18 4 2 2" xfId="11582" xr:uid="{2ED4D791-C3F3-4BB4-B3B9-349605C80399}"/>
    <cellStyle name="Output 18 4 2 2 2" xfId="28333" xr:uid="{A1B4FB03-916E-46F7-9426-BB89B5F69169}"/>
    <cellStyle name="Output 18 4 2 2 3" xfId="41534" xr:uid="{4EC35081-62FB-492A-9242-E61CB9EFD94D}"/>
    <cellStyle name="Output 18 4 2 3" xfId="26506" xr:uid="{DE6E02A8-19C9-44D7-8DA2-A932E7228604}"/>
    <cellStyle name="Output 18 4 2 4" xfId="39582" xr:uid="{5DB9E840-596B-4D24-B427-3F9654176DE5}"/>
    <cellStyle name="Output 18 4 3" xfId="13947" xr:uid="{B840E2BD-0877-4416-878F-39BDB92FE448}"/>
    <cellStyle name="Output 18 4 3 2" xfId="30335" xr:uid="{B9474C64-A460-467D-89C6-17A693578549}"/>
    <cellStyle name="Output 18 4 3 3" xfId="43712" xr:uid="{73612545-6A67-4731-8A23-2D9122DDF9AF}"/>
    <cellStyle name="Output 18 4 4" xfId="23510" xr:uid="{D45B38DB-5F62-4A12-BFFA-0FDF6A0305DA}"/>
    <cellStyle name="Output 18 4 5" xfId="36591" xr:uid="{9B9EB30B-3E73-431C-AFD8-3520CFA5CE35}"/>
    <cellStyle name="Output 18 5" xfId="10870" xr:uid="{2B32F459-43FF-44F9-9984-D82211C6ACB5}"/>
    <cellStyle name="Output 18 5 2" xfId="27696" xr:uid="{EFF817CB-8EF9-4FEB-811E-786D6BBF5802}"/>
    <cellStyle name="Output 18 5 3" xfId="40850" xr:uid="{6C192FD9-EC92-49CB-8980-F32C2022A8B0}"/>
    <cellStyle name="Output 18 6" xfId="21775" xr:uid="{D5C3FD3F-E1FB-4C5D-981C-371E9654AD13}"/>
    <cellStyle name="Output 18 7" xfId="34826" xr:uid="{C8473FEF-5A63-49B2-994E-C72F0F814FF3}"/>
    <cellStyle name="Output 19" xfId="3962" xr:uid="{B6A29559-5649-4CEB-A381-A81D5201C060}"/>
    <cellStyle name="Output 19 2" xfId="3209" xr:uid="{45D312B9-B305-43B9-847A-832A9A1A9D57}"/>
    <cellStyle name="Output 19 2 2" xfId="8500" xr:uid="{59BA42F8-050C-4A45-897D-C5AF26F12905}"/>
    <cellStyle name="Output 19 2 2 2" xfId="10775" xr:uid="{0B169F48-4F2C-490C-9B4E-3C8FBB1251D4}"/>
    <cellStyle name="Output 19 2 2 2 2" xfId="27610" xr:uid="{2B98752E-E1E1-4006-841E-FCF01E43D98D}"/>
    <cellStyle name="Output 19 2 2 2 3" xfId="40756" xr:uid="{E562E812-8F6D-411F-9D5A-9028110CDDCB}"/>
    <cellStyle name="Output 19 2 2 3" xfId="25999" xr:uid="{9C68DD28-EE83-41E2-80EA-26FFECDD986A}"/>
    <cellStyle name="Output 19 2 2 4" xfId="39075" xr:uid="{7E2B5529-762C-42E0-97E9-C0513B997133}"/>
    <cellStyle name="Output 19 2 3" xfId="6868" xr:uid="{28557776-B9FB-4898-A735-0B277F239B53}"/>
    <cellStyle name="Output 19 2 3 2" xfId="11331" xr:uid="{E214CEC0-8EE7-4E8E-A904-F60C4B15F54D}"/>
    <cellStyle name="Output 19 2 3 2 2" xfId="28110" xr:uid="{014E513C-A252-43FC-A0BC-38104E244C67}"/>
    <cellStyle name="Output 19 2 3 2 3" xfId="41298" xr:uid="{2705CF99-130F-4930-9D2D-D41D37539E5F}"/>
    <cellStyle name="Output 19 2 3 3" xfId="24491" xr:uid="{67183470-29C5-4F5D-842C-4C0E10592958}"/>
    <cellStyle name="Output 19 2 3 4" xfId="37572" xr:uid="{CB3F8B0E-0FDA-48C0-BEBA-AF5F5B45DF07}"/>
    <cellStyle name="Output 19 2 4" xfId="15624" xr:uid="{2217ACC0-237B-434C-BAFB-D555704A1C92}"/>
    <cellStyle name="Output 19 2 4 2" xfId="31744" xr:uid="{344461E1-BC5B-447B-8047-7572AE13BEEA}"/>
    <cellStyle name="Output 19 2 4 3" xfId="45248" xr:uid="{301C9011-84B4-4945-9F13-EB471CF88822}"/>
    <cellStyle name="Output 19 2 5" xfId="21243" xr:uid="{ADEB2CC4-3656-41D0-AB8F-B3A9DCA997AF}"/>
    <cellStyle name="Output 19 2 6" xfId="34266" xr:uid="{0D29ED16-A8C3-4252-9FA3-21D7F84CDB1C}"/>
    <cellStyle name="Output 19 3" xfId="4874" xr:uid="{90CE7444-228F-47EA-8D0C-38DDC6B7A92E}"/>
    <cellStyle name="Output 19 3 2" xfId="7542" xr:uid="{7D6C4138-CCD6-4D84-8740-713C256C7DE0}"/>
    <cellStyle name="Output 19 3 2 2" xfId="12550" xr:uid="{89AD78AB-7D88-4613-AF05-716950698D78}"/>
    <cellStyle name="Output 19 3 2 2 2" xfId="29172" xr:uid="{8E700DD3-A8C0-483B-8F2B-FAFE846D4281}"/>
    <cellStyle name="Output 19 3 2 2 3" xfId="42431" xr:uid="{AC88EF8F-0EDF-4B5E-939C-A25AEC7F656D}"/>
    <cellStyle name="Output 19 3 2 3" xfId="25070" xr:uid="{601D5DAA-8182-4DA4-81F6-FADE4F9F992B}"/>
    <cellStyle name="Output 19 3 2 4" xfId="38146" xr:uid="{430CEDE9-1C1F-4D50-8805-A144BC56F126}"/>
    <cellStyle name="Output 19 3 3" xfId="10654" xr:uid="{92957D5F-7E57-4BCC-BB21-E3C0037786CF}"/>
    <cellStyle name="Output 19 3 3 2" xfId="27505" xr:uid="{8444AAE2-D785-4A7A-89E2-28E6C9044126}"/>
    <cellStyle name="Output 19 3 3 3" xfId="40635" xr:uid="{6FB636F5-8CDA-48C1-BD55-19C69C815336}"/>
    <cellStyle name="Output 19 3 4" xfId="22671" xr:uid="{16ECC061-F5ED-4F63-9694-CAA13F683962}"/>
    <cellStyle name="Output 19 3 5" xfId="35724" xr:uid="{57B0285F-8FEA-4B10-901E-5F229CE5031E}"/>
    <cellStyle name="Output 19 4" xfId="5896" xr:uid="{4F2C93EB-4E12-4A9D-8617-0D80F15E0099}"/>
    <cellStyle name="Output 19 4 2" xfId="9058" xr:uid="{39A6426C-2F42-453E-A93F-FB75A6C6F437}"/>
    <cellStyle name="Output 19 4 2 2" xfId="13042" xr:uid="{449FDC04-E9A7-4ED7-ADD8-9BA44C6016B9}"/>
    <cellStyle name="Output 19 4 2 2 2" xfId="29569" xr:uid="{30BEE488-D29C-45FE-8A72-5B80A8BC0FEE}"/>
    <cellStyle name="Output 19 4 2 2 3" xfId="42872" xr:uid="{849D5039-C4D2-453E-8DC6-7EA5E7CB2752}"/>
    <cellStyle name="Output 19 4 2 3" xfId="26539" xr:uid="{ED797D45-2F8F-4CBC-A301-6339B5D337D1}"/>
    <cellStyle name="Output 19 4 2 4" xfId="39615" xr:uid="{FD282630-92C3-4638-9EBE-7CD648422EDF}"/>
    <cellStyle name="Output 19 4 3" xfId="14288" xr:uid="{1D36E91D-4963-48B2-B982-BDC1604F7269}"/>
    <cellStyle name="Output 19 4 3 2" xfId="30627" xr:uid="{2430C508-B822-49AD-8B0D-98FB96E17F5D}"/>
    <cellStyle name="Output 19 4 3 3" xfId="44021" xr:uid="{FC8B694D-4292-4074-BE06-445EAA779372}"/>
    <cellStyle name="Output 19 4 4" xfId="23543" xr:uid="{624E7062-AE84-4ABF-AC8D-D09C8C175608}"/>
    <cellStyle name="Output 19 4 5" xfId="36624" xr:uid="{7A31AEF9-6D16-4B09-8302-82DC1B83EE67}"/>
    <cellStyle name="Output 19 5" xfId="12139" xr:uid="{BC419C69-DEF2-46C3-A81D-767B10AA2DCD}"/>
    <cellStyle name="Output 19 5 2" xfId="28839" xr:uid="{0733DAE2-F9DD-4C26-A9AF-7928EAF97DAB}"/>
    <cellStyle name="Output 19 5 3" xfId="42059" xr:uid="{9B38045C-9781-4291-9971-568C72A85AE6}"/>
    <cellStyle name="Output 19 6" xfId="21809" xr:uid="{70B1E478-B09A-4875-B962-689195BAEEBE}"/>
    <cellStyle name="Output 19 7" xfId="34859" xr:uid="{D48CB43B-B7A1-4E9F-BE16-97B3D6EECCB5}"/>
    <cellStyle name="Output 2" xfId="3426" xr:uid="{FFCCEB1C-9A52-4FA2-A5CB-180CDE70509F}"/>
    <cellStyle name="Output 2 10" xfId="17735" xr:uid="{DA1952E6-6DA9-4C2B-AD5F-B872949230E3}"/>
    <cellStyle name="Output 2 10 2" xfId="33457" xr:uid="{4B1EBEFF-E689-4B21-91F2-0E03D16CD270}"/>
    <cellStyle name="Output 2 10 3" xfId="47240" xr:uid="{236B7C00-62AA-4A08-9BB5-3D3670B22981}"/>
    <cellStyle name="Output 2 11" xfId="20488" xr:uid="{821544AA-8A7D-4891-B21C-AD50819ECECC}"/>
    <cellStyle name="Output 2 12" xfId="34443" xr:uid="{46938BD6-43A4-42F9-98F8-B327F7240D3A}"/>
    <cellStyle name="Output 2 2" xfId="2768" xr:uid="{B86BFDF1-D0D3-45E0-9FDD-18B4EC271D2B}"/>
    <cellStyle name="Output 2 2 2" xfId="5101" xr:uid="{7C56E9BE-D52A-4C98-9E7A-04972ECFAA2F}"/>
    <cellStyle name="Output 2 2 2 2" xfId="8064" xr:uid="{5E3591BC-2421-4B8D-97B7-16D1A2FA22E4}"/>
    <cellStyle name="Output 2 2 2 2 2" xfId="16829" xr:uid="{CB8DCFEB-8CFC-4401-B421-7AAEE6219AA1}"/>
    <cellStyle name="Output 2 2 2 2 2 2" xfId="32709" xr:uid="{8B4B8FBF-54A0-45A1-8E9E-C2E2D53AA807}"/>
    <cellStyle name="Output 2 2 2 2 2 3" xfId="46372" xr:uid="{D33B99E8-21FD-466F-8081-08C57B9A1478}"/>
    <cellStyle name="Output 2 2 2 2 3" xfId="25576" xr:uid="{CAC3948C-A191-42BE-8D17-25C0CBD3B3FE}"/>
    <cellStyle name="Output 2 2 2 2 4" xfId="38652" xr:uid="{651D0F70-ACD0-47BE-98CF-BCC557790290}"/>
    <cellStyle name="Output 2 2 2 3" xfId="17246" xr:uid="{1E33651A-DCE6-481B-B32C-599D7BB5341C}"/>
    <cellStyle name="Output 2 2 2 3 2" xfId="33005" xr:uid="{604B54B7-ADB1-4FC6-92EB-B32F010E2D97}"/>
    <cellStyle name="Output 2 2 2 3 3" xfId="46780" xr:uid="{D679C216-2545-41EF-A6B7-862DE72D0CEA}"/>
    <cellStyle name="Output 2 2 2 4" xfId="22825" xr:uid="{98208F4F-5891-45C2-AE4F-9CB428F1C0C2}"/>
    <cellStyle name="Output 2 2 2 5" xfId="35894" xr:uid="{0F155469-5C5F-4853-AAF1-72EB6D2166B7}"/>
    <cellStyle name="Output 2 2 3" xfId="6431" xr:uid="{14995623-2B21-45D0-B9B5-34798AA0A432}"/>
    <cellStyle name="Output 2 2 3 2" xfId="12141" xr:uid="{C92DC849-2998-4DAB-8519-91AF4CD5E74E}"/>
    <cellStyle name="Output 2 2 3 2 2" xfId="28841" xr:uid="{2B76E550-35FC-4BED-A3B6-01940AC6FD60}"/>
    <cellStyle name="Output 2 2 3 2 3" xfId="42061" xr:uid="{02232291-4DF3-4ECA-97B9-8596758DD98A}"/>
    <cellStyle name="Output 2 2 3 3" xfId="24067" xr:uid="{38BB9E17-F1E5-465F-99F9-207DF9B48565}"/>
    <cellStyle name="Output 2 2 3 4" xfId="37148" xr:uid="{355AC309-E40E-40DC-A2D8-A032FB96AB20}"/>
    <cellStyle name="Output 2 2 4" xfId="11981" xr:uid="{603BB95B-CC85-4BCB-B0F1-6C147DA9C8A9}"/>
    <cellStyle name="Output 2 2 4 2" xfId="28687" xr:uid="{806CF1F0-EB46-4961-8EB5-EFA59E0BC93F}"/>
    <cellStyle name="Output 2 2 4 3" xfId="41905" xr:uid="{055F86D1-3D9F-4F5E-925A-16BABDA8D8A1}"/>
    <cellStyle name="Output 2 2 5" xfId="20819" xr:uid="{A7592D12-4ED6-4B87-B4FE-DED5F14E77B9}"/>
    <cellStyle name="Output 2 2 6" xfId="33842" xr:uid="{42F25D7B-90D1-4FDB-93B3-BA2191C1BF28}"/>
    <cellStyle name="Output 2 3" xfId="4069" xr:uid="{C56FD1D0-2091-45A1-BC84-D09B5B368641}"/>
    <cellStyle name="Output 2 3 2" xfId="5196" xr:uid="{642575FD-1BBD-4B6A-AD17-BF0B2A724644}"/>
    <cellStyle name="Output 2 3 2 2" xfId="9121" xr:uid="{06ED26E3-4195-4FEE-925B-835C4C03EF8D}"/>
    <cellStyle name="Output 2 3 2 2 2" xfId="16207" xr:uid="{07D88CEE-D2D9-408F-95F5-6B9F62DCBD89}"/>
    <cellStyle name="Output 2 3 2 2 2 2" xfId="32247" xr:uid="{05787F2F-E169-4967-8DF0-152761E0D0B5}"/>
    <cellStyle name="Output 2 3 2 2 2 3" xfId="45774" xr:uid="{FD146A91-6BD3-46FD-89DA-CED902515959}"/>
    <cellStyle name="Output 2 3 2 2 3" xfId="26602" xr:uid="{5F338C51-3CCE-4330-BBEA-A9142D3EB793}"/>
    <cellStyle name="Output 2 3 2 2 4" xfId="39678" xr:uid="{61A25562-4E3E-472A-A638-4DEF82760CE2}"/>
    <cellStyle name="Output 2 3 2 3" xfId="10910" xr:uid="{B609FA0F-DE6F-4A53-A5B3-7309A36325FD}"/>
    <cellStyle name="Output 2 3 2 3 2" xfId="27728" xr:uid="{2EB6B99C-89B7-4F71-87C4-F317FFDBF9B7}"/>
    <cellStyle name="Output 2 3 2 3 3" xfId="40890" xr:uid="{349F16D0-F6CC-401F-B2BA-B4F2C28D42C9}"/>
    <cellStyle name="Output 2 3 2 4" xfId="22871" xr:uid="{F5F06A1A-BE2B-4BFC-BF30-7DF46350B5DA}"/>
    <cellStyle name="Output 2 3 2 5" xfId="35940" xr:uid="{0A4AA5B7-1CB4-4953-9B9C-F19F569AC959}"/>
    <cellStyle name="Output 2 3 3" xfId="7633" xr:uid="{6FDE2CF7-741B-45BA-84E5-361D589172EA}"/>
    <cellStyle name="Output 2 3 3 2" xfId="11248" xr:uid="{4CC28218-B790-4C9C-AD10-1A6B29956ECD}"/>
    <cellStyle name="Output 2 3 3 2 2" xfId="28038" xr:uid="{E7A3C051-105B-46C1-A406-B0D463755ADC}"/>
    <cellStyle name="Output 2 3 3 2 3" xfId="41220" xr:uid="{F185CE8B-619D-49A6-97CC-604AF4FCEC04}"/>
    <cellStyle name="Output 2 3 3 3" xfId="25161" xr:uid="{563B121E-5E3E-4333-8219-0B7353AD992E}"/>
    <cellStyle name="Output 2 3 3 4" xfId="38237" xr:uid="{662A73BE-3379-4070-8825-71982D9F4897}"/>
    <cellStyle name="Output 2 3 4" xfId="13379" xr:uid="{1C2A69C4-2F7A-44EF-9F9E-B969FB22EB59}"/>
    <cellStyle name="Output 2 3 4 2" xfId="29852" xr:uid="{CF8A251D-0C12-43EF-BDE0-1B9ADE0A1469}"/>
    <cellStyle name="Output 2 3 4 3" xfId="43187" xr:uid="{E4637C62-4C2B-4EB7-88F4-92566BA5ADAE}"/>
    <cellStyle name="Output 2 3 5" xfId="21902" xr:uid="{D54117D3-FEDB-4FDC-A1D0-2F19E77A4455}"/>
    <cellStyle name="Output 2 3 6" xfId="34951" xr:uid="{D8C7D3F8-870F-4B8C-956A-15759735CD05}"/>
    <cellStyle name="Output 2 4" xfId="2613" xr:uid="{7A28BD2A-93BB-4FC3-80A7-4C5DED0EEA30}"/>
    <cellStyle name="Output 2 4 2" xfId="5038" xr:uid="{AEE1368C-E34F-43DB-ACAB-3FDFE45E3A75}"/>
    <cellStyle name="Output 2 4 2 2" xfId="7910" xr:uid="{216C061D-6EA7-4E14-ABF2-896B74CAF1CA}"/>
    <cellStyle name="Output 2 4 2 2 2" xfId="14222" xr:uid="{FD81EAE0-CF1D-4144-80CD-93AA3EA8E01E}"/>
    <cellStyle name="Output 2 4 2 2 2 2" xfId="30567" xr:uid="{0774C8EA-9E5D-4825-99B8-AB51B2018ADE}"/>
    <cellStyle name="Output 2 4 2 2 2 3" xfId="43959" xr:uid="{2CAC9A03-5EF6-414C-B3B3-5B085FC1669B}"/>
    <cellStyle name="Output 2 4 2 2 3" xfId="25427" xr:uid="{E7574415-21DC-4714-8CC5-436E133A2243}"/>
    <cellStyle name="Output 2 4 2 2 4" xfId="38503" xr:uid="{C752A01A-4381-495C-8FC1-FAB4DF179A02}"/>
    <cellStyle name="Output 2 4 2 3" xfId="11261" xr:uid="{3B0DBE37-7A3E-4AE9-98DC-10215CBC8167}"/>
    <cellStyle name="Output 2 4 2 3 2" xfId="28048" xr:uid="{5463EB14-B9B0-4C3E-875C-8498786337AA}"/>
    <cellStyle name="Output 2 4 2 3 3" xfId="41230" xr:uid="{531F46D7-1F51-4012-9DBB-81B731A0FB9A}"/>
    <cellStyle name="Output 2 4 2 4" xfId="22790" xr:uid="{DAB72BA9-D286-4811-86EA-2DAE734A4435}"/>
    <cellStyle name="Output 2 4 2 5" xfId="35853" xr:uid="{A39F286F-F543-483D-89D2-0710CCDE9ED5}"/>
    <cellStyle name="Output 2 4 3" xfId="6277" xr:uid="{00638592-2C5E-42F5-9417-675F67FF0AC3}"/>
    <cellStyle name="Output 2 4 3 2" xfId="13260" xr:uid="{009A28EF-F461-4950-9603-00AFBD74FBBA}"/>
    <cellStyle name="Output 2 4 3 2 2" xfId="29752" xr:uid="{84CC2519-DEF9-4375-92A9-19DD20332ECB}"/>
    <cellStyle name="Output 2 4 3 2 3" xfId="43078" xr:uid="{5E7412B3-E971-4507-A7CD-E20F5DD6A10C}"/>
    <cellStyle name="Output 2 4 3 3" xfId="23918" xr:uid="{4678EA19-FD34-411A-A55C-E028800600BB}"/>
    <cellStyle name="Output 2 4 3 4" xfId="36999" xr:uid="{3FBC299F-A876-444D-9449-161639F20F2A}"/>
    <cellStyle name="Output 2 4 4" xfId="16163" xr:uid="{CB2E66C2-BFE0-46F4-A11D-170FE891F419}"/>
    <cellStyle name="Output 2 4 4 2" xfId="32213" xr:uid="{CE25804A-E2EB-421F-A6C0-441924D49AEB}"/>
    <cellStyle name="Output 2 4 4 3" xfId="45735" xr:uid="{7B310872-CA90-4611-911E-23CFA024C948}"/>
    <cellStyle name="Output 2 4 5" xfId="20670" xr:uid="{03690C25-CA04-4BB1-BFC4-F322083D7FE1}"/>
    <cellStyle name="Output 2 4 6" xfId="33693" xr:uid="{32CB0902-07D7-4488-9214-BBEA6DD73E73}"/>
    <cellStyle name="Output 2 5" xfId="4179" xr:uid="{F780AB18-5873-4668-91D6-E1510C58C363}"/>
    <cellStyle name="Output 2 5 2" xfId="5005" xr:uid="{D2A07AE9-87F0-4BF9-B6BB-2808D0C4E701}"/>
    <cellStyle name="Output 2 5 2 2" xfId="9231" xr:uid="{465FE3DF-ACF5-4835-8EB7-DF4E5BA58866}"/>
    <cellStyle name="Output 2 5 2 2 2" xfId="13536" xr:uid="{1E8E2E92-E00C-488C-A566-1B5498A3AB03}"/>
    <cellStyle name="Output 2 5 2 2 2 2" xfId="29984" xr:uid="{826879FE-41C9-4BB3-AC2D-A158AEDC004D}"/>
    <cellStyle name="Output 2 5 2 2 2 3" xfId="43331" xr:uid="{C05552FF-B952-4E08-B556-AB7DB78FFA3D}"/>
    <cellStyle name="Output 2 5 2 2 3" xfId="26706" xr:uid="{7FFBD13B-E68F-41B2-81F4-71C37EBA45CC}"/>
    <cellStyle name="Output 2 5 2 2 4" xfId="39782" xr:uid="{2E3579BE-5DD9-465D-83F0-B798ACD8A7FE}"/>
    <cellStyle name="Output 2 5 2 3" xfId="14216" xr:uid="{BF7AD135-1C80-42B8-80E2-02851449EE3A}"/>
    <cellStyle name="Output 2 5 2 3 2" xfId="30561" xr:uid="{B011C9DD-0A90-45A4-84EF-88CFD135B406}"/>
    <cellStyle name="Output 2 5 2 3 3" xfId="43953" xr:uid="{921B1BE4-36A1-4F59-8ADD-8A8425036085}"/>
    <cellStyle name="Output 2 5 2 4" xfId="22770" xr:uid="{34BF11F3-1229-438E-9C3D-93223BEA852B}"/>
    <cellStyle name="Output 2 5 2 5" xfId="35829" xr:uid="{4543CD0D-0147-42F8-BA88-71C8E6AB9B09}"/>
    <cellStyle name="Output 2 5 3" xfId="7743" xr:uid="{5A88F46A-F7BD-4725-820F-A496751A67A0}"/>
    <cellStyle name="Output 2 5 3 2" xfId="11266" xr:uid="{308F37D5-6DCD-4E9E-A1D3-6A427011FBCA}"/>
    <cellStyle name="Output 2 5 3 2 2" xfId="28053" xr:uid="{D45FF7E3-E24C-48E1-9F06-7D1B1BB73AFE}"/>
    <cellStyle name="Output 2 5 3 2 3" xfId="41235" xr:uid="{9C2EB324-9311-41D5-9E2D-4C8C014B26F9}"/>
    <cellStyle name="Output 2 5 3 3" xfId="25265" xr:uid="{94BD6DEB-EBC3-4B95-8007-BA3BF6ADDC30}"/>
    <cellStyle name="Output 2 5 3 4" xfId="38341" xr:uid="{44DAABFD-BBCC-4273-ABB5-6829254F08E9}"/>
    <cellStyle name="Output 2 5 4" xfId="11296" xr:uid="{36B11727-572F-41FF-85A4-24D45A85EA95}"/>
    <cellStyle name="Output 2 5 4 2" xfId="28080" xr:uid="{D9D10C2B-4EA8-4E25-9694-4FA7FC018F3B}"/>
    <cellStyle name="Output 2 5 4 3" xfId="41263" xr:uid="{5ACDC3E2-AB46-43A8-A3EE-94D423B3BBAD}"/>
    <cellStyle name="Output 2 5 5" xfId="22006" xr:uid="{07725E37-73E0-4B0C-9E56-919F72BEC7FC}"/>
    <cellStyle name="Output 2 5 6" xfId="35055" xr:uid="{A1AB19AF-D023-4EC1-9039-9803CBBA09AA}"/>
    <cellStyle name="Output 2 6" xfId="4429" xr:uid="{874AB267-4D58-4B7B-9D66-AFD1F2B0152E}"/>
    <cellStyle name="Output 2 6 2" xfId="7068" xr:uid="{6F2B6E84-B46E-45D8-9B1F-544007FF912C}"/>
    <cellStyle name="Output 2 6 2 2" xfId="16718" xr:uid="{0EA48FEB-86CB-4E75-A5D5-0DD16D91A2B5}"/>
    <cellStyle name="Output 2 6 2 2 2" xfId="32602" xr:uid="{231603C1-08A7-4991-8E97-CD0D1788F0CC}"/>
    <cellStyle name="Output 2 6 2 2 3" xfId="46262" xr:uid="{931AC660-8449-4B7D-ABDE-847C592905C6}"/>
    <cellStyle name="Output 2 6 2 3" xfId="24668" xr:uid="{0D9AD783-1962-44BA-86A2-302A09003849}"/>
    <cellStyle name="Output 2 6 2 4" xfId="37749" xr:uid="{64B036FD-5342-4F74-8E66-494CE4AB763A}"/>
    <cellStyle name="Output 2 6 3" xfId="15075" xr:uid="{68A2D800-1E59-41F5-8088-FBC411BF5B0A}"/>
    <cellStyle name="Output 2 6 3 2" xfId="31284" xr:uid="{7DD09708-8218-46D2-945D-6080B179A8CB}"/>
    <cellStyle name="Output 2 6 3 3" xfId="44742" xr:uid="{C29B2AA1-7BD9-42F3-A88C-EAA62B7047A9}"/>
    <cellStyle name="Output 2 6 4" xfId="22247" xr:uid="{C5F69AB2-F7D5-47D4-9C59-198E3FC2060E}"/>
    <cellStyle name="Output 2 6 5" xfId="35296" xr:uid="{5EC4C93D-4BDE-4E98-B565-FD70AE5E9E0B}"/>
    <cellStyle name="Output 2 7" xfId="4963" xr:uid="{2749C949-E1B3-4F94-9086-0979AB37F4FC}"/>
    <cellStyle name="Output 2 7 2" xfId="8663" xr:uid="{49824CB9-3449-4046-A69C-47A20879D6BE}"/>
    <cellStyle name="Output 2 7 2 2" xfId="17456" xr:uid="{EA65300A-BE42-44E8-9DBF-FCDC69505E89}"/>
    <cellStyle name="Output 2 7 2 2 2" xfId="33201" xr:uid="{8B12B4D0-9967-4828-B95B-968C69D9BBEF}"/>
    <cellStyle name="Output 2 7 2 2 3" xfId="46985" xr:uid="{2F6CDD63-B825-4459-9A7F-F7118875634C}"/>
    <cellStyle name="Output 2 7 2 3" xfId="26157" xr:uid="{8A8C54B9-47E1-4BCE-A9E5-E095793D538F}"/>
    <cellStyle name="Output 2 7 2 4" xfId="39233" xr:uid="{259C0BEC-B834-4971-9228-AE843158D613}"/>
    <cellStyle name="Output 2 7 3" xfId="13032" xr:uid="{65A8D3FB-C19D-4D19-B357-7CB010CE3792}"/>
    <cellStyle name="Output 2 7 3 2" xfId="29561" xr:uid="{4294F380-C7F4-49E1-B278-F3EAC62AD312}"/>
    <cellStyle name="Output 2 7 3 3" xfId="42864" xr:uid="{747143DB-EB85-443B-93C5-27D1EFAD1E0D}"/>
    <cellStyle name="Output 2 7 4" xfId="22743" xr:uid="{ED025722-9CFB-4F62-96C4-7A8F6B0D1BDD}"/>
    <cellStyle name="Output 2 7 5" xfId="35798" xr:uid="{90874890-8F28-4CF3-858B-534D21AC5575}"/>
    <cellStyle name="Output 2 8" xfId="5482" xr:uid="{F60979B9-8379-4630-9734-08CF22009013}"/>
    <cellStyle name="Output 2 8 2" xfId="9816" xr:uid="{2E2EF65B-B4CA-4D8C-850D-2AFF6AFE7AB4}"/>
    <cellStyle name="Output 2 8 2 2" xfId="16176" xr:uid="{2407BA4D-7090-411B-9A58-B33C6F279676}"/>
    <cellStyle name="Output 2 8 2 2 2" xfId="32224" xr:uid="{E8381EB2-32F1-4C34-8AEB-B7D1A4FE3415}"/>
    <cellStyle name="Output 2 8 2 2 3" xfId="45746" xr:uid="{07CC2743-129C-4C4B-824F-E19EA18D7A8B}"/>
    <cellStyle name="Output 2 8 2 3" xfId="27112" xr:uid="{018A3543-CE9B-4C4E-A009-63B7C62D30EC}"/>
    <cellStyle name="Output 2 8 2 4" xfId="40231" xr:uid="{7195F792-D21E-40A7-B7E8-D615C5D89577}"/>
    <cellStyle name="Output 2 8 3" xfId="15256" xr:uid="{BB5D13C9-60EB-4FFF-ACA0-00650109F039}"/>
    <cellStyle name="Output 2 8 3 2" xfId="31431" xr:uid="{3E027212-4249-429D-9C0B-0423DD4D0D4C}"/>
    <cellStyle name="Output 2 8 3 3" xfId="44907" xr:uid="{A948F905-207A-4466-A68A-C3D95AC03DE9}"/>
    <cellStyle name="Output 2 8 4" xfId="23129" xr:uid="{312D579A-1E32-4B9E-8098-6754165EFA1D}"/>
    <cellStyle name="Output 2 8 5" xfId="36210" xr:uid="{04A386C7-3ED8-45FB-8937-69366D35AB1E}"/>
    <cellStyle name="Output 2 9" xfId="14854" xr:uid="{CF84650F-2C4D-44F9-9913-B3EE6B32BE79}"/>
    <cellStyle name="Output 2 9 2" xfId="31110" xr:uid="{F2DA0536-3C0C-489D-A702-7A0E0E33A5A5}"/>
    <cellStyle name="Output 2 9 3" xfId="44549" xr:uid="{0D0D4215-ECEE-445E-9D44-BD135D247ADF}"/>
    <cellStyle name="Output 20" xfId="3963" xr:uid="{9B4A0DCD-C4FF-4A95-A3C1-A4917B2F658A}"/>
    <cellStyle name="Output 20 2" xfId="3210" xr:uid="{DC1CB8BD-944B-4F76-A19F-96BA17E22D8B}"/>
    <cellStyle name="Output 20 2 2" xfId="8501" xr:uid="{305677B1-151D-4F6E-994B-87BAB0A2B583}"/>
    <cellStyle name="Output 20 2 2 2" xfId="13269" xr:uid="{BC9976FA-390C-4B32-B3F0-BC5628E38F9D}"/>
    <cellStyle name="Output 20 2 2 2 2" xfId="29760" xr:uid="{BD1A73A3-6B5B-41EE-9FB0-CB9F5E5B5B1D}"/>
    <cellStyle name="Output 20 2 2 2 3" xfId="43086" xr:uid="{E080282D-B1CC-4CA5-BF6E-854148A462E7}"/>
    <cellStyle name="Output 20 2 2 3" xfId="26000" xr:uid="{161FA5D0-FB1B-4ED7-93FF-F3962125DAEA}"/>
    <cellStyle name="Output 20 2 2 4" xfId="39076" xr:uid="{372F7531-8F04-42A3-8C5C-CD10DEFBBD7C}"/>
    <cellStyle name="Output 20 2 3" xfId="6869" xr:uid="{A87F6E43-E770-48EB-9999-8AE0B96CD7CA}"/>
    <cellStyle name="Output 20 2 3 2" xfId="16297" xr:uid="{8FB4FC3F-ED9F-4075-A85A-4ED6028CFC4C}"/>
    <cellStyle name="Output 20 2 3 2 2" xfId="32325" xr:uid="{4AD2984A-E66C-4E3B-8552-A62655A8DD35}"/>
    <cellStyle name="Output 20 2 3 2 3" xfId="45856" xr:uid="{4BF36155-A7F1-4A09-8854-430338A4B4A2}"/>
    <cellStyle name="Output 20 2 3 3" xfId="24492" xr:uid="{7A10EA02-F8A3-4076-95C4-A77B0B3AFB7A}"/>
    <cellStyle name="Output 20 2 3 4" xfId="37573" xr:uid="{848D2069-D787-4349-9537-E0F862E544BD}"/>
    <cellStyle name="Output 20 2 4" xfId="17553" xr:uid="{705C64AE-429A-4F6E-9C41-64160A74EA2E}"/>
    <cellStyle name="Output 20 2 4 2" xfId="33290" xr:uid="{3A72CFFD-1B8B-49DD-A09C-BEA2A055206B}"/>
    <cellStyle name="Output 20 2 4 3" xfId="47078" xr:uid="{1B8E9CDE-BAFE-4FD8-B9BC-0681498C9CA1}"/>
    <cellStyle name="Output 20 2 5" xfId="21244" xr:uid="{DCE9E61F-EBF8-4D7F-9D74-5681F81B7476}"/>
    <cellStyle name="Output 20 2 6" xfId="34267" xr:uid="{AF01C45C-EDED-4A6D-A4B5-00754442271D}"/>
    <cellStyle name="Output 20 3" xfId="4875" xr:uid="{621D4D93-D69B-4F4E-9537-08A3CE024944}"/>
    <cellStyle name="Output 20 3 2" xfId="7543" xr:uid="{4D16D629-89BD-45A6-BEAB-11433D95E0E6}"/>
    <cellStyle name="Output 20 3 2 2" xfId="15396" xr:uid="{639E4D14-B9B3-4B66-8183-09FFE8FCE3D0}"/>
    <cellStyle name="Output 20 3 2 2 2" xfId="31550" xr:uid="{7BF11E61-0052-4E60-B6EB-B3EC0891664C}"/>
    <cellStyle name="Output 20 3 2 2 3" xfId="45038" xr:uid="{8AE1ACA8-D489-4F31-A766-86D71B5ADCDF}"/>
    <cellStyle name="Output 20 3 2 3" xfId="25071" xr:uid="{27068289-727D-4A7E-ABF5-CA73F719447C}"/>
    <cellStyle name="Output 20 3 2 4" xfId="38147" xr:uid="{A88ACA64-D29E-4604-B96C-5535995FA879}"/>
    <cellStyle name="Output 20 3 3" xfId="12125" xr:uid="{CDB91A53-878F-48A0-9B3C-F77934704DFC}"/>
    <cellStyle name="Output 20 3 3 2" xfId="28825" xr:uid="{1224A3A4-CBEA-4C91-BEE6-45D4BD85E034}"/>
    <cellStyle name="Output 20 3 3 3" xfId="42045" xr:uid="{355C4771-8890-43AA-ABC1-376DD3877E7F}"/>
    <cellStyle name="Output 20 3 4" xfId="22672" xr:uid="{AAE5F635-0BE2-4862-B161-7224A3DE322F}"/>
    <cellStyle name="Output 20 3 5" xfId="35725" xr:uid="{C84DD159-57FD-4534-805B-B1A6EF442E9F}"/>
    <cellStyle name="Output 20 4" xfId="5897" xr:uid="{D49C6A2F-08E3-46F6-98E2-A838A6F22F04}"/>
    <cellStyle name="Output 20 4 2" xfId="9858" xr:uid="{6EA53863-B6BA-4F8E-BF19-FCA5AF9067A4}"/>
    <cellStyle name="Output 20 4 2 2" xfId="13481" xr:uid="{EF21724C-19FF-4E76-A2A7-BBCF073980F6}"/>
    <cellStyle name="Output 20 4 2 2 2" xfId="29942" xr:uid="{D453B1D8-201A-47A1-942F-A3BBF85FCE3D}"/>
    <cellStyle name="Output 20 4 2 2 3" xfId="43282" xr:uid="{3F6BA8B9-C47B-473D-BF66-D2F8A9DCD30D}"/>
    <cellStyle name="Output 20 4 2 3" xfId="27154" xr:uid="{30442467-2D97-4DB1-ABE6-96B33182BDA1}"/>
    <cellStyle name="Output 20 4 2 4" xfId="40273" xr:uid="{1AA21311-CEBB-40EC-990A-99772F6058C9}"/>
    <cellStyle name="Output 20 4 3" xfId="15056" xr:uid="{AE7EBB98-F435-4F63-854F-4D7CB9DDC480}"/>
    <cellStyle name="Output 20 4 3 2" xfId="31268" xr:uid="{E45BB279-ABF4-45DE-B2FA-B045E626B153}"/>
    <cellStyle name="Output 20 4 3 3" xfId="44724" xr:uid="{01C2BD00-54C3-498C-B99C-FB549767B949}"/>
    <cellStyle name="Output 20 4 4" xfId="23544" xr:uid="{7C4DFCD5-08C1-4487-8E0E-FD0359723827}"/>
    <cellStyle name="Output 20 4 5" xfId="36625" xr:uid="{A1BEF523-948C-49E2-8197-E422030B9987}"/>
    <cellStyle name="Output 20 5" xfId="6099" xr:uid="{9A8108AE-77DC-4242-BD92-34FB1E29C2CF}"/>
    <cellStyle name="Output 20 5 2" xfId="12056" xr:uid="{029C8C1F-8E46-4A2D-BCDB-1319A16D862F}"/>
    <cellStyle name="Output 20 5 2 2" xfId="28756" xr:uid="{A1C0554D-9052-4EB8-9282-11F872DAB71A}"/>
    <cellStyle name="Output 20 5 2 3" xfId="41976" xr:uid="{AA44A8B2-5410-419D-8180-14091EE01C6F}"/>
    <cellStyle name="Output 20 5 3" xfId="23745" xr:uid="{83BCF0DF-6841-4834-952E-2EE4DF37D99F}"/>
    <cellStyle name="Output 20 5 4" xfId="36826" xr:uid="{A1C4D72F-F19B-447E-B66C-CCFE7F1A925E}"/>
    <cellStyle name="Output 20 6" xfId="10692" xr:uid="{0BE1B09C-BCEE-4071-B3C0-B10C300D400E}"/>
    <cellStyle name="Output 20 6 2" xfId="27537" xr:uid="{B2AB527F-0945-4D6E-9D38-42464E4DCAFF}"/>
    <cellStyle name="Output 20 6 3" xfId="40673" xr:uid="{EE212B41-6D75-467E-B75A-78A7DE7AD655}"/>
    <cellStyle name="Output 20 7" xfId="21810" xr:uid="{388C985C-F757-4122-BFB0-82358FDC75B6}"/>
    <cellStyle name="Output 20 8" xfId="34860" xr:uid="{286F34C1-A849-4A87-BFC1-35E0C03657DC}"/>
    <cellStyle name="Output 21" xfId="3108" xr:uid="{C16584A8-7EA2-4946-B6A1-E2AAC9848F54}"/>
    <cellStyle name="Output 21 2" xfId="8400" xr:uid="{A3307463-63B8-48A6-8B85-A5F53A9341C7}"/>
    <cellStyle name="Output 21 2 2" xfId="14499" xr:uid="{C76BA2E8-BFB5-4C12-8EC4-D371CECC9F5A}"/>
    <cellStyle name="Output 21 2 2 2" xfId="30820" xr:uid="{89B2BAC5-FE12-4206-BCEF-3A5EC40F196D}"/>
    <cellStyle name="Output 21 2 2 3" xfId="44228" xr:uid="{DF01966D-D499-4759-B5E3-5DE3EDF5BB67}"/>
    <cellStyle name="Output 21 2 3" xfId="25902" xr:uid="{11FC07ED-3F79-4E24-A366-300A424DCBA1}"/>
    <cellStyle name="Output 21 2 4" xfId="38978" xr:uid="{4B5CCBEF-28C9-4F8C-A4C8-EB3385989F1E}"/>
    <cellStyle name="Output 21 3" xfId="6767" xr:uid="{30F924BD-0F76-4F2B-9C1D-4157745A990B}"/>
    <cellStyle name="Output 21 3 2" xfId="12097" xr:uid="{00993E01-929F-4158-A4F6-04E0E1769DB4}"/>
    <cellStyle name="Output 21 3 2 2" xfId="28797" xr:uid="{50930F4A-50B0-4F34-8F26-CF584C215988}"/>
    <cellStyle name="Output 21 3 2 3" xfId="42017" xr:uid="{B2CE7444-19DE-485F-8980-323F7C3DE1A6}"/>
    <cellStyle name="Output 21 3 3" xfId="24393" xr:uid="{509E79C6-EB88-468A-9EB7-1FAAFAE0D178}"/>
    <cellStyle name="Output 21 3 4" xfId="37474" xr:uid="{113EB066-528B-4421-9758-9115ACD05B1B}"/>
    <cellStyle name="Output 21 4" xfId="10857" xr:uid="{1433242F-564B-47FA-8F53-8CA25EE8062D}"/>
    <cellStyle name="Output 21 4 2" xfId="27685" xr:uid="{A0CB31E8-B9D0-41B5-B3EB-A8E72BDE7D82}"/>
    <cellStyle name="Output 21 4 3" xfId="40838" xr:uid="{3E3D7F5B-50A3-46E0-A5F7-23FCA9CCD477}"/>
    <cellStyle name="Output 21 5" xfId="21145" xr:uid="{1F9D1F18-48A4-42B7-B85D-1588351F8414}"/>
    <cellStyle name="Output 21 6" xfId="34168" xr:uid="{5DD6F338-81B4-41AA-B3F5-BEAE06369538}"/>
    <cellStyle name="Output 22" xfId="2636" xr:uid="{08036850-933D-4D5D-80A9-5D901361B3A3}"/>
    <cellStyle name="Output 22 2" xfId="7933" xr:uid="{D1D8C8DB-294E-4B2B-A08B-704ADA59A32A}"/>
    <cellStyle name="Output 22 2 2" xfId="13377" xr:uid="{B13AF208-A82F-4A47-8648-6CCE2D643E23}"/>
    <cellStyle name="Output 22 2 2 2" xfId="29850" xr:uid="{35DC5EA0-8B71-49C3-AD81-E5D6511DC533}"/>
    <cellStyle name="Output 22 2 2 3" xfId="43185" xr:uid="{FC62DDF3-736A-4D9D-B08B-D712B38C4EE2}"/>
    <cellStyle name="Output 22 2 3" xfId="25449" xr:uid="{ABCC8D25-E0DA-4419-B65B-F9F56600285E}"/>
    <cellStyle name="Output 22 2 4" xfId="38525" xr:uid="{C0C0E0C5-8C23-463C-BA14-C1DE9690475F}"/>
    <cellStyle name="Output 22 3" xfId="6300" xr:uid="{C698F55A-FDAD-4DF4-AC8E-31873310609C}"/>
    <cellStyle name="Output 22 3 2" xfId="11208" xr:uid="{7909039A-35CD-461A-A9CF-93B4A8E60D2C}"/>
    <cellStyle name="Output 22 3 2 2" xfId="28002" xr:uid="{548BE4D3-0644-41F0-96B6-FCD803044727}"/>
    <cellStyle name="Output 22 3 2 3" xfId="41184" xr:uid="{83A41181-E1D0-4093-A701-A093594AD737}"/>
    <cellStyle name="Output 22 3 3" xfId="23940" xr:uid="{9F9E2612-80DE-44CE-800E-DF35B5968437}"/>
    <cellStyle name="Output 22 3 4" xfId="37021" xr:uid="{212D2F32-E9ED-4D26-BA86-5973DF97CA46}"/>
    <cellStyle name="Output 22 4" xfId="14065" xr:uid="{58FCE04B-02B0-4587-B784-F9BE55554D07}"/>
    <cellStyle name="Output 22 4 2" xfId="30434" xr:uid="{51B6C747-084A-4316-A13A-701B5CE14E34}"/>
    <cellStyle name="Output 22 4 3" xfId="43817" xr:uid="{415D04C6-0755-4372-B47E-299C3CF2BB76}"/>
    <cellStyle name="Output 22 5" xfId="20692" xr:uid="{457CDA2C-80A3-42BD-80A3-108F062A9C25}"/>
    <cellStyle name="Output 22 6" xfId="33715" xr:uid="{6772A913-D6E8-41E2-9384-67B089D53B92}"/>
    <cellStyle name="Output 23" xfId="4109" xr:uid="{54D1E6A8-C2E7-4132-BCC1-5DB36913527E}"/>
    <cellStyle name="Output 23 2" xfId="9161" xr:uid="{E602ABA4-C9B8-41DA-8301-74CDDEB07287}"/>
    <cellStyle name="Output 23 2 2" xfId="12377" xr:uid="{8A091900-FF89-4A0D-99E0-DCCED38AC1FB}"/>
    <cellStyle name="Output 23 2 2 2" xfId="29043" xr:uid="{0D734289-7100-4928-B20F-4FD87AB825A4}"/>
    <cellStyle name="Output 23 2 2 3" xfId="42283" xr:uid="{C58E161C-9C76-429D-8BD5-D3A7D43BFD55}"/>
    <cellStyle name="Output 23 2 3" xfId="26642" xr:uid="{0A0D9B65-F626-48BC-935A-0B03BF2E4DDB}"/>
    <cellStyle name="Output 23 2 4" xfId="39718" xr:uid="{875FE8F0-1612-489E-83BE-5C2878C98AE1}"/>
    <cellStyle name="Output 23 3" xfId="7673" xr:uid="{6548EB1D-E1C7-40B6-984A-649006539EE0}"/>
    <cellStyle name="Output 23 3 2" xfId="15254" xr:uid="{FE76E0E9-E83D-4833-8015-FE372AA856F3}"/>
    <cellStyle name="Output 23 3 2 2" xfId="31429" xr:uid="{08003386-6E6B-40ED-B067-C7A29BF30806}"/>
    <cellStyle name="Output 23 3 2 3" xfId="44905" xr:uid="{EA0F8F6E-6F7B-421A-8A69-8F851C68E534}"/>
    <cellStyle name="Output 23 3 3" xfId="25201" xr:uid="{D053FE0D-6A7D-4F08-9233-7A465AEEDC15}"/>
    <cellStyle name="Output 23 3 4" xfId="38277" xr:uid="{CD5C5AAD-D9D7-4C73-8693-089080E572D2}"/>
    <cellStyle name="Output 23 4" xfId="12212" xr:uid="{7C9942FE-2026-4566-A440-D9C055212FF5}"/>
    <cellStyle name="Output 23 4 2" xfId="28899" xr:uid="{520C6C8C-D96C-4A2A-9054-47B8A739A445}"/>
    <cellStyle name="Output 23 4 3" xfId="42129" xr:uid="{CC64FE8B-3AA8-49B7-B2CD-FD88E5EE4DF7}"/>
    <cellStyle name="Output 23 5" xfId="21942" xr:uid="{3C172F81-67BD-4D78-A2EF-CCB8053CAD2B}"/>
    <cellStyle name="Output 23 6" xfId="34991" xr:uid="{8AF22705-E277-4BF1-A81F-40D9AB207D42}"/>
    <cellStyle name="Output 24" xfId="2545" xr:uid="{9F714F7D-0FB2-4B0C-BD5E-A4873E00FACE}"/>
    <cellStyle name="Output 24 2" xfId="7843" xr:uid="{91AA455A-EABE-40EB-8C76-915D01AF55C7}"/>
    <cellStyle name="Output 24 2 2" xfId="17497" xr:uid="{D7778813-1000-412C-BF36-BA062FA1E172}"/>
    <cellStyle name="Output 24 2 2 2" xfId="33240" xr:uid="{05F2C6CA-4058-42B6-8D6D-5A85A5069E9F}"/>
    <cellStyle name="Output 24 2 2 3" xfId="47026" xr:uid="{3B60B628-6F59-4A27-922C-063A76CA4EEE}"/>
    <cellStyle name="Output 24 2 3" xfId="25362" xr:uid="{1A017EEB-7C3E-406F-9386-249B416CD9BC}"/>
    <cellStyle name="Output 24 2 4" xfId="38438" xr:uid="{8269497A-28A3-4C02-9BC1-6C06F4F982C5}"/>
    <cellStyle name="Output 24 3" xfId="6210" xr:uid="{9AF89196-589A-4EDF-B92F-CC3E2CCDB42A}"/>
    <cellStyle name="Output 24 3 2" xfId="13015" xr:uid="{03F8ED5F-D2B6-47FD-9A7B-53567B1163CE}"/>
    <cellStyle name="Output 24 3 2 2" xfId="29547" xr:uid="{4C7C1558-8612-4A1B-B936-2A0434B14FDD}"/>
    <cellStyle name="Output 24 3 2 3" xfId="42849" xr:uid="{AB848152-95F9-4ED9-9046-4E9AF3D30CA0}"/>
    <cellStyle name="Output 24 3 3" xfId="23853" xr:uid="{B66FEBCF-9775-400C-A20C-C7EDDA101114}"/>
    <cellStyle name="Output 24 3 4" xfId="36934" xr:uid="{F54E9197-606B-4C36-9EBE-D45B31BA4ECA}"/>
    <cellStyle name="Output 24 4" xfId="16556" xr:uid="{BFF4FE81-19C9-49E6-8D54-3579837B27E0}"/>
    <cellStyle name="Output 24 4 2" xfId="32491" xr:uid="{2481EFDF-2BD3-4FBE-8432-E2F234C4FB92}"/>
    <cellStyle name="Output 24 4 3" xfId="46103" xr:uid="{4E7F1C16-4913-4436-816A-7E4D2868CCF0}"/>
    <cellStyle name="Output 24 5" xfId="20605" xr:uid="{F0F80C8F-5200-438C-B0B0-EA0C392A133E}"/>
    <cellStyle name="Output 24 6" xfId="33628" xr:uid="{47D9674F-7E2F-4106-8B92-6DB3354180AB}"/>
    <cellStyle name="Output 25" xfId="4216" xr:uid="{60903717-36D0-4CD5-A700-DC96963C2AF7}"/>
    <cellStyle name="Output 25 2" xfId="9268" xr:uid="{794E6F57-1288-404F-89C2-DE49BF1E6D0E}"/>
    <cellStyle name="Output 25 2 2" xfId="11824" xr:uid="{8F21FB24-0E88-41FC-B407-00AAE9B3F420}"/>
    <cellStyle name="Output 25 2 2 2" xfId="28544" xr:uid="{E6B6D84A-3F06-4E83-81D7-CF7464270457}"/>
    <cellStyle name="Output 25 2 2 3" xfId="41757" xr:uid="{33AE8B04-AAE1-4448-8E75-CFFC56E26B99}"/>
    <cellStyle name="Output 25 2 3" xfId="26741" xr:uid="{A29408A4-8535-460A-A1E5-DA6CF07347BC}"/>
    <cellStyle name="Output 25 2 4" xfId="39817" xr:uid="{92EED224-5DDC-4750-B20A-D62729DF24A0}"/>
    <cellStyle name="Output 25 3" xfId="7780" xr:uid="{F31F2D60-3F98-4EE5-9BC9-508DBAD71999}"/>
    <cellStyle name="Output 25 3 2" xfId="10693" xr:uid="{6BEB1F80-2151-4F78-9FC6-3FB7188FBD52}"/>
    <cellStyle name="Output 25 3 2 2" xfId="27538" xr:uid="{19A81682-670A-4C3D-9D07-14B174953380}"/>
    <cellStyle name="Output 25 3 2 3" xfId="40674" xr:uid="{1FF26BDA-F0C7-4150-A22A-B2293C42E02C}"/>
    <cellStyle name="Output 25 3 3" xfId="25300" xr:uid="{5C75434B-BC52-40BD-AA4B-EC40B801942C}"/>
    <cellStyle name="Output 25 3 4" xfId="38376" xr:uid="{DEF78A70-FDAC-452F-A468-3B80EAF07BF0}"/>
    <cellStyle name="Output 25 4" xfId="11794" xr:uid="{EC83065E-19D3-4FD1-8D3D-8941EA3A36EE}"/>
    <cellStyle name="Output 25 4 2" xfId="28516" xr:uid="{45CB1755-BFA6-4D14-A4B8-91F8A124CFAD}"/>
    <cellStyle name="Output 25 4 3" xfId="41728" xr:uid="{9595F7E1-E44F-4F78-A377-95F7622A9E8E}"/>
    <cellStyle name="Output 25 5" xfId="22041" xr:uid="{5CCE7621-08B0-4647-94CC-06E5239F8FD5}"/>
    <cellStyle name="Output 25 6" xfId="35090" xr:uid="{8E471CBB-A00B-4639-B60F-8B4D9233906B}"/>
    <cellStyle name="Output 26" xfId="4286" xr:uid="{E498CA73-72B8-4D08-9F10-8BCE766EB267}"/>
    <cellStyle name="Output 26 2" xfId="6155" xr:uid="{7E364DEB-2A89-4952-A07E-2C9A74725D35}"/>
    <cellStyle name="Output 26 2 2" xfId="11110" xr:uid="{7EC3408E-7A59-4DA8-9C37-4545AF9C8F6E}"/>
    <cellStyle name="Output 26 2 2 2" xfId="27911" xr:uid="{5777CC94-6960-462E-9CDA-4524648858A5}"/>
    <cellStyle name="Output 26 2 2 3" xfId="41089" xr:uid="{348C31B0-E702-4DE6-A794-FCA939792AAC}"/>
    <cellStyle name="Output 26 2 3" xfId="23800" xr:uid="{3986BDEC-B952-41B7-8154-C379A9B6922B}"/>
    <cellStyle name="Output 26 2 4" xfId="36881" xr:uid="{5A59D4E8-75C2-4B67-9D84-9C6D84A28CDF}"/>
    <cellStyle name="Output 26 3" xfId="12148" xr:uid="{94289268-17C1-4FD5-B890-94BE746E4E40}"/>
    <cellStyle name="Output 26 3 2" xfId="28848" xr:uid="{EBE7F75C-C2EF-4B52-A5CD-013DDFD7117D}"/>
    <cellStyle name="Output 26 3 3" xfId="42068" xr:uid="{B3B4AAFF-8805-42E4-90F1-9447E18B0119}"/>
    <cellStyle name="Output 26 4" xfId="22107" xr:uid="{741A90B2-90EF-41DB-9BF4-6B8D48354747}"/>
    <cellStyle name="Output 26 5" xfId="35156" xr:uid="{495FA662-2B48-4865-85B8-A703F4712F84}"/>
    <cellStyle name="Output 27" xfId="5264" xr:uid="{5913B313-ECCF-42CF-A790-8AE6126C89B3}"/>
    <cellStyle name="Output 27 2" xfId="9697" xr:uid="{72EADB64-E621-49BF-88D4-80979A5BE960}"/>
    <cellStyle name="Output 27 2 2" xfId="10762" xr:uid="{C35C810E-B579-449D-BF13-AF243CBD8C39}"/>
    <cellStyle name="Output 27 2 2 2" xfId="27599" xr:uid="{2FA5E96C-1F45-4E7B-ACE7-0AE8FBD6C89C}"/>
    <cellStyle name="Output 27 2 2 3" xfId="40743" xr:uid="{29FC67C3-6E10-490A-817F-9558EA839CD8}"/>
    <cellStyle name="Output 27 2 3" xfId="26998" xr:uid="{CF202A72-2CEE-4112-BEA5-26CBD436F5FA}"/>
    <cellStyle name="Output 27 2 4" xfId="40113" xr:uid="{3381BD6E-E458-4AB9-8924-46133751A3A0}"/>
    <cellStyle name="Output 27 3" xfId="12606" xr:uid="{722CA16F-014D-4317-99DA-84B5DC84288B}"/>
    <cellStyle name="Output 27 3 2" xfId="29219" xr:uid="{5D80074F-DF1A-4196-A50A-ADE3024472FF}"/>
    <cellStyle name="Output 27 3 3" xfId="42483" xr:uid="{11661C34-A1A6-4E75-8721-67A86C387C0E}"/>
    <cellStyle name="Output 27 4" xfId="22917" xr:uid="{A85AEAB7-E701-4813-96F2-E4630CD8C939}"/>
    <cellStyle name="Output 27 5" xfId="35994" xr:uid="{C450EA3E-AAC5-4730-AF81-7430BA364058}"/>
    <cellStyle name="Output 28" xfId="5350" xr:uid="{6774B0B8-469E-4B9F-8A34-16BE520850CE}"/>
    <cellStyle name="Output 28 2" xfId="9781" xr:uid="{B7826A5B-7693-4641-BB7E-A6788EFDD1C8}"/>
    <cellStyle name="Output 28 2 2" xfId="10976" xr:uid="{0068E873-4837-446F-A9B5-A477A93897A5}"/>
    <cellStyle name="Output 28 2 2 2" xfId="27785" xr:uid="{E1C369B9-D6B6-4245-8C03-FB572FCE9F1F}"/>
    <cellStyle name="Output 28 2 2 3" xfId="40956" xr:uid="{E9CAEF7E-B39D-4FE6-97F1-298C8EEB838A}"/>
    <cellStyle name="Output 28 2 3" xfId="27078" xr:uid="{A9B42B32-94C1-4781-BB21-15E5CE02ACB2}"/>
    <cellStyle name="Output 28 2 4" xfId="40197" xr:uid="{670F985D-E8FB-4BB2-A3AA-29C11F32E1B4}"/>
    <cellStyle name="Output 28 3" xfId="13078" xr:uid="{A1704397-9DCD-4CAC-8050-35FFE8FC5BAA}"/>
    <cellStyle name="Output 28 3 2" xfId="29599" xr:uid="{E78C3AC6-3759-4C05-8B1F-5B55E52D5BED}"/>
    <cellStyle name="Output 28 3 3" xfId="42908" xr:uid="{531FADC6-7973-459C-B248-84A8543B2AA5}"/>
    <cellStyle name="Output 28 4" xfId="22997" xr:uid="{36EE6001-3268-42E9-B185-4ACB535577F3}"/>
    <cellStyle name="Output 28 5" xfId="36078" xr:uid="{52EE6E8E-18BA-4204-AB85-C7E5A565B8E8}"/>
    <cellStyle name="Output 29" xfId="10360" xr:uid="{847860AF-864E-4270-BA35-A0D7FC065BAE}"/>
    <cellStyle name="Output 29 2" xfId="17589" xr:uid="{AC29720A-1C1A-4F9A-ACD7-6C84987B5772}"/>
    <cellStyle name="Output 29 2 2" xfId="33325" xr:uid="{05C50F0E-1B10-4725-936F-61621A5B3F72}"/>
    <cellStyle name="Output 29 2 3" xfId="47114" xr:uid="{7018A99E-3077-4660-9CC3-E7EC239167B0}"/>
    <cellStyle name="Output 29 3" xfId="27399" xr:uid="{464CC218-1809-4DFD-94A7-38754A37DA44}"/>
    <cellStyle name="Output 29 4" xfId="40521" xr:uid="{72665BE8-8EE0-4E08-BCA4-32C8C62630E4}"/>
    <cellStyle name="Output 3" xfId="3358" xr:uid="{CE1178B1-2158-4180-AE9C-ECF42A252730}"/>
    <cellStyle name="Output 3 10" xfId="34403" xr:uid="{0447EBEE-138F-482E-AC17-7A1CC6E51E8A}"/>
    <cellStyle name="Output 3 2" xfId="2720" xr:uid="{0DF30362-16E9-4B42-8DC9-8BF44E71F437}"/>
    <cellStyle name="Output 3 2 2" xfId="8016" xr:uid="{2990E9B9-DE37-476A-8DFF-77377CEE261E}"/>
    <cellStyle name="Output 3 2 2 2" xfId="14339" xr:uid="{3637B849-2ADD-446E-90C8-FD76C12A6442}"/>
    <cellStyle name="Output 3 2 2 2 2" xfId="30673" xr:uid="{F64D1A2E-65D9-4CD5-8CDB-A700BD58A04C}"/>
    <cellStyle name="Output 3 2 2 2 3" xfId="44069" xr:uid="{573DA00C-86E9-4590-977E-1C5E9AECA1A0}"/>
    <cellStyle name="Output 3 2 2 3" xfId="25530" xr:uid="{6228361C-EE2E-4BDF-8043-BEAD2E0ED64B}"/>
    <cellStyle name="Output 3 2 2 4" xfId="38606" xr:uid="{22A938CA-3C17-4E60-AFE8-706F7794BB06}"/>
    <cellStyle name="Output 3 2 3" xfId="6383" xr:uid="{CCC7409F-FBA4-473B-A18C-7CBBE3F76004}"/>
    <cellStyle name="Output 3 2 3 2" xfId="12393" xr:uid="{3CFCFDF9-7D7E-4EC8-BBA4-D3BDCC4996A5}"/>
    <cellStyle name="Output 3 2 3 2 2" xfId="29058" xr:uid="{6BFB03E9-A950-4ADB-9335-313A19FC267F}"/>
    <cellStyle name="Output 3 2 3 2 3" xfId="42299" xr:uid="{231A1F38-DFA4-40CF-A5AF-3F0C3FB89E2E}"/>
    <cellStyle name="Output 3 2 3 3" xfId="24021" xr:uid="{DC578CBB-6CFF-449C-AB6D-5D5B21D8AB20}"/>
    <cellStyle name="Output 3 2 3 4" xfId="37102" xr:uid="{EBC812EF-F305-4AC0-930F-666CAC08A8A6}"/>
    <cellStyle name="Output 3 2 4" xfId="15272" xr:uid="{6C3F7774-727A-4082-80C7-82481AAACCCF}"/>
    <cellStyle name="Output 3 2 4 2" xfId="31446" xr:uid="{F0FAF20C-380D-4AD7-A4A4-40079426FC14}"/>
    <cellStyle name="Output 3 2 4 3" xfId="44922" xr:uid="{3EA2A929-7BA5-41D4-AD42-21928049A454}"/>
    <cellStyle name="Output 3 2 5" xfId="20773" xr:uid="{BFD51ADE-FCAA-4B50-8A79-11FFC1F07306}"/>
    <cellStyle name="Output 3 2 6" xfId="33796" xr:uid="{8F419941-965E-4988-A6AE-5E55371170FC}"/>
    <cellStyle name="Output 3 3" xfId="4127" xr:uid="{50902A5D-7674-4B52-837A-1B2440AFC35B}"/>
    <cellStyle name="Output 3 3 2" xfId="9179" xr:uid="{B7EB5060-B62F-4477-BA68-6F797A457532}"/>
    <cellStyle name="Output 3 3 2 2" xfId="11577" xr:uid="{8EB605DA-7847-432C-992D-02D20551E372}"/>
    <cellStyle name="Output 3 3 2 2 2" xfId="28329" xr:uid="{82564025-C6C7-4F99-BD38-F8948E8B7A95}"/>
    <cellStyle name="Output 3 3 2 2 3" xfId="41529" xr:uid="{4087186B-AF1A-4516-985C-C02EE150F586}"/>
    <cellStyle name="Output 3 3 2 3" xfId="26658" xr:uid="{1548CACE-B67B-4D63-B877-EC7DEB038805}"/>
    <cellStyle name="Output 3 3 2 4" xfId="39734" xr:uid="{0CFA8007-0B0E-41DF-B608-E1FAB41A5106}"/>
    <cellStyle name="Output 3 3 3" xfId="7691" xr:uid="{D20BA6DA-2D8E-4E10-B602-009314F49A06}"/>
    <cellStyle name="Output 3 3 3 2" xfId="12957" xr:uid="{2F17FEA5-C2C9-49AE-822F-896EFB88054A}"/>
    <cellStyle name="Output 3 3 3 2 2" xfId="29495" xr:uid="{36BD18EB-C1DD-475B-A5D2-8DD3947B2E03}"/>
    <cellStyle name="Output 3 3 3 2 3" xfId="42794" xr:uid="{1298004F-909B-4686-8E36-F419699ED0B2}"/>
    <cellStyle name="Output 3 3 3 3" xfId="25217" xr:uid="{3D97C9CE-2FFF-489A-AC31-2B8A32503F07}"/>
    <cellStyle name="Output 3 3 3 4" xfId="38293" xr:uid="{C49EE32E-6F6F-4CB3-A39D-8106D46FB46A}"/>
    <cellStyle name="Output 3 3 4" xfId="11714" xr:uid="{E8AAD13E-27D7-4A12-B6D2-946A307B93BB}"/>
    <cellStyle name="Output 3 3 4 2" xfId="28445" xr:uid="{80030C3F-2386-469E-89EA-2165A3C7F3AD}"/>
    <cellStyle name="Output 3 3 4 3" xfId="41655" xr:uid="{609543CA-8044-45A2-97B7-74D675EE9804}"/>
    <cellStyle name="Output 3 3 5" xfId="21958" xr:uid="{80598121-9A58-4F4B-9A1E-EF274CDE0D19}"/>
    <cellStyle name="Output 3 3 6" xfId="35007" xr:uid="{18D70BDD-B7ED-4117-AE64-A455ED0796AA}"/>
    <cellStyle name="Output 3 4" xfId="2590" xr:uid="{25E87E6D-B4FE-49FF-A812-70DA0C4B4231}"/>
    <cellStyle name="Output 3 4 2" xfId="7887" xr:uid="{FE2110B7-2022-4558-926D-60CD62F4BA1F}"/>
    <cellStyle name="Output 3 4 2 2" xfId="10894" xr:uid="{0F9F6F9F-9431-49B3-ACA5-8FA300208DE2}"/>
    <cellStyle name="Output 3 4 2 2 2" xfId="27715" xr:uid="{FF260B80-B866-4C6A-BAB7-88AB1E984541}"/>
    <cellStyle name="Output 3 4 2 2 3" xfId="40874" xr:uid="{89F26556-FE77-4503-B8A1-4331920E7EF8}"/>
    <cellStyle name="Output 3 4 2 3" xfId="25405" xr:uid="{236DF27F-D7E2-4B3D-9C25-9DF07E4B3187}"/>
    <cellStyle name="Output 3 4 2 4" xfId="38481" xr:uid="{296893EF-60AF-4F94-8413-6277B21EDFE9}"/>
    <cellStyle name="Output 3 4 3" xfId="6254" xr:uid="{DE383188-98F7-474E-9807-39B5C0191B54}"/>
    <cellStyle name="Output 3 4 3 2" xfId="11630" xr:uid="{06A7CD5F-9386-42E4-9169-1E333F73482A}"/>
    <cellStyle name="Output 3 4 3 2 2" xfId="28376" xr:uid="{88FCD577-0713-45A8-B256-788F894F95EC}"/>
    <cellStyle name="Output 3 4 3 2 3" xfId="41579" xr:uid="{1B44E3A6-6F45-417D-97A7-2DCFEE2034DD}"/>
    <cellStyle name="Output 3 4 3 3" xfId="23896" xr:uid="{055E8854-95B9-4CE9-8340-50425B45E429}"/>
    <cellStyle name="Output 3 4 3 4" xfId="36977" xr:uid="{C29C2C04-C4E1-43E7-BA8B-E8B087465EC9}"/>
    <cellStyle name="Output 3 4 4" xfId="11435" xr:uid="{EC34FB2B-EC1F-4C27-B3CA-7FCD45AF1A8D}"/>
    <cellStyle name="Output 3 4 4 2" xfId="28201" xr:uid="{6C3E6152-9728-4EB3-944A-DB281F81EF83}"/>
    <cellStyle name="Output 3 4 4 3" xfId="41394" xr:uid="{2714AE7D-B155-4848-969B-0500792BEBEE}"/>
    <cellStyle name="Output 3 4 5" xfId="20648" xr:uid="{B467A649-0AC1-4564-9C06-3411E305A61E}"/>
    <cellStyle name="Output 3 4 6" xfId="33671" xr:uid="{EE516C92-26FB-4497-A610-37533DC5AE70}"/>
    <cellStyle name="Output 3 5" xfId="4170" xr:uid="{890F3604-0733-41FD-BE0F-021449B897A7}"/>
    <cellStyle name="Output 3 5 2" xfId="9222" xr:uid="{6DBD339D-FFD1-44FC-BBEC-E6242B1EDED8}"/>
    <cellStyle name="Output 3 5 2 2" xfId="13868" xr:uid="{80AEEF15-BF19-4701-B025-589A52D7C182}"/>
    <cellStyle name="Output 3 5 2 2 2" xfId="30266" xr:uid="{50BAD075-89A5-4117-847A-A73D0D722BC0}"/>
    <cellStyle name="Output 3 5 2 2 3" xfId="43638" xr:uid="{DE3D9682-9E62-4C7B-AEA1-E338AF557F93}"/>
    <cellStyle name="Output 3 5 2 3" xfId="26697" xr:uid="{F1D074C7-5FEA-464F-B864-FB3CF6753E00}"/>
    <cellStyle name="Output 3 5 2 4" xfId="39773" xr:uid="{64195316-E4D7-4A70-8AD8-5ACF139383D5}"/>
    <cellStyle name="Output 3 5 3" xfId="7734" xr:uid="{CF64CC11-91AB-4895-92B4-10C7DF36A4E8}"/>
    <cellStyle name="Output 3 5 3 2" xfId="14684" xr:uid="{07395305-6317-4347-AF26-795A1E621477}"/>
    <cellStyle name="Output 3 5 3 2 2" xfId="30977" xr:uid="{2FB8A80B-F758-45E6-A13B-3D09E7D90F30}"/>
    <cellStyle name="Output 3 5 3 2 3" xfId="44398" xr:uid="{801A9579-6AA2-4C52-832B-898759AFD817}"/>
    <cellStyle name="Output 3 5 3 3" xfId="25256" xr:uid="{9602B9D0-C8DA-4FF9-B154-09E46B991CA1}"/>
    <cellStyle name="Output 3 5 3 4" xfId="38332" xr:uid="{99E5DD80-A829-414C-BC43-7DDA09BF0677}"/>
    <cellStyle name="Output 3 5 4" xfId="12647" xr:uid="{0DACC4A5-0A27-4E69-8AE4-62077A22CB8F}"/>
    <cellStyle name="Output 3 5 4 2" xfId="29249" xr:uid="{8B962961-7986-4A92-9D7B-891B1A024BA9}"/>
    <cellStyle name="Output 3 5 4 3" xfId="42518" xr:uid="{6C4DB5E5-F969-473E-8BFD-B7FF499C66BF}"/>
    <cellStyle name="Output 3 5 5" xfId="21997" xr:uid="{BDBC5DD1-B66A-4164-B47C-795596486F1A}"/>
    <cellStyle name="Output 3 5 6" xfId="35046" xr:uid="{F790CAF7-0B9D-424B-9D90-71E2C118EDF0}"/>
    <cellStyle name="Output 3 6" xfId="4388" xr:uid="{3520DD8D-DC6C-4080-BD8B-ADD0223DB709}"/>
    <cellStyle name="Output 3 6 2" xfId="7008" xr:uid="{13C13FCF-779C-4984-BEE1-B93BE2DC1B51}"/>
    <cellStyle name="Output 3 6 2 2" xfId="13620" xr:uid="{335E72A3-EC64-43E4-81E3-AEDC8D0980CD}"/>
    <cellStyle name="Output 3 6 2 2 2" xfId="30057" xr:uid="{BB8DD755-B669-425A-AC95-3378BCA3B629}"/>
    <cellStyle name="Output 3 6 2 2 3" xfId="43411" xr:uid="{908BF034-97D9-4B94-A3D6-51D0044F885F}"/>
    <cellStyle name="Output 3 6 2 3" xfId="24628" xr:uid="{F00BEB21-B168-4079-93E4-DA72A1F97F76}"/>
    <cellStyle name="Output 3 6 2 4" xfId="37709" xr:uid="{D0705587-0AFB-4F28-A683-74600C9C3E2C}"/>
    <cellStyle name="Output 3 6 3" xfId="13076" xr:uid="{67DEAB94-7B62-4248-9C68-97CAFA77F8FC}"/>
    <cellStyle name="Output 3 6 3 2" xfId="29597" xr:uid="{5840B9F0-E8C0-46E5-A840-0374C1BD9A86}"/>
    <cellStyle name="Output 3 6 3 3" xfId="42906" xr:uid="{9563E64E-809A-4C43-A621-7F8AB3724286}"/>
    <cellStyle name="Output 3 6 4" xfId="22207" xr:uid="{64F6FDC7-121E-461B-8597-76EFAD660618}"/>
    <cellStyle name="Output 3 6 5" xfId="35256" xr:uid="{DFE74A95-19E3-4972-9674-7F24D02396F5}"/>
    <cellStyle name="Output 3 7" xfId="5442" xr:uid="{93C4AC66-8F71-4F81-8865-441F6C9A2A52}"/>
    <cellStyle name="Output 3 7 2" xfId="8621" xr:uid="{0D6C71AB-1FE8-4899-9B87-80BE19671C21}"/>
    <cellStyle name="Output 3 7 2 2" xfId="15808" xr:uid="{7E7EDD63-AFAF-4621-A1DC-E24F519D1742}"/>
    <cellStyle name="Output 3 7 2 2 2" xfId="31905" xr:uid="{AA3FC7EA-3081-4431-8EA0-7E77ACB3E210}"/>
    <cellStyle name="Output 3 7 2 2 3" xfId="45417" xr:uid="{FD49FDB6-FFBC-4F26-A116-32516A5277F6}"/>
    <cellStyle name="Output 3 7 2 3" xfId="26117" xr:uid="{8091EFAD-A3FE-44D0-AE7D-8213A7A100DB}"/>
    <cellStyle name="Output 3 7 2 4" xfId="39193" xr:uid="{08EC3584-8908-4509-BF41-F78C2A80E59A}"/>
    <cellStyle name="Output 3 7 3" xfId="11495" xr:uid="{AE6E288C-E6CC-486F-A137-8268E272EFE7}"/>
    <cellStyle name="Output 3 7 3 2" xfId="28256" xr:uid="{6BAD03D2-C8B0-4772-A199-98706367E9D0}"/>
    <cellStyle name="Output 3 7 3 3" xfId="41452" xr:uid="{97E58269-18DB-43F8-9896-77509DFD7958}"/>
    <cellStyle name="Output 3 7 4" xfId="23089" xr:uid="{D8E1D5F0-3F6A-4D01-8B0C-BB1811D2F4ED}"/>
    <cellStyle name="Output 3 7 5" xfId="36170" xr:uid="{7EB997AD-38B8-440E-9415-A870A5C95ED8}"/>
    <cellStyle name="Output 3 8" xfId="14560" xr:uid="{1B46F5AB-1FBE-4655-AEBF-5C74813D014F}"/>
    <cellStyle name="Output 3 8 2" xfId="30867" xr:uid="{03DCE7FB-B074-4EA3-98FF-1BAC859105D8}"/>
    <cellStyle name="Output 3 8 3" xfId="44281" xr:uid="{9475DB88-E275-4545-B3CA-8B5F2BA04D0D}"/>
    <cellStyle name="Output 3 9" xfId="21380" xr:uid="{02B1A9C7-C76E-42DD-903F-3F91BFA088BC}"/>
    <cellStyle name="Output 30" xfId="10556" xr:uid="{7FD27F34-6E75-4F29-85A7-26AA2066C7A7}"/>
    <cellStyle name="Output 30 2" xfId="17601" xr:uid="{9C927F65-9E1D-4EE4-BA98-15A781426B53}"/>
    <cellStyle name="Output 30 2 2" xfId="33336" xr:uid="{4105C824-9070-4E55-8556-85746B9C219E}"/>
    <cellStyle name="Output 30 2 3" xfId="47126" xr:uid="{B31D4D31-C424-4481-8D5A-BF557FF84581}"/>
    <cellStyle name="Output 30 3" xfId="27415" xr:uid="{76848407-B518-4EFF-91AC-163675E005C1}"/>
    <cellStyle name="Output 30 4" xfId="40537" xr:uid="{D087FE1B-0A98-4621-BC9D-BF9DB55384E6}"/>
    <cellStyle name="Output 31" xfId="11955" xr:uid="{DA4DACC3-DDCD-4C1B-992A-FF63521A09A2}"/>
    <cellStyle name="Output 31 2" xfId="28664" xr:uid="{A08173E5-FCA5-401C-88B9-680E76ADA2BB}"/>
    <cellStyle name="Output 31 3" xfId="41882" xr:uid="{13105A94-37CE-4B76-B7DB-FD71F1D19F26}"/>
    <cellStyle name="Output 32" xfId="12031" xr:uid="{3B74CBC5-01C0-45C9-94AE-C2116E5E71BF}"/>
    <cellStyle name="Output 32 2" xfId="28733" xr:uid="{80E129F8-108E-4F5D-B6B5-EE11D2B35709}"/>
    <cellStyle name="Output 32 3" xfId="41951" xr:uid="{A675EC3F-4957-43F0-88D0-D67B82BA1292}"/>
    <cellStyle name="Output 33" xfId="14406" xr:uid="{ACA520B0-470A-4B05-BB9B-EA77B003C262}"/>
    <cellStyle name="Output 33 2" xfId="30737" xr:uid="{6BF1F0A0-67AD-413F-A3C0-73A332E4991A}"/>
    <cellStyle name="Output 33 3" xfId="44136" xr:uid="{1C012BC6-AA59-4234-985B-0AAE253C4C80}"/>
    <cellStyle name="Output 34" xfId="17654" xr:uid="{B022DB19-D59C-4F12-AC02-CD1A65BCA43B}"/>
    <cellStyle name="Output 34 2" xfId="33377" xr:uid="{B05BC77C-FC66-4E2B-923A-B2DA9734F557}"/>
    <cellStyle name="Output 34 3" xfId="47166" xr:uid="{E60D2C7C-5002-447B-8923-000B281A42B9}"/>
    <cellStyle name="Output 35" xfId="33554" xr:uid="{3A4AF3A7-01EB-40C2-AF40-3AE65418661A}"/>
    <cellStyle name="Output 4" xfId="3431" xr:uid="{3AB3ACF1-6B99-4870-B342-0BF0CC7F5EF6}"/>
    <cellStyle name="Output 4 10" xfId="34447" xr:uid="{7CC3932A-B0F4-46D3-8C37-09EF2DCBC062}"/>
    <cellStyle name="Output 4 2" xfId="2773" xr:uid="{DA92DA93-47BE-4353-B53C-1E6C940AA273}"/>
    <cellStyle name="Output 4 2 2" xfId="8069" xr:uid="{F1B97498-CFBE-4D58-BF36-D3286F50CFA4}"/>
    <cellStyle name="Output 4 2 2 2" xfId="14004" xr:uid="{5355E259-19FD-49EB-8C2F-03B78EF2ADC6}"/>
    <cellStyle name="Output 4 2 2 2 2" xfId="30387" xr:uid="{F96C278E-5944-4D84-B381-DDC17B07D1D1}"/>
    <cellStyle name="Output 4 2 2 2 3" xfId="43766" xr:uid="{6D753ED2-CD26-4443-B351-1965B3C0254F}"/>
    <cellStyle name="Output 4 2 2 3" xfId="25580" xr:uid="{E6660BF7-48B1-48E3-BBD6-809D68790F39}"/>
    <cellStyle name="Output 4 2 2 4" xfId="38656" xr:uid="{ED8BBC0E-F738-4CD1-BA1D-C9A632DCBC67}"/>
    <cellStyle name="Output 4 2 3" xfId="6436" xr:uid="{EE85BD7F-F2F2-4DED-BE40-9DCAEC8CD4DF}"/>
    <cellStyle name="Output 4 2 3 2" xfId="13407" xr:uid="{88AB32B9-858B-402B-900A-E1F00874B17A}"/>
    <cellStyle name="Output 4 2 3 2 2" xfId="29876" xr:uid="{CAD9FA62-4015-42F4-9C19-5480A151D14C}"/>
    <cellStyle name="Output 4 2 3 2 3" xfId="43211" xr:uid="{C07274B2-871B-44DF-8C30-659B178D7869}"/>
    <cellStyle name="Output 4 2 3 3" xfId="24071" xr:uid="{9A7712B9-0F1E-4E5A-9122-F06594410F8B}"/>
    <cellStyle name="Output 4 2 3 4" xfId="37152" xr:uid="{DF87C99F-B74E-4862-B898-4CCF1FC98A57}"/>
    <cellStyle name="Output 4 2 4" xfId="13342" xr:uid="{110ECF97-EFDA-49A5-B753-3B73A5898D17}"/>
    <cellStyle name="Output 4 2 4 2" xfId="29823" xr:uid="{ECB15FF0-6450-4533-B8B7-D07844B1A200}"/>
    <cellStyle name="Output 4 2 4 3" xfId="43155" xr:uid="{CCBA572F-3B30-4C8F-8EC3-5463F126E899}"/>
    <cellStyle name="Output 4 2 5" xfId="20823" xr:uid="{6A81F997-4B7D-42DA-8E8F-841A5BE61227}"/>
    <cellStyle name="Output 4 2 6" xfId="33846" xr:uid="{79F704D4-3FB6-4582-8DC2-312F25A1FA82}"/>
    <cellStyle name="Output 4 3" xfId="4165" xr:uid="{10B3EE2F-31C4-49F0-A641-6B0701F2BCAA}"/>
    <cellStyle name="Output 4 3 2" xfId="9217" xr:uid="{E604B084-5BA7-4ECE-A75F-C5B82BF83F5F}"/>
    <cellStyle name="Output 4 3 2 2" xfId="11164" xr:uid="{85A1FA0B-3272-4EBB-985E-85783EA10BC4}"/>
    <cellStyle name="Output 4 3 2 2 2" xfId="27958" xr:uid="{A979A454-C1AC-4E38-9550-321D2CE40684}"/>
    <cellStyle name="Output 4 3 2 2 3" xfId="41140" xr:uid="{E9868B59-615D-427D-8258-AC68CC20CCBF}"/>
    <cellStyle name="Output 4 3 2 3" xfId="26692" xr:uid="{944C2093-22E8-4009-A021-122AFE0DE805}"/>
    <cellStyle name="Output 4 3 2 4" xfId="39768" xr:uid="{7BFBF2EA-D1E4-4B9F-A6DB-480528229C5A}"/>
    <cellStyle name="Output 4 3 3" xfId="7729" xr:uid="{57C6A1F2-4385-416A-BC2A-63A63873FDE2}"/>
    <cellStyle name="Output 4 3 3 2" xfId="12982" xr:uid="{2264DA4D-055F-44E4-985C-AF89581533E0}"/>
    <cellStyle name="Output 4 3 3 2 2" xfId="29520" xr:uid="{E49B6978-3557-47A3-B99C-CD4501418DEE}"/>
    <cellStyle name="Output 4 3 3 2 3" xfId="42819" xr:uid="{A9A3DFCA-1FD8-465B-B340-1682625244E8}"/>
    <cellStyle name="Output 4 3 3 3" xfId="25251" xr:uid="{80CBD7C2-86D2-471C-8996-D5EEBDF8A493}"/>
    <cellStyle name="Output 4 3 3 4" xfId="38327" xr:uid="{EDDEFADA-8D95-496C-8BC0-0A77095BA38C}"/>
    <cellStyle name="Output 4 3 4" xfId="13892" xr:uid="{1E5969D2-B37D-40F3-ACF5-02A5F67BC7D6}"/>
    <cellStyle name="Output 4 3 4 2" xfId="30286" xr:uid="{C035E9E7-7362-4045-9D20-2D445D9585BE}"/>
    <cellStyle name="Output 4 3 4 3" xfId="43658" xr:uid="{EDB899FB-BF1D-488B-8F47-49549B4D769D}"/>
    <cellStyle name="Output 4 3 5" xfId="21992" xr:uid="{1EC8F071-FB9C-43CA-9813-E700A8775FF9}"/>
    <cellStyle name="Output 4 3 6" xfId="35041" xr:uid="{F68918D1-9093-4896-975B-666ED49AA2DA}"/>
    <cellStyle name="Output 4 4" xfId="2617" xr:uid="{D4A1BF93-B6EE-468D-9DDD-D9C0DAA25522}"/>
    <cellStyle name="Output 4 4 2" xfId="7914" xr:uid="{42B7773B-0821-4677-AF2A-D7BAC9CB5803}"/>
    <cellStyle name="Output 4 4 2 2" xfId="11089" xr:uid="{2A80B139-9226-43F7-A663-0F6C439897D8}"/>
    <cellStyle name="Output 4 4 2 2 2" xfId="27890" xr:uid="{0A28861E-0B35-4FAA-9FEE-B88171416964}"/>
    <cellStyle name="Output 4 4 2 2 3" xfId="41068" xr:uid="{B0099B43-9FA9-44AC-A21B-4EFFC3B30E40}"/>
    <cellStyle name="Output 4 4 2 3" xfId="25430" xr:uid="{FAC2EEB0-11BC-4D4A-B277-19A22EDC9DC0}"/>
    <cellStyle name="Output 4 4 2 4" xfId="38506" xr:uid="{E76F1C39-FFC0-4464-B692-0A0BDC30FC70}"/>
    <cellStyle name="Output 4 4 3" xfId="6281" xr:uid="{267B4634-AD9F-427A-8655-FBF1F989BD14}"/>
    <cellStyle name="Output 4 4 3 2" xfId="12379" xr:uid="{91820716-EE63-4444-B143-0F8ABF69868E}"/>
    <cellStyle name="Output 4 4 3 2 2" xfId="29045" xr:uid="{3EE6D48B-F84B-4170-9BF8-2A410D320E4D}"/>
    <cellStyle name="Output 4 4 3 2 3" xfId="42285" xr:uid="{FC25F057-2789-44B1-84A2-6EBDC7E157D5}"/>
    <cellStyle name="Output 4 4 3 3" xfId="23921" xr:uid="{6813C3DC-E95F-4F90-84D3-2F0460413C4E}"/>
    <cellStyle name="Output 4 4 3 4" xfId="37002" xr:uid="{E5F35F62-81CB-49C0-B121-6F10917C6F14}"/>
    <cellStyle name="Output 4 4 4" xfId="16423" xr:uid="{175DF133-D174-4F0B-887D-3FFE25CEB979}"/>
    <cellStyle name="Output 4 4 4 2" xfId="32437" xr:uid="{B4E1D7AD-DA66-4347-858B-954E0943320C}"/>
    <cellStyle name="Output 4 4 4 3" xfId="45974" xr:uid="{984B95A8-3602-4595-8D93-E8E357D3781A}"/>
    <cellStyle name="Output 4 4 5" xfId="20673" xr:uid="{DF5CB8FB-0842-4314-A6D9-E1CD8ACAE329}"/>
    <cellStyle name="Output 4 4 6" xfId="33696" xr:uid="{B65AFAD4-FB38-43E9-9CFC-1CD7768AC244}"/>
    <cellStyle name="Output 4 5" xfId="4229" xr:uid="{7C6C1507-337A-485B-9A4F-0F17BEC4CC3C}"/>
    <cellStyle name="Output 4 5 2" xfId="9281" xr:uid="{690CD3F8-C7D3-4EBC-AFD4-72EBE05CDFAF}"/>
    <cellStyle name="Output 4 5 2 2" xfId="15919" xr:uid="{E794A2D2-7347-4C73-BC0C-DCB2450CAF8B}"/>
    <cellStyle name="Output 4 5 2 2 2" xfId="32001" xr:uid="{FD12B3B5-210D-4B9D-85F9-D7281E3C6617}"/>
    <cellStyle name="Output 4 5 2 2 3" xfId="45517" xr:uid="{C74AF93C-48B2-4E9A-9A11-185297E5CBF2}"/>
    <cellStyle name="Output 4 5 2 3" xfId="26754" xr:uid="{20B74F46-4D2D-401F-9067-BC49945C795E}"/>
    <cellStyle name="Output 4 5 2 4" xfId="39830" xr:uid="{874095D6-52BE-41EA-8B1D-FE78C85C56D8}"/>
    <cellStyle name="Output 4 5 3" xfId="7793" xr:uid="{80D73CFC-4956-47BA-B7AB-D2F73BB21C4E}"/>
    <cellStyle name="Output 4 5 3 2" xfId="11944" xr:uid="{D4EFA9BE-B2D3-4CA2-B237-607BD841832B}"/>
    <cellStyle name="Output 4 5 3 2 2" xfId="28654" xr:uid="{9C40E0E0-BA35-4D2C-919C-803A8978D4AE}"/>
    <cellStyle name="Output 4 5 3 2 3" xfId="41872" xr:uid="{29CCE939-B603-438F-A79E-FD02893E9353}"/>
    <cellStyle name="Output 4 5 3 3" xfId="25313" xr:uid="{AF4FA709-D5E6-4B34-9ED7-D4AB9C8DE8C3}"/>
    <cellStyle name="Output 4 5 3 4" xfId="38389" xr:uid="{2A168A77-EF1E-43AE-936F-8554F019180C}"/>
    <cellStyle name="Output 4 5 4" xfId="13568" xr:uid="{ACCAEF92-7F9D-4936-816E-9D036D124566}"/>
    <cellStyle name="Output 4 5 4 2" xfId="30011" xr:uid="{2515DE32-AAB9-41DA-AA23-BB146DA725B3}"/>
    <cellStyle name="Output 4 5 4 3" xfId="43361" xr:uid="{DE2068FB-27CA-464B-B5A6-739876F0AC32}"/>
    <cellStyle name="Output 4 5 5" xfId="22054" xr:uid="{FC4E07B5-25D8-4496-9A46-531C3D6CCE92}"/>
    <cellStyle name="Output 4 5 6" xfId="35103" xr:uid="{F47CD957-02F0-4313-966A-FE5739E3EEC5}"/>
    <cellStyle name="Output 4 6" xfId="4433" xr:uid="{45377A7D-EF56-4F89-8056-526F534D4493}"/>
    <cellStyle name="Output 4 6 2" xfId="7073" xr:uid="{2D8B7DF6-F318-43E9-B472-922E800AE72B}"/>
    <cellStyle name="Output 4 6 2 2" xfId="10768" xr:uid="{A0B283F3-8B95-4771-BF5D-AEC49AF4BF96}"/>
    <cellStyle name="Output 4 6 2 2 2" xfId="27603" xr:uid="{BD064EC2-DBB9-46CD-87D4-95C39A6E1A98}"/>
    <cellStyle name="Output 4 6 2 2 3" xfId="40749" xr:uid="{F80486F2-4E6B-4343-9AD8-36D46F0BB825}"/>
    <cellStyle name="Output 4 6 2 3" xfId="24672" xr:uid="{6EF9CBB7-DA79-4317-92D0-66EC8AAD0ECE}"/>
    <cellStyle name="Output 4 6 2 4" xfId="37753" xr:uid="{258A2EE8-1D14-4A78-BC9C-01167BF51653}"/>
    <cellStyle name="Output 4 6 3" xfId="11626" xr:uid="{759B4897-F8C3-4795-A704-009AC2FC27F6}"/>
    <cellStyle name="Output 4 6 3 2" xfId="28372" xr:uid="{5C5C5F4A-6A34-4314-A076-F4387D6712DE}"/>
    <cellStyle name="Output 4 6 3 3" xfId="41575" xr:uid="{DA695DF3-D648-4D45-95B6-525E15A4958E}"/>
    <cellStyle name="Output 4 6 4" xfId="22251" xr:uid="{97BD1474-A546-4429-BE26-A7DCF572DDD6}"/>
    <cellStyle name="Output 4 6 5" xfId="35300" xr:uid="{270FCB29-19DA-4031-AF92-1FC5646CA543}"/>
    <cellStyle name="Output 4 7" xfId="5486" xr:uid="{126131FE-CBA5-4518-8F6C-30F9D3B9CB0C}"/>
    <cellStyle name="Output 4 7 2" xfId="8668" xr:uid="{F583FD1D-430C-48CE-A0C0-662BAC143519}"/>
    <cellStyle name="Output 4 7 2 2" xfId="16813" xr:uid="{B6F35496-58FB-4E62-A44C-74151A47B14C}"/>
    <cellStyle name="Output 4 7 2 2 2" xfId="32693" xr:uid="{A1E0276F-7C2C-47FC-80AB-F5E2EDE30973}"/>
    <cellStyle name="Output 4 7 2 2 3" xfId="46356" xr:uid="{A6BCB4FF-B6E9-419E-BBCC-19050F585E08}"/>
    <cellStyle name="Output 4 7 2 3" xfId="26161" xr:uid="{EF8702DE-51AC-4EE7-A1C8-66D5E0240B2D}"/>
    <cellStyle name="Output 4 7 2 4" xfId="39237" xr:uid="{DF6A1C16-8DDC-474A-A931-C860AC2AE01A}"/>
    <cellStyle name="Output 4 7 3" xfId="15782" xr:uid="{6A1C8F0D-84D1-4AFF-9505-3C19E17ECB04}"/>
    <cellStyle name="Output 4 7 3 2" xfId="31883" xr:uid="{6B16AA01-50DE-44C8-9B95-BBC2D8A98B50}"/>
    <cellStyle name="Output 4 7 3 3" xfId="45394" xr:uid="{A669A2E3-77CC-44D8-8AC7-72D9662C293D}"/>
    <cellStyle name="Output 4 7 4" xfId="23133" xr:uid="{C7014226-FF85-459D-B538-B99DED32DCC6}"/>
    <cellStyle name="Output 4 7 5" xfId="36214" xr:uid="{03F0580B-4DD7-4402-97CE-927292E8EB38}"/>
    <cellStyle name="Output 4 8" xfId="15643" xr:uid="{9ACDD17D-6E2D-4C9C-A083-46CD29B736FF}"/>
    <cellStyle name="Output 4 8 2" xfId="31762" xr:uid="{22ECAA36-C08D-4C5B-83A0-E10CBFFFC541}"/>
    <cellStyle name="Output 4 8 3" xfId="45267" xr:uid="{6AEC6681-4673-444B-B8F4-0FB034F07193}"/>
    <cellStyle name="Output 4 9" xfId="21415" xr:uid="{3FC91807-724A-4A06-AF4A-B8AE8804B093}"/>
    <cellStyle name="Output 5" xfId="3420" xr:uid="{E5214F45-D4A4-4994-9279-4BF7A9F75983}"/>
    <cellStyle name="Output 5 2" xfId="2762" xr:uid="{76C437B5-F796-426D-8E19-0CA9C4B6A80B}"/>
    <cellStyle name="Output 5 2 2" xfId="8058" xr:uid="{25F8C3B2-999F-471D-8C90-451C157B4835}"/>
    <cellStyle name="Output 5 2 2 2" xfId="17056" xr:uid="{4922516B-C24C-4383-8FF5-3E166EDBBD87}"/>
    <cellStyle name="Output 5 2 2 2 2" xfId="32827" xr:uid="{FC036166-AC53-4507-921E-17B7AC68FD46}"/>
    <cellStyle name="Output 5 2 2 2 3" xfId="46597" xr:uid="{67D48FE0-A778-4848-AEA7-BE65C262D046}"/>
    <cellStyle name="Output 5 2 2 3" xfId="25571" xr:uid="{9A141B1B-F01D-4A26-A273-5170DA391CAC}"/>
    <cellStyle name="Output 5 2 2 4" xfId="38647" xr:uid="{72DB9DF1-DF23-4EC6-B28B-4AED2AADBFC0}"/>
    <cellStyle name="Output 5 2 3" xfId="6425" xr:uid="{E6CEDDF6-CA42-429F-9A46-A3BFBB2652AE}"/>
    <cellStyle name="Output 5 2 3 2" xfId="11989" xr:uid="{BBFD8339-08BE-411D-866D-5571EBCD919C}"/>
    <cellStyle name="Output 5 2 3 2 2" xfId="28695" xr:uid="{E92377D4-B621-4954-AFDF-5228B0B1BC06}"/>
    <cellStyle name="Output 5 2 3 2 3" xfId="41913" xr:uid="{8EE3EFE5-204F-4D67-A9A6-3AA7332A7056}"/>
    <cellStyle name="Output 5 2 3 3" xfId="24062" xr:uid="{07367779-0FE2-4AEB-8AC2-F5CE1E0785AD}"/>
    <cellStyle name="Output 5 2 3 4" xfId="37143" xr:uid="{BBF209D5-338F-4CAF-9434-50E2C9A8CE5E}"/>
    <cellStyle name="Output 5 2 4" xfId="13074" xr:uid="{8E8D6B1D-4756-44F7-9330-DCADB8860A7B}"/>
    <cellStyle name="Output 5 2 4 2" xfId="29595" xr:uid="{02B36F7F-A00D-4BD2-92F6-F580572750A1}"/>
    <cellStyle name="Output 5 2 4 3" xfId="42904" xr:uid="{9E369E0A-A0CE-4665-95F4-11A5852704B4}"/>
    <cellStyle name="Output 5 2 5" xfId="20814" xr:uid="{F90868BC-A10B-4D1C-860A-51539850C79D}"/>
    <cellStyle name="Output 5 2 6" xfId="33837" xr:uid="{2745756C-2535-4B63-BA3C-07C845580855}"/>
    <cellStyle name="Output 5 3" xfId="4423" xr:uid="{B3AEA7BA-317E-4DBB-B007-28510037CECD}"/>
    <cellStyle name="Output 5 3 2" xfId="7062" xr:uid="{7AAC4D8B-7F4B-4B30-8FA3-6611C3A08417}"/>
    <cellStyle name="Output 5 3 2 2" xfId="12723" xr:uid="{59CCBC72-6E78-4122-9DBB-2862F84719FC}"/>
    <cellStyle name="Output 5 3 2 2 2" xfId="29306" xr:uid="{3DA564AF-90E1-435D-8E8C-BE3528431138}"/>
    <cellStyle name="Output 5 3 2 2 3" xfId="42583" xr:uid="{3F50A16E-26F5-45A2-ABA0-26DFB86BFE6C}"/>
    <cellStyle name="Output 5 3 2 3" xfId="24663" xr:uid="{7EDFC15D-C6F8-466C-A0E9-D1793DE36507}"/>
    <cellStyle name="Output 5 3 2 4" xfId="37744" xr:uid="{90E78D6D-64A7-488F-8F85-F114AE6A7318}"/>
    <cellStyle name="Output 5 3 3" xfId="17055" xr:uid="{088C4142-8EF0-4445-AB71-7D7AD2C5C6D2}"/>
    <cellStyle name="Output 5 3 3 2" xfId="32826" xr:uid="{EF112528-29ED-499D-9F99-3127C6BB5D8C}"/>
    <cellStyle name="Output 5 3 3 3" xfId="46596" xr:uid="{07897D27-22EC-4927-AFC6-A16552C4B058}"/>
    <cellStyle name="Output 5 3 4" xfId="22242" xr:uid="{20EC2E4C-62D0-4260-A4D7-68C81C42FD19}"/>
    <cellStyle name="Output 5 3 5" xfId="35291" xr:uid="{F322F045-A25B-490E-A7D7-B06770243374}"/>
    <cellStyle name="Output 5 4" xfId="5477" xr:uid="{28C7EE51-5745-4FF9-B4F8-B1AB1C03B9C8}"/>
    <cellStyle name="Output 5 4 2" xfId="8657" xr:uid="{476F0DB7-40A4-4E04-A81F-9900C6BCB1E1}"/>
    <cellStyle name="Output 5 4 2 2" xfId="10698" xr:uid="{E52B57D7-D77B-4EA4-9931-F67E439112F3}"/>
    <cellStyle name="Output 5 4 2 2 2" xfId="27543" xr:uid="{E88718B4-A777-440A-B13F-39D0A5708424}"/>
    <cellStyle name="Output 5 4 2 2 3" xfId="40679" xr:uid="{F4F4CCA0-8162-4CC9-A2DE-2713C91F0E4F}"/>
    <cellStyle name="Output 5 4 2 3" xfId="26152" xr:uid="{9B4A8BB3-F560-42F3-9583-B7CEF9B34AB9}"/>
    <cellStyle name="Output 5 4 2 4" xfId="39228" xr:uid="{8AE19AC4-C946-4519-9DC5-3FEB87977FE1}"/>
    <cellStyle name="Output 5 4 3" xfId="11525" xr:uid="{D13AE355-24B6-46D0-B073-3967BEDFDE6F}"/>
    <cellStyle name="Output 5 4 3 2" xfId="28283" xr:uid="{69BB9BB5-A62C-4565-AACC-F867E1ADA773}"/>
    <cellStyle name="Output 5 4 3 3" xfId="41480" xr:uid="{314AA8C6-2123-4D81-B2D8-E8ECC7876ACD}"/>
    <cellStyle name="Output 5 4 4" xfId="23124" xr:uid="{B61DEBD8-83EF-4C86-AEB2-44881C388235}"/>
    <cellStyle name="Output 5 4 5" xfId="36205" xr:uid="{3B7F0F70-ADB3-4D7C-8C9A-4303E3FDFE04}"/>
    <cellStyle name="Output 5 5" xfId="10674" xr:uid="{EE3618D7-E46C-42E1-9311-E6F147FB8B96}"/>
    <cellStyle name="Output 5 5 2" xfId="27524" xr:uid="{910BDC9A-3140-4669-9FE7-FC7B8BC8E8DB}"/>
    <cellStyle name="Output 5 5 3" xfId="40655" xr:uid="{3635800C-A141-4127-B908-50246D5DEA67}"/>
    <cellStyle name="Output 5 6" xfId="21409" xr:uid="{4EA65D51-3BA8-4798-828B-1FCB4FFE4CD6}"/>
    <cellStyle name="Output 5 7" xfId="34438" xr:uid="{EF156104-FC76-421C-A0BC-1179C25B5CAD}"/>
    <cellStyle name="Output 6" xfId="3331" xr:uid="{35B57F7D-01A4-42E0-BDB6-1ED57C979B6E}"/>
    <cellStyle name="Output 6 2" xfId="2693" xr:uid="{9E172901-4482-483A-B1C1-30F7CCD9AFFA}"/>
    <cellStyle name="Output 6 2 2" xfId="7989" xr:uid="{D978C5EB-97D4-4391-8B50-89E0C2885780}"/>
    <cellStyle name="Output 6 2 2 2" xfId="14205" xr:uid="{DEEA5F2F-5D9B-40DC-9CE7-35369A5FB948}"/>
    <cellStyle name="Output 6 2 2 2 2" xfId="30550" xr:uid="{26E25029-452C-4242-A3BF-6DCEFDC1F7B9}"/>
    <cellStyle name="Output 6 2 2 2 3" xfId="43942" xr:uid="{7EEA67F5-D794-45C4-B5B7-8B316AE249E2}"/>
    <cellStyle name="Output 6 2 2 3" xfId="25505" xr:uid="{2039D76E-B24A-41D1-9C77-17DFA90ECA68}"/>
    <cellStyle name="Output 6 2 2 4" xfId="38581" xr:uid="{EA9FF47B-906D-4AC5-B161-96E34D0E2F4B}"/>
    <cellStyle name="Output 6 2 3" xfId="6356" xr:uid="{905BA3F0-3181-42D2-8A58-C058407F7790}"/>
    <cellStyle name="Output 6 2 3 2" xfId="16812" xr:uid="{277E56B6-F984-47C9-BC63-8BFA2AAC7C4E}"/>
    <cellStyle name="Output 6 2 3 2 2" xfId="32692" xr:uid="{4CA0B706-BD77-4CE5-A889-1C5610B08524}"/>
    <cellStyle name="Output 6 2 3 2 3" xfId="46355" xr:uid="{45677A93-9C2D-4CAA-AF95-E0CBE9EC58FF}"/>
    <cellStyle name="Output 6 2 3 3" xfId="23996" xr:uid="{47313C6F-1FD1-4FA3-A807-E8969560E2C0}"/>
    <cellStyle name="Output 6 2 3 4" xfId="37077" xr:uid="{F0CA40E2-020C-4DB2-A54D-7974CC406653}"/>
    <cellStyle name="Output 6 2 4" xfId="15857" xr:uid="{BAD61F12-0D85-449C-9C9A-747D27CF3D67}"/>
    <cellStyle name="Output 6 2 4 2" xfId="31949" xr:uid="{5266B00D-131D-4BA2-AE33-AFCE333122D1}"/>
    <cellStyle name="Output 6 2 4 3" xfId="45461" xr:uid="{3030FC74-A5B2-4E04-A7EC-190B95C7C8EB}"/>
    <cellStyle name="Output 6 2 5" xfId="20748" xr:uid="{50076A54-617B-42F7-91A1-56AB5CD50D29}"/>
    <cellStyle name="Output 6 2 6" xfId="33771" xr:uid="{6B7CBF8E-9F65-4BAE-AE24-7820C5E159B7}"/>
    <cellStyle name="Output 6 3" xfId="4362" xr:uid="{B8834B3A-F979-4FD8-B122-0B7312325007}"/>
    <cellStyle name="Output 6 3 2" xfId="6981" xr:uid="{F10EBDC1-9DC6-41B2-AC80-714C16080B9C}"/>
    <cellStyle name="Output 6 3 2 2" xfId="11953" xr:uid="{40F1EF7B-DF20-40CA-AA77-45B4D4698D6C}"/>
    <cellStyle name="Output 6 3 2 2 2" xfId="28662" xr:uid="{ED22E222-24EE-403F-9CBA-97619C7B0EF0}"/>
    <cellStyle name="Output 6 3 2 2 3" xfId="41880" xr:uid="{876225A1-DD0D-4682-9015-111BC79E1953}"/>
    <cellStyle name="Output 6 3 2 3" xfId="24603" xr:uid="{E7F2CA10-109A-4660-A43D-A5E04C3FCFB3}"/>
    <cellStyle name="Output 6 3 2 4" xfId="37684" xr:uid="{F314FEC7-6120-426E-8C8F-BCDEEBC6042A}"/>
    <cellStyle name="Output 6 3 3" xfId="12133" xr:uid="{06DCBCB9-95F8-40F7-91A6-FC63C0535560}"/>
    <cellStyle name="Output 6 3 3 2" xfId="28833" xr:uid="{C114396B-AC9B-4C74-A5E0-A4C41664669A}"/>
    <cellStyle name="Output 6 3 3 3" xfId="42053" xr:uid="{1D8C0DED-57A2-43AB-8775-37B96F556F24}"/>
    <cellStyle name="Output 6 3 4" xfId="22182" xr:uid="{F8674BEA-6F90-4175-BCB0-E21094CAFF1F}"/>
    <cellStyle name="Output 6 3 5" xfId="35231" xr:uid="{E69988D4-0F9D-4CA9-A95E-4960802ACEBB}"/>
    <cellStyle name="Output 6 4" xfId="5417" xr:uid="{1B2A5F9F-D873-4B2A-8F99-8AAF98EE78BE}"/>
    <cellStyle name="Output 6 4 2" xfId="8594" xr:uid="{8759478A-81EF-4F18-9D7B-636730E3D105}"/>
    <cellStyle name="Output 6 4 2 2" xfId="14171" xr:uid="{01B59B19-0519-470F-A7E7-F121AD596517}"/>
    <cellStyle name="Output 6 4 2 2 2" xfId="30525" xr:uid="{6D81D2BA-148E-44FC-BF50-831211C3047D}"/>
    <cellStyle name="Output 6 4 2 2 3" xfId="43911" xr:uid="{16815749-0060-4886-9D42-8E7D63784A2D}"/>
    <cellStyle name="Output 6 4 2 3" xfId="26092" xr:uid="{D2F57A2D-E581-4042-8236-E8291B7E6080}"/>
    <cellStyle name="Output 6 4 2 4" xfId="39168" xr:uid="{03D9D648-15CB-40FD-B3AB-C70227865532}"/>
    <cellStyle name="Output 6 4 3" xfId="15644" xr:uid="{5A1BA222-0271-499C-83AC-E52156855A90}"/>
    <cellStyle name="Output 6 4 3 2" xfId="31763" xr:uid="{90CAF73C-5CE6-4ECD-B8FB-B78E5347952B}"/>
    <cellStyle name="Output 6 4 3 3" xfId="45268" xr:uid="{32F49B8C-0D90-49A3-9155-5E94847F1ACA}"/>
    <cellStyle name="Output 6 4 4" xfId="23064" xr:uid="{944C9102-146C-450C-B4B5-486A2CCCB99F}"/>
    <cellStyle name="Output 6 4 5" xfId="36145" xr:uid="{76CBBB8F-67A2-4278-B0F0-F3F0BEA7D570}"/>
    <cellStyle name="Output 6 5" xfId="11364" xr:uid="{9C2052AF-D1F6-49A2-A69D-1630BB8624EB}"/>
    <cellStyle name="Output 6 5 2" xfId="28142" xr:uid="{DD2C258C-A825-4B3A-BC8C-60EE2ABE980F}"/>
    <cellStyle name="Output 6 5 3" xfId="41330" xr:uid="{FF03C5F7-9495-4BD8-B675-AC6C09F24E08}"/>
    <cellStyle name="Output 6 6" xfId="21355" xr:uid="{F3E1B10C-6236-496E-B368-E2622BDF0604}"/>
    <cellStyle name="Output 6 7" xfId="34378" xr:uid="{474E24D7-2B02-4202-A9ED-9EB69BDB088E}"/>
    <cellStyle name="Output 7" xfId="3424" xr:uid="{D5E6964E-5F7A-48BB-95DD-D806CCD352CD}"/>
    <cellStyle name="Output 7 2" xfId="2766" xr:uid="{2CC4F5DC-4426-4464-A147-0F8AF10CE0E5}"/>
    <cellStyle name="Output 7 2 2" xfId="8062" xr:uid="{62D33588-742C-4DF5-A5F6-389130A4A72D}"/>
    <cellStyle name="Output 7 2 2 2" xfId="11926" xr:uid="{7AC281A0-B5AF-4A76-9C70-D1E73AADEEA4}"/>
    <cellStyle name="Output 7 2 2 2 2" xfId="28640" xr:uid="{D613D945-17EB-4EDF-94A5-AEF56081CB6E}"/>
    <cellStyle name="Output 7 2 2 2 3" xfId="41857" xr:uid="{DF8D53FE-BE8C-4F29-951A-44853436881A}"/>
    <cellStyle name="Output 7 2 2 3" xfId="25574" xr:uid="{E53F08F0-BBA4-4267-AF5E-0AD42A260726}"/>
    <cellStyle name="Output 7 2 2 4" xfId="38650" xr:uid="{EF00F866-338D-456E-B051-4C2AE13B3C4C}"/>
    <cellStyle name="Output 7 2 3" xfId="6429" xr:uid="{5E537515-2403-4A12-B3D5-A45C70ED4EDD}"/>
    <cellStyle name="Output 7 2 3 2" xfId="16843" xr:uid="{C0796FB7-24B8-4AE1-B29F-109B71168988}"/>
    <cellStyle name="Output 7 2 3 2 2" xfId="32720" xr:uid="{B4AE87E3-53F5-43AF-A6FA-627577612FAA}"/>
    <cellStyle name="Output 7 2 3 2 3" xfId="46385" xr:uid="{539EBBA7-F997-4D5E-AF12-B1B3F0FCA549}"/>
    <cellStyle name="Output 7 2 3 3" xfId="24065" xr:uid="{517F4CF8-C624-45DF-99AB-2B78D10857F8}"/>
    <cellStyle name="Output 7 2 3 4" xfId="37146" xr:uid="{99C261C3-E756-46C4-A147-7C571DBE3E92}"/>
    <cellStyle name="Output 7 2 4" xfId="12952" xr:uid="{00D2BF31-296B-4401-915A-FD1C1DFE78C2}"/>
    <cellStyle name="Output 7 2 4 2" xfId="29490" xr:uid="{E856F5CB-FEE9-4824-B860-697D669F88D0}"/>
    <cellStyle name="Output 7 2 4 3" xfId="42789" xr:uid="{DAAF2947-F63D-42F7-ACB7-9F8F85B9AB11}"/>
    <cellStyle name="Output 7 2 5" xfId="20817" xr:uid="{DE97A115-8921-4F73-8270-0FFFDB3A3CE7}"/>
    <cellStyle name="Output 7 2 6" xfId="33840" xr:uid="{0882E0CF-1EC9-4EEC-8579-969914FB448A}"/>
    <cellStyle name="Output 7 3" xfId="4427" xr:uid="{40E7E97E-0444-4F72-A2B1-51CE40B5B989}"/>
    <cellStyle name="Output 7 3 2" xfId="7066" xr:uid="{36339686-4D84-44CF-9853-FB2F19483E2F}"/>
    <cellStyle name="Output 7 3 2 2" xfId="13978" xr:uid="{157EA9C7-03C1-4E29-A3C0-70E101FC782C}"/>
    <cellStyle name="Output 7 3 2 2 2" xfId="30365" xr:uid="{99334AE3-F680-4D8E-91D5-0A3CF62EA7E3}"/>
    <cellStyle name="Output 7 3 2 2 3" xfId="43742" xr:uid="{B1EE73A5-CA45-4418-BC49-A38867965388}"/>
    <cellStyle name="Output 7 3 2 3" xfId="24666" xr:uid="{6A51B45D-F94A-4DFC-BD60-11EC95B0C130}"/>
    <cellStyle name="Output 7 3 2 4" xfId="37747" xr:uid="{A7244D82-12C2-438D-916A-EB95AE5C5995}"/>
    <cellStyle name="Output 7 3 3" xfId="12015" xr:uid="{6C57C2C6-2964-4747-B038-6B882DFBE134}"/>
    <cellStyle name="Output 7 3 3 2" xfId="28718" xr:uid="{0FDB0C47-D867-40E6-A10C-C9353B1D21A7}"/>
    <cellStyle name="Output 7 3 3 3" xfId="41936" xr:uid="{1C9BE0EB-35A9-4F0B-9C58-06167226DE33}"/>
    <cellStyle name="Output 7 3 4" xfId="22245" xr:uid="{D6613A16-0461-43D7-BA1C-D022A9C05894}"/>
    <cellStyle name="Output 7 3 5" xfId="35294" xr:uid="{A56092B4-D4BF-4815-B60B-7F269AB37672}"/>
    <cellStyle name="Output 7 4" xfId="5480" xr:uid="{8672EF45-F04E-45A9-85A6-18D6E5CCFA55}"/>
    <cellStyle name="Output 7 4 2" xfId="8661" xr:uid="{2B75EB12-2F78-495C-979D-23C73E25F8A8}"/>
    <cellStyle name="Output 7 4 2 2" xfId="15977" xr:uid="{1B69B63B-8B07-4975-8222-1060DA489822}"/>
    <cellStyle name="Output 7 4 2 2 2" xfId="32051" xr:uid="{C1A93F8C-3792-400E-91A1-E3E682965229}"/>
    <cellStyle name="Output 7 4 2 2 3" xfId="45570" xr:uid="{01962184-3725-4164-A7AE-9EAEC7BBAB74}"/>
    <cellStyle name="Output 7 4 2 3" xfId="26155" xr:uid="{0C00C47C-1BF7-4F7D-A9C8-3C581B672A19}"/>
    <cellStyle name="Output 7 4 2 4" xfId="39231" xr:uid="{83C7193A-73E5-4F4A-9181-8DBDF62DA6A9}"/>
    <cellStyle name="Output 7 4 3" xfId="12625" xr:uid="{F692088C-FA4F-4B5F-8951-797D80DA7E27}"/>
    <cellStyle name="Output 7 4 3 2" xfId="29234" xr:uid="{6359BD36-6194-489A-8180-B31D1642BDD6}"/>
    <cellStyle name="Output 7 4 3 3" xfId="42499" xr:uid="{63E9AC08-0E5A-4F19-AF54-2E2BE86DFCE0}"/>
    <cellStyle name="Output 7 4 4" xfId="23127" xr:uid="{E79CA0A2-E723-44C8-9AA3-F86FEFD09198}"/>
    <cellStyle name="Output 7 4 5" xfId="36208" xr:uid="{092C8C93-0150-4829-9C3B-5E853360F928}"/>
    <cellStyle name="Output 7 5" xfId="17253" xr:uid="{0C94E331-0DB3-4373-A439-2F80D61006F3}"/>
    <cellStyle name="Output 7 5 2" xfId="33012" xr:uid="{AFCE76C6-2673-4C3A-862F-EAB190FB510D}"/>
    <cellStyle name="Output 7 5 3" xfId="46787" xr:uid="{4EC62F52-2A3E-4148-8191-B8B0809661C9}"/>
    <cellStyle name="Output 7 6" xfId="21412" xr:uid="{7FABBB02-693A-44AE-ADB4-B94560872B15}"/>
    <cellStyle name="Output 7 7" xfId="34441" xr:uid="{3A4F2190-7BE2-427B-843E-10E2ECDF49A0}"/>
    <cellStyle name="Output 8" xfId="3328" xr:uid="{3761E29C-E087-4F75-9028-0BF880A7BEF5}"/>
    <cellStyle name="Output 8 2" xfId="2690" xr:uid="{8A445960-7A6E-46E4-9358-C5CAA9030EFA}"/>
    <cellStyle name="Output 8 2 2" xfId="7986" xr:uid="{29032817-346D-45AB-A54E-262717CB992B}"/>
    <cellStyle name="Output 8 2 2 2" xfId="12844" xr:uid="{72C4385D-0B96-408E-B803-2522CBFE2A39}"/>
    <cellStyle name="Output 8 2 2 2 2" xfId="29414" xr:uid="{3C733813-C189-41FD-B296-CD8776DA72CF}"/>
    <cellStyle name="Output 8 2 2 2 3" xfId="42697" xr:uid="{89A55D09-E6BC-4498-BFE2-86DE16FD9A59}"/>
    <cellStyle name="Output 8 2 2 3" xfId="25502" xr:uid="{A45E2C09-E05F-4D77-9307-E2C747C7C44B}"/>
    <cellStyle name="Output 8 2 2 4" xfId="38578" xr:uid="{E3C8D493-57BF-42CB-B57A-AD4487DB865D}"/>
    <cellStyle name="Output 8 2 3" xfId="6353" xr:uid="{F0F3C2C5-3305-40B5-AB00-6BCCA90329F5}"/>
    <cellStyle name="Output 8 2 3 2" xfId="16381" xr:uid="{5FBB934F-9A3E-4113-A4DA-307144DE5802}"/>
    <cellStyle name="Output 8 2 3 2 2" xfId="32401" xr:uid="{5744A1D0-01B2-42F9-8999-4F22D24213BC}"/>
    <cellStyle name="Output 8 2 3 2 3" xfId="45935" xr:uid="{46C724E3-8834-45EC-B766-F4DC792F177E}"/>
    <cellStyle name="Output 8 2 3 3" xfId="23993" xr:uid="{340D388F-BF62-4631-80B6-0C3008703725}"/>
    <cellStyle name="Output 8 2 3 4" xfId="37074" xr:uid="{3008815F-EDB3-4E9E-BAB2-A1696D5509D6}"/>
    <cellStyle name="Output 8 2 4" xfId="15730" xr:uid="{8667DC35-DD76-46A3-8EAA-8005A84569D7}"/>
    <cellStyle name="Output 8 2 4 2" xfId="31840" xr:uid="{970AF9E2-553D-4D80-B565-BBE34F7B7CD2}"/>
    <cellStyle name="Output 8 2 4 3" xfId="45349" xr:uid="{3AC71B41-C8E6-4DAA-A160-4616427C3D8E}"/>
    <cellStyle name="Output 8 2 5" xfId="20745" xr:uid="{BC3452F7-A534-4F53-9550-7B0712D5C1D7}"/>
    <cellStyle name="Output 8 2 6" xfId="33768" xr:uid="{37CB0EF0-21B3-4254-B5D2-68CE64F69D5D}"/>
    <cellStyle name="Output 8 3" xfId="4359" xr:uid="{2CF2775E-BF1D-4DA7-8913-E4DED8268E85}"/>
    <cellStyle name="Output 8 3 2" xfId="6978" xr:uid="{A82DCC77-1BB2-4DFD-AC99-2299B43C604F}"/>
    <cellStyle name="Output 8 3 2 2" xfId="11084" xr:uid="{E9D871A5-9432-43B5-B3E4-1777332F787E}"/>
    <cellStyle name="Output 8 3 2 2 2" xfId="27885" xr:uid="{E285CE5C-DBAB-4EC7-91F2-5CFD4BF6FC92}"/>
    <cellStyle name="Output 8 3 2 2 3" xfId="41063" xr:uid="{27B001E7-E331-48B5-ABD0-713212319052}"/>
    <cellStyle name="Output 8 3 2 3" xfId="24600" xr:uid="{457DD489-9256-49C9-A841-004EC81C10EB}"/>
    <cellStyle name="Output 8 3 2 4" xfId="37681" xr:uid="{3BB64FA6-E807-4B6E-A75E-7D7041695C8B}"/>
    <cellStyle name="Output 8 3 3" xfId="17108" xr:uid="{E9A02458-F440-4E41-8A0F-3B1FFBB61FF3}"/>
    <cellStyle name="Output 8 3 3 2" xfId="32874" xr:uid="{36FE5F5B-327F-4023-A04E-12269B9A25EB}"/>
    <cellStyle name="Output 8 3 3 3" xfId="46645" xr:uid="{7DBE964B-7600-429D-823D-888BC6DF716D}"/>
    <cellStyle name="Output 8 3 4" xfId="22179" xr:uid="{9FF5F2BE-77B8-45EC-9857-E607BB6B8C53}"/>
    <cellStyle name="Output 8 3 5" xfId="35228" xr:uid="{9751FC19-BBB2-4781-89A5-C4FAF09BA89D}"/>
    <cellStyle name="Output 8 4" xfId="5414" xr:uid="{ECE8355C-A20B-44C6-BE1B-3DAC60031EE7}"/>
    <cellStyle name="Output 8 4 2" xfId="8591" xr:uid="{4AC14288-7238-4CAF-879C-5086817DC1DF}"/>
    <cellStyle name="Output 8 4 2 2" xfId="16045" xr:uid="{E877A05A-2659-49E9-88A4-95312C9C62A1}"/>
    <cellStyle name="Output 8 4 2 2 2" xfId="32109" xr:uid="{56931211-9045-46DD-B174-9600183911E6}"/>
    <cellStyle name="Output 8 4 2 2 3" xfId="45628" xr:uid="{54F2D561-F9A1-491A-8829-B072E04F347D}"/>
    <cellStyle name="Output 8 4 2 3" xfId="26089" xr:uid="{A0A0C788-184D-4579-9A23-EF87187B6CC1}"/>
    <cellStyle name="Output 8 4 2 4" xfId="39165" xr:uid="{06C52859-EEB0-485A-8CF5-84AF7BE9B9D4}"/>
    <cellStyle name="Output 8 4 3" xfId="13981" xr:uid="{6BC38BF1-61C6-45FA-BDCD-7E675E4148DF}"/>
    <cellStyle name="Output 8 4 3 2" xfId="30367" xr:uid="{1074C6E9-30BD-4419-AF3A-79D3EA0FB7AD}"/>
    <cellStyle name="Output 8 4 3 3" xfId="43745" xr:uid="{6F979C92-541F-488D-95B2-6F4FB89BB737}"/>
    <cellStyle name="Output 8 4 4" xfId="23061" xr:uid="{0AB4CEF1-5180-4357-A1AB-D33CC2603A42}"/>
    <cellStyle name="Output 8 4 5" xfId="36142" xr:uid="{DB8660A0-6A9F-4EFD-84EE-4CC366041D1E}"/>
    <cellStyle name="Output 8 5" xfId="15694" xr:uid="{A920B3A3-CB1A-4976-A114-0B163C9D6287}"/>
    <cellStyle name="Output 8 5 2" xfId="31806" xr:uid="{696AFE4F-DA62-48B3-B26B-F96E8C5DF4ED}"/>
    <cellStyle name="Output 8 5 3" xfId="45314" xr:uid="{7234D8CA-AD7C-400B-B577-5BFE64629F4A}"/>
    <cellStyle name="Output 8 6" xfId="21352" xr:uid="{D0133948-03E1-4C97-9639-5D4AEC5F4492}"/>
    <cellStyle name="Output 8 7" xfId="34375" xr:uid="{CE3497D4-0E92-45E1-BA37-26E3D497BED8}"/>
    <cellStyle name="Output 9" xfId="3600" xr:uid="{6B1F91BD-4081-4CFA-AC7A-32C456B17B4C}"/>
    <cellStyle name="Output 9 2" xfId="2934" xr:uid="{7EDA6914-B247-4171-A5CF-67FE43EEB0FE}"/>
    <cellStyle name="Output 9 2 2" xfId="8230" xr:uid="{168E66AB-A723-4BAF-B2CA-4F2A80E78E1C}"/>
    <cellStyle name="Output 9 2 2 2" xfId="16878" xr:uid="{ECE8BEBE-E300-4CA9-B96C-3337AD9A0775}"/>
    <cellStyle name="Output 9 2 2 2 2" xfId="32755" xr:uid="{811CDFBC-5898-435B-8F86-2689DBC2C1BE}"/>
    <cellStyle name="Output 9 2 2 2 3" xfId="46420" xr:uid="{8CED0A02-EFF3-4C5D-AD78-0C7801AB2935}"/>
    <cellStyle name="Output 9 2 2 3" xfId="25740" xr:uid="{93419C51-658F-4B50-A502-1381809F8958}"/>
    <cellStyle name="Output 9 2 2 4" xfId="38816" xr:uid="{1F87A6EC-65A4-44E8-96BD-A0C50145C150}"/>
    <cellStyle name="Output 9 2 3" xfId="6597" xr:uid="{7BB0B9F1-206C-44CE-A68D-315669EEA339}"/>
    <cellStyle name="Output 9 2 3 2" xfId="12623" xr:uid="{FA4A52CF-879D-4818-B30D-46D5845841D0}"/>
    <cellStyle name="Output 9 2 3 2 2" xfId="29232" xr:uid="{37B1AA6D-CDA4-43F1-8598-0B60D2635E06}"/>
    <cellStyle name="Output 9 2 3 2 3" xfId="42497" xr:uid="{2B7CC0B7-68D8-444F-8EBC-16D8AB3D6EB6}"/>
    <cellStyle name="Output 9 2 3 3" xfId="24231" xr:uid="{9E7CB62A-FCA4-4DC1-A90F-AA1A2D569958}"/>
    <cellStyle name="Output 9 2 3 4" xfId="37312" xr:uid="{BA582C44-85E4-4861-B3CF-D4A013EA84A8}"/>
    <cellStyle name="Output 9 2 4" xfId="13482" xr:uid="{CCA23454-C0DA-4C08-BC47-D9DE7C4811F2}"/>
    <cellStyle name="Output 9 2 4 2" xfId="29943" xr:uid="{D43F4089-948F-4EF0-BEC6-45BC2F43224A}"/>
    <cellStyle name="Output 9 2 4 3" xfId="43283" xr:uid="{0A0706AD-D506-44EE-A80C-FE012D5E3F29}"/>
    <cellStyle name="Output 9 2 5" xfId="20983" xr:uid="{8D8ABCA9-961D-40FE-8EB6-DD39000AADC1}"/>
    <cellStyle name="Output 9 2 6" xfId="34006" xr:uid="{0C0E3746-4236-407F-A9BD-E2B721C26739}"/>
    <cellStyle name="Output 9 3" xfId="4543" xr:uid="{DA686937-6B69-41FA-864C-96A2F91125E0}"/>
    <cellStyle name="Output 9 3 2" xfId="7236" xr:uid="{E0E467C2-1FCF-4D79-8905-91BFA18E358C}"/>
    <cellStyle name="Output 9 3 2 2" xfId="13383" xr:uid="{09CF73C8-9CF1-41AD-9D11-D3BC8F8A14EB}"/>
    <cellStyle name="Output 9 3 2 2 2" xfId="29855" xr:uid="{2F974BD5-D333-4E17-A081-BD143EF1A9F1}"/>
    <cellStyle name="Output 9 3 2 2 3" xfId="43190" xr:uid="{309E5635-E565-4494-AD99-76A65E47B1C6}"/>
    <cellStyle name="Output 9 3 2 3" xfId="24829" xr:uid="{4D574F93-4609-4700-9152-39A2096C9A3C}"/>
    <cellStyle name="Output 9 3 2 4" xfId="37910" xr:uid="{4B79522A-087E-46F7-AA46-99D2D4326F92}"/>
    <cellStyle name="Output 9 3 3" xfId="12471" xr:uid="{A0F1E59E-AEF2-4236-B087-BAC354B4EE06}"/>
    <cellStyle name="Output 9 3 3 2" xfId="29111" xr:uid="{EDFF9EC5-66DF-4776-956F-07237AD10B97}"/>
    <cellStyle name="Output 9 3 3 3" xfId="42363" xr:uid="{919CBEAC-2242-4F8F-B859-072759642761}"/>
    <cellStyle name="Output 9 3 4" xfId="22359" xr:uid="{815F3706-19DB-4715-B530-56608C15A702}"/>
    <cellStyle name="Output 9 3 5" xfId="35408" xr:uid="{421B1533-C0F7-4341-B178-427B2A8A301F}"/>
    <cellStyle name="Output 9 4" xfId="5643" xr:uid="{BF5E2C66-9AFF-4019-AD5A-DD65FACADD1D}"/>
    <cellStyle name="Output 9 4 2" xfId="8826" xr:uid="{31D03541-ABC5-4E01-B57B-69A9C09861DA}"/>
    <cellStyle name="Output 9 4 2 2" xfId="13796" xr:uid="{D27A076F-74A1-4523-B0E1-52985CE0074C}"/>
    <cellStyle name="Output 9 4 2 2 2" xfId="30202" xr:uid="{4AFD5B08-652D-4568-B6B8-B2326B6A27AB}"/>
    <cellStyle name="Output 9 4 2 2 3" xfId="43568" xr:uid="{0D823741-17DB-410F-8382-0B8F4D0A7B9D}"/>
    <cellStyle name="Output 9 4 2 3" xfId="26318" xr:uid="{6B2A6D69-B7FB-4E75-954A-636CB9F9BD83}"/>
    <cellStyle name="Output 9 4 2 4" xfId="39394" xr:uid="{90283A4E-5BB8-4F60-A69F-3D309497C94C}"/>
    <cellStyle name="Output 9 4 3" xfId="13661" xr:uid="{99A050E9-A3DD-4B64-A8E1-471CD7E664B1}"/>
    <cellStyle name="Output 9 4 3 2" xfId="30087" xr:uid="{27A18014-74A5-415E-8150-D6AD72BFDD1D}"/>
    <cellStyle name="Output 9 4 3 3" xfId="43446" xr:uid="{C5664C32-3469-4551-B8C8-006885D390DA}"/>
    <cellStyle name="Output 9 4 4" xfId="23290" xr:uid="{9973C8CE-9127-4EBB-9F54-601EEC8AB230}"/>
    <cellStyle name="Output 9 4 5" xfId="36371" xr:uid="{FA9A6AC3-860B-4349-B616-DA7FCA57D298}"/>
    <cellStyle name="Output 9 5" xfId="17034" xr:uid="{F1A7AB32-F964-4340-870D-F258BB65D5CB}"/>
    <cellStyle name="Output 9 5 2" xfId="32809" xr:uid="{2F05A667-9E55-491F-B315-87C53B5F4926}"/>
    <cellStyle name="Output 9 5 3" xfId="46576" xr:uid="{BBF24F2E-AADD-48A7-886D-EC433414A800}"/>
    <cellStyle name="Output 9 6" xfId="21552" xr:uid="{8EBC825D-BFD0-4101-AD28-2BE6A858CFF5}"/>
    <cellStyle name="Output 9 7" xfId="34606" xr:uid="{93C2B4A3-039B-483A-8DAA-EE5164CAC1FE}"/>
    <cellStyle name="Paaotsikko" xfId="2247" xr:uid="{521D2985-D3A4-4FC5-ADAF-290D10A17DA3}"/>
    <cellStyle name="Paaotsikko 1" xfId="2248" xr:uid="{4BB9A242-205F-4C06-80C0-31EDC8490A9F}"/>
    <cellStyle name="Paaotsikko 1 2" xfId="10362" xr:uid="{D3EFB239-DE90-4837-9C5A-D1C095D1860B}"/>
    <cellStyle name="Paaotsikko 2" xfId="2249" xr:uid="{DE5A0152-BDAF-485A-ABF2-FD09F851B5D7}"/>
    <cellStyle name="Paaotsikko 2 2" xfId="10363" xr:uid="{9F238D6C-CB0F-4A0E-85B3-C845E4FFEE5D}"/>
    <cellStyle name="Paaotsikko 3" xfId="2250" xr:uid="{1F381DB5-A5E2-445C-AE86-196900649DEA}"/>
    <cellStyle name="Paaotsikko 3 2" xfId="10364" xr:uid="{364E834C-F091-499B-9C27-C29297C39197}"/>
    <cellStyle name="Paaotsikko 4" xfId="10361" xr:uid="{4B227092-EF31-4F2C-A382-3CCDA4510DF5}"/>
    <cellStyle name="Paaotsikko_АГМ" xfId="2251" xr:uid="{03A6E090-CDA1-4308-87E5-38B359EA7306}"/>
    <cellStyle name="Title" xfId="2252" xr:uid="{78A5F55A-8556-4D0C-B036-DA6C57987E90}"/>
    <cellStyle name="Title 2" xfId="10365" xr:uid="{B5A8306F-572D-4B11-8B76-B2D652DD8727}"/>
    <cellStyle name="Total" xfId="2253" xr:uid="{3F4AD59B-BBB9-4D5F-8A6F-1B21BFC6E310}"/>
    <cellStyle name="Total 10" xfId="3690" xr:uid="{6F4BFF11-7D18-48F8-8CD2-02205215D86B}"/>
    <cellStyle name="Total 10 2" xfId="3006" xr:uid="{B4972F03-2B26-4B18-AB7F-A03D3C4EDF6F}"/>
    <cellStyle name="Total 10 2 2" xfId="8302" xr:uid="{F0A9D9D7-48E8-4E37-AA33-7D541DDAB8D4}"/>
    <cellStyle name="Total 10 2 2 2" xfId="11041" xr:uid="{A901BC1B-C36A-46BC-BBA3-E379A411BBAE}"/>
    <cellStyle name="Total 10 2 2 2 2" xfId="27847" xr:uid="{C2E0C5A8-A10D-47C6-8254-044FB2D3BCB3}"/>
    <cellStyle name="Total 10 2 2 2 3" xfId="41021" xr:uid="{C795CEF7-9CDC-42FF-9689-C14818FE24EA}"/>
    <cellStyle name="Total 10 2 2 3" xfId="25807" xr:uid="{2A0B1B06-366D-4D3C-9976-27999E66C3FC}"/>
    <cellStyle name="Total 10 2 2 4" xfId="38883" xr:uid="{A23FBB98-DE5D-4A32-A713-12AB93FEE029}"/>
    <cellStyle name="Total 10 2 3" xfId="6669" xr:uid="{244B838B-FCF4-4481-BA44-FE0C54980372}"/>
    <cellStyle name="Total 10 2 3 2" xfId="12981" xr:uid="{037A3E36-B0A7-4C7E-A1E2-1E43AECCAD1A}"/>
    <cellStyle name="Total 10 2 3 2 2" xfId="29519" xr:uid="{95C6F4FA-92D5-4E45-B7F9-60AAF8DC1E33}"/>
    <cellStyle name="Total 10 2 3 2 3" xfId="42818" xr:uid="{AAD81B78-DC64-4537-8317-DCF74AD1A691}"/>
    <cellStyle name="Total 10 2 3 3" xfId="24298" xr:uid="{4AC6FAC7-EDF6-411B-9011-63E952543E7B}"/>
    <cellStyle name="Total 10 2 3 4" xfId="37379" xr:uid="{3D408F8A-DBE6-4FB2-9015-BC4483CAC76A}"/>
    <cellStyle name="Total 10 2 4" xfId="12883" xr:uid="{D15C66DD-E1A1-4D01-B842-66B42147C88F}"/>
    <cellStyle name="Total 10 2 4 2" xfId="29441" xr:uid="{87E9D4A1-0ECB-48A1-A53B-CC32B88C69BF}"/>
    <cellStyle name="Total 10 2 4 3" xfId="42730" xr:uid="{4A940467-5B09-47BF-A80D-6D1CB8E45670}"/>
    <cellStyle name="Total 10 2 5" xfId="21050" xr:uid="{41116FFA-A33D-4E46-9FD5-ED375BD2F5DE}"/>
    <cellStyle name="Total 10 2 6" xfId="34073" xr:uid="{6532CCF8-CB0B-4B14-950F-5ADCA7AA06CA}"/>
    <cellStyle name="Total 10 3" xfId="4619" xr:uid="{2AA3CA3D-7D8E-493D-8F85-C9546C6A570F}"/>
    <cellStyle name="Total 10 3 2" xfId="7325" xr:uid="{C218272D-9425-43F8-A5E9-00E2C8994AF2}"/>
    <cellStyle name="Total 10 3 2 2" xfId="12872" xr:uid="{1F1CB23E-5AEB-4E74-8F17-29B0C38FC3ED}"/>
    <cellStyle name="Total 10 3 2 2 2" xfId="29433" xr:uid="{5F374421-2471-4920-9AC0-8AA481B3800D}"/>
    <cellStyle name="Total 10 3 2 2 3" xfId="42721" xr:uid="{44B5D8BA-5488-4824-B072-E29F01298EBE}"/>
    <cellStyle name="Total 10 3 2 3" xfId="24885" xr:uid="{D2EC9FC6-1065-449B-8B5A-95C62312F27F}"/>
    <cellStyle name="Total 10 3 2 4" xfId="37965" xr:uid="{CAC6C5F6-F695-4058-9F7E-C1F07E494F74}"/>
    <cellStyle name="Total 10 3 3" xfId="13833" xr:uid="{8523B2DC-B44B-468E-B07A-FF7CEC996282}"/>
    <cellStyle name="Total 10 3 3 2" xfId="30235" xr:uid="{EB24693F-C669-481B-8BB6-1CEC77B471E4}"/>
    <cellStyle name="Total 10 3 3 3" xfId="43605" xr:uid="{EF03B504-9C72-444A-89D1-879C4BD4BE95}"/>
    <cellStyle name="Total 10 3 4" xfId="22429" xr:uid="{ECCACC53-25BB-4EE2-B31D-36F763907E58}"/>
    <cellStyle name="Total 10 3 5" xfId="35482" xr:uid="{3EC0F4B3-F463-4C4D-B236-0E7BF1809E4C}"/>
    <cellStyle name="Total 10 4" xfId="5698" xr:uid="{22D7F7AE-6B79-4036-A6BD-25AB245F883B}"/>
    <cellStyle name="Total 10 4 2" xfId="8886" xr:uid="{1927A038-CA35-43FE-AC42-CBB2544C4B00}"/>
    <cellStyle name="Total 10 4 2 2" xfId="16023" xr:uid="{AB8CBB2F-6EC0-4276-AD07-8E8E42508B48}"/>
    <cellStyle name="Total 10 4 2 2 2" xfId="32089" xr:uid="{57CA9E15-B356-46A4-B505-C4AC71307876}"/>
    <cellStyle name="Total 10 4 2 2 3" xfId="45608" xr:uid="{5FDC5899-FA94-4CA7-8E7F-8FB1C749D307}"/>
    <cellStyle name="Total 10 4 2 3" xfId="26373" xr:uid="{F2B12C9F-01FD-4566-8CBC-4F6C334A8FB9}"/>
    <cellStyle name="Total 10 4 2 4" xfId="39449" xr:uid="{BE8AADA5-01DB-4A17-A4B5-6BFA4D97EB1B}"/>
    <cellStyle name="Total 10 4 3" xfId="14403" xr:uid="{C655A731-A36D-4D93-BDCB-34EBEF5C3BF5}"/>
    <cellStyle name="Total 10 4 3 2" xfId="30734" xr:uid="{264312EA-B694-45B5-A040-F82DCFE192E7}"/>
    <cellStyle name="Total 10 4 3 3" xfId="44133" xr:uid="{420321AD-8B77-438E-B363-A29F237E2526}"/>
    <cellStyle name="Total 10 4 4" xfId="23345" xr:uid="{1ED3FBCA-FD97-466B-86EF-4C99229E6574}"/>
    <cellStyle name="Total 10 4 5" xfId="36426" xr:uid="{1F1490F2-D1F5-4A99-A3D0-4C9778CF3B49}"/>
    <cellStyle name="Total 10 5" xfId="11002" xr:uid="{6EA0F887-0A5E-42CF-BD0F-29E84EE302E0}"/>
    <cellStyle name="Total 10 5 2" xfId="27809" xr:uid="{C7172708-5CF2-451B-B81B-2DB6F5946F34}"/>
    <cellStyle name="Total 10 5 3" xfId="40982" xr:uid="{F1ED332C-5C07-4F96-97FC-51BD4A4B94A4}"/>
    <cellStyle name="Total 10 6" xfId="21607" xr:uid="{2B708B68-1D39-4607-A746-97580545978F}"/>
    <cellStyle name="Total 10 7" xfId="34661" xr:uid="{FAD2F9A4-5E79-42EB-97D7-5F1250FC851D}"/>
    <cellStyle name="Total 11" xfId="3595" xr:uid="{6BDE74A8-DD5F-4399-9B97-40030506F82C}"/>
    <cellStyle name="Total 11 2" xfId="2929" xr:uid="{2AB7A58D-C6A6-4682-8489-DD54FAE481C6}"/>
    <cellStyle name="Total 11 2 2" xfId="8225" xr:uid="{9FD580C2-2849-4386-9A1F-AD32281F70A1}"/>
    <cellStyle name="Total 11 2 2 2" xfId="16577" xr:uid="{AFD05EC0-C145-48D5-AD46-9A441C298A2D}"/>
    <cellStyle name="Total 11 2 2 2 2" xfId="32500" xr:uid="{64BE0AC8-3793-4CFB-B603-C2A3E368BE20}"/>
    <cellStyle name="Total 11 2 2 2 3" xfId="46124" xr:uid="{1887B83B-AD1E-43DC-8A05-51BB65662C73}"/>
    <cellStyle name="Total 11 2 2 3" xfId="25736" xr:uid="{95AD46D4-5064-49F2-989D-C8DBF8B6154F}"/>
    <cellStyle name="Total 11 2 2 4" xfId="38812" xr:uid="{070037A4-483A-49CA-8645-A332CFEC28BB}"/>
    <cellStyle name="Total 11 2 3" xfId="6592" xr:uid="{A553B596-8592-4748-8B07-59AEEC9722BB}"/>
    <cellStyle name="Total 11 2 3 2" xfId="17241" xr:uid="{646A41B8-BCF0-401E-A4F8-9AA68CCC07B9}"/>
    <cellStyle name="Total 11 2 3 2 2" xfId="33000" xr:uid="{A744A479-B519-4CBD-9729-EACA27DA4731}"/>
    <cellStyle name="Total 11 2 3 2 3" xfId="46775" xr:uid="{9BEF5BE8-4641-48C7-99B1-178261ED455C}"/>
    <cellStyle name="Total 11 2 3 3" xfId="24227" xr:uid="{5FDC3594-B1CE-46E2-8AB3-B74E6D9DC581}"/>
    <cellStyle name="Total 11 2 3 4" xfId="37308" xr:uid="{850DC901-9E42-4AEB-A1F6-02318C7A630B}"/>
    <cellStyle name="Total 11 2 4" xfId="15949" xr:uid="{798A68C8-7F69-46A5-ABE0-37F6F60D29AE}"/>
    <cellStyle name="Total 11 2 4 2" xfId="32026" xr:uid="{27588CDB-303F-453A-8B61-80A9F57620F2}"/>
    <cellStyle name="Total 11 2 4 3" xfId="45544" xr:uid="{A20B6BE2-D806-4C84-B1AC-0FB3D84C7100}"/>
    <cellStyle name="Total 11 2 5" xfId="20979" xr:uid="{0A64BBF2-A090-44BF-814C-64ADE88BF424}"/>
    <cellStyle name="Total 11 2 6" xfId="34002" xr:uid="{F947FCD2-E1AA-40AF-8E02-219E52316733}"/>
    <cellStyle name="Total 11 3" xfId="4673" xr:uid="{856F15DD-7FCD-4F4C-893C-267E2E4326DF}"/>
    <cellStyle name="Total 11 3 2" xfId="7231" xr:uid="{C73EF3E1-2095-4D74-9433-423A92BAAE9B}"/>
    <cellStyle name="Total 11 3 2 2" xfId="15115" xr:uid="{FD7E3C5D-C87D-40C5-9B7A-3ED618D111F1}"/>
    <cellStyle name="Total 11 3 2 2 2" xfId="31318" xr:uid="{26DBCCF1-725B-4F84-9DD8-58B6EAE240DD}"/>
    <cellStyle name="Total 11 3 2 2 3" xfId="44780" xr:uid="{57418934-26C7-4B45-881D-D3400DF34CB6}"/>
    <cellStyle name="Total 11 3 2 3" xfId="24825" xr:uid="{BD67915F-6078-40A1-931A-7824A0954A73}"/>
    <cellStyle name="Total 11 3 2 4" xfId="37906" xr:uid="{158C50B5-79B5-44C9-AC32-CDAC80971AD5}"/>
    <cellStyle name="Total 11 3 3" xfId="15108" xr:uid="{FA8A9AFA-BC1A-4F08-A2A6-36E63911D24F}"/>
    <cellStyle name="Total 11 3 3 2" xfId="31313" xr:uid="{FF7023AB-FC1E-4E09-B92E-B36417AE99A2}"/>
    <cellStyle name="Total 11 3 3 3" xfId="44775" xr:uid="{DB1CCD74-255E-4A56-B3A8-A8FED7DEB723}"/>
    <cellStyle name="Total 11 3 4" xfId="22483" xr:uid="{9BAFF1C6-A8AD-4634-B603-22531F2519DF}"/>
    <cellStyle name="Total 11 3 5" xfId="35536" xr:uid="{EB6EAE49-B58B-4EE0-B78E-CFD89FB42FB3}"/>
    <cellStyle name="Total 11 4" xfId="5639" xr:uid="{94F3036F-0C59-4BDC-8836-488E79F99C1F}"/>
    <cellStyle name="Total 11 4 2" xfId="8821" xr:uid="{FBCD69BC-391B-4653-9D5F-3E135804B4C5}"/>
    <cellStyle name="Total 11 4 2 2" xfId="13486" xr:uid="{15C7C7D3-F71D-4F8D-B048-AD38591B3DD8}"/>
    <cellStyle name="Total 11 4 2 2 2" xfId="29947" xr:uid="{CFDE131F-72A1-4B43-9296-29EB957401D0}"/>
    <cellStyle name="Total 11 4 2 2 3" xfId="43287" xr:uid="{8F21088E-5C8E-4FF1-97D4-9E74838AC939}"/>
    <cellStyle name="Total 11 4 2 3" xfId="26314" xr:uid="{6A47DDF1-DE06-4066-B20A-D6D0EAADFA40}"/>
    <cellStyle name="Total 11 4 2 4" xfId="39390" xr:uid="{271C2035-29AE-4181-BE0A-08AC0597DD46}"/>
    <cellStyle name="Total 11 4 3" xfId="11938" xr:uid="{FEE811CC-FDAA-4E26-B416-89BEDFDF1A40}"/>
    <cellStyle name="Total 11 4 3 2" xfId="28649" xr:uid="{7409214A-6F97-46D9-B76D-D359EF8AB807}"/>
    <cellStyle name="Total 11 4 3 3" xfId="41867" xr:uid="{CB6F6E0D-9C8D-4820-B34D-78B856D09345}"/>
    <cellStyle name="Total 11 4 4" xfId="23286" xr:uid="{7FCBC8B9-9A43-404C-A669-0AAA0485D8C3}"/>
    <cellStyle name="Total 11 4 5" xfId="36367" xr:uid="{E55AFDC7-8EBC-417F-9170-A4E0B131EC9D}"/>
    <cellStyle name="Total 11 5" xfId="10864" xr:uid="{C607D972-3790-4742-B3DB-F6F1CED3031D}"/>
    <cellStyle name="Total 11 5 2" xfId="27691" xr:uid="{FC29A5C2-BE71-48AE-89B2-872B90AC3640}"/>
    <cellStyle name="Total 11 5 3" xfId="40844" xr:uid="{03C28C97-BB89-44AD-ABF7-1999E0D809C7}"/>
    <cellStyle name="Total 11 6" xfId="21548" xr:uid="{DA130EEB-1B3F-41F0-A164-14FAF27B2FEC}"/>
    <cellStyle name="Total 11 7" xfId="34602" xr:uid="{F4196976-7A98-4645-A076-4E0B3200C72B}"/>
    <cellStyle name="Total 12" xfId="3680" xr:uid="{D59ADB22-08EE-4ADD-A6EE-1EBBD4FC27CC}"/>
    <cellStyle name="Total 12 2" xfId="2996" xr:uid="{53E9DF3D-4886-4B0F-BEF5-2B282EA72F44}"/>
    <cellStyle name="Total 12 2 2" xfId="8292" xr:uid="{5C31B41D-F621-4221-8812-9E2CD2AB3326}"/>
    <cellStyle name="Total 12 2 2 2" xfId="12551" xr:uid="{8180C5C4-ADC5-450B-9B16-FDF2DA77D4F3}"/>
    <cellStyle name="Total 12 2 2 2 2" xfId="29173" xr:uid="{01DBC715-DEC1-476E-8989-61DBB78BE3BB}"/>
    <cellStyle name="Total 12 2 2 2 3" xfId="42432" xr:uid="{027E3099-13C9-45DF-A9CE-B57136E5022F}"/>
    <cellStyle name="Total 12 2 2 3" xfId="25798" xr:uid="{8FB38576-1F0F-4A92-9CA8-6A04223C41F6}"/>
    <cellStyle name="Total 12 2 2 4" xfId="38874" xr:uid="{B821DAB7-321B-429A-9AB3-0A733942F11E}"/>
    <cellStyle name="Total 12 2 3" xfId="6659" xr:uid="{E1328E1A-54EF-4F0E-A99A-7EBF1BB19A1C}"/>
    <cellStyle name="Total 12 2 3 2" xfId="15507" xr:uid="{19CCD65F-7C00-4294-A2C4-EC5CDA4E3193}"/>
    <cellStyle name="Total 12 2 3 2 2" xfId="31645" xr:uid="{576CB6C0-E4C7-4D17-81EF-10AA13BB0CE3}"/>
    <cellStyle name="Total 12 2 3 2 3" xfId="45143" xr:uid="{E8BDD263-4210-490E-B592-E2E7352326F1}"/>
    <cellStyle name="Total 12 2 3 3" xfId="24289" xr:uid="{24357902-FBDC-4526-915E-88B2060BF38E}"/>
    <cellStyle name="Total 12 2 3 4" xfId="37370" xr:uid="{0DE20D8B-4828-4DAC-9C63-AD56916F6542}"/>
    <cellStyle name="Total 12 2 4" xfId="15544" xr:uid="{A74209C2-99C9-477E-99C6-AB63C4CB10C8}"/>
    <cellStyle name="Total 12 2 4 2" xfId="31678" xr:uid="{E5480ACD-DFC8-4D9A-AD1A-C62E5F07EE1F}"/>
    <cellStyle name="Total 12 2 4 3" xfId="45177" xr:uid="{34517915-B097-4CFD-872C-1A521592F475}"/>
    <cellStyle name="Total 12 2 5" xfId="21041" xr:uid="{40437234-B692-4962-B087-29001430ABFC}"/>
    <cellStyle name="Total 12 2 6" xfId="34064" xr:uid="{A3D3C743-D512-4898-97B7-DCF102252470}"/>
    <cellStyle name="Total 12 3" xfId="4713" xr:uid="{EE170E99-FCF4-44EF-9CF6-8FC0C82B3CAB}"/>
    <cellStyle name="Total 12 3 2" xfId="7315" xr:uid="{A8D3DEA0-967B-4684-A1BD-68760177B2ED}"/>
    <cellStyle name="Total 12 3 2 2" xfId="13414" xr:uid="{713CE5D6-EB14-476E-8959-A2DCEB2BF7BE}"/>
    <cellStyle name="Total 12 3 2 2 2" xfId="29883" xr:uid="{36914C13-85FF-46CC-9720-289D58492BAD}"/>
    <cellStyle name="Total 12 3 2 2 3" xfId="43218" xr:uid="{9B4399B3-9B12-4531-A3DB-74B2260AF51F}"/>
    <cellStyle name="Total 12 3 2 3" xfId="24876" xr:uid="{2B200846-0C39-4601-A544-E87261FE60F3}"/>
    <cellStyle name="Total 12 3 2 4" xfId="37956" xr:uid="{D26F7C7F-7AB6-495E-8C96-D097995A60AA}"/>
    <cellStyle name="Total 12 3 3" xfId="12959" xr:uid="{E4CA949E-0F2B-4798-B52C-089C93CD5C3D}"/>
    <cellStyle name="Total 12 3 3 2" xfId="29497" xr:uid="{4BB0D38A-7323-490B-82D6-79D0A673F93E}"/>
    <cellStyle name="Total 12 3 3 3" xfId="42796" xr:uid="{4C08E1F9-9ED8-48C7-AF87-23C3119826D1}"/>
    <cellStyle name="Total 12 3 4" xfId="22518" xr:uid="{72EA32EA-4DA8-49CD-B049-3823EF2873A1}"/>
    <cellStyle name="Total 12 3 5" xfId="35571" xr:uid="{892D0500-F480-4522-87DF-625BE64235CA}"/>
    <cellStyle name="Total 12 4" xfId="5689" xr:uid="{7417B73C-E1FC-439E-927F-0AC9BD3D1B10}"/>
    <cellStyle name="Total 12 4 2" xfId="8876" xr:uid="{6637E1DA-792C-4D62-84C6-06C6BB1B4C4E}"/>
    <cellStyle name="Total 12 4 2 2" xfId="14199" xr:uid="{F31382CD-349D-4A87-AA70-7B83C408FAED}"/>
    <cellStyle name="Total 12 4 2 2 2" xfId="30548" xr:uid="{6895872D-1221-4AD3-B788-7CC0FFB532A3}"/>
    <cellStyle name="Total 12 4 2 2 3" xfId="43936" xr:uid="{25683ECF-FC7E-4674-B217-02C650E5CC0B}"/>
    <cellStyle name="Total 12 4 2 3" xfId="26364" xr:uid="{7E8BA058-69C7-401C-8695-A0320C1A1882}"/>
    <cellStyle name="Total 12 4 2 4" xfId="39440" xr:uid="{3C16F345-E1A4-4FAE-9704-B0719972CF37}"/>
    <cellStyle name="Total 12 4 3" xfId="15286" xr:uid="{1EF95E1C-AFFB-4C21-B6A6-8BBA73951DE9}"/>
    <cellStyle name="Total 12 4 3 2" xfId="31456" xr:uid="{7656D42F-98B8-4265-A66B-9209AAD84CEC}"/>
    <cellStyle name="Total 12 4 3 3" xfId="44935" xr:uid="{FAEFB384-3FBD-4CA1-AF99-DCF4E7787E9E}"/>
    <cellStyle name="Total 12 4 4" xfId="23336" xr:uid="{F2FC0357-52A0-4EDD-B899-7E9E790116A5}"/>
    <cellStyle name="Total 12 4 5" xfId="36417" xr:uid="{057C0C8D-A8BC-4B31-BB1A-0E418906FAF6}"/>
    <cellStyle name="Total 12 5" xfId="13717" xr:uid="{59002036-FF5C-4FF3-9E04-E1FF57B63431}"/>
    <cellStyle name="Total 12 5 2" xfId="30134" xr:uid="{24E8B4AB-25C2-4815-B00F-6D3A3182086C}"/>
    <cellStyle name="Total 12 5 3" xfId="43495" xr:uid="{3EAE8C1D-95B8-4A44-BFFB-3DD49EEFAC67}"/>
    <cellStyle name="Total 12 6" xfId="21598" xr:uid="{9EF86F45-26EC-4012-BBE2-9947BBE8B25B}"/>
    <cellStyle name="Total 12 7" xfId="34652" xr:uid="{3D9D36C3-9EC1-45A9-AC84-11E38C421DF9}"/>
    <cellStyle name="Total 13" xfId="3663" xr:uid="{18B93A9A-8981-426D-A626-E258F4D4D9CA}"/>
    <cellStyle name="Total 13 2" xfId="2982" xr:uid="{E5786AEF-3994-4296-BAF2-59819352FB29}"/>
    <cellStyle name="Total 13 2 2" xfId="8278" xr:uid="{4E54F02C-89A6-4C92-BB9D-7B8B639064D2}"/>
    <cellStyle name="Total 13 2 2 2" xfId="10992" xr:uid="{8ECCBAFB-82FB-4853-89BE-3180DF4A00CA}"/>
    <cellStyle name="Total 13 2 2 2 2" xfId="27799" xr:uid="{454069C4-F898-4956-91AA-E55CF267DD30}"/>
    <cellStyle name="Total 13 2 2 2 3" xfId="40972" xr:uid="{72764AEF-5323-4CCA-9684-D76DDD0E30D6}"/>
    <cellStyle name="Total 13 2 2 3" xfId="25786" xr:uid="{8D3B84E4-1FA9-471D-882D-8A90D5ABCC5F}"/>
    <cellStyle name="Total 13 2 2 4" xfId="38862" xr:uid="{97D1CACB-42B5-4863-BAA5-ACAAD8AFCFBA}"/>
    <cellStyle name="Total 13 2 3" xfId="6645" xr:uid="{74464E5C-73C8-4F40-A19A-1D1158508F5C}"/>
    <cellStyle name="Total 13 2 3 2" xfId="13446" xr:uid="{54389558-4F97-4779-A7F7-13C8D8F0C0B0}"/>
    <cellStyle name="Total 13 2 3 2 2" xfId="29910" xr:uid="{1109C2B8-DA38-4FFF-AD48-79A299251298}"/>
    <cellStyle name="Total 13 2 3 2 3" xfId="43248" xr:uid="{BC005848-F210-42DC-8B38-2884431B2BAE}"/>
    <cellStyle name="Total 13 2 3 3" xfId="24277" xr:uid="{592D33A9-6AC4-439E-9E27-22C2A3814142}"/>
    <cellStyle name="Total 13 2 3 4" xfId="37358" xr:uid="{114357C2-B0FA-4394-AAE5-F10B8E893395}"/>
    <cellStyle name="Total 13 2 4" xfId="15761" xr:uid="{708CFF03-EEBE-4624-B1E4-7DED28D147AF}"/>
    <cellStyle name="Total 13 2 4 2" xfId="31866" xr:uid="{4D99EFE6-639D-4BFE-A72F-3C33E789BE3A}"/>
    <cellStyle name="Total 13 2 4 3" xfId="45377" xr:uid="{068B51A9-962F-477A-9BBC-1CFCE6FC3BF7}"/>
    <cellStyle name="Total 13 2 5" xfId="21029" xr:uid="{F02C3CFC-7721-4DC3-9489-E1B64A6889DB}"/>
    <cellStyle name="Total 13 2 6" xfId="34052" xr:uid="{D0458165-03AE-47DC-9464-665768ED8664}"/>
    <cellStyle name="Total 13 3" xfId="4705" xr:uid="{C4D652DE-E1E2-4BEC-BA56-ED84DE6773EC}"/>
    <cellStyle name="Total 13 3 2" xfId="7298" xr:uid="{47FE8D6D-586B-4A2F-9B76-5B33847FD554}"/>
    <cellStyle name="Total 13 3 2 2" xfId="14420" xr:uid="{10EF1917-157D-4E7D-92CE-1F052EE78633}"/>
    <cellStyle name="Total 13 3 2 2 2" xfId="30750" xr:uid="{D68F5993-3DFA-44FE-BBAD-6EEE8E000C8E}"/>
    <cellStyle name="Total 13 3 2 2 3" xfId="44150" xr:uid="{5DAE8529-51DE-4B49-A308-48A89C2B0319}"/>
    <cellStyle name="Total 13 3 2 3" xfId="24865" xr:uid="{4640837A-3BD7-4602-998E-03B5F99B4745}"/>
    <cellStyle name="Total 13 3 2 4" xfId="37945" xr:uid="{1F7FADAC-0242-4985-AF2E-2966C1801B86}"/>
    <cellStyle name="Total 13 3 3" xfId="10816" xr:uid="{E767F49D-A35C-40F1-975D-88899BAAF5A8}"/>
    <cellStyle name="Total 13 3 3 2" xfId="27649" xr:uid="{A8EBD1F4-F625-4CCF-AE78-9D0E5347CFDA}"/>
    <cellStyle name="Total 13 3 3 3" xfId="40797" xr:uid="{24C82230-6160-4367-A3AF-AD72F33C6E70}"/>
    <cellStyle name="Total 13 3 4" xfId="22512" xr:uid="{B2148129-1807-4911-8560-F6E497E9F18C}"/>
    <cellStyle name="Total 13 3 5" xfId="35565" xr:uid="{C1022A25-1E36-439C-AB69-B191DAA5740F}"/>
    <cellStyle name="Total 13 4" xfId="5678" xr:uid="{9FA3EF96-283C-4304-870A-52E4FF8CDFCD}"/>
    <cellStyle name="Total 13 4 2" xfId="8863" xr:uid="{D5237A55-9659-409E-9765-49C3571F5C75}"/>
    <cellStyle name="Total 13 4 2 2" xfId="11139" xr:uid="{4C7B3DC1-933A-40B6-8460-990B2B4855D7}"/>
    <cellStyle name="Total 13 4 2 2 2" xfId="27937" xr:uid="{ADCE806E-6541-45E2-99AB-07B8298FA85B}"/>
    <cellStyle name="Total 13 4 2 2 3" xfId="41117" xr:uid="{EAD0F2B6-E19B-4110-AB44-1257A70AA712}"/>
    <cellStyle name="Total 13 4 2 3" xfId="26353" xr:uid="{DA903319-24B2-46F4-ABA6-BA682705D1DA}"/>
    <cellStyle name="Total 13 4 2 4" xfId="39429" xr:uid="{9DF8C0ED-D497-4B78-885F-2274DEE75F1C}"/>
    <cellStyle name="Total 13 4 3" xfId="15424" xr:uid="{E9D1BB1F-50B0-42FE-A4BB-25FDFB0AFC8D}"/>
    <cellStyle name="Total 13 4 3 2" xfId="31573" xr:uid="{CAB88032-5E74-4CA8-9EA6-2DBC42BBEF45}"/>
    <cellStyle name="Total 13 4 3 3" xfId="45066" xr:uid="{7984CF2B-9E0C-496F-BE48-DC29CB53E64F}"/>
    <cellStyle name="Total 13 4 4" xfId="23325" xr:uid="{9653E75F-F819-45D3-AA86-4CF0E86CD060}"/>
    <cellStyle name="Total 13 4 5" xfId="36406" xr:uid="{4DFB2D39-EECA-4407-9693-0E774F254475}"/>
    <cellStyle name="Total 13 5" xfId="15378" xr:uid="{8FD4DEA8-948F-4DE0-A206-A4A445B531B5}"/>
    <cellStyle name="Total 13 5 2" xfId="31534" xr:uid="{FD929490-3F17-4A5D-9470-43785F5B8CA1}"/>
    <cellStyle name="Total 13 5 3" xfId="45021" xr:uid="{69C3BD35-4817-42DB-8168-D2067ED0E8CA}"/>
    <cellStyle name="Total 13 6" xfId="21587" xr:uid="{8A44998D-731C-4D17-B188-B10212997A51}"/>
    <cellStyle name="Total 13 7" xfId="34641" xr:uid="{342AE2BB-0653-4D95-BFF6-F6A28EC28D09}"/>
    <cellStyle name="Total 14" xfId="3546" xr:uid="{65BA5096-9CAD-4F10-9A2D-18710F1AC43E}"/>
    <cellStyle name="Total 14 2" xfId="2887" xr:uid="{D4DD0203-9C1C-4D3D-B740-96389BA75AFB}"/>
    <cellStyle name="Total 14 2 2" xfId="8183" xr:uid="{5A488189-337F-4AFD-ADFA-7A4AAE22ABE5}"/>
    <cellStyle name="Total 14 2 2 2" xfId="16599" xr:uid="{C01CAB1B-F8E6-46A9-A890-DCCB8D745407}"/>
    <cellStyle name="Total 14 2 2 2 2" xfId="32515" xr:uid="{91122C65-2112-44C5-9DD8-082F43948EBC}"/>
    <cellStyle name="Total 14 2 2 2 3" xfId="46146" xr:uid="{DFF99D89-024D-4075-99D5-7C941109316D}"/>
    <cellStyle name="Total 14 2 2 3" xfId="25694" xr:uid="{F30AC493-AB99-418E-98BD-F13246F8A28A}"/>
    <cellStyle name="Total 14 2 2 4" xfId="38770" xr:uid="{602F2965-788D-4647-9F76-8F4B1A85DE3C}"/>
    <cellStyle name="Total 14 2 3" xfId="6550" xr:uid="{30D62335-A5BE-4548-A21B-510B1AA58F72}"/>
    <cellStyle name="Total 14 2 3 2" xfId="13570" xr:uid="{D6EE6A6D-4F05-4844-8C1C-5229156DF203}"/>
    <cellStyle name="Total 14 2 3 2 2" xfId="30013" xr:uid="{6885BFCC-2ECA-468B-9CB9-96F1CDE929F5}"/>
    <cellStyle name="Total 14 2 3 2 3" xfId="43363" xr:uid="{0848F731-787C-4A80-95D0-D5A43586F844}"/>
    <cellStyle name="Total 14 2 3 3" xfId="24185" xr:uid="{F29F17FB-E608-40FA-BBEA-865EEB9868DD}"/>
    <cellStyle name="Total 14 2 3 4" xfId="37266" xr:uid="{90D5B08C-AA5C-423C-A696-BD25FDB234DC}"/>
    <cellStyle name="Total 14 2 4" xfId="13719" xr:uid="{E6E0DCA0-952E-4BAB-83E8-95864E1E2390}"/>
    <cellStyle name="Total 14 2 4 2" xfId="30136" xr:uid="{A794C911-AADA-4764-9804-F5CC6F9136BE}"/>
    <cellStyle name="Total 14 2 4 3" xfId="43497" xr:uid="{CCE312D2-8155-43B9-BE0F-C58BFDEE0FEA}"/>
    <cellStyle name="Total 14 2 5" xfId="20937" xr:uid="{BB86BCF6-1258-4846-9A57-D08C88355ABF}"/>
    <cellStyle name="Total 14 2 6" xfId="33960" xr:uid="{98C7E004-695C-4FB9-ADC7-4F4E2AB960FA}"/>
    <cellStyle name="Total 14 3" xfId="4649" xr:uid="{1DFE386A-49D9-4E79-8BE0-CE47C4516903}"/>
    <cellStyle name="Total 14 3 2" xfId="7188" xr:uid="{DCB9FA33-DA16-4BE9-97EE-AC3070B509EA}"/>
    <cellStyle name="Total 14 3 2 2" xfId="11271" xr:uid="{460FC354-3AA6-47DE-AFB5-6A08C58FD915}"/>
    <cellStyle name="Total 14 3 2 2 2" xfId="28058" xr:uid="{1CC474A6-DDF5-48E4-95C0-842AD9F96598}"/>
    <cellStyle name="Total 14 3 2 2 3" xfId="41240" xr:uid="{B3EB2094-04C1-4212-A316-9C31E981223B}"/>
    <cellStyle name="Total 14 3 2 3" xfId="24785" xr:uid="{80282714-550A-4801-BED3-C759EDD266E6}"/>
    <cellStyle name="Total 14 3 2 4" xfId="37866" xr:uid="{17CDDADB-C4C9-401F-B740-CDF6A854AE6B}"/>
    <cellStyle name="Total 14 3 3" xfId="12597" xr:uid="{E5AC0CAE-CA2E-4A70-BE1E-843CBBFC35F7}"/>
    <cellStyle name="Total 14 3 3 2" xfId="29212" xr:uid="{4FEC4089-1C99-44E6-AC00-03E6C162D9DC}"/>
    <cellStyle name="Total 14 3 3 3" xfId="42476" xr:uid="{9F5F70C9-DC9C-49CA-9481-F20D2277879A}"/>
    <cellStyle name="Total 14 3 4" xfId="22459" xr:uid="{69EAEA57-BD22-4A6C-953A-06129C05F398}"/>
    <cellStyle name="Total 14 3 5" xfId="35512" xr:uid="{61FA6C82-0696-4103-8180-3117D8C80850}"/>
    <cellStyle name="Total 14 4" xfId="5599" xr:uid="{C20B840A-0AAF-4247-B229-DB8C9EDA5455}"/>
    <cellStyle name="Total 14 4 2" xfId="8781" xr:uid="{A2569AD6-3FFF-4761-95ED-97F5BA7D333D}"/>
    <cellStyle name="Total 14 4 2 2" xfId="12151" xr:uid="{AAE7A17E-513B-49C9-804A-D72A237173D4}"/>
    <cellStyle name="Total 14 4 2 2 2" xfId="28850" xr:uid="{CC7FF941-37A8-43DE-ACF4-A3856DBC5B91}"/>
    <cellStyle name="Total 14 4 2 2 3" xfId="42071" xr:uid="{740DD3C1-4290-4B58-9367-3416BDC5B80B}"/>
    <cellStyle name="Total 14 4 2 3" xfId="26274" xr:uid="{8C3A38B1-4229-4514-8761-B84B162E5DB6}"/>
    <cellStyle name="Total 14 4 2 4" xfId="39350" xr:uid="{46960FD4-15AA-4DB6-88D3-98E3950072C2}"/>
    <cellStyle name="Total 14 4 3" xfId="14918" xr:uid="{99925903-301D-44BB-AB85-919BD1F99398}"/>
    <cellStyle name="Total 14 4 3 2" xfId="31164" xr:uid="{63D93872-24A3-41A6-B3B5-25D89F0C9FE9}"/>
    <cellStyle name="Total 14 4 3 3" xfId="44607" xr:uid="{31AD9586-D2AE-4BFC-A6FA-8BECB59BD550}"/>
    <cellStyle name="Total 14 4 4" xfId="23246" xr:uid="{684D3854-8002-4FF6-AA0F-B8A8543EF550}"/>
    <cellStyle name="Total 14 4 5" xfId="36327" xr:uid="{C821F58C-2F3A-42A2-8B94-08B4F4706644}"/>
    <cellStyle name="Total 14 5" xfId="12930" xr:uid="{849F3406-A7DF-4C18-BE35-97B9D6651828}"/>
    <cellStyle name="Total 14 5 2" xfId="29473" xr:uid="{EA6BFFA3-3823-4BF5-B544-CE8CE473AE91}"/>
    <cellStyle name="Total 14 5 3" xfId="42769" xr:uid="{7D67B6A3-91F7-4231-AB65-ABF11FDA4438}"/>
    <cellStyle name="Total 14 6" xfId="21508" xr:uid="{D7C50B45-5927-4E15-AAEE-3F2290A3783B}"/>
    <cellStyle name="Total 14 7" xfId="34560" xr:uid="{F9BAB201-103A-4F91-BA78-D54129A75FAB}"/>
    <cellStyle name="Total 15" xfId="3676" xr:uid="{1A555ED1-B656-40E1-BABE-A05C235A775D}"/>
    <cellStyle name="Total 15 2" xfId="2992" xr:uid="{9C1B9C90-5B8C-4421-B7D4-0C6313B8EDF5}"/>
    <cellStyle name="Total 15 2 2" xfId="8288" xr:uid="{14126D4D-71F6-4B01-9DCF-8763EE59CB3E}"/>
    <cellStyle name="Total 15 2 2 2" xfId="12759" xr:uid="{AE4EBA0E-C5AB-42C4-9969-3B86F81A5760}"/>
    <cellStyle name="Total 15 2 2 2 2" xfId="29336" xr:uid="{1B485007-05CE-4D6E-8017-3569426D1B6D}"/>
    <cellStyle name="Total 15 2 2 2 3" xfId="42616" xr:uid="{FA61DBDF-2E43-4F29-BDDC-2141649310DB}"/>
    <cellStyle name="Total 15 2 2 3" xfId="25794" xr:uid="{E184B9FA-4E07-47F8-B279-B2C07AD8E6D5}"/>
    <cellStyle name="Total 15 2 2 4" xfId="38870" xr:uid="{0D2F962D-D7A6-4D5B-B68E-7D8F496FDDC2}"/>
    <cellStyle name="Total 15 2 3" xfId="6655" xr:uid="{3ABD6AF6-F262-4940-87DB-FAD4A00D1DE0}"/>
    <cellStyle name="Total 15 2 3 2" xfId="13298" xr:uid="{F04427F5-0CFA-41B9-A75A-232FECA655FB}"/>
    <cellStyle name="Total 15 2 3 2 2" xfId="29786" xr:uid="{9D494C3F-8916-41CB-9E4E-C3AB079A2E4B}"/>
    <cellStyle name="Total 15 2 3 2 3" xfId="43114" xr:uid="{13F80DFD-40D8-4E53-BA87-585129B90BEB}"/>
    <cellStyle name="Total 15 2 3 3" xfId="24285" xr:uid="{FE894143-2E38-4113-8648-68FC6495E1F4}"/>
    <cellStyle name="Total 15 2 3 4" xfId="37366" xr:uid="{EEB420C1-DCAA-4B92-BB5D-EB6DF679EEBB}"/>
    <cellStyle name="Total 15 2 4" xfId="17090" xr:uid="{B55BE7FA-99B4-4D84-8365-B7B4DA43CB37}"/>
    <cellStyle name="Total 15 2 4 2" xfId="32859" xr:uid="{4D4DD182-5D48-4CA5-9036-60CA74908627}"/>
    <cellStyle name="Total 15 2 4 3" xfId="46630" xr:uid="{75BC96BC-1079-4288-9878-2894B5818D6F}"/>
    <cellStyle name="Total 15 2 5" xfId="21037" xr:uid="{E4662DCE-A0B6-455C-8840-67C92E7E2397}"/>
    <cellStyle name="Total 15 2 6" xfId="34060" xr:uid="{D4992141-4F7F-48B8-8CFE-ACBF92495D04}"/>
    <cellStyle name="Total 15 3" xfId="4710" xr:uid="{6D43BDA9-9277-4093-912A-1AE0068D290F}"/>
    <cellStyle name="Total 15 3 2" xfId="7311" xr:uid="{4999F224-FC66-4C96-86C8-73125E65EE64}"/>
    <cellStyle name="Total 15 3 2 2" xfId="12962" xr:uid="{477D5A53-08BF-4D85-8A22-F36E2B8E0381}"/>
    <cellStyle name="Total 15 3 2 2 2" xfId="29500" xr:uid="{B73C3EEC-0559-4A4B-AAD8-52DC229D1873}"/>
    <cellStyle name="Total 15 3 2 2 3" xfId="42799" xr:uid="{C3A0940D-DCEF-4893-BCA4-6CBC3E8AF4F8}"/>
    <cellStyle name="Total 15 3 2 3" xfId="24872" xr:uid="{1AC32F69-EC6B-42F9-9017-D2E1FFEFBE20}"/>
    <cellStyle name="Total 15 3 2 4" xfId="37952" xr:uid="{2EC275D9-94C8-46B5-B129-F4ABA78AA71C}"/>
    <cellStyle name="Total 15 3 3" xfId="17096" xr:uid="{1EF43C64-6D4D-4435-B666-86DDA6D2FE25}"/>
    <cellStyle name="Total 15 3 3 2" xfId="32865" xr:uid="{B7F73782-F14B-4EF8-9B3F-C17CFFB54FFF}"/>
    <cellStyle name="Total 15 3 3 3" xfId="46636" xr:uid="{8F84BA00-FC07-4AD3-A65A-E609D77A539A}"/>
    <cellStyle name="Total 15 3 4" xfId="22515" xr:uid="{97B7621B-1E57-49F6-9D4B-8416AC719A7D}"/>
    <cellStyle name="Total 15 3 5" xfId="35568" xr:uid="{BF95A661-06AA-41BB-AB42-5DB2F52247D4}"/>
    <cellStyle name="Total 15 4" xfId="5685" xr:uid="{A0813440-B5EF-4360-89BA-73FD9125B57F}"/>
    <cellStyle name="Total 15 4 2" xfId="8872" xr:uid="{30BB4C9E-9874-4DDB-9098-CFBB63D88151}"/>
    <cellStyle name="Total 15 4 2 2" xfId="14281" xr:uid="{BD647F7F-999D-4C2D-93F1-3E2E9C97400B}"/>
    <cellStyle name="Total 15 4 2 2 2" xfId="30621" xr:uid="{0DE0F4B3-2A13-4200-A04D-4344EE1074E4}"/>
    <cellStyle name="Total 15 4 2 2 3" xfId="44014" xr:uid="{BCC15035-64CC-452C-B7C3-2F171E2CF586}"/>
    <cellStyle name="Total 15 4 2 3" xfId="26360" xr:uid="{B97BCEC2-01DB-484C-AEEB-55CA76C3D9A4}"/>
    <cellStyle name="Total 15 4 2 4" xfId="39436" xr:uid="{C4D1C315-0CB8-4AA4-B67B-1CEED4C87E1C}"/>
    <cellStyle name="Total 15 4 3" xfId="11830" xr:uid="{2551E345-B697-4E9C-A8F7-5D3CC666FD99}"/>
    <cellStyle name="Total 15 4 3 2" xfId="28550" xr:uid="{904173DF-A12A-4F08-B43B-DECF0F499EBC}"/>
    <cellStyle name="Total 15 4 3 3" xfId="41763" xr:uid="{2C847F18-2A9E-4458-AB5A-62795D2F17FE}"/>
    <cellStyle name="Total 15 4 4" xfId="23332" xr:uid="{D03D4642-F296-4E82-90D0-B3A2D8B1502B}"/>
    <cellStyle name="Total 15 4 5" xfId="36413" xr:uid="{924CC3F7-B317-4929-9916-434810BDE20D}"/>
    <cellStyle name="Total 15 5" xfId="11136" xr:uid="{B1F86C35-82ED-4B75-9D1B-14C76D5408A1}"/>
    <cellStyle name="Total 15 5 2" xfId="27934" xr:uid="{7D256381-C7F2-49AF-B57E-16BEEDFB3B94}"/>
    <cellStyle name="Total 15 5 3" xfId="41114" xr:uid="{5FBBC4E9-2C3C-44A2-A677-95C4458A329D}"/>
    <cellStyle name="Total 15 6" xfId="21594" xr:uid="{5659F72D-4634-470D-B059-9BB27E612910}"/>
    <cellStyle name="Total 15 7" xfId="34648" xr:uid="{F3E8D301-A4BA-4E8A-BB41-AAC0523EB6D9}"/>
    <cellStyle name="Total 16" xfId="3902" xr:uid="{8FB3079A-5D46-4A96-8F58-26A89C1CBEE7}"/>
    <cellStyle name="Total 16 2" xfId="3171" xr:uid="{FEC3BA8D-C989-4D24-8699-13F8D96B4943}"/>
    <cellStyle name="Total 16 2 2" xfId="8463" xr:uid="{44B2FAF0-D632-4EFD-A1A2-BF386FCCAE94}"/>
    <cellStyle name="Total 16 2 2 2" xfId="17224" xr:uid="{2B83109B-87DB-4F8A-96C9-2C36C48956CD}"/>
    <cellStyle name="Total 16 2 2 2 2" xfId="32983" xr:uid="{2AFE8B64-3B97-4799-9011-ED17B0653A1D}"/>
    <cellStyle name="Total 16 2 2 2 3" xfId="46758" xr:uid="{E7A4A296-C4F0-4557-A66F-6666B418A6A2}"/>
    <cellStyle name="Total 16 2 2 3" xfId="25964" xr:uid="{E7A8F43A-243A-4A43-8050-808408B5E42A}"/>
    <cellStyle name="Total 16 2 2 4" xfId="39040" xr:uid="{AA521982-E9CD-4095-9A80-22C5FAA64EEF}"/>
    <cellStyle name="Total 16 2 3" xfId="6830" xr:uid="{4CDDCAA3-2942-44F5-AE12-095732BB5CD2}"/>
    <cellStyle name="Total 16 2 3 2" xfId="17272" xr:uid="{9CE399AA-A520-4DD8-A3F2-F762DAD2211E}"/>
    <cellStyle name="Total 16 2 3 2 2" xfId="33031" xr:uid="{F66FC751-0D6B-452E-ACDE-CA8E55100BAC}"/>
    <cellStyle name="Total 16 2 3 2 3" xfId="46806" xr:uid="{1E499995-DA84-4490-9925-BA39F7F3E212}"/>
    <cellStyle name="Total 16 2 3 3" xfId="24455" xr:uid="{1E39E467-5B0E-44E1-8C29-EC417A544326}"/>
    <cellStyle name="Total 16 2 3 4" xfId="37536" xr:uid="{14152345-0BDF-44A3-B3EB-15D21FE43FF5}"/>
    <cellStyle name="Total 16 2 4" xfId="11706" xr:uid="{D7E6CA54-BEA8-41BC-BE18-2FAF30FD012A}"/>
    <cellStyle name="Total 16 2 4 2" xfId="28438" xr:uid="{DCE8181F-7399-4356-AC65-CB11B87374C2}"/>
    <cellStyle name="Total 16 2 4 3" xfId="41648" xr:uid="{59EA8D9B-2882-48E9-B3AB-12923AED5DCE}"/>
    <cellStyle name="Total 16 2 5" xfId="21207" xr:uid="{E8F148B8-3852-4D6B-A55A-9BAE282F9003}"/>
    <cellStyle name="Total 16 2 6" xfId="34230" xr:uid="{073B10F3-288A-4C9E-8291-A796ED90459F}"/>
    <cellStyle name="Total 16 3" xfId="4839" xr:uid="{6F513921-6D27-4177-908F-B4EA71C02E00}"/>
    <cellStyle name="Total 16 3 2" xfId="7483" xr:uid="{E1710DC1-8C3B-413C-BCAE-08C33CCBB26A}"/>
    <cellStyle name="Total 16 3 2 2" xfId="14868" xr:uid="{25130B60-0B45-4881-9815-E66764D1643F}"/>
    <cellStyle name="Total 16 3 2 2 2" xfId="31122" xr:uid="{0DA88DCD-2FAA-4F29-B98B-34039B92F0E0}"/>
    <cellStyle name="Total 16 3 2 2 3" xfId="44561" xr:uid="{A45C9794-7065-4B2A-B894-DCBFCBFDF97D}"/>
    <cellStyle name="Total 16 3 2 3" xfId="25039" xr:uid="{11DB96F6-50B0-4E11-A3D7-2CE743954459}"/>
    <cellStyle name="Total 16 3 2 4" xfId="38115" xr:uid="{728D6DAF-99D2-4184-8460-B473B94F7121}"/>
    <cellStyle name="Total 16 3 3" xfId="11505" xr:uid="{C62B20CD-8074-45C5-BEBB-51B5BE6081F3}"/>
    <cellStyle name="Total 16 3 3 2" xfId="28264" xr:uid="{5100E138-8B56-4755-9968-32DF84ECF29C}"/>
    <cellStyle name="Total 16 3 3 3" xfId="41461" xr:uid="{413E27E3-D22A-490F-8738-0DCFBC88625B}"/>
    <cellStyle name="Total 16 3 4" xfId="22640" xr:uid="{0F5FFFCF-9100-4226-B331-9C51EC143967}"/>
    <cellStyle name="Total 16 3 5" xfId="35693" xr:uid="{D6012755-EEA7-42A3-A7CD-E8ACE61CD3D2}"/>
    <cellStyle name="Total 16 4" xfId="5865" xr:uid="{73EA45E9-B176-4F5E-9F3D-35E10F32B46A}"/>
    <cellStyle name="Total 16 4 2" xfId="9024" xr:uid="{C47F856F-0734-4F57-9A98-BD30CA528219}"/>
    <cellStyle name="Total 16 4 2 2" xfId="15768" xr:uid="{15EE36C5-1F8F-4C68-A003-C8C1DAF0B863}"/>
    <cellStyle name="Total 16 4 2 2 2" xfId="31871" xr:uid="{CA97BE0D-4095-4F94-9F9D-10AD884C35DD}"/>
    <cellStyle name="Total 16 4 2 2 3" xfId="45382" xr:uid="{8D18D070-98D8-4A03-AD4F-E5B37DC65370}"/>
    <cellStyle name="Total 16 4 2 3" xfId="26508" xr:uid="{85E03122-95C0-4331-A25A-D0B022BE8899}"/>
    <cellStyle name="Total 16 4 2 4" xfId="39584" xr:uid="{9C7D3085-A646-4AC2-BA62-3A9B9D7AB9F4}"/>
    <cellStyle name="Total 16 4 3" xfId="13617" xr:uid="{6C11EC26-644B-418A-84D4-BDAA7793EB74}"/>
    <cellStyle name="Total 16 4 3 2" xfId="30055" xr:uid="{6E4885F9-A0A6-46CE-B238-53D69D681694}"/>
    <cellStyle name="Total 16 4 3 3" xfId="43408" xr:uid="{C6BB6ED7-F5FD-4B13-ADE8-8B7D8EA39D83}"/>
    <cellStyle name="Total 16 4 4" xfId="23512" xr:uid="{547FCACF-4920-4E42-A1D7-AA88753BD853}"/>
    <cellStyle name="Total 16 4 5" xfId="36593" xr:uid="{0AAAB889-6D13-4CDA-9FB1-AE6EE5C3649F}"/>
    <cellStyle name="Total 16 5" xfId="14786" xr:uid="{EA7E1816-9B3E-4F5B-BCB1-72DF4944B454}"/>
    <cellStyle name="Total 16 5 2" xfId="31052" xr:uid="{013710F7-E17F-4AF3-B1FA-6AD38A92BDBB}"/>
    <cellStyle name="Total 16 5 3" xfId="44484" xr:uid="{7D708D09-6FDC-43D5-B447-0EBC04794DC5}"/>
    <cellStyle name="Total 16 6" xfId="21777" xr:uid="{BD47A98A-5E29-4BB1-BD20-A3A34C226631}"/>
    <cellStyle name="Total 16 7" xfId="34828" xr:uid="{87FC413F-14B4-4853-8816-D63BB8272600}"/>
    <cellStyle name="Total 17" xfId="3958" xr:uid="{CEDA8857-279B-419E-8792-47CF79511FAE}"/>
    <cellStyle name="Total 17 2" xfId="3206" xr:uid="{9613C2A0-C0B7-488C-9F8B-C0AE7E4D8E73}"/>
    <cellStyle name="Total 17 2 2" xfId="8497" xr:uid="{D7C23858-8936-42BE-A151-A0FA45546D20}"/>
    <cellStyle name="Total 17 2 2 2" xfId="16368" xr:uid="{96323A48-A5D1-4F9A-8D0A-A570897DD1C0}"/>
    <cellStyle name="Total 17 2 2 2 2" xfId="32389" xr:uid="{24E7E7A6-0592-43E1-8F73-990C1DA85621}"/>
    <cellStyle name="Total 17 2 2 2 3" xfId="45922" xr:uid="{D13A3C22-C1DC-4DFE-A62F-337201170F5A}"/>
    <cellStyle name="Total 17 2 2 3" xfId="25997" xr:uid="{88636CF6-3FC5-4BD7-B365-453A5549FC7C}"/>
    <cellStyle name="Total 17 2 2 4" xfId="39073" xr:uid="{D2FCF696-94FA-4064-B0F0-7852753600E5}"/>
    <cellStyle name="Total 17 2 3" xfId="6865" xr:uid="{BD8DBCD8-9C6F-4ED9-BAB1-0712949CA41D}"/>
    <cellStyle name="Total 17 2 3 2" xfId="16848" xr:uid="{383B75EE-C930-47C8-979E-2392029F16FB}"/>
    <cellStyle name="Total 17 2 3 2 2" xfId="32725" xr:uid="{789486B7-CA93-4862-8FF8-573E836FCF88}"/>
    <cellStyle name="Total 17 2 3 2 3" xfId="46390" xr:uid="{B8937307-6885-4C60-B447-F81980FA480F}"/>
    <cellStyle name="Total 17 2 3 3" xfId="24489" xr:uid="{BFE34869-5EF7-432B-B316-C2F64221A631}"/>
    <cellStyle name="Total 17 2 3 4" xfId="37570" xr:uid="{18A9BA9D-B04E-4117-8F9F-FC2620ACF34F}"/>
    <cellStyle name="Total 17 2 4" xfId="11106" xr:uid="{C9CDFF26-C11F-4E57-AC53-2157067D9BC1}"/>
    <cellStyle name="Total 17 2 4 2" xfId="27907" xr:uid="{6A2F3BBF-863A-4D1F-925E-D9C8567BBB39}"/>
    <cellStyle name="Total 17 2 4 3" xfId="41085" xr:uid="{50ACE306-8A40-417F-88A7-2C409B4B1692}"/>
    <cellStyle name="Total 17 2 5" xfId="21241" xr:uid="{F3517903-A3BD-4A38-B8E7-F1140860002D}"/>
    <cellStyle name="Total 17 2 6" xfId="34264" xr:uid="{1AFFD2FF-BCAD-4EF9-BF45-8AA4E9927B19}"/>
    <cellStyle name="Total 17 3" xfId="4870" xr:uid="{62CD5352-27CC-4D98-9036-AFE25BA62DB5}"/>
    <cellStyle name="Total 17 3 2" xfId="7538" xr:uid="{A1C5C40B-C89D-4F02-90E6-E9821132054E}"/>
    <cellStyle name="Total 17 3 2 2" xfId="12163" xr:uid="{17400EB5-B965-4B49-ADB1-8CFFD5AAB0E7}"/>
    <cellStyle name="Total 17 3 2 2 2" xfId="28860" xr:uid="{D32A9C36-B7DA-4824-AB5E-23002669CCCF}"/>
    <cellStyle name="Total 17 3 2 2 3" xfId="42083" xr:uid="{2C5B3343-260B-40E6-AAE5-5EAF5F33148E}"/>
    <cellStyle name="Total 17 3 2 3" xfId="25068" xr:uid="{5E01A831-B167-4F0D-9040-B0BADB35EFA4}"/>
    <cellStyle name="Total 17 3 2 4" xfId="38144" xr:uid="{74D2A0F7-DE59-417F-A07F-D4B211555B24}"/>
    <cellStyle name="Total 17 3 3" xfId="12131" xr:uid="{AD8295E8-C324-492B-88AA-06F56C5A8B95}"/>
    <cellStyle name="Total 17 3 3 2" xfId="28831" xr:uid="{65AFFB3F-48DA-4845-B5D6-D87F2AC71B88}"/>
    <cellStyle name="Total 17 3 3 3" xfId="42051" xr:uid="{A3FBFF1D-2973-4DD3-BDC2-CA90D4551725}"/>
    <cellStyle name="Total 17 3 4" xfId="22669" xr:uid="{BD501CCD-C567-4842-9FBF-8CBCDF9D78BB}"/>
    <cellStyle name="Total 17 3 5" xfId="35722" xr:uid="{4496B4AA-CEA6-40EE-B10C-417127BCEA17}"/>
    <cellStyle name="Total 17 4" xfId="5894" xr:uid="{922EF431-F890-4C83-A51C-1F7F5E539873}"/>
    <cellStyle name="Total 17 4 2" xfId="9055" xr:uid="{65D05A71-036F-4ECB-A297-E5CCD74A69E6}"/>
    <cellStyle name="Total 17 4 2 2" xfId="15494" xr:uid="{4C62C536-1E89-4EE2-828E-F73C87601868}"/>
    <cellStyle name="Total 17 4 2 2 2" xfId="31633" xr:uid="{1AE19E6D-694B-4F81-BB99-FDA86E269EC6}"/>
    <cellStyle name="Total 17 4 2 2 3" xfId="45130" xr:uid="{B992E5C2-5DB8-4DDD-A002-C8207C03E3F2}"/>
    <cellStyle name="Total 17 4 2 3" xfId="26537" xr:uid="{82EB02F0-D120-4E44-A98F-7A51703E1789}"/>
    <cellStyle name="Total 17 4 2 4" xfId="39613" xr:uid="{A52C6B2C-AA15-4525-B82A-A48FFEC06BA5}"/>
    <cellStyle name="Total 17 4 3" xfId="10667" xr:uid="{5B485AA8-5B59-4FAC-B2F2-7616B1ABB61B}"/>
    <cellStyle name="Total 17 4 3 2" xfId="27517" xr:uid="{86A4280B-8567-4D6E-A0FF-5A73CB3C0A2D}"/>
    <cellStyle name="Total 17 4 3 3" xfId="40648" xr:uid="{E96DE10E-C5CE-4D99-90B7-FCB2BB36D986}"/>
    <cellStyle name="Total 17 4 4" xfId="23541" xr:uid="{B1F0EDC1-6D02-4C3A-ACD8-1C70E63D2248}"/>
    <cellStyle name="Total 17 4 5" xfId="36622" xr:uid="{0F41053F-98A2-49C0-89F0-615AD9D63DC3}"/>
    <cellStyle name="Total 17 5" xfId="15743" xr:uid="{02AC4044-C46B-4DF9-BFFF-201E00ADB272}"/>
    <cellStyle name="Total 17 5 2" xfId="31851" xr:uid="{8D1E7192-6988-46F6-A566-340C90F7A6F7}"/>
    <cellStyle name="Total 17 5 3" xfId="45361" xr:uid="{C361079C-CF4B-44A6-B296-7FD40125E92C}"/>
    <cellStyle name="Total 17 6" xfId="21807" xr:uid="{1B82D508-2880-4BFB-A081-DB14A2A89997}"/>
    <cellStyle name="Total 17 7" xfId="34857" xr:uid="{BC32C19C-D6E8-4232-AFA7-64E6EFAD2658}"/>
    <cellStyle name="Total 18" xfId="3898" xr:uid="{04FF608E-8F7A-4ABC-9C71-810553A82D5A}"/>
    <cellStyle name="Total 18 2" xfId="3167" xr:uid="{0DE1CC87-6BB2-46A1-B410-E580B9D1732F}"/>
    <cellStyle name="Total 18 2 2" xfId="8459" xr:uid="{6C0AF56C-D06C-4CD2-85C5-2263B9DD3E47}"/>
    <cellStyle name="Total 18 2 2 2" xfId="15393" xr:uid="{14181C80-122B-4CA4-B031-CEEB38AF7E0D}"/>
    <cellStyle name="Total 18 2 2 2 2" xfId="31547" xr:uid="{D1334FAA-90B7-451E-8901-2090DA60AA4F}"/>
    <cellStyle name="Total 18 2 2 2 3" xfId="45035" xr:uid="{7AAD7975-61EE-4BEA-B218-80A6F0CE2E33}"/>
    <cellStyle name="Total 18 2 2 3" xfId="25961" xr:uid="{8F57282C-2F9A-430A-9C7E-7F27190F24C2}"/>
    <cellStyle name="Total 18 2 2 4" xfId="39037" xr:uid="{54830B89-E1A2-4674-AF3B-26BD75B9B924}"/>
    <cellStyle name="Total 18 2 3" xfId="6826" xr:uid="{63F0DEE4-4D00-43CB-B8D8-592ECEDC4545}"/>
    <cellStyle name="Total 18 2 3 2" xfId="14558" xr:uid="{0D3A303B-D2C8-4D74-BB3C-2A367BED1B4E}"/>
    <cellStyle name="Total 18 2 3 2 2" xfId="30865" xr:uid="{18F7E655-8537-425F-AE0A-CD512DCF9A36}"/>
    <cellStyle name="Total 18 2 3 2 3" xfId="44279" xr:uid="{754127E7-243E-4F35-804A-3F248303603B}"/>
    <cellStyle name="Total 18 2 3 3" xfId="24452" xr:uid="{89F27A44-3FFD-4696-B9C4-27EBD3FE12AF}"/>
    <cellStyle name="Total 18 2 3 4" xfId="37533" xr:uid="{DA1AEF9E-242B-47B2-BCD7-17A28A0E01D9}"/>
    <cellStyle name="Total 18 2 4" xfId="14375" xr:uid="{A6185EB2-0C3D-4C07-9BF2-C6E41499C17D}"/>
    <cellStyle name="Total 18 2 4 2" xfId="30707" xr:uid="{D0C103E0-2F06-4CEE-8EC5-BBCB267A0EFC}"/>
    <cellStyle name="Total 18 2 4 3" xfId="44105" xr:uid="{ECF1A547-5701-436B-8F01-2812F481F2C9}"/>
    <cellStyle name="Total 18 2 5" xfId="21204" xr:uid="{CFADAA05-0162-407A-85B1-1967E1656EAF}"/>
    <cellStyle name="Total 18 2 6" xfId="34227" xr:uid="{DDC3DCF3-D847-46BF-8D2C-DBFCDB7B64A6}"/>
    <cellStyle name="Total 18 3" xfId="4835" xr:uid="{9644EFB4-80D1-41E0-B10A-D8385C13AE5B}"/>
    <cellStyle name="Total 18 3 2" xfId="7479" xr:uid="{3412AAD2-2EF7-451B-BEA4-0767354E1271}"/>
    <cellStyle name="Total 18 3 2 2" xfId="15523" xr:uid="{C4558A58-72D3-459F-8C22-C3752EEF15F1}"/>
    <cellStyle name="Total 18 3 2 2 2" xfId="31660" xr:uid="{AEB17473-21AF-4F84-AF57-234E670630EF}"/>
    <cellStyle name="Total 18 3 2 2 3" xfId="45158" xr:uid="{863A36DB-987B-4176-833F-18B5DDFA9EA7}"/>
    <cellStyle name="Total 18 3 2 3" xfId="25036" xr:uid="{304BEB40-F2E2-4A0B-A5C3-EF0603CB3222}"/>
    <cellStyle name="Total 18 3 2 4" xfId="38112" xr:uid="{91066C11-8C3E-40AC-AE46-4B6B84C32899}"/>
    <cellStyle name="Total 18 3 3" xfId="16867" xr:uid="{A61918C6-8475-40C6-B340-1D60A03DDDE4}"/>
    <cellStyle name="Total 18 3 3 2" xfId="32744" xr:uid="{29B359CE-FCD9-4EA8-B646-C692DEA95288}"/>
    <cellStyle name="Total 18 3 3 3" xfId="46409" xr:uid="{BFBAA1B8-BF4C-4412-A0DD-4A292F1F265D}"/>
    <cellStyle name="Total 18 3 4" xfId="22637" xr:uid="{42C99EBE-131E-4B5E-A5AB-30FEC5B6E528}"/>
    <cellStyle name="Total 18 3 5" xfId="35690" xr:uid="{2A3B0BB9-91D4-462E-922F-D4C529771657}"/>
    <cellStyle name="Total 18 4" xfId="5862" xr:uid="{21E64E31-D471-4F1C-888F-B09DF234158D}"/>
    <cellStyle name="Total 18 4 2" xfId="9020" xr:uid="{C704E7AC-EE65-4AA3-9BAA-947DC037A796}"/>
    <cellStyle name="Total 18 4 2 2" xfId="14118" xr:uid="{B9388CA2-D76F-4398-A872-71BBBD3C82AB}"/>
    <cellStyle name="Total 18 4 2 2 2" xfId="30483" xr:uid="{4BB7E816-7187-4846-8BDB-FCD2DE09EB96}"/>
    <cellStyle name="Total 18 4 2 2 3" xfId="43866" xr:uid="{E0B2F3AC-460E-453E-BCB5-83004449A676}"/>
    <cellStyle name="Total 18 4 2 3" xfId="26505" xr:uid="{ED0AADB0-1792-4403-A704-0F32319B4E09}"/>
    <cellStyle name="Total 18 4 2 4" xfId="39581" xr:uid="{FB7D6141-CE0E-4580-A3D1-7FEAD0D19DB0}"/>
    <cellStyle name="Total 18 4 3" xfId="11509" xr:uid="{A1981C0A-1875-445D-9300-E27EEE94CD14}"/>
    <cellStyle name="Total 18 4 3 2" xfId="28268" xr:uid="{3FDFE4CE-C91A-4608-8EA8-92ABAF1DFB9F}"/>
    <cellStyle name="Total 18 4 3 3" xfId="41465" xr:uid="{021B1D51-79CC-4B6F-A490-101527EA3D6C}"/>
    <cellStyle name="Total 18 4 4" xfId="23509" xr:uid="{6A8F615A-5A2D-44CF-ACCF-80A9C5C83906}"/>
    <cellStyle name="Total 18 4 5" xfId="36590" xr:uid="{F30DC2E9-4554-4FAA-B49D-F086CBA141A0}"/>
    <cellStyle name="Total 18 5" xfId="13004" xr:uid="{5E02B996-9256-4D6A-903E-C4DBDB2D1F68}"/>
    <cellStyle name="Total 18 5 2" xfId="29539" xr:uid="{0AAC6D0B-B9CA-430A-A71C-314D3C7920C7}"/>
    <cellStyle name="Total 18 5 3" xfId="42840" xr:uid="{7C8C44A4-8208-4500-8559-5CB6486040D7}"/>
    <cellStyle name="Total 18 6" xfId="21774" xr:uid="{B0124A96-DE0A-4AF8-9EB6-F727B415279D}"/>
    <cellStyle name="Total 18 7" xfId="34825" xr:uid="{A2D00F18-5C3A-407F-9A87-F39169D7C601}"/>
    <cellStyle name="Total 19" xfId="3964" xr:uid="{0D1983FA-3E1C-48B4-A603-B5CC12B8AFE0}"/>
    <cellStyle name="Total 19 2" xfId="3211" xr:uid="{4AE45D63-EDF8-44A1-81BE-E2B8B4D0C7E7}"/>
    <cellStyle name="Total 19 2 2" xfId="8502" xr:uid="{9E0E5563-0F1D-4250-83C4-68E7C5085A71}"/>
    <cellStyle name="Total 19 2 2 2" xfId="10733" xr:uid="{9764D6CD-8AFC-4FDB-BC45-0EB76E31A84D}"/>
    <cellStyle name="Total 19 2 2 2 2" xfId="27574" xr:uid="{9B3A86C2-BA6A-41C9-81EC-4EFD755AF58A}"/>
    <cellStyle name="Total 19 2 2 2 3" xfId="40714" xr:uid="{6C69DF4B-1437-426F-A39B-9C0646EE00BA}"/>
    <cellStyle name="Total 19 2 2 3" xfId="26001" xr:uid="{638C4A68-C281-4DC6-92D0-F4E517B9DFB2}"/>
    <cellStyle name="Total 19 2 2 4" xfId="39077" xr:uid="{C2B29736-D526-4E04-8551-BCC487FB4A05}"/>
    <cellStyle name="Total 19 2 3" xfId="6870" xr:uid="{017B92AE-782D-4752-B10C-FC3A7AAEED02}"/>
    <cellStyle name="Total 19 2 3 2" xfId="12357" xr:uid="{23F2D302-2B84-4641-97C3-61CCAA8E7FBB}"/>
    <cellStyle name="Total 19 2 3 2 2" xfId="29023" xr:uid="{F2BD6DEB-BAFA-4C61-A45F-DAF85F86877B}"/>
    <cellStyle name="Total 19 2 3 2 3" xfId="42263" xr:uid="{ED4FE195-315B-4872-A854-0E4962C3AC36}"/>
    <cellStyle name="Total 19 2 3 3" xfId="24493" xr:uid="{997C4F76-3E36-4B73-8A80-7161BF571A5D}"/>
    <cellStyle name="Total 19 2 3 4" xfId="37574" xr:uid="{FA4A76F4-05F1-485D-B599-207F2E48758D}"/>
    <cellStyle name="Total 19 2 4" xfId="12602" xr:uid="{C849D49F-D7AF-4245-9793-D7D17CD5B216}"/>
    <cellStyle name="Total 19 2 4 2" xfId="29216" xr:uid="{4F1A4E50-713E-47F3-B73E-549A5E76841E}"/>
    <cellStyle name="Total 19 2 4 3" xfId="42480" xr:uid="{01E39F60-69CD-4EC4-91BD-439B8C4ED67F}"/>
    <cellStyle name="Total 19 2 5" xfId="21245" xr:uid="{0545156D-7BCF-403F-B4F7-4A0B3BE09533}"/>
    <cellStyle name="Total 19 2 6" xfId="34268" xr:uid="{54038770-A77C-4F88-A552-9E15ED78F124}"/>
    <cellStyle name="Total 19 3" xfId="4876" xr:uid="{72D48640-F34F-4BF3-B89D-25B59E0CC6BB}"/>
    <cellStyle name="Total 19 3 2" xfId="7544" xr:uid="{77B916C2-51BE-4727-ABEF-903859221704}"/>
    <cellStyle name="Total 19 3 2 2" xfId="12794" xr:uid="{00269FEC-C72F-4BC5-A08B-1A41FA6CF00A}"/>
    <cellStyle name="Total 19 3 2 2 2" xfId="29369" xr:uid="{1C0FD810-7D08-40DD-B703-095B0E8CAE76}"/>
    <cellStyle name="Total 19 3 2 2 3" xfId="42649" xr:uid="{F9DF9E34-1B3D-4933-A744-AA2F9CB88C04}"/>
    <cellStyle name="Total 19 3 2 3" xfId="25072" xr:uid="{D3E4A6BD-87E4-43C1-A4E3-50B428E52643}"/>
    <cellStyle name="Total 19 3 2 4" xfId="38148" xr:uid="{1738E6AF-3B69-4ADD-BA12-E7A4F9E63FBA}"/>
    <cellStyle name="Total 19 3 3" xfId="12873" xr:uid="{F607D349-D315-41DB-8801-09DC7B153F72}"/>
    <cellStyle name="Total 19 3 3 2" xfId="29434" xr:uid="{8CB63720-3B28-4AA6-A282-5F9BF33B811A}"/>
    <cellStyle name="Total 19 3 3 3" xfId="42722" xr:uid="{14DAEF6F-0E63-4E92-9E91-8535C9CF0F1A}"/>
    <cellStyle name="Total 19 3 4" xfId="22673" xr:uid="{19DBC4FF-A3B0-417E-B095-C89F839CD25F}"/>
    <cellStyle name="Total 19 3 5" xfId="35726" xr:uid="{00150760-5C8E-4E5A-8DB1-1ACF1A552753}"/>
    <cellStyle name="Total 19 4" xfId="5898" xr:uid="{99494652-DB48-463E-91EF-DC4D50BF9D48}"/>
    <cellStyle name="Total 19 4 2" xfId="9059" xr:uid="{9A655BD5-5B66-4079-BA64-D55505774A21}"/>
    <cellStyle name="Total 19 4 2 2" xfId="11559" xr:uid="{574E6D42-0253-412F-B7A2-D4F19A2AE4F4}"/>
    <cellStyle name="Total 19 4 2 2 2" xfId="28316" xr:uid="{5C23A19A-6898-4DEA-8950-3E8AFA0D16FB}"/>
    <cellStyle name="Total 19 4 2 2 3" xfId="41514" xr:uid="{78B739CE-40BC-4BB6-A8A7-A5A97FDA13EC}"/>
    <cellStyle name="Total 19 4 2 3" xfId="26540" xr:uid="{14F77140-6ABF-4527-B322-D50836032C5C}"/>
    <cellStyle name="Total 19 4 2 4" xfId="39616" xr:uid="{30152F5C-692F-4438-A190-9C2A6DBE71F1}"/>
    <cellStyle name="Total 19 4 3" xfId="12358" xr:uid="{FC9CA10F-8C56-40B7-89BC-6ABD35084F6B}"/>
    <cellStyle name="Total 19 4 3 2" xfId="29024" xr:uid="{2AFFEA5B-C433-4658-887D-19C8655E7DD5}"/>
    <cellStyle name="Total 19 4 3 3" xfId="42264" xr:uid="{31D84C3B-E422-4B32-B3D6-9C22F2A67957}"/>
    <cellStyle name="Total 19 4 4" xfId="23545" xr:uid="{CFE2C349-88BC-462D-B131-60F72A28D916}"/>
    <cellStyle name="Total 19 4 5" xfId="36626" xr:uid="{10E65665-EA1D-4AB6-9465-44C4DB629CCF}"/>
    <cellStyle name="Total 19 5" xfId="16072" xr:uid="{6F4BC9FF-4E31-4E99-945E-F56B29328D58}"/>
    <cellStyle name="Total 19 5 2" xfId="32132" xr:uid="{D0148D9C-6FE6-409E-B627-C1A50F80EEBE}"/>
    <cellStyle name="Total 19 5 3" xfId="45652" xr:uid="{F7D6CCA2-0433-4073-AD37-9612F88195F3}"/>
    <cellStyle name="Total 19 6" xfId="21811" xr:uid="{BA806F41-0CF7-4248-8195-CB2866418ECD}"/>
    <cellStyle name="Total 19 7" xfId="34861" xr:uid="{82A6E260-4420-4F4A-A591-56D3D5B56B2B}"/>
    <cellStyle name="Total 2" xfId="3428" xr:uid="{6BC0C032-AAEF-4271-9D74-DA500AA8128C}"/>
    <cellStyle name="Total 2 10" xfId="17736" xr:uid="{4A15DB7A-1257-4F90-8FEA-F4E2171938A0}"/>
    <cellStyle name="Total 2 10 2" xfId="33458" xr:uid="{7A1E0C26-0EE6-41CD-A397-ECE0E0B212D8}"/>
    <cellStyle name="Total 2 10 3" xfId="47241" xr:uid="{5ECBF78E-8A97-483C-85A9-7FB4DD25A564}"/>
    <cellStyle name="Total 2 11" xfId="20489" xr:uid="{A890D341-F241-4C1F-AE5E-2D8F05088C80}"/>
    <cellStyle name="Total 2 12" xfId="34444" xr:uid="{8752D625-4181-4A0B-BE7D-7514988909B1}"/>
    <cellStyle name="Total 2 2" xfId="2770" xr:uid="{CF012BE9-0647-4FB8-9068-602598F39FF0}"/>
    <cellStyle name="Total 2 2 2" xfId="5102" xr:uid="{11FD1757-6EEE-4E22-811E-BC220ED731F4}"/>
    <cellStyle name="Total 2 2 2 2" xfId="8066" xr:uid="{9184C3BD-8630-43DB-8E67-212A98CE3DF7}"/>
    <cellStyle name="Total 2 2 2 2 2" xfId="11472" xr:uid="{C7E7840C-017E-4100-B1AD-9581A7B5908B}"/>
    <cellStyle name="Total 2 2 2 2 2 2" xfId="28236" xr:uid="{99A50D22-C9EE-482B-8D2C-C4F197A8BFF4}"/>
    <cellStyle name="Total 2 2 2 2 2 3" xfId="41431" xr:uid="{01432B6F-2A27-48C1-A752-C981A586E3EC}"/>
    <cellStyle name="Total 2 2 2 2 3" xfId="25577" xr:uid="{DAEF60E6-C0EC-43E2-9F99-313EFBED5AEC}"/>
    <cellStyle name="Total 2 2 2 2 4" xfId="38653" xr:uid="{2DC2F15C-1DDB-4FD8-9ACD-D83A78D2C2A3}"/>
    <cellStyle name="Total 2 2 2 3" xfId="12433" xr:uid="{5EF35596-6EF2-4BA3-9C64-28555895E8CA}"/>
    <cellStyle name="Total 2 2 2 3 2" xfId="29087" xr:uid="{E7D9964C-2BF3-4AD0-A814-7DD30E626962}"/>
    <cellStyle name="Total 2 2 2 3 3" xfId="42332" xr:uid="{17503C37-1013-4CE9-A9DD-1F702B700166}"/>
    <cellStyle name="Total 2 2 2 4" xfId="22826" xr:uid="{0614E0B2-D416-4C48-8DE6-C09AF0DB093B}"/>
    <cellStyle name="Total 2 2 2 5" xfId="35895" xr:uid="{B6BAE3AC-F1C2-4E96-AE61-C2DB0EEC0D61}"/>
    <cellStyle name="Total 2 2 3" xfId="6433" xr:uid="{C4EB6631-A865-43FE-9B31-2D96284F9B1C}"/>
    <cellStyle name="Total 2 2 3 2" xfId="11216" xr:uid="{7FEA4DBF-316D-4BC1-8910-393B590029E5}"/>
    <cellStyle name="Total 2 2 3 2 2" xfId="28010" xr:uid="{E0B4FF1B-D65A-4B6F-B5C8-66054C49B0AB}"/>
    <cellStyle name="Total 2 2 3 2 3" xfId="41192" xr:uid="{DE12A8A2-2916-4706-BB53-705FA05620C0}"/>
    <cellStyle name="Total 2 2 3 3" xfId="24068" xr:uid="{ABA1CE06-3BD7-42C7-9702-D8D8FD77FD77}"/>
    <cellStyle name="Total 2 2 3 4" xfId="37149" xr:uid="{1276CA28-1427-488D-B87B-5A570800E319}"/>
    <cellStyle name="Total 2 2 4" xfId="11758" xr:uid="{EC6A7D66-7E6A-4782-9199-A2109741209B}"/>
    <cellStyle name="Total 2 2 4 2" xfId="28483" xr:uid="{AF286A55-9DCF-4C9D-B1A9-2155D6A40A07}"/>
    <cellStyle name="Total 2 2 4 3" xfId="41694" xr:uid="{C7EBF76A-3B4B-47D3-96F6-8EF9A983ABF4}"/>
    <cellStyle name="Total 2 2 5" xfId="20820" xr:uid="{28DA0A2B-1D96-4174-9C3B-2DF0F8F304A2}"/>
    <cellStyle name="Total 2 2 6" xfId="33843" xr:uid="{8E73F1FD-BF97-4DFC-A44F-B41CC007FA06}"/>
    <cellStyle name="Total 2 3" xfId="4162" xr:uid="{948D7757-4A0E-4B35-8142-94AE7F05ED40}"/>
    <cellStyle name="Total 2 3 2" xfId="5197" xr:uid="{DEE8EA5D-5712-4CAB-B0C8-C7BA5DF7DDE7}"/>
    <cellStyle name="Total 2 3 2 2" xfId="9214" xr:uid="{8FEDB0E8-FC28-45AA-B257-671120C7E620}"/>
    <cellStyle name="Total 2 3 2 2 2" xfId="12205" xr:uid="{0E467118-FA53-46E1-9E4F-90C07250D851}"/>
    <cellStyle name="Total 2 3 2 2 2 2" xfId="28894" xr:uid="{205C9519-21FE-4411-8EF6-943DDC68C0F0}"/>
    <cellStyle name="Total 2 3 2 2 2 3" xfId="42123" xr:uid="{1D7C57A3-7E03-421E-BC9C-DD781700899D}"/>
    <cellStyle name="Total 2 3 2 2 3" xfId="26689" xr:uid="{A03859F4-416B-41B1-8914-2D6F25282BEE}"/>
    <cellStyle name="Total 2 3 2 2 4" xfId="39765" xr:uid="{57A366E5-C0A5-4B01-9D5A-0BAB26B8F207}"/>
    <cellStyle name="Total 2 3 2 3" xfId="16771" xr:uid="{7160EC47-D1DE-40BC-A49C-2F604EBB36D0}"/>
    <cellStyle name="Total 2 3 2 3 2" xfId="32652" xr:uid="{B1F1647D-BC65-48B0-A01E-384029A3423E}"/>
    <cellStyle name="Total 2 3 2 3 3" xfId="46314" xr:uid="{772C2C0F-DD01-4735-847D-75FC827A76FA}"/>
    <cellStyle name="Total 2 3 2 4" xfId="22872" xr:uid="{6B8BE9F0-9AA0-49B2-8FEE-154CFA5322DB}"/>
    <cellStyle name="Total 2 3 2 5" xfId="35941" xr:uid="{9BFD7D06-76DB-48A8-AC88-629102FD58E6}"/>
    <cellStyle name="Total 2 3 3" xfId="7726" xr:uid="{01CE239B-6E08-4406-8F3D-D448989A0180}"/>
    <cellStyle name="Total 2 3 3 2" xfId="13451" xr:uid="{7E903A3E-BF4E-4C9F-B1F1-634D7A296BD4}"/>
    <cellStyle name="Total 2 3 3 2 2" xfId="29915" xr:uid="{A179665E-BC6C-45DE-9776-338999E48579}"/>
    <cellStyle name="Total 2 3 3 2 3" xfId="43253" xr:uid="{38516249-6939-4909-9113-8946F1113A06}"/>
    <cellStyle name="Total 2 3 3 3" xfId="25248" xr:uid="{170876D8-89AF-4F70-BCAE-6826B97BB6C6}"/>
    <cellStyle name="Total 2 3 3 4" xfId="38324" xr:uid="{5442626C-8F05-49D1-B447-3547C9A6B1F6}"/>
    <cellStyle name="Total 2 3 4" xfId="13940" xr:uid="{FEED6C41-0AD5-4712-861B-4F01EF66D0C0}"/>
    <cellStyle name="Total 2 3 4 2" xfId="30329" xr:uid="{48DDFCB8-4AB1-49A5-8688-08D7FD6A1BFD}"/>
    <cellStyle name="Total 2 3 4 3" xfId="43705" xr:uid="{4EC013ED-43D1-449D-88FD-1E2970BA5026}"/>
    <cellStyle name="Total 2 3 5" xfId="21989" xr:uid="{2ACFD804-40C5-4A6E-9151-24698D871AC5}"/>
    <cellStyle name="Total 2 3 6" xfId="35038" xr:uid="{5BD89808-7E50-461B-82A0-EBECACE1F937}"/>
    <cellStyle name="Total 2 4" xfId="2615" xr:uid="{059A5CF4-0F24-4352-BC0D-5301CE9A841A}"/>
    <cellStyle name="Total 2 4 2" xfId="5039" xr:uid="{0C0513A5-B582-4D66-8741-33A2543943EB}"/>
    <cellStyle name="Total 2 4 2 2" xfId="7912" xr:uid="{4208171E-73F8-476B-BDDE-A53D48DC6158}"/>
    <cellStyle name="Total 2 4 2 2 2" xfId="12911" xr:uid="{F967AA47-35D7-4851-9BD5-FF472DA5FE15}"/>
    <cellStyle name="Total 2 4 2 2 2 2" xfId="29458" xr:uid="{94BAF781-0276-44C8-8F64-52EF07D3B8A8}"/>
    <cellStyle name="Total 2 4 2 2 2 3" xfId="42752" xr:uid="{424526D5-23D2-47A9-B059-5ECE86BB0CB7}"/>
    <cellStyle name="Total 2 4 2 2 3" xfId="25428" xr:uid="{AF4C9B57-DA10-420B-B5E2-D14531B48805}"/>
    <cellStyle name="Total 2 4 2 2 4" xfId="38504" xr:uid="{E7784AC4-9E81-467F-A4E1-5DB38459CF00}"/>
    <cellStyle name="Total 2 4 2 3" xfId="16517" xr:uid="{55A17CF8-832E-4339-B0F0-C19CA23BC449}"/>
    <cellStyle name="Total 2 4 2 3 2" xfId="32475" xr:uid="{EFC7F3B4-92E5-4C18-A025-05F9E85D2CC4}"/>
    <cellStyle name="Total 2 4 2 3 3" xfId="46064" xr:uid="{B860C8E7-04D0-4CCB-82F4-010DA618B195}"/>
    <cellStyle name="Total 2 4 2 4" xfId="22791" xr:uid="{B884EA77-2E9A-4A45-A8A5-27200CD90B79}"/>
    <cellStyle name="Total 2 4 2 5" xfId="35854" xr:uid="{193F1255-27D7-4400-A3CA-3E8F91BF96D1}"/>
    <cellStyle name="Total 2 4 3" xfId="6279" xr:uid="{CF9BBA64-38CC-4F3B-8882-FC76407FF2BF}"/>
    <cellStyle name="Total 2 4 3 2" xfId="17128" xr:uid="{E1AF983D-9A15-41BB-BC3A-6800B3415346}"/>
    <cellStyle name="Total 2 4 3 2 2" xfId="32891" xr:uid="{69084FBB-605A-47E6-882E-BA6D8B8DBCAD}"/>
    <cellStyle name="Total 2 4 3 2 3" xfId="46663" xr:uid="{DAB15EA8-8A50-43D2-9DCE-2FE8EAB4009B}"/>
    <cellStyle name="Total 2 4 3 3" xfId="23919" xr:uid="{AD859A86-DD79-415C-B6DA-75B1B9462D69}"/>
    <cellStyle name="Total 2 4 3 4" xfId="37000" xr:uid="{0C083E1B-B9E1-404D-BD90-11A86605BE00}"/>
    <cellStyle name="Total 2 4 4" xfId="10902" xr:uid="{8F98863F-331D-4841-B9D4-0C9A11ACA0CD}"/>
    <cellStyle name="Total 2 4 4 2" xfId="27723" xr:uid="{7F8B1AAD-551D-4DD5-91BC-37F707E439DE}"/>
    <cellStyle name="Total 2 4 4 3" xfId="40882" xr:uid="{A5FFA0FD-4348-478B-B7D9-98EFE464AE18}"/>
    <cellStyle name="Total 2 4 5" xfId="20671" xr:uid="{322892B8-7380-4FBE-8C07-E4D4BAD86379}"/>
    <cellStyle name="Total 2 4 6" xfId="33694" xr:uid="{81F7DF0A-F23E-4881-BD3D-CD4281B6449A}"/>
    <cellStyle name="Total 2 5" xfId="4209" xr:uid="{E6914730-D77E-412E-ADCE-80AA77E2AC0D}"/>
    <cellStyle name="Total 2 5 2" xfId="5056" xr:uid="{542F7C47-A930-494E-B079-E0E8D704124F}"/>
    <cellStyle name="Total 2 5 2 2" xfId="9261" xr:uid="{98FFA5E5-C0E3-467A-B59C-AB0597398ED1}"/>
    <cellStyle name="Total 2 5 2 2 2" xfId="12292" xr:uid="{108539A8-643F-40F7-BFCB-A4D7AF8FA26C}"/>
    <cellStyle name="Total 2 5 2 2 2 2" xfId="28966" xr:uid="{03ECCE07-6C50-4CCD-A753-66EA6849619E}"/>
    <cellStyle name="Total 2 5 2 2 2 3" xfId="42203" xr:uid="{1E7A5D74-034A-4645-A1B4-3609D03E5882}"/>
    <cellStyle name="Total 2 5 2 2 3" xfId="26736" xr:uid="{76EA22BE-9266-49FA-BDC5-45B8F63AD269}"/>
    <cellStyle name="Total 2 5 2 2 4" xfId="39812" xr:uid="{3992AC99-5559-4CEC-9253-85722A48076E}"/>
    <cellStyle name="Total 2 5 2 3" xfId="15182" xr:uid="{6316AAD4-0113-4A0B-B66A-76CA1CFE7ABA}"/>
    <cellStyle name="Total 2 5 2 3 2" xfId="31368" xr:uid="{5C9EE755-9EA0-44FE-932B-8102F433E745}"/>
    <cellStyle name="Total 2 5 2 3 3" xfId="44838" xr:uid="{6409CE62-D385-4018-BB32-42DA87159787}"/>
    <cellStyle name="Total 2 5 2 4" xfId="22805" xr:uid="{2C6759C0-11CB-4571-B95D-DEDA4A92693C}"/>
    <cellStyle name="Total 2 5 2 5" xfId="35870" xr:uid="{7960323E-9D01-4120-AC29-B915D99D45EE}"/>
    <cellStyle name="Total 2 5 3" xfId="7773" xr:uid="{C5D01097-EE1B-4B85-B322-590EFC42B7C5}"/>
    <cellStyle name="Total 2 5 3 2" xfId="14292" xr:uid="{77328DCF-30B6-42F9-802D-B525F9AF8392}"/>
    <cellStyle name="Total 2 5 3 2 2" xfId="30631" xr:uid="{8451FB2F-0BE4-4169-B624-C67F2EB91EFB}"/>
    <cellStyle name="Total 2 5 3 2 3" xfId="44025" xr:uid="{B7A5C24A-E418-4778-9074-6F0510748C9A}"/>
    <cellStyle name="Total 2 5 3 3" xfId="25295" xr:uid="{85B3226F-1B62-4A46-BFA7-9151FFF758B1}"/>
    <cellStyle name="Total 2 5 3 4" xfId="38371" xr:uid="{BB714876-8D28-4164-B6D3-494E55A5D6C9}"/>
    <cellStyle name="Total 2 5 4" xfId="12029" xr:uid="{12698682-39FE-49C3-AE02-98506458C78C}"/>
    <cellStyle name="Total 2 5 4 2" xfId="28731" xr:uid="{678888A4-E5E7-4CB0-A738-68AAFFD64E7D}"/>
    <cellStyle name="Total 2 5 4 3" xfId="41949" xr:uid="{9A301C44-8DB2-4F67-B2B6-107E21B9D8CD}"/>
    <cellStyle name="Total 2 5 5" xfId="22036" xr:uid="{BCEF5283-4523-437C-ADFB-F76C2685CDC6}"/>
    <cellStyle name="Total 2 5 6" xfId="35085" xr:uid="{C0F393E9-B551-4302-AFEE-21B9069CEB72}"/>
    <cellStyle name="Total 2 6" xfId="4430" xr:uid="{CBE53B62-9955-4BB7-AC7D-3259B5769DCF}"/>
    <cellStyle name="Total 2 6 2" xfId="7070" xr:uid="{B454BCB6-0BB2-4C21-BCCF-1C0BF3F84230}"/>
    <cellStyle name="Total 2 6 2 2" xfId="12610" xr:uid="{C2C530B9-E2BA-4636-BEC4-D0D3E5AD027D}"/>
    <cellStyle name="Total 2 6 2 2 2" xfId="29222" xr:uid="{C6C46071-A903-4FF5-8E45-715819788637}"/>
    <cellStyle name="Total 2 6 2 2 3" xfId="42486" xr:uid="{CAB09FBA-4C8C-448B-9AFB-EE6F8C0A9D0F}"/>
    <cellStyle name="Total 2 6 2 3" xfId="24669" xr:uid="{24935270-4AFC-4B6D-A70A-BEB7EC8C919A}"/>
    <cellStyle name="Total 2 6 2 4" xfId="37750" xr:uid="{B4302C64-17AF-4029-9BBE-E12B95E8347B}"/>
    <cellStyle name="Total 2 6 3" xfId="16095" xr:uid="{476410D9-D66C-4DCD-81B9-D84E35206D10}"/>
    <cellStyle name="Total 2 6 3 2" xfId="32153" xr:uid="{EA1C2574-3893-4C33-AED6-872436A32631}"/>
    <cellStyle name="Total 2 6 3 3" xfId="45674" xr:uid="{9ABEB157-835D-4AB1-8AC5-8B3B7842D9E3}"/>
    <cellStyle name="Total 2 6 4" xfId="22248" xr:uid="{A9DD3C22-17C3-4802-82C8-815C5E354A36}"/>
    <cellStyle name="Total 2 6 5" xfId="35297" xr:uid="{E27EDB88-2E9E-4052-AF5B-E2056AF403FE}"/>
    <cellStyle name="Total 2 7" xfId="4956" xr:uid="{9B56A6D6-7A86-49A9-BFB0-B18F8F74BEB0}"/>
    <cellStyle name="Total 2 7 2" xfId="8665" xr:uid="{BBA90CE3-6E41-45CF-8C61-DE8477C17424}"/>
    <cellStyle name="Total 2 7 2 2" xfId="14611" xr:uid="{0EA3AD90-C28F-4F0B-B5CF-AC94153432F2}"/>
    <cellStyle name="Total 2 7 2 2 2" xfId="30911" xr:uid="{1E9C5F32-B805-448B-90DB-899E800A7CBC}"/>
    <cellStyle name="Total 2 7 2 2 3" xfId="44330" xr:uid="{01AFC667-159E-4597-BA1B-B1FEE33F09CD}"/>
    <cellStyle name="Total 2 7 2 3" xfId="26158" xr:uid="{9882A101-1412-448A-BC51-87DA19D56839}"/>
    <cellStyle name="Total 2 7 2 4" xfId="39234" xr:uid="{450CA06F-282E-4688-A413-54B812FAB1D2}"/>
    <cellStyle name="Total 2 7 3" xfId="11966" xr:uid="{0A477FE5-3AE0-4A20-992B-A3A2528354CF}"/>
    <cellStyle name="Total 2 7 3 2" xfId="28675" xr:uid="{18B1D480-5AD0-42A5-90B9-936F5BEA856C}"/>
    <cellStyle name="Total 2 7 3 3" xfId="41893" xr:uid="{3531B08B-595A-4F74-8D09-A31F06945EF3}"/>
    <cellStyle name="Total 2 7 4" xfId="22740" xr:uid="{523085A9-55B9-4EB7-B302-FDB13184BCF6}"/>
    <cellStyle name="Total 2 7 5" xfId="35794" xr:uid="{8FD5FC84-2A3B-4597-978B-4FB09B08B46E}"/>
    <cellStyle name="Total 2 8" xfId="5483" xr:uid="{E34533D3-0E1C-44DA-9F21-6538D109240C}"/>
    <cellStyle name="Total 2 8 2" xfId="9817" xr:uid="{A3A09095-8463-4D24-A582-ACC962D24F62}"/>
    <cellStyle name="Total 2 8 2 2" xfId="13789" xr:uid="{1AA3196E-38AD-4955-93D3-E1AFD681A833}"/>
    <cellStyle name="Total 2 8 2 2 2" xfId="30195" xr:uid="{9FD63ECE-3591-4CDF-B9EA-D7FCAA9C2FA8}"/>
    <cellStyle name="Total 2 8 2 2 3" xfId="43561" xr:uid="{CEF32FAB-2465-493F-BAF0-8632B63FB823}"/>
    <cellStyle name="Total 2 8 2 3" xfId="27113" xr:uid="{FCED4812-748B-4264-A782-22C9BE935C4C}"/>
    <cellStyle name="Total 2 8 2 4" xfId="40232" xr:uid="{07D9F628-36C8-4FD2-A5B4-E794A86436D4}"/>
    <cellStyle name="Total 2 8 3" xfId="12134" xr:uid="{D5496E89-A5C7-48CB-A813-11AB843ABBBF}"/>
    <cellStyle name="Total 2 8 3 2" xfId="28834" xr:uid="{80CDC053-3629-404B-8ADF-530AD59E8C86}"/>
    <cellStyle name="Total 2 8 3 3" xfId="42054" xr:uid="{AC5CF604-7CC7-49F7-B1EE-EC519E8B833C}"/>
    <cellStyle name="Total 2 8 4" xfId="23130" xr:uid="{46E6AA2F-408B-4799-80DD-889D93E9B830}"/>
    <cellStyle name="Total 2 8 5" xfId="36211" xr:uid="{3E8A4ED8-5599-48A3-9F62-6F10C8375A42}"/>
    <cellStyle name="Total 2 9" xfId="11017" xr:uid="{CC47D4BB-EC5E-4304-A25B-CB99F0DA5707}"/>
    <cellStyle name="Total 2 9 2" xfId="27824" xr:uid="{EE662468-9555-4534-9F48-F89E84CACF1E}"/>
    <cellStyle name="Total 2 9 3" xfId="40997" xr:uid="{68BD16B9-9D0D-4098-B7CA-C29A9F805CE0}"/>
    <cellStyle name="Total 20" xfId="3965" xr:uid="{0D3ECD46-1BC6-487F-AE17-DE268C8FCD9B}"/>
    <cellStyle name="Total 20 2" xfId="3212" xr:uid="{CE0FC9D7-B1B3-4D45-9075-4314DFFBFD0F}"/>
    <cellStyle name="Total 20 2 2" xfId="8503" xr:uid="{A518BC5B-8435-4177-B33A-952CA34CA739}"/>
    <cellStyle name="Total 20 2 2 2" xfId="13621" xr:uid="{891F0111-63FF-4969-A6F4-A0ABC59D3CC7}"/>
    <cellStyle name="Total 20 2 2 2 2" xfId="30058" xr:uid="{50825522-8C60-468C-9446-8107156EE720}"/>
    <cellStyle name="Total 20 2 2 2 3" xfId="43412" xr:uid="{32F7EA82-47A5-4D83-A8D6-5AFC873D8C50}"/>
    <cellStyle name="Total 20 2 2 3" xfId="26002" xr:uid="{CCF420A4-0749-4831-9E4A-E95DE2B45086}"/>
    <cellStyle name="Total 20 2 2 4" xfId="39078" xr:uid="{F67DDEB1-704E-4145-A455-6ECE8C0B7B9A}"/>
    <cellStyle name="Total 20 2 3" xfId="6871" xr:uid="{839F386F-61C5-447A-90EA-4F2BD4900699}"/>
    <cellStyle name="Total 20 2 3 2" xfId="16016" xr:uid="{1FD1A244-7073-42B3-9A74-E0EB183ACE8D}"/>
    <cellStyle name="Total 20 2 3 2 2" xfId="32083" xr:uid="{3FCDE34C-A308-4525-A696-A2999CE2098C}"/>
    <cellStyle name="Total 20 2 3 2 3" xfId="45602" xr:uid="{5E3A4915-6F2B-4865-9F72-00B7E4F4CFC7}"/>
    <cellStyle name="Total 20 2 3 3" xfId="24494" xr:uid="{B09DA73F-5F1B-4E23-A3F5-3819E6F7341A}"/>
    <cellStyle name="Total 20 2 3 4" xfId="37575" xr:uid="{E248DB3D-00C0-4CA3-89E5-9694AA0BED53}"/>
    <cellStyle name="Total 20 2 4" xfId="17552" xr:uid="{9720C347-6CBD-47B6-8E28-3163F9C27963}"/>
    <cellStyle name="Total 20 2 4 2" xfId="33289" xr:uid="{EA02E603-BA6F-4195-8925-9A23BA714FC6}"/>
    <cellStyle name="Total 20 2 4 3" xfId="47077" xr:uid="{4B2993E2-3567-487F-B68A-32648CAE3F24}"/>
    <cellStyle name="Total 20 2 5" xfId="21246" xr:uid="{EBCFCC56-E079-4607-8C3F-0A51A2F535F4}"/>
    <cellStyle name="Total 20 2 6" xfId="34269" xr:uid="{C47DF9F8-01AA-4797-A177-47BE0BC76B76}"/>
    <cellStyle name="Total 20 3" xfId="4877" xr:uid="{36EF6587-C4D9-4C8A-9C0E-6E188B91A83E}"/>
    <cellStyle name="Total 20 3 2" xfId="7545" xr:uid="{32BAE55B-4B61-4294-B25D-E5F5015BFBBA}"/>
    <cellStyle name="Total 20 3 2 2" xfId="12463" xr:uid="{040934B5-FD64-463D-8980-15B06D00D56D}"/>
    <cellStyle name="Total 20 3 2 2 2" xfId="29106" xr:uid="{F01AFFEC-4503-4567-816C-9F01B4B3BFF3}"/>
    <cellStyle name="Total 20 3 2 2 3" xfId="42357" xr:uid="{7B9C4507-0EB2-4C20-B572-695192D11AA2}"/>
    <cellStyle name="Total 20 3 2 3" xfId="25073" xr:uid="{A8C7CD1B-8731-41FB-9AAE-1EF14F8E2358}"/>
    <cellStyle name="Total 20 3 2 4" xfId="38149" xr:uid="{674274B7-59A5-47A4-8553-9043F96D56C1}"/>
    <cellStyle name="Total 20 3 3" xfId="12376" xr:uid="{CD00C074-9F97-4D16-A2C5-23BB0FE90F35}"/>
    <cellStyle name="Total 20 3 3 2" xfId="29042" xr:uid="{89B8E277-6F5A-4D6E-9CFA-F8A3C1FA48CD}"/>
    <cellStyle name="Total 20 3 3 3" xfId="42282" xr:uid="{EDADB31D-22ED-49BB-8FA1-F081302934CF}"/>
    <cellStyle name="Total 20 3 4" xfId="22674" xr:uid="{81FDDD19-7C0B-4489-95A7-9BA8537C2FF1}"/>
    <cellStyle name="Total 20 3 5" xfId="35727" xr:uid="{985D968B-DEE9-4232-86CF-DD7AFF641CF6}"/>
    <cellStyle name="Total 20 4" xfId="5899" xr:uid="{DC8408C7-AF56-4BFC-95A0-66E7DC27B724}"/>
    <cellStyle name="Total 20 4 2" xfId="9859" xr:uid="{04E0059E-DA67-426F-B3FD-26A901C4D810}"/>
    <cellStyle name="Total 20 4 2 2" xfId="15845" xr:uid="{EC8DE0BA-EA55-46D1-8203-EA8B44FFBA71}"/>
    <cellStyle name="Total 20 4 2 2 2" xfId="31938" xr:uid="{0BADE967-88BC-4128-BFD0-50429A8B3A65}"/>
    <cellStyle name="Total 20 4 2 2 3" xfId="45450" xr:uid="{72D19C4D-717C-45A4-ADAA-E70B9A447248}"/>
    <cellStyle name="Total 20 4 2 3" xfId="27155" xr:uid="{BA570A75-E1D6-47BA-AB6F-3C83A8B24DDB}"/>
    <cellStyle name="Total 20 4 2 4" xfId="40274" xr:uid="{955AFE92-FA6F-4576-9A9A-588E1CA75673}"/>
    <cellStyle name="Total 20 4 3" xfId="15082" xr:uid="{BB690DFE-30FE-44E5-B4C3-7A5AB480D086}"/>
    <cellStyle name="Total 20 4 3 2" xfId="31290" xr:uid="{D9E7C5EA-1AB8-43FB-84C1-08471E57F33F}"/>
    <cellStyle name="Total 20 4 3 3" xfId="44749" xr:uid="{22891875-B4B7-441A-8C00-13A1441F9929}"/>
    <cellStyle name="Total 20 4 4" xfId="23546" xr:uid="{4721209F-7404-455B-9E3F-3C21BA272BA1}"/>
    <cellStyle name="Total 20 4 5" xfId="36627" xr:uid="{0F5525A5-29E9-460A-897E-33496043717A}"/>
    <cellStyle name="Total 20 5" xfId="6100" xr:uid="{6D956EAB-37CB-43B6-8357-16C2AB16C100}"/>
    <cellStyle name="Total 20 5 2" xfId="13278" xr:uid="{FE99814F-6D5C-42EF-B60B-02BEEE6E1FD0}"/>
    <cellStyle name="Total 20 5 2 2" xfId="29769" xr:uid="{595D0689-A114-4381-9345-A85D2EB9CF7E}"/>
    <cellStyle name="Total 20 5 2 3" xfId="43095" xr:uid="{DE4286DC-02DA-40E1-A647-35AC3D3E6844}"/>
    <cellStyle name="Total 20 5 3" xfId="23746" xr:uid="{3F767783-4CB8-4FFE-A412-98EF86DE088B}"/>
    <cellStyle name="Total 20 5 4" xfId="36827" xr:uid="{B09AE759-2811-4428-9421-4A9D4DAFB4EC}"/>
    <cellStyle name="Total 20 6" xfId="12953" xr:uid="{D545A1D9-2BB7-4096-BFB3-C1F7E18B629C}"/>
    <cellStyle name="Total 20 6 2" xfId="29491" xr:uid="{6FDC37A4-A605-4D69-91A5-4E5001D22AA9}"/>
    <cellStyle name="Total 20 6 3" xfId="42790" xr:uid="{346F6ECB-D419-473A-8023-1197AAA3887C}"/>
    <cellStyle name="Total 20 7" xfId="21812" xr:uid="{9783180A-A695-4566-97B3-B446E975BFB0}"/>
    <cellStyle name="Total 20 8" xfId="34862" xr:uid="{956BAE55-1AE5-4D0C-8C06-1F918717C4B9}"/>
    <cellStyle name="Total 21" xfId="3114" xr:uid="{DD003185-6478-4B64-ABF1-A6B22B425897}"/>
    <cellStyle name="Total 21 2" xfId="8406" xr:uid="{FC7100A9-8A6D-4A1D-8885-0CD0BF81B446}"/>
    <cellStyle name="Total 21 2 2" xfId="12342" xr:uid="{3A2301DA-0B33-4C10-8582-7F39BC91C038}"/>
    <cellStyle name="Total 21 2 2 2" xfId="29010" xr:uid="{2B0714D0-717C-415E-A0FE-E1F2C801739E}"/>
    <cellStyle name="Total 21 2 2 3" xfId="42250" xr:uid="{93695027-5FE8-4F5E-A58F-B20733DA38C3}"/>
    <cellStyle name="Total 21 2 3" xfId="25908" xr:uid="{9B2BB6C5-D412-4743-9707-6286AE47DAF9}"/>
    <cellStyle name="Total 21 2 4" xfId="38984" xr:uid="{0AD25761-700C-4692-9035-4A4EA882BA5F}"/>
    <cellStyle name="Total 21 3" xfId="6773" xr:uid="{989AF5CF-3451-4551-87CF-4F4495129F11}"/>
    <cellStyle name="Total 21 3 2" xfId="17239" xr:uid="{FADE4D79-5E20-4F29-BC3A-347810ABE4BE}"/>
    <cellStyle name="Total 21 3 2 2" xfId="32998" xr:uid="{94351211-4A06-41FA-A2E1-025461802E10}"/>
    <cellStyle name="Total 21 3 2 3" xfId="46773" xr:uid="{DA325FB1-1F0A-42A7-809C-604DAF4EB5C0}"/>
    <cellStyle name="Total 21 3 3" xfId="24399" xr:uid="{66258CF9-3592-41B0-ABBA-EB60E2F311F6}"/>
    <cellStyle name="Total 21 3 4" xfId="37480" xr:uid="{982CBD87-E330-46C0-8C32-7FC46C68012E}"/>
    <cellStyle name="Total 21 4" xfId="13523" xr:uid="{39DFFE42-FC46-40E9-B40B-F37B1682A17B}"/>
    <cellStyle name="Total 21 4 2" xfId="29975" xr:uid="{0C6C233B-A1B6-49D4-878B-0B4E807D71F8}"/>
    <cellStyle name="Total 21 4 3" xfId="43319" xr:uid="{2B72492B-1932-4E71-8F0E-C7A519191237}"/>
    <cellStyle name="Total 21 5" xfId="21151" xr:uid="{2258A059-19CB-4110-8B78-FBBA995A9A17}"/>
    <cellStyle name="Total 21 6" xfId="34174" xr:uid="{6C75558B-FB0E-44BA-9F4F-AE7ABE78366C}"/>
    <cellStyle name="Total 22" xfId="2637" xr:uid="{A3C5371E-2EC6-4AA7-B2FC-E90EBCA970D4}"/>
    <cellStyle name="Total 22 2" xfId="7934" xr:uid="{56391787-E966-4DA0-969E-D3C65FC83417}"/>
    <cellStyle name="Total 22 2 2" xfId="14240" xr:uid="{30B0C423-72DA-4179-B70B-0E29844DBC35}"/>
    <cellStyle name="Total 22 2 2 2" xfId="30585" xr:uid="{C5401481-B240-4855-BCD7-B05742C62BA5}"/>
    <cellStyle name="Total 22 2 2 3" xfId="43977" xr:uid="{3325AF61-3E82-42AF-AB42-2AD3C045D5CC}"/>
    <cellStyle name="Total 22 2 3" xfId="25450" xr:uid="{2DDE576D-6D4F-4535-8330-77D65991DA1E}"/>
    <cellStyle name="Total 22 2 4" xfId="38526" xr:uid="{36ACAE3F-05C9-4B64-8BD8-F2D8ADB8CF90}"/>
    <cellStyle name="Total 22 3" xfId="6301" xr:uid="{05C1B493-D661-403E-8C20-E3BB901C36FF}"/>
    <cellStyle name="Total 22 3 2" xfId="15353" xr:uid="{EAB80131-3F5E-40C3-8EB8-55EB77C0460B}"/>
    <cellStyle name="Total 22 3 2 2" xfId="31510" xr:uid="{111D5F3E-5012-4644-B1C6-C457295158F8}"/>
    <cellStyle name="Total 22 3 2 3" xfId="44996" xr:uid="{349BC336-CFF0-4ACB-B914-CACADD288713}"/>
    <cellStyle name="Total 22 3 3" xfId="23941" xr:uid="{20AB7336-BBE7-404A-87FC-E0E6CEE6A19E}"/>
    <cellStyle name="Total 22 3 4" xfId="37022" xr:uid="{25DBA84A-CD23-46FD-AA12-5DFCDA355784}"/>
    <cellStyle name="Total 22 4" xfId="12179" xr:uid="{58880FC1-DE2E-46AE-9DE2-ECB012FD1104}"/>
    <cellStyle name="Total 22 4 2" xfId="28874" xr:uid="{957152B4-5C1F-496E-AB4B-35DE9EBE7DAA}"/>
    <cellStyle name="Total 22 4 3" xfId="42099" xr:uid="{5449C125-CA40-4A15-AD32-44B1448B4D50}"/>
    <cellStyle name="Total 22 5" xfId="20693" xr:uid="{96D9735D-1F03-42E0-A46D-08CE0B28B492}"/>
    <cellStyle name="Total 22 6" xfId="33716" xr:uid="{B9F04027-E64C-4401-8D71-885D44090C05}"/>
    <cellStyle name="Total 23" xfId="4104" xr:uid="{DC8C2CC3-9FC8-444B-B62F-E7C672C91AE1}"/>
    <cellStyle name="Total 23 2" xfId="9156" xr:uid="{04F46DC3-B4A6-40AF-B266-16862686E4A0}"/>
    <cellStyle name="Total 23 2 2" xfId="14452" xr:uid="{DD2114F4-B458-4120-B776-4E5DBA5F8129}"/>
    <cellStyle name="Total 23 2 2 2" xfId="30780" xr:uid="{32049466-9C85-4FCD-9326-564A248D7DF1}"/>
    <cellStyle name="Total 23 2 2 3" xfId="44181" xr:uid="{FADF85D5-BA48-4937-AC77-2807CC4D10FB}"/>
    <cellStyle name="Total 23 2 3" xfId="26637" xr:uid="{8B617E38-C319-4546-9A18-5370C59D2D4B}"/>
    <cellStyle name="Total 23 2 4" xfId="39713" xr:uid="{34D62C55-0BD0-40AB-A499-15F1D8EEA2A5}"/>
    <cellStyle name="Total 23 3" xfId="7668" xr:uid="{56E69D09-1721-4547-9FED-2F3389317168}"/>
    <cellStyle name="Total 23 3 2" xfId="16708" xr:uid="{3F1F5FB7-DE38-4C9A-8DAB-7DEE4F78BB43}"/>
    <cellStyle name="Total 23 3 2 2" xfId="32592" xr:uid="{4465B98A-56F4-47E4-903A-146347C5DF61}"/>
    <cellStyle name="Total 23 3 2 3" xfId="46252" xr:uid="{EF7AC70D-55C8-40B1-8C3E-075C08D2A36A}"/>
    <cellStyle name="Total 23 3 3" xfId="25196" xr:uid="{9EBF35E3-EAD2-40C9-BFC0-6A63F2CE7D77}"/>
    <cellStyle name="Total 23 3 4" xfId="38272" xr:uid="{11D39DDB-FEEC-4679-B83F-303BE0B821AB}"/>
    <cellStyle name="Total 23 4" xfId="13588" xr:uid="{E8AC3D0A-BB08-49E2-A256-37402C00B5DC}"/>
    <cellStyle name="Total 23 4 2" xfId="30029" xr:uid="{72814932-4C28-4D12-A4B4-A980305CA623}"/>
    <cellStyle name="Total 23 4 3" xfId="43380" xr:uid="{EC7B1C6B-F1CF-449C-ABA8-F92AF43B398D}"/>
    <cellStyle name="Total 23 5" xfId="21937" xr:uid="{A322E10E-7693-46B8-936E-0411591E8BEE}"/>
    <cellStyle name="Total 23 6" xfId="34986" xr:uid="{690953EB-EFF6-4A76-846F-321DAFF9B446}"/>
    <cellStyle name="Total 24" xfId="2546" xr:uid="{B2D622F2-3155-4B05-91A1-571768108373}"/>
    <cellStyle name="Total 24 2" xfId="7844" xr:uid="{51C1A817-26CA-4228-A7AD-0F966A7526FF}"/>
    <cellStyle name="Total 24 2 2" xfId="12380" xr:uid="{4CE89E2D-C63F-4340-B700-5D031F024277}"/>
    <cellStyle name="Total 24 2 2 2" xfId="29046" xr:uid="{A82597A0-0CDD-4D28-9C94-DE346A7A0FD7}"/>
    <cellStyle name="Total 24 2 2 3" xfId="42286" xr:uid="{144B0F88-CE21-46EA-B1E5-2E77287E1352}"/>
    <cellStyle name="Total 24 2 3" xfId="25363" xr:uid="{8EFAE145-112E-4207-AAB7-E5E5C2A41DBD}"/>
    <cellStyle name="Total 24 2 4" xfId="38439" xr:uid="{650AE249-DDBC-4872-87E4-0213DE9E7CE4}"/>
    <cellStyle name="Total 24 3" xfId="6211" xr:uid="{2A5CE5FC-D3C3-4363-BEC4-56300D3574C5}"/>
    <cellStyle name="Total 24 3 2" xfId="12924" xr:uid="{B38D133F-4E50-43CA-BE15-21E65890E215}"/>
    <cellStyle name="Total 24 3 2 2" xfId="29469" xr:uid="{347DE8EF-A0C6-4F57-8860-890D72F29432}"/>
    <cellStyle name="Total 24 3 2 3" xfId="42765" xr:uid="{E98FF81E-5C1F-432A-80BA-755C8DAFCA83}"/>
    <cellStyle name="Total 24 3 3" xfId="23854" xr:uid="{341AF5AC-9023-464E-862D-8DAD851C06C9}"/>
    <cellStyle name="Total 24 3 4" xfId="36935" xr:uid="{709A816A-858B-4391-9D35-65CBCC7304F9}"/>
    <cellStyle name="Total 24 4" xfId="12504" xr:uid="{D26883EC-24EF-4D1D-A42D-B152C179478E}"/>
    <cellStyle name="Total 24 4 2" xfId="29137" xr:uid="{FAF942A3-FB38-440B-929C-4AC8A3F2CA33}"/>
    <cellStyle name="Total 24 4 3" xfId="42391" xr:uid="{95CC508E-87F7-4EDB-9568-4D1C4351932C}"/>
    <cellStyle name="Total 24 5" xfId="20606" xr:uid="{E607363A-6259-48AA-A3B7-E8E6A95701E7}"/>
    <cellStyle name="Total 24 6" xfId="33629" xr:uid="{28E397BC-7133-40FF-8AFD-7A3B6B17126F}"/>
    <cellStyle name="Total 25" xfId="4259" xr:uid="{342AA543-0226-4384-A495-9182F0EA0571}"/>
    <cellStyle name="Total 25 2" xfId="9311" xr:uid="{4706CF6C-984F-42E6-926D-3941DDD77B7F}"/>
    <cellStyle name="Total 25 2 2" xfId="16436" xr:uid="{4C0E733E-8901-4F84-BE8C-82928FD0995D}"/>
    <cellStyle name="Total 25 2 2 2" xfId="32448" xr:uid="{D8952574-A391-410C-8C97-7F36763051CE}"/>
    <cellStyle name="Total 25 2 2 3" xfId="45986" xr:uid="{F559CC8C-7C25-4035-BC5C-E69618C92BEB}"/>
    <cellStyle name="Total 25 2 3" xfId="26784" xr:uid="{B841D0AB-9C4E-46B6-BF3D-F83B1E240D2E}"/>
    <cellStyle name="Total 25 2 4" xfId="39860" xr:uid="{CDEB13CA-42E0-4E3E-8AD5-8903F36622CE}"/>
    <cellStyle name="Total 25 3" xfId="7823" xr:uid="{B0DF5BB4-5A5E-4AFB-92CA-554C9F396536}"/>
    <cellStyle name="Total 25 3 2" xfId="16090" xr:uid="{E36C9E02-891E-4D1B-ABCA-69642D3EF68D}"/>
    <cellStyle name="Total 25 3 2 2" xfId="32149" xr:uid="{43593216-BF96-407E-98C4-6017401CCE23}"/>
    <cellStyle name="Total 25 3 2 3" xfId="45670" xr:uid="{AED859CB-CF52-4A57-8076-066EF724F751}"/>
    <cellStyle name="Total 25 3 3" xfId="25343" xr:uid="{DC173251-3D69-456A-B3BB-BF08066D8584}"/>
    <cellStyle name="Total 25 3 4" xfId="38419" xr:uid="{1550890C-831C-4634-AA13-F024AF38BCC8}"/>
    <cellStyle name="Total 25 4" xfId="11587" xr:uid="{A984E065-B0B8-489A-8F7D-2563DFAE1550}"/>
    <cellStyle name="Total 25 4 2" xfId="28338" xr:uid="{9BAA1E5E-69C6-4123-88F0-94CAE292BE4F}"/>
    <cellStyle name="Total 25 4 3" xfId="41539" xr:uid="{86EF6D8A-30CD-4FA6-A1F8-9CE88CB7F121}"/>
    <cellStyle name="Total 25 5" xfId="22084" xr:uid="{45FF6E7E-8B34-4A70-A852-B0BB2E6B3501}"/>
    <cellStyle name="Total 25 6" xfId="35133" xr:uid="{D48152F7-E636-49CC-A4B6-B7C9BBFEE4D7}"/>
    <cellStyle name="Total 26" xfId="4287" xr:uid="{ABFBFD48-4E6B-41C6-B8F4-F196F837EC61}"/>
    <cellStyle name="Total 26 2" xfId="6156" xr:uid="{046ABF5F-E478-42BB-909C-DA44734C3E90}"/>
    <cellStyle name="Total 26 2 2" xfId="11471" xr:uid="{20450253-BB3A-4C85-ADC0-6E256639BCB7}"/>
    <cellStyle name="Total 26 2 2 2" xfId="28235" xr:uid="{E6E9CD29-0465-4EA3-8C22-57E723CC4D38}"/>
    <cellStyle name="Total 26 2 2 3" xfId="41430" xr:uid="{CB151FD3-37C6-4098-A6B8-9CE298B06F08}"/>
    <cellStyle name="Total 26 2 3" xfId="23801" xr:uid="{B6EE2D51-6114-481E-A532-FAE61C8A74A9}"/>
    <cellStyle name="Total 26 2 4" xfId="36882" xr:uid="{1702BC35-0410-4847-AB30-3E7295FCA72B}"/>
    <cellStyle name="Total 26 3" xfId="12866" xr:uid="{6A977025-8D94-4251-90DB-F41EDC6A4EEC}"/>
    <cellStyle name="Total 26 3 2" xfId="29428" xr:uid="{31404176-5646-460B-99F1-E6494F735766}"/>
    <cellStyle name="Total 26 3 3" xfId="42715" xr:uid="{FEA99FCD-F0A9-4A9C-974E-2DCA79A7EB75}"/>
    <cellStyle name="Total 26 4" xfId="22108" xr:uid="{5CD54061-149D-4B35-BD36-1F228526B3C5}"/>
    <cellStyle name="Total 26 5" xfId="35157" xr:uid="{A4A1E21B-5684-4C1D-B447-6BBF67473233}"/>
    <cellStyle name="Total 27" xfId="5265" xr:uid="{FAF6F6FC-8706-489D-B848-8094D3BDDDF7}"/>
    <cellStyle name="Total 27 2" xfId="9698" xr:uid="{6492346D-C9CA-47A8-973E-1AB028109051}"/>
    <cellStyle name="Total 27 2 2" xfId="15317" xr:uid="{4D58F0D2-B6D2-4FA3-92B6-42B05B649CF6}"/>
    <cellStyle name="Total 27 2 2 2" xfId="31478" xr:uid="{9F6797B2-13AE-40B0-B3AB-6EDA7C54973A}"/>
    <cellStyle name="Total 27 2 2 3" xfId="44963" xr:uid="{87554BD2-2B0C-48AC-A8F6-2E5798052259}"/>
    <cellStyle name="Total 27 2 3" xfId="26999" xr:uid="{D17F25A9-6FC4-4978-A963-F559FCFCB91B}"/>
    <cellStyle name="Total 27 2 4" xfId="40114" xr:uid="{2996614C-E048-4B95-9F4D-72F610E0FEBF}"/>
    <cellStyle name="Total 27 3" xfId="13624" xr:uid="{D368A5B8-AA52-45E0-8F6C-1119B6B5EA99}"/>
    <cellStyle name="Total 27 3 2" xfId="30060" xr:uid="{7218A323-D024-4D9B-9CA4-CAFBA9F1CA14}"/>
    <cellStyle name="Total 27 3 3" xfId="43415" xr:uid="{F8EE76FD-4611-4757-A056-273274DFFFA2}"/>
    <cellStyle name="Total 27 4" xfId="22918" xr:uid="{AB4E8657-3EE0-4508-AC6F-D1DECD523CD8}"/>
    <cellStyle name="Total 27 5" xfId="35995" xr:uid="{64696A45-8C11-44E4-ADAA-1398FE063F8F}"/>
    <cellStyle name="Total 28" xfId="5351" xr:uid="{78DCD38D-74A7-40CD-B88B-CF1C179EAE4D}"/>
    <cellStyle name="Total 28 2" xfId="9782" xr:uid="{739C085E-D9F9-4ECC-8CB5-19A94AAF4503}"/>
    <cellStyle name="Total 28 2 2" xfId="17444" xr:uid="{B9E21229-DA43-449F-B0A6-7D871061D0B4}"/>
    <cellStyle name="Total 28 2 2 2" xfId="33195" xr:uid="{8398CAFC-D17D-4C6E-BD9D-A95265B982EE}"/>
    <cellStyle name="Total 28 2 2 3" xfId="46974" xr:uid="{EC4DD3B5-51A7-4ED4-A09E-46937C495A9B}"/>
    <cellStyle name="Total 28 2 3" xfId="27079" xr:uid="{FFC7B9D3-9D5E-4D3A-89B5-7AF170C31453}"/>
    <cellStyle name="Total 28 2 4" xfId="40198" xr:uid="{02AE6165-0ADE-4632-A493-100020C9767C}"/>
    <cellStyle name="Total 28 3" xfId="13079" xr:uid="{171F0D38-78E1-4F04-8665-C116EA187F41}"/>
    <cellStyle name="Total 28 3 2" xfId="29600" xr:uid="{B5D8837F-4927-4D30-B63A-FE66E0F41F42}"/>
    <cellStyle name="Total 28 3 3" xfId="42909" xr:uid="{AFFE45A6-875B-4CB1-9B34-FB7DCB9773F3}"/>
    <cellStyle name="Total 28 4" xfId="22998" xr:uid="{244075FF-55A1-45C2-9ED8-B97B209F8A3F}"/>
    <cellStyle name="Total 28 5" xfId="36079" xr:uid="{13402D21-1AFA-47F2-B371-5164A6D1B329}"/>
    <cellStyle name="Total 29" xfId="10557" xr:uid="{69216832-BB54-49C3-BFBF-943616C9F777}"/>
    <cellStyle name="Total 29 2" xfId="17602" xr:uid="{E424FDF4-6549-41FF-A419-27F088C933FA}"/>
    <cellStyle name="Total 29 2 2" xfId="33337" xr:uid="{2CDB1ABC-3C86-4B08-9A16-3FCB30B633F3}"/>
    <cellStyle name="Total 29 2 3" xfId="47127" xr:uid="{E4CCC95B-1D77-4C0C-88F0-9D76F68C3B8E}"/>
    <cellStyle name="Total 29 3" xfId="27416" xr:uid="{F81FF349-CA24-4C08-910E-091EB025CBE3}"/>
    <cellStyle name="Total 29 4" xfId="40538" xr:uid="{81AD2734-5E3C-4FF4-A02F-2540C8EFC68E}"/>
    <cellStyle name="Total 3" xfId="3357" xr:uid="{2DE4FE5F-0EDA-4F75-92F4-1806E21C2B78}"/>
    <cellStyle name="Total 3 10" xfId="34402" xr:uid="{30E305AD-F588-4B32-BB80-6D3F681B01E3}"/>
    <cellStyle name="Total 3 2" xfId="2719" xr:uid="{9D34A4C5-F474-42DD-8CA9-F9B7482D3E51}"/>
    <cellStyle name="Total 3 2 2" xfId="8015" xr:uid="{BB15E654-0ADF-4CF0-83FC-6D8B8DF5371D}"/>
    <cellStyle name="Total 3 2 2 2" xfId="16191" xr:uid="{6382060F-135D-4A58-BAE1-6EA7BC093D3B}"/>
    <cellStyle name="Total 3 2 2 2 2" xfId="32236" xr:uid="{12A38A34-205A-4FBD-8710-2D84503A089F}"/>
    <cellStyle name="Total 3 2 2 2 3" xfId="45759" xr:uid="{8E18AD4D-FC2D-48B4-AB13-921B84F1A698}"/>
    <cellStyle name="Total 3 2 2 3" xfId="25529" xr:uid="{389CCECF-8824-43BA-B715-3493062427DB}"/>
    <cellStyle name="Total 3 2 2 4" xfId="38605" xr:uid="{FA422C7D-5224-49CE-A8D2-69927CF24875}"/>
    <cellStyle name="Total 3 2 3" xfId="6382" xr:uid="{1D5A54DF-8072-4687-9687-7165E7069324}"/>
    <cellStyle name="Total 3 2 3 2" xfId="16515" xr:uid="{C1B8D2D0-A1D8-452F-BA5C-99066751F148}"/>
    <cellStyle name="Total 3 2 3 2 2" xfId="32473" xr:uid="{2CFD57CB-16A9-4967-A5C2-383D8F62FE94}"/>
    <cellStyle name="Total 3 2 3 2 3" xfId="46062" xr:uid="{A19563E4-7178-4F7B-9131-5A0BA702D51C}"/>
    <cellStyle name="Total 3 2 3 3" xfId="24020" xr:uid="{F5583BE4-5810-4050-A0D1-FC16E3294A07}"/>
    <cellStyle name="Total 3 2 3 4" xfId="37101" xr:uid="{50F30FE7-9FDA-488D-BB08-7B810999ED58}"/>
    <cellStyle name="Total 3 2 4" xfId="11272" xr:uid="{38E35376-BE8B-42C2-ADFD-8187A279AF45}"/>
    <cellStyle name="Total 3 2 4 2" xfId="28059" xr:uid="{0E6955C1-368A-42F7-9D60-74FB20415ED8}"/>
    <cellStyle name="Total 3 2 4 3" xfId="41241" xr:uid="{11063F0F-9E93-4019-B5CB-3AC5ECA9C578}"/>
    <cellStyle name="Total 3 2 5" xfId="20772" xr:uid="{AEE056F7-5542-4F12-84F5-DE0D88E18BB5}"/>
    <cellStyle name="Total 3 2 6" xfId="33795" xr:uid="{14EDCF76-7DB2-406A-A999-38D4D4506BF1}"/>
    <cellStyle name="Total 3 3" xfId="4114" xr:uid="{74304C4F-B4DD-4C8D-B7B5-939786DD8494}"/>
    <cellStyle name="Total 3 3 2" xfId="9166" xr:uid="{6B4BEC9D-4680-4445-82A5-304E0612350B}"/>
    <cellStyle name="Total 3 3 2 2" xfId="14285" xr:uid="{AAE24D49-D019-4888-ADEB-285A36EBF8C6}"/>
    <cellStyle name="Total 3 3 2 2 2" xfId="30625" xr:uid="{411BF9A4-CC65-4336-B3CA-6C2337CB54B8}"/>
    <cellStyle name="Total 3 3 2 2 3" xfId="44018" xr:uid="{C8CCA759-8299-4854-9DF5-B4DF34A29328}"/>
    <cellStyle name="Total 3 3 2 3" xfId="26647" xr:uid="{CF858E79-81EE-4132-8EAC-9785F3B5EC7D}"/>
    <cellStyle name="Total 3 3 2 4" xfId="39723" xr:uid="{E25D7942-457E-48A3-8A4E-5DB3CC4C3463}"/>
    <cellStyle name="Total 3 3 3" xfId="7678" xr:uid="{A836A516-35DB-4CB7-BFCB-C243D4BF17A3}"/>
    <cellStyle name="Total 3 3 3 2" xfId="16142" xr:uid="{5AB292ED-13FD-4C65-B63A-75AF9360D20E}"/>
    <cellStyle name="Total 3 3 3 2 2" xfId="32196" xr:uid="{6A53AB90-1E02-482C-8A09-0AF1F68BBB90}"/>
    <cellStyle name="Total 3 3 3 2 3" xfId="45717" xr:uid="{4369CAFE-C053-47F3-B3DC-5819C4796053}"/>
    <cellStyle name="Total 3 3 3 3" xfId="25206" xr:uid="{4AF4CD56-B5D7-4792-8FBB-30545A2F50B8}"/>
    <cellStyle name="Total 3 3 3 4" xfId="38282" xr:uid="{1D8D3054-E1A6-4469-B5AB-D31FD445D8BF}"/>
    <cellStyle name="Total 3 3 4" xfId="12877" xr:uid="{EF28C810-8CC2-49BD-BED3-26ED8C32C0DF}"/>
    <cellStyle name="Total 3 3 4 2" xfId="29436" xr:uid="{913775F2-40BE-461A-A09F-94636C850ADA}"/>
    <cellStyle name="Total 3 3 4 3" xfId="42725" xr:uid="{18CBD4A4-CF3A-4F34-8AF3-30F0F1B33F97}"/>
    <cellStyle name="Total 3 3 5" xfId="21947" xr:uid="{CEE462AA-739A-4CBE-81A2-E41F683A0638}"/>
    <cellStyle name="Total 3 3 6" xfId="34996" xr:uid="{B0DD43E0-C9E4-4E67-A5A2-F786CECA8C7E}"/>
    <cellStyle name="Total 3 4" xfId="2589" xr:uid="{C9456853-5645-41BB-96D3-4C68E096059A}"/>
    <cellStyle name="Total 3 4 2" xfId="7886" xr:uid="{C94CFFE7-F77A-4037-963E-7E07E64BA953}"/>
    <cellStyle name="Total 3 4 2 2" xfId="17234" xr:uid="{2A9AD0CB-25DF-47E5-A952-6D84CC85DC20}"/>
    <cellStyle name="Total 3 4 2 2 2" xfId="32993" xr:uid="{DAF60FDF-DC17-4A80-9066-768A972C1CE2}"/>
    <cellStyle name="Total 3 4 2 2 3" xfId="46768" xr:uid="{5E05685D-9F9D-4F74-B6AE-C84FD087CCCF}"/>
    <cellStyle name="Total 3 4 2 3" xfId="25404" xr:uid="{45082AA6-68E3-4CB7-9184-3917969BA81B}"/>
    <cellStyle name="Total 3 4 2 4" xfId="38480" xr:uid="{C4D406A5-BBA6-4670-9C62-15D64D7B626E}"/>
    <cellStyle name="Total 3 4 3" xfId="6253" xr:uid="{03B7C584-A642-4D43-822B-F07EEBA49912}"/>
    <cellStyle name="Total 3 4 3 2" xfId="15912" xr:uid="{EE1EEDC0-0A29-4087-AB21-F010300A9C92}"/>
    <cellStyle name="Total 3 4 3 2 2" xfId="31994" xr:uid="{1CA6BE33-5D65-4C0A-85AC-966B47A16B6A}"/>
    <cellStyle name="Total 3 4 3 2 3" xfId="45510" xr:uid="{CFA4A49C-E67A-45EA-8ED6-4B1B027D397E}"/>
    <cellStyle name="Total 3 4 3 3" xfId="23895" xr:uid="{948DA4F6-4419-453B-ABBE-C53A1DDDD5A1}"/>
    <cellStyle name="Total 3 4 3 4" xfId="36976" xr:uid="{06B29BC7-BC93-43C8-99D2-5C471C687FFD}"/>
    <cellStyle name="Total 3 4 4" xfId="11514" xr:uid="{82220AFA-A866-4CDE-B8D7-C6358FB06777}"/>
    <cellStyle name="Total 3 4 4 2" xfId="28273" xr:uid="{AC32447A-55AA-4689-AD85-24547FF0C3CF}"/>
    <cellStyle name="Total 3 4 4 3" xfId="41470" xr:uid="{5BE09E4A-18D6-4CA6-8DAF-EE21E369B5BC}"/>
    <cellStyle name="Total 3 4 5" xfId="20647" xr:uid="{87971591-A888-4DBA-9E5F-81200163F937}"/>
    <cellStyle name="Total 3 4 6" xfId="33670" xr:uid="{DBB946DA-707A-4728-9303-F7CD3015288C}"/>
    <cellStyle name="Total 3 5" xfId="4138" xr:uid="{74D89EC9-D070-416F-A188-D5ED65FE54C9}"/>
    <cellStyle name="Total 3 5 2" xfId="9190" xr:uid="{3124F93E-A1BC-4647-B4A3-6EC3AF898D0A}"/>
    <cellStyle name="Total 3 5 2 2" xfId="15820" xr:uid="{86C02EE6-7F0E-4E41-991D-148F4FAC45DF}"/>
    <cellStyle name="Total 3 5 2 2 2" xfId="31915" xr:uid="{9589E15A-8BFE-4846-AC19-040AEBBA4A46}"/>
    <cellStyle name="Total 3 5 2 2 3" xfId="45427" xr:uid="{7B1DFC63-8E04-4EDD-A9E5-5EF85AE0C3AF}"/>
    <cellStyle name="Total 3 5 2 3" xfId="26668" xr:uid="{8F8599DC-4863-401B-960F-C0251878F66B}"/>
    <cellStyle name="Total 3 5 2 4" xfId="39744" xr:uid="{FDCE3A41-530B-40E9-A048-433B991C059A}"/>
    <cellStyle name="Total 3 5 3" xfId="7702" xr:uid="{36239D87-600C-475C-A6DB-089C189F0A4F}"/>
    <cellStyle name="Total 3 5 3 2" xfId="16665" xr:uid="{CE810711-A44F-4E7E-9125-C24E43A3BA2C}"/>
    <cellStyle name="Total 3 5 3 2 2" xfId="32558" xr:uid="{020A14A9-1F11-4C7F-B8E4-7041999BF976}"/>
    <cellStyle name="Total 3 5 3 2 3" xfId="46212" xr:uid="{2BB1CBD8-D636-4AC5-886E-0D6208141E65}"/>
    <cellStyle name="Total 3 5 3 3" xfId="25227" xr:uid="{226CB0C5-1F1D-4EEA-81A9-98FDFBFA1AE5}"/>
    <cellStyle name="Total 3 5 3 4" xfId="38303" xr:uid="{27D51BCD-9E61-464A-BA4E-3C0D6937877A}"/>
    <cellStyle name="Total 3 5 4" xfId="14268" xr:uid="{92AAD306-7396-4F2C-A8DA-4EA1AE60E03E}"/>
    <cellStyle name="Total 3 5 4 2" xfId="30610" xr:uid="{0D1A2096-D01B-4DFE-8A02-53C1887D76B2}"/>
    <cellStyle name="Total 3 5 4 3" xfId="44003" xr:uid="{9AF98A20-3C35-48B4-86F7-2733CA1069AD}"/>
    <cellStyle name="Total 3 5 5" xfId="21968" xr:uid="{FF5AA5FA-74EE-48E1-98EF-2F0F8FAA6A29}"/>
    <cellStyle name="Total 3 5 6" xfId="35017" xr:uid="{90F9BAE4-C22E-46E8-8B7C-E64F6E4A6A62}"/>
    <cellStyle name="Total 3 6" xfId="4387" xr:uid="{70D7CB08-07ED-433C-A3B6-840D8292BC45}"/>
    <cellStyle name="Total 3 6 2" xfId="7007" xr:uid="{B6F68700-AFC4-4B8A-B445-3FD431F6714F}"/>
    <cellStyle name="Total 3 6 2 2" xfId="17339" xr:uid="{DC1856BB-5240-4E66-8169-BA869C1BB770}"/>
    <cellStyle name="Total 3 6 2 2 2" xfId="33093" xr:uid="{B9C8A322-117B-485C-A9BF-4BD01FD92FDB}"/>
    <cellStyle name="Total 3 6 2 2 3" xfId="46869" xr:uid="{77BF1ED0-CED5-45B0-82FA-F2EBD5086D83}"/>
    <cellStyle name="Total 3 6 2 3" xfId="24627" xr:uid="{0E2A35E2-B914-4D24-B914-123047EDE9BA}"/>
    <cellStyle name="Total 3 6 2 4" xfId="37708" xr:uid="{40E2AE6D-D81B-4014-9AB9-79A0AB1C4024}"/>
    <cellStyle name="Total 3 6 3" xfId="16322" xr:uid="{5A0327A3-1AB2-4A6A-875E-0823A68D2724}"/>
    <cellStyle name="Total 3 6 3 2" xfId="32347" xr:uid="{39647F55-DE40-476B-A993-CD816C2ABE09}"/>
    <cellStyle name="Total 3 6 3 3" xfId="45878" xr:uid="{E11CCE9E-AEAB-4B66-B648-73BA9548879F}"/>
    <cellStyle name="Total 3 6 4" xfId="22206" xr:uid="{FBFE90B9-B574-49C7-9B7D-606704C02F25}"/>
    <cellStyle name="Total 3 6 5" xfId="35255" xr:uid="{68B31DDB-8464-4C06-918F-78B3D84D4A3A}"/>
    <cellStyle name="Total 3 7" xfId="5441" xr:uid="{F03B844F-A980-4C49-B45A-9423502C5E04}"/>
    <cellStyle name="Total 3 7 2" xfId="8620" xr:uid="{ABC54749-82D1-4B2D-A4D8-280E85411516}"/>
    <cellStyle name="Total 3 7 2 2" xfId="17432" xr:uid="{07596316-A624-469A-97B2-E570BAB962DB}"/>
    <cellStyle name="Total 3 7 2 2 2" xfId="33186" xr:uid="{AA1DC175-3391-4CB9-8F1D-B1876609D132}"/>
    <cellStyle name="Total 3 7 2 2 3" xfId="46962" xr:uid="{151C9C9A-5FB0-4B9A-A42D-3101F626D34E}"/>
    <cellStyle name="Total 3 7 2 3" xfId="26116" xr:uid="{60DD3089-0CE0-4853-8E6C-CD6BC72F582E}"/>
    <cellStyle name="Total 3 7 2 4" xfId="39192" xr:uid="{35A517CB-F4C5-46BA-B73C-8D588FCF3CFC}"/>
    <cellStyle name="Total 3 7 3" xfId="11692" xr:uid="{4B71BCD4-7346-435C-9439-81C6A05DEA4A}"/>
    <cellStyle name="Total 3 7 3 2" xfId="28425" xr:uid="{FF1189A4-AA76-42C4-93C0-2375D20EF700}"/>
    <cellStyle name="Total 3 7 3 3" xfId="41635" xr:uid="{1633AE0D-3A23-4F2D-AA6C-35D444CC3B0A}"/>
    <cellStyle name="Total 3 7 4" xfId="23088" xr:uid="{9FA9894F-9153-4FF8-BCE7-98F3909FF8EB}"/>
    <cellStyle name="Total 3 7 5" xfId="36169" xr:uid="{69C979F0-04DC-412A-A0DE-212A76519112}"/>
    <cellStyle name="Total 3 8" xfId="16871" xr:uid="{E9FA6B6C-D43D-4306-98ED-6F5611B1FAA6}"/>
    <cellStyle name="Total 3 8 2" xfId="32748" xr:uid="{56358791-3D07-493D-A824-75EAA44154C3}"/>
    <cellStyle name="Total 3 8 3" xfId="46413" xr:uid="{C3784EB0-E802-421D-B5C4-C35E5A0ABC03}"/>
    <cellStyle name="Total 3 9" xfId="21379" xr:uid="{4939F179-A60A-414E-816E-297BD00A85E3}"/>
    <cellStyle name="Total 30" xfId="11960" xr:uid="{3962853D-E589-42E6-8B43-5A3A96C38679}"/>
    <cellStyle name="Total 30 2" xfId="28669" xr:uid="{5E962BAA-7E62-4DD0-AEC1-E12B412ED2F7}"/>
    <cellStyle name="Total 30 3" xfId="41887" xr:uid="{F6D07F29-BA33-462E-ADE0-73E1A176DA6B}"/>
    <cellStyle name="Total 31" xfId="16116" xr:uid="{6426EFC5-8FEC-4F1F-BB06-CB39F323AB9F}"/>
    <cellStyle name="Total 31 2" xfId="32172" xr:uid="{9C966F41-7BF8-46E3-A500-04A9157DE416}"/>
    <cellStyle name="Total 31 3" xfId="45693" xr:uid="{2EB53581-3274-48CC-A2C0-F602D306743D}"/>
    <cellStyle name="Total 32" xfId="11418" xr:uid="{4940BDA2-2404-423B-BC23-44AEFF9F00A7}"/>
    <cellStyle name="Total 32 2" xfId="28187" xr:uid="{7939E978-BE36-4E57-AD0D-EBDA0123AB07}"/>
    <cellStyle name="Total 32 3" xfId="41378" xr:uid="{AA4ED9C9-5ED5-4C55-9A28-8B1A07F6F60D}"/>
    <cellStyle name="Total 33" xfId="17655" xr:uid="{DC5783DF-2608-42B3-AA5E-FDFFC847FB46}"/>
    <cellStyle name="Total 33 2" xfId="33378" xr:uid="{4795AFE0-A609-4619-8578-6F7418D2074F}"/>
    <cellStyle name="Total 33 3" xfId="47167" xr:uid="{D0C7C5E7-9645-45A5-A0BC-81B351E55CA5}"/>
    <cellStyle name="Total 34" xfId="33555" xr:uid="{E5987CFA-9E95-48B9-84E2-6DC2437C2D1F}"/>
    <cellStyle name="Total 4" xfId="3432" xr:uid="{1EB15105-7EFA-4040-AC87-1B3623ECC9C6}"/>
    <cellStyle name="Total 4 10" xfId="34448" xr:uid="{0E6E78DE-95ED-442F-B78E-09FFB5A2243B}"/>
    <cellStyle name="Total 4 2" xfId="2774" xr:uid="{333D8E17-8514-464F-BF0E-3F03E0562A8A}"/>
    <cellStyle name="Total 4 2 2" xfId="8070" xr:uid="{E3152FA1-CEB6-43D5-B63D-D13325264468}"/>
    <cellStyle name="Total 4 2 2 2" xfId="11115" xr:uid="{240FDE36-28C3-49A9-9176-EB33EC5C4BBF}"/>
    <cellStyle name="Total 4 2 2 2 2" xfId="27916" xr:uid="{B9CD55F4-3EF4-4E25-AD81-553EE9FF4D65}"/>
    <cellStyle name="Total 4 2 2 2 3" xfId="41094" xr:uid="{04194EAA-AFEA-4EF9-96A1-EFFF6B9BD8D7}"/>
    <cellStyle name="Total 4 2 2 3" xfId="25581" xr:uid="{F758B305-895E-44CE-9E24-3D1B3BF8625B}"/>
    <cellStyle name="Total 4 2 2 4" xfId="38657" xr:uid="{A66FBC03-4B1A-446E-B009-32D895B6CAD1}"/>
    <cellStyle name="Total 4 2 3" xfId="6437" xr:uid="{B40026FC-4B49-4864-A491-FAE833C724F2}"/>
    <cellStyle name="Total 4 2 3 2" xfId="14367" xr:uid="{E0705F84-967F-4CCE-892A-FDE365097C3B}"/>
    <cellStyle name="Total 4 2 3 2 2" xfId="30700" xr:uid="{F81C47F6-ECEC-425E-8D78-C72F5D73660D}"/>
    <cellStyle name="Total 4 2 3 2 3" xfId="44097" xr:uid="{0662DA07-991B-4696-8ECA-ECBA00A28AE8}"/>
    <cellStyle name="Total 4 2 3 3" xfId="24072" xr:uid="{5F767FCF-1366-4219-B670-3665FE91AB56}"/>
    <cellStyle name="Total 4 2 3 4" xfId="37153" xr:uid="{E0F294C5-52F1-4FBA-B796-33B901D2405C}"/>
    <cellStyle name="Total 4 2 4" xfId="10681" xr:uid="{A7C61E3B-719D-4EC8-BCC9-92DC46869FDE}"/>
    <cellStyle name="Total 4 2 4 2" xfId="27531" xr:uid="{5207046C-231C-4128-A4D7-F2518A2A13DE}"/>
    <cellStyle name="Total 4 2 4 3" xfId="40662" xr:uid="{14FAA756-5826-4F22-900F-C5B3F75F85EB}"/>
    <cellStyle name="Total 4 2 5" xfId="20824" xr:uid="{30EFB0DA-16C7-4698-B3B9-6CDEBFA7CB75}"/>
    <cellStyle name="Total 4 2 6" xfId="33847" xr:uid="{1E0851D8-C5EC-480E-A4AE-EAD982DD5A32}"/>
    <cellStyle name="Total 4 3" xfId="4120" xr:uid="{75475B19-4115-4D68-9394-5313E44013D8}"/>
    <cellStyle name="Total 4 3 2" xfId="9172" xr:uid="{1F3007B1-9AF5-4996-AA23-69D957F8126D}"/>
    <cellStyle name="Total 4 3 2 2" xfId="12726" xr:uid="{43BAEE4D-E18B-4660-A7CC-A69B30A8A588}"/>
    <cellStyle name="Total 4 3 2 2 2" xfId="29309" xr:uid="{B05469D0-0851-454C-BFDC-168E4FE534D0}"/>
    <cellStyle name="Total 4 3 2 2 3" xfId="42586" xr:uid="{22D2C543-6228-45C9-856E-B9AD6EC40DE7}"/>
    <cellStyle name="Total 4 3 2 3" xfId="26652" xr:uid="{817A280E-8D67-4E69-B030-63FD3C71D6BC}"/>
    <cellStyle name="Total 4 3 2 4" xfId="39728" xr:uid="{F73B847E-0708-4E79-BF01-C6134B41535D}"/>
    <cellStyle name="Total 4 3 3" xfId="7684" xr:uid="{EBCD8AB9-6C1E-4B76-89DA-1D77803B1CF5}"/>
    <cellStyle name="Total 4 3 3 2" xfId="11025" xr:uid="{467056F4-24F4-4A25-8F6D-707F4A7F7220}"/>
    <cellStyle name="Total 4 3 3 2 2" xfId="27832" xr:uid="{C7240B8B-65F6-4F11-AF28-FB1BD190D86A}"/>
    <cellStyle name="Total 4 3 3 2 3" xfId="41005" xr:uid="{F4AF8AC4-06DF-4304-BF18-78517966FDF3}"/>
    <cellStyle name="Total 4 3 3 3" xfId="25211" xr:uid="{9C00CA75-B2E7-4FCE-9D29-706FC7900574}"/>
    <cellStyle name="Total 4 3 3 4" xfId="38287" xr:uid="{9FF984AE-6D27-4590-A6EE-4E16BAEBE179}"/>
    <cellStyle name="Total 4 3 4" xfId="14372" xr:uid="{B354ABBE-07BE-4C1A-AEE9-66DAB0BC94EF}"/>
    <cellStyle name="Total 4 3 4 2" xfId="30704" xr:uid="{158E3586-96CE-4FF1-B1D8-EF25679CFFEC}"/>
    <cellStyle name="Total 4 3 4 3" xfId="44102" xr:uid="{5C335459-94BB-4D76-91E5-2E673D4ED0A0}"/>
    <cellStyle name="Total 4 3 5" xfId="21952" xr:uid="{044E89F1-690F-4F7D-884C-22B052754681}"/>
    <cellStyle name="Total 4 3 6" xfId="35001" xr:uid="{53F6CD5A-7869-4396-83E6-573B7F12BF9A}"/>
    <cellStyle name="Total 4 4" xfId="2618" xr:uid="{195A5FE3-16D9-4AFC-A537-CFA1117E872D}"/>
    <cellStyle name="Total 4 4 2" xfId="7915" xr:uid="{CBFAB53C-F249-4D8A-B233-B1454224A4A3}"/>
    <cellStyle name="Total 4 4 2 2" xfId="14125" xr:uid="{2C2ACAB0-CB84-42FB-80A8-03A3BAB2E13A}"/>
    <cellStyle name="Total 4 4 2 2 2" xfId="30489" xr:uid="{AA63FED2-F9DD-4A69-AF72-9CABC6D7F462}"/>
    <cellStyle name="Total 4 4 2 2 3" xfId="43873" xr:uid="{F3CA3DED-2E0A-463D-AE7F-DC2477148CFF}"/>
    <cellStyle name="Total 4 4 2 3" xfId="25431" xr:uid="{D57E11E7-4CB0-4B38-BA3F-A73BCF2060CD}"/>
    <cellStyle name="Total 4 4 2 4" xfId="38507" xr:uid="{2E5CE41D-462F-459A-A527-BD9052718E68}"/>
    <cellStyle name="Total 4 4 3" xfId="6282" xr:uid="{E00218A9-F943-4D74-A9FA-ECABB6587D69}"/>
    <cellStyle name="Total 4 4 3 2" xfId="16636" xr:uid="{A32D561C-BD9C-4B58-97AE-F7BC4F9FF448}"/>
    <cellStyle name="Total 4 4 3 2 2" xfId="32542" xr:uid="{8CF75946-B1D2-437C-BCA6-90C4D3480345}"/>
    <cellStyle name="Total 4 4 3 2 3" xfId="46183" xr:uid="{90D97578-4F28-4988-88E0-A0E5B7096D6D}"/>
    <cellStyle name="Total 4 4 3 3" xfId="23922" xr:uid="{70196AEA-69A9-468D-8648-C6F52BC063A9}"/>
    <cellStyle name="Total 4 4 3 4" xfId="37003" xr:uid="{243AFA64-B82B-4BCA-A711-8D0969719707}"/>
    <cellStyle name="Total 4 4 4" xfId="16458" xr:uid="{A3866F82-381D-4E14-A7ED-48035DC8944E}"/>
    <cellStyle name="Total 4 4 4 2" xfId="32466" xr:uid="{9FE48E77-FD2D-49DD-9296-D79FCEB1CEF7}"/>
    <cellStyle name="Total 4 4 4 3" xfId="46006" xr:uid="{4F460856-3208-4B26-8AFE-6C22750246E4}"/>
    <cellStyle name="Total 4 4 5" xfId="20674" xr:uid="{06721D87-2C04-420C-A8A2-BCA94740E9A8}"/>
    <cellStyle name="Total 4 4 6" xfId="33697" xr:uid="{C1DDBBA2-E960-4DA1-BABF-9FE2CF2E1344}"/>
    <cellStyle name="Total 4 5" xfId="4225" xr:uid="{EDD47E06-0CF6-4997-8F05-7516354D1689}"/>
    <cellStyle name="Total 4 5 2" xfId="9277" xr:uid="{7B18BBE9-0426-4901-A13E-6CCA21721C79}"/>
    <cellStyle name="Total 4 5 2 2" xfId="16644" xr:uid="{2D9551B6-3008-4334-80EE-7C384DC0C174}"/>
    <cellStyle name="Total 4 5 2 2 2" xfId="32550" xr:uid="{E9DB0AAA-1FD7-43C3-9E81-E363B161AA44}"/>
    <cellStyle name="Total 4 5 2 2 3" xfId="46191" xr:uid="{6BB1136E-4DA6-45A2-9FE4-AF7D8235ED57}"/>
    <cellStyle name="Total 4 5 2 3" xfId="26750" xr:uid="{FB6D65AE-E93A-426A-BC8E-8777B52209F7}"/>
    <cellStyle name="Total 4 5 2 4" xfId="39826" xr:uid="{DD5BF984-90B3-4A95-8E8B-F4A2B3C4F4AF}"/>
    <cellStyle name="Total 4 5 3" xfId="7789" xr:uid="{DA3C373F-F77E-489F-BED4-219498172FCA}"/>
    <cellStyle name="Total 4 5 3 2" xfId="13008" xr:uid="{D043166C-F757-4DAB-B670-06571419DB1C}"/>
    <cellStyle name="Total 4 5 3 2 2" xfId="29541" xr:uid="{1D159F7F-742E-4B71-B5D7-47BDB0A555FF}"/>
    <cellStyle name="Total 4 5 3 2 3" xfId="42843" xr:uid="{E3F4429A-CBAF-4BF6-8887-541429041D7D}"/>
    <cellStyle name="Total 4 5 3 3" xfId="25309" xr:uid="{99721A83-5073-4F92-8794-6E5209E60FD7}"/>
    <cellStyle name="Total 4 5 3 4" xfId="38385" xr:uid="{BD1AC6E5-7CCF-44AF-9D6C-96C17F759EAD}"/>
    <cellStyle name="Total 4 5 4" xfId="11082" xr:uid="{F6021EF3-60F3-427B-B052-48504E195092}"/>
    <cellStyle name="Total 4 5 4 2" xfId="27883" xr:uid="{47352130-A9AE-464E-9F43-55B93C77F9AF}"/>
    <cellStyle name="Total 4 5 4 3" xfId="41061" xr:uid="{787E1D7E-CD09-4061-8247-039701C571C0}"/>
    <cellStyle name="Total 4 5 5" xfId="22050" xr:uid="{E0CF95A6-1C88-4415-9D2F-22C3D026004B}"/>
    <cellStyle name="Total 4 5 6" xfId="35099" xr:uid="{CD1AB602-D0E1-4241-B00E-940CACA03601}"/>
    <cellStyle name="Total 4 6" xfId="4434" xr:uid="{6435808A-BDBB-4C97-BEA1-93009D425C62}"/>
    <cellStyle name="Total 4 6 2" xfId="7074" xr:uid="{1BB6D80F-CDA7-4ACD-A9EF-F18551412244}"/>
    <cellStyle name="Total 4 6 2 2" xfId="15688" xr:uid="{BE9DC52A-51F3-4137-8897-E116560309A9}"/>
    <cellStyle name="Total 4 6 2 2 2" xfId="31800" xr:uid="{0B9D49D4-AA54-4E85-857A-BCFBD9749650}"/>
    <cellStyle name="Total 4 6 2 2 3" xfId="45308" xr:uid="{9799111E-C9B3-41CF-AF15-BDB502256A60}"/>
    <cellStyle name="Total 4 6 2 3" xfId="24673" xr:uid="{B08FD419-3884-4263-9B7C-05AC889261A1}"/>
    <cellStyle name="Total 4 6 2 4" xfId="37754" xr:uid="{12BDEEF6-1783-41D0-9E78-92E99F93DF85}"/>
    <cellStyle name="Total 4 6 3" xfId="13829" xr:uid="{AD352168-0ED8-4B88-9DC2-A9B3E0908CD4}"/>
    <cellStyle name="Total 4 6 3 2" xfId="30231" xr:uid="{73931D06-B1B3-4997-902D-6C3A58010FB6}"/>
    <cellStyle name="Total 4 6 3 3" xfId="43601" xr:uid="{FE0E69F1-6239-480A-9151-BB8CA1B9355A}"/>
    <cellStyle name="Total 4 6 4" xfId="22252" xr:uid="{6A137A1A-3C2D-40C1-9251-22BCC32C4A70}"/>
    <cellStyle name="Total 4 6 5" xfId="35301" xr:uid="{09531A49-6E74-4006-BEB4-2253CF5A227B}"/>
    <cellStyle name="Total 4 7" xfId="5487" xr:uid="{818A5570-7EEB-4DDA-A850-E3CE72FEF0E3}"/>
    <cellStyle name="Total 4 7 2" xfId="8669" xr:uid="{427DDF9A-CF7E-4CA5-8005-5FD3C03FC93F}"/>
    <cellStyle name="Total 4 7 2 2" xfId="17458" xr:uid="{BB63247C-1601-4C25-BEC0-96162B14FE2F}"/>
    <cellStyle name="Total 4 7 2 2 2" xfId="33203" xr:uid="{1C96CC10-4D61-40BF-8A38-E52D7FB7156C}"/>
    <cellStyle name="Total 4 7 2 2 3" xfId="46987" xr:uid="{CDFA6176-5B4C-4C29-95F4-8EB8241A482C}"/>
    <cellStyle name="Total 4 7 2 3" xfId="26162" xr:uid="{82EC00AE-963D-4797-889E-82FE5AD43E87}"/>
    <cellStyle name="Total 4 7 2 4" xfId="39238" xr:uid="{AEAEC1A9-41F6-4C6F-8450-F0F360BE305F}"/>
    <cellStyle name="Total 4 7 3" xfId="16673" xr:uid="{5DCBB773-F286-4E9A-A22C-490F92323514}"/>
    <cellStyle name="Total 4 7 3 2" xfId="32565" xr:uid="{34160FA2-A085-4D73-9C58-8F9656B06E51}"/>
    <cellStyle name="Total 4 7 3 3" xfId="46220" xr:uid="{47A55DFF-7318-4CA5-83E3-9A460FFCA808}"/>
    <cellStyle name="Total 4 7 4" xfId="23134" xr:uid="{38A08D29-7DF6-49C8-AA9A-6D802095B27C}"/>
    <cellStyle name="Total 4 7 5" xfId="36215" xr:uid="{35BC0233-0564-4618-B434-6088D38A8ACF}"/>
    <cellStyle name="Total 4 8" xfId="17177" xr:uid="{CE4EBD7A-0249-4003-B962-CB03A20DBB98}"/>
    <cellStyle name="Total 4 8 2" xfId="32940" xr:uid="{E6FC444A-0C0D-4058-A00B-1E72CF4D97BD}"/>
    <cellStyle name="Total 4 8 3" xfId="46712" xr:uid="{C73C1BD9-F9A8-4F8F-9D66-1D5CC1B3A0C5}"/>
    <cellStyle name="Total 4 9" xfId="21416" xr:uid="{28ED8E7D-0869-41EE-9FD7-F2FFD698E973}"/>
    <cellStyle name="Total 5" xfId="3422" xr:uid="{32325142-E250-4BB4-8D64-8A664EFD3358}"/>
    <cellStyle name="Total 5 2" xfId="2764" xr:uid="{8B7580E2-EEBF-4B61-BF54-E5B606574757}"/>
    <cellStyle name="Total 5 2 2" xfId="8060" xr:uid="{01914366-24E9-4064-A29E-3B769372132C}"/>
    <cellStyle name="Total 5 2 2 2" xfId="12762" xr:uid="{EEED2255-C4AA-483D-8F06-C57112E229F6}"/>
    <cellStyle name="Total 5 2 2 2 2" xfId="29339" xr:uid="{B3125C00-B612-4E8E-9C4F-DA273DA64821}"/>
    <cellStyle name="Total 5 2 2 2 3" xfId="42619" xr:uid="{CD7E5483-1EF2-4853-84DA-73105EBC7B0A}"/>
    <cellStyle name="Total 5 2 2 3" xfId="25572" xr:uid="{09B1CAD1-5DE8-4EE9-92AD-10646A800109}"/>
    <cellStyle name="Total 5 2 2 4" xfId="38648" xr:uid="{794A5177-39AD-4AD6-96DA-864705999ADC}"/>
    <cellStyle name="Total 5 2 3" xfId="6427" xr:uid="{EA227574-50E8-45C1-B1E3-524F39757F0A}"/>
    <cellStyle name="Total 5 2 3 2" xfId="14980" xr:uid="{D245209E-9428-44EA-87D8-56F786FA5ADF}"/>
    <cellStyle name="Total 5 2 3 2 2" xfId="31216" xr:uid="{311CA4A2-BBDE-4AB8-999D-E2EF46DFBEE5}"/>
    <cellStyle name="Total 5 2 3 2 3" xfId="44664" xr:uid="{7209C669-31C0-458F-B467-A09DD936C8F5}"/>
    <cellStyle name="Total 5 2 3 3" xfId="24063" xr:uid="{BC5045FF-4233-41FB-8806-BF74CD20962E}"/>
    <cellStyle name="Total 5 2 3 4" xfId="37144" xr:uid="{6F4D559D-3D06-4194-8382-22D76ECB37A8}"/>
    <cellStyle name="Total 5 2 4" xfId="16862" xr:uid="{DAF94FED-356D-441E-92A0-C3C5AEAB8A58}"/>
    <cellStyle name="Total 5 2 4 2" xfId="32739" xr:uid="{ECED02FB-107C-4BD8-8689-09662C659DB1}"/>
    <cellStyle name="Total 5 2 4 3" xfId="46404" xr:uid="{73897B49-3A51-4028-9085-8DF4E97BADE9}"/>
    <cellStyle name="Total 5 2 5" xfId="20815" xr:uid="{9283CE5E-8367-4829-90E7-2337CB046D92}"/>
    <cellStyle name="Total 5 2 6" xfId="33838" xr:uid="{497BE24E-E30F-4DC3-B78A-EA35C26ADB08}"/>
    <cellStyle name="Total 5 3" xfId="4425" xr:uid="{311C6857-640D-4005-92B5-3902CE46C400}"/>
    <cellStyle name="Total 5 3 2" xfId="7064" xr:uid="{240FCC24-D803-42E8-B129-326B43E64B30}"/>
    <cellStyle name="Total 5 3 2 2" xfId="16339" xr:uid="{E25B2D78-6D9B-4DA0-89B1-38DAB73AE852}"/>
    <cellStyle name="Total 5 3 2 2 2" xfId="32363" xr:uid="{8D1D970A-8A52-4837-BC4D-CEC7850FBB9A}"/>
    <cellStyle name="Total 5 3 2 2 3" xfId="45894" xr:uid="{501EF57A-BC6F-41F0-84F8-7CEFB7DA2FFF}"/>
    <cellStyle name="Total 5 3 2 3" xfId="24664" xr:uid="{9D123E27-EB31-4C65-854E-33B9AAD526DD}"/>
    <cellStyle name="Total 5 3 2 4" xfId="37745" xr:uid="{23869AF8-6912-4932-9058-3593C31B078F}"/>
    <cellStyle name="Total 5 3 3" xfId="10921" xr:uid="{F5113184-5179-4300-92BE-79201759C3BB}"/>
    <cellStyle name="Total 5 3 3 2" xfId="27739" xr:uid="{A6188FB3-552C-4C13-BB97-55B13094C9A9}"/>
    <cellStyle name="Total 5 3 3 3" xfId="40901" xr:uid="{95C5B1C1-FC6C-49E5-852C-4AC5EBF6B5B4}"/>
    <cellStyle name="Total 5 3 4" xfId="22243" xr:uid="{30CFDB54-E483-4766-8B7A-8098650E1048}"/>
    <cellStyle name="Total 5 3 5" xfId="35292" xr:uid="{AE8F9413-7783-4DCF-8E25-C8AD7F3990FC}"/>
    <cellStyle name="Total 5 4" xfId="5478" xr:uid="{53B59855-87A9-4A10-BC16-E9E9CBE5CCB3}"/>
    <cellStyle name="Total 5 4 2" xfId="8659" xr:uid="{A328233E-0A05-47A7-931A-0B4C86AB3982}"/>
    <cellStyle name="Total 5 4 2 2" xfId="17435" xr:uid="{A470B5B2-A13A-4081-9B6F-82CE75350605}"/>
    <cellStyle name="Total 5 4 2 2 2" xfId="33189" xr:uid="{6FF4BB82-9BFC-4214-95BD-46BD16275073}"/>
    <cellStyle name="Total 5 4 2 2 3" xfId="46965" xr:uid="{9568990C-F24D-4C47-BCCD-CCDC6FEA89F7}"/>
    <cellStyle name="Total 5 4 2 3" xfId="26153" xr:uid="{2FCF8523-1A39-46F8-BC7E-5D7C8A1111CB}"/>
    <cellStyle name="Total 5 4 2 4" xfId="39229" xr:uid="{A235015F-FE7B-41EE-A265-B73173622A36}"/>
    <cellStyle name="Total 5 4 3" xfId="12352" xr:uid="{17DBD9F0-FD7A-4A16-B6AC-BB18CBB69B12}"/>
    <cellStyle name="Total 5 4 3 2" xfId="29018" xr:uid="{DDBCCF68-5725-4A6C-ACE4-7A307412FD1D}"/>
    <cellStyle name="Total 5 4 3 3" xfId="42258" xr:uid="{ADE1B92D-978A-4856-BFF3-661F9E3667FB}"/>
    <cellStyle name="Total 5 4 4" xfId="23125" xr:uid="{EB33E92B-FE00-45C7-AE1E-AB16BB33DFCB}"/>
    <cellStyle name="Total 5 4 5" xfId="36206" xr:uid="{1C8A1186-8C80-4895-9F79-FF13F4BAD69F}"/>
    <cellStyle name="Total 5 5" xfId="15457" xr:uid="{B2D6D2CD-C816-4658-A9E1-98F01CCB486A}"/>
    <cellStyle name="Total 5 5 2" xfId="31602" xr:uid="{2C4FC9EF-ECEC-4DF5-94F7-B4D425B16CFE}"/>
    <cellStyle name="Total 5 5 3" xfId="45097" xr:uid="{683D1139-4968-46C3-AC89-03C629E18A5B}"/>
    <cellStyle name="Total 5 6" xfId="21410" xr:uid="{35DFB09C-0F1D-47E9-8D3D-DC4A40FCC55A}"/>
    <cellStyle name="Total 5 7" xfId="34439" xr:uid="{18552E12-CA9B-453A-A1CC-2B06D1279E4B}"/>
    <cellStyle name="Total 6" xfId="3330" xr:uid="{94A1A025-12CA-4141-A0F9-9693FD5219CB}"/>
    <cellStyle name="Total 6 2" xfId="2692" xr:uid="{E8BD872F-48D1-491C-B86A-D91681E83B9C}"/>
    <cellStyle name="Total 6 2 2" xfId="7988" xr:uid="{B6F6C30F-1AB2-439C-9484-47D8310198B5}"/>
    <cellStyle name="Total 6 2 2 2" xfId="12666" xr:uid="{DA06273D-90F5-457A-AF58-D4170951E2F1}"/>
    <cellStyle name="Total 6 2 2 2 2" xfId="29264" xr:uid="{A2F46533-0249-4D4F-A20D-E43AD2FC3400}"/>
    <cellStyle name="Total 6 2 2 2 3" xfId="42535" xr:uid="{E4C4339F-783B-4DB9-9F62-701D6F0A0D30}"/>
    <cellStyle name="Total 6 2 2 3" xfId="25504" xr:uid="{A1574DE6-2CB9-4F98-BF79-2E4843AD8648}"/>
    <cellStyle name="Total 6 2 2 4" xfId="38580" xr:uid="{76CC5293-E648-4A3F-A857-E6DE91311E0E}"/>
    <cellStyle name="Total 6 2 3" xfId="6355" xr:uid="{E0A4BDD9-C66D-4902-80B7-6CCCC74861E0}"/>
    <cellStyle name="Total 6 2 3 2" xfId="10608" xr:uid="{74371DE8-F1D7-4A54-AADA-B505AF2ACD77}"/>
    <cellStyle name="Total 6 2 3 2 2" xfId="27467" xr:uid="{240E67FF-54C2-4EB3-B9AB-E90141BD42AF}"/>
    <cellStyle name="Total 6 2 3 2 3" xfId="40589" xr:uid="{FF5B9FF8-6966-4758-82FA-9606DF890B11}"/>
    <cellStyle name="Total 6 2 3 3" xfId="23995" xr:uid="{4B172191-BBEA-4F16-BE64-EEDA486A28CA}"/>
    <cellStyle name="Total 6 2 3 4" xfId="37076" xr:uid="{55461AC7-D0E8-42D2-9090-468E96383115}"/>
    <cellStyle name="Total 6 2 4" xfId="13331" xr:uid="{D574B382-F197-48C0-B274-D412D6E809BA}"/>
    <cellStyle name="Total 6 2 4 2" xfId="29814" xr:uid="{638D27D2-E86D-490E-87A7-A4CB41360C3D}"/>
    <cellStyle name="Total 6 2 4 3" xfId="43145" xr:uid="{529699A8-0AB5-4DEE-B24E-0AAFEE2789AB}"/>
    <cellStyle name="Total 6 2 5" xfId="20747" xr:uid="{F216501B-D232-4D7A-BAA9-05EE9E7B9356}"/>
    <cellStyle name="Total 6 2 6" xfId="33770" xr:uid="{2FB9968F-2338-489C-AFFD-B266553786C2}"/>
    <cellStyle name="Total 6 3" xfId="4361" xr:uid="{EDC1F06B-D80F-409F-93AA-34D63FC100B6}"/>
    <cellStyle name="Total 6 3 2" xfId="6980" xr:uid="{089A8269-669E-457F-BE13-CEC65FAD80BD}"/>
    <cellStyle name="Total 6 3 2 2" xfId="11584" xr:uid="{1D4F1F03-86C0-4C6E-B2E8-261C0D2FC599}"/>
    <cellStyle name="Total 6 3 2 2 2" xfId="28335" xr:uid="{E38C65A9-5933-46C9-BDC5-BB29B5F504EF}"/>
    <cellStyle name="Total 6 3 2 2 3" xfId="41536" xr:uid="{30219F77-2228-47BB-8A84-996326FEECC5}"/>
    <cellStyle name="Total 6 3 2 3" xfId="24602" xr:uid="{879BA53C-6A7A-4CA1-A3CF-B2E90F2D14D5}"/>
    <cellStyle name="Total 6 3 2 4" xfId="37683" xr:uid="{BEF4C4AD-8B76-4C0A-AA91-782CCC3EFE5F}"/>
    <cellStyle name="Total 6 3 3" xfId="10880" xr:uid="{4FDEB5F4-F123-49D2-9A6D-89915E493054}"/>
    <cellStyle name="Total 6 3 3 2" xfId="27705" xr:uid="{8FD0E067-8E55-4093-B57D-437CB4B07716}"/>
    <cellStyle name="Total 6 3 3 3" xfId="40860" xr:uid="{4FFD5C9B-4271-4974-A96A-9A6A738EABB7}"/>
    <cellStyle name="Total 6 3 4" xfId="22181" xr:uid="{CE2E3588-296C-4956-9229-7B1C4A9BD54D}"/>
    <cellStyle name="Total 6 3 5" xfId="35230" xr:uid="{CC70B7C0-2B89-4AC5-8D4A-4CAD38F1CB34}"/>
    <cellStyle name="Total 6 4" xfId="5416" xr:uid="{1278BAD1-EF66-4C78-83F8-706300D860B3}"/>
    <cellStyle name="Total 6 4 2" xfId="8593" xr:uid="{AB547637-8984-4DE3-8057-F2601D518278}"/>
    <cellStyle name="Total 6 4 2 2" xfId="14042" xr:uid="{0808BE78-E556-445B-93A5-8950F5EC0490}"/>
    <cellStyle name="Total 6 4 2 2 2" xfId="30417" xr:uid="{8C5C6B2E-6F43-4F21-AF77-93683013684E}"/>
    <cellStyle name="Total 6 4 2 2 3" xfId="43798" xr:uid="{8CA19F66-6B87-4B9A-9875-3827C9F60A7F}"/>
    <cellStyle name="Total 6 4 2 3" xfId="26091" xr:uid="{2F59DEC2-FB50-4DD0-8AD8-919996A9EBAA}"/>
    <cellStyle name="Total 6 4 2 4" xfId="39167" xr:uid="{08D1C872-4340-4381-B41A-9798FB5E6348}"/>
    <cellStyle name="Total 6 4 3" xfId="16735" xr:uid="{75D21D59-DAEE-48DA-9C22-5E0FF7A9FB4A}"/>
    <cellStyle name="Total 6 4 3 2" xfId="32618" xr:uid="{F3BFDAE9-EF6C-4307-9A4C-FA63B946418C}"/>
    <cellStyle name="Total 6 4 3 3" xfId="46278" xr:uid="{49D5F67E-9DBC-40F5-8EFB-025B3EB3D710}"/>
    <cellStyle name="Total 6 4 4" xfId="23063" xr:uid="{2911DCF9-71C9-4A9C-88E7-B66DE0D7261A}"/>
    <cellStyle name="Total 6 4 5" xfId="36144" xr:uid="{20027106-3FD4-4869-AAC8-9C7168A53DBA}"/>
    <cellStyle name="Total 6 5" xfId="11831" xr:uid="{3A414A55-D26B-41CC-9DCB-EE897764C485}"/>
    <cellStyle name="Total 6 5 2" xfId="28551" xr:uid="{91FF55BD-B144-4D03-8C48-154895DB0865}"/>
    <cellStyle name="Total 6 5 3" xfId="41764" xr:uid="{810AE8C9-3B96-4676-8469-3917C829BA4E}"/>
    <cellStyle name="Total 6 6" xfId="21354" xr:uid="{D24AE360-F5C9-4B60-B28C-7EE066BFD63B}"/>
    <cellStyle name="Total 6 7" xfId="34377" xr:uid="{733FD6C1-2CF4-4A66-ABFE-D177800F2380}"/>
    <cellStyle name="Total 7" xfId="3429" xr:uid="{C90AD74C-C441-4183-93DE-250155CBC48B}"/>
    <cellStyle name="Total 7 2" xfId="2771" xr:uid="{3CC90787-EFD4-48A3-9B0E-7E26B0CE5DD0}"/>
    <cellStyle name="Total 7 2 2" xfId="8067" xr:uid="{40EFFAA8-179A-4C4F-89F3-4D90815F2552}"/>
    <cellStyle name="Total 7 2 2 2" xfId="12660" xr:uid="{B6A45D6E-4151-4017-B63B-B677A6126C46}"/>
    <cellStyle name="Total 7 2 2 2 2" xfId="29261" xr:uid="{7DF19C61-08A3-43A5-833F-F44CCDDA501F}"/>
    <cellStyle name="Total 7 2 2 2 3" xfId="42531" xr:uid="{EB149B2B-E866-4C26-A67D-C2BAC66DE25B}"/>
    <cellStyle name="Total 7 2 2 3" xfId="25578" xr:uid="{7A37266F-73E4-4463-A3A3-18457E89C50A}"/>
    <cellStyle name="Total 7 2 2 4" xfId="38654" xr:uid="{61F04FAC-E118-4D28-B010-DBA9F454C403}"/>
    <cellStyle name="Total 7 2 3" xfId="6434" xr:uid="{8C61CD87-E1FF-4A3C-8F13-D365F1714FDC}"/>
    <cellStyle name="Total 7 2 3 2" xfId="12079" xr:uid="{ADCF92D3-A519-4855-9B21-BD973BE79E44}"/>
    <cellStyle name="Total 7 2 3 2 2" xfId="28779" xr:uid="{7410A9A3-9DCC-4A29-8226-F38F4025A93E}"/>
    <cellStyle name="Total 7 2 3 2 3" xfId="41999" xr:uid="{AE29B844-9AD9-4541-8139-197753AC9651}"/>
    <cellStyle name="Total 7 2 3 3" xfId="24069" xr:uid="{C0D1A2E1-465B-422F-93AA-D803A67C8A2C}"/>
    <cellStyle name="Total 7 2 3 4" xfId="37150" xr:uid="{D5B9DE73-D80D-4BD4-AF77-E15642B2B078}"/>
    <cellStyle name="Total 7 2 4" xfId="16077" xr:uid="{2A15C19E-5035-4E8F-925C-536CCD9647AC}"/>
    <cellStyle name="Total 7 2 4 2" xfId="32137" xr:uid="{1706CC83-E9E6-4DAB-A059-AF22D1F50C76}"/>
    <cellStyle name="Total 7 2 4 3" xfId="45657" xr:uid="{A66F6D1A-D742-4C73-8B4F-5902206E2DDD}"/>
    <cellStyle name="Total 7 2 5" xfId="20821" xr:uid="{4BAAF92E-C662-43E8-AE55-FAC980AB1068}"/>
    <cellStyle name="Total 7 2 6" xfId="33844" xr:uid="{C3A566F9-22CE-4A56-8870-103D76BD09AF}"/>
    <cellStyle name="Total 7 3" xfId="4431" xr:uid="{71A1BA9C-739E-4EF0-9656-DA89948F1BF4}"/>
    <cellStyle name="Total 7 3 2" xfId="7071" xr:uid="{62CF883A-FDE0-419E-9A23-8E8A18FC100B}"/>
    <cellStyle name="Total 7 3 2 2" xfId="14038" xr:uid="{375B5C5A-974E-4DB6-8664-104C02A87495}"/>
    <cellStyle name="Total 7 3 2 2 2" xfId="30414" xr:uid="{DD04F564-AAD0-4D93-8E07-89AFCC755E3E}"/>
    <cellStyle name="Total 7 3 2 2 3" xfId="43795" xr:uid="{34DB96C4-E3D2-45E0-BF00-D275373D2078}"/>
    <cellStyle name="Total 7 3 2 3" xfId="24670" xr:uid="{C907B7A1-6306-4430-814C-59A128F11F8B}"/>
    <cellStyle name="Total 7 3 2 4" xfId="37751" xr:uid="{712CDABA-ECAB-475D-8D2C-87EF0FCD6A2D}"/>
    <cellStyle name="Total 7 3 3" xfId="14256" xr:uid="{C6575716-F07B-4B69-B38C-232284CDCEB5}"/>
    <cellStyle name="Total 7 3 3 2" xfId="30600" xr:uid="{05457743-099B-4F98-94BA-5DBAE08AA64B}"/>
    <cellStyle name="Total 7 3 3 3" xfId="43992" xr:uid="{7B4F6E92-70FF-4C99-8063-5C8A143CE09F}"/>
    <cellStyle name="Total 7 3 4" xfId="22249" xr:uid="{873AC0F2-0989-445B-89BF-AF2F23DF7F1B}"/>
    <cellStyle name="Total 7 3 5" xfId="35298" xr:uid="{D69F0CE4-9916-4238-924A-1A18420AF241}"/>
    <cellStyle name="Total 7 4" xfId="5484" xr:uid="{3E892683-F96B-4735-AF47-77C63EFB12C2}"/>
    <cellStyle name="Total 7 4 2" xfId="8666" xr:uid="{3303F6E7-A7E3-4AB8-9A3B-772231C9416A}"/>
    <cellStyle name="Total 7 4 2 2" xfId="10684" xr:uid="{336EC4F1-D333-4BF7-A55F-F8AF0FB14A40}"/>
    <cellStyle name="Total 7 4 2 2 2" xfId="27533" xr:uid="{0396C825-04FC-4D0A-BF1F-4A410AFAE342}"/>
    <cellStyle name="Total 7 4 2 2 3" xfId="40665" xr:uid="{BE7F1945-496E-4336-8C77-C85815FCFD4E}"/>
    <cellStyle name="Total 7 4 2 3" xfId="26159" xr:uid="{0E0C84E7-AA14-4AEF-A7F2-53A38B6E9A4F}"/>
    <cellStyle name="Total 7 4 2 4" xfId="39235" xr:uid="{E7DC9EED-6CE9-4821-888C-CBD541320534}"/>
    <cellStyle name="Total 7 4 3" xfId="11198" xr:uid="{4A4875E5-C7C0-46F8-AB65-8B8A7C590D3F}"/>
    <cellStyle name="Total 7 4 3 2" xfId="27992" xr:uid="{4570119B-C0DD-4963-A4F1-736CFCA63E0B}"/>
    <cellStyle name="Total 7 4 3 3" xfId="41174" xr:uid="{C5DF577D-31C9-4402-81F0-3919C66BFF8C}"/>
    <cellStyle name="Total 7 4 4" xfId="23131" xr:uid="{EDDB0487-5876-442A-83E5-877BDA31F10D}"/>
    <cellStyle name="Total 7 4 5" xfId="36212" xr:uid="{492DE66A-87A3-4C8F-AFA2-5879A3B01A05}"/>
    <cellStyle name="Total 7 5" xfId="12052" xr:uid="{A066B894-524C-4A8B-8D4C-25A7DCD64415}"/>
    <cellStyle name="Total 7 5 2" xfId="28752" xr:uid="{E4892B14-4477-49AE-BDCA-9AECF5DEEC68}"/>
    <cellStyle name="Total 7 5 3" xfId="41972" xr:uid="{59296E6F-D8FE-44D9-9ECD-94B8F83EDA40}"/>
    <cellStyle name="Total 7 6" xfId="21413" xr:uid="{8584DB14-1C18-488A-AACB-0285AF6ED652}"/>
    <cellStyle name="Total 7 7" xfId="34445" xr:uid="{BDB87348-60F9-46C9-AB04-6EF9FA9B9D1D}"/>
    <cellStyle name="Total 8" xfId="3522" xr:uid="{7CE9E462-9077-432C-9B5B-88AF977B0878}"/>
    <cellStyle name="Total 8 2" xfId="2863" xr:uid="{78CEE875-F830-49FF-95E8-47D45A7150CD}"/>
    <cellStyle name="Total 8 2 2" xfId="8159" xr:uid="{BA971AAE-56DB-4A81-8CED-9CA86EB10EE0}"/>
    <cellStyle name="Total 8 2 2 2" xfId="15513" xr:uid="{54C7B4F6-7AD5-4CD6-A461-4334E2CEF41F}"/>
    <cellStyle name="Total 8 2 2 2 2" xfId="31651" xr:uid="{923BDD60-2724-434E-87C8-1EF96260CDF4}"/>
    <cellStyle name="Total 8 2 2 2 3" xfId="45149" xr:uid="{3AF6B875-22A8-47C8-8687-7E87C0BD1F12}"/>
    <cellStyle name="Total 8 2 2 3" xfId="25670" xr:uid="{5360D0F3-C1BB-4973-A8EA-4F0A5B6EDEF6}"/>
    <cellStyle name="Total 8 2 2 4" xfId="38746" xr:uid="{6EB3EEC5-D0E0-4A6B-B2D9-7E90FE7A7D21}"/>
    <cellStyle name="Total 8 2 3" xfId="6526" xr:uid="{0BE240C0-D472-4AEB-87B4-2639D46411B9}"/>
    <cellStyle name="Total 8 2 3 2" xfId="14662" xr:uid="{2EE992EC-ACB1-4AB2-9366-71A7F6AA7F18}"/>
    <cellStyle name="Total 8 2 3 2 2" xfId="30956" xr:uid="{3B56B0DB-BC00-42B1-94B4-6F52E1EEE7EA}"/>
    <cellStyle name="Total 8 2 3 2 3" xfId="44377" xr:uid="{886D8902-C71A-410E-9042-223C3B1AF8D9}"/>
    <cellStyle name="Total 8 2 3 3" xfId="24161" xr:uid="{58B83511-2755-484B-9C2D-78524DCDCDBB}"/>
    <cellStyle name="Total 8 2 3 4" xfId="37242" xr:uid="{0317ACB0-2CD0-4CE0-8847-85033C1AB782}"/>
    <cellStyle name="Total 8 2 4" xfId="11358" xr:uid="{6E31D700-AE8E-425D-BA96-6410E557F18E}"/>
    <cellStyle name="Total 8 2 4 2" xfId="28137" xr:uid="{195563B1-8701-427A-9D38-C8A54914A62A}"/>
    <cellStyle name="Total 8 2 4 3" xfId="41325" xr:uid="{3E7B691F-E230-4123-8E6F-3159FEF198E8}"/>
    <cellStyle name="Total 8 2 5" xfId="20913" xr:uid="{37AD1FAD-5C17-492A-8B69-70FC3A050ED6}"/>
    <cellStyle name="Total 8 2 6" xfId="33936" xr:uid="{CFDB84BE-3B69-49C7-B7B0-6F3ECC5C5DC4}"/>
    <cellStyle name="Total 8 3" xfId="4523" xr:uid="{BF81B488-BDA3-4E55-BF7C-722034DD60B2}"/>
    <cellStyle name="Total 8 3 2" xfId="7164" xr:uid="{1D83B066-21DD-43DC-A5B1-892AD056BAE2}"/>
    <cellStyle name="Total 8 3 2 2" xfId="12766" xr:uid="{AA72C695-B359-4094-B641-A58D8DD41F4A}"/>
    <cellStyle name="Total 8 3 2 2 2" xfId="29341" xr:uid="{3C0F09D7-3C7B-4CA9-84BE-4973177FFCAF}"/>
    <cellStyle name="Total 8 3 2 2 3" xfId="42621" xr:uid="{BD6F2C6D-F93C-4486-BAB7-DDCA9270BE0C}"/>
    <cellStyle name="Total 8 3 2 3" xfId="24762" xr:uid="{8DD1738C-A3AE-40B4-8706-4253F3EB152C}"/>
    <cellStyle name="Total 8 3 2 4" xfId="37843" xr:uid="{9E215E8C-3A4D-40E5-B332-2654C37EB77D}"/>
    <cellStyle name="Total 8 3 3" xfId="17143" xr:uid="{B120C118-26BD-4D6C-A8DE-1E9577E79FDB}"/>
    <cellStyle name="Total 8 3 3 2" xfId="32906" xr:uid="{DFEE4482-962D-41D0-964D-FDA7631F45BE}"/>
    <cellStyle name="Total 8 3 3 3" xfId="46678" xr:uid="{E7F68715-77B5-4E54-9E17-EC4D57288110}"/>
    <cellStyle name="Total 8 3 4" xfId="22341" xr:uid="{5954EAC9-E3BF-43E9-A8A8-F782CA1A4B44}"/>
    <cellStyle name="Total 8 3 5" xfId="35390" xr:uid="{587CB380-0F85-4DCC-8259-40D76EB06AB1}"/>
    <cellStyle name="Total 8 4" xfId="5576" xr:uid="{2E4F011D-0701-4B76-95FE-0924A2CD03CE}"/>
    <cellStyle name="Total 8 4 2" xfId="8758" xr:uid="{D6FB87C2-B91F-4B4B-8BD8-446D141E76B4}"/>
    <cellStyle name="Total 8 4 2 2" xfId="13637" xr:uid="{5469ACB9-912C-4355-BEC2-67ABB5DF0D6C}"/>
    <cellStyle name="Total 8 4 2 2 2" xfId="30071" xr:uid="{2FE513A8-4F23-4B3E-9422-B83B15B5B187}"/>
    <cellStyle name="Total 8 4 2 2 3" xfId="43426" xr:uid="{D080ABB8-72D6-494B-86B4-C85246EBBA6A}"/>
    <cellStyle name="Total 8 4 2 3" xfId="26251" xr:uid="{1EE10F94-9F6B-4502-AAD4-074FD4F41836}"/>
    <cellStyle name="Total 8 4 2 4" xfId="39327" xr:uid="{6E4A1BE3-20A7-4EB9-A98B-F1C957EBB26A}"/>
    <cellStyle name="Total 8 4 3" xfId="14013" xr:uid="{6A26E583-BCDE-4534-9EE0-75C079C7B158}"/>
    <cellStyle name="Total 8 4 3 2" xfId="30394" xr:uid="{02C81F1E-229D-4B3F-A562-683C4941DA82}"/>
    <cellStyle name="Total 8 4 3 3" xfId="43773" xr:uid="{11B177A1-A590-4F73-B8C4-2492B9C2523F}"/>
    <cellStyle name="Total 8 4 4" xfId="23223" xr:uid="{5C7BDB21-48C0-4E83-B3ED-8764A72B1B6B}"/>
    <cellStyle name="Total 8 4 5" xfId="36304" xr:uid="{9E48720B-78FF-43B3-9D4D-1A114311C461}"/>
    <cellStyle name="Total 8 5" xfId="11843" xr:uid="{6BAABE04-FBA4-409A-9EF3-B808A6DB175D}"/>
    <cellStyle name="Total 8 5 2" xfId="28562" xr:uid="{DC150BFD-3595-4692-A04D-31F446C9767F}"/>
    <cellStyle name="Total 8 5 3" xfId="41776" xr:uid="{1803D6D4-044D-42FF-A018-FB4064E97CB0}"/>
    <cellStyle name="Total 8 6" xfId="21485" xr:uid="{79B36BF5-0660-4B1F-94C4-B5FA9385586B}"/>
    <cellStyle name="Total 8 7" xfId="34537" xr:uid="{9B6C192D-8F03-43F7-A333-669D84AC27AF}"/>
    <cellStyle name="Total 9" xfId="3598" xr:uid="{3A8A4792-B638-401E-BF5E-7C10E6873233}"/>
    <cellStyle name="Total 9 2" xfId="2932" xr:uid="{7835FC1F-A9CD-4789-B49A-F1910E39A894}"/>
    <cellStyle name="Total 9 2 2" xfId="8228" xr:uid="{5A5B2577-2F19-4DBC-95D0-F45F0C3DC069}"/>
    <cellStyle name="Total 9 2 2 2" xfId="17387" xr:uid="{800478B5-26CD-46F9-849E-AD26197B0E7B}"/>
    <cellStyle name="Total 9 2 2 2 2" xfId="33141" xr:uid="{3013AAD4-4133-41C9-8C84-74E25B63F916}"/>
    <cellStyle name="Total 9 2 2 2 3" xfId="46917" xr:uid="{2D11F778-4B02-434B-8B1D-94FC6E2EE2FC}"/>
    <cellStyle name="Total 9 2 2 3" xfId="25739" xr:uid="{301AB050-24DB-4E42-B0B3-2EAE33261F71}"/>
    <cellStyle name="Total 9 2 2 4" xfId="38815" xr:uid="{22CFCCCE-84AD-4FC4-B6EA-992C1F242F97}"/>
    <cellStyle name="Total 9 2 3" xfId="6595" xr:uid="{F61D09E8-CA67-4BF8-BB57-609D704054A4}"/>
    <cellStyle name="Total 9 2 3 2" xfId="16156" xr:uid="{4A3B19EB-1555-4DFB-A793-BCF0459F96DF}"/>
    <cellStyle name="Total 9 2 3 2 2" xfId="32207" xr:uid="{1F5B7569-0222-40A5-B2C8-5CC568BA9C2B}"/>
    <cellStyle name="Total 9 2 3 2 3" xfId="45729" xr:uid="{6F6F1C9D-F005-4234-A029-0CB90B207FD4}"/>
    <cellStyle name="Total 9 2 3 3" xfId="24230" xr:uid="{D5D7F8A4-E549-4361-A46B-0FC1E6168DF3}"/>
    <cellStyle name="Total 9 2 3 4" xfId="37311" xr:uid="{C9EC091F-759C-4ADD-AD66-A58EC6F77131}"/>
    <cellStyle name="Total 9 2 4" xfId="10582" xr:uid="{1734E01E-F6C8-47D7-B3C8-C0E1E5694EE3}"/>
    <cellStyle name="Total 9 2 4 2" xfId="27441" xr:uid="{0CE13E5B-B9F8-4264-B522-0A6CE4646334}"/>
    <cellStyle name="Total 9 2 4 3" xfId="40563" xr:uid="{0310F2D9-00B3-43F8-A90E-96F8D7E7A727}"/>
    <cellStyle name="Total 9 2 5" xfId="20982" xr:uid="{CD4FD6C3-83F2-4B47-863A-795334A74451}"/>
    <cellStyle name="Total 9 2 6" xfId="34005" xr:uid="{C4651D55-D011-46DB-A809-38639E2A68A7}"/>
    <cellStyle name="Total 9 3" xfId="4544" xr:uid="{DBEF2466-0185-42D2-95BF-AE67A67A78C3}"/>
    <cellStyle name="Total 9 3 2" xfId="7234" xr:uid="{A7DDD4CB-BB6B-43DB-BC19-641249637747}"/>
    <cellStyle name="Total 9 3 2 2" xfId="12186" xr:uid="{C14702BE-A044-45B0-A142-311F7F4F3099}"/>
    <cellStyle name="Total 9 3 2 2 2" xfId="28879" xr:uid="{8681A089-33B3-43FC-9BEF-295640397DEA}"/>
    <cellStyle name="Total 9 3 2 2 3" xfId="42106" xr:uid="{7A635F3D-965B-4C49-951D-D3395D9CC7F7}"/>
    <cellStyle name="Total 9 3 2 3" xfId="24828" xr:uid="{486D3F16-26BD-4688-BE8A-B4DD9820CAC8}"/>
    <cellStyle name="Total 9 3 2 4" xfId="37909" xr:uid="{36D6E380-9360-4084-8F72-0A3FFE88A188}"/>
    <cellStyle name="Total 9 3 3" xfId="14958" xr:uid="{B4B4FB20-9CA6-4258-8E17-B58F35873AC5}"/>
    <cellStyle name="Total 9 3 3 2" xfId="31197" xr:uid="{B0D144CD-10BE-4E4B-AB49-0EA62B2A23B0}"/>
    <cellStyle name="Total 9 3 3 3" xfId="44644" xr:uid="{0497E9F6-F84C-463D-BDA5-7815C0834028}"/>
    <cellStyle name="Total 9 3 4" xfId="22360" xr:uid="{07B1D0B2-07E0-4996-BB54-BD15E47D3BDD}"/>
    <cellStyle name="Total 9 3 5" xfId="35409" xr:uid="{A1E74109-F0D6-4DDE-9B56-9622B4A0AD6C}"/>
    <cellStyle name="Total 9 4" xfId="5642" xr:uid="{BFC0679E-42C6-4AB6-92A4-F09DAEE66EF0}"/>
    <cellStyle name="Total 9 4 2" xfId="8824" xr:uid="{3F1BE1D7-7232-46AB-89CA-89E8BBFE8972}"/>
    <cellStyle name="Total 9 4 2 2" xfId="16384" xr:uid="{F5AD8058-C3DD-4E30-B789-782FEC905A5D}"/>
    <cellStyle name="Total 9 4 2 2 2" xfId="32404" xr:uid="{85B428D8-1FFE-4A33-BA75-7041E725C3E1}"/>
    <cellStyle name="Total 9 4 2 2 3" xfId="45938" xr:uid="{C9B41AB6-DC3B-4A47-A1F8-C2D6C4F802D1}"/>
    <cellStyle name="Total 9 4 2 3" xfId="26317" xr:uid="{3A4E89FF-ACE8-40DA-9846-182E2703FB6B}"/>
    <cellStyle name="Total 9 4 2 4" xfId="39393" xr:uid="{619F6DCA-9984-4D61-B626-CA00B325F9F8}"/>
    <cellStyle name="Total 9 4 3" xfId="17539" xr:uid="{479B8A05-045C-426B-95FD-CD902A90724E}"/>
    <cellStyle name="Total 9 4 3 2" xfId="33277" xr:uid="{F61241FA-8058-461D-B1B8-F556AB99F4F2}"/>
    <cellStyle name="Total 9 4 3 3" xfId="47064" xr:uid="{153D8AFF-486A-4241-8518-9A6538B514F6}"/>
    <cellStyle name="Total 9 4 4" xfId="23289" xr:uid="{EBA15043-2391-4658-9D7D-F1E65CBBAAB2}"/>
    <cellStyle name="Total 9 4 5" xfId="36370" xr:uid="{EB202127-E055-4ADA-98F0-BA121F30758E}"/>
    <cellStyle name="Total 9 5" xfId="12563" xr:uid="{04512EBF-89E1-4B11-883B-F05EB791008B}"/>
    <cellStyle name="Total 9 5 2" xfId="29182" xr:uid="{D33FA47F-FC01-4AF9-85B6-A19B39310106}"/>
    <cellStyle name="Total 9 5 3" xfId="42443" xr:uid="{6454E8F0-5182-44A1-896D-4F95CDB1D4B7}"/>
    <cellStyle name="Total 9 6" xfId="21551" xr:uid="{1B27DC14-8034-456A-A322-5C4F9631FE9A}"/>
    <cellStyle name="Total 9 7" xfId="34605" xr:uid="{78D7CF27-77D4-41E3-9BE5-43ADD6062518}"/>
    <cellStyle name="Valiotsikko" xfId="2254" xr:uid="{5A3FF76C-EEF4-4B4B-94C6-C8732C7A3152}"/>
    <cellStyle name="Valiotsikko 1" xfId="2255" xr:uid="{E815F7CB-BA6F-4154-8C36-D9CD5CE6123E}"/>
    <cellStyle name="Valiotsikko 1 2" xfId="10367" xr:uid="{ABE11ED7-281C-43EA-85EE-51576DEB299F}"/>
    <cellStyle name="Valiotsikko 2" xfId="2256" xr:uid="{79B4659E-507D-4C22-8097-AB72B67DF7BB}"/>
    <cellStyle name="Valiotsikko 2 2" xfId="10368" xr:uid="{04ACE3DB-9C98-4DD9-B679-43686259B679}"/>
    <cellStyle name="Valiotsikko 3" xfId="2257" xr:uid="{5D4F12D5-D64C-410B-A918-8C495C5FB410}"/>
    <cellStyle name="Valiotsikko 3 2" xfId="10369" xr:uid="{FC3D2034-7E18-48EF-BE25-04A3FD4EBB9D}"/>
    <cellStyle name="Valiotsikko 4" xfId="10366" xr:uid="{50356E82-7CFA-4C8F-8ACD-2BC4540B582F}"/>
    <cellStyle name="Valiotsikko_АГМ" xfId="2258" xr:uid="{5C12B210-A6D1-43EF-8C4C-7CB4E69702CC}"/>
    <cellStyle name="Warning Text" xfId="2259" xr:uid="{6E012182-BCD4-4AF3-9445-6A7AAA557EF9}"/>
    <cellStyle name="Акцент1 1" xfId="2260" xr:uid="{A3859212-3F8A-4DD8-901B-4E41A2DEBF4A}"/>
    <cellStyle name="Акцент1 2" xfId="2261" xr:uid="{17F1D03E-7155-405B-83FA-12DDAFBA0E1C}"/>
    <cellStyle name="Акцент1 2 2" xfId="10370" xr:uid="{988E143E-5566-4C4B-8433-1F711CE0CE63}"/>
    <cellStyle name="Акцент1 3" xfId="2262" xr:uid="{75CA3242-8CF4-4D39-874A-7EDF92F7F1EA}"/>
    <cellStyle name="Акцент1 4" xfId="2263" xr:uid="{C12D6DE0-9571-43B1-BF38-FE308B955AAE}"/>
    <cellStyle name="Акцент2 1" xfId="2264" xr:uid="{AF7BB7A4-87F6-4EA2-9317-28B85EA55352}"/>
    <cellStyle name="Акцент2 2" xfId="2265" xr:uid="{AEFCA7C7-1252-4315-964D-A8D36B5932EC}"/>
    <cellStyle name="Акцент2 2 2" xfId="10371" xr:uid="{377A1738-3934-4875-97AD-A2E515DE08E1}"/>
    <cellStyle name="Акцент2 3" xfId="2266" xr:uid="{7844E388-D38F-4B3B-99ED-5B2594436F0B}"/>
    <cellStyle name="Акцент2 4" xfId="2267" xr:uid="{3B69135F-EB73-4E34-9C90-B2C6419FAADB}"/>
    <cellStyle name="Акцент3 1" xfId="2268" xr:uid="{6640EC81-9CE1-4F24-8BC4-F44932FD4433}"/>
    <cellStyle name="Акцент3 2" xfId="2269" xr:uid="{5DB29799-55CE-4DFF-996A-55C07C8219E5}"/>
    <cellStyle name="Акцент3 2 2" xfId="10372" xr:uid="{16E0A1DB-8603-4691-B213-8898880D29AA}"/>
    <cellStyle name="Акцент3 3" xfId="2270" xr:uid="{381ACA26-7F3F-4A0C-9B88-264FF87060C3}"/>
    <cellStyle name="Акцент3 4" xfId="2271" xr:uid="{7C873BD5-DCA5-4F4E-A662-E9E2707016CA}"/>
    <cellStyle name="Акцент4 1" xfId="2272" xr:uid="{3969DE79-0DE0-4DC1-869A-7A6FEE41A489}"/>
    <cellStyle name="Акцент4 2" xfId="2273" xr:uid="{C72328D5-7BF6-4169-98E8-71097A407F30}"/>
    <cellStyle name="Акцент4 2 2" xfId="10373" xr:uid="{B0D5DCE4-2A60-428E-A0D8-24384E8C4D84}"/>
    <cellStyle name="Акцент4 3" xfId="2274" xr:uid="{477A6EFE-96B8-4B96-95DC-30B4BB2FB08D}"/>
    <cellStyle name="Акцент4 4" xfId="2275" xr:uid="{7DFDC3C7-C5F6-4B32-8F83-E3E58F8FABB2}"/>
    <cellStyle name="Акцент5 1" xfId="2276" xr:uid="{DA46F37C-6884-4B35-9AD0-1DAC83CB2959}"/>
    <cellStyle name="Акцент5 2" xfId="2277" xr:uid="{0E691D59-7D54-4F31-9D4D-D76F0DDA5261}"/>
    <cellStyle name="Акцент5 2 2" xfId="10374" xr:uid="{5241DB10-3B92-4285-A0D0-94CAF2481CDD}"/>
    <cellStyle name="Акцент5 3" xfId="2278" xr:uid="{138CA03F-1B8D-4868-B384-E774B6283A45}"/>
    <cellStyle name="Акцент5 4" xfId="2279" xr:uid="{3D60CC0C-68A3-45AC-9599-26D2169F19CB}"/>
    <cellStyle name="Акцент6 1" xfId="2280" xr:uid="{71BDE084-B0C6-49B3-A465-3A2C61A2AD51}"/>
    <cellStyle name="Акцент6 2" xfId="2281" xr:uid="{6DBE334C-7D1C-43CE-85A4-A3E25DE0FE26}"/>
    <cellStyle name="Акцент6 2 2" xfId="10375" xr:uid="{BCE81BEB-BD5C-452D-89FE-03897A286037}"/>
    <cellStyle name="Акцент6 3" xfId="2282" xr:uid="{ACEBC229-F287-4524-A5DD-5AA0AB6D5FDE}"/>
    <cellStyle name="Акцент6 4" xfId="2283" xr:uid="{5D6DDD9B-CFA1-4674-AD23-A54EA2693D13}"/>
    <cellStyle name="Беззащитный" xfId="2284" xr:uid="{7A2CCB4F-2DF0-4F56-BDD3-8CC9538A91A6}"/>
    <cellStyle name="Беззащитный 2" xfId="3593" xr:uid="{E8817327-06D0-4A19-96A0-F76A1B3683BF}"/>
    <cellStyle name="Беззащитный 2 2" xfId="5040" xr:uid="{E39E709E-8110-4D3F-8651-E6D5C8C5C0BF}"/>
    <cellStyle name="Беззащитный 2 2 2" xfId="9646" xr:uid="{7DC940E3-9B8A-4BCD-8FA4-FFB023A6917F}"/>
    <cellStyle name="Беззащитный 2 2 2 2" xfId="40066" xr:uid="{FA146D49-BAE5-4AD3-AE65-26D1F4385BF3}"/>
    <cellStyle name="Беззащитный 2 2 3" xfId="35855" xr:uid="{6AE61023-4C3C-452E-BBAB-546F511C15C1}"/>
    <cellStyle name="Беззащитный 2 3" xfId="5006" xr:uid="{277CD458-9BFB-4042-8671-FECC4E0EDBE4}"/>
    <cellStyle name="Беззащитный 2 3 2" xfId="9641" xr:uid="{455C7E9A-6B73-46A5-86B0-67D7F5DF8A94}"/>
    <cellStyle name="Беззащитный 2 3 2 2" xfId="40063" xr:uid="{3E551045-4DF9-4116-9271-B1F89F8D41CE}"/>
    <cellStyle name="Беззащитный 2 3 3" xfId="35830" xr:uid="{87B5B0CB-4BD8-4C53-A8B3-B6E1D4EC6391}"/>
    <cellStyle name="Беззащитный 2 4" xfId="5216" xr:uid="{D81664B2-A7B7-46B9-A58B-CDDD72443A9A}"/>
    <cellStyle name="Беззащитный 2 4 2" xfId="9678" xr:uid="{EFCD24CC-C316-41B1-83FA-1B4E9E757351}"/>
    <cellStyle name="Беззащитный 2 4 2 2" xfId="40095" xr:uid="{AEDD0706-C12E-4BF6-8FDB-01FB3A3ECE8D}"/>
    <cellStyle name="Беззащитный 2 4 3" xfId="35959" xr:uid="{443E1C3B-1B94-41E7-9EEA-9457248B9760}"/>
    <cellStyle name="Беззащитный 2 5" xfId="5310" xr:uid="{35129840-3B4B-4A62-89EE-AE3E2435A0D7}"/>
    <cellStyle name="Беззащитный 2 5 2" xfId="9742" xr:uid="{16EB99C8-E8B3-4D76-A241-A91271366B83}"/>
    <cellStyle name="Беззащитный 2 5 2 2" xfId="40158" xr:uid="{8BFD8484-FB50-4C70-A37B-1512297248F0}"/>
    <cellStyle name="Беззащитный 2 5 3" xfId="36039" xr:uid="{BD99CB57-D923-4BA4-AF8B-923DD6462828}"/>
    <cellStyle name="Беззащитный 2 6" xfId="9460" xr:uid="{9D70CFCF-1B5A-408E-BFAD-047AAEEC15BC}"/>
    <cellStyle name="Беззащитный 2 6 2" xfId="39924" xr:uid="{95A95E76-9ECD-4C2B-85F2-64A446AC17CF}"/>
    <cellStyle name="Беззащитный 2 7" xfId="34600" xr:uid="{CBF5817D-3FCB-47AA-94CF-681662530232}"/>
    <cellStyle name="Беззащитный 3" xfId="5081" xr:uid="{7D06B6A0-3D59-4EEB-B0F3-2B953C6E9750}"/>
    <cellStyle name="Беззащитный 3 2" xfId="5073" xr:uid="{BEBCC97E-98FF-43A4-B2FA-46AD393E9AA6}"/>
    <cellStyle name="Беззащитный 3 2 2" xfId="9655" xr:uid="{5CD13C29-3277-45BE-9104-0F5F81E338F3}"/>
    <cellStyle name="Беззащитный 3 2 2 2" xfId="40075" xr:uid="{F5CA43F8-7B47-41A2-BFF2-D5CD13FA4C79}"/>
    <cellStyle name="Беззащитный 3 2 3" xfId="35883" xr:uid="{9DDF5EF6-33B0-496F-B2EB-E0DB0CA8348E}"/>
    <cellStyle name="Беззащитный 3 3" xfId="5232" xr:uid="{E912A6FD-6C54-4410-B64C-3B5049833A85}"/>
    <cellStyle name="Беззащитный 3 3 2" xfId="9681" xr:uid="{EC294283-853D-4123-B1A2-3EAF4A07B7B8}"/>
    <cellStyle name="Беззащитный 3 3 2 2" xfId="40098" xr:uid="{8C747B8F-2108-4EBE-B6E1-FC3F7C66C51C}"/>
    <cellStyle name="Беззащитный 3 3 3" xfId="35972" xr:uid="{618E72CF-AC13-45B9-B481-6EB9F62F56A0}"/>
    <cellStyle name="Беззащитный 3 4" xfId="5222" xr:uid="{0DAF4D79-9362-4A62-9ABF-0856E46FEFCE}"/>
    <cellStyle name="Беззащитный 3 4 2" xfId="9679" xr:uid="{CEA377DF-9330-44F4-A031-17118D502053}"/>
    <cellStyle name="Беззащитный 3 4 2 2" xfId="40096" xr:uid="{1388DA88-F0ED-4849-A1D8-5D391322CA05}"/>
    <cellStyle name="Беззащитный 3 4 3" xfId="35965" xr:uid="{DDAE248A-E192-43F7-8125-F78C6A0F2A3D}"/>
    <cellStyle name="Беззащитный 3 5" xfId="9658" xr:uid="{B0636B40-2DEB-4BC2-9F69-1D1CC5684C7A}"/>
    <cellStyle name="Беззащитный 3 5 2" xfId="40078" xr:uid="{AAB2F8D4-F9A4-4231-AEAC-02AACC8BCEED}"/>
    <cellStyle name="Беззащитный 3 6" xfId="35886" xr:uid="{F3236CDB-E653-43B0-AC58-54A4867E455B}"/>
    <cellStyle name="Беззащитный 4" xfId="5266" xr:uid="{5B93EF89-9D48-4BFA-AD36-AA8C533F49A3}"/>
    <cellStyle name="Беззащитный 4 2" xfId="9699" xr:uid="{2A104BDC-0383-486F-9DF2-F16AFE36A2FF}"/>
    <cellStyle name="Беззащитный 4 2 2" xfId="40115" xr:uid="{89014C46-CFA3-46E0-A497-B2B8D9817670}"/>
    <cellStyle name="Беззащитный 4 3" xfId="35996" xr:uid="{E4CE3D3E-A078-4C93-AB27-86A9E1AB226B}"/>
    <cellStyle name="Беззащитный 5" xfId="9383" xr:uid="{D7DEB33A-7120-47EF-8E1D-8A2B46CEC1DD}"/>
    <cellStyle name="Беззащитный 5 2" xfId="39877" xr:uid="{EC71D509-EF97-4C50-8DDF-91042FD3695F}"/>
    <cellStyle name="Беззащитный 6" xfId="33556" xr:uid="{BF40E8FD-46A9-4C99-9B98-8E6AF03C8908}"/>
    <cellStyle name="вагоны" xfId="2285" xr:uid="{087F5076-04C4-4554-987C-6BFF60D6D634}"/>
    <cellStyle name="вагоны 1" xfId="2286" xr:uid="{28C3B1CF-7298-4DEB-8D92-E46FD3981025}"/>
    <cellStyle name="вагоны 1 2" xfId="5079" xr:uid="{748AC6B2-B5F4-44A2-BC8A-9CC48B27893F}"/>
    <cellStyle name="вагоны 1 3" xfId="10377" xr:uid="{965650C0-FB68-440D-8ED4-5DB50BB72F2E}"/>
    <cellStyle name="вагоны 2" xfId="2287" xr:uid="{CD809473-8D31-403C-A9EE-0CEF2413F3A8}"/>
    <cellStyle name="вагоны 2 2" xfId="5078" xr:uid="{49B961ED-EE52-41A0-A1B7-0E4D1704015E}"/>
    <cellStyle name="вагоны 2 3" xfId="10378" xr:uid="{066D9EF0-1403-49A2-AEBB-62291C819951}"/>
    <cellStyle name="вагоны 3" xfId="2288" xr:uid="{6A8E1A99-B35A-4E92-AFEF-84B626B7EAE1}"/>
    <cellStyle name="вагоны 3 2" xfId="5077" xr:uid="{415AD7FB-5E45-4466-AC8F-60F63AEE54A3}"/>
    <cellStyle name="вагоны 3 3" xfId="10379" xr:uid="{A0C8E049-8F07-4CB7-B23C-DB3B687413C6}"/>
    <cellStyle name="вагоны 4" xfId="5080" xr:uid="{C75AA4DC-8BEC-44DF-B19E-600B5DF1E17A}"/>
    <cellStyle name="вагоны 5" xfId="10376" xr:uid="{0CC7BD2E-01AF-4E81-90AF-4AE1C92C3C77}"/>
    <cellStyle name="вагоны_АГМ" xfId="2289" xr:uid="{FCA21341-53CD-4360-97D8-1253117C2A83}"/>
    <cellStyle name="Ввод  1" xfId="2290" xr:uid="{A2B66F6C-0BBF-4231-8B94-5AAF5F3FF05B}"/>
    <cellStyle name="Ввод  1 10" xfId="3715" xr:uid="{2DB0C3F1-7AD4-49DE-B0AA-7E4F5644CAEE}"/>
    <cellStyle name="Ввод  1 10 2" xfId="3031" xr:uid="{CD859E6B-9031-45D4-B58D-C7825730E42F}"/>
    <cellStyle name="Ввод  1 10 2 2" xfId="8327" xr:uid="{28AEF367-836E-4463-B8B3-70C585C0065E}"/>
    <cellStyle name="Ввод  1 10 2 2 2" xfId="16198" xr:uid="{A70BEC79-A373-450C-8678-89A61E92A542}"/>
    <cellStyle name="Ввод  1 10 2 2 2 2" xfId="32242" xr:uid="{BCE2CA2B-FABD-43E1-838B-83CD6356F91E}"/>
    <cellStyle name="Ввод  1 10 2 2 2 3" xfId="45766" xr:uid="{A3FF694E-A630-477C-AD3B-32C2B149AE3E}"/>
    <cellStyle name="Ввод  1 10 2 2 3" xfId="25831" xr:uid="{C4925E58-8282-412F-B1F1-938DCDEA04E2}"/>
    <cellStyle name="Ввод  1 10 2 2 4" xfId="38907" xr:uid="{1062A63D-B4E6-4A64-8779-18366ABB1683}"/>
    <cellStyle name="Ввод  1 10 2 3" xfId="6694" xr:uid="{0D32BF1B-33C6-42DB-95A7-D795CE5D02A1}"/>
    <cellStyle name="Ввод  1 10 2 3 2" xfId="11069" xr:uid="{A1D2643B-F28E-4907-96E6-A4F51CCA7970}"/>
    <cellStyle name="Ввод  1 10 2 3 2 2" xfId="27872" xr:uid="{97FF621C-08BD-4F8B-B26F-2EFBA35FD350}"/>
    <cellStyle name="Ввод  1 10 2 3 2 3" xfId="41048" xr:uid="{E2B56945-2738-469A-9031-A6DCA93F094F}"/>
    <cellStyle name="Ввод  1 10 2 3 3" xfId="24322" xr:uid="{A8AE46D9-3AF5-48C2-97BA-B1E0C0E2B84B}"/>
    <cellStyle name="Ввод  1 10 2 3 4" xfId="37403" xr:uid="{846B0A92-8266-4F59-9B4F-7A69C2FB923C}"/>
    <cellStyle name="Ввод  1 10 2 4" xfId="13956" xr:uid="{5349C31E-4C53-453F-B66A-0211FEEF31E6}"/>
    <cellStyle name="Ввод  1 10 2 4 2" xfId="30343" xr:uid="{5DD63905-FA64-47B1-AEF0-57F78B6A4E99}"/>
    <cellStyle name="Ввод  1 10 2 4 3" xfId="43720" xr:uid="{D83F2B31-0ED8-400D-A368-294E9EAE86D3}"/>
    <cellStyle name="Ввод  1 10 2 5" xfId="21074" xr:uid="{FE96A535-73DF-4D70-B9FC-CA8848B9B628}"/>
    <cellStyle name="Ввод  1 10 2 6" xfId="34097" xr:uid="{56A03AB8-FEF0-4D3F-8595-5331D33710ED}"/>
    <cellStyle name="Ввод  1 10 3" xfId="4620" xr:uid="{0F25DC8E-3DD9-44B1-A526-08010A3219F3}"/>
    <cellStyle name="Ввод  1 10 3 2" xfId="7350" xr:uid="{683D84F6-C1D4-4D19-A4A4-BB23E309EB5F}"/>
    <cellStyle name="Ввод  1 10 3 2 2" xfId="16360" xr:uid="{0075CC71-4A42-4075-AE0B-0A6712736FDF}"/>
    <cellStyle name="Ввод  1 10 3 2 2 2" xfId="32381" xr:uid="{33D6A93B-5A8D-4C2C-BE95-9FAF10B3ED06}"/>
    <cellStyle name="Ввод  1 10 3 2 2 3" xfId="45914" xr:uid="{04B28D7A-E297-4F06-9720-E5183D033E1A}"/>
    <cellStyle name="Ввод  1 10 3 2 3" xfId="24909" xr:uid="{18E20814-6326-41C5-B93F-3FBA36658EBC}"/>
    <cellStyle name="Ввод  1 10 3 2 4" xfId="37989" xr:uid="{1EDC915E-D808-4860-AEC5-990B60486356}"/>
    <cellStyle name="Ввод  1 10 3 3" xfId="12882" xr:uid="{133C2278-5CCC-4088-B2CF-FFEB6E6E9109}"/>
    <cellStyle name="Ввод  1 10 3 3 2" xfId="29440" xr:uid="{10467BD5-0A12-442A-B673-AE3F69C4CBE0}"/>
    <cellStyle name="Ввод  1 10 3 3 3" xfId="42729" xr:uid="{0676355F-545D-4999-8B4B-303AA8E43A7C}"/>
    <cellStyle name="Ввод  1 10 3 4" xfId="22430" xr:uid="{40DB5751-0EBF-4AB0-965A-244327FC15EF}"/>
    <cellStyle name="Ввод  1 10 3 5" xfId="35483" xr:uid="{AFE223DA-5ABD-4A8B-8999-549611429D1D}"/>
    <cellStyle name="Ввод  1 10 4" xfId="5722" xr:uid="{2F00B6FF-A29A-41A1-B095-4A9BA42E5DE6}"/>
    <cellStyle name="Ввод  1 10 4 2" xfId="8911" xr:uid="{32551D9E-BBBD-49E1-881A-70297C10D040}"/>
    <cellStyle name="Ввод  1 10 4 2 2" xfId="14610" xr:uid="{4BF437EA-6950-4609-870A-CDA755863926}"/>
    <cellStyle name="Ввод  1 10 4 2 2 2" xfId="30910" xr:uid="{C07E2598-3CAF-44B8-AFE6-2CF807985299}"/>
    <cellStyle name="Ввод  1 10 4 2 2 3" xfId="44329" xr:uid="{33DDAC63-B232-4DF4-AE32-564B1C5ADF66}"/>
    <cellStyle name="Ввод  1 10 4 2 3" xfId="26397" xr:uid="{3F6D4080-8FB3-4925-A72B-BCC303175A51}"/>
    <cellStyle name="Ввод  1 10 4 2 4" xfId="39473" xr:uid="{C7D43C26-D335-4708-BBF7-6B280F1AC1C3}"/>
    <cellStyle name="Ввод  1 10 4 3" xfId="15250" xr:uid="{B635AF2C-44F3-4427-9BEA-97A92D343AF2}"/>
    <cellStyle name="Ввод  1 10 4 3 2" xfId="31425" xr:uid="{005BC946-9A7E-48AE-BD2F-AA00E368A6D2}"/>
    <cellStyle name="Ввод  1 10 4 3 3" xfId="44901" xr:uid="{4F976406-10C9-491A-AFEE-5E1E0B8BD2BF}"/>
    <cellStyle name="Ввод  1 10 4 4" xfId="23369" xr:uid="{89811A40-54EB-43DC-A2E6-B211C3C09776}"/>
    <cellStyle name="Ввод  1 10 4 5" xfId="36450" xr:uid="{6F544E0A-4B84-41D8-8BCB-3B134A92102D}"/>
    <cellStyle name="Ввод  1 10 5" xfId="16017" xr:uid="{B5CFAD4F-AE36-4304-A5CE-E291D77421BB}"/>
    <cellStyle name="Ввод  1 10 5 2" xfId="32084" xr:uid="{9AB55BEA-ED5D-4DFC-827C-426BDC542BAB}"/>
    <cellStyle name="Ввод  1 10 5 3" xfId="45603" xr:uid="{52B1AABD-BC94-48CB-8BC9-71ECC7C59E6A}"/>
    <cellStyle name="Ввод  1 10 6" xfId="21631" xr:uid="{603A04F8-6643-4F0D-B07A-21E7B053B173}"/>
    <cellStyle name="Ввод  1 10 7" xfId="34685" xr:uid="{2F841F7B-0563-42C1-B666-858B4B3B18F0}"/>
    <cellStyle name="Ввод  1 11" xfId="3580" xr:uid="{FCF99311-BB14-4DDB-AB5A-E28B940C4874}"/>
    <cellStyle name="Ввод  1 11 2" xfId="2915" xr:uid="{02848436-1ADF-42B3-9998-9BB2B6003707}"/>
    <cellStyle name="Ввод  1 11 2 2" xfId="8211" xr:uid="{FFE447A4-4457-40DA-ABA7-0033AD7A91E9}"/>
    <cellStyle name="Ввод  1 11 2 2 2" xfId="12170" xr:uid="{A2AAA9C0-6D73-48D0-B748-A84A12269EAE}"/>
    <cellStyle name="Ввод  1 11 2 2 2 2" xfId="28865" xr:uid="{BFB00E65-FF40-420E-8467-FC8DEC16061C}"/>
    <cellStyle name="Ввод  1 11 2 2 2 3" xfId="42090" xr:uid="{CBDDFE11-63D0-49B3-A19E-72F470AA75E9}"/>
    <cellStyle name="Ввод  1 11 2 2 3" xfId="25722" xr:uid="{E469B887-300E-4866-B8A7-1D76F3359F84}"/>
    <cellStyle name="Ввод  1 11 2 2 4" xfId="38798" xr:uid="{1AAD36E4-768C-4687-BB72-CEA767B82ED1}"/>
    <cellStyle name="Ввод  1 11 2 3" xfId="6578" xr:uid="{3A1434B4-0164-4199-92EB-0FB7B36ABA10}"/>
    <cellStyle name="Ввод  1 11 2 3 2" xfId="12934" xr:uid="{A3AAD044-7BF5-4DA1-9D24-11201F1A976B}"/>
    <cellStyle name="Ввод  1 11 2 3 2 2" xfId="29477" xr:uid="{5D7CD8B2-59D9-436A-AD7C-55E4791F1270}"/>
    <cellStyle name="Ввод  1 11 2 3 2 3" xfId="42773" xr:uid="{CBDA2AE3-90E0-433E-BB25-AAC129AEEA45}"/>
    <cellStyle name="Ввод  1 11 2 3 3" xfId="24213" xr:uid="{085AD847-0B98-40F6-9250-0A35DC5A5214}"/>
    <cellStyle name="Ввод  1 11 2 3 4" xfId="37294" xr:uid="{E7931802-9F8D-4315-9612-FC3C1C5E9030}"/>
    <cellStyle name="Ввод  1 11 2 4" xfId="12110" xr:uid="{0A9952BA-8C73-4C27-A072-82E78ED1228B}"/>
    <cellStyle name="Ввод  1 11 2 4 2" xfId="28810" xr:uid="{A1904A2F-AAD4-48E0-A6A7-C87AECEA42D1}"/>
    <cellStyle name="Ввод  1 11 2 4 3" xfId="42030" xr:uid="{641C417C-53EE-42AF-86E8-F2B9F1B93B65}"/>
    <cellStyle name="Ввод  1 11 2 5" xfId="20965" xr:uid="{568FEAAA-6B06-448A-B3A1-4E331F3064C7}"/>
    <cellStyle name="Ввод  1 11 2 6" xfId="33988" xr:uid="{6AB33B09-6C7C-46FA-BF8B-1CC134009A5F}"/>
    <cellStyle name="Ввод  1 11 3" xfId="4671" xr:uid="{3B345085-B3D9-493F-A0DE-C82618F236CD}"/>
    <cellStyle name="Ввод  1 11 3 2" xfId="7217" xr:uid="{FC0910BD-A0E7-4FA9-9039-8ECF24922998}"/>
    <cellStyle name="Ввод  1 11 3 2 2" xfId="11532" xr:uid="{471B8A29-29AB-4B1B-BB43-1FCCAD20E5D0}"/>
    <cellStyle name="Ввод  1 11 3 2 2 2" xfId="28290" xr:uid="{B30C7201-4A7E-4B4C-A29B-ECDA90780564}"/>
    <cellStyle name="Ввод  1 11 3 2 2 3" xfId="41487" xr:uid="{431B8745-A845-446B-923E-514089ADF00C}"/>
    <cellStyle name="Ввод  1 11 3 2 3" xfId="24811" xr:uid="{4599CC42-5083-46AE-B4D7-64F2BA0FC811}"/>
    <cellStyle name="Ввод  1 11 3 2 4" xfId="37892" xr:uid="{E998845C-23C7-44BB-A5BA-A3ECD542E72F}"/>
    <cellStyle name="Ввод  1 11 3 3" xfId="16716" xr:uid="{AA4305E0-E9FF-4B10-860B-317EB6481B7E}"/>
    <cellStyle name="Ввод  1 11 3 3 2" xfId="32600" xr:uid="{13039BEC-7906-406B-B34A-F859E528D580}"/>
    <cellStyle name="Ввод  1 11 3 3 3" xfId="46260" xr:uid="{8A394361-5706-4322-A766-EB3096A6554D}"/>
    <cellStyle name="Ввод  1 11 3 4" xfId="22481" xr:uid="{E5199F44-130E-4947-B416-D08343F4C179}"/>
    <cellStyle name="Ввод  1 11 3 5" xfId="35534" xr:uid="{7BE3A51A-071B-47EB-928B-431AE99B5330}"/>
    <cellStyle name="Ввод  1 11 4" xfId="5625" xr:uid="{17243451-104D-4406-808D-4AA45A04C508}"/>
    <cellStyle name="Ввод  1 11 4 2" xfId="8807" xr:uid="{6F1BE699-D9C6-45CC-ACEE-3ECF930D641C}"/>
    <cellStyle name="Ввод  1 11 4 2 2" xfId="13787" xr:uid="{E9DD921E-14FD-498D-8A07-6FCB274F2C09}"/>
    <cellStyle name="Ввод  1 11 4 2 2 2" xfId="30193" xr:uid="{9C07AA6B-70FD-4BAC-A8C8-7AA92489E374}"/>
    <cellStyle name="Ввод  1 11 4 2 2 3" xfId="43559" xr:uid="{7FD0B6A2-4FC8-4847-90C5-65B1A911FC8E}"/>
    <cellStyle name="Ввод  1 11 4 2 3" xfId="26300" xr:uid="{FD94D7F0-6C86-4298-A449-06BE63D930E0}"/>
    <cellStyle name="Ввод  1 11 4 2 4" xfId="39376" xr:uid="{1081C7A0-5D48-4B34-9C9D-558DA2900AD0}"/>
    <cellStyle name="Ввод  1 11 4 3" xfId="13886" xr:uid="{F07D8226-C66C-4C52-BE2A-0A7B1EFE8BEA}"/>
    <cellStyle name="Ввод  1 11 4 3 2" xfId="30281" xr:uid="{D436768E-2CE1-40D0-A03D-D8FF0A54463D}"/>
    <cellStyle name="Ввод  1 11 4 3 3" xfId="43653" xr:uid="{B4D0AAB8-416D-42E8-ABB5-49CE7871989B}"/>
    <cellStyle name="Ввод  1 11 4 4" xfId="23272" xr:uid="{FBDD9A2B-C1EA-4D98-86B9-F1DA1F32DE6E}"/>
    <cellStyle name="Ввод  1 11 4 5" xfId="36353" xr:uid="{B78EB704-C5FA-4EE2-9884-7BD535CA479F}"/>
    <cellStyle name="Ввод  1 11 5" xfId="12527" xr:uid="{086CAA5B-76DA-4C45-AE98-BEF521062544}"/>
    <cellStyle name="Ввод  1 11 5 2" xfId="29153" xr:uid="{45388DEF-8E95-40DF-9BAB-D71115385482}"/>
    <cellStyle name="Ввод  1 11 5 3" xfId="42412" xr:uid="{84BDE7BA-E179-458C-AAA0-0F81EB5B7A96}"/>
    <cellStyle name="Ввод  1 11 6" xfId="21534" xr:uid="{82A6DB4E-7CCA-40C9-A4D9-16384DE19E39}"/>
    <cellStyle name="Ввод  1 11 7" xfId="34587" xr:uid="{EB39CE80-9BA0-434F-A1D1-7669F12B0A2D}"/>
    <cellStyle name="Ввод  1 12" xfId="3698" xr:uid="{2397E38E-E284-4CBE-A15F-2391659EAA18}"/>
    <cellStyle name="Ввод  1 12 2" xfId="3014" xr:uid="{BA9D42F6-1767-4573-A456-C1896B331AD5}"/>
    <cellStyle name="Ввод  1 12 2 2" xfId="8310" xr:uid="{2B0CA87D-11FC-4213-9A41-46D89BD8B577}"/>
    <cellStyle name="Ввод  1 12 2 2 2" xfId="16193" xr:uid="{9DB10945-601B-4537-A926-0B689F078F8D}"/>
    <cellStyle name="Ввод  1 12 2 2 2 2" xfId="32238" xr:uid="{A7A14DF5-39CC-4E68-975B-29B2BB486D65}"/>
    <cellStyle name="Ввод  1 12 2 2 2 3" xfId="45761" xr:uid="{844044AC-FE7B-42F4-9E52-7B5251523D6C}"/>
    <cellStyle name="Ввод  1 12 2 2 3" xfId="25814" xr:uid="{75EF3F95-2AA0-4FC0-8DD8-8B93B55AA707}"/>
    <cellStyle name="Ввод  1 12 2 2 4" xfId="38890" xr:uid="{248307B1-1D90-470E-A6D0-74E33E31E103}"/>
    <cellStyle name="Ввод  1 12 2 3" xfId="6677" xr:uid="{4DDDB9C0-1972-4BE1-ADBC-063CF5FCF8F4}"/>
    <cellStyle name="Ввод  1 12 2 3 2" xfId="12101" xr:uid="{ACD54D7C-E151-4CC2-B404-EBB2BB39D3A3}"/>
    <cellStyle name="Ввод  1 12 2 3 2 2" xfId="28801" xr:uid="{115B77A4-D27A-4AAE-9E37-036587908715}"/>
    <cellStyle name="Ввод  1 12 2 3 2 3" xfId="42021" xr:uid="{4AAEEB3C-A39F-41A8-A913-7D88A9EA319E}"/>
    <cellStyle name="Ввод  1 12 2 3 3" xfId="24305" xr:uid="{B0A32238-995A-44BB-A5B7-F83290373115}"/>
    <cellStyle name="Ввод  1 12 2 3 4" xfId="37386" xr:uid="{134DB46A-B879-411C-ADC8-EDDE3379B94E}"/>
    <cellStyle name="Ввод  1 12 2 4" xfId="11756" xr:uid="{4E4E71F7-859F-4A2C-AB18-7165D162839E}"/>
    <cellStyle name="Ввод  1 12 2 4 2" xfId="28482" xr:uid="{3A3121A8-8F1F-49AE-A758-9866A9397619}"/>
    <cellStyle name="Ввод  1 12 2 4 3" xfId="41693" xr:uid="{77C1B4F1-B9A0-4CE4-A936-1B3D52097484}"/>
    <cellStyle name="Ввод  1 12 2 5" xfId="21057" xr:uid="{CB9414BE-9882-43BA-987F-56EBCD6BE86D}"/>
    <cellStyle name="Ввод  1 12 2 6" xfId="34080" xr:uid="{CBD3E5B2-54CA-4850-A3CB-28B2A270EF86}"/>
    <cellStyle name="Ввод  1 12 3" xfId="4728" xr:uid="{14923844-73E6-4AE8-BB3C-57AA263C0008}"/>
    <cellStyle name="Ввод  1 12 3 2" xfId="7333" xr:uid="{5FCD2DB7-976E-456D-B2EF-CE129AC63C7E}"/>
    <cellStyle name="Ввод  1 12 3 2 2" xfId="12968" xr:uid="{B0CB7C92-5071-4763-9790-A759235C1CDA}"/>
    <cellStyle name="Ввод  1 12 3 2 2 2" xfId="29506" xr:uid="{BFF113A1-7EBF-4DEB-B504-21E0C5C92C5B}"/>
    <cellStyle name="Ввод  1 12 3 2 2 3" xfId="42805" xr:uid="{6819623C-8A89-4D1F-8CA0-44A199628935}"/>
    <cellStyle name="Ввод  1 12 3 2 3" xfId="24892" xr:uid="{1B29013B-61A7-4A5F-B93D-5D763C9071C2}"/>
    <cellStyle name="Ввод  1 12 3 2 4" xfId="37972" xr:uid="{A1DA86C6-3614-4FBB-873C-6B4C70F50254}"/>
    <cellStyle name="Ввод  1 12 3 3" xfId="11804" xr:uid="{2E4A99A6-F2EB-4822-84CB-1DCC3C086EEE}"/>
    <cellStyle name="Ввод  1 12 3 3 2" xfId="28525" xr:uid="{C48EDCD6-7912-4394-99CB-D773F730DBC4}"/>
    <cellStyle name="Ввод  1 12 3 3 3" xfId="41737" xr:uid="{7409D550-FF31-45EC-BD4A-587CD2863E7F}"/>
    <cellStyle name="Ввод  1 12 3 4" xfId="22531" xr:uid="{70C3428D-AF8A-4B0C-AE45-52485BFEEA88}"/>
    <cellStyle name="Ввод  1 12 3 5" xfId="35584" xr:uid="{73C58DB0-6626-4D1C-92D9-A6AB95D8AC92}"/>
    <cellStyle name="Ввод  1 12 4" xfId="5705" xr:uid="{1ED79679-23A2-437F-9C22-6C51C53E02F0}"/>
    <cellStyle name="Ввод  1 12 4 2" xfId="8894" xr:uid="{14350D04-5B96-49C4-B8E2-A590B4E3B0C7}"/>
    <cellStyle name="Ввод  1 12 4 2 2" xfId="15640" xr:uid="{C023AA36-B963-49E1-8567-28C281B96983}"/>
    <cellStyle name="Ввод  1 12 4 2 2 2" xfId="31759" xr:uid="{569878CE-C5D8-40D7-9F52-A62125350B2E}"/>
    <cellStyle name="Ввод  1 12 4 2 2 3" xfId="45264" xr:uid="{42823B31-13EB-4602-8799-A5590ADADCD1}"/>
    <cellStyle name="Ввод  1 12 4 2 3" xfId="26380" xr:uid="{3BF71746-7DFF-40C7-9588-CDCDFFB221D6}"/>
    <cellStyle name="Ввод  1 12 4 2 4" xfId="39456" xr:uid="{2BE99BBE-F24D-4877-B504-E4B6EA20FF4A}"/>
    <cellStyle name="Ввод  1 12 4 3" xfId="11798" xr:uid="{98212AAA-7785-4CBF-B7D1-181C6F56E7E0}"/>
    <cellStyle name="Ввод  1 12 4 3 2" xfId="28520" xr:uid="{9B442CE8-3DFC-46C4-8B56-7519A42D1B71}"/>
    <cellStyle name="Ввод  1 12 4 3 3" xfId="41732" xr:uid="{B80325D3-09E4-40F5-8E73-1A7487ED7241}"/>
    <cellStyle name="Ввод  1 12 4 4" xfId="23352" xr:uid="{41F710E1-F1A2-448F-93F5-399C08510201}"/>
    <cellStyle name="Ввод  1 12 4 5" xfId="36433" xr:uid="{4B2767ED-C7B0-405D-A323-FD36A500EFBE}"/>
    <cellStyle name="Ввод  1 12 5" xfId="11545" xr:uid="{7B207C12-D907-4595-8130-98AD32EFD5C6}"/>
    <cellStyle name="Ввод  1 12 5 2" xfId="28302" xr:uid="{CB266B2B-8286-4C95-BD7C-3F33E8447CE6}"/>
    <cellStyle name="Ввод  1 12 5 3" xfId="41500" xr:uid="{6DCF41C5-D0AD-41C9-9365-379FDE7758BF}"/>
    <cellStyle name="Ввод  1 12 6" xfId="21614" xr:uid="{0307854E-D0F2-4B55-897B-CB1AD757915B}"/>
    <cellStyle name="Ввод  1 12 7" xfId="34668" xr:uid="{3FB7BC9C-1843-4B14-9C09-0E53C80F2F66}"/>
    <cellStyle name="Ввод  1 13" xfId="3682" xr:uid="{0791256E-8895-4B37-918B-64E0444A062C}"/>
    <cellStyle name="Ввод  1 13 2" xfId="2998" xr:uid="{51861527-754F-4711-BABB-AF26932840E1}"/>
    <cellStyle name="Ввод  1 13 2 2" xfId="8294" xr:uid="{3C677608-1193-4F50-9B60-827F2167C347}"/>
    <cellStyle name="Ввод  1 13 2 2 2" xfId="15371" xr:uid="{71656385-55B5-488C-A37F-042B4271FEE8}"/>
    <cellStyle name="Ввод  1 13 2 2 2 2" xfId="31527" xr:uid="{BE2ED041-1627-4E7E-9A38-12502B3A18C5}"/>
    <cellStyle name="Ввод  1 13 2 2 2 3" xfId="45014" xr:uid="{0C25D077-DBA0-49CB-888E-C0017CCAEEEC}"/>
    <cellStyle name="Ввод  1 13 2 2 3" xfId="25799" xr:uid="{80C2F388-7901-4EDA-B613-E21D71FC404E}"/>
    <cellStyle name="Ввод  1 13 2 2 4" xfId="38875" xr:uid="{5C74C98D-94F1-444B-A7C2-1D3835A8C885}"/>
    <cellStyle name="Ввод  1 13 2 3" xfId="6661" xr:uid="{89757156-3714-45E6-BA36-1D2A20A185C1}"/>
    <cellStyle name="Ввод  1 13 2 3 2" xfId="16514" xr:uid="{03E96F7F-4C8A-4459-87AE-EE4B72A99623}"/>
    <cellStyle name="Ввод  1 13 2 3 2 2" xfId="32472" xr:uid="{E1B53F0D-526E-4B27-8413-981CCDB090AF}"/>
    <cellStyle name="Ввод  1 13 2 3 2 3" xfId="46061" xr:uid="{A2C4E7A3-0844-407C-95AE-108FCC225A80}"/>
    <cellStyle name="Ввод  1 13 2 3 3" xfId="24290" xr:uid="{5A185249-7B27-47FC-BAD4-1DB68A8E944B}"/>
    <cellStyle name="Ввод  1 13 2 3 4" xfId="37371" xr:uid="{25484EC9-6EF6-4F3F-94A1-51A786F2A152}"/>
    <cellStyle name="Ввод  1 13 2 4" xfId="13703" xr:uid="{5A11191A-1E6D-4BD8-9468-E1D7B1C9B9E5}"/>
    <cellStyle name="Ввод  1 13 2 4 2" xfId="30124" xr:uid="{33181376-5DFA-4F4F-A97D-DBD573B476A4}"/>
    <cellStyle name="Ввод  1 13 2 4 3" xfId="43483" xr:uid="{59D0CBDA-7014-4643-8E4A-F361900E735C}"/>
    <cellStyle name="Ввод  1 13 2 5" xfId="21042" xr:uid="{87B2A258-FF4D-463C-8B51-D3E2F4865841}"/>
    <cellStyle name="Ввод  1 13 2 6" xfId="34065" xr:uid="{9BD8D78F-E63D-4BC4-9467-5F54B5341A5D}"/>
    <cellStyle name="Ввод  1 13 3" xfId="4715" xr:uid="{06D43344-C010-43DF-A4F1-3BF641F04693}"/>
    <cellStyle name="Ввод  1 13 3 2" xfId="7317" xr:uid="{3AA2BAC9-2EA0-4334-A772-EF1F55D63CF3}"/>
    <cellStyle name="Ввод  1 13 3 2 2" xfId="13034" xr:uid="{026E2250-CCC7-49EC-930C-6D8EA2FDFAF0}"/>
    <cellStyle name="Ввод  1 13 3 2 2 2" xfId="29563" xr:uid="{125E1949-A81B-4A93-AF38-5E5CDE1239FE}"/>
    <cellStyle name="Ввод  1 13 3 2 2 3" xfId="42866" xr:uid="{64B6BFC3-0188-4330-8FA6-C17C4A3D7208}"/>
    <cellStyle name="Ввод  1 13 3 2 3" xfId="24877" xr:uid="{89B76C63-66AA-4E27-847B-9731D62A3619}"/>
    <cellStyle name="Ввод  1 13 3 2 4" xfId="37957" xr:uid="{73B647BD-429A-4DC2-938B-F4DBFDF32204}"/>
    <cellStyle name="Ввод  1 13 3 3" xfId="16689" xr:uid="{97A06E57-F078-4883-9536-2E55EDC8C59A}"/>
    <cellStyle name="Ввод  1 13 3 3 2" xfId="32576" xr:uid="{D155E5DD-3354-41FF-A3E8-05F6BB81DCC3}"/>
    <cellStyle name="Ввод  1 13 3 3 3" xfId="46234" xr:uid="{CD96E88C-3B12-46E1-AE31-196BCC746D69}"/>
    <cellStyle name="Ввод  1 13 3 4" xfId="22519" xr:uid="{BAC2EA14-5C49-4CD3-95B5-57CF30DE2E7C}"/>
    <cellStyle name="Ввод  1 13 3 5" xfId="35572" xr:uid="{F80E868A-875B-482F-8B84-24EBA4E936A3}"/>
    <cellStyle name="Ввод  1 13 4" xfId="5690" xr:uid="{8B87E78C-E4B0-4911-A125-B6985FD3E6E4}"/>
    <cellStyle name="Ввод  1 13 4 2" xfId="8878" xr:uid="{CDFA0F2A-56D8-487C-8438-0B3AA65BAC99}"/>
    <cellStyle name="Ввод  1 13 4 2 2" xfId="12854" xr:uid="{7EB104A0-B3B0-4751-91DD-32A2D021E645}"/>
    <cellStyle name="Ввод  1 13 4 2 2 2" xfId="29420" xr:uid="{99B74EAC-3F90-426A-9A1D-DBC1A5EE8FD8}"/>
    <cellStyle name="Ввод  1 13 4 2 2 3" xfId="42706" xr:uid="{6B5F6029-93EB-4D10-812A-FC95E4463EBC}"/>
    <cellStyle name="Ввод  1 13 4 2 3" xfId="26365" xr:uid="{83DB9F30-6FB7-4839-A474-8085F43C50A3}"/>
    <cellStyle name="Ввод  1 13 4 2 4" xfId="39441" xr:uid="{48B1F6F2-894F-445C-B824-34DA65F1BD23}"/>
    <cellStyle name="Ввод  1 13 4 3" xfId="14304" xr:uid="{46A01810-CB25-41D4-BFFB-E37AD4505311}"/>
    <cellStyle name="Ввод  1 13 4 3 2" xfId="30642" xr:uid="{A4CC871D-F058-4BF4-9B0B-72B4607EE2C7}"/>
    <cellStyle name="Ввод  1 13 4 3 3" xfId="44036" xr:uid="{26440A38-3A7E-4F3C-940E-4A874519CA4E}"/>
    <cellStyle name="Ввод  1 13 4 4" xfId="23337" xr:uid="{3ACA037A-83AB-4E5B-8B2C-118084A5762D}"/>
    <cellStyle name="Ввод  1 13 4 5" xfId="36418" xr:uid="{0D75A9FA-E823-484C-B5EE-393E71335E52}"/>
    <cellStyle name="Ввод  1 13 5" xfId="15093" xr:uid="{EC44CCF3-2C85-4195-A955-172FE6DBCEBE}"/>
    <cellStyle name="Ввод  1 13 5 2" xfId="31299" xr:uid="{EBFDC2A2-EC7B-4918-8D79-8CF98C1E5028}"/>
    <cellStyle name="Ввод  1 13 5 3" xfId="44760" xr:uid="{6710FBD6-40FE-4BF8-A64A-3CBE3A838A32}"/>
    <cellStyle name="Ввод  1 13 6" xfId="21599" xr:uid="{6DE85FE2-96C8-49FF-9648-2ABF5DA733B9}"/>
    <cellStyle name="Ввод  1 13 7" xfId="34653" xr:uid="{0E84F0C0-96D3-4D90-B361-43868221C838}"/>
    <cellStyle name="Ввод  1 14" xfId="3545" xr:uid="{B36A6137-E2E1-4A76-A249-66C4A92AE1C1}"/>
    <cellStyle name="Ввод  1 14 2" xfId="2886" xr:uid="{BDA389EB-84E8-4E94-AD5B-5D4CB7044DE9}"/>
    <cellStyle name="Ввод  1 14 2 2" xfId="8182" xr:uid="{60199C7C-008F-4637-A228-E69A9DD09467}"/>
    <cellStyle name="Ввод  1 14 2 2 2" xfId="14291" xr:uid="{94A929DB-694A-4EC8-AF48-01B9E6453A58}"/>
    <cellStyle name="Ввод  1 14 2 2 2 2" xfId="30630" xr:uid="{F81DEA52-7BBF-4A8F-835F-90784EB3BD6F}"/>
    <cellStyle name="Ввод  1 14 2 2 2 3" xfId="44024" xr:uid="{E0BC86AD-EB39-4F7A-9F0D-9BEA14A249E6}"/>
    <cellStyle name="Ввод  1 14 2 2 3" xfId="25693" xr:uid="{EE576701-036E-45C4-A8D8-AC910C628236}"/>
    <cellStyle name="Ввод  1 14 2 2 4" xfId="38769" xr:uid="{FF758749-CA46-4B5F-981D-C7199EE840CE}"/>
    <cellStyle name="Ввод  1 14 2 3" xfId="6549" xr:uid="{949A8B91-B8C3-49A0-973E-D88C93A95161}"/>
    <cellStyle name="Ввод  1 14 2 3 2" xfId="16896" xr:uid="{92330F2C-8E8C-4FD8-811D-CFA06FBE93CB}"/>
    <cellStyle name="Ввод  1 14 2 3 2 2" xfId="32772" xr:uid="{F7C86FEE-E21B-489E-839A-A6B197B18042}"/>
    <cellStyle name="Ввод  1 14 2 3 2 3" xfId="46438" xr:uid="{81847D2C-CFD1-42E6-9C57-408A7F35EAEA}"/>
    <cellStyle name="Ввод  1 14 2 3 3" xfId="24184" xr:uid="{52AB2100-BB82-4337-873C-0DD2E07E57CD}"/>
    <cellStyle name="Ввод  1 14 2 3 4" xfId="37265" xr:uid="{3D562CD3-1210-427F-B23C-9CE067B2941F}"/>
    <cellStyle name="Ввод  1 14 2 4" xfId="16063" xr:uid="{39A308BC-1A4B-420F-A290-106FF43ED456}"/>
    <cellStyle name="Ввод  1 14 2 4 2" xfId="32124" xr:uid="{69F166C6-9D8C-47F4-B6AF-D756893DB7A1}"/>
    <cellStyle name="Ввод  1 14 2 4 3" xfId="45643" xr:uid="{DCF997DC-2EE8-4D25-82D3-E6A754D8A195}"/>
    <cellStyle name="Ввод  1 14 2 5" xfId="20936" xr:uid="{7C6DDA44-9E75-4D26-8CC7-CD904B6907E5}"/>
    <cellStyle name="Ввод  1 14 2 6" xfId="33959" xr:uid="{8C6D7D27-EDBA-4085-B755-2713B5588040}"/>
    <cellStyle name="Ввод  1 14 3" xfId="4648" xr:uid="{9835EAB4-74F7-4277-B01F-C720774B2161}"/>
    <cellStyle name="Ввод  1 14 3 2" xfId="7187" xr:uid="{C8199D82-9B47-46AC-BD40-148010FDA6D5}"/>
    <cellStyle name="Ввод  1 14 3 2 2" xfId="11199" xr:uid="{301D2FA0-6FAA-47CB-AB08-3C74B7A5C6A6}"/>
    <cellStyle name="Ввод  1 14 3 2 2 2" xfId="27993" xr:uid="{F8BBE745-2AD0-48E9-848D-3FFFA8FEF07E}"/>
    <cellStyle name="Ввод  1 14 3 2 2 3" xfId="41175" xr:uid="{529FD81A-EEFC-4D7E-80F4-2D7E27087875}"/>
    <cellStyle name="Ввод  1 14 3 2 3" xfId="24784" xr:uid="{00B3597B-A80B-4F14-ACCC-BEE89B4DBB56}"/>
    <cellStyle name="Ввод  1 14 3 2 4" xfId="37865" xr:uid="{33096D43-E022-4D70-914D-B16777EA12B9}"/>
    <cellStyle name="Ввод  1 14 3 3" xfId="16714" xr:uid="{165F287D-9063-4E8C-A597-F73CE4C82788}"/>
    <cellStyle name="Ввод  1 14 3 3 2" xfId="32598" xr:uid="{A8AC0A77-D689-4FB2-9C04-F7252464AD68}"/>
    <cellStyle name="Ввод  1 14 3 3 3" xfId="46258" xr:uid="{97212A90-C1D9-4DD8-AB26-35F02BDB8C58}"/>
    <cellStyle name="Ввод  1 14 3 4" xfId="22458" xr:uid="{92E3E281-8380-421E-96E8-7AFCBE04ADC0}"/>
    <cellStyle name="Ввод  1 14 3 5" xfId="35511" xr:uid="{F7AE66E2-BE8B-40B6-B9F2-6A8CFB28D72E}"/>
    <cellStyle name="Ввод  1 14 4" xfId="5598" xr:uid="{342680E2-D96A-4143-816D-8EF18DF1659E}"/>
    <cellStyle name="Ввод  1 14 4 2" xfId="8780" xr:uid="{53AB57F3-D7E9-43B4-9005-8D9A21EF1684}"/>
    <cellStyle name="Ввод  1 14 4 2 2" xfId="16268" xr:uid="{2B9D0B1E-9A4A-4EE7-8A8C-42DC589951FB}"/>
    <cellStyle name="Ввод  1 14 4 2 2 2" xfId="32302" xr:uid="{54FF0331-D7DF-4096-AEF3-12D0D7D38AC2}"/>
    <cellStyle name="Ввод  1 14 4 2 2 3" xfId="45831" xr:uid="{41529049-AC52-4C77-9F08-630773D87312}"/>
    <cellStyle name="Ввод  1 14 4 2 3" xfId="26273" xr:uid="{225FF28B-B8A0-4AD7-B91C-EE41B5678FEB}"/>
    <cellStyle name="Ввод  1 14 4 2 4" xfId="39349" xr:uid="{9BD147B9-E6F9-47E6-96C1-C0E015079A78}"/>
    <cellStyle name="Ввод  1 14 4 3" xfId="14792" xr:uid="{05265A2B-01AF-4D65-9A69-C5F518D12113}"/>
    <cellStyle name="Ввод  1 14 4 3 2" xfId="31058" xr:uid="{A209F270-AD60-4F70-95E9-3B2ECD2003A3}"/>
    <cellStyle name="Ввод  1 14 4 3 3" xfId="44490" xr:uid="{AFB84148-6947-4CE8-BDB9-533F3A62A267}"/>
    <cellStyle name="Ввод  1 14 4 4" xfId="23245" xr:uid="{539BE4A7-7DAE-4EB8-AD34-D02154E9EE17}"/>
    <cellStyle name="Ввод  1 14 4 5" xfId="36326" xr:uid="{A47E71A3-08E7-4EA2-9B44-752091C74010}"/>
    <cellStyle name="Ввод  1 14 5" xfId="14358" xr:uid="{D75F332F-03D3-4D5E-96C3-914DFCB22B0D}"/>
    <cellStyle name="Ввод  1 14 5 2" xfId="30691" xr:uid="{B2E9308F-1EE8-45BF-A453-4A7B5673F427}"/>
    <cellStyle name="Ввод  1 14 5 3" xfId="44088" xr:uid="{D3AB5738-66A4-4DB9-A643-B0EE1DA5240B}"/>
    <cellStyle name="Ввод  1 14 6" xfId="21507" xr:uid="{78C59251-EDA2-4367-80D2-51A5B88332FD}"/>
    <cellStyle name="Ввод  1 14 7" xfId="34559" xr:uid="{E610C9FA-CFD0-4ED6-B6DD-D1DB304E2077}"/>
    <cellStyle name="Ввод  1 15" xfId="3702" xr:uid="{7821FC78-A57E-490E-9DB3-D8164092911B}"/>
    <cellStyle name="Ввод  1 15 2" xfId="3018" xr:uid="{5B3D98BA-A283-41CC-85FA-02CA28D5F971}"/>
    <cellStyle name="Ввод  1 15 2 2" xfId="8314" xr:uid="{9FA01A9B-98EA-41D5-ADA9-56A88F19CC74}"/>
    <cellStyle name="Ввод  1 15 2 2 2" xfId="14856" xr:uid="{2B59F03E-69DE-4EDD-9B2F-5D8C058EAD55}"/>
    <cellStyle name="Ввод  1 15 2 2 2 2" xfId="31112" xr:uid="{01CCB923-B8D2-473F-83D4-12CC90770F64}"/>
    <cellStyle name="Ввод  1 15 2 2 2 3" xfId="44551" xr:uid="{C726468B-FA9D-4F0A-9308-9CA375C0B502}"/>
    <cellStyle name="Ввод  1 15 2 2 3" xfId="25818" xr:uid="{5D55F93D-7300-4CD5-A51E-B65BDE11DAA0}"/>
    <cellStyle name="Ввод  1 15 2 2 4" xfId="38894" xr:uid="{DA5253EF-1393-4C9D-B906-F4518AAD1054}"/>
    <cellStyle name="Ввод  1 15 2 3" xfId="6681" xr:uid="{D3A9CC17-3653-4697-B8DE-01332A55B5B7}"/>
    <cellStyle name="Ввод  1 15 2 3 2" xfId="17261" xr:uid="{AFB5BD36-63AD-4880-A08A-63947D3292F2}"/>
    <cellStyle name="Ввод  1 15 2 3 2 2" xfId="33020" xr:uid="{52D05FFB-4D80-4EC9-A53D-88D6941BCF41}"/>
    <cellStyle name="Ввод  1 15 2 3 2 3" xfId="46795" xr:uid="{000BFE24-83CC-44E7-99DD-8B91D89D40DA}"/>
    <cellStyle name="Ввод  1 15 2 3 3" xfId="24309" xr:uid="{5E4E5AD3-6AAC-480E-9742-16A8D732BD8C}"/>
    <cellStyle name="Ввод  1 15 2 3 4" xfId="37390" xr:uid="{47AC1C45-2C18-436A-A3B1-045CC34E5796}"/>
    <cellStyle name="Ввод  1 15 2 4" xfId="14133" xr:uid="{F59AA852-E17E-465F-8271-2EFD2EF8B193}"/>
    <cellStyle name="Ввод  1 15 2 4 2" xfId="30496" xr:uid="{097A308D-3905-4417-8BCE-080DC24DAB9E}"/>
    <cellStyle name="Ввод  1 15 2 4 3" xfId="43880" xr:uid="{47D4DB94-BB1F-43D7-82C2-1FDDD82F82FA}"/>
    <cellStyle name="Ввод  1 15 2 5" xfId="21061" xr:uid="{B5716349-B1EB-4EE7-BF22-4704A8627D1F}"/>
    <cellStyle name="Ввод  1 15 2 6" xfId="34084" xr:uid="{66062AEE-D632-4B30-B359-EB94BB302DF8}"/>
    <cellStyle name="Ввод  1 15 3" xfId="4732" xr:uid="{96D494C4-22FD-474F-9B71-A76FFE89F8C3}"/>
    <cellStyle name="Ввод  1 15 3 2" xfId="7337" xr:uid="{190385AA-6A8E-4EA1-8D55-8FAA794F1D4B}"/>
    <cellStyle name="Ввод  1 15 3 2 2" xfId="11805" xr:uid="{1A3A1F64-0A66-498B-A6F5-A5EA6422B918}"/>
    <cellStyle name="Ввод  1 15 3 2 2 2" xfId="28526" xr:uid="{DDB571C4-FD66-4658-A452-05DDC4820B13}"/>
    <cellStyle name="Ввод  1 15 3 2 2 3" xfId="41738" xr:uid="{26E5D689-FE43-445F-AB7E-186F2656C97E}"/>
    <cellStyle name="Ввод  1 15 3 2 3" xfId="24896" xr:uid="{2F869F44-02B0-4BDA-813D-67B2B5A4F69D}"/>
    <cellStyle name="Ввод  1 15 3 2 4" xfId="37976" xr:uid="{87651CA8-FF45-492E-B0BC-904CF19A4C09}"/>
    <cellStyle name="Ввод  1 15 3 3" xfId="16781" xr:uid="{F1CEFFFD-93EE-4540-AFAE-5BAA07E8017B}"/>
    <cellStyle name="Ввод  1 15 3 3 2" xfId="32662" xr:uid="{03B765A8-B852-46E2-892C-557020BC4E4B}"/>
    <cellStyle name="Ввод  1 15 3 3 3" xfId="46324" xr:uid="{CF4AA614-418A-4D4D-83EF-E523DEF8C825}"/>
    <cellStyle name="Ввод  1 15 3 4" xfId="22535" xr:uid="{58111368-856B-41D7-A5B0-8A28D4E47D0F}"/>
    <cellStyle name="Ввод  1 15 3 5" xfId="35588" xr:uid="{E5DE6165-C9FD-4426-82B6-7EF1BB4A0713}"/>
    <cellStyle name="Ввод  1 15 4" xfId="5709" xr:uid="{A7044241-E6EB-4DC2-A14C-36D9D0CE4547}"/>
    <cellStyle name="Ввод  1 15 4 2" xfId="8898" xr:uid="{3019D9AA-A93E-43DC-92E9-8741B5A05476}"/>
    <cellStyle name="Ввод  1 15 4 2 2" xfId="11454" xr:uid="{C7E3D7A4-557B-4DA0-A50F-B08AF7125D6E}"/>
    <cellStyle name="Ввод  1 15 4 2 2 2" xfId="28219" xr:uid="{476EF27F-1077-4A51-B1E2-BE2FA8A81720}"/>
    <cellStyle name="Ввод  1 15 4 2 2 3" xfId="41413" xr:uid="{EBA3FC26-64E2-4A34-9BB0-090E648F7459}"/>
    <cellStyle name="Ввод  1 15 4 2 3" xfId="26384" xr:uid="{5FCE87DC-7D2C-499D-96B4-72886A7B5A21}"/>
    <cellStyle name="Ввод  1 15 4 2 4" xfId="39460" xr:uid="{94DBC72D-1882-44DA-B268-710CBF768057}"/>
    <cellStyle name="Ввод  1 15 4 3" xfId="17528" xr:uid="{43AF2EED-E04E-4841-9E14-271C7F402444}"/>
    <cellStyle name="Ввод  1 15 4 3 2" xfId="33266" xr:uid="{BF8C78A7-0877-4B2E-B21B-BC6C3A8C1C4D}"/>
    <cellStyle name="Ввод  1 15 4 3 3" xfId="47053" xr:uid="{E3C3CB6C-C104-4D17-B200-C6E81D6011B7}"/>
    <cellStyle name="Ввод  1 15 4 4" xfId="23356" xr:uid="{B5A2639B-145A-44FC-BAD3-BB7DF04D00C3}"/>
    <cellStyle name="Ввод  1 15 4 5" xfId="36437" xr:uid="{3E6066D5-8412-4C08-B945-34EE2EA03BD0}"/>
    <cellStyle name="Ввод  1 15 5" xfId="14598" xr:uid="{C51C994E-8DF2-4F98-A0AE-80CB4B14E6B5}"/>
    <cellStyle name="Ввод  1 15 5 2" xfId="30898" xr:uid="{16F92F3C-4AD6-415C-9A7B-8445E1347836}"/>
    <cellStyle name="Ввод  1 15 5 3" xfId="44317" xr:uid="{99593B0A-2FDD-480E-B175-20298FC66A1C}"/>
    <cellStyle name="Ввод  1 15 6" xfId="21618" xr:uid="{DA567465-44E0-470C-ABB0-9CC56C89DAA4}"/>
    <cellStyle name="Ввод  1 15 7" xfId="34672" xr:uid="{8E849AF4-DAF4-4530-A78B-0ACC03D53347}"/>
    <cellStyle name="Ввод  1 16" xfId="3897" xr:uid="{69C19616-8ACA-4A5F-BFDF-1B83EE12A0EC}"/>
    <cellStyle name="Ввод  1 16 2" xfId="3166" xr:uid="{094D32BA-AFCA-4C40-BD9A-A7605E51B450}"/>
    <cellStyle name="Ввод  1 16 2 2" xfId="8458" xr:uid="{BCF5BE9C-D736-4C9B-8191-425FC4049B38}"/>
    <cellStyle name="Ввод  1 16 2 2 2" xfId="10948" xr:uid="{EA096171-3A71-4BAE-BBBF-EB474E0471AC}"/>
    <cellStyle name="Ввод  1 16 2 2 2 2" xfId="27762" xr:uid="{4A5641FC-8647-4389-A42A-96FAA7F537D3}"/>
    <cellStyle name="Ввод  1 16 2 2 2 3" xfId="40928" xr:uid="{F3FC852A-A968-421F-A82D-72FF8B7A2612}"/>
    <cellStyle name="Ввод  1 16 2 2 3" xfId="25960" xr:uid="{280C5D7B-A8B8-4C5B-85DD-649815FDDDC5}"/>
    <cellStyle name="Ввод  1 16 2 2 4" xfId="39036" xr:uid="{855DBA81-0171-4F52-B375-E84F1FF3FC15}"/>
    <cellStyle name="Ввод  1 16 2 3" xfId="6825" xr:uid="{12B506C3-A292-4013-B469-586C26DFA42D}"/>
    <cellStyle name="Ввод  1 16 2 3 2" xfId="12157" xr:uid="{4C85684E-3EF4-4606-A72C-BF649A536D69}"/>
    <cellStyle name="Ввод  1 16 2 3 2 2" xfId="28856" xr:uid="{7977268B-E419-4272-A950-B4F1DE823108}"/>
    <cellStyle name="Ввод  1 16 2 3 2 3" xfId="42077" xr:uid="{8B823231-FF02-45F0-AFC9-5883A426AB04}"/>
    <cellStyle name="Ввод  1 16 2 3 3" xfId="24451" xr:uid="{67EF0929-A7C4-4BB0-95CD-3A0987A02482}"/>
    <cellStyle name="Ввод  1 16 2 3 4" xfId="37532" xr:uid="{F79779C3-6E58-48DA-9606-D883A80C88C5}"/>
    <cellStyle name="Ввод  1 16 2 4" xfId="16553" xr:uid="{D04B5722-68F0-4F35-A425-7D31542778F4}"/>
    <cellStyle name="Ввод  1 16 2 4 2" xfId="32489" xr:uid="{93213452-7C0B-43BE-B868-9EA38A022D10}"/>
    <cellStyle name="Ввод  1 16 2 4 3" xfId="46100" xr:uid="{EC6F7FC2-7954-484D-965D-B0F00486830C}"/>
    <cellStyle name="Ввод  1 16 2 5" xfId="21203" xr:uid="{695FAC6D-5224-4480-B7A5-45B625A3FCA9}"/>
    <cellStyle name="Ввод  1 16 2 6" xfId="34226" xr:uid="{B156CC42-F841-4456-8954-6547D2B6EEAA}"/>
    <cellStyle name="Ввод  1 16 3" xfId="4834" xr:uid="{6AAEDCA6-0C8C-4528-B6A8-B4BD078DBAA1}"/>
    <cellStyle name="Ввод  1 16 3 2" xfId="7478" xr:uid="{1BCF9E0E-0AA9-48F0-BCD6-406CA534E31B}"/>
    <cellStyle name="Ввод  1 16 3 2 2" xfId="16035" xr:uid="{BB31DF1A-32AA-4EA8-8001-7E8F8C3780D6}"/>
    <cellStyle name="Ввод  1 16 3 2 2 2" xfId="32100" xr:uid="{D27DEE82-0F82-47EE-98D2-426CDED72C1A}"/>
    <cellStyle name="Ввод  1 16 3 2 2 3" xfId="45619" xr:uid="{EF8B359D-2B76-4B12-83B7-0D1D7EAA5EE8}"/>
    <cellStyle name="Ввод  1 16 3 2 3" xfId="25035" xr:uid="{D1A7EDD2-44AE-4EFD-89D8-AB560411585E}"/>
    <cellStyle name="Ввод  1 16 3 2 4" xfId="38111" xr:uid="{B70520F6-14C6-4040-9C06-4697ACC86990}"/>
    <cellStyle name="Ввод  1 16 3 3" xfId="11066" xr:uid="{7E4D1714-88FB-4723-B9D4-14670ABCFF18}"/>
    <cellStyle name="Ввод  1 16 3 3 2" xfId="27869" xr:uid="{35B09350-3070-491D-9C0F-F50A063A4CBC}"/>
    <cellStyle name="Ввод  1 16 3 3 3" xfId="41045" xr:uid="{3455A835-9AE4-450A-9049-D1A01A01612F}"/>
    <cellStyle name="Ввод  1 16 3 4" xfId="22636" xr:uid="{8B2876C8-A32D-497D-9793-147CD0FEDCB3}"/>
    <cellStyle name="Ввод  1 16 3 5" xfId="35689" xr:uid="{3ECF74EB-34BE-43A2-99E3-A7FC3833D5B2}"/>
    <cellStyle name="Ввод  1 16 4" xfId="5861" xr:uid="{A45E15FC-FCC4-4A1E-A9CE-9A8FBC4235B7}"/>
    <cellStyle name="Ввод  1 16 4 2" xfId="9019" xr:uid="{5AE05B0E-9930-44A6-BCC4-5E0DFC43D2A1}"/>
    <cellStyle name="Ввод  1 16 4 2 2" xfId="15577" xr:uid="{93D77169-24CB-4108-BC05-CB3B294FD595}"/>
    <cellStyle name="Ввод  1 16 4 2 2 2" xfId="31706" xr:uid="{90461D68-451B-424B-8856-2426CDEEA5A5}"/>
    <cellStyle name="Ввод  1 16 4 2 2 3" xfId="45208" xr:uid="{95F0FAD0-6F1C-43CC-97ED-7825FD6C09DA}"/>
    <cellStyle name="Ввод  1 16 4 2 3" xfId="26504" xr:uid="{47B9F7C4-82EB-419C-816F-1A94E9F3EEA4}"/>
    <cellStyle name="Ввод  1 16 4 2 4" xfId="39580" xr:uid="{7665D884-080A-4A3E-A27D-B4C7E7E477A9}"/>
    <cellStyle name="Ввод  1 16 4 3" xfId="11483" xr:uid="{2AC00DC7-EB37-4B92-A915-49E8A6BCDFD8}"/>
    <cellStyle name="Ввод  1 16 4 3 2" xfId="28247" xr:uid="{4114F2A9-7032-4219-8B82-A396DC7CDB34}"/>
    <cellStyle name="Ввод  1 16 4 3 3" xfId="41442" xr:uid="{4599A910-2BA9-4EC5-BDE4-FF6E8237C3E9}"/>
    <cellStyle name="Ввод  1 16 4 4" xfId="23508" xr:uid="{45C4FEF7-95EE-47B8-AF21-9322CC9EA4F4}"/>
    <cellStyle name="Ввод  1 16 4 5" xfId="36589" xr:uid="{D051F5DA-3FB2-43CC-BFA8-2AB33FC8F731}"/>
    <cellStyle name="Ввод  1 16 5" xfId="16411" xr:uid="{25885FEE-0946-4C99-BA2A-D87C1CCFCD65}"/>
    <cellStyle name="Ввод  1 16 5 2" xfId="32426" xr:uid="{01BAF545-7858-4D92-8337-B6928635A139}"/>
    <cellStyle name="Ввод  1 16 5 3" xfId="45962" xr:uid="{F92B8BB7-727D-42AA-B7EA-958743AA001A}"/>
    <cellStyle name="Ввод  1 16 6" xfId="21773" xr:uid="{9AE42A40-C9E3-4117-ADB5-1A0733CD0BEA}"/>
    <cellStyle name="Ввод  1 16 7" xfId="34824" xr:uid="{F01B74FE-BC69-4E52-8054-21982762A1FA}"/>
    <cellStyle name="Ввод  1 17" xfId="3966" xr:uid="{86B4B55F-ACA2-482F-9059-3FFFD51AAA1F}"/>
    <cellStyle name="Ввод  1 17 2" xfId="3213" xr:uid="{C05E5504-A28B-4F90-A05F-AC85ED827F72}"/>
    <cellStyle name="Ввод  1 17 2 2" xfId="8504" xr:uid="{F78D90C4-1FA7-47A6-8926-61DA122DCC9E}"/>
    <cellStyle name="Ввод  1 17 2 2 2" xfId="10697" xr:uid="{D835A7BF-3F0E-476C-B47C-23663826C8EA}"/>
    <cellStyle name="Ввод  1 17 2 2 2 2" xfId="27542" xr:uid="{4C517CEC-1A3F-4C7F-A4C8-EFCA9E1E59AB}"/>
    <cellStyle name="Ввод  1 17 2 2 2 3" xfId="40678" xr:uid="{5E70E514-4716-4026-B2DC-0A1306839CE8}"/>
    <cellStyle name="Ввод  1 17 2 2 3" xfId="26003" xr:uid="{8B2BF2F9-54A1-4FCA-BC22-04E0EF48CF5C}"/>
    <cellStyle name="Ввод  1 17 2 2 4" xfId="39079" xr:uid="{F19C0878-51EC-44F2-9690-0D19D969AA0A}"/>
    <cellStyle name="Ввод  1 17 2 3" xfId="6872" xr:uid="{B4CD6649-CA0A-4080-9E3D-68EAEBC0F439}"/>
    <cellStyle name="Ввод  1 17 2 3 2" xfId="13845" xr:uid="{A13C0CDB-A1DC-46A2-AE85-9579C47F4AE2}"/>
    <cellStyle name="Ввод  1 17 2 3 2 2" xfId="30247" xr:uid="{C7660909-A15F-46D1-B078-2689777226B1}"/>
    <cellStyle name="Ввод  1 17 2 3 2 3" xfId="43617" xr:uid="{51FBD5CB-E32F-47EE-8F33-710B75DA85A2}"/>
    <cellStyle name="Ввод  1 17 2 3 3" xfId="24495" xr:uid="{60B5C004-EFDE-4889-9281-F3496FB38CA8}"/>
    <cellStyle name="Ввод  1 17 2 3 4" xfId="37576" xr:uid="{D189980B-5505-4A3E-92E2-72667D420362}"/>
    <cellStyle name="Ввод  1 17 2 4" xfId="14163" xr:uid="{65BB7227-5B31-4838-8264-DF22F511C8B4}"/>
    <cellStyle name="Ввод  1 17 2 4 2" xfId="30519" xr:uid="{05F8DEA0-9F11-49DF-942B-E1FBA9AB479F}"/>
    <cellStyle name="Ввод  1 17 2 4 3" xfId="43905" xr:uid="{4FC89B3B-F711-476C-93F4-FA97C2EE99BF}"/>
    <cellStyle name="Ввод  1 17 2 5" xfId="21247" xr:uid="{4E0DE31B-0691-4B64-A030-6FB7539169B1}"/>
    <cellStyle name="Ввод  1 17 2 6" xfId="34270" xr:uid="{DBBB8DBF-7C76-491B-8972-EB3A9BED92C1}"/>
    <cellStyle name="Ввод  1 17 3" xfId="4878" xr:uid="{E4E034E2-DEAC-4C11-8C56-0C982987D438}"/>
    <cellStyle name="Ввод  1 17 3 2" xfId="7546" xr:uid="{B5DE867B-1E57-499C-AD9F-4C56FFC6D8FD}"/>
    <cellStyle name="Ввод  1 17 3 2 2" xfId="11727" xr:uid="{09B5A223-289B-47DD-9929-2B4FE42B1133}"/>
    <cellStyle name="Ввод  1 17 3 2 2 2" xfId="28455" xr:uid="{9958B81E-AC7C-46A2-A350-EB798D1EBD8E}"/>
    <cellStyle name="Ввод  1 17 3 2 2 3" xfId="41666" xr:uid="{0DE1044F-38D7-486C-8ACF-E7824FF5037C}"/>
    <cellStyle name="Ввод  1 17 3 2 3" xfId="25074" xr:uid="{DC103E1D-FC25-4468-98EB-265998D55B72}"/>
    <cellStyle name="Ввод  1 17 3 2 4" xfId="38150" xr:uid="{0EC931BE-05EC-4F88-8C42-BC56DBB4F191}"/>
    <cellStyle name="Ввод  1 17 3 3" xfId="12992" xr:uid="{C7D965EF-801A-46BC-B282-4E81E29D09DA}"/>
    <cellStyle name="Ввод  1 17 3 3 2" xfId="29529" xr:uid="{ED490B22-820B-4ACE-A074-07212493274B}"/>
    <cellStyle name="Ввод  1 17 3 3 3" xfId="42829" xr:uid="{CDCB30BF-218D-49AB-A96C-94374AFDD560}"/>
    <cellStyle name="Ввод  1 17 3 4" xfId="22675" xr:uid="{4EAFC586-B2F1-4F75-AEA1-ED0967B59062}"/>
    <cellStyle name="Ввод  1 17 3 5" xfId="35728" xr:uid="{751A76A6-0A4D-4A68-B767-35E588119AB5}"/>
    <cellStyle name="Ввод  1 17 4" xfId="5900" xr:uid="{DAFEFCAB-5EB1-4310-8FF8-11BF3A413952}"/>
    <cellStyle name="Ввод  1 17 4 2" xfId="9060" xr:uid="{8058E4DF-71E0-47E3-A382-67517D3363FD}"/>
    <cellStyle name="Ввод  1 17 4 2 2" xfId="14865" xr:uid="{BEB0E586-9A50-44CD-8A2D-2BFEE64EB940}"/>
    <cellStyle name="Ввод  1 17 4 2 2 2" xfId="31119" xr:uid="{4C32B6F1-7359-429B-9B35-8D7E2F467B93}"/>
    <cellStyle name="Ввод  1 17 4 2 2 3" xfId="44558" xr:uid="{2BDCE10F-51C1-4643-A2BB-924E7D5498D7}"/>
    <cellStyle name="Ввод  1 17 4 2 3" xfId="26541" xr:uid="{0F55D47A-BAC3-4D77-9BB4-930C196F16F5}"/>
    <cellStyle name="Ввод  1 17 4 2 4" xfId="39617" xr:uid="{7EAB6A84-B0EB-4A31-B758-EBF12B75D7EC}"/>
    <cellStyle name="Ввод  1 17 4 3" xfId="13359" xr:uid="{221C4F27-B4C0-4B87-9F9B-7859D3D7B4AE}"/>
    <cellStyle name="Ввод  1 17 4 3 2" xfId="29836" xr:uid="{98E15784-EEE0-4227-9E74-9DDC028982F4}"/>
    <cellStyle name="Ввод  1 17 4 3 3" xfId="43170" xr:uid="{61E62AB5-B84A-428C-86FB-8013C5736176}"/>
    <cellStyle name="Ввод  1 17 4 4" xfId="23547" xr:uid="{F4E52711-6F47-4EBA-91D6-DA86FF4291EA}"/>
    <cellStyle name="Ввод  1 17 4 5" xfId="36628" xr:uid="{5E935405-D8A5-46D8-81A0-5D412864FBA4}"/>
    <cellStyle name="Ввод  1 17 5" xfId="11822" xr:uid="{6948C2B8-5386-46A5-9314-A8AB93DA824E}"/>
    <cellStyle name="Ввод  1 17 5 2" xfId="28542" xr:uid="{D262F579-B5D9-4FD1-A167-4D84C5F00891}"/>
    <cellStyle name="Ввод  1 17 5 3" xfId="41755" xr:uid="{D9E26793-55D4-4CC5-B2D1-298C701C8AB4}"/>
    <cellStyle name="Ввод  1 17 6" xfId="21813" xr:uid="{75D164BF-E80D-466F-B364-736C8ADCC43F}"/>
    <cellStyle name="Ввод  1 17 7" xfId="34863" xr:uid="{0D113216-BE11-44D4-98E1-5287C85BD869}"/>
    <cellStyle name="Ввод  1 18" xfId="3885" xr:uid="{5B94B4EB-B3DD-4EF8-8A44-A7F480A44458}"/>
    <cellStyle name="Ввод  1 18 2" xfId="3146" xr:uid="{F5F0C138-5BBB-4E0E-8A6A-7EEB9F093E46}"/>
    <cellStyle name="Ввод  1 18 2 2" xfId="8438" xr:uid="{1E820B6E-48F1-4E8B-9A2C-566FD1EDD24B}"/>
    <cellStyle name="Ввод  1 18 2 2 2" xfId="10950" xr:uid="{FC1737AB-D9DD-4D71-9EF1-218DF518261D}"/>
    <cellStyle name="Ввод  1 18 2 2 2 2" xfId="27764" xr:uid="{31408BBD-C85D-4BD8-AB0D-5AB64B114D70}"/>
    <cellStyle name="Ввод  1 18 2 2 2 3" xfId="40930" xr:uid="{0C7E54BF-5F6B-4B51-A8F2-1BCFD61F6FA8}"/>
    <cellStyle name="Ввод  1 18 2 2 3" xfId="25940" xr:uid="{3A61050E-BFE7-486C-B91F-61F10796095C}"/>
    <cellStyle name="Ввод  1 18 2 2 4" xfId="39016" xr:uid="{54DFA54F-994E-46FC-81E1-6A2190F607A1}"/>
    <cellStyle name="Ввод  1 18 2 3" xfId="6805" xr:uid="{982B025B-A2B8-4B8D-8541-0D10219A193F}"/>
    <cellStyle name="Ввод  1 18 2 3 2" xfId="11346" xr:uid="{BFECC27F-C8A1-46E2-B8CA-33A501302BF4}"/>
    <cellStyle name="Ввод  1 18 2 3 2 2" xfId="28125" xr:uid="{F5691959-8418-4548-BEAD-C9F68640C552}"/>
    <cellStyle name="Ввод  1 18 2 3 2 3" xfId="41313" xr:uid="{567ED766-29A9-4BA3-A748-548970F73B9E}"/>
    <cellStyle name="Ввод  1 18 2 3 3" xfId="24431" xr:uid="{A062DECE-2DFC-40A3-8B1E-D960E875D066}"/>
    <cellStyle name="Ввод  1 18 2 3 4" xfId="37512" xr:uid="{6375F79B-CD55-4BA8-BE4B-9A7D53D4AFC9}"/>
    <cellStyle name="Ввод  1 18 2 4" xfId="11263" xr:uid="{DEB6F4BE-B814-4B67-A650-6C7102F76A47}"/>
    <cellStyle name="Ввод  1 18 2 4 2" xfId="28050" xr:uid="{52BE8DD7-48A5-4328-98B3-7A9A2ADED171}"/>
    <cellStyle name="Ввод  1 18 2 4 3" xfId="41232" xr:uid="{565CD03E-15CB-4246-814B-62673235E393}"/>
    <cellStyle name="Ввод  1 18 2 5" xfId="21183" xr:uid="{68EAABDF-1222-4279-83D1-FC1ADBC2530C}"/>
    <cellStyle name="Ввод  1 18 2 6" xfId="34206" xr:uid="{70CA377B-159E-4E1C-8164-B1DBA4A41122}"/>
    <cellStyle name="Ввод  1 18 3" xfId="4822" xr:uid="{82A4440E-8FA5-4B04-BD49-C1B048FDF345}"/>
    <cellStyle name="Ввод  1 18 3 2" xfId="7466" xr:uid="{89FBC8F8-33E5-4D56-A9FC-DE143785019C}"/>
    <cellStyle name="Ввод  1 18 3 2 2" xfId="13854" xr:uid="{99910340-69C4-4269-8380-36F44D781F40}"/>
    <cellStyle name="Ввод  1 18 3 2 2 2" xfId="30255" xr:uid="{3A086C37-0128-42D3-8339-578D310D2068}"/>
    <cellStyle name="Ввод  1 18 3 2 2 3" xfId="43626" xr:uid="{9C2C3107-83EA-4746-8D55-BF4B121B39FE}"/>
    <cellStyle name="Ввод  1 18 3 2 3" xfId="25023" xr:uid="{421CBFE9-BF29-421D-9CFB-10946629D290}"/>
    <cellStyle name="Ввод  1 18 3 2 4" xfId="38099" xr:uid="{4D22F14C-373A-43A1-AF41-D0BDC4CD435D}"/>
    <cellStyle name="Ввод  1 18 3 3" xfId="12384" xr:uid="{571CBA26-AE45-47A9-91AA-D2B484513DB1}"/>
    <cellStyle name="Ввод  1 18 3 3 2" xfId="29050" xr:uid="{DAA8652F-35A2-49A9-9B78-2E90707D246D}"/>
    <cellStyle name="Ввод  1 18 3 3 3" xfId="42290" xr:uid="{6DE0023E-A3B0-4F5F-B304-293DBC8B506B}"/>
    <cellStyle name="Ввод  1 18 3 4" xfId="22624" xr:uid="{B2C82434-6465-4232-88EB-E804836A4EDB}"/>
    <cellStyle name="Ввод  1 18 3 5" xfId="35677" xr:uid="{F6D094CE-73F3-4B31-9068-64EE46E492C8}"/>
    <cellStyle name="Ввод  1 18 4" xfId="5849" xr:uid="{AAADD3AD-2813-41DE-AB4D-A4B01D7542E3}"/>
    <cellStyle name="Ввод  1 18 4 2" xfId="9007" xr:uid="{DC33D899-24C6-47C7-87E9-09B9A0316EBE}"/>
    <cellStyle name="Ввод  1 18 4 2 2" xfId="12189" xr:uid="{1F7C080B-247E-4F29-BE11-949630224B73}"/>
    <cellStyle name="Ввод  1 18 4 2 2 2" xfId="28882" xr:uid="{BA72F361-9CB7-4179-A016-3A10556E5017}"/>
    <cellStyle name="Ввод  1 18 4 2 2 3" xfId="42109" xr:uid="{56D8AACB-2469-48D9-84D8-304A1E29B201}"/>
    <cellStyle name="Ввод  1 18 4 2 3" xfId="26492" xr:uid="{367226AA-0D07-4673-B847-A5A47143BF23}"/>
    <cellStyle name="Ввод  1 18 4 2 4" xfId="39568" xr:uid="{4F320433-25EA-4BB8-9CE0-ACA1C280FDAA}"/>
    <cellStyle name="Ввод  1 18 4 3" xfId="12272" xr:uid="{D01B90E2-086B-4152-9971-3526EA1428B4}"/>
    <cellStyle name="Ввод  1 18 4 3 2" xfId="28950" xr:uid="{30ECE4AA-73A3-4AD6-9349-9D0319609143}"/>
    <cellStyle name="Ввод  1 18 4 3 3" xfId="42184" xr:uid="{8186DB3C-F909-43C2-8776-2FEAEFC2641B}"/>
    <cellStyle name="Ввод  1 18 4 4" xfId="23496" xr:uid="{1BDE37F3-D7C8-4E6B-A53F-821B7BABC8A2}"/>
    <cellStyle name="Ввод  1 18 4 5" xfId="36577" xr:uid="{32FFACD5-299E-4323-8AB1-F084D5593F53}"/>
    <cellStyle name="Ввод  1 18 5" xfId="13685" xr:uid="{DCF38F79-BC1E-4CDA-9FBD-EB17C2957EE2}"/>
    <cellStyle name="Ввод  1 18 5 2" xfId="30110" xr:uid="{B99422CA-7CD5-41EE-AE58-AE8305C49BEA}"/>
    <cellStyle name="Ввод  1 18 5 3" xfId="43469" xr:uid="{FF19B013-E5E6-47DC-92D8-65497C851F7C}"/>
    <cellStyle name="Ввод  1 18 6" xfId="21761" xr:uid="{8FCFB770-0A79-473C-A609-75BEDBB4CEA8}"/>
    <cellStyle name="Ввод  1 18 7" xfId="34812" xr:uid="{73993FBD-8645-41F1-86E3-C91720CBBF15}"/>
    <cellStyle name="Ввод  1 19" xfId="3978" xr:uid="{2D7F0802-F0E8-4E2E-BDC5-B1D1D6154739}"/>
    <cellStyle name="Ввод  1 19 2" xfId="3272" xr:uid="{395AFD2C-D5EB-4614-8B02-57ABD8F7F944}"/>
    <cellStyle name="Ввод  1 19 2 2" xfId="8552" xr:uid="{6205FDEA-4720-4710-AA3B-79900E880AD9}"/>
    <cellStyle name="Ввод  1 19 2 2 2" xfId="16356" xr:uid="{A26FC543-2168-4095-A50F-24F5C206F998}"/>
    <cellStyle name="Ввод  1 19 2 2 2 2" xfId="32377" xr:uid="{89BA768C-E89D-4E8B-8406-C0AD417E8A1E}"/>
    <cellStyle name="Ввод  1 19 2 2 2 3" xfId="45910" xr:uid="{863482D1-D17E-4F17-91C1-258757F41245}"/>
    <cellStyle name="Ввод  1 19 2 2 3" xfId="26050" xr:uid="{B1EEA055-6933-4C61-87E1-DF6FB7356AE2}"/>
    <cellStyle name="Ввод  1 19 2 2 4" xfId="39126" xr:uid="{4F5B92DD-7500-4C81-8404-D489732A69FC}"/>
    <cellStyle name="Ввод  1 19 2 3" xfId="6927" xr:uid="{855EAD45-632B-46B4-A645-14C2129BFC8D}"/>
    <cellStyle name="Ввод  1 19 2 3 2" xfId="11641" xr:uid="{B0BF79B4-D3A2-4327-9B72-A9E3F0306F01}"/>
    <cellStyle name="Ввод  1 19 2 3 2 2" xfId="28384" xr:uid="{C3056ABC-6584-454C-A955-755C441ECA77}"/>
    <cellStyle name="Ввод  1 19 2 3 2 3" xfId="41588" xr:uid="{697DC6FD-1852-4A17-9485-F31BE2D90552}"/>
    <cellStyle name="Ввод  1 19 2 3 3" xfId="24549" xr:uid="{AF3B4C8D-A656-4A87-AFFA-0E782C8709FB}"/>
    <cellStyle name="Ввод  1 19 2 3 4" xfId="37630" xr:uid="{8B48B093-220B-436E-94D6-BDCDB70E55E2}"/>
    <cellStyle name="Ввод  1 19 2 4" xfId="15047" xr:uid="{96D0AD05-DAF3-4EFC-A28C-BFD4B0AAB5BB}"/>
    <cellStyle name="Ввод  1 19 2 4 2" xfId="31261" xr:uid="{E8CC26BF-68B2-430F-A4C3-E5E38CB50B8C}"/>
    <cellStyle name="Ввод  1 19 2 4 3" xfId="44717" xr:uid="{AD118D05-48BF-45F7-B81B-7B05F795B793}"/>
    <cellStyle name="Ввод  1 19 2 5" xfId="21301" xr:uid="{95940156-7EA9-4F71-97F1-02D066113146}"/>
    <cellStyle name="Ввод  1 19 2 6" xfId="34324" xr:uid="{37495A34-9536-40B4-94A6-E39C6CBBE06F}"/>
    <cellStyle name="Ввод  1 19 3" xfId="4890" xr:uid="{9F781178-BEDA-4DD3-94A0-4DB80A75374C}"/>
    <cellStyle name="Ввод  1 19 3 2" xfId="7558" xr:uid="{547D57C9-EC23-4CCC-91A3-CFB93F2AF747}"/>
    <cellStyle name="Ввод  1 19 3 2 2" xfId="11274" xr:uid="{F49E8DC8-7304-4F76-B11F-796FBA0BEBF0}"/>
    <cellStyle name="Ввод  1 19 3 2 2 2" xfId="28061" xr:uid="{9F42565E-05F8-4F98-A48F-414623D62BB3}"/>
    <cellStyle name="Ввод  1 19 3 2 2 3" xfId="41243" xr:uid="{9B0F74EC-5D93-4E9D-8600-AB1F471C0D44}"/>
    <cellStyle name="Ввод  1 19 3 2 3" xfId="25086" xr:uid="{97603DA1-95B2-4F8C-9918-49CE28377736}"/>
    <cellStyle name="Ввод  1 19 3 2 4" xfId="38162" xr:uid="{0C69C396-4388-477D-BD91-9A843D6BB3EE}"/>
    <cellStyle name="Ввод  1 19 3 3" xfId="11027" xr:uid="{A87209E3-A95C-4545-A111-2BC35EAE86CF}"/>
    <cellStyle name="Ввод  1 19 3 3 2" xfId="27834" xr:uid="{9E7D3C94-C3A5-4260-827A-672D64153E92}"/>
    <cellStyle name="Ввод  1 19 3 3 3" xfId="41007" xr:uid="{2FF82F02-B984-483D-A0A1-08746004C570}"/>
    <cellStyle name="Ввод  1 19 3 4" xfId="22687" xr:uid="{47177A4A-0847-4C5D-9F21-F7BA0EE19BE8}"/>
    <cellStyle name="Ввод  1 19 3 5" xfId="35740" xr:uid="{1B37327F-F95C-4D78-B5F4-43048FEDEC7D}"/>
    <cellStyle name="Ввод  1 19 4" xfId="5912" xr:uid="{5F3D6BA4-7AF1-43E6-B6D0-7266BCB0AB5B}"/>
    <cellStyle name="Ввод  1 19 4 2" xfId="9072" xr:uid="{D1003677-16C9-4D5F-9074-DEA4B28B70CE}"/>
    <cellStyle name="Ввод  1 19 4 2 2" xfId="11186" xr:uid="{9D226604-9874-4945-8811-7469813233DE}"/>
    <cellStyle name="Ввод  1 19 4 2 2 2" xfId="27980" xr:uid="{5943D562-AC6D-4BF4-8853-FDC86D2D792F}"/>
    <cellStyle name="Ввод  1 19 4 2 2 3" xfId="41162" xr:uid="{19023110-2910-4A4C-9098-1CB9B0CBE09B}"/>
    <cellStyle name="Ввод  1 19 4 2 3" xfId="26553" xr:uid="{B262B7BE-4677-4CC5-96C8-57ABB18D23A4}"/>
    <cellStyle name="Ввод  1 19 4 2 4" xfId="39629" xr:uid="{818FD417-2384-4505-8A6F-88536D722497}"/>
    <cellStyle name="Ввод  1 19 4 3" xfId="11167" xr:uid="{CB020A63-8614-440B-9693-009A32BF1962}"/>
    <cellStyle name="Ввод  1 19 4 3 2" xfId="27961" xr:uid="{A9B36570-FEA4-43F1-B158-5B5C76C9F36C}"/>
    <cellStyle name="Ввод  1 19 4 3 3" xfId="41143" xr:uid="{064ED1D9-ECF7-4813-8FD1-1E56D2C095B7}"/>
    <cellStyle name="Ввод  1 19 4 4" xfId="23559" xr:uid="{1A3C6876-C966-4DDE-B402-EF0A2F36CCEA}"/>
    <cellStyle name="Ввод  1 19 4 5" xfId="36640" xr:uid="{87C62319-8894-447D-BC53-493ECAEEA2C0}"/>
    <cellStyle name="Ввод  1 19 5" xfId="16877" xr:uid="{DF932EC0-C756-4736-869C-F14B09B11BB7}"/>
    <cellStyle name="Ввод  1 19 5 2" xfId="32754" xr:uid="{4AF98436-9789-4075-B1B3-04FA3208CC27}"/>
    <cellStyle name="Ввод  1 19 5 3" xfId="46419" xr:uid="{B60FC254-3BB8-4E9C-9457-926B0BFC8AEA}"/>
    <cellStyle name="Ввод  1 19 6" xfId="21825" xr:uid="{21E8DF54-104F-46D4-A4D7-1647D00B1A04}"/>
    <cellStyle name="Ввод  1 19 7" xfId="34875" xr:uid="{BFB3A3FC-B3F8-46E2-A2E8-B14DCC01955B}"/>
    <cellStyle name="Ввод  1 2" xfId="3437" xr:uid="{3DFDCADF-7DF7-45B9-BF1A-27D7DD63AD2E}"/>
    <cellStyle name="Ввод  1 2 10" xfId="20490" xr:uid="{BB67A83F-0F1C-45DE-A146-2D78D22C27B6}"/>
    <cellStyle name="Ввод  1 2 11" xfId="34453" xr:uid="{E593D09A-5FAE-4E8E-AF74-CC7D86A8DE1B}"/>
    <cellStyle name="Ввод  1 2 2" xfId="2779" xr:uid="{748006F7-5025-436D-91D0-6E7E81EBA66D}"/>
    <cellStyle name="Ввод  1 2 2 2" xfId="5103" xr:uid="{F32660D2-6C0E-4009-B946-F7B9B435582C}"/>
    <cellStyle name="Ввод  1 2 2 2 2" xfId="8075" xr:uid="{56C782AD-D72D-4BDE-998E-36C815327684}"/>
    <cellStyle name="Ввод  1 2 2 2 2 2" xfId="14952" xr:uid="{84AAAE4F-C6A6-40C0-A7B1-03B94DCC6D26}"/>
    <cellStyle name="Ввод  1 2 2 2 2 2 2" xfId="31191" xr:uid="{BAF451D5-0623-4364-A819-4092AEEB8061}"/>
    <cellStyle name="Ввод  1 2 2 2 2 2 3" xfId="44638" xr:uid="{DD07C74A-7FBE-4933-96E9-77AAD078E535}"/>
    <cellStyle name="Ввод  1 2 2 2 2 3" xfId="25586" xr:uid="{48D895E4-81E8-4FC0-A27B-2566638BF67F}"/>
    <cellStyle name="Ввод  1 2 2 2 2 4" xfId="38662" xr:uid="{81455B50-BAEB-4EA2-82F0-432BD2957393}"/>
    <cellStyle name="Ввод  1 2 2 2 3" xfId="11003" xr:uid="{AB733D42-2D05-47D1-B63F-E79B5AAB96D7}"/>
    <cellStyle name="Ввод  1 2 2 2 3 2" xfId="27810" xr:uid="{B24C76FA-E484-4925-928B-15B293651A5B}"/>
    <cellStyle name="Ввод  1 2 2 2 3 3" xfId="40983" xr:uid="{DD2B86C5-5BB4-4A04-8811-45840B838983}"/>
    <cellStyle name="Ввод  1 2 2 2 4" xfId="22827" xr:uid="{F2979077-7526-46C5-838D-A92E1766C34C}"/>
    <cellStyle name="Ввод  1 2 2 2 5" xfId="35896" xr:uid="{87DF1FC7-2F04-4F1F-97B8-4EDC2BB9E72D}"/>
    <cellStyle name="Ввод  1 2 2 3" xfId="6442" xr:uid="{30583024-66C7-41A7-BAFE-F5F2C8787C4E}"/>
    <cellStyle name="Ввод  1 2 2 3 2" xfId="13902" xr:uid="{813B8F18-20D1-4E17-A87D-1BF2CC98E483}"/>
    <cellStyle name="Ввод  1 2 2 3 2 2" xfId="30294" xr:uid="{0938A6D7-942D-42A2-AAA3-66F990B0B1C1}"/>
    <cellStyle name="Ввод  1 2 2 3 2 3" xfId="43667" xr:uid="{67EE0517-CEB1-44AC-9729-66EF5B789926}"/>
    <cellStyle name="Ввод  1 2 2 3 3" xfId="24077" xr:uid="{EE1B6490-EB4F-450F-B407-8B1CB0442B1F}"/>
    <cellStyle name="Ввод  1 2 2 3 4" xfId="37158" xr:uid="{26497B38-E643-4A41-B2D3-917500E58F9C}"/>
    <cellStyle name="Ввод  1 2 2 4" xfId="12247" xr:uid="{FC98E4E0-18C8-4517-976F-254E016A53E2}"/>
    <cellStyle name="Ввод  1 2 2 4 2" xfId="28928" xr:uid="{E03E77E9-C368-487E-97FE-F7E80054E287}"/>
    <cellStyle name="Ввод  1 2 2 4 3" xfId="42161" xr:uid="{BD06C7F9-972B-400B-B447-C90221ACDDB0}"/>
    <cellStyle name="Ввод  1 2 2 5" xfId="20829" xr:uid="{EACAE1BD-29BF-43E9-998E-E773E6E08C33}"/>
    <cellStyle name="Ввод  1 2 2 6" xfId="33852" xr:uid="{7BD49EF7-0607-4669-8FAE-4098F20F298A}"/>
    <cellStyle name="Ввод  1 2 3" xfId="2520" xr:uid="{86AE1945-962E-4AA8-8A6C-146730A04D93}"/>
    <cellStyle name="Ввод  1 2 3 2" xfId="5198" xr:uid="{80BF1116-77F4-4D10-B120-6BC7D56E355A}"/>
    <cellStyle name="Ввод  1 2 3 2 2" xfId="6142" xr:uid="{90084ED1-8921-4628-933C-2DDB2E03A712}"/>
    <cellStyle name="Ввод  1 2 3 2 2 2" xfId="12182" xr:uid="{4A20B348-132E-44AA-B991-12E9B393820F}"/>
    <cellStyle name="Ввод  1 2 3 2 2 2 2" xfId="28876" xr:uid="{934B20B8-69C0-4149-B8B2-AC1C5B080CC1}"/>
    <cellStyle name="Ввод  1 2 3 2 2 2 3" xfId="42102" xr:uid="{473B0BD0-1359-473C-9464-976E0065C654}"/>
    <cellStyle name="Ввод  1 2 3 2 2 3" xfId="23787" xr:uid="{693F2F24-C980-4588-A17E-F7C728C11C43}"/>
    <cellStyle name="Ввод  1 2 3 2 2 4" xfId="36868" xr:uid="{40C59F6F-6F81-4FF4-A74D-3894E3259BBF}"/>
    <cellStyle name="Ввод  1 2 3 2 3" xfId="15868" xr:uid="{5DB1DF08-5E4C-4958-A96C-BDBD53FD04EB}"/>
    <cellStyle name="Ввод  1 2 3 2 3 2" xfId="31957" xr:uid="{F5436F96-F6AC-4C24-AF0B-20B4FDF48554}"/>
    <cellStyle name="Ввод  1 2 3 2 3 3" xfId="45471" xr:uid="{D88920C9-7214-4B98-83FB-73C7B1AF9CE1}"/>
    <cellStyle name="Ввод  1 2 3 2 4" xfId="22873" xr:uid="{DCF4C4D8-3F3E-45EE-85F2-5B6C5E9A27CD}"/>
    <cellStyle name="Ввод  1 2 3 2 5" xfId="35942" xr:uid="{08CC9E5C-6A6C-409D-BD14-23FDBB2E87FC}"/>
    <cellStyle name="Ввод  1 2 3 3" xfId="6186" xr:uid="{F967516E-2397-4C81-83AE-6A3C2DBE2C72}"/>
    <cellStyle name="Ввод  1 2 3 3 2" xfId="14107" xr:uid="{8AADF700-BAB6-4C2C-A395-E17F42F6A2A3}"/>
    <cellStyle name="Ввод  1 2 3 3 2 2" xfId="30474" xr:uid="{42CE0BF0-09EF-454A-8484-C1A4F333BC34}"/>
    <cellStyle name="Ввод  1 2 3 3 2 3" xfId="43857" xr:uid="{2CF4AA15-3A50-490B-BEDB-89015A29BDA3}"/>
    <cellStyle name="Ввод  1 2 3 3 3" xfId="23831" xr:uid="{B1EC4F3D-DAB8-4EE1-9CFB-2DEA187625DB}"/>
    <cellStyle name="Ввод  1 2 3 3 4" xfId="36912" xr:uid="{E747D578-A0AA-4551-8C11-B1148E3569C5}"/>
    <cellStyle name="Ввод  1 2 3 4" xfId="13701" xr:uid="{19582DC7-71BC-44D8-A7F1-A29D12259C54}"/>
    <cellStyle name="Ввод  1 2 3 4 2" xfId="30122" xr:uid="{6C089E0A-398C-4F8D-A855-08B55D75DF64}"/>
    <cellStyle name="Ввод  1 2 3 4 3" xfId="43481" xr:uid="{AD5EC8D4-A15E-4739-8CF6-02968E62C850}"/>
    <cellStyle name="Ввод  1 2 3 5" xfId="20583" xr:uid="{6961FAC7-34A7-48E6-AC4D-E2DFE45EDE07}"/>
    <cellStyle name="Ввод  1 2 3 6" xfId="33606" xr:uid="{AE57D8DC-1D64-499E-8F5E-03F84D9B2399}"/>
    <cellStyle name="Ввод  1 2 4" xfId="2619" xr:uid="{94BFA433-7B43-440C-A9BE-A8701A3C87CE}"/>
    <cellStyle name="Ввод  1 2 4 2" xfId="5007" xr:uid="{53894DA5-D47A-4B02-BDEC-A723BCE1F4B9}"/>
    <cellStyle name="Ввод  1 2 4 2 2" xfId="7916" xr:uid="{DEA8B2C4-64AB-45FE-9D73-8CEAD8D68E9A}"/>
    <cellStyle name="Ввод  1 2 4 2 2 2" xfId="13060" xr:uid="{589BEF64-1BBB-4D96-870B-C5415028FD9C}"/>
    <cellStyle name="Ввод  1 2 4 2 2 2 2" xfId="29585" xr:uid="{50AA5904-5944-470E-935C-F9501C282C76}"/>
    <cellStyle name="Ввод  1 2 4 2 2 2 3" xfId="42890" xr:uid="{95F82E59-23DD-4AC4-A8AA-E4B31FD9D91A}"/>
    <cellStyle name="Ввод  1 2 4 2 2 3" xfId="25432" xr:uid="{B3489271-A4D4-4562-8994-36826A419BA8}"/>
    <cellStyle name="Ввод  1 2 4 2 2 4" xfId="38508" xr:uid="{B6D9BABA-A9E6-4796-88F7-05DCB8A14F34}"/>
    <cellStyle name="Ввод  1 2 4 2 3" xfId="17164" xr:uid="{BB9DE9D7-3FE0-403B-8E92-9631E6B7FFAB}"/>
    <cellStyle name="Ввод  1 2 4 2 3 2" xfId="32927" xr:uid="{EB7A58F8-2636-44FA-B54A-293B235A12EF}"/>
    <cellStyle name="Ввод  1 2 4 2 3 3" xfId="46699" xr:uid="{5DF7BD74-EB75-4EE9-8537-25089A5711FF}"/>
    <cellStyle name="Ввод  1 2 4 2 4" xfId="22771" xr:uid="{9F1BA913-1625-4A8D-857A-039BDEF1FE70}"/>
    <cellStyle name="Ввод  1 2 4 2 5" xfId="35831" xr:uid="{5BE568E9-2B11-464B-8616-F526C962F777}"/>
    <cellStyle name="Ввод  1 2 4 3" xfId="6283" xr:uid="{2421FCE9-D596-46B8-9FD3-3388523EC501}"/>
    <cellStyle name="Ввод  1 2 4 3 2" xfId="14442" xr:uid="{C6167F0D-7ACC-431D-A79F-7533234B387C}"/>
    <cellStyle name="Ввод  1 2 4 3 2 2" xfId="30771" xr:uid="{3E3F08E0-118D-414B-9A19-7D2B5B864E21}"/>
    <cellStyle name="Ввод  1 2 4 3 2 3" xfId="44171" xr:uid="{D85E5579-239C-4CE3-90A1-07DFF5C19C19}"/>
    <cellStyle name="Ввод  1 2 4 3 3" xfId="23923" xr:uid="{D5102FAD-C97E-4550-BBC1-38E658A05FB4}"/>
    <cellStyle name="Ввод  1 2 4 3 4" xfId="37004" xr:uid="{6ADBCBF9-B9DB-487F-A1D8-DF97765FE041}"/>
    <cellStyle name="Ввод  1 2 4 4" xfId="14916" xr:uid="{8B2B2BA7-7C23-467A-AEBA-5572E6863C36}"/>
    <cellStyle name="Ввод  1 2 4 4 2" xfId="31162" xr:uid="{1199F761-D51C-40C6-B539-C8090FB66820}"/>
    <cellStyle name="Ввод  1 2 4 4 3" xfId="44605" xr:uid="{B6453144-C73D-4338-9D28-58E885B4A65A}"/>
    <cellStyle name="Ввод  1 2 4 5" xfId="20675" xr:uid="{86DBD48C-614E-4E45-8D90-836344D04194}"/>
    <cellStyle name="Ввод  1 2 4 6" xfId="33698" xr:uid="{0E9AE7DC-C95F-4EEE-8D1D-E1CA80F70614}"/>
    <cellStyle name="Ввод  1 2 5" xfId="4249" xr:uid="{F4C2C02E-B4DB-476F-A9DC-C1B270A5D985}"/>
    <cellStyle name="Ввод  1 2 5 2" xfId="4984" xr:uid="{1F6F3192-8E87-4A81-9685-80509E2045D0}"/>
    <cellStyle name="Ввод  1 2 5 2 2" xfId="9301" xr:uid="{BF68A4C6-877F-4C79-A338-890E836819E0}"/>
    <cellStyle name="Ввод  1 2 5 2 2 2" xfId="14108" xr:uid="{9C8EE3DC-B0BA-475B-8803-214D42BD1E7B}"/>
    <cellStyle name="Ввод  1 2 5 2 2 2 2" xfId="30475" xr:uid="{0C577E33-1E53-4161-A9BB-FC86E5DD3196}"/>
    <cellStyle name="Ввод  1 2 5 2 2 2 3" xfId="43858" xr:uid="{AD3AEE25-08CA-4A69-8101-55C844C0AC36}"/>
    <cellStyle name="Ввод  1 2 5 2 2 3" xfId="26774" xr:uid="{9F8D8339-A0DF-48FA-B18F-181487A6ABCD}"/>
    <cellStyle name="Ввод  1 2 5 2 2 4" xfId="39850" xr:uid="{00196264-EDEE-44FE-835A-577CBC96729D}"/>
    <cellStyle name="Ввод  1 2 5 2 3" xfId="15529" xr:uid="{F42E2E42-8C0E-4712-9476-26AE0CC0116F}"/>
    <cellStyle name="Ввод  1 2 5 2 3 2" xfId="31665" xr:uid="{721684BC-AFAE-4A2C-AA82-22C04A458328}"/>
    <cellStyle name="Ввод  1 2 5 2 3 3" xfId="45164" xr:uid="{85AA291C-0DBB-4CAE-99DE-D0DDE0FDC173}"/>
    <cellStyle name="Ввод  1 2 5 2 4" xfId="22756" xr:uid="{35370C60-02CD-44B3-BCA4-EFCADF99E6C4}"/>
    <cellStyle name="Ввод  1 2 5 2 5" xfId="35813" xr:uid="{511B2074-8ADF-489E-A362-84270C5E837D}"/>
    <cellStyle name="Ввод  1 2 5 3" xfId="7813" xr:uid="{19164092-2848-417F-AF98-79DCEB302551}"/>
    <cellStyle name="Ввод  1 2 5 3 2" xfId="11947" xr:uid="{A80A4780-8769-4F36-A6F3-194BCCECFEFD}"/>
    <cellStyle name="Ввод  1 2 5 3 2 2" xfId="28657" xr:uid="{98C64871-7AB9-473D-960A-26C939B34689}"/>
    <cellStyle name="Ввод  1 2 5 3 2 3" xfId="41875" xr:uid="{66738BCC-3E7F-4695-BDE8-59CE8DBC1898}"/>
    <cellStyle name="Ввод  1 2 5 3 3" xfId="25333" xr:uid="{C7C8A9E4-8A31-48FF-9A41-7620E9393A03}"/>
    <cellStyle name="Ввод  1 2 5 3 4" xfId="38409" xr:uid="{534822AE-90DD-480C-ABCD-1D241F1DCFB4}"/>
    <cellStyle name="Ввод  1 2 5 4" xfId="16298" xr:uid="{14553CF0-1920-4D51-9164-057221DA4000}"/>
    <cellStyle name="Ввод  1 2 5 4 2" xfId="32326" xr:uid="{27D9A942-E26F-4BA3-9745-D5B9B27003F0}"/>
    <cellStyle name="Ввод  1 2 5 4 3" xfId="45857" xr:uid="{00BC2A30-9A62-4FDA-8853-CE54DAB4A488}"/>
    <cellStyle name="Ввод  1 2 5 5" xfId="22074" xr:uid="{84285FF5-7F53-4460-9E75-090D4875542D}"/>
    <cellStyle name="Ввод  1 2 5 6" xfId="35123" xr:uid="{06177B59-04C8-48DA-82D9-AF514A62482D}"/>
    <cellStyle name="Ввод  1 2 6" xfId="4439" xr:uid="{F59FDFCD-2535-4B42-AF1E-D04601BC71A3}"/>
    <cellStyle name="Ввод  1 2 6 2" xfId="7079" xr:uid="{81AFBC75-20A1-426A-8C71-9FD72ED4A424}"/>
    <cellStyle name="Ввод  1 2 6 2 2" xfId="15645" xr:uid="{ABD6A2CD-861E-4D07-9973-627D739550AC}"/>
    <cellStyle name="Ввод  1 2 6 2 2 2" xfId="31764" xr:uid="{EF813670-B0D7-46A3-8B65-CE260E96E361}"/>
    <cellStyle name="Ввод  1 2 6 2 2 3" xfId="45269" xr:uid="{9A1CAAB6-6CEE-434F-9029-CF34D1E7C650}"/>
    <cellStyle name="Ввод  1 2 6 2 3" xfId="24678" xr:uid="{570D7F5C-4043-48F9-902F-C417A7522624}"/>
    <cellStyle name="Ввод  1 2 6 2 4" xfId="37759" xr:uid="{4D0ABAEE-3398-493E-8838-3CC00E438C64}"/>
    <cellStyle name="Ввод  1 2 6 3" xfId="15192" xr:uid="{E58B9136-CD89-47A3-9CB3-D7C83C9B014D}"/>
    <cellStyle name="Ввод  1 2 6 3 2" xfId="31376" xr:uid="{B5D5F965-7341-4BCA-A806-D9687E775113}"/>
    <cellStyle name="Ввод  1 2 6 3 3" xfId="44847" xr:uid="{4F1B1109-CD01-451E-98F3-B5A4DD33BC93}"/>
    <cellStyle name="Ввод  1 2 6 4" xfId="22257" xr:uid="{B84677CF-B129-425B-A3A6-F50EE1B57E6B}"/>
    <cellStyle name="Ввод  1 2 6 5" xfId="35306" xr:uid="{4731807C-ACC4-4425-B6DC-F179F3F3D26D}"/>
    <cellStyle name="Ввод  1 2 7" xfId="5492" xr:uid="{4B048612-52FD-4C6D-85AA-879C4A97E613}"/>
    <cellStyle name="Ввод  1 2 7 2" xfId="8674" xr:uid="{ED169458-08B2-4E14-BCA5-CF2927A185BC}"/>
    <cellStyle name="Ввод  1 2 7 2 2" xfId="10878" xr:uid="{A0346F87-DD92-4314-87FB-58DC4EAB7A8D}"/>
    <cellStyle name="Ввод  1 2 7 2 2 2" xfId="27703" xr:uid="{2C59BD1C-10F3-4918-A63D-37127D17F073}"/>
    <cellStyle name="Ввод  1 2 7 2 2 3" xfId="40858" xr:uid="{999E055A-E673-4A1B-BD0E-3335D98A7A47}"/>
    <cellStyle name="Ввод  1 2 7 2 3" xfId="26167" xr:uid="{DA425575-2F4E-4CE2-9EE1-F17DFD7EDD82}"/>
    <cellStyle name="Ввод  1 2 7 2 4" xfId="39243" xr:uid="{78BDD005-8F64-495E-81C7-C709FD825350}"/>
    <cellStyle name="Ввод  1 2 7 3" xfId="14793" xr:uid="{BFDC1F7C-1DD2-485B-82CD-3BFA8B7E6A76}"/>
    <cellStyle name="Ввод  1 2 7 3 2" xfId="31059" xr:uid="{1C4352F0-4FC9-4F29-84AB-71A86C6BA0EF}"/>
    <cellStyle name="Ввод  1 2 7 3 3" xfId="44491" xr:uid="{F678D48D-44D3-47CA-907C-6ECF9BDB33E0}"/>
    <cellStyle name="Ввод  1 2 7 4" xfId="23139" xr:uid="{FD194B48-C85A-41F1-9AB1-2D63AD22B5AF}"/>
    <cellStyle name="Ввод  1 2 7 5" xfId="36220" xr:uid="{3496C62B-3276-4705-ADBC-31822187923B}"/>
    <cellStyle name="Ввод  1 2 8" xfId="13328" xr:uid="{9F44B914-5F39-4D8F-AF60-EE2AFCDB6BB0}"/>
    <cellStyle name="Ввод  1 2 8 2" xfId="29811" xr:uid="{E16B9D9A-7A93-4D0E-B630-FBDCF897CF90}"/>
    <cellStyle name="Ввод  1 2 8 3" xfId="43142" xr:uid="{DA82D3DD-08E1-4D87-9717-D46C41F9CBE7}"/>
    <cellStyle name="Ввод  1 2 9" xfId="17737" xr:uid="{CEFBFADA-3DCC-4197-B13A-E83059A536BD}"/>
    <cellStyle name="Ввод  1 2 9 2" xfId="33459" xr:uid="{322813C8-7CB7-4185-AC20-248A25F0E848}"/>
    <cellStyle name="Ввод  1 2 9 3" xfId="47242" xr:uid="{053B2FE7-F1D1-48BC-B3E7-2FDA05C33A8A}"/>
    <cellStyle name="Ввод  1 20" xfId="3142" xr:uid="{4DEB5D33-6D4D-4104-84B0-265D21E6B6DB}"/>
    <cellStyle name="Ввод  1 20 2" xfId="4986" xr:uid="{3D69721E-938D-4046-BD08-C9ECA05EC5B7}"/>
    <cellStyle name="Ввод  1 20 2 2" xfId="8434" xr:uid="{B09CC4DC-9848-416B-A367-CC325B5D2403}"/>
    <cellStyle name="Ввод  1 20 2 2 2" xfId="12439" xr:uid="{0F7B2FE1-36AF-4053-8260-AE1F27521062}"/>
    <cellStyle name="Ввод  1 20 2 2 2 2" xfId="29092" xr:uid="{23BFE7C1-4415-41A9-8BCB-7A40375F54FC}"/>
    <cellStyle name="Ввод  1 20 2 2 2 3" xfId="42337" xr:uid="{29939071-F456-4541-A05F-74400789F921}"/>
    <cellStyle name="Ввод  1 20 2 2 3" xfId="25936" xr:uid="{6E0DC24D-41A1-4A09-A4B9-DA151E66E7CC}"/>
    <cellStyle name="Ввод  1 20 2 2 4" xfId="39012" xr:uid="{B72D6DAF-22BA-4DF9-8CE3-E2CFCA9A3EB0}"/>
    <cellStyle name="Ввод  1 20 2 3" xfId="14672" xr:uid="{091A5A5C-E62D-4E80-BD73-4A53CE7806F5}"/>
    <cellStyle name="Ввод  1 20 2 3 2" xfId="30966" xr:uid="{D326B951-0C84-4789-8808-6FA285EA215E}"/>
    <cellStyle name="Ввод  1 20 2 3 3" xfId="44387" xr:uid="{9A92AC30-4C4C-454E-BD2A-6351356430C3}"/>
    <cellStyle name="Ввод  1 20 2 4" xfId="22758" xr:uid="{6D5926FC-6ABE-4BE7-A74A-65BD4922FD39}"/>
    <cellStyle name="Ввод  1 20 2 5" xfId="35815" xr:uid="{D55D0ACB-D3BC-4031-B6C6-E6CE63592864}"/>
    <cellStyle name="Ввод  1 20 3" xfId="6801" xr:uid="{AD4DF0C5-A0A1-4A1D-88C4-7AE206780DA2}"/>
    <cellStyle name="Ввод  1 20 3 2" xfId="12096" xr:uid="{E15005D2-66A3-45FB-AF48-A8ED808AC9A4}"/>
    <cellStyle name="Ввод  1 20 3 2 2" xfId="28796" xr:uid="{DB09922F-E33C-4CF1-A5DE-893562611FCC}"/>
    <cellStyle name="Ввод  1 20 3 2 3" xfId="42016" xr:uid="{8EDD36F4-9D4D-4DCC-AEA1-36B2479E9ADF}"/>
    <cellStyle name="Ввод  1 20 3 3" xfId="24427" xr:uid="{410639C7-A155-4E90-9528-94F70304ADA6}"/>
    <cellStyle name="Ввод  1 20 3 4" xfId="37508" xr:uid="{8365C719-1796-4488-A2FD-9963294AF96F}"/>
    <cellStyle name="Ввод  1 20 4" xfId="10586" xr:uid="{F5D127A2-09D5-476B-A3B1-22A7F3805312}"/>
    <cellStyle name="Ввод  1 20 4 2" xfId="27445" xr:uid="{815DCD69-EED2-4380-AB13-6DAF5B6B0AF8}"/>
    <cellStyle name="Ввод  1 20 4 3" xfId="40567" xr:uid="{8EC83C05-9F70-47FC-81BA-53DD44A466C2}"/>
    <cellStyle name="Ввод  1 20 5" xfId="21179" xr:uid="{EB707522-7690-4CBF-BE1C-11BAA8B23884}"/>
    <cellStyle name="Ввод  1 20 6" xfId="34202" xr:uid="{69122DA9-45A3-47F5-B347-B93323267BF7}"/>
    <cellStyle name="Ввод  1 21" xfId="2638" xr:uid="{A1AEF9FA-0567-49F6-812B-73A168B773CD}"/>
    <cellStyle name="Ввод  1 21 2" xfId="7935" xr:uid="{77E67EDE-6CDA-49C1-B31B-5271CBE29910}"/>
    <cellStyle name="Ввод  1 21 2 2" xfId="11589" xr:uid="{40DC76AE-5D28-43E1-883D-30A87C4AC027}"/>
    <cellStyle name="Ввод  1 21 2 2 2" xfId="28340" xr:uid="{9C3F3F5E-C91B-4F1B-8DAB-A4AF50C1D766}"/>
    <cellStyle name="Ввод  1 21 2 2 3" xfId="41541" xr:uid="{59061893-4B65-4614-BD01-42A7E0B4A480}"/>
    <cellStyle name="Ввод  1 21 2 3" xfId="25451" xr:uid="{71D7825C-5517-42C8-BDA8-137F4C312DFF}"/>
    <cellStyle name="Ввод  1 21 2 4" xfId="38527" xr:uid="{30AC4F8C-82A2-42BE-80D5-FAB2A35B3BF6}"/>
    <cellStyle name="Ввод  1 21 3" xfId="6302" xr:uid="{59309FF1-51D3-4A36-A831-1B811A978BE9}"/>
    <cellStyle name="Ввод  1 21 3 2" xfId="12920" xr:uid="{D231CCD6-6888-4A80-A69B-23FCEFB46D48}"/>
    <cellStyle name="Ввод  1 21 3 2 2" xfId="29465" xr:uid="{625F856E-C347-463F-998F-C098F96B3F34}"/>
    <cellStyle name="Ввод  1 21 3 2 3" xfId="42761" xr:uid="{9F71E607-86C4-4EBD-898D-83B070143A59}"/>
    <cellStyle name="Ввод  1 21 3 3" xfId="23942" xr:uid="{81BEE106-5C7C-4ED0-A65E-3A6FBBBE0060}"/>
    <cellStyle name="Ввод  1 21 3 4" xfId="37023" xr:uid="{05AB78BF-5654-4142-B5F2-8899CDD6F399}"/>
    <cellStyle name="Ввод  1 21 4" xfId="13376" xr:uid="{42D3B9B5-CACF-4685-BFEC-7D9A37E2FC49}"/>
    <cellStyle name="Ввод  1 21 4 2" xfId="29849" xr:uid="{8EF59186-EA5E-4142-A49C-26B5457C9FBC}"/>
    <cellStyle name="Ввод  1 21 4 3" xfId="43184" xr:uid="{5AB573B6-CFEE-4DB5-A7D0-D476C5802942}"/>
    <cellStyle name="Ввод  1 21 5" xfId="20694" xr:uid="{998874A2-41E1-49E9-92D9-D018BC39A397}"/>
    <cellStyle name="Ввод  1 21 6" xfId="33717" xr:uid="{ED581316-03A3-4B41-BAEB-E1C8205AAC7F}"/>
    <cellStyle name="Ввод  1 22" xfId="4108" xr:uid="{5B193499-3372-4D0E-82F1-D642C85F45FC}"/>
    <cellStyle name="Ввод  1 22 2" xfId="9160" xr:uid="{3F3AB030-19C2-461B-A936-CA4586E339B1}"/>
    <cellStyle name="Ввод  1 22 2 2" xfId="11289" xr:uid="{C9029F61-9D2D-43CE-820D-FB18047BDD6A}"/>
    <cellStyle name="Ввод  1 22 2 2 2" xfId="28074" xr:uid="{52EA1672-9F86-424A-94C1-1A6C0F4E88EF}"/>
    <cellStyle name="Ввод  1 22 2 2 3" xfId="41257" xr:uid="{64CB52DC-383B-43A4-93F4-D5B3BB2ED78C}"/>
    <cellStyle name="Ввод  1 22 2 3" xfId="26641" xr:uid="{EA623679-BB74-495F-941B-F16C643F89B4}"/>
    <cellStyle name="Ввод  1 22 2 4" xfId="39717" xr:uid="{BF9BC327-0B33-4AC0-B896-D6818903FFB8}"/>
    <cellStyle name="Ввод  1 22 3" xfId="7672" xr:uid="{1F4E72AE-140A-4C71-952B-7406991252B2}"/>
    <cellStyle name="Ввод  1 22 3 2" xfId="11903" xr:uid="{E991C972-9683-4159-A593-83A1EA3BE9FC}"/>
    <cellStyle name="Ввод  1 22 3 2 2" xfId="28618" xr:uid="{EE29A0CE-E1FA-44D8-AF5C-7BE23C4632BA}"/>
    <cellStyle name="Ввод  1 22 3 2 3" xfId="41834" xr:uid="{321448EF-0570-4907-93BA-4A2C59A294AB}"/>
    <cellStyle name="Ввод  1 22 3 3" xfId="25200" xr:uid="{5214D483-A3E3-499A-914A-B4FD769941B8}"/>
    <cellStyle name="Ввод  1 22 3 4" xfId="38276" xr:uid="{DECB6747-D41E-496D-830D-262A8C0591ED}"/>
    <cellStyle name="Ввод  1 22 4" xfId="10941" xr:uid="{DAB27DBE-D91A-4EDC-B2D8-53641C969BD2}"/>
    <cellStyle name="Ввод  1 22 4 2" xfId="27757" xr:uid="{341102FC-2551-4B76-B717-9228FC42F2D9}"/>
    <cellStyle name="Ввод  1 22 4 3" xfId="40921" xr:uid="{35D17273-95A1-49F0-BD33-44123577427E}"/>
    <cellStyle name="Ввод  1 22 5" xfId="21941" xr:uid="{91E10A6B-C076-463A-A835-A38983F24B50}"/>
    <cellStyle name="Ввод  1 22 6" xfId="34990" xr:uid="{82A81CA5-4BAF-4A5C-9C03-09E53EDD832B}"/>
    <cellStyle name="Ввод  1 23" xfId="2547" xr:uid="{363739AC-A7E6-4C17-BE6A-B5850A9349C9}"/>
    <cellStyle name="Ввод  1 23 2" xfId="7845" xr:uid="{CC6C4D8B-1A1F-4ED4-8AE3-BA5C04DC0689}"/>
    <cellStyle name="Ввод  1 23 2 2" xfId="11015" xr:uid="{6456FF85-C386-454A-9233-D53C2B295395}"/>
    <cellStyle name="Ввод  1 23 2 2 2" xfId="27822" xr:uid="{CDF5B3FA-675A-4263-A486-64E211D1AE5D}"/>
    <cellStyle name="Ввод  1 23 2 2 3" xfId="40995" xr:uid="{4B6FCA6E-3819-4F30-9300-DD007C040F9D}"/>
    <cellStyle name="Ввод  1 23 2 3" xfId="25364" xr:uid="{FAE399FD-7B5A-4175-A974-B7E6E9062E92}"/>
    <cellStyle name="Ввод  1 23 2 4" xfId="38440" xr:uid="{17CA43D6-E6F0-41D9-9FBC-3C9146810D22}"/>
    <cellStyle name="Ввод  1 23 3" xfId="6212" xr:uid="{96A67456-B219-4AFB-9BA0-9BBCE627B1F1}"/>
    <cellStyle name="Ввод  1 23 3 2" xfId="13030" xr:uid="{E1D80C52-89EF-4FA7-975C-130E56791EA2}"/>
    <cellStyle name="Ввод  1 23 3 2 2" xfId="29560" xr:uid="{3DD29951-94F2-4B71-8F62-B719BF5CB31A}"/>
    <cellStyle name="Ввод  1 23 3 2 3" xfId="42862" xr:uid="{B028B686-FAAE-46C9-A3A7-BB9F87FD7729}"/>
    <cellStyle name="Ввод  1 23 3 3" xfId="23855" xr:uid="{64D1D169-B256-4720-8A7E-4B84255DF369}"/>
    <cellStyle name="Ввод  1 23 3 4" xfId="36936" xr:uid="{B7B5E88A-051E-4584-A1E6-88914D427E3F}"/>
    <cellStyle name="Ввод  1 23 4" xfId="16301" xr:uid="{232616B7-8654-4303-993E-A25EAA13DDCD}"/>
    <cellStyle name="Ввод  1 23 4 2" xfId="32328" xr:uid="{EAA2E108-47E7-4381-8512-A512C8216456}"/>
    <cellStyle name="Ввод  1 23 4 3" xfId="45859" xr:uid="{CCD9255B-BABB-4909-A493-8490432CB6FF}"/>
    <cellStyle name="Ввод  1 23 5" xfId="20607" xr:uid="{65BB396A-EC5A-420C-BAB6-918AF33CCCA8}"/>
    <cellStyle name="Ввод  1 23 6" xfId="33630" xr:uid="{66D6A68E-F957-49EE-BCCB-30B03B5068B1}"/>
    <cellStyle name="Ввод  1 24" xfId="2528" xr:uid="{C19E4818-4DEA-408A-8546-641B7D01954A}"/>
    <cellStyle name="Ввод  1 24 2" xfId="6135" xr:uid="{E241869B-133D-47DD-9E39-932C3F4139B0}"/>
    <cellStyle name="Ввод  1 24 2 2" xfId="15715" xr:uid="{85F8CB13-66E0-4A99-84E6-16A890CC16DB}"/>
    <cellStyle name="Ввод  1 24 2 2 2" xfId="31825" xr:uid="{602DB2EF-A702-400F-9387-3F47FDAF2990}"/>
    <cellStyle name="Ввод  1 24 2 2 3" xfId="45334" xr:uid="{17D5218F-F121-4C8A-8528-8943D105AD0D}"/>
    <cellStyle name="Ввод  1 24 2 3" xfId="23780" xr:uid="{30C0D750-F865-4F9C-9EF4-1C534B023726}"/>
    <cellStyle name="Ввод  1 24 2 4" xfId="36861" xr:uid="{020C386E-E8B4-473B-9063-276297FD97A1}"/>
    <cellStyle name="Ввод  1 24 3" xfId="6194" xr:uid="{6C1BD3A2-FDE5-45CD-8EB0-C23F5E26A92D}"/>
    <cellStyle name="Ввод  1 24 3 2" xfId="15104" xr:uid="{FA1DE08F-B0FC-4FA5-AE41-F9FD4EE3F601}"/>
    <cellStyle name="Ввод  1 24 3 2 2" xfId="31310" xr:uid="{61360460-0843-4386-B8C9-929524EACA89}"/>
    <cellStyle name="Ввод  1 24 3 2 3" xfId="44771" xr:uid="{F1DB1AE9-A36E-480A-9E1E-FCCB92719C01}"/>
    <cellStyle name="Ввод  1 24 3 3" xfId="23839" xr:uid="{DC100441-C963-4138-97F7-C7893EF172D6}"/>
    <cellStyle name="Ввод  1 24 3 4" xfId="36920" xr:uid="{D3EE6589-CEDA-4297-8FFA-1A9388A8BF3E}"/>
    <cellStyle name="Ввод  1 24 4" xfId="13948" xr:uid="{05919799-3E6C-4550-B9F2-CB296CE7EBF0}"/>
    <cellStyle name="Ввод  1 24 4 2" xfId="30336" xr:uid="{89189143-3B70-4A62-9C12-88C75179903C}"/>
    <cellStyle name="Ввод  1 24 4 3" xfId="43713" xr:uid="{BF30CE01-218E-49E6-9B64-8316E66331CE}"/>
    <cellStyle name="Ввод  1 24 5" xfId="20591" xr:uid="{5EFA53A6-5144-46A2-A228-3A6765780DF6}"/>
    <cellStyle name="Ввод  1 24 6" xfId="33614" xr:uid="{AE4985C8-9377-4037-88EC-1A097906453B}"/>
    <cellStyle name="Ввод  1 25" xfId="4288" xr:uid="{AD03E88C-ACE0-44BD-A4E0-A4AE7F2E92C4}"/>
    <cellStyle name="Ввод  1 25 2" xfId="6157" xr:uid="{31B13FBB-4851-4BC7-9A6C-F0E981692351}"/>
    <cellStyle name="Ввод  1 25 2 2" xfId="12918" xr:uid="{69FC4FC2-18EA-4988-90AC-8AA2BD9FF76A}"/>
    <cellStyle name="Ввод  1 25 2 2 2" xfId="29463" xr:uid="{BF648671-7052-4B92-A3F8-41673B382528}"/>
    <cellStyle name="Ввод  1 25 2 2 3" xfId="42759" xr:uid="{818756DF-8C71-4724-A50D-4018B724892A}"/>
    <cellStyle name="Ввод  1 25 2 3" xfId="23802" xr:uid="{28327FBD-FC9B-4610-8196-95F423559C73}"/>
    <cellStyle name="Ввод  1 25 2 4" xfId="36883" xr:uid="{DC0C8AAE-1FE8-46CF-A0A7-279F770114C4}"/>
    <cellStyle name="Ввод  1 25 3" xfId="15789" xr:uid="{46DAD967-91F3-4992-8B85-0CF2377FE7DC}"/>
    <cellStyle name="Ввод  1 25 3 2" xfId="31890" xr:uid="{844133EF-8C88-4224-9129-ADD9C73678D3}"/>
    <cellStyle name="Ввод  1 25 3 3" xfId="45401" xr:uid="{EAAABF2F-AE47-47DF-A6EF-5FB4C3E60F64}"/>
    <cellStyle name="Ввод  1 25 4" xfId="22109" xr:uid="{021EEA76-E3D6-49E8-B8B7-F896F1CE4803}"/>
    <cellStyle name="Ввод  1 25 5" xfId="35158" xr:uid="{CFD98465-5BC8-43D8-82DA-1221D5ACD08D}"/>
    <cellStyle name="Ввод  1 26" xfId="5267" xr:uid="{852F0AAA-1E00-4D54-B4E5-9689318F50A4}"/>
    <cellStyle name="Ввод  1 26 2" xfId="9700" xr:uid="{4E7B56D2-167C-468C-8393-B546771D21F3}"/>
    <cellStyle name="Ввод  1 26 2 2" xfId="16169" xr:uid="{0BDBFF7E-9687-44D8-8D7B-5553DF91FF4E}"/>
    <cellStyle name="Ввод  1 26 2 2 2" xfId="32217" xr:uid="{44E74D20-68C6-44D6-9E11-2E9E126C0AAE}"/>
    <cellStyle name="Ввод  1 26 2 2 3" xfId="45739" xr:uid="{ED8D79BC-67DC-4409-9CCB-E22451F71A88}"/>
    <cellStyle name="Ввод  1 26 2 3" xfId="27000" xr:uid="{03E19FB9-C848-470F-BA30-FF4063597CA7}"/>
    <cellStyle name="Ввод  1 26 2 4" xfId="40116" xr:uid="{ABCBAEE9-6923-4971-A36C-EFACA46AC5AC}"/>
    <cellStyle name="Ввод  1 26 3" xfId="12047" xr:uid="{0BF786D5-4C40-4C0D-8C29-1DFB41F0DB72}"/>
    <cellStyle name="Ввод  1 26 3 2" xfId="28747" xr:uid="{D778DCD1-6A2A-4BBE-9BDA-3C6E7667E334}"/>
    <cellStyle name="Ввод  1 26 3 3" xfId="41967" xr:uid="{BE45068B-D1BF-4D7F-9690-EC158474EBF3}"/>
    <cellStyle name="Ввод  1 26 4" xfId="22919" xr:uid="{CD8E9983-FD91-4501-BE39-EEA6178E8706}"/>
    <cellStyle name="Ввод  1 26 5" xfId="35997" xr:uid="{6ADBF1FC-B0BA-4B25-B563-9E1269922149}"/>
    <cellStyle name="Ввод  1 27" xfId="10558" xr:uid="{451DA2B3-1420-4EA6-8470-1F8032E47C61}"/>
    <cellStyle name="Ввод  1 27 2" xfId="17603" xr:uid="{E09F3959-2183-4A47-B3C8-75D99CB0C381}"/>
    <cellStyle name="Ввод  1 27 2 2" xfId="33338" xr:uid="{3CF725BA-3DC0-46D9-AB97-25D4C2286FE3}"/>
    <cellStyle name="Ввод  1 27 2 3" xfId="47128" xr:uid="{7450B4F7-F9EC-4F2F-B0CE-3CB2FE99BA95}"/>
    <cellStyle name="Ввод  1 27 3" xfId="27417" xr:uid="{B6542FB8-941A-4E5A-AC62-F13117BA7535}"/>
    <cellStyle name="Ввод  1 27 4" xfId="40539" xr:uid="{FFA4F2A5-82EF-48CD-8A04-DCECB4DAA84F}"/>
    <cellStyle name="Ввод  1 28" xfId="11985" xr:uid="{E6310726-75D7-4DD7-A1D2-E162BDF6CF4A}"/>
    <cellStyle name="Ввод  1 28 2" xfId="28691" xr:uid="{927AA0C8-6586-4630-9DEC-A4499E9A4F6D}"/>
    <cellStyle name="Ввод  1 28 3" xfId="41909" xr:uid="{AAD6F1B0-3CA2-4131-B970-D28040B2E6E3}"/>
    <cellStyle name="Ввод  1 29" xfId="15690" xr:uid="{DF23B8ED-FD21-4C29-8591-070E0D023910}"/>
    <cellStyle name="Ввод  1 29 2" xfId="31802" xr:uid="{0A95057F-6392-4C6A-865C-2ADA4D47E60E}"/>
    <cellStyle name="Ввод  1 29 3" xfId="45310" xr:uid="{2F288B88-FD95-48F8-8083-CEF7308370B7}"/>
    <cellStyle name="Ввод  1 3" xfId="3345" xr:uid="{52CC6B33-4AE0-428D-A477-F952E094882C}"/>
    <cellStyle name="Ввод  1 3 10" xfId="34391" xr:uid="{47ECDCAB-BF1D-4ED4-9AEA-7755037CECBE}"/>
    <cellStyle name="Ввод  1 3 2" xfId="2707" xr:uid="{40DD8740-C3F2-473B-9451-A0C9C4BAFDA0}"/>
    <cellStyle name="Ввод  1 3 2 2" xfId="8003" xr:uid="{5613346A-86B5-4A49-94BE-CA61FA35E9E2}"/>
    <cellStyle name="Ввод  1 3 2 2 2" xfId="17186" xr:uid="{1991C6FD-1DFC-457E-B7AC-756312D86009}"/>
    <cellStyle name="Ввод  1 3 2 2 2 2" xfId="32949" xr:uid="{F7317AFA-F801-4679-B098-D27555046E37}"/>
    <cellStyle name="Ввод  1 3 2 2 2 3" xfId="46721" xr:uid="{FF59B25C-E655-4DBA-BDEF-06522F588F02}"/>
    <cellStyle name="Ввод  1 3 2 2 3" xfId="25518" xr:uid="{17E64375-E760-4933-88E4-4BDC7624C40B}"/>
    <cellStyle name="Ввод  1 3 2 2 4" xfId="38594" xr:uid="{79ECF3D5-907E-494D-8550-5241127CAC8B}"/>
    <cellStyle name="Ввод  1 3 2 3" xfId="6370" xr:uid="{80DE1221-94B7-49DD-98EB-355F1949A0C7}"/>
    <cellStyle name="Ввод  1 3 2 3 2" xfId="16765" xr:uid="{5FA93DDB-C0FB-42E2-9045-9B8311F0118D}"/>
    <cellStyle name="Ввод  1 3 2 3 2 2" xfId="32647" xr:uid="{0C32B765-E831-49C7-8648-57A74893E482}"/>
    <cellStyle name="Ввод  1 3 2 3 2 3" xfId="46308" xr:uid="{530B238E-885D-428D-9546-35F210DCF50B}"/>
    <cellStyle name="Ввод  1 3 2 3 3" xfId="24009" xr:uid="{9C38A01B-78C7-4533-AA6E-BAF72E4ADA6F}"/>
    <cellStyle name="Ввод  1 3 2 3 4" xfId="37090" xr:uid="{464DDE2F-E345-4ABF-B759-040186112BB0}"/>
    <cellStyle name="Ввод  1 3 2 4" xfId="16628" xr:uid="{597B0AC6-E642-437E-886B-980BC5818BE2}"/>
    <cellStyle name="Ввод  1 3 2 4 2" xfId="32534" xr:uid="{A9542E7B-24B3-4451-AA83-653B0C0B0809}"/>
    <cellStyle name="Ввод  1 3 2 4 3" xfId="46175" xr:uid="{DD97F1B5-CBE4-452C-95B1-E052441DFA23}"/>
    <cellStyle name="Ввод  1 3 2 5" xfId="20761" xr:uid="{4223C52A-4407-4DD7-B170-4BD2B042CC35}"/>
    <cellStyle name="Ввод  1 3 2 6" xfId="33784" xr:uid="{70EB0FB7-0521-4BE4-BD1C-424EF3072269}"/>
    <cellStyle name="Ввод  1 3 3" xfId="4089" xr:uid="{1F6F8683-87A5-45F3-84E2-B99AB29485B2}"/>
    <cellStyle name="Ввод  1 3 3 2" xfId="9141" xr:uid="{CB96C8E9-DE63-426E-8E07-DF897343493A}"/>
    <cellStyle name="Ввод  1 3 3 2 2" xfId="15309" xr:uid="{1A021075-75B7-4B00-943E-273D44E05806}"/>
    <cellStyle name="Ввод  1 3 3 2 2 2" xfId="31474" xr:uid="{A2D36065-D017-46AF-BF24-90DA14790420}"/>
    <cellStyle name="Ввод  1 3 3 2 2 3" xfId="44955" xr:uid="{D4FAA8FC-F4FD-41BA-B141-259BC5C14CB5}"/>
    <cellStyle name="Ввод  1 3 3 2 3" xfId="26622" xr:uid="{368456BA-3741-4220-9F2E-B9F4634BB8FC}"/>
    <cellStyle name="Ввод  1 3 3 2 4" xfId="39698" xr:uid="{6CA68E94-5F1A-4F3A-88A8-ABB2CDD09444}"/>
    <cellStyle name="Ввод  1 3 3 3" xfId="7653" xr:uid="{D14494C2-B900-4046-96B1-ED822B2415E9}"/>
    <cellStyle name="Ввод  1 3 3 3 2" xfId="16713" xr:uid="{8F60B695-7A18-4223-9AAA-14FFFE04387F}"/>
    <cellStyle name="Ввод  1 3 3 3 2 2" xfId="32597" xr:uid="{B3FB245B-5669-4382-8799-8C943A9F6AC3}"/>
    <cellStyle name="Ввод  1 3 3 3 2 3" xfId="46257" xr:uid="{38CADFD0-6CE2-49EC-AADE-F90082463186}"/>
    <cellStyle name="Ввод  1 3 3 3 3" xfId="25181" xr:uid="{361BD728-6C59-45E6-B00F-DD05CA68589B}"/>
    <cellStyle name="Ввод  1 3 3 3 4" xfId="38257" xr:uid="{7BE4DDE8-D0F4-41C7-B360-FB08CA6BDC86}"/>
    <cellStyle name="Ввод  1 3 3 4" xfId="11569" xr:uid="{3733BFB7-5A2E-4D10-8976-7D39F4120F44}"/>
    <cellStyle name="Ввод  1 3 3 4 2" xfId="28323" xr:uid="{D10C5BB2-C78D-47D0-9381-964CE591EE09}"/>
    <cellStyle name="Ввод  1 3 3 4 3" xfId="41522" xr:uid="{C3AB6C76-6E83-4F9C-8D9B-6B941B1D6098}"/>
    <cellStyle name="Ввод  1 3 3 5" xfId="21922" xr:uid="{59119D8C-EE75-4FAE-80C9-B759EC3DD0C3}"/>
    <cellStyle name="Ввод  1 3 3 6" xfId="34971" xr:uid="{821C37E6-B57A-4E53-9977-D1DC4426CC37}"/>
    <cellStyle name="Ввод  1 3 4" xfId="2587" xr:uid="{703819B6-0893-424B-9BD9-28C412843B35}"/>
    <cellStyle name="Ввод  1 3 4 2" xfId="7884" xr:uid="{E25EE7C8-DB58-4639-9F3A-DDAF55F8A414}"/>
    <cellStyle name="Ввод  1 3 4 2 2" xfId="17483" xr:uid="{9EC8BC54-FF90-4ADB-BCD9-8817F85E0E97}"/>
    <cellStyle name="Ввод  1 3 4 2 2 2" xfId="33226" xr:uid="{4A0ED899-1963-4B93-B5A9-9E48BF51B071}"/>
    <cellStyle name="Ввод  1 3 4 2 2 3" xfId="47012" xr:uid="{C0C1098E-22E5-4CBB-B95A-5B9D2B86992A}"/>
    <cellStyle name="Ввод  1 3 4 2 3" xfId="25403" xr:uid="{491F2EE6-E74E-49E2-BD8D-EBFDB64CDBDB}"/>
    <cellStyle name="Ввод  1 3 4 2 4" xfId="38479" xr:uid="{A14D065F-4C80-44EE-BCF9-79329BAA71C3}"/>
    <cellStyle name="Ввод  1 3 4 3" xfId="6251" xr:uid="{7E6565CB-96FB-4C90-BA94-1800D2582602}"/>
    <cellStyle name="Ввод  1 3 4 3 2" xfId="15562" xr:uid="{A6A03A2B-FA4F-444D-B02A-96A1B133A449}"/>
    <cellStyle name="Ввод  1 3 4 3 2 2" xfId="31692" xr:uid="{AB359B3D-4EB5-4236-AD08-045919D62D30}"/>
    <cellStyle name="Ввод  1 3 4 3 2 3" xfId="45194" xr:uid="{81DF6EF2-6DB6-4289-8531-C19A35CBC6B4}"/>
    <cellStyle name="Ввод  1 3 4 3 3" xfId="23894" xr:uid="{FA723227-0CA6-4436-B0AF-BE7295BC8960}"/>
    <cellStyle name="Ввод  1 3 4 3 4" xfId="36975" xr:uid="{D79EFFDD-D7CD-491E-BBCE-114A3A40C435}"/>
    <cellStyle name="Ввод  1 3 4 4" xfId="15955" xr:uid="{E45C971F-D4C4-495B-8422-CDB38235CC00}"/>
    <cellStyle name="Ввод  1 3 4 4 2" xfId="32032" xr:uid="{4557ED3E-6126-4DE6-99A8-B5E2E103D85A}"/>
    <cellStyle name="Ввод  1 3 4 4 3" xfId="45550" xr:uid="{4ECD2F48-5A95-4F42-9E94-AA423B5752EB}"/>
    <cellStyle name="Ввод  1 3 4 5" xfId="20646" xr:uid="{E26A37DA-0B94-4DA5-8141-5ED98D76866B}"/>
    <cellStyle name="Ввод  1 3 4 6" xfId="33669" xr:uid="{7CC341EA-234A-4406-821C-C0D1353D9B9D}"/>
    <cellStyle name="Ввод  1 3 5" xfId="4211" xr:uid="{FEBBE8C3-AA2B-4BA0-912E-8D8AAC584622}"/>
    <cellStyle name="Ввод  1 3 5 2" xfId="9263" xr:uid="{059F8538-2E80-4655-9725-58887F725B64}"/>
    <cellStyle name="Ввод  1 3 5 2 2" xfId="16158" xr:uid="{1ABEC0B4-3B95-44A8-9891-3253CFEDB19F}"/>
    <cellStyle name="Ввод  1 3 5 2 2 2" xfId="32208" xr:uid="{FF38D4FA-6855-48FD-8660-E41395454D55}"/>
    <cellStyle name="Ввод  1 3 5 2 2 3" xfId="45730" xr:uid="{B9CB8951-33FD-461C-B3B8-E55DA473B86D}"/>
    <cellStyle name="Ввод  1 3 5 2 3" xfId="26737" xr:uid="{B8B06701-789C-451E-8330-A41954C78F58}"/>
    <cellStyle name="Ввод  1 3 5 2 4" xfId="39813" xr:uid="{E027AF56-8FE8-4B5C-9154-897D9C3DE634}"/>
    <cellStyle name="Ввод  1 3 5 3" xfId="7775" xr:uid="{7CE650C8-6CBE-415C-8E83-87BA11930FA4}"/>
    <cellStyle name="Ввод  1 3 5 3 2" xfId="15614" xr:uid="{99B4B497-8288-4B39-B227-4EA834EEA020}"/>
    <cellStyle name="Ввод  1 3 5 3 2 2" xfId="31736" xr:uid="{97F70F3F-19F2-4F5D-8DEC-A18342E5E91B}"/>
    <cellStyle name="Ввод  1 3 5 3 2 3" xfId="45240" xr:uid="{66110C66-9528-4191-8721-36CC62C43272}"/>
    <cellStyle name="Ввод  1 3 5 3 3" xfId="25296" xr:uid="{CB5A8129-2B05-4C1F-8E9A-83238883E550}"/>
    <cellStyle name="Ввод  1 3 5 3 4" xfId="38372" xr:uid="{F170A577-D82F-48ED-ADE5-2B587F82F717}"/>
    <cellStyle name="Ввод  1 3 5 4" xfId="15491" xr:uid="{90BED469-36D6-49C1-8B4E-AFE6F3334280}"/>
    <cellStyle name="Ввод  1 3 5 4 2" xfId="31630" xr:uid="{0CE5057A-DD51-4785-B68E-660712BD61D9}"/>
    <cellStyle name="Ввод  1 3 5 4 3" xfId="45127" xr:uid="{12207B7F-5DF7-405C-877D-24D52575138E}"/>
    <cellStyle name="Ввод  1 3 5 5" xfId="22037" xr:uid="{94D99E5E-1061-42E9-8C92-586EB6AB9208}"/>
    <cellStyle name="Ввод  1 3 5 6" xfId="35086" xr:uid="{CBEE6AE9-B119-4765-A887-4E9CF48E473E}"/>
    <cellStyle name="Ввод  1 3 6" xfId="4376" xr:uid="{D8E049DE-4026-4898-A7D5-3CA2C885ACF3}"/>
    <cellStyle name="Ввод  1 3 6 2" xfId="6995" xr:uid="{A68775AD-EEE2-470A-80C8-2FD531E76ECB}"/>
    <cellStyle name="Ввод  1 3 6 2 2" xfId="17266" xr:uid="{9E600F76-1FEA-4A68-9B59-ACEB69A7AF13}"/>
    <cellStyle name="Ввод  1 3 6 2 2 2" xfId="33025" xr:uid="{4A5A331F-8143-4E32-9AC4-23C078944373}"/>
    <cellStyle name="Ввод  1 3 6 2 2 3" xfId="46800" xr:uid="{C33EAFE9-D676-42CA-9696-6D4421544B83}"/>
    <cellStyle name="Ввод  1 3 6 2 3" xfId="24616" xr:uid="{1324B36A-4D89-47F6-94D3-326E895C2A58}"/>
    <cellStyle name="Ввод  1 3 6 2 4" xfId="37697" xr:uid="{76160A22-0884-4C04-ABEE-940DA88E90BC}"/>
    <cellStyle name="Ввод  1 3 6 3" xfId="14257" xr:uid="{342B6742-C3D8-433C-9738-E90152836D5C}"/>
    <cellStyle name="Ввод  1 3 6 3 2" xfId="30601" xr:uid="{B65074C6-91E5-419B-984B-4CFB114374D4}"/>
    <cellStyle name="Ввод  1 3 6 3 3" xfId="43993" xr:uid="{9E76A206-00F2-430D-B1DC-4714DA313DE0}"/>
    <cellStyle name="Ввод  1 3 6 4" xfId="22195" xr:uid="{B99934E7-5FFD-4721-B9D4-6D4490D48C9D}"/>
    <cellStyle name="Ввод  1 3 6 5" xfId="35244" xr:uid="{164A3A0B-E1FF-4BD1-8F21-1EAC7E282259}"/>
    <cellStyle name="Ввод  1 3 7" xfId="5430" xr:uid="{E1F5FFD8-112D-4E83-B6E2-A382030F9AFE}"/>
    <cellStyle name="Ввод  1 3 7 2" xfId="8608" xr:uid="{F12EC753-5204-4B8E-884D-5CA5C5BDE5B1}"/>
    <cellStyle name="Ввод  1 3 7 2 2" xfId="15190" xr:uid="{0D8200C5-8A9C-40C5-9A99-4ED8DEE6A39C}"/>
    <cellStyle name="Ввод  1 3 7 2 2 2" xfId="31374" xr:uid="{345554D1-4E96-43D5-87B4-FD7D96EEEDFB}"/>
    <cellStyle name="Ввод  1 3 7 2 2 3" xfId="44845" xr:uid="{C81512D0-C3F2-4A9E-88A4-199E6137B169}"/>
    <cellStyle name="Ввод  1 3 7 2 3" xfId="26105" xr:uid="{B7C3F2D3-1DE6-48D9-92A6-CAB76D5E665F}"/>
    <cellStyle name="Ввод  1 3 7 2 4" xfId="39181" xr:uid="{5360BFBB-8050-43F9-A2CD-46B3D2D1AB36}"/>
    <cellStyle name="Ввод  1 3 7 3" xfId="11498" xr:uid="{0FAF26E9-565A-4D2C-AF90-29A37DF870A0}"/>
    <cellStyle name="Ввод  1 3 7 3 2" xfId="28259" xr:uid="{6A7640B5-3D16-4677-BBD9-82E56BC2CDCA}"/>
    <cellStyle name="Ввод  1 3 7 3 3" xfId="41455" xr:uid="{1B25773C-E826-419F-9BAF-B491F7322151}"/>
    <cellStyle name="Ввод  1 3 7 4" xfId="23077" xr:uid="{8DE950E0-114F-4A92-B79F-008E71321450}"/>
    <cellStyle name="Ввод  1 3 7 5" xfId="36158" xr:uid="{2F2A1017-4ADA-4497-8F57-FEE51B49CDE1}"/>
    <cellStyle name="Ввод  1 3 8" xfId="17210" xr:uid="{D4ABAF8B-C8BD-4715-8B55-62590896B918}"/>
    <cellStyle name="Ввод  1 3 8 2" xfId="32971" xr:uid="{04AE44FF-4656-4707-9D7F-C9B3092BB2D1}"/>
    <cellStyle name="Ввод  1 3 8 3" xfId="46744" xr:uid="{D6F8B028-37E1-438C-82F3-440AE5774F96}"/>
    <cellStyle name="Ввод  1 3 9" xfId="21368" xr:uid="{9FD9B1AB-ECF0-4CF0-83FD-9CFEAC40A3F7}"/>
    <cellStyle name="Ввод  1 30" xfId="11838" xr:uid="{C615B901-D9EB-4DD1-BC2C-5A66A563F271}"/>
    <cellStyle name="Ввод  1 30 2" xfId="28558" xr:uid="{9E83A792-97D6-41E2-8BDD-A279A418A92A}"/>
    <cellStyle name="Ввод  1 30 3" xfId="41771" xr:uid="{F0534EC9-85CA-4A87-8ED1-BA865C707908}"/>
    <cellStyle name="Ввод  1 31" xfId="17656" xr:uid="{F6EE4D34-240B-4FEF-9EC3-387B38891304}"/>
    <cellStyle name="Ввод  1 31 2" xfId="33379" xr:uid="{F05D9DAD-FA2D-45FD-BB38-7D212C7E6EDE}"/>
    <cellStyle name="Ввод  1 31 3" xfId="47168" xr:uid="{7B3BDD21-3D5A-4CC6-A3FD-402D333DCFAE}"/>
    <cellStyle name="Ввод  1 32" xfId="33557" xr:uid="{DA369A6F-CA35-4D94-B960-9026E4B59BB9}"/>
    <cellStyle name="Ввод  1 4" xfId="3456" xr:uid="{85ADDC98-4A31-4F9E-95E1-4D9159D1504F}"/>
    <cellStyle name="Ввод  1 4 10" xfId="34472" xr:uid="{C6A3DB24-B412-4538-B23A-1E9D12445AA3}"/>
    <cellStyle name="Ввод  1 4 2" xfId="2798" xr:uid="{42AD4DB8-03FD-4EE3-AD51-2714F0AAA6C6}"/>
    <cellStyle name="Ввод  1 4 2 2" xfId="8094" xr:uid="{C5CC7527-41FE-41FA-A48A-D62B9D88A773}"/>
    <cellStyle name="Ввод  1 4 2 2 2" xfId="14322" xr:uid="{8698BB20-5299-4D0E-B521-CB75C434ED12}"/>
    <cellStyle name="Ввод  1 4 2 2 2 2" xfId="30658" xr:uid="{10E21F53-C2ED-4C34-B7E3-54CF059D8A47}"/>
    <cellStyle name="Ввод  1 4 2 2 2 3" xfId="44052" xr:uid="{301E898C-6CDD-4515-A630-7685825A0BAA}"/>
    <cellStyle name="Ввод  1 4 2 2 3" xfId="25605" xr:uid="{37332BF7-073C-4B20-8BD6-6F1099B7CDC7}"/>
    <cellStyle name="Ввод  1 4 2 2 4" xfId="38681" xr:uid="{6419F4DA-8185-4B7A-B275-A3E4C047C8D1}"/>
    <cellStyle name="Ввод  1 4 2 3" xfId="6461" xr:uid="{AAF0C0B4-C142-4043-A679-E054FB0A8D7D}"/>
    <cellStyle name="Ввод  1 4 2 3 2" xfId="14886" xr:uid="{28C46571-6E62-4A36-B51A-2BC5DEE89D9A}"/>
    <cellStyle name="Ввод  1 4 2 3 2 2" xfId="31136" xr:uid="{55D5C2FB-651F-434C-AF88-8899B379B310}"/>
    <cellStyle name="Ввод  1 4 2 3 2 3" xfId="44577" xr:uid="{28B6718B-20E2-4680-A0C3-5084C6B89EF0}"/>
    <cellStyle name="Ввод  1 4 2 3 3" xfId="24096" xr:uid="{023DFD43-7795-4744-97CB-EC512FD31284}"/>
    <cellStyle name="Ввод  1 4 2 3 4" xfId="37177" xr:uid="{4C3B3572-21EA-46E2-A729-9465C3FD44A9}"/>
    <cellStyle name="Ввод  1 4 2 4" xfId="15893" xr:uid="{3667ACB5-A350-4B19-9172-5AC85026D7EF}"/>
    <cellStyle name="Ввод  1 4 2 4 2" xfId="31976" xr:uid="{1EA3AA1C-A4C1-4834-9EDE-E3ACA39C032A}"/>
    <cellStyle name="Ввод  1 4 2 4 3" xfId="45492" xr:uid="{EAF75A1B-5B1D-4842-AC25-6C76ABECD3D3}"/>
    <cellStyle name="Ввод  1 4 2 5" xfId="20848" xr:uid="{30678A4E-C187-403A-9B95-F94E9B7E026D}"/>
    <cellStyle name="Ввод  1 4 2 6" xfId="33871" xr:uid="{E3AA7E53-FD6A-4F35-89EB-6B8433579DD2}"/>
    <cellStyle name="Ввод  1 4 3" xfId="3252" xr:uid="{61C10A67-19E6-4DFD-96FF-13C9AF2A86D1}"/>
    <cellStyle name="Ввод  1 4 3 2" xfId="8543" xr:uid="{845C7B64-7D3E-4932-9DD4-35B0E8139FC2}"/>
    <cellStyle name="Ввод  1 4 3 2 2" xfId="14873" xr:uid="{E61EF890-61E8-4064-877A-FC412BF8A0BE}"/>
    <cellStyle name="Ввод  1 4 3 2 2 2" xfId="31125" xr:uid="{1C02441C-6773-43B5-997F-BAE6B6661D59}"/>
    <cellStyle name="Ввод  1 4 3 2 2 3" xfId="44565" xr:uid="{BDFDF3FC-36D1-4084-AF77-7175125E7A0A}"/>
    <cellStyle name="Ввод  1 4 3 2 3" xfId="26042" xr:uid="{1B421438-AAE0-4D7B-A257-FC6B0407E072}"/>
    <cellStyle name="Ввод  1 4 3 2 4" xfId="39118" xr:uid="{9AACDE19-1E57-4492-B2E8-FAC7E89904C3}"/>
    <cellStyle name="Ввод  1 4 3 3" xfId="6911" xr:uid="{221017A9-CE3A-471C-88F1-38FEFFDD9E73}"/>
    <cellStyle name="Ввод  1 4 3 3 2" xfId="12143" xr:uid="{034F5F26-D3C8-48B5-8A82-A40C429EF2A3}"/>
    <cellStyle name="Ввод  1 4 3 3 2 2" xfId="28843" xr:uid="{FE90FE46-A2D6-4CD0-8820-1642CC59033D}"/>
    <cellStyle name="Ввод  1 4 3 3 2 3" xfId="42063" xr:uid="{B030384C-F4EB-435A-A555-FFE6C6B24738}"/>
    <cellStyle name="Ввод  1 4 3 3 3" xfId="24534" xr:uid="{9406D81D-6564-41D5-83C6-853FED0ADA7F}"/>
    <cellStyle name="Ввод  1 4 3 3 4" xfId="37615" xr:uid="{F6E75224-DCB5-4813-A630-F9237203524C}"/>
    <cellStyle name="Ввод  1 4 3 4" xfId="13582" xr:uid="{87235F2D-0BB4-4F4C-8A0B-9A8B4C212201}"/>
    <cellStyle name="Ввод  1 4 3 4 2" xfId="30024" xr:uid="{8814B9B7-45F1-4A63-8AB4-42C62AE62361}"/>
    <cellStyle name="Ввод  1 4 3 4 3" xfId="43375" xr:uid="{14A11099-9760-467B-BBB1-F48E3DEFE5FA}"/>
    <cellStyle name="Ввод  1 4 3 5" xfId="21286" xr:uid="{87931EA2-0742-4EFB-B6DE-282D9795DF84}"/>
    <cellStyle name="Ввод  1 4 3 6" xfId="34309" xr:uid="{8E03C4FC-4700-4E9F-9427-4B73B23C87C0}"/>
    <cellStyle name="Ввод  1 4 4" xfId="2971" xr:uid="{01D085A0-EB0F-4BBD-BE8D-6B63C281BA93}"/>
    <cellStyle name="Ввод  1 4 4 2" xfId="8267" xr:uid="{D9CE9C21-2D08-409E-9D0E-04B9785B198F}"/>
    <cellStyle name="Ввод  1 4 4 2 2" xfId="13651" xr:uid="{751D2AC8-E7A0-46AC-B5DF-5A3FB371B82C}"/>
    <cellStyle name="Ввод  1 4 4 2 2 2" xfId="30080" xr:uid="{607677F7-FFBE-4889-8C0A-332032DE9DF3}"/>
    <cellStyle name="Ввод  1 4 4 2 2 3" xfId="43438" xr:uid="{4C5B439E-BDAA-4F9C-BF20-C46780EE50C2}"/>
    <cellStyle name="Ввод  1 4 4 2 3" xfId="25775" xr:uid="{47B9C779-DA98-418B-865E-DF56B5A48107}"/>
    <cellStyle name="Ввод  1 4 4 2 4" xfId="38851" xr:uid="{67236319-799B-479A-9356-B4B02F04DFDE}"/>
    <cellStyle name="Ввод  1 4 4 3" xfId="6634" xr:uid="{213D4543-46DA-47F7-9B03-C13717BAAA3A}"/>
    <cellStyle name="Ввод  1 4 4 3 2" xfId="11764" xr:uid="{E7CF5692-FC7E-4378-89B9-091052B2130D}"/>
    <cellStyle name="Ввод  1 4 4 3 2 2" xfId="28489" xr:uid="{0DBEBD17-6C80-468E-891D-2F120EE2CCA4}"/>
    <cellStyle name="Ввод  1 4 4 3 2 3" xfId="41700" xr:uid="{0B5C22B4-54A2-4215-BB23-F28C3D3B27A8}"/>
    <cellStyle name="Ввод  1 4 4 3 3" xfId="24266" xr:uid="{EF96A5C0-E468-44B4-BBF0-FCE977FFC104}"/>
    <cellStyle name="Ввод  1 4 4 3 4" xfId="37347" xr:uid="{DFC56402-39A9-4EE6-99C3-B7877367AE42}"/>
    <cellStyle name="Ввод  1 4 4 4" xfId="15636" xr:uid="{B3C4725F-4DCE-4F8A-9254-994AA9AB049B}"/>
    <cellStyle name="Ввод  1 4 4 4 2" xfId="31756" xr:uid="{B590A07B-2FFD-45BA-A184-EC062566CA6C}"/>
    <cellStyle name="Ввод  1 4 4 4 3" xfId="45260" xr:uid="{AA8B4315-A018-413D-AC44-11263C31E00A}"/>
    <cellStyle name="Ввод  1 4 4 5" xfId="21018" xr:uid="{48238941-20C0-48A7-B12A-DF77832CA7D5}"/>
    <cellStyle name="Ввод  1 4 4 6" xfId="34041" xr:uid="{B2550C21-80D3-44E3-9FEB-8AFA2ECA46DB}"/>
    <cellStyle name="Ввод  1 4 5" xfId="4181" xr:uid="{9D12556E-4060-4FB5-A94C-5285B81A097C}"/>
    <cellStyle name="Ввод  1 4 5 2" xfId="9233" xr:uid="{1842D33A-E211-40F0-97CE-3EAC9545D973}"/>
    <cellStyle name="Ввод  1 4 5 2 2" xfId="11184" xr:uid="{B62943A5-7A89-4705-8FAA-A0F6304C48B9}"/>
    <cellStyle name="Ввод  1 4 5 2 2 2" xfId="27978" xr:uid="{62B5FB70-29B3-434A-B018-CD324DED4CFC}"/>
    <cellStyle name="Ввод  1 4 5 2 2 3" xfId="41160" xr:uid="{931E2216-2009-43D1-9C30-F1FCC3E97FFF}"/>
    <cellStyle name="Ввод  1 4 5 2 3" xfId="26708" xr:uid="{E79648A8-40C7-4977-A335-1C1007560A93}"/>
    <cellStyle name="Ввод  1 4 5 2 4" xfId="39784" xr:uid="{11972976-58A0-47F3-8284-35B232B1B0E8}"/>
    <cellStyle name="Ввод  1 4 5 3" xfId="7745" xr:uid="{257F05A1-D14B-4198-86F1-460ED6CD600E}"/>
    <cellStyle name="Ввод  1 4 5 3 2" xfId="10630" xr:uid="{A4ED191D-3B78-4E3E-86AF-8C168C72BC22}"/>
    <cellStyle name="Ввод  1 4 5 3 2 2" xfId="27489" xr:uid="{4545AF88-F24C-436D-B2D2-95F7B2E548BD}"/>
    <cellStyle name="Ввод  1 4 5 3 2 3" xfId="40611" xr:uid="{CE8AB30C-2A43-4F4F-9118-7D5D250E8674}"/>
    <cellStyle name="Ввод  1 4 5 3 3" xfId="25267" xr:uid="{E5F04678-AF72-4B0B-8E8D-EA19BAFD89C1}"/>
    <cellStyle name="Ввод  1 4 5 3 4" xfId="38343" xr:uid="{24BC6D37-0507-430E-A11B-41EB7F3EF757}"/>
    <cellStyle name="Ввод  1 4 5 4" xfId="16232" xr:uid="{41C6538A-0284-438A-B40F-A0010B3111F0}"/>
    <cellStyle name="Ввод  1 4 5 4 2" xfId="32269" xr:uid="{AC8005BB-37A2-4F0D-B7AE-68862C02CD25}"/>
    <cellStyle name="Ввод  1 4 5 4 3" xfId="45797" xr:uid="{625C4D0A-CF42-4BA3-B901-EF0BF495B58D}"/>
    <cellStyle name="Ввод  1 4 5 5" xfId="22008" xr:uid="{0F7A535B-4251-4303-B0AE-090FB192507B}"/>
    <cellStyle name="Ввод  1 4 5 6" xfId="35057" xr:uid="{69E54823-6819-422D-B7DF-D38A5AE9E4E2}"/>
    <cellStyle name="Ввод  1 4 6" xfId="4458" xr:uid="{203125B4-B0EA-431A-9989-518A80777508}"/>
    <cellStyle name="Ввод  1 4 6 2" xfId="7098" xr:uid="{420D0693-BE76-466C-9A75-6734A5D823B5}"/>
    <cellStyle name="Ввод  1 4 6 2 2" xfId="12591" xr:uid="{8F6DD7FF-FFC1-4093-8FD7-F03D10DA1CDE}"/>
    <cellStyle name="Ввод  1 4 6 2 2 2" xfId="29206" xr:uid="{9C54D27F-965A-4DC9-933D-D55BDDA953F9}"/>
    <cellStyle name="Ввод  1 4 6 2 2 3" xfId="42470" xr:uid="{DE3775CB-1AB7-4183-99B0-94F4FC98C522}"/>
    <cellStyle name="Ввод  1 4 6 2 3" xfId="24697" xr:uid="{1ECE9333-3B2D-44EF-B349-DE1682F9717B}"/>
    <cellStyle name="Ввод  1 4 6 2 4" xfId="37778" xr:uid="{2E9FA9DD-0BBD-452C-9904-489C532C9E4F}"/>
    <cellStyle name="Ввод  1 4 6 3" xfId="13061" xr:uid="{A18A3F87-E8E4-4786-9D2F-73BE6FC5E325}"/>
    <cellStyle name="Ввод  1 4 6 3 2" xfId="29586" xr:uid="{D33C7882-4531-4098-8486-97CEDF55A50B}"/>
    <cellStyle name="Ввод  1 4 6 3 3" xfId="42891" xr:uid="{11B8BE1E-BACE-4462-9B96-7A07E4CB2AB7}"/>
    <cellStyle name="Ввод  1 4 6 4" xfId="22276" xr:uid="{4901432E-67D5-4809-BEAE-11DFD33EBDF0}"/>
    <cellStyle name="Ввод  1 4 6 5" xfId="35325" xr:uid="{7BD4FFE9-99AF-42E0-BA88-8A29746C94E8}"/>
    <cellStyle name="Ввод  1 4 7" xfId="5511" xr:uid="{3FDBB4B4-935D-47F1-B76B-3E8501EC15DB}"/>
    <cellStyle name="Ввод  1 4 7 2" xfId="8693" xr:uid="{5CE77628-4775-491B-911C-E683FEBDCEA3}"/>
    <cellStyle name="Ввод  1 4 7 2 2" xfId="14458" xr:uid="{59ACC978-99D0-4DED-A52F-AD3F8E568834}"/>
    <cellStyle name="Ввод  1 4 7 2 2 2" xfId="30786" xr:uid="{07C59C17-CAD2-4D5E-92F8-5CEAFC1C8A41}"/>
    <cellStyle name="Ввод  1 4 7 2 2 3" xfId="44187" xr:uid="{B4179B5C-D4E7-419C-B6DF-D2DD157D8A8F}"/>
    <cellStyle name="Ввод  1 4 7 2 3" xfId="26186" xr:uid="{FFEDC42B-A23A-41CF-8846-2D0FF522969E}"/>
    <cellStyle name="Ввод  1 4 7 2 4" xfId="39262" xr:uid="{9C43C3D5-3F93-4697-8C3F-9ED631EA74DF}"/>
    <cellStyle name="Ввод  1 4 7 3" xfId="15249" xr:uid="{4B8B1474-2449-4AA0-A61D-FE4F9907EBA9}"/>
    <cellStyle name="Ввод  1 4 7 3 2" xfId="31424" xr:uid="{A21F32F5-6CBB-49A4-BE0F-8E519FF3B3A8}"/>
    <cellStyle name="Ввод  1 4 7 3 3" xfId="44900" xr:uid="{3B94B898-CC91-4A31-A410-77831DF95A57}"/>
    <cellStyle name="Ввод  1 4 7 4" xfId="23158" xr:uid="{3B2DE9F6-B73D-4427-9D97-969AC6CA1DB2}"/>
    <cellStyle name="Ввод  1 4 7 5" xfId="36239" xr:uid="{2CB5C8A7-93B9-4F4B-B666-76E77C56B1DD}"/>
    <cellStyle name="Ввод  1 4 8" xfId="17031" xr:uid="{39194FDD-9D2C-4107-9138-E6E0D068CBB3}"/>
    <cellStyle name="Ввод  1 4 8 2" xfId="32806" xr:uid="{376CA578-2844-4C92-A52D-15D1A055D813}"/>
    <cellStyle name="Ввод  1 4 8 3" xfId="46573" xr:uid="{B9A21093-8A80-4714-B45D-87A716573C9B}"/>
    <cellStyle name="Ввод  1 4 9" xfId="21428" xr:uid="{4CDADCE5-4AB2-493D-A5B1-761CFED73443}"/>
    <cellStyle name="Ввод  1 5" xfId="3433" xr:uid="{2D1840FC-4F6E-4865-81E6-6282D11DF598}"/>
    <cellStyle name="Ввод  1 5 2" xfId="2775" xr:uid="{179439B7-4B2A-4661-8180-B428C88DB3D4}"/>
    <cellStyle name="Ввод  1 5 2 2" xfId="8071" xr:uid="{24F16D62-10C2-4104-8018-66DC69AF3C54}"/>
    <cellStyle name="Ввод  1 5 2 2 2" xfId="10610" xr:uid="{8C380964-D512-4C1C-A54A-3EE1386E6311}"/>
    <cellStyle name="Ввод  1 5 2 2 2 2" xfId="27469" xr:uid="{A917F9B0-CA06-4FC6-BE7B-ED5F17F9FF82}"/>
    <cellStyle name="Ввод  1 5 2 2 2 3" xfId="40591" xr:uid="{61CC0E13-5FAB-4A3E-A383-8C29934C78E2}"/>
    <cellStyle name="Ввод  1 5 2 2 3" xfId="25582" xr:uid="{6C11A252-BD7F-467A-9FF4-A6C930BAA880}"/>
    <cellStyle name="Ввод  1 5 2 2 4" xfId="38658" xr:uid="{D67BD433-1CEB-4E17-B7B0-186BC29DA87F}"/>
    <cellStyle name="Ввод  1 5 2 3" xfId="6438" xr:uid="{2775460F-83DA-4F85-B14F-B75324C121A7}"/>
    <cellStyle name="Ввод  1 5 2 3 2" xfId="12499" xr:uid="{BF25BEA0-2948-4647-B9CB-A40E9D88AB2E}"/>
    <cellStyle name="Ввод  1 5 2 3 2 2" xfId="29133" xr:uid="{0BDC0160-23C2-4427-9886-68F3F99E6E13}"/>
    <cellStyle name="Ввод  1 5 2 3 2 3" xfId="42387" xr:uid="{647B5231-2F72-47C8-B4C8-F6B2431A2331}"/>
    <cellStyle name="Ввод  1 5 2 3 3" xfId="24073" xr:uid="{0DA22556-313C-4EF0-B758-A81DEB30E1A9}"/>
    <cellStyle name="Ввод  1 5 2 3 4" xfId="37154" xr:uid="{844DB188-79B1-4F72-9760-6D6FB603ECDB}"/>
    <cellStyle name="Ввод  1 5 2 4" xfId="17286" xr:uid="{F6D9B15F-1785-4EBD-AC28-5F8DC2756E7B}"/>
    <cellStyle name="Ввод  1 5 2 4 2" xfId="33044" xr:uid="{1AC04153-F23C-4EC9-A6C3-D8F4052BA0C5}"/>
    <cellStyle name="Ввод  1 5 2 4 3" xfId="46820" xr:uid="{8A94265C-D10B-4A8C-9A68-318E9E148264}"/>
    <cellStyle name="Ввод  1 5 2 5" xfId="20825" xr:uid="{7ED93511-CA65-42E5-B982-1E6555FD2E55}"/>
    <cellStyle name="Ввод  1 5 2 6" xfId="33848" xr:uid="{83FC872D-37DB-467F-A488-33D5082EEBC1}"/>
    <cellStyle name="Ввод  1 5 3" xfId="4435" xr:uid="{7EC422F7-9B7B-4AB4-8763-D22022D1C60F}"/>
    <cellStyle name="Ввод  1 5 3 2" xfId="7075" xr:uid="{F440519F-E1E7-4FC2-B2B9-3457FB86C73E}"/>
    <cellStyle name="Ввод  1 5 3 2 2" xfId="14391" xr:uid="{8C343653-6492-4F00-BE18-3ECD853CB43D}"/>
    <cellStyle name="Ввод  1 5 3 2 2 2" xfId="30723" xr:uid="{DEEE5626-86E5-4032-9D45-E1804B2180B6}"/>
    <cellStyle name="Ввод  1 5 3 2 2 3" xfId="44121" xr:uid="{F1BED1D8-104F-4063-9EE5-AFA36995046A}"/>
    <cellStyle name="Ввод  1 5 3 2 3" xfId="24674" xr:uid="{323B8AD4-EB30-4548-B7A9-AADC83689EF8}"/>
    <cellStyle name="Ввод  1 5 3 2 4" xfId="37755" xr:uid="{73C7190A-DF98-4658-8FF7-33E796479C35}"/>
    <cellStyle name="Ввод  1 5 3 3" xfId="15253" xr:uid="{545470D6-DE28-4D87-98B2-83BAD5BA6286}"/>
    <cellStyle name="Ввод  1 5 3 3 2" xfId="31428" xr:uid="{F621E798-F1E8-442E-B9ED-5DE81E9AD516}"/>
    <cellStyle name="Ввод  1 5 3 3 3" xfId="44904" xr:uid="{32277E19-382F-4369-B914-78546F90DF0C}"/>
    <cellStyle name="Ввод  1 5 3 4" xfId="22253" xr:uid="{EE3BDD9D-63E2-4A69-B5B6-B39A56394F9A}"/>
    <cellStyle name="Ввод  1 5 3 5" xfId="35302" xr:uid="{0175E75F-3067-4F8D-938D-B2750BD86AB4}"/>
    <cellStyle name="Ввод  1 5 4" xfId="5488" xr:uid="{EB83DE5B-5E3D-4235-852E-635A685627E7}"/>
    <cellStyle name="Ввод  1 5 4 2" xfId="8670" xr:uid="{E197CC9C-0043-4910-A717-22E8ECCFD7D1}"/>
    <cellStyle name="Ввод  1 5 4 2 2" xfId="15409" xr:uid="{0E2BFFB9-3619-4BD0-8EAB-A322795021F8}"/>
    <cellStyle name="Ввод  1 5 4 2 2 2" xfId="31562" xr:uid="{1F941374-B99B-420D-951E-24D1EE0FB7D3}"/>
    <cellStyle name="Ввод  1 5 4 2 2 3" xfId="45051" xr:uid="{AD744D60-1385-41F4-9E81-951AFF68952D}"/>
    <cellStyle name="Ввод  1 5 4 2 3" xfId="26163" xr:uid="{299F7970-4970-4780-93C6-50719DA94C09}"/>
    <cellStyle name="Ввод  1 5 4 2 4" xfId="39239" xr:uid="{EADD335A-F9F7-4A4E-8139-4A37C18B3EF0}"/>
    <cellStyle name="Ввод  1 5 4 3" xfId="16357" xr:uid="{F29FDE98-BBAD-4079-BD66-A0C5AF48A52C}"/>
    <cellStyle name="Ввод  1 5 4 3 2" xfId="32378" xr:uid="{05F1022E-D6D8-4735-B985-6B746494A98C}"/>
    <cellStyle name="Ввод  1 5 4 3 3" xfId="45911" xr:uid="{6193DE2E-51D2-42F1-AA24-8A5D1427B234}"/>
    <cellStyle name="Ввод  1 5 4 4" xfId="23135" xr:uid="{0CF226F7-00CF-4678-B958-DCADA62301B7}"/>
    <cellStyle name="Ввод  1 5 4 5" xfId="36216" xr:uid="{EE07ED44-8E94-4241-A100-03F404A472AD}"/>
    <cellStyle name="Ввод  1 5 5" xfId="12568" xr:uid="{F0EE9152-CB82-41BC-BFE5-AB7CD4F8B6A8}"/>
    <cellStyle name="Ввод  1 5 5 2" xfId="29186" xr:uid="{1F46F1EC-7EB1-45A3-A78B-B766FFFE947C}"/>
    <cellStyle name="Ввод  1 5 5 3" xfId="42448" xr:uid="{79A2BBEE-DA2E-4D03-985A-E9BC82586290}"/>
    <cellStyle name="Ввод  1 5 6" xfId="21417" xr:uid="{FB2FD929-FB4A-465F-AD80-678F0C032E0A}"/>
    <cellStyle name="Ввод  1 5 7" xfId="34449" xr:uid="{88E2ED7B-1ACB-4687-A12E-8B25B8BD7ADD}"/>
    <cellStyle name="Ввод  1 6" xfId="3323" xr:uid="{6237C566-196A-4873-9EDF-022FF3FC07B5}"/>
    <cellStyle name="Ввод  1 6 2" xfId="2685" xr:uid="{C8D30FBE-1AA8-4B96-978C-168D5B6F9B70}"/>
    <cellStyle name="Ввод  1 6 2 2" xfId="7981" xr:uid="{DC0BA0DC-1BA0-4819-B339-17D14CE29C1C}"/>
    <cellStyle name="Ввод  1 6 2 2 2" xfId="11695" xr:uid="{CFB89BC1-0615-41FD-AD4C-F8AF8565F2A3}"/>
    <cellStyle name="Ввод  1 6 2 2 2 2" xfId="28428" xr:uid="{D15542F2-0CFF-4711-B754-19A95F45EA5C}"/>
    <cellStyle name="Ввод  1 6 2 2 2 3" xfId="41638" xr:uid="{BEEBB179-6FDD-4C97-AE0B-0FF5A94BAFF7}"/>
    <cellStyle name="Ввод  1 6 2 2 3" xfId="25497" xr:uid="{108A3042-4E87-46C5-B509-A8222F8E8811}"/>
    <cellStyle name="Ввод  1 6 2 2 4" xfId="38573" xr:uid="{EAE97A0C-C1AF-4C2E-A396-BEDC20CE831D}"/>
    <cellStyle name="Ввод  1 6 2 3" xfId="6348" xr:uid="{E2127B75-24EF-4EFA-8EA0-196A36718936}"/>
    <cellStyle name="Ввод  1 6 2 3 2" xfId="15522" xr:uid="{6E47F859-871B-4798-97B9-7E1E0EA69B31}"/>
    <cellStyle name="Ввод  1 6 2 3 2 2" xfId="31659" xr:uid="{4F038AC6-2C77-41B1-9553-55A009C1D0E5}"/>
    <cellStyle name="Ввод  1 6 2 3 2 3" xfId="45157" xr:uid="{49DFB37D-A85F-4847-84A9-32155136892B}"/>
    <cellStyle name="Ввод  1 6 2 3 3" xfId="23988" xr:uid="{058F8D50-0E01-4639-ADE5-EC58A74D3D72}"/>
    <cellStyle name="Ввод  1 6 2 3 4" xfId="37069" xr:uid="{4F1C8595-A188-40F4-8B86-D947963D3F27}"/>
    <cellStyle name="Ввод  1 6 2 4" xfId="12667" xr:uid="{748D775E-23C8-4F3B-9761-2B9C1C1DD782}"/>
    <cellStyle name="Ввод  1 6 2 4 2" xfId="29265" xr:uid="{EE35CCFC-BBF8-4E2E-8A6B-58F0B300B22F}"/>
    <cellStyle name="Ввод  1 6 2 4 3" xfId="42536" xr:uid="{26E33329-E8EF-4BCA-A596-D9EEEFBE5210}"/>
    <cellStyle name="Ввод  1 6 2 5" xfId="20740" xr:uid="{5F1D4A6A-A40E-4449-9738-1A96D0BE958F}"/>
    <cellStyle name="Ввод  1 6 2 6" xfId="33763" xr:uid="{C241AF99-89B3-4E5C-BCA4-3C9576F7699C}"/>
    <cellStyle name="Ввод  1 6 3" xfId="4354" xr:uid="{0AA91EE9-04CE-4207-AE5C-8BB263416DEF}"/>
    <cellStyle name="Ввод  1 6 3 2" xfId="6973" xr:uid="{2AEAC607-E393-4191-91C1-6564ED314327}"/>
    <cellStyle name="Ввод  1 6 3 2 2" xfId="17054" xr:uid="{12F9D9D2-215C-4E69-B1CF-15BACBDB8716}"/>
    <cellStyle name="Ввод  1 6 3 2 2 2" xfId="32825" xr:uid="{FBB489EC-650E-44EF-A9BA-96F2C0132C05}"/>
    <cellStyle name="Ввод  1 6 3 2 2 3" xfId="46595" xr:uid="{330284DE-6E45-4541-A8BA-4CFEDBF8D81F}"/>
    <cellStyle name="Ввод  1 6 3 2 3" xfId="24595" xr:uid="{881E4EC8-FBBF-4069-A16F-F59752B99423}"/>
    <cellStyle name="Ввод  1 6 3 2 4" xfId="37676" xr:uid="{A7573FF3-DF66-4213-AFF3-D67A6F39D56C}"/>
    <cellStyle name="Ввод  1 6 3 3" xfId="16842" xr:uid="{93885740-0358-4217-B904-E44007E9B409}"/>
    <cellStyle name="Ввод  1 6 3 3 2" xfId="32719" xr:uid="{2644510B-2F9F-4E0F-A72C-6D756B8C3EB9}"/>
    <cellStyle name="Ввод  1 6 3 3 3" xfId="46384" xr:uid="{83736A58-D81B-4FAB-8D2C-150A76C1A0DD}"/>
    <cellStyle name="Ввод  1 6 3 4" xfId="22174" xr:uid="{C36210D0-44CE-4F7B-95AB-CD98617855E6}"/>
    <cellStyle name="Ввод  1 6 3 5" xfId="35223" xr:uid="{033F1296-061F-40D1-AA9B-C40377AC5E5F}"/>
    <cellStyle name="Ввод  1 6 4" xfId="5409" xr:uid="{CBE879A3-9A1C-4773-B455-B8023D918862}"/>
    <cellStyle name="Ввод  1 6 4 2" xfId="8586" xr:uid="{15019E83-A933-4C2F-AEC6-76370EC6E53F}"/>
    <cellStyle name="Ввод  1 6 4 2 2" xfId="17430" xr:uid="{9BA4C62A-5446-41FD-B943-72524E305D56}"/>
    <cellStyle name="Ввод  1 6 4 2 2 2" xfId="33184" xr:uid="{532641AD-6E73-4ACF-A58C-0CA7A610DCEC}"/>
    <cellStyle name="Ввод  1 6 4 2 2 3" xfId="46960" xr:uid="{DEEE8DB4-8A4B-41DA-BEBE-DC1CDBCFB736}"/>
    <cellStyle name="Ввод  1 6 4 2 3" xfId="26084" xr:uid="{B4E14E81-1FD0-4FBB-B53D-13BAB1D6352B}"/>
    <cellStyle name="Ввод  1 6 4 2 4" xfId="39160" xr:uid="{9AA9D69A-7FCC-47B6-B922-F6888DB3D013}"/>
    <cellStyle name="Ввод  1 6 4 3" xfId="16153" xr:uid="{9612EE1C-13E7-49F9-A006-2FB14EC558B7}"/>
    <cellStyle name="Ввод  1 6 4 3 2" xfId="32204" xr:uid="{DBD61838-B996-4638-9F7D-BAD3B74E4B63}"/>
    <cellStyle name="Ввод  1 6 4 3 3" xfId="45726" xr:uid="{9276381C-4CAD-48A4-A2B4-F21FE5F7BFBF}"/>
    <cellStyle name="Ввод  1 6 4 4" xfId="23056" xr:uid="{9C5221B4-FF93-481B-921F-DD9E791E2CB6}"/>
    <cellStyle name="Ввод  1 6 4 5" xfId="36137" xr:uid="{CC03F94E-21FB-4908-B2B8-84DC6DFD8999}"/>
    <cellStyle name="Ввод  1 6 5" xfId="16516" xr:uid="{EB67B2EE-633A-4284-90E7-412A9FEF0821}"/>
    <cellStyle name="Ввод  1 6 5 2" xfId="32474" xr:uid="{637430CB-C0B8-4681-8BFF-C63A9BC0D638}"/>
    <cellStyle name="Ввод  1 6 5 3" xfId="46063" xr:uid="{BFACD65A-EB4B-4AF2-A627-B55C4E28C0D4}"/>
    <cellStyle name="Ввод  1 6 6" xfId="21347" xr:uid="{337C4684-E4AB-4834-B0ED-690B69F2CCE3}"/>
    <cellStyle name="Ввод  1 6 7" xfId="34370" xr:uid="{66C3FD5B-D431-4DF6-91CE-FA7C9C3B84C8}"/>
    <cellStyle name="Ввод  1 7" xfId="3460" xr:uid="{1E8EF4A9-5EAC-4389-9B4C-00CA7609B1DE}"/>
    <cellStyle name="Ввод  1 7 2" xfId="2802" xr:uid="{441D2A94-82D7-4508-86E1-FED54D288C62}"/>
    <cellStyle name="Ввод  1 7 2 2" xfId="8098" xr:uid="{352A6BDA-E9D2-4CC3-9B94-F7E843F3D4FA}"/>
    <cellStyle name="Ввод  1 7 2 2 2" xfId="16962" xr:uid="{810888E9-2ED8-491C-ADB3-356CBA23704B}"/>
    <cellStyle name="Ввод  1 7 2 2 2 2" xfId="32794" xr:uid="{268765B9-178D-4DD2-B587-5663DDF98AE9}"/>
    <cellStyle name="Ввод  1 7 2 2 2 3" xfId="46504" xr:uid="{48F66ED8-819E-4742-94F5-1A5D4D7C0E40}"/>
    <cellStyle name="Ввод  1 7 2 2 3" xfId="25609" xr:uid="{5FC16899-7718-4C68-8D5D-E7E23DA4FB43}"/>
    <cellStyle name="Ввод  1 7 2 2 4" xfId="38685" xr:uid="{3BDAE19B-9467-4D43-BE6B-03A5A3AAFFB7}"/>
    <cellStyle name="Ввод  1 7 2 3" xfId="6465" xr:uid="{EE3621BC-C836-4CE2-B53A-C51BAB026368}"/>
    <cellStyle name="Ввод  1 7 2 3 2" xfId="12949" xr:uid="{1FA3BA9C-9FE2-46A5-BC44-A1F08FE405F2}"/>
    <cellStyle name="Ввод  1 7 2 3 2 2" xfId="29487" xr:uid="{E8910283-09BD-412A-BC6A-61AFA979E3C9}"/>
    <cellStyle name="Ввод  1 7 2 3 2 3" xfId="42786" xr:uid="{513C2C39-B2BB-4B8C-8B9E-3310B923BCCC}"/>
    <cellStyle name="Ввод  1 7 2 3 3" xfId="24100" xr:uid="{C5F47D1A-1C7B-4CD6-8316-B96C8F421F7D}"/>
    <cellStyle name="Ввод  1 7 2 3 4" xfId="37181" xr:uid="{2E5EE7B7-D816-420F-9265-E898A596B878}"/>
    <cellStyle name="Ввод  1 7 2 4" xfId="13749" xr:uid="{C77F1F04-C8D0-4084-879F-0F609D3903BB}"/>
    <cellStyle name="Ввод  1 7 2 4 2" xfId="30162" xr:uid="{7F4A221B-1223-44AB-A440-A51A4A4BE2E4}"/>
    <cellStyle name="Ввод  1 7 2 4 3" xfId="43524" xr:uid="{BC926AEE-8F4F-41F3-82CE-474673C68129}"/>
    <cellStyle name="Ввод  1 7 2 5" xfId="20852" xr:uid="{031F61E1-6645-4351-B063-6D5EB4F283E2}"/>
    <cellStyle name="Ввод  1 7 2 6" xfId="33875" xr:uid="{548B9155-6C98-43AC-AC4B-D16A070A4B81}"/>
    <cellStyle name="Ввод  1 7 3" xfId="4462" xr:uid="{5B89B56C-0557-4836-8557-AFBD22A413A7}"/>
    <cellStyle name="Ввод  1 7 3 2" xfId="7102" xr:uid="{D5903A09-B97F-4EB6-B455-066F87C423CB}"/>
    <cellStyle name="Ввод  1 7 3 2 2" xfId="17052" xr:uid="{6C3EC709-3601-4F3A-BC00-7E589E9E86E5}"/>
    <cellStyle name="Ввод  1 7 3 2 2 2" xfId="32823" xr:uid="{10F173C1-1C12-4EE8-94A1-118FB044FF8C}"/>
    <cellStyle name="Ввод  1 7 3 2 2 3" xfId="46593" xr:uid="{CEA45307-706B-4C76-8ADF-C293F2AF0E28}"/>
    <cellStyle name="Ввод  1 7 3 2 3" xfId="24701" xr:uid="{9F5CC01F-F6B2-4D48-8D5F-295ADAEFBB0D}"/>
    <cellStyle name="Ввод  1 7 3 2 4" xfId="37782" xr:uid="{95831920-0232-413A-9497-C10938D8D949}"/>
    <cellStyle name="Ввод  1 7 3 3" xfId="13797" xr:uid="{2010024A-DF58-4BD9-8C8F-8186C81E82CD}"/>
    <cellStyle name="Ввод  1 7 3 3 2" xfId="30203" xr:uid="{4D734647-49BD-4829-A330-1BEC5B0FA65D}"/>
    <cellStyle name="Ввод  1 7 3 3 3" xfId="43569" xr:uid="{A45258EA-FCB8-4EDA-8B57-822C014447AF}"/>
    <cellStyle name="Ввод  1 7 3 4" xfId="22280" xr:uid="{6FA08B86-04AF-41EE-A82E-D155464E1D80}"/>
    <cellStyle name="Ввод  1 7 3 5" xfId="35329" xr:uid="{51CA4052-1E20-4D3D-8280-776A41D37EFC}"/>
    <cellStyle name="Ввод  1 7 4" xfId="5515" xr:uid="{14477756-02DD-4E4B-80EE-D8607CB9B382}"/>
    <cellStyle name="Ввод  1 7 4 2" xfId="8697" xr:uid="{0F4ACCD4-0139-47B9-B1E7-9B6F3E648CCA}"/>
    <cellStyle name="Ввод  1 7 4 2 2" xfId="12156" xr:uid="{968D3EAB-8FA4-425F-9B44-26FF6CE0DE7C}"/>
    <cellStyle name="Ввод  1 7 4 2 2 2" xfId="28855" xr:uid="{89E1BDA7-2E9F-4A30-A47C-61F89948BC6E}"/>
    <cellStyle name="Ввод  1 7 4 2 2 3" xfId="42076" xr:uid="{AAE566FA-323D-46B6-B3B1-3667BB40E59E}"/>
    <cellStyle name="Ввод  1 7 4 2 3" xfId="26190" xr:uid="{A25A54B7-4364-4612-A83E-0889A9137A2F}"/>
    <cellStyle name="Ввод  1 7 4 2 4" xfId="39266" xr:uid="{971F10F5-85D2-4FD0-82C6-6D70101A810D}"/>
    <cellStyle name="Ввод  1 7 4 3" xfId="11747" xr:uid="{BD12C2B1-386B-49F8-B2DF-7061A415C135}"/>
    <cellStyle name="Ввод  1 7 4 3 2" xfId="28474" xr:uid="{E362DB99-7748-41B6-A884-618723CB218A}"/>
    <cellStyle name="Ввод  1 7 4 3 3" xfId="41685" xr:uid="{4C9738A7-E06F-46A2-BCF8-F6557347B61A}"/>
    <cellStyle name="Ввод  1 7 4 4" xfId="23162" xr:uid="{24583879-C087-4E1B-9401-54D8D6D73ACD}"/>
    <cellStyle name="Ввод  1 7 4 5" xfId="36243" xr:uid="{A19DDF2C-9807-4C13-8887-4FDBE60F56ED}"/>
    <cellStyle name="Ввод  1 7 5" xfId="11087" xr:uid="{2ECD1D8A-B06A-4E57-A6D1-C9DD5D6E9C5B}"/>
    <cellStyle name="Ввод  1 7 5 2" xfId="27888" xr:uid="{27F3FAE1-F92A-408A-9C0F-F9CD9694239C}"/>
    <cellStyle name="Ввод  1 7 5 3" xfId="41066" xr:uid="{C23B0E40-D493-4471-A7EF-59F606AD4D97}"/>
    <cellStyle name="Ввод  1 7 6" xfId="21432" xr:uid="{0FC294D9-86DE-4E42-BE5C-C093B7540168}"/>
    <cellStyle name="Ввод  1 7 7" xfId="34476" xr:uid="{4916E790-DBC7-43B4-A4B4-466247CC3BD7}"/>
    <cellStyle name="Ввод  1 8" xfId="3315" xr:uid="{425DE434-9B02-4ADC-8A97-6B534BCE8CD2}"/>
    <cellStyle name="Ввод  1 8 2" xfId="2677" xr:uid="{E54A9A61-44D6-4E64-B113-A0B9CC53890A}"/>
    <cellStyle name="Ввод  1 8 2 2" xfId="7973" xr:uid="{98725A98-E9C8-4B93-9863-FF02CF6A3A2D}"/>
    <cellStyle name="Ввод  1 8 2 2 2" xfId="12789" xr:uid="{78A3748E-7488-4B61-9221-875AFA72AA31}"/>
    <cellStyle name="Ввод  1 8 2 2 2 2" xfId="29364" xr:uid="{4AF463D1-42F1-4160-95D3-BAC1B36D4FF9}"/>
    <cellStyle name="Ввод  1 8 2 2 2 3" xfId="42644" xr:uid="{6A7CB37F-0FA2-415C-9C7E-692C8EFB1DD8}"/>
    <cellStyle name="Ввод  1 8 2 2 3" xfId="25489" xr:uid="{6BBFF301-7C96-412C-A876-60F39C6FE8B3}"/>
    <cellStyle name="Ввод  1 8 2 2 4" xfId="38565" xr:uid="{8844CCBC-E69B-4DBF-95AA-EF81BCCA056E}"/>
    <cellStyle name="Ввод  1 8 2 3" xfId="6340" xr:uid="{DD7E2B40-023D-40D6-B9B1-58FB8E8F231E}"/>
    <cellStyle name="Ввод  1 8 2 3 2" xfId="12771" xr:uid="{A12707C6-7F4E-4053-B338-DCE10E6E95B7}"/>
    <cellStyle name="Ввод  1 8 2 3 2 2" xfId="29346" xr:uid="{8BCEE61D-56D2-4B56-A9B1-897CF90B7301}"/>
    <cellStyle name="Ввод  1 8 2 3 2 3" xfId="42626" xr:uid="{EC1294A7-1B02-451A-BFAC-079885F7AEA6}"/>
    <cellStyle name="Ввод  1 8 2 3 3" xfId="23980" xr:uid="{070D5278-00FA-447C-88D2-AC282CA7ED7D}"/>
    <cellStyle name="Ввод  1 8 2 3 4" xfId="37061" xr:uid="{48C4692A-FBC1-4CE9-836E-7CB45693CF8F}"/>
    <cellStyle name="Ввод  1 8 2 4" xfId="13998" xr:uid="{0C2B97A8-FC67-4446-A779-06C3BCEEF92D}"/>
    <cellStyle name="Ввод  1 8 2 4 2" xfId="30382" xr:uid="{ECA98C9F-3258-42B6-8D38-DD54EAEA3D25}"/>
    <cellStyle name="Ввод  1 8 2 4 3" xfId="43760" xr:uid="{9A2C6829-C41B-42BA-9C67-F9F7B1E19E5F}"/>
    <cellStyle name="Ввод  1 8 2 5" xfId="20732" xr:uid="{A4F41869-4D94-4224-93CD-91ED57213BA6}"/>
    <cellStyle name="Ввод  1 8 2 6" xfId="33755" xr:uid="{1EA25FB1-1277-483B-AB6E-2DBD64547CEA}"/>
    <cellStyle name="Ввод  1 8 3" xfId="4346" xr:uid="{00C6E029-21BB-4D65-86BD-C33D59E80BF9}"/>
    <cellStyle name="Ввод  1 8 3 2" xfId="6965" xr:uid="{655E173B-B01E-4F76-838B-2F6CD83E778C}"/>
    <cellStyle name="Ввод  1 8 3 2 2" xfId="15612" xr:uid="{B15085F6-708E-4445-A376-2DE86373F327}"/>
    <cellStyle name="Ввод  1 8 3 2 2 2" xfId="31735" xr:uid="{508D559E-08FE-4243-B35B-C8FFEBB7D390}"/>
    <cellStyle name="Ввод  1 8 3 2 2 3" xfId="45239" xr:uid="{F755FFC2-38CF-45F7-92E5-5B6E4A50E1A7}"/>
    <cellStyle name="Ввод  1 8 3 2 3" xfId="24587" xr:uid="{5F02C377-ECF1-47DE-BBB3-013ACA861F7B}"/>
    <cellStyle name="Ввод  1 8 3 2 4" xfId="37668" xr:uid="{32C5B31B-3B65-4016-893F-8CC8D89DCF35}"/>
    <cellStyle name="Ввод  1 8 3 3" xfId="15427" xr:uid="{39BD96A9-FD00-4076-BB4D-FB6EF0E4C555}"/>
    <cellStyle name="Ввод  1 8 3 3 2" xfId="31575" xr:uid="{810F8B56-4539-460D-9131-91C7BC536BCF}"/>
    <cellStyle name="Ввод  1 8 3 3 3" xfId="45069" xr:uid="{F8FB2C0E-E194-46B4-924B-69FA7B214C02}"/>
    <cellStyle name="Ввод  1 8 3 4" xfId="22166" xr:uid="{555CFB95-6726-4B78-A273-B950C7748064}"/>
    <cellStyle name="Ввод  1 8 3 5" xfId="35215" xr:uid="{1A46ECF9-63E3-4A49-9D77-45AB24958E76}"/>
    <cellStyle name="Ввод  1 8 4" xfId="5401" xr:uid="{695209AA-3809-47CE-A003-5D71CEFDFFC5}"/>
    <cellStyle name="Ввод  1 8 4 2" xfId="8578" xr:uid="{4250442D-9BF1-496D-8A44-B760E7766351}"/>
    <cellStyle name="Ввод  1 8 4 2 2" xfId="17426" xr:uid="{3E043C15-1498-4174-9B90-A223ECA32BEA}"/>
    <cellStyle name="Ввод  1 8 4 2 2 2" xfId="33180" xr:uid="{94099BF1-2C38-432C-BD22-A90238D783F8}"/>
    <cellStyle name="Ввод  1 8 4 2 2 3" xfId="46956" xr:uid="{0B343626-ED3D-46DB-9750-A58A216EA79B}"/>
    <cellStyle name="Ввод  1 8 4 2 3" xfId="26076" xr:uid="{10AE6C3B-4DD4-44FB-8F74-DAC85E1FC2AD}"/>
    <cellStyle name="Ввод  1 8 4 2 4" xfId="39152" xr:uid="{E5BA22D0-F716-457A-AEF6-CA6C006BE60C}"/>
    <cellStyle name="Ввод  1 8 4 3" xfId="13169" xr:uid="{3349AE43-DFA8-4F84-A2C1-5ABE00702223}"/>
    <cellStyle name="Ввод  1 8 4 3 2" xfId="29680" xr:uid="{4888E8D9-2FE8-46A9-8B4C-2083D5EFDDA3}"/>
    <cellStyle name="Ввод  1 8 4 3 3" xfId="42993" xr:uid="{90988146-5F75-4CCD-B73F-897FC27D0E55}"/>
    <cellStyle name="Ввод  1 8 4 4" xfId="23048" xr:uid="{2346000D-93EA-4A76-BB24-0ABDD926E78F}"/>
    <cellStyle name="Ввод  1 8 4 5" xfId="36129" xr:uid="{67D055C3-1C06-4A98-91DB-BB944CB8D387}"/>
    <cellStyle name="Ввод  1 8 5" xfId="16159" xr:uid="{7C4C00FC-6205-4890-B1EC-2B47DE82A963}"/>
    <cellStyle name="Ввод  1 8 5 2" xfId="32209" xr:uid="{1C9AD189-B35F-4EB6-9BB9-35210BF92254}"/>
    <cellStyle name="Ввод  1 8 5 3" xfId="45731" xr:uid="{5D7E5910-D7FF-46E2-9CEB-C4E6D31E4B90}"/>
    <cellStyle name="Ввод  1 8 6" xfId="21339" xr:uid="{86C042EE-E2D5-4DEB-A0CE-5FF63E8C32AA}"/>
    <cellStyle name="Ввод  1 8 7" xfId="34362" xr:uid="{B3D1310D-4B31-49FB-8BFA-86BA417C7459}"/>
    <cellStyle name="Ввод  1 9" xfId="3592" xr:uid="{A7C23C97-FB1D-49BD-BAF4-C90289EED2DD}"/>
    <cellStyle name="Ввод  1 9 2" xfId="2927" xr:uid="{3CEE57BE-F7CC-4EDF-B117-AD25069DB696}"/>
    <cellStyle name="Ввод  1 9 2 2" xfId="8223" xr:uid="{79B9ED8B-B266-4143-914C-C6BDBF51DDFF}"/>
    <cellStyle name="Ввод  1 9 2 2 2" xfId="14634" xr:uid="{0A995ADE-65F5-4754-9D2E-BB6E83F6CB35}"/>
    <cellStyle name="Ввод  1 9 2 2 2 2" xfId="30930" xr:uid="{C653E2A9-64FB-4E63-AD3B-D9D5E1C03C63}"/>
    <cellStyle name="Ввод  1 9 2 2 2 3" xfId="44351" xr:uid="{1D49EFA4-DE91-4797-B635-7E3A3C3CF707}"/>
    <cellStyle name="Ввод  1 9 2 2 3" xfId="25734" xr:uid="{67D15566-A37D-4A91-9493-E37BDCE0E9E2}"/>
    <cellStyle name="Ввод  1 9 2 2 4" xfId="38810" xr:uid="{37B09831-0199-4DBC-95E4-AFA81F952F2E}"/>
    <cellStyle name="Ввод  1 9 2 3" xfId="6590" xr:uid="{2D73341D-F842-4F86-AC3B-9C7CD39FBA53}"/>
    <cellStyle name="Ввод  1 9 2 3 2" xfId="15248" xr:uid="{228C7A9F-0E6D-4645-B595-E60B1FA97536}"/>
    <cellStyle name="Ввод  1 9 2 3 2 2" xfId="31423" xr:uid="{6AC140EB-572D-4F50-A752-243030C701C6}"/>
    <cellStyle name="Ввод  1 9 2 3 2 3" xfId="44899" xr:uid="{AA473314-958E-4AAA-BA54-6B0916F32260}"/>
    <cellStyle name="Ввод  1 9 2 3 3" xfId="24225" xr:uid="{5B09036B-5A79-44D8-96D3-38B01D761355}"/>
    <cellStyle name="Ввод  1 9 2 3 4" xfId="37306" xr:uid="{23B254F8-0029-4381-B435-DA9547C16C2C}"/>
    <cellStyle name="Ввод  1 9 2 4" xfId="13646" xr:uid="{F649F2BB-C536-4EBC-93BA-6857952ED89E}"/>
    <cellStyle name="Ввод  1 9 2 4 2" xfId="30076" xr:uid="{0C33868C-AA13-4D2D-A87B-95B617D20897}"/>
    <cellStyle name="Ввод  1 9 2 4 3" xfId="43434" xr:uid="{6D93987C-AA59-40F7-AA28-E7A6DD49C7FF}"/>
    <cellStyle name="Ввод  1 9 2 5" xfId="20977" xr:uid="{50B3CB0E-6888-4E8A-BA51-C01AB95D6A46}"/>
    <cellStyle name="Ввод  1 9 2 6" xfId="34000" xr:uid="{45E54618-047C-430E-B2D9-63066EF7B1F6}"/>
    <cellStyle name="Ввод  1 9 3" xfId="4545" xr:uid="{1E9A43D9-52B7-41C9-BFBF-00B977EDFCF8}"/>
    <cellStyle name="Ввод  1 9 3 2" xfId="7229" xr:uid="{D68EAE38-5515-4B82-B5F6-3127F1057590}"/>
    <cellStyle name="Ввод  1 9 3 2 2" xfId="10595" xr:uid="{263C2721-D3EC-4925-9970-ABE56B7720C4}"/>
    <cellStyle name="Ввод  1 9 3 2 2 2" xfId="27454" xr:uid="{1222F2DE-28B9-4E2B-84A6-EB50868AEA04}"/>
    <cellStyle name="Ввод  1 9 3 2 2 3" xfId="40576" xr:uid="{88AC99A6-AA35-4DB2-9FC3-650D200BA430}"/>
    <cellStyle name="Ввод  1 9 3 2 3" xfId="24823" xr:uid="{11D04EB3-E068-4055-B85F-E0681D4CCE83}"/>
    <cellStyle name="Ввод  1 9 3 2 4" xfId="37904" xr:uid="{472E37D2-8A53-4D1F-ABBC-9B797121B18B}"/>
    <cellStyle name="Ввод  1 9 3 3" xfId="13478" xr:uid="{7A5B9D88-9EB6-451D-A120-91A8F6979824}"/>
    <cellStyle name="Ввод  1 9 3 3 2" xfId="29939" xr:uid="{15B82377-E248-4C08-AF13-883C78286BB6}"/>
    <cellStyle name="Ввод  1 9 3 3 3" xfId="43279" xr:uid="{153C566D-65BB-47C8-BED6-59E5507D1AF2}"/>
    <cellStyle name="Ввод  1 9 3 4" xfId="22361" xr:uid="{756C02B9-897E-4B9A-B92F-635056A52607}"/>
    <cellStyle name="Ввод  1 9 3 5" xfId="35410" xr:uid="{5A8AC7D3-9FFB-4E81-961A-F951FE582554}"/>
    <cellStyle name="Ввод  1 9 4" xfId="5637" xr:uid="{3BFAFEF2-DE62-4301-85F7-8C50BD68A468}"/>
    <cellStyle name="Ввод  1 9 4 2" xfId="8819" xr:uid="{6916C3AE-8601-4ED1-9FAB-8C908709290B}"/>
    <cellStyle name="Ввод  1 9 4 2 2" xfId="11583" xr:uid="{CDA4FDB6-DB1C-4C3B-A62D-59BE32560F80}"/>
    <cellStyle name="Ввод  1 9 4 2 2 2" xfId="28334" xr:uid="{81225570-A7B0-4062-BDC5-DCCD52392165}"/>
    <cellStyle name="Ввод  1 9 4 2 2 3" xfId="41535" xr:uid="{972D1A05-8193-4DB0-8206-48CF51DD095E}"/>
    <cellStyle name="Ввод  1 9 4 2 3" xfId="26312" xr:uid="{FE7623AE-F915-4F39-9A9A-FE752F351667}"/>
    <cellStyle name="Ввод  1 9 4 2 4" xfId="39388" xr:uid="{AC4A7290-A980-4F6B-89BF-A6F2FF7709A5}"/>
    <cellStyle name="Ввод  1 9 4 3" xfId="12295" xr:uid="{8AB4FB3E-5784-4446-8BAB-C7CE87677E11}"/>
    <cellStyle name="Ввод  1 9 4 3 2" xfId="28969" xr:uid="{013D1DCA-5698-44A0-82EA-6410FB0E623D}"/>
    <cellStyle name="Ввод  1 9 4 3 3" xfId="42206" xr:uid="{5305A4D6-2F1A-4E93-80F0-483BBAFD818B}"/>
    <cellStyle name="Ввод  1 9 4 4" xfId="23284" xr:uid="{28016D67-ECF7-4623-870B-BB93CB3F531D}"/>
    <cellStyle name="Ввод  1 9 4 5" xfId="36365" xr:uid="{4AAD9182-67C0-4AA2-86A2-F50ECE51BCC3}"/>
    <cellStyle name="Ввод  1 9 5" xfId="15607" xr:uid="{58C0B78C-B4EB-4986-B219-182C80862C23}"/>
    <cellStyle name="Ввод  1 9 5 2" xfId="31731" xr:uid="{6C13826F-9875-443D-8EA5-33EEAA452B5D}"/>
    <cellStyle name="Ввод  1 9 5 3" xfId="45234" xr:uid="{D2D346DD-6B85-45E8-8449-CAABB2F46F23}"/>
    <cellStyle name="Ввод  1 9 6" xfId="21546" xr:uid="{E7CA1569-33F0-436A-AE56-EAC8753F8C0B}"/>
    <cellStyle name="Ввод  1 9 7" xfId="34599" xr:uid="{CE6C4BF1-BDEE-4C50-A99C-87E8F38A3FDD}"/>
    <cellStyle name="Ввод  2" xfId="2291" xr:uid="{7C66952A-704B-48F2-983B-8F6203324001}"/>
    <cellStyle name="Ввод  2 10" xfId="3716" xr:uid="{7B3E029C-CEFD-4086-8D5A-CAC28375509E}"/>
    <cellStyle name="Ввод  2 10 2" xfId="3032" xr:uid="{04FEDF6A-1A70-4169-8067-DB182E60BA22}"/>
    <cellStyle name="Ввод  2 10 2 2" xfId="8328" xr:uid="{723D21E3-AE30-4F04-A5E6-EB6E175A27B0}"/>
    <cellStyle name="Ввод  2 10 2 2 2" xfId="15693" xr:uid="{EE24FAF3-09FE-4A0B-8D23-B212328C8831}"/>
    <cellStyle name="Ввод  2 10 2 2 2 2" xfId="31805" xr:uid="{DBE1D6EB-D14D-45D2-BB01-C3C462091410}"/>
    <cellStyle name="Ввод  2 10 2 2 2 3" xfId="45313" xr:uid="{FDA1F351-7686-4DB9-9739-8092B47485E3}"/>
    <cellStyle name="Ввод  2 10 2 2 3" xfId="25832" xr:uid="{1D51D852-5C6B-4333-B3F8-203194D64250}"/>
    <cellStyle name="Ввод  2 10 2 2 4" xfId="38908" xr:uid="{9209B675-2FA5-4473-9460-B0254CAA1D35}"/>
    <cellStyle name="Ввод  2 10 2 3" xfId="6695" xr:uid="{68FB0D3F-C3B9-4180-80D1-50236DF4AD8D}"/>
    <cellStyle name="Ввод  2 10 2 3 2" xfId="16894" xr:uid="{241A7D70-2E70-4471-8263-38A9E8FC0E1C}"/>
    <cellStyle name="Ввод  2 10 2 3 2 2" xfId="32770" xr:uid="{121781D9-BE3E-40B0-BD13-E32F94E0B931}"/>
    <cellStyle name="Ввод  2 10 2 3 2 3" xfId="46436" xr:uid="{C38F6A31-9967-473D-9992-1B2FAAD26772}"/>
    <cellStyle name="Ввод  2 10 2 3 3" xfId="24323" xr:uid="{707ED70B-2214-41EB-A1C2-9E5733BEFA3E}"/>
    <cellStyle name="Ввод  2 10 2 3 4" xfId="37404" xr:uid="{44562829-910A-42FF-BF75-E1A76AD32DEE}"/>
    <cellStyle name="Ввод  2 10 2 4" xfId="17171" xr:uid="{5BA57457-E2E6-4522-ABD4-543A2E5514B5}"/>
    <cellStyle name="Ввод  2 10 2 4 2" xfId="32934" xr:uid="{9B235C9D-A8CF-4EDE-8038-D3DF6AA715D7}"/>
    <cellStyle name="Ввод  2 10 2 4 3" xfId="46706" xr:uid="{0F49A5CE-277E-47DB-B3EE-A9B0C90C949F}"/>
    <cellStyle name="Ввод  2 10 2 5" xfId="21075" xr:uid="{A4605DBE-A08E-4EA2-9B73-004C6639E595}"/>
    <cellStyle name="Ввод  2 10 2 6" xfId="34098" xr:uid="{074596D6-55A6-420B-9B00-A5B68897041A}"/>
    <cellStyle name="Ввод  2 10 3" xfId="4621" xr:uid="{E3D19CCB-8B6B-4467-80D2-E132B9EA77D9}"/>
    <cellStyle name="Ввод  2 10 3 2" xfId="7351" xr:uid="{8736CB28-37AC-44A9-82D9-326DD32A282C}"/>
    <cellStyle name="Ввод  2 10 3 2 2" xfId="16945" xr:uid="{37B8BCD5-F6A6-4B37-B6BA-7C116790A24F}"/>
    <cellStyle name="Ввод  2 10 3 2 2 2" xfId="32785" xr:uid="{AF1517F9-34B0-4EE8-A766-294E09A69C50}"/>
    <cellStyle name="Ввод  2 10 3 2 2 3" xfId="46487" xr:uid="{6865BED6-C107-4360-B2E1-EF75B77E0CE3}"/>
    <cellStyle name="Ввод  2 10 3 2 3" xfId="24910" xr:uid="{7C846BA8-0587-4EED-9463-3EF2F30FCE0C}"/>
    <cellStyle name="Ввод  2 10 3 2 4" xfId="37990" xr:uid="{CE3C7781-1C1B-475E-9E95-A1951732AD2A}"/>
    <cellStyle name="Ввод  2 10 3 3" xfId="16785" xr:uid="{B66DEE69-3BBC-49B4-B83A-3191CAD36E90}"/>
    <cellStyle name="Ввод  2 10 3 3 2" xfId="32666" xr:uid="{12F93C7F-99F7-4EBE-940F-10204E0DF2F9}"/>
    <cellStyle name="Ввод  2 10 3 3 3" xfId="46328" xr:uid="{72F848B4-6EA8-43FF-86C4-F3F077FAF3DE}"/>
    <cellStyle name="Ввод  2 10 3 4" xfId="22431" xr:uid="{3F995129-4536-47DA-B9D7-99BD334F07AE}"/>
    <cellStyle name="Ввод  2 10 3 5" xfId="35484" xr:uid="{EF45359E-E2BC-438A-83A8-D0AC93338E1B}"/>
    <cellStyle name="Ввод  2 10 4" xfId="5723" xr:uid="{5CA07889-2FF1-467E-83A7-310DE9335B62}"/>
    <cellStyle name="Ввод  2 10 4 2" xfId="8912" xr:uid="{9597CE5E-3D9B-4920-9D2A-730DF33AAD32}"/>
    <cellStyle name="Ввод  2 10 4 2 2" xfId="13660" xr:uid="{9F6D984D-54DC-4DE7-BF68-193CE67A5C84}"/>
    <cellStyle name="Ввод  2 10 4 2 2 2" xfId="30086" xr:uid="{38F38F44-DDB2-4684-82BC-693D0C6F26FB}"/>
    <cellStyle name="Ввод  2 10 4 2 2 3" xfId="43445" xr:uid="{722B95B3-E7CF-46E6-854A-A32F50B32782}"/>
    <cellStyle name="Ввод  2 10 4 2 3" xfId="26398" xr:uid="{1428FD31-BFD5-462E-A58D-868C55339871}"/>
    <cellStyle name="Ввод  2 10 4 2 4" xfId="39474" xr:uid="{043123F1-A968-4478-B8AC-AC3812EB6AFB}"/>
    <cellStyle name="Ввод  2 10 4 3" xfId="15179" xr:uid="{0AA2D9EA-810D-4F61-AA6D-7549BA3409BB}"/>
    <cellStyle name="Ввод  2 10 4 3 2" xfId="31366" xr:uid="{268590D6-286B-49CB-B82D-EF3BCC7A7D46}"/>
    <cellStyle name="Ввод  2 10 4 3 3" xfId="44835" xr:uid="{04D45C83-3E5B-48D0-9627-9988B38328D4}"/>
    <cellStyle name="Ввод  2 10 4 4" xfId="23370" xr:uid="{C0601F80-5166-4944-8BB0-1F55F26F2F11}"/>
    <cellStyle name="Ввод  2 10 4 5" xfId="36451" xr:uid="{2C36C055-DD99-4D20-AB0E-F507CB3EBDD5}"/>
    <cellStyle name="Ввод  2 10 5" xfId="16508" xr:uid="{36C0DFC8-1DA7-446E-8E41-BEBC5446D162}"/>
    <cellStyle name="Ввод  2 10 5 2" xfId="32468" xr:uid="{08577153-E815-4F03-BDB7-4100217F756E}"/>
    <cellStyle name="Ввод  2 10 5 3" xfId="46056" xr:uid="{34EE0CF8-238C-47FD-B59D-C9669F5F1577}"/>
    <cellStyle name="Ввод  2 10 6" xfId="21632" xr:uid="{4552BCC0-17EA-4B1D-9D39-890E90A66745}"/>
    <cellStyle name="Ввод  2 10 7" xfId="34686" xr:uid="{02D66AB4-CB3E-436A-AA06-766AD52E8799}"/>
    <cellStyle name="Ввод  2 11" xfId="3579" xr:uid="{7EB9D413-0930-4660-B987-531A6BD4DDE8}"/>
    <cellStyle name="Ввод  2 11 2" xfId="2914" xr:uid="{E74B66AD-21FD-4201-9E5B-9CD64FB0D63C}"/>
    <cellStyle name="Ввод  2 11 2 2" xfId="8210" xr:uid="{71881DDF-CC09-45CA-8BA2-46C919C92FC2}"/>
    <cellStyle name="Ввод  2 11 2 2 2" xfId="15345" xr:uid="{87AA556A-956F-4B28-9C0A-0206B85D227A}"/>
    <cellStyle name="Ввод  2 11 2 2 2 2" xfId="31502" xr:uid="{B792B2E3-8C06-4BF5-9C8D-E943E0C68153}"/>
    <cellStyle name="Ввод  2 11 2 2 2 3" xfId="44988" xr:uid="{04505CED-AE32-4C1D-A58C-A66EA7FAD0F0}"/>
    <cellStyle name="Ввод  2 11 2 2 3" xfId="25721" xr:uid="{FBBF3096-AC9E-421A-A24C-31CE8C90526B}"/>
    <cellStyle name="Ввод  2 11 2 2 4" xfId="38797" xr:uid="{17A88D2B-4CA1-4AEE-BA17-2AC9DD4E22CE}"/>
    <cellStyle name="Ввод  2 11 2 3" xfId="6577" xr:uid="{B1CA57B3-B5F4-43BA-AAAA-10F5F2FA6E28}"/>
    <cellStyle name="Ввод  2 11 2 3 2" xfId="13920" xr:uid="{54363AE9-9000-4BED-9E02-01AA5FC8E43C}"/>
    <cellStyle name="Ввод  2 11 2 3 2 2" xfId="30311" xr:uid="{DF207E3C-1262-4B73-9900-CBA7BDB52AA4}"/>
    <cellStyle name="Ввод  2 11 2 3 2 3" xfId="43685" xr:uid="{C8DA3E05-221E-4CCC-A520-F21F813A9A47}"/>
    <cellStyle name="Ввод  2 11 2 3 3" xfId="24212" xr:uid="{51040520-D6A9-4D10-A918-4C2FA42766CF}"/>
    <cellStyle name="Ввод  2 11 2 3 4" xfId="37293" xr:uid="{9D702A56-FC91-405A-8166-74258330C252}"/>
    <cellStyle name="Ввод  2 11 2 4" xfId="11079" xr:uid="{868158F0-CD00-472E-99D6-DACBE8597BA8}"/>
    <cellStyle name="Ввод  2 11 2 4 2" xfId="27880" xr:uid="{E9E5E7B3-89AA-4D9E-9882-094432291D0C}"/>
    <cellStyle name="Ввод  2 11 2 4 3" xfId="41058" xr:uid="{529F4AA6-410B-424C-888B-9E984B4B8C9B}"/>
    <cellStyle name="Ввод  2 11 2 5" xfId="20964" xr:uid="{20F770F4-EEE9-4B2D-B88E-01B47A0AAB39}"/>
    <cellStyle name="Ввод  2 11 2 6" xfId="33987" xr:uid="{44486C75-1495-4572-8FFF-B313505A1A86}"/>
    <cellStyle name="Ввод  2 11 3" xfId="4670" xr:uid="{B6F112C6-A367-4544-BD65-7A3EBB65BCFD}"/>
    <cellStyle name="Ввод  2 11 3 2" xfId="7216" xr:uid="{E6E9A530-1ACC-476A-8E3E-D0AB3C2106A6}"/>
    <cellStyle name="Ввод  2 11 3 2 2" xfId="14162" xr:uid="{00C8C25B-9A5E-4992-85A4-61F7FA76A065}"/>
    <cellStyle name="Ввод  2 11 3 2 2 2" xfId="30518" xr:uid="{9D77C003-8099-4FD6-BF1B-71FC092B719C}"/>
    <cellStyle name="Ввод  2 11 3 2 2 3" xfId="43904" xr:uid="{423DB3A2-C110-415E-B72C-ECEFD01C5A19}"/>
    <cellStyle name="Ввод  2 11 3 2 3" xfId="24810" xr:uid="{46221213-FAFF-4E59-B13F-EAF150CCAF15}"/>
    <cellStyle name="Ввод  2 11 3 2 4" xfId="37891" xr:uid="{B18DEE14-8F86-4412-87FE-B1804D2F85E5}"/>
    <cellStyle name="Ввод  2 11 3 3" xfId="17256" xr:uid="{9461C7CE-E7CB-452F-8456-559B31E71092}"/>
    <cellStyle name="Ввод  2 11 3 3 2" xfId="33015" xr:uid="{D35E889B-7179-4C96-900B-3D86B680EE66}"/>
    <cellStyle name="Ввод  2 11 3 3 3" xfId="46790" xr:uid="{366D24E2-696C-4B21-AC1D-BF42154C1BE9}"/>
    <cellStyle name="Ввод  2 11 3 4" xfId="22480" xr:uid="{5E69F8E0-E979-4F63-9799-B6A47E53CF79}"/>
    <cellStyle name="Ввод  2 11 3 5" xfId="35533" xr:uid="{54813419-25DB-4247-BD2A-7E85E50E77F3}"/>
    <cellStyle name="Ввод  2 11 4" xfId="5624" xr:uid="{5CDA3E36-F7B9-4BDE-929A-0068143A3B81}"/>
    <cellStyle name="Ввод  2 11 4 2" xfId="8806" xr:uid="{7CCCB45B-CAF7-47F4-B309-94E35401F098}"/>
    <cellStyle name="Ввод  2 11 4 2 2" xfId="11872" xr:uid="{DEC2DD3E-8125-4CEC-A1EE-7E0B19750151}"/>
    <cellStyle name="Ввод  2 11 4 2 2 2" xfId="28588" xr:uid="{C0516038-C447-4561-B24E-C250AAE5D6D9}"/>
    <cellStyle name="Ввод  2 11 4 2 2 3" xfId="41804" xr:uid="{19491876-7BF7-4791-9216-8F657466AAD0}"/>
    <cellStyle name="Ввод  2 11 4 2 3" xfId="26299" xr:uid="{C32DC54F-3B22-473A-A1DB-84EAD5D0FA50}"/>
    <cellStyle name="Ввод  2 11 4 2 4" xfId="39375" xr:uid="{F3ACF8A0-7F41-4AAD-9A08-D12FB31E7E0B}"/>
    <cellStyle name="Ввод  2 11 4 3" xfId="12902" xr:uid="{16592381-3099-4E1F-8A49-34176D4C0988}"/>
    <cellStyle name="Ввод  2 11 4 3 2" xfId="29453" xr:uid="{E1AAA132-21A8-4BCD-A379-7D7779A536E3}"/>
    <cellStyle name="Ввод  2 11 4 3 3" xfId="42745" xr:uid="{61DCC76C-EEB7-4DBA-9E05-B85CB5DC43E5}"/>
    <cellStyle name="Ввод  2 11 4 4" xfId="23271" xr:uid="{7C7124E1-F638-4275-B4C2-57BAAA24192D}"/>
    <cellStyle name="Ввод  2 11 4 5" xfId="36352" xr:uid="{AFC4D493-AFA8-4C64-B944-F912BCCFAF75}"/>
    <cellStyle name="Ввод  2 11 5" xfId="13434" xr:uid="{31B7AE2B-8620-4401-84A9-5D23EB66F9FE}"/>
    <cellStyle name="Ввод  2 11 5 2" xfId="29899" xr:uid="{D0B8D5EF-C149-467C-B22D-BDFE723A69A9}"/>
    <cellStyle name="Ввод  2 11 5 3" xfId="43237" xr:uid="{00A6BBF1-BE30-4170-96F2-724B7FE544B3}"/>
    <cellStyle name="Ввод  2 11 6" xfId="21533" xr:uid="{AB8A740F-BF5F-46BF-A9BC-9642F583201E}"/>
    <cellStyle name="Ввод  2 11 7" xfId="34586" xr:uid="{150CA7D2-D783-4374-8499-FC4894E97411}"/>
    <cellStyle name="Ввод  2 12" xfId="3699" xr:uid="{10486A5D-F232-4B1C-9318-218E174A0F9D}"/>
    <cellStyle name="Ввод  2 12 2" xfId="3015" xr:uid="{8C3723B5-320D-43F4-ABC7-0613B17C4884}"/>
    <cellStyle name="Ввод  2 12 2 2" xfId="8311" xr:uid="{CC123F4D-2D9D-4638-A3BE-06ED005A2A49}"/>
    <cellStyle name="Ввод  2 12 2 2 2" xfId="16058" xr:uid="{BA943E8A-D741-4ADA-8EEF-47FAA1BA3B22}"/>
    <cellStyle name="Ввод  2 12 2 2 2 2" xfId="32119" xr:uid="{C0B44698-9091-4070-BFFB-1F3ABBA33E4F}"/>
    <cellStyle name="Ввод  2 12 2 2 2 3" xfId="45638" xr:uid="{FCA8D7D7-D61F-4C2E-9572-C1372F378D35}"/>
    <cellStyle name="Ввод  2 12 2 2 3" xfId="25815" xr:uid="{3BB3B12F-E831-4438-ADC5-D27C7F37AA36}"/>
    <cellStyle name="Ввод  2 12 2 2 4" xfId="38891" xr:uid="{02035DDA-C5A1-43A0-967E-7AED5F687240}"/>
    <cellStyle name="Ввод  2 12 2 3" xfId="6678" xr:uid="{F5548670-1376-4085-9179-0AF56DEF8038}"/>
    <cellStyle name="Ввод  2 12 2 3 2" xfId="11675" xr:uid="{C5BA04CC-9532-4BBE-8A40-7256D122DDE0}"/>
    <cellStyle name="Ввод  2 12 2 3 2 2" xfId="28412" xr:uid="{BDAE0734-4B84-4662-9291-F72EAE2CDE0B}"/>
    <cellStyle name="Ввод  2 12 2 3 2 3" xfId="41618" xr:uid="{1A1B3007-0221-407C-88D7-BDF18B2D86AC}"/>
    <cellStyle name="Ввод  2 12 2 3 3" xfId="24306" xr:uid="{80AF5378-1ECB-4EE5-91BB-86F35D15321C}"/>
    <cellStyle name="Ввод  2 12 2 3 4" xfId="37387" xr:uid="{284EBE69-5FA4-4D5E-808A-490801ABD0DF}"/>
    <cellStyle name="Ввод  2 12 2 4" xfId="13633" xr:uid="{49D2D69F-DE16-447D-9E5F-EBE33D25E19C}"/>
    <cellStyle name="Ввод  2 12 2 4 2" xfId="30068" xr:uid="{84CE8F41-3FDF-4E52-9A73-9A57CAC27E7B}"/>
    <cellStyle name="Ввод  2 12 2 4 3" xfId="43423" xr:uid="{97791D1C-E108-4C8E-A0B7-D1A88FBB03AA}"/>
    <cellStyle name="Ввод  2 12 2 5" xfId="21058" xr:uid="{EA13EC85-BF2A-45E2-85C4-17C3BABC42A8}"/>
    <cellStyle name="Ввод  2 12 2 6" xfId="34081" xr:uid="{3EB4914B-A643-45E0-A553-8250F1717E8E}"/>
    <cellStyle name="Ввод  2 12 3" xfId="4729" xr:uid="{469C41FE-D74E-47C2-9557-DF3023E4A0AF}"/>
    <cellStyle name="Ввод  2 12 3 2" xfId="7334" xr:uid="{2EFA4201-0849-4E9D-B9FA-1AE70CF45188}"/>
    <cellStyle name="Ввод  2 12 3 2 2" xfId="14645" xr:uid="{D8098A81-EB2B-464E-A1A0-CC0EF1BF2C12}"/>
    <cellStyle name="Ввод  2 12 3 2 2 2" xfId="30941" xr:uid="{3E4911E2-63ED-44A7-91CD-A96F117C36EC}"/>
    <cellStyle name="Ввод  2 12 3 2 2 3" xfId="44362" xr:uid="{FE426CAE-DF23-49EE-8629-C5A62937C200}"/>
    <cellStyle name="Ввод  2 12 3 2 3" xfId="24893" xr:uid="{00621E77-EF07-4E43-81A2-F7414125DB64}"/>
    <cellStyle name="Ввод  2 12 3 2 4" xfId="37973" xr:uid="{3E46DBD4-6609-4F03-AF74-21F78115D145}"/>
    <cellStyle name="Ввод  2 12 3 3" xfId="11949" xr:uid="{0040107F-CB9D-4A00-911E-B5EC50783858}"/>
    <cellStyle name="Ввод  2 12 3 3 2" xfId="28659" xr:uid="{C720FD1E-9636-4677-8773-1CF8CBBD6C77}"/>
    <cellStyle name="Ввод  2 12 3 3 3" xfId="41877" xr:uid="{1CE5F812-F368-4FB5-9BA2-06376188C138}"/>
    <cellStyle name="Ввод  2 12 3 4" xfId="22532" xr:uid="{80438DBE-E989-413A-8564-547630C90978}"/>
    <cellStyle name="Ввод  2 12 3 5" xfId="35585" xr:uid="{661CAD01-F676-4AAC-A55E-80037D217814}"/>
    <cellStyle name="Ввод  2 12 4" xfId="5706" xr:uid="{72B174C5-3640-468D-B854-CFDAC41B973F}"/>
    <cellStyle name="Ввод  2 12 4 2" xfId="8895" xr:uid="{6E41EF0E-FA06-43FA-893C-ABA6B2C36540}"/>
    <cellStyle name="Ввод  2 12 4 2 2" xfId="13273" xr:uid="{266A42EF-FE7C-4091-9CC8-8E7179DA8773}"/>
    <cellStyle name="Ввод  2 12 4 2 2 2" xfId="29764" xr:uid="{8C964A76-5B5B-4ADC-8F1F-7BF447D80EF2}"/>
    <cellStyle name="Ввод  2 12 4 2 2 3" xfId="43090" xr:uid="{5E3177F1-D5B9-4452-9C1D-FE8933F26C7B}"/>
    <cellStyle name="Ввод  2 12 4 2 3" xfId="26381" xr:uid="{16BD3207-30A3-4C4D-8BED-2F6FF80F8B83}"/>
    <cellStyle name="Ввод  2 12 4 2 4" xfId="39457" xr:uid="{7B8D1EA2-A8E2-41A5-AFE2-3C000B986C6A}"/>
    <cellStyle name="Ввод  2 12 4 3" xfId="17526" xr:uid="{FF1113C4-4A40-4361-ADC6-8A0961BC5190}"/>
    <cellStyle name="Ввод  2 12 4 3 2" xfId="33264" xr:uid="{6301BFCC-682F-409A-8539-D309C781C6DC}"/>
    <cellStyle name="Ввод  2 12 4 3 3" xfId="47051" xr:uid="{0B40F633-EB66-45C0-9397-8558248B0E2D}"/>
    <cellStyle name="Ввод  2 12 4 4" xfId="23353" xr:uid="{9079123B-98F9-43F4-9E31-AC34AF39468C}"/>
    <cellStyle name="Ввод  2 12 4 5" xfId="36434" xr:uid="{1D5E2008-1E0D-4603-A3EE-CB062AD2B9C5}"/>
    <cellStyle name="Ввод  2 12 5" xfId="14929" xr:uid="{43A42CA0-E7DC-42C5-9FD2-FE780419E217}"/>
    <cellStyle name="Ввод  2 12 5 2" xfId="31172" xr:uid="{E91DDFAF-2ED0-4D2E-89D0-44967D62A36F}"/>
    <cellStyle name="Ввод  2 12 5 3" xfId="44616" xr:uid="{C4E09231-EE6E-4605-8736-90B2A6A196BF}"/>
    <cellStyle name="Ввод  2 12 6" xfId="21615" xr:uid="{8C1B6009-CC72-4FDA-9840-183941952E98}"/>
    <cellStyle name="Ввод  2 12 7" xfId="34669" xr:uid="{DCB486D6-31CD-4AF2-83B2-BBF33BA1E267}"/>
    <cellStyle name="Ввод  2 13" xfId="3683" xr:uid="{A14EBA47-50D4-4A65-96F5-FBEFDC88F328}"/>
    <cellStyle name="Ввод  2 13 2" xfId="2999" xr:uid="{002C53A0-F45C-4FB0-9A8E-FD00A3BE513F}"/>
    <cellStyle name="Ввод  2 13 2 2" xfId="8295" xr:uid="{9782A9BA-B199-49A4-9FA0-F30359485B38}"/>
    <cellStyle name="Ввод  2 13 2 2 2" xfId="10850" xr:uid="{4401D14E-770C-4E81-8C38-AF1632376773}"/>
    <cellStyle name="Ввод  2 13 2 2 2 2" xfId="27679" xr:uid="{89CE95F0-D625-4772-B6DE-91472A9E4DE8}"/>
    <cellStyle name="Ввод  2 13 2 2 2 3" xfId="40831" xr:uid="{8AFD13FD-FE46-446D-92BA-64910CFD8755}"/>
    <cellStyle name="Ввод  2 13 2 2 3" xfId="25800" xr:uid="{8BF56154-4EB1-4FFC-96D0-33BA128EF95F}"/>
    <cellStyle name="Ввод  2 13 2 2 4" xfId="38876" xr:uid="{9573DE25-8B6A-4EF7-95DC-D13E2C0FF552}"/>
    <cellStyle name="Ввод  2 13 2 3" xfId="6662" xr:uid="{375E368E-D27C-4C6C-B301-D6AF46334250}"/>
    <cellStyle name="Ввод  2 13 2 3 2" xfId="11740" xr:uid="{B767FD44-4B8F-4C29-9797-4D51242C4AFF}"/>
    <cellStyle name="Ввод  2 13 2 3 2 2" xfId="28467" xr:uid="{78A7911F-B084-479D-AA7F-445F7E4EF477}"/>
    <cellStyle name="Ввод  2 13 2 3 2 3" xfId="41678" xr:uid="{B5246124-DBDE-4485-8E66-67CD273AB356}"/>
    <cellStyle name="Ввод  2 13 2 3 3" xfId="24291" xr:uid="{AFE31E5C-3698-4A78-9388-5EFA3A3E0714}"/>
    <cellStyle name="Ввод  2 13 2 3 4" xfId="37372" xr:uid="{D2DC92D5-2B85-4263-891A-FFB1CC1F94FF}"/>
    <cellStyle name="Ввод  2 13 2 4" xfId="15531" xr:uid="{F9D26B7E-813A-4181-BEBC-19D32635B1B7}"/>
    <cellStyle name="Ввод  2 13 2 4 2" xfId="31667" xr:uid="{E9DE4846-994A-4922-B347-23AB8BF30A1E}"/>
    <cellStyle name="Ввод  2 13 2 4 3" xfId="45166" xr:uid="{552E2681-8C25-405A-91E7-9DC3A3B8E77B}"/>
    <cellStyle name="Ввод  2 13 2 5" xfId="21043" xr:uid="{01E1E23D-5C3A-458A-A11D-9B6DEF740558}"/>
    <cellStyle name="Ввод  2 13 2 6" xfId="34066" xr:uid="{926301A0-7ED8-49CF-A9E8-347E5FC82797}"/>
    <cellStyle name="Ввод  2 13 3" xfId="4716" xr:uid="{AAE8CD47-E73A-4D4C-9CF6-30BD964942DB}"/>
    <cellStyle name="Ввод  2 13 3 2" xfId="7318" xr:uid="{0273AEA2-8981-48D1-ADF5-A9042F2B5C4F}"/>
    <cellStyle name="Ввод  2 13 3 2 2" xfId="15818" xr:uid="{E6F89F61-0ED4-4511-B304-17AE9F626746}"/>
    <cellStyle name="Ввод  2 13 3 2 2 2" xfId="31913" xr:uid="{DBD3C228-0EAF-4B08-A8CB-B2C5476A78DA}"/>
    <cellStyle name="Ввод  2 13 3 2 2 3" xfId="45425" xr:uid="{8006A383-72C8-4CD5-80F7-74B71A3CE051}"/>
    <cellStyle name="Ввод  2 13 3 2 3" xfId="24878" xr:uid="{E0892683-40D8-4A68-9850-FC91F69E498F}"/>
    <cellStyle name="Ввод  2 13 3 2 4" xfId="37958" xr:uid="{D2FD691E-5AAF-4466-AC04-0ECC6FAD2EE8}"/>
    <cellStyle name="Ввод  2 13 3 3" xfId="15721" xr:uid="{432A9BDC-14F4-4235-8664-E02176B0C29C}"/>
    <cellStyle name="Ввод  2 13 3 3 2" xfId="31831" xr:uid="{CDD43D59-D57C-4C1C-B126-3A70935F3B91}"/>
    <cellStyle name="Ввод  2 13 3 3 3" xfId="45340" xr:uid="{A4EC94F7-CD70-4DA5-AA6B-15B180366ACB}"/>
    <cellStyle name="Ввод  2 13 3 4" xfId="22520" xr:uid="{B9BE5B74-ABB6-43A4-AC2C-B30EDBA2A706}"/>
    <cellStyle name="Ввод  2 13 3 5" xfId="35573" xr:uid="{DF874AE0-1A66-4F6D-A3A2-27FA3CC1FFC8}"/>
    <cellStyle name="Ввод  2 13 4" xfId="5691" xr:uid="{8400C13E-87E7-4392-BAFF-8FFBB535E2A2}"/>
    <cellStyle name="Ввод  2 13 4 2" xfId="8879" xr:uid="{6177379B-F538-4849-95C3-6462457AA48C}"/>
    <cellStyle name="Ввод  2 13 4 2 2" xfId="12196" xr:uid="{01CDF6A5-9FD3-419D-80C7-D6D2BDC39D1C}"/>
    <cellStyle name="Ввод  2 13 4 2 2 2" xfId="28887" xr:uid="{A74B5084-AC44-4CAB-9465-85B97B3F51C8}"/>
    <cellStyle name="Ввод  2 13 4 2 2 3" xfId="42114" xr:uid="{AA0D516F-7622-402E-96C2-728473EA2AA4}"/>
    <cellStyle name="Ввод  2 13 4 2 3" xfId="26366" xr:uid="{6B6EAA0D-4FFD-43FB-B47A-6ABF7DE8421E}"/>
    <cellStyle name="Ввод  2 13 4 2 4" xfId="39442" xr:uid="{D1B50DF9-C687-430E-9841-7200A4F6B723}"/>
    <cellStyle name="Ввод  2 13 4 3" xfId="17532" xr:uid="{F608C9DE-BDE1-487F-984C-30D02653E172}"/>
    <cellStyle name="Ввод  2 13 4 3 2" xfId="33270" xr:uid="{2626A669-6AD6-426F-AAF1-4A742D06DE12}"/>
    <cellStyle name="Ввод  2 13 4 3 3" xfId="47057" xr:uid="{BA3E7261-0F54-4CE7-8969-76FF560F8524}"/>
    <cellStyle name="Ввод  2 13 4 4" xfId="23338" xr:uid="{C9EEF9D2-2094-44F3-BF9E-CE0C9A0875AF}"/>
    <cellStyle name="Ввод  2 13 4 5" xfId="36419" xr:uid="{F8491946-AEAA-404A-BBB4-DB0F420F9F1E}"/>
    <cellStyle name="Ввод  2 13 5" xfId="11459" xr:uid="{363C417D-B495-4D42-A782-4596DB78B4DC}"/>
    <cellStyle name="Ввод  2 13 5 2" xfId="28224" xr:uid="{EB219D1A-A8D1-43FC-A352-6EE425DD6EC9}"/>
    <cellStyle name="Ввод  2 13 5 3" xfId="41418" xr:uid="{152A8880-7069-423D-9854-E5559797EA7E}"/>
    <cellStyle name="Ввод  2 13 6" xfId="21600" xr:uid="{917D939F-6A1B-4C71-AEC2-DB1E933E525C}"/>
    <cellStyle name="Ввод  2 13 7" xfId="34654" xr:uid="{69F0B842-EAAE-4D6D-BDA6-897D435EF2E5}"/>
    <cellStyle name="Ввод  2 14" xfId="3536" xr:uid="{0A18A298-84D1-497C-8DFA-D7EBA33B94E2}"/>
    <cellStyle name="Ввод  2 14 2" xfId="2877" xr:uid="{6AEFF34E-C32C-447A-AF19-FB5737138340}"/>
    <cellStyle name="Ввод  2 14 2 2" xfId="8173" xr:uid="{D067329A-FF08-4917-BBE9-98EB5062420C}"/>
    <cellStyle name="Ввод  2 14 2 2 2" xfId="16686" xr:uid="{98635EFD-DD2A-4799-99C3-F946D86C70E3}"/>
    <cellStyle name="Ввод  2 14 2 2 2 2" xfId="32573" xr:uid="{521F6D81-DF8D-4376-9BA1-8DE0357EF375}"/>
    <cellStyle name="Ввод  2 14 2 2 2 3" xfId="46231" xr:uid="{C2B1561E-1527-456F-8551-4BB23F7B0A62}"/>
    <cellStyle name="Ввод  2 14 2 2 3" xfId="25684" xr:uid="{84D02E91-DB26-4532-A3F7-12D310E2BEC0}"/>
    <cellStyle name="Ввод  2 14 2 2 4" xfId="38760" xr:uid="{230B2F33-A5F3-4377-884F-1352008175EA}"/>
    <cellStyle name="Ввод  2 14 2 3" xfId="6540" xr:uid="{EA812EDC-38D7-4C69-98B5-50A6D6CD8B4C}"/>
    <cellStyle name="Ввод  2 14 2 3 2" xfId="14677" xr:uid="{438C0FA4-B981-4FBB-98EC-FB8C9EB687EF}"/>
    <cellStyle name="Ввод  2 14 2 3 2 2" xfId="30970" xr:uid="{D5888389-85BB-439E-B6A3-F31E9627B853}"/>
    <cellStyle name="Ввод  2 14 2 3 2 3" xfId="44391" xr:uid="{B451D47D-678F-4B4C-80DD-103A04363E6A}"/>
    <cellStyle name="Ввод  2 14 2 3 3" xfId="24175" xr:uid="{C85F713B-39E7-4617-90BE-110FED2ED7C4}"/>
    <cellStyle name="Ввод  2 14 2 3 4" xfId="37256" xr:uid="{B51C5F35-9C1C-4DF4-91DE-6CE957151B4A}"/>
    <cellStyle name="Ввод  2 14 2 4" xfId="15957" xr:uid="{2C96FA32-1D28-4F3D-8438-1422DF800055}"/>
    <cellStyle name="Ввод  2 14 2 4 2" xfId="32033" xr:uid="{A0AEDE61-6AB9-4BB0-98FE-6E693ED0816B}"/>
    <cellStyle name="Ввод  2 14 2 4 3" xfId="45551" xr:uid="{DAB14FB2-CF50-4BC0-8120-FCCE59765ED3}"/>
    <cellStyle name="Ввод  2 14 2 5" xfId="20927" xr:uid="{A99B2F32-80CA-4BED-BC1C-F74DD5D53127}"/>
    <cellStyle name="Ввод  2 14 2 6" xfId="33950" xr:uid="{7CE7FF00-92AA-4B94-B934-DE37D504488A}"/>
    <cellStyle name="Ввод  2 14 3" xfId="4643" xr:uid="{20364181-A071-449D-8DFC-68FB7E95EE74}"/>
    <cellStyle name="Ввод  2 14 3 2" xfId="7178" xr:uid="{BAFEF22A-3C96-4DF6-8B26-36041D2BCC0F}"/>
    <cellStyle name="Ввод  2 14 3 2 2" xfId="15917" xr:uid="{6FBB6131-0B78-4741-AA6A-08B32C32A3CD}"/>
    <cellStyle name="Ввод  2 14 3 2 2 2" xfId="31999" xr:uid="{17ACA6D4-A0CB-4535-93E8-7924444948C5}"/>
    <cellStyle name="Ввод  2 14 3 2 2 3" xfId="45515" xr:uid="{0C7B2DCC-8480-4069-972D-92BCE09CDE8E}"/>
    <cellStyle name="Ввод  2 14 3 2 3" xfId="24775" xr:uid="{F58B48E9-91FB-420D-921C-27795538A7FE}"/>
    <cellStyle name="Ввод  2 14 3 2 4" xfId="37856" xr:uid="{5B46F91C-90F9-4817-9ED0-059A9AD51EC0}"/>
    <cellStyle name="Ввод  2 14 3 3" xfId="17157" xr:uid="{ED87AE28-3CC4-4DB2-8E88-BE2C5620B3E6}"/>
    <cellStyle name="Ввод  2 14 3 3 2" xfId="32920" xr:uid="{20467D80-A9BD-4D86-86C1-F46E3840F4A6}"/>
    <cellStyle name="Ввод  2 14 3 3 3" xfId="46692" xr:uid="{4B249B1E-BB34-4DD0-BD8B-C2B3C23ABEF0}"/>
    <cellStyle name="Ввод  2 14 3 4" xfId="22453" xr:uid="{51D3B84E-FD1F-4411-9DE0-DBB2C8C8317D}"/>
    <cellStyle name="Ввод  2 14 3 5" xfId="35506" xr:uid="{5B1BFC87-47E0-4F4E-B1E8-0F3A201DAAFB}"/>
    <cellStyle name="Ввод  2 14 4" xfId="5589" xr:uid="{565D5E0E-4B0C-4F03-AC98-6E73F9A97727}"/>
    <cellStyle name="Ввод  2 14 4 2" xfId="8771" xr:uid="{F370B56C-7139-40E4-A757-0799AF16CCC4}"/>
    <cellStyle name="Ввод  2 14 4 2 2" xfId="11578" xr:uid="{E4F2F467-3EFD-4AC0-B300-A1F5D01E58FB}"/>
    <cellStyle name="Ввод  2 14 4 2 2 2" xfId="28330" xr:uid="{75609AC1-653C-4A28-AD2C-B9212BB8CF8B}"/>
    <cellStyle name="Ввод  2 14 4 2 2 3" xfId="41530" xr:uid="{6A476D29-D8A3-4BDF-877A-16710B60638B}"/>
    <cellStyle name="Ввод  2 14 4 2 3" xfId="26264" xr:uid="{71B01C78-2111-44ED-92B2-F87B0D47C52F}"/>
    <cellStyle name="Ввод  2 14 4 2 4" xfId="39340" xr:uid="{7FD8D5F6-CE8C-4245-BBFA-BE5B778AE29C}"/>
    <cellStyle name="Ввод  2 14 4 3" xfId="10890" xr:uid="{76B4AFE3-447F-4058-A394-7A3B567DECB9}"/>
    <cellStyle name="Ввод  2 14 4 3 2" xfId="27712" xr:uid="{F65293F6-8CBD-4EAB-ADCE-EBF54F3DE371}"/>
    <cellStyle name="Ввод  2 14 4 3 3" xfId="40870" xr:uid="{D6DB4E71-6B91-4992-B7E6-F4516987FBCA}"/>
    <cellStyle name="Ввод  2 14 4 4" xfId="23236" xr:uid="{F4E80934-179D-4DDD-9EAA-35ABE084A4AB}"/>
    <cellStyle name="Ввод  2 14 4 5" xfId="36317" xr:uid="{35F9701A-20AB-4687-8B7D-957CE1C0B0F4}"/>
    <cellStyle name="Ввод  2 14 5" xfId="16820" xr:uid="{5610A413-EAE6-4435-9C8A-4E552AB6CB21}"/>
    <cellStyle name="Ввод  2 14 5 2" xfId="32700" xr:uid="{8BB9C5F0-3C09-4718-AC4D-F623C096DE56}"/>
    <cellStyle name="Ввод  2 14 5 3" xfId="46363" xr:uid="{CDD4C7EE-2D81-4FFF-9B75-52833F5E3B74}"/>
    <cellStyle name="Ввод  2 14 6" xfId="21498" xr:uid="{44E7F33C-F775-45FE-9352-380D276F70B5}"/>
    <cellStyle name="Ввод  2 14 7" xfId="34550" xr:uid="{B02315B5-5629-4282-921E-CFB2D165CED7}"/>
    <cellStyle name="Ввод  2 15" xfId="3844" xr:uid="{75BA6AD6-816B-41CC-BDFF-AF6233F598CC}"/>
    <cellStyle name="Ввод  2 15 2" xfId="3109" xr:uid="{A2B29BFA-4A7E-4587-AFE6-0D31E4459FEE}"/>
    <cellStyle name="Ввод  2 15 2 2" xfId="8401" xr:uid="{239A4907-B1B7-453D-9AC7-C2D4856E72CD}"/>
    <cellStyle name="Ввод  2 15 2 2 2" xfId="10744" xr:uid="{0F36990C-5BCB-405E-869B-50F25E915C61}"/>
    <cellStyle name="Ввод  2 15 2 2 2 2" xfId="27584" xr:uid="{510C582E-8559-49F7-9AD2-F3F4D373FAFC}"/>
    <cellStyle name="Ввод  2 15 2 2 2 3" xfId="40725" xr:uid="{85FEC88C-618E-4B06-B6EB-7E5E1E6853AE}"/>
    <cellStyle name="Ввод  2 15 2 2 3" xfId="25903" xr:uid="{559B5D90-C0C2-4D9D-B821-A8065ADD1D1F}"/>
    <cellStyle name="Ввод  2 15 2 2 4" xfId="38979" xr:uid="{AA72ABC2-6166-48E8-86DE-3557F612E3F2}"/>
    <cellStyle name="Ввод  2 15 2 3" xfId="6768" xr:uid="{B3FBC2DD-D1C3-4DED-A31F-A8B6B38BF338}"/>
    <cellStyle name="Ввод  2 15 2 3 2" xfId="14888" xr:uid="{CBBAF181-C488-4EDB-9512-B65F5DE0A930}"/>
    <cellStyle name="Ввод  2 15 2 3 2 2" xfId="31138" xr:uid="{276DDF4F-FE16-449D-BDC0-C0DD993FC5BF}"/>
    <cellStyle name="Ввод  2 15 2 3 2 3" xfId="44579" xr:uid="{0F124A8D-C213-40C6-B592-C9F4223A6B66}"/>
    <cellStyle name="Ввод  2 15 2 3 3" xfId="24394" xr:uid="{59F4857D-FD4C-405F-8694-ED78268A71AC}"/>
    <cellStyle name="Ввод  2 15 2 3 4" xfId="37475" xr:uid="{4E9775C4-A05F-4595-A104-A3EB70C9B769}"/>
    <cellStyle name="Ввод  2 15 2 4" xfId="15042" xr:uid="{20AB3B2F-58C3-441F-81AF-7C6205861D17}"/>
    <cellStyle name="Ввод  2 15 2 4 2" xfId="31258" xr:uid="{5B2EA8F4-4C05-444C-A133-19A0E1FEA8FA}"/>
    <cellStyle name="Ввод  2 15 2 4 3" xfId="44714" xr:uid="{DC7904F1-F2C6-4E49-8D63-B1307432E250}"/>
    <cellStyle name="Ввод  2 15 2 5" xfId="21146" xr:uid="{C1C0BF87-79D6-4585-9D8F-9D7156027A23}"/>
    <cellStyle name="Ввод  2 15 2 6" xfId="34169" xr:uid="{3E9D69DA-4FA8-4658-9DC4-39A7A974B0D5}"/>
    <cellStyle name="Ввод  2 15 3" xfId="4789" xr:uid="{06084232-752C-4D7F-A7A2-E2067EAB6A32}"/>
    <cellStyle name="Ввод  2 15 3 2" xfId="7431" xr:uid="{2E9A2B59-43AB-44E3-8D6A-BE3632B96ABA}"/>
    <cellStyle name="Ввод  2 15 3 2 2" xfId="15566" xr:uid="{CC258A1E-E4C0-497C-BCD8-26D8A4BEF7D9}"/>
    <cellStyle name="Ввод  2 15 3 2 2 2" xfId="31696" xr:uid="{154F370E-E416-4693-998E-3C34D32CF7EF}"/>
    <cellStyle name="Ввод  2 15 3 2 2 3" xfId="45198" xr:uid="{AE5E59AB-F7CD-42FE-BA93-801BE6AE2C85}"/>
    <cellStyle name="Ввод  2 15 3 2 3" xfId="24988" xr:uid="{B8124F45-8E55-42F4-966E-A34C9151F99D}"/>
    <cellStyle name="Ввод  2 15 3 2 4" xfId="38064" xr:uid="{87F30404-9D8F-4F47-B451-CD72748BD231}"/>
    <cellStyle name="Ввод  2 15 3 3" xfId="11707" xr:uid="{6C6D7309-28AB-4A1A-AFF2-19907A667DDB}"/>
    <cellStyle name="Ввод  2 15 3 3 2" xfId="28439" xr:uid="{B548CDA0-1A94-455B-AD6A-04709D48B5D6}"/>
    <cellStyle name="Ввод  2 15 3 3 3" xfId="41649" xr:uid="{0C4F9DD0-18C2-44C6-AEB8-3105498E17C6}"/>
    <cellStyle name="Ввод  2 15 3 4" xfId="22591" xr:uid="{A91717B9-655E-4234-BDFC-57CBB9C3C7B9}"/>
    <cellStyle name="Ввод  2 15 3 5" xfId="35644" xr:uid="{EE6A066F-2464-4616-80CB-E06BB5E1BFC6}"/>
    <cellStyle name="Ввод  2 15 4" xfId="5814" xr:uid="{4206DB1C-D3B7-49E5-93C5-86B1FC280897}"/>
    <cellStyle name="Ввод  2 15 4 2" xfId="8975" xr:uid="{6D4FF5AE-99F8-45BB-AC32-8299482A9651}"/>
    <cellStyle name="Ввод  2 15 4 2 2" xfId="11576" xr:uid="{614BF737-2368-4AEF-A145-BEF82FC85DA0}"/>
    <cellStyle name="Ввод  2 15 4 2 2 2" xfId="28328" xr:uid="{0702E854-3B37-458D-A422-30F30A31DA22}"/>
    <cellStyle name="Ввод  2 15 4 2 2 3" xfId="41528" xr:uid="{EE81C76E-0C16-4606-B5EA-38B874A2D49B}"/>
    <cellStyle name="Ввод  2 15 4 2 3" xfId="26460" xr:uid="{59798E52-9ED6-4CFA-8DAD-340AD066A1CF}"/>
    <cellStyle name="Ввод  2 15 4 2 4" xfId="39536" xr:uid="{089CDE37-403B-4C5E-B523-79625F069B28}"/>
    <cellStyle name="Ввод  2 15 4 3" xfId="12758" xr:uid="{F12C1E0A-9068-44CB-97F1-309BB0BBEF8B}"/>
    <cellStyle name="Ввод  2 15 4 3 2" xfId="29335" xr:uid="{E79F6DEE-FA88-45AB-8615-B5B7C12424B9}"/>
    <cellStyle name="Ввод  2 15 4 3 3" xfId="42615" xr:uid="{E0306524-1002-476D-A17A-2298D3E456FA}"/>
    <cellStyle name="Ввод  2 15 4 4" xfId="23461" xr:uid="{0E0913D1-36D2-4FED-812B-0A9FF1860BDD}"/>
    <cellStyle name="Ввод  2 15 4 5" xfId="36542" xr:uid="{FA52D5BE-00E4-4EB7-873C-C6ED67FB26EB}"/>
    <cellStyle name="Ввод  2 15 5" xfId="17345" xr:uid="{4C18699E-41A0-41BE-B490-BB7BE0313BB4}"/>
    <cellStyle name="Ввод  2 15 5 2" xfId="33099" xr:uid="{D4DEBFBD-644E-44B1-AFC1-6F9EA209A719}"/>
    <cellStyle name="Ввод  2 15 5 3" xfId="46875" xr:uid="{11D37C3B-4C45-4A89-87C5-6E6C163E03D0}"/>
    <cellStyle name="Ввод  2 15 6" xfId="21723" xr:uid="{3F52AFC1-C8D8-411F-9762-151485AD1827}"/>
    <cellStyle name="Ввод  2 15 7" xfId="34777" xr:uid="{FCDE11C2-2CC0-4F19-A345-08157103AED1}"/>
    <cellStyle name="Ввод  2 16" xfId="3896" xr:uid="{C69BDB42-5EED-4AE4-B165-80F064F0EBC2}"/>
    <cellStyle name="Ввод  2 16 2" xfId="3165" xr:uid="{682B26C0-BB38-4372-9524-D00B1B2FD506}"/>
    <cellStyle name="Ввод  2 16 2 2" xfId="8457" xr:uid="{83FCE58D-6868-4D4D-9FC8-637C95A9488D}"/>
    <cellStyle name="Ввод  2 16 2 2 2" xfId="16040" xr:uid="{C861CF06-2A00-476F-B657-CD8626EFFF80}"/>
    <cellStyle name="Ввод  2 16 2 2 2 2" xfId="32104" xr:uid="{85754AC7-5776-4843-BBA3-D20E7DDE1AA8}"/>
    <cellStyle name="Ввод  2 16 2 2 2 3" xfId="45623" xr:uid="{24F6BFB1-D6AF-4681-8046-CC3218CC0F3C}"/>
    <cellStyle name="Ввод  2 16 2 2 3" xfId="25959" xr:uid="{FF495E2F-FB4E-49CA-ADAA-67EE2FBE5CFA}"/>
    <cellStyle name="Ввод  2 16 2 2 4" xfId="39035" xr:uid="{4609860A-9201-43EA-82E8-37B6332D2A52}"/>
    <cellStyle name="Ввод  2 16 2 3" xfId="6824" xr:uid="{8E21B068-7FDF-42E1-B3F2-53BA87B12C80}"/>
    <cellStyle name="Ввод  2 16 2 3 2" xfId="14057" xr:uid="{9B062F3F-6352-474F-B088-7576050F19D7}"/>
    <cellStyle name="Ввод  2 16 2 3 2 2" xfId="30427" xr:uid="{EA564FB9-DA3F-40F3-84E8-BE7484894F69}"/>
    <cellStyle name="Ввод  2 16 2 3 2 3" xfId="43810" xr:uid="{A0A65673-6315-4B59-9491-9BA49111F044}"/>
    <cellStyle name="Ввод  2 16 2 3 3" xfId="24450" xr:uid="{E44D4955-F20A-44A4-8187-C04AFB515446}"/>
    <cellStyle name="Ввод  2 16 2 3 4" xfId="37531" xr:uid="{F204F76C-7DF6-44DC-B0A8-E5340DBB4A40}"/>
    <cellStyle name="Ввод  2 16 2 4" xfId="14514" xr:uid="{7B61FA58-10BD-400E-8E28-C69915C620EA}"/>
    <cellStyle name="Ввод  2 16 2 4 2" xfId="30832" xr:uid="{CA926E9D-247D-4201-8A34-1DD74938DF4B}"/>
    <cellStyle name="Ввод  2 16 2 4 3" xfId="44242" xr:uid="{4E6EF673-F733-4541-876C-E2AEFAA55A19}"/>
    <cellStyle name="Ввод  2 16 2 5" xfId="21202" xr:uid="{0B5BE835-A6D6-4D79-A111-764F284B14CE}"/>
    <cellStyle name="Ввод  2 16 2 6" xfId="34225" xr:uid="{9FC5112F-DC60-4A24-8684-60BAD6DCE19A}"/>
    <cellStyle name="Ввод  2 16 3" xfId="4833" xr:uid="{B7789395-38FF-470A-9C39-16EA199AC75E}"/>
    <cellStyle name="Ввод  2 16 3 2" xfId="7477" xr:uid="{D854CBF1-7497-477C-81C2-EB4BBF8DE319}"/>
    <cellStyle name="Ввод  2 16 3 2 2" xfId="17352" xr:uid="{A8FD0DE4-6884-4A50-89C4-206B439C41AD}"/>
    <cellStyle name="Ввод  2 16 3 2 2 2" xfId="33106" xr:uid="{017919B0-08BB-4589-8B99-661A7EB947F3}"/>
    <cellStyle name="Ввод  2 16 3 2 2 3" xfId="46882" xr:uid="{53F0EA06-883E-4EFF-AD4A-32F20D7A60D5}"/>
    <cellStyle name="Ввод  2 16 3 2 3" xfId="25034" xr:uid="{AAC541BD-CA9B-462C-906D-E3DBA8498829}"/>
    <cellStyle name="Ввод  2 16 3 2 4" xfId="38110" xr:uid="{17EF52A7-D117-44BD-B821-189B5944CB3F}"/>
    <cellStyle name="Ввод  2 16 3 3" xfId="12444" xr:uid="{74CC06CD-435C-429E-98B5-F7C54CBF4AA7}"/>
    <cellStyle name="Ввод  2 16 3 3 2" xfId="29096" xr:uid="{CFC8975F-2C88-41C3-831E-87E6461EF570}"/>
    <cellStyle name="Ввод  2 16 3 3 3" xfId="42342" xr:uid="{1F9C7653-0F28-496E-A53C-F6404A034AE2}"/>
    <cellStyle name="Ввод  2 16 3 4" xfId="22635" xr:uid="{13DC2776-D882-4450-A435-044E1171EA7F}"/>
    <cellStyle name="Ввод  2 16 3 5" xfId="35688" xr:uid="{6F89AE22-4598-4380-95E8-497B85750C1E}"/>
    <cellStyle name="Ввод  2 16 4" xfId="5860" xr:uid="{7E48E37C-9EA7-4104-91FB-4018E73E97C4}"/>
    <cellStyle name="Ввод  2 16 4 2" xfId="9018" xr:uid="{2F39AF05-31FF-4DC1-B092-567F70DEC449}"/>
    <cellStyle name="Ввод  2 16 4 2 2" xfId="11462" xr:uid="{6545FA47-698E-4FF6-A2F8-9901FDC4B713}"/>
    <cellStyle name="Ввод  2 16 4 2 2 2" xfId="28226" xr:uid="{93221DCF-44AD-4CC8-AD9E-FE2B847711DA}"/>
    <cellStyle name="Ввод  2 16 4 2 2 3" xfId="41421" xr:uid="{111DF3B4-0C38-4EFD-97DC-29C27DF13081}"/>
    <cellStyle name="Ввод  2 16 4 2 3" xfId="26503" xr:uid="{6713BB56-42A9-4960-B1D3-DD169AB90B7E}"/>
    <cellStyle name="Ввод  2 16 4 2 4" xfId="39579" xr:uid="{2BF75EE9-0C68-4EC6-90DF-F677C97C9016}"/>
    <cellStyle name="Ввод  2 16 4 3" xfId="15055" xr:uid="{28A7F7A2-DE86-4A9B-9F6A-5D4BEDB9B4F8}"/>
    <cellStyle name="Ввод  2 16 4 3 2" xfId="31267" xr:uid="{E11B4078-E04F-420F-901B-E92CFF7D9838}"/>
    <cellStyle name="Ввод  2 16 4 3 3" xfId="44723" xr:uid="{8D838158-9B5D-47D6-B925-07A44F732B9D}"/>
    <cellStyle name="Ввод  2 16 4 4" xfId="23507" xr:uid="{90AFE636-4D63-464E-AFC4-09902366C09F}"/>
    <cellStyle name="Ввод  2 16 4 5" xfId="36588" xr:uid="{969CA219-887C-4F73-BFE9-A117EDB990DA}"/>
    <cellStyle name="Ввод  2 16 5" xfId="16706" xr:uid="{9146B7A5-27E9-48E4-AFDF-7014FC97E364}"/>
    <cellStyle name="Ввод  2 16 5 2" xfId="32590" xr:uid="{3EAA7BDE-0C4D-44B5-AF1D-0F2529F3BB82}"/>
    <cellStyle name="Ввод  2 16 5 3" xfId="46250" xr:uid="{B03F62C9-3D2F-4DC5-A7D7-CCCD59CD0EE8}"/>
    <cellStyle name="Ввод  2 16 6" xfId="21772" xr:uid="{1A665A86-D67C-46FE-BFC4-1B0DAD906F9E}"/>
    <cellStyle name="Ввод  2 16 7" xfId="34823" xr:uid="{38F74BD4-CDBA-4444-8D65-5B8477BDFCEE}"/>
    <cellStyle name="Ввод  2 17" xfId="3967" xr:uid="{FA12556B-59C1-4F43-BAC6-E7BA9942E452}"/>
    <cellStyle name="Ввод  2 17 2" xfId="2516" xr:uid="{27C8D9E6-1726-417B-A05F-8813B1506573}"/>
    <cellStyle name="Ввод  2 17 2 2" xfId="6145" xr:uid="{4AB7C105-3C3D-4FC9-A2FF-F83A67D62F2A}"/>
    <cellStyle name="Ввод  2 17 2 2 2" xfId="11128" xr:uid="{9E09C303-A0B4-4CC6-B2B1-1704F1947BA7}"/>
    <cellStyle name="Ввод  2 17 2 2 2 2" xfId="27926" xr:uid="{1263E743-AA8A-4077-8570-D0C93FD15726}"/>
    <cellStyle name="Ввод  2 17 2 2 2 3" xfId="41106" xr:uid="{5902F25D-3607-4A01-8215-EB37AED6B0B4}"/>
    <cellStyle name="Ввод  2 17 2 2 3" xfId="23790" xr:uid="{CAAE515F-E4CE-4B14-889A-914F7622FE6A}"/>
    <cellStyle name="Ввод  2 17 2 2 4" xfId="36871" xr:uid="{ADFB531B-91CC-45B7-8433-2C44FBAC43F9}"/>
    <cellStyle name="Ввод  2 17 2 3" xfId="6182" xr:uid="{825124E9-1C3B-480E-89CF-5BEBEEF775A4}"/>
    <cellStyle name="Ввод  2 17 2 3 2" xfId="16526" xr:uid="{B51DE461-8353-4B75-BBFF-8D4E94A602EA}"/>
    <cellStyle name="Ввод  2 17 2 3 2 2" xfId="32484" xr:uid="{B13A6898-95F7-4CF1-9172-6A0AFCFF3AAC}"/>
    <cellStyle name="Ввод  2 17 2 3 2 3" xfId="46073" xr:uid="{E1502613-4F76-4BCA-96AB-4C70B3760DB9}"/>
    <cellStyle name="Ввод  2 17 2 3 3" xfId="23827" xr:uid="{B55EA530-56B8-424A-B33B-D1B304F1AC6D}"/>
    <cellStyle name="Ввод  2 17 2 3 4" xfId="36908" xr:uid="{C2961AEB-6BE4-439C-B7A4-8AC964B24C1B}"/>
    <cellStyle name="Ввод  2 17 2 4" xfId="13825" xr:uid="{4D85CF08-45A9-4A14-B9B5-A34DA8DCF09A}"/>
    <cellStyle name="Ввод  2 17 2 4 2" xfId="30227" xr:uid="{D555A4BF-6FE7-491F-9133-F8B6F1232F5C}"/>
    <cellStyle name="Ввод  2 17 2 4 3" xfId="43597" xr:uid="{07FD37BD-FED1-48A5-9BAD-24A155717780}"/>
    <cellStyle name="Ввод  2 17 2 5" xfId="20579" xr:uid="{17A0369A-CC1B-41F5-8B56-05FB7F530C2E}"/>
    <cellStyle name="Ввод  2 17 2 6" xfId="33602" xr:uid="{E096A3B4-B98B-4B92-8C1D-B396A0EBBAEB}"/>
    <cellStyle name="Ввод  2 17 3" xfId="4879" xr:uid="{D6486D2A-EBC4-455C-BEE5-8E0FAA77387E}"/>
    <cellStyle name="Ввод  2 17 3 2" xfId="7547" xr:uid="{975FC61B-32DE-4498-A339-11813EB5C3A5}"/>
    <cellStyle name="Ввод  2 17 3 2 2" xfId="10602" xr:uid="{43A20067-6065-4A84-9D4E-EF5FFAE43305}"/>
    <cellStyle name="Ввод  2 17 3 2 2 2" xfId="27461" xr:uid="{6FD2CB6A-06D3-44A7-811F-5CBE5131EDDC}"/>
    <cellStyle name="Ввод  2 17 3 2 2 3" xfId="40583" xr:uid="{A3020EAB-4B74-4A31-AC92-37DC9E7EEFBB}"/>
    <cellStyle name="Ввод  2 17 3 2 3" xfId="25075" xr:uid="{5310E4A5-F2A8-4596-9C95-C0D88A4E3C3E}"/>
    <cellStyle name="Ввод  2 17 3 2 4" xfId="38151" xr:uid="{7EC2497E-C88B-4D54-A855-D02FE216A3DF}"/>
    <cellStyle name="Ввод  2 17 3 3" xfId="15750" xr:uid="{E53D4D6B-C3EA-4311-B59A-5911ADC74F2D}"/>
    <cellStyle name="Ввод  2 17 3 3 2" xfId="31857" xr:uid="{F6575277-0DB7-45E4-84CD-A03898AD50B8}"/>
    <cellStyle name="Ввод  2 17 3 3 3" xfId="45367" xr:uid="{E8BEEE2F-F497-4D8C-9201-D82A9A0FDB15}"/>
    <cellStyle name="Ввод  2 17 3 4" xfId="22676" xr:uid="{96CC8813-99F6-404F-852F-621237BCAC97}"/>
    <cellStyle name="Ввод  2 17 3 5" xfId="35729" xr:uid="{E3F65773-9B88-4317-A7A8-BA91184EBB5F}"/>
    <cellStyle name="Ввод  2 17 4" xfId="5901" xr:uid="{EECF1985-D3D4-423D-8DEB-279A41CB96DF}"/>
    <cellStyle name="Ввод  2 17 4 2" xfId="9061" xr:uid="{38A3AE21-7188-4ED0-B9B9-27A6B67D665F}"/>
    <cellStyle name="Ввод  2 17 4 2 2" xfId="15731" xr:uid="{3DD1D3E2-CE37-42F4-A980-5E5E3B49E4DD}"/>
    <cellStyle name="Ввод  2 17 4 2 2 2" xfId="31841" xr:uid="{2B907798-5003-424E-A55D-4A49A267DAAF}"/>
    <cellStyle name="Ввод  2 17 4 2 2 3" xfId="45350" xr:uid="{5A0AA8D2-D8F7-4879-A65A-E0590345528D}"/>
    <cellStyle name="Ввод  2 17 4 2 3" xfId="26542" xr:uid="{559C43AE-DD94-4B8E-A264-99B15DD43F0A}"/>
    <cellStyle name="Ввод  2 17 4 2 4" xfId="39618" xr:uid="{CA909A70-D51B-44EF-A025-7D3AAC518E67}"/>
    <cellStyle name="Ввод  2 17 4 3" xfId="10812" xr:uid="{1CCFC6C5-DDE0-489D-8F11-D35429D41BF8}"/>
    <cellStyle name="Ввод  2 17 4 3 2" xfId="27645" xr:uid="{BF20BB48-C1B4-496C-99BD-1F8029B7E9AD}"/>
    <cellStyle name="Ввод  2 17 4 3 3" xfId="40793" xr:uid="{495E6136-57BF-4A38-A70A-9E94B796A8A5}"/>
    <cellStyle name="Ввод  2 17 4 4" xfId="23548" xr:uid="{14757C57-ED5C-4131-A257-47F2C2D17632}"/>
    <cellStyle name="Ввод  2 17 4 5" xfId="36629" xr:uid="{1C143C23-B53D-47BB-8AFF-82D824C0CFEF}"/>
    <cellStyle name="Ввод  2 17 5" xfId="15040" xr:uid="{8DE60272-07A2-4C10-8105-32D97BD0EDED}"/>
    <cellStyle name="Ввод  2 17 5 2" xfId="31256" xr:uid="{D35EAC74-6299-480E-BA3B-D5B0B3408A22}"/>
    <cellStyle name="Ввод  2 17 5 3" xfId="44712" xr:uid="{A7582A32-9B54-4D44-917E-CE0F90B39E91}"/>
    <cellStyle name="Ввод  2 17 6" xfId="21814" xr:uid="{2B70E78A-5BB5-4E56-8A85-BA80A369ADC0}"/>
    <cellStyle name="Ввод  2 17 7" xfId="34864" xr:uid="{6356511F-C7D6-4C64-8438-99A0E252DCAC}"/>
    <cellStyle name="Ввод  2 18" xfId="3853" xr:uid="{822BDF53-E0EB-4064-BDAB-3597F8BF4703}"/>
    <cellStyle name="Ввод  2 18 2" xfId="3118" xr:uid="{C89EEF08-BA2A-42BC-805E-A7E68DDF4F83}"/>
    <cellStyle name="Ввод  2 18 2 2" xfId="8410" xr:uid="{577C98C0-9F63-4B9B-8CF8-38B61E83F301}"/>
    <cellStyle name="Ввод  2 18 2 2 2" xfId="15719" xr:uid="{FC97A52F-9D62-405F-BA60-CDA300E8C103}"/>
    <cellStyle name="Ввод  2 18 2 2 2 2" xfId="31829" xr:uid="{F4B2C911-0B17-472D-8E84-99B74404DBB1}"/>
    <cellStyle name="Ввод  2 18 2 2 2 3" xfId="45338" xr:uid="{1A34951A-3E5C-43AF-8CB5-92ABD394F1BF}"/>
    <cellStyle name="Ввод  2 18 2 2 3" xfId="25912" xr:uid="{56CBDCE7-9365-489A-B4F4-8325B85F6094}"/>
    <cellStyle name="Ввод  2 18 2 2 4" xfId="38988" xr:uid="{02C1B8A8-0018-447A-8595-185A2595FEAE}"/>
    <cellStyle name="Ввод  2 18 2 3" xfId="6777" xr:uid="{68049931-48D7-499F-B25B-D9718A307790}"/>
    <cellStyle name="Ввод  2 18 2 3 2" xfId="17514" xr:uid="{11485997-975D-457F-A250-AC5C86775EB4}"/>
    <cellStyle name="Ввод  2 18 2 3 2 2" xfId="33252" xr:uid="{B50920B7-5EA7-4A71-853D-A5B1FDB9B261}"/>
    <cellStyle name="Ввод  2 18 2 3 2 3" xfId="47039" xr:uid="{34E1DFF7-4492-4AC8-B5F2-1CAD5B5F990A}"/>
    <cellStyle name="Ввод  2 18 2 3 3" xfId="24403" xr:uid="{3EFD7D6B-0EEC-4AA5-B52E-4D16507E9907}"/>
    <cellStyle name="Ввод  2 18 2 3 4" xfId="37484" xr:uid="{09C07912-B112-4109-B7E5-15F573DBB047}"/>
    <cellStyle name="Ввод  2 18 2 4" xfId="12775" xr:uid="{8FA9DE8D-41DC-4897-A714-3E6ACE643F2F}"/>
    <cellStyle name="Ввод  2 18 2 4 2" xfId="29350" xr:uid="{75B0B49A-05AB-48AA-9EB1-C1E0822CE5C3}"/>
    <cellStyle name="Ввод  2 18 2 4 3" xfId="42630" xr:uid="{D00DC195-A2EB-4023-8997-955B54313F91}"/>
    <cellStyle name="Ввод  2 18 2 5" xfId="21155" xr:uid="{6B7220F3-8F7F-4719-9B2F-387BA3C0567D}"/>
    <cellStyle name="Ввод  2 18 2 6" xfId="34178" xr:uid="{FEA4F73B-66C4-48F6-8391-FAA45D30E570}"/>
    <cellStyle name="Ввод  2 18 3" xfId="4797" xr:uid="{4BF3DB34-61F6-4395-A060-B65B821DB60B}"/>
    <cellStyle name="Ввод  2 18 3 2" xfId="7439" xr:uid="{DC1F0BEB-85A3-4771-AB9C-DFC881609DE0}"/>
    <cellStyle name="Ввод  2 18 3 2 2" xfId="12542" xr:uid="{10249E5E-FF05-4C52-9058-1815D12C462A}"/>
    <cellStyle name="Ввод  2 18 3 2 2 2" xfId="29166" xr:uid="{941E48C4-F3D3-4FCC-A30F-DF01AACB8694}"/>
    <cellStyle name="Ввод  2 18 3 2 2 3" xfId="42425" xr:uid="{F7282C70-CC04-4E0F-AE89-225A351B8EAE}"/>
    <cellStyle name="Ввод  2 18 3 2 3" xfId="24996" xr:uid="{AA393418-C7F7-4D4A-BF5C-EB39D16523A1}"/>
    <cellStyle name="Ввод  2 18 3 2 4" xfId="38072" xr:uid="{F56B1514-BD8A-448C-B440-393751152799}"/>
    <cellStyle name="Ввод  2 18 3 3" xfId="15595" xr:uid="{86168307-CD7A-4704-961B-57901B752B60}"/>
    <cellStyle name="Ввод  2 18 3 3 2" xfId="31721" xr:uid="{71C6A484-B5CF-496F-A668-A0DA6DACC203}"/>
    <cellStyle name="Ввод  2 18 3 3 3" xfId="45223" xr:uid="{B9596750-CB2F-49AA-BC2F-97C0813A8FCF}"/>
    <cellStyle name="Ввод  2 18 3 4" xfId="22599" xr:uid="{FE046C9E-1E79-42BF-BE0D-5E8A83E95CA8}"/>
    <cellStyle name="Ввод  2 18 3 5" xfId="35652" xr:uid="{4B99707E-1BD0-49D9-BDC7-E6A9378F77EB}"/>
    <cellStyle name="Ввод  2 18 4" xfId="5822" xr:uid="{55B96EDC-2E38-434D-9852-24FF12A758D0}"/>
    <cellStyle name="Ввод  2 18 4 2" xfId="8983" xr:uid="{46EEC0AF-12BE-4AEA-AE2E-3F25038B15C9}"/>
    <cellStyle name="Ввод  2 18 4 2 2" xfId="11651" xr:uid="{AB1F3BE1-E83B-431F-88E7-1FA65CDB83C0}"/>
    <cellStyle name="Ввод  2 18 4 2 2 2" xfId="28392" xr:uid="{C3BD5584-C044-4661-834A-0953918D2F91}"/>
    <cellStyle name="Ввод  2 18 4 2 2 3" xfId="41596" xr:uid="{FEB46A01-D7AE-40FC-A58D-B7E965263BA5}"/>
    <cellStyle name="Ввод  2 18 4 2 3" xfId="26468" xr:uid="{914D0806-427F-43ED-953F-7F87651A4BAC}"/>
    <cellStyle name="Ввод  2 18 4 2 4" xfId="39544" xr:uid="{92CCD8B6-EFF6-42F9-BDCB-86064C82CFA4}"/>
    <cellStyle name="Ввод  2 18 4 3" xfId="14173" xr:uid="{E60A7D76-E22F-42A6-9D2F-EB344C38E3ED}"/>
    <cellStyle name="Ввод  2 18 4 3 2" xfId="30527" xr:uid="{3D6370EF-FA48-4A10-9EA4-71ECEFD9B944}"/>
    <cellStyle name="Ввод  2 18 4 3 3" xfId="43913" xr:uid="{3AFD5C0E-BCE8-481F-A5D0-7E6F8CA94D8A}"/>
    <cellStyle name="Ввод  2 18 4 4" xfId="23469" xr:uid="{34507DA8-DCA2-47B4-A299-CC9CC669EF01}"/>
    <cellStyle name="Ввод  2 18 4 5" xfId="36550" xr:uid="{E94D1B18-8464-4CB7-9129-B8FA222B79FF}"/>
    <cellStyle name="Ввод  2 18 5" xfId="13905" xr:uid="{6EF78F47-1A5C-4CE2-8F2E-692AC890FD7B}"/>
    <cellStyle name="Ввод  2 18 5 2" xfId="30297" xr:uid="{95BFA38F-AEE9-4B78-BE26-04D819482FA0}"/>
    <cellStyle name="Ввод  2 18 5 3" xfId="43670" xr:uid="{1BA219C6-4745-4DD5-AF67-ABAB31BAC7B3}"/>
    <cellStyle name="Ввод  2 18 6" xfId="21731" xr:uid="{77E59924-E826-4AB3-A2C3-58FAB699434C}"/>
    <cellStyle name="Ввод  2 18 7" xfId="34785" xr:uid="{F4086627-876E-4EDA-8627-176385419354}"/>
    <cellStyle name="Ввод  2 19" xfId="3979" xr:uid="{CE2C76B9-41D3-42FB-A294-B6B7FE3E83F8}"/>
    <cellStyle name="Ввод  2 19 2" xfId="3271" xr:uid="{BC5D9269-581C-4251-86AC-89D55714A0DF}"/>
    <cellStyle name="Ввод  2 19 2 2" xfId="8551" xr:uid="{5FE49874-D335-489D-995C-9A7E845B0698}"/>
    <cellStyle name="Ввод  2 19 2 2 2" xfId="10824" xr:uid="{F8B1A13E-C485-4893-BE89-DC9FBEFB0BB5}"/>
    <cellStyle name="Ввод  2 19 2 2 2 2" xfId="27656" xr:uid="{30BCB6D4-5DB7-4E14-AFC6-340D864B6B0E}"/>
    <cellStyle name="Ввод  2 19 2 2 2 3" xfId="40805" xr:uid="{3D64296A-67C8-4D4F-B362-4070E5E25A70}"/>
    <cellStyle name="Ввод  2 19 2 2 3" xfId="26049" xr:uid="{FF90FB5A-691B-4854-A17A-556BC8411B87}"/>
    <cellStyle name="Ввод  2 19 2 2 4" xfId="39125" xr:uid="{1F6D443F-1104-4A96-B6DA-5C5DAB9ADC6A}"/>
    <cellStyle name="Ввод  2 19 2 3" xfId="6926" xr:uid="{FC694C6B-0DC6-4BC8-A826-5B899DA414F9}"/>
    <cellStyle name="Ввод  2 19 2 3 2" xfId="13399" xr:uid="{75549829-49EF-4C6A-A587-8CC4919889BC}"/>
    <cellStyle name="Ввод  2 19 2 3 2 2" xfId="29868" xr:uid="{805DF352-3BF7-43D9-ACFB-02741736AF79}"/>
    <cellStyle name="Ввод  2 19 2 3 2 3" xfId="43203" xr:uid="{9D2E0917-6C13-4F33-87F6-03649FCA8187}"/>
    <cellStyle name="Ввод  2 19 2 3 3" xfId="24548" xr:uid="{7CA70AAD-1670-410B-BE9B-A599C10DED8E}"/>
    <cellStyle name="Ввод  2 19 2 3 4" xfId="37629" xr:uid="{68728541-FD8F-484F-A942-79BF0DE61926}"/>
    <cellStyle name="Ввод  2 19 2 4" xfId="14996" xr:uid="{9BA52353-7532-4800-ABEF-46F04A2AA9CB}"/>
    <cellStyle name="Ввод  2 19 2 4 2" xfId="31227" xr:uid="{8A60010D-B41C-438D-8729-C6632B72C6A4}"/>
    <cellStyle name="Ввод  2 19 2 4 3" xfId="44677" xr:uid="{5B814700-D801-4F43-AC37-0692B65300BF}"/>
    <cellStyle name="Ввод  2 19 2 5" xfId="21300" xr:uid="{3D2ED7A2-0014-4547-BFF2-32BA9AB54A89}"/>
    <cellStyle name="Ввод  2 19 2 6" xfId="34323" xr:uid="{5D4C2345-FF92-4E10-989A-00ED722B0C22}"/>
    <cellStyle name="Ввод  2 19 3" xfId="4891" xr:uid="{E4910106-9F61-479A-B454-67C597E9179D}"/>
    <cellStyle name="Ввод  2 19 3 2" xfId="7559" xr:uid="{AE29801F-82CC-47B4-A660-E6DE03EB9DD1}"/>
    <cellStyle name="Ввод  2 19 3 2 2" xfId="13919" xr:uid="{FE49972F-0AFE-4DE8-8357-E28CE361277C}"/>
    <cellStyle name="Ввод  2 19 3 2 2 2" xfId="30310" xr:uid="{1FAD4397-C73D-4A97-AF7B-1C01CD04979C}"/>
    <cellStyle name="Ввод  2 19 3 2 2 3" xfId="43684" xr:uid="{D6B4C626-0224-4E57-940D-656E39C1133C}"/>
    <cellStyle name="Ввод  2 19 3 2 3" xfId="25087" xr:uid="{91A4C5C1-3F48-4300-A848-5977F206CE19}"/>
    <cellStyle name="Ввод  2 19 3 2 4" xfId="38163" xr:uid="{FA214041-3932-429A-97B5-C8FB26CF3638}"/>
    <cellStyle name="Ввод  2 19 3 3" xfId="12836" xr:uid="{7F9A4D1B-DC35-4146-AEC2-152943576EE5}"/>
    <cellStyle name="Ввод  2 19 3 3 2" xfId="29407" xr:uid="{0E78E978-1A2E-4FCC-BDA5-B774434A84FA}"/>
    <cellStyle name="Ввод  2 19 3 3 3" xfId="42689" xr:uid="{8AF0EB5D-1930-4D18-B231-97E60BA64CEA}"/>
    <cellStyle name="Ввод  2 19 3 4" xfId="22688" xr:uid="{76462DF9-2E53-4597-B9F7-86FCB1FACDB8}"/>
    <cellStyle name="Ввод  2 19 3 5" xfId="35741" xr:uid="{510E7E0D-B0F3-48EA-94F7-FB882E81DA32}"/>
    <cellStyle name="Ввод  2 19 4" xfId="5913" xr:uid="{AB0388D9-B84C-4D61-BC88-39E698C9E2C4}"/>
    <cellStyle name="Ввод  2 19 4 2" xfId="9073" xr:uid="{B54EB4E3-0DE7-4A72-93CD-AFE5638CEF8D}"/>
    <cellStyle name="Ввод  2 19 4 2 2" xfId="12706" xr:uid="{53D178D3-41C7-487F-ABBE-9D2EDF6B73F5}"/>
    <cellStyle name="Ввод  2 19 4 2 2 2" xfId="29292" xr:uid="{AAE24C1D-8DD2-429E-B547-CF51A8CBF6D5}"/>
    <cellStyle name="Ввод  2 19 4 2 2 3" xfId="42569" xr:uid="{FCDB571C-BFBE-4268-B7EE-6772ED900646}"/>
    <cellStyle name="Ввод  2 19 4 2 3" xfId="26554" xr:uid="{E25C88E8-C340-44F4-8328-D58E33812EC6}"/>
    <cellStyle name="Ввод  2 19 4 2 4" xfId="39630" xr:uid="{C2567B88-D790-49F3-B452-5FA324A6F7A3}"/>
    <cellStyle name="Ввод  2 19 4 3" xfId="16725" xr:uid="{D45D4715-8097-43D9-9A0E-BFF7AD0F5FD9}"/>
    <cellStyle name="Ввод  2 19 4 3 2" xfId="32609" xr:uid="{42D3E4E1-692B-4757-802B-F10F09A7A902}"/>
    <cellStyle name="Ввод  2 19 4 3 3" xfId="46269" xr:uid="{A507617A-8995-4FFC-8BF3-F28F1488E582}"/>
    <cellStyle name="Ввод  2 19 4 4" xfId="23560" xr:uid="{95587557-0BB8-4A86-B565-61FD74F2786D}"/>
    <cellStyle name="Ввод  2 19 4 5" xfId="36641" xr:uid="{0C0399E7-7D85-4639-A654-E80C434B06A7}"/>
    <cellStyle name="Ввод  2 19 5" xfId="11000" xr:uid="{FDA5E7E5-58C3-460C-9420-DC5FF6AFE28A}"/>
    <cellStyle name="Ввод  2 19 5 2" xfId="27807" xr:uid="{6C9C998A-8DAE-41F7-92AA-85308CF47BBF}"/>
    <cellStyle name="Ввод  2 19 5 3" xfId="40980" xr:uid="{40EAB40D-DB34-4154-B1B7-7BAC92AF574B}"/>
    <cellStyle name="Ввод  2 19 6" xfId="21826" xr:uid="{6225C754-E81C-48CC-AE46-AD0110E69DFE}"/>
    <cellStyle name="Ввод  2 19 7" xfId="34876" xr:uid="{E3C56C87-7FEF-4EE5-8DA8-9EE71C761D7B}"/>
    <cellStyle name="Ввод  2 2" xfId="3438" xr:uid="{CCB5F6EA-5241-471F-A60D-B307BF0E4A8F}"/>
    <cellStyle name="Ввод  2 2 10" xfId="20491" xr:uid="{B20B0A88-018B-4289-A806-6CD1650E5122}"/>
    <cellStyle name="Ввод  2 2 11" xfId="34454" xr:uid="{8E6791FC-5276-466B-8DA4-3D50ABC34FAB}"/>
    <cellStyle name="Ввод  2 2 2" xfId="2780" xr:uid="{B7CB703E-2516-4665-8E7E-F5EE3B8A4159}"/>
    <cellStyle name="Ввод  2 2 2 2" xfId="5104" xr:uid="{40A13B79-C69C-474D-8E98-E6FCCB464F62}"/>
    <cellStyle name="Ввод  2 2 2 2 2" xfId="8076" xr:uid="{E5FEAF85-0F12-4252-8408-D687B9631847}"/>
    <cellStyle name="Ввод  2 2 2 2 2 2" xfId="10899" xr:uid="{6444471B-29A8-4365-B3C9-37602E5B7AC5}"/>
    <cellStyle name="Ввод  2 2 2 2 2 2 2" xfId="27720" xr:uid="{D96EAEE2-D8A2-4611-A68F-649DC1964619}"/>
    <cellStyle name="Ввод  2 2 2 2 2 2 3" xfId="40879" xr:uid="{4108BB34-8881-4F02-A917-F4925A94325A}"/>
    <cellStyle name="Ввод  2 2 2 2 2 3" xfId="25587" xr:uid="{E25B17A3-F7CE-41F5-818C-43D264C0BAAB}"/>
    <cellStyle name="Ввод  2 2 2 2 2 4" xfId="38663" xr:uid="{F3D6B9AE-F16A-4969-A8C4-8EAA696ACA55}"/>
    <cellStyle name="Ввод  2 2 2 2 3" xfId="17152" xr:uid="{490D8309-042E-4FE3-9E15-66908A652647}"/>
    <cellStyle name="Ввод  2 2 2 2 3 2" xfId="32915" xr:uid="{576BC9EA-16F4-4E76-AE04-6D121C2AE1B8}"/>
    <cellStyle name="Ввод  2 2 2 2 3 3" xfId="46687" xr:uid="{B5A8841B-ABC9-417A-861A-2A6E01A2B92F}"/>
    <cellStyle name="Ввод  2 2 2 2 4" xfId="22828" xr:uid="{404E4A1F-DC50-441E-A209-93D8FD9FBD95}"/>
    <cellStyle name="Ввод  2 2 2 2 5" xfId="35897" xr:uid="{FF18C3D1-1F47-4821-B625-62F44C26C974}"/>
    <cellStyle name="Ввод  2 2 2 3" xfId="6443" xr:uid="{B211D7DA-FE17-42D2-99D1-D5824175411B}"/>
    <cellStyle name="Ввод  2 2 2 3 2" xfId="15169" xr:uid="{DE7401E4-07A5-488C-9D72-06ECF0D7C09B}"/>
    <cellStyle name="Ввод  2 2 2 3 2 2" xfId="31360" xr:uid="{7738CDBC-6309-421D-BCF5-08A937B4107C}"/>
    <cellStyle name="Ввод  2 2 2 3 2 3" xfId="44826" xr:uid="{980700F2-5E08-4B63-9426-34C6CCE66752}"/>
    <cellStyle name="Ввод  2 2 2 3 3" xfId="24078" xr:uid="{2F2C894A-64AC-413A-B13A-4DC94CC99910}"/>
    <cellStyle name="Ввод  2 2 2 3 4" xfId="37159" xr:uid="{AB08912C-74DF-4994-9802-39DC4786E73C}"/>
    <cellStyle name="Ввод  2 2 2 4" xfId="11676" xr:uid="{A6A37323-EDCF-4467-A1CA-C5A1337222B1}"/>
    <cellStyle name="Ввод  2 2 2 4 2" xfId="28413" xr:uid="{170D6979-8818-4F9E-AA07-288186F8B991}"/>
    <cellStyle name="Ввод  2 2 2 4 3" xfId="41619" xr:uid="{67DB6E4C-B3FF-4BDF-BA49-7BF5470D1449}"/>
    <cellStyle name="Ввод  2 2 2 5" xfId="20830" xr:uid="{5D19AD5F-8CB3-4168-89E8-6A1E15D3E434}"/>
    <cellStyle name="Ввод  2 2 2 6" xfId="33853" xr:uid="{9F9924DF-8A40-43C2-B7F0-C9C190B7E0B7}"/>
    <cellStyle name="Ввод  2 2 3" xfId="3270" xr:uid="{09154DF2-ADF2-4101-9523-D3C03E509A57}"/>
    <cellStyle name="Ввод  2 2 3 2" xfId="5199" xr:uid="{EF61E9BF-CF65-441F-AD0D-38C3339C9E9D}"/>
    <cellStyle name="Ввод  2 2 3 2 2" xfId="8550" xr:uid="{9353985F-2EB5-4E44-926B-D12F8D2AECB4}"/>
    <cellStyle name="Ввод  2 2 3 2 2 2" xfId="15512" xr:uid="{700DD022-BB4C-45B4-A1C6-6AC175302D49}"/>
    <cellStyle name="Ввод  2 2 3 2 2 2 2" xfId="31650" xr:uid="{F9608C52-334A-4E1F-A81A-E5782231DD36}"/>
    <cellStyle name="Ввод  2 2 3 2 2 2 3" xfId="45148" xr:uid="{C509723E-5378-47E8-B73D-FC340B1DF4FF}"/>
    <cellStyle name="Ввод  2 2 3 2 2 3" xfId="26048" xr:uid="{F419EDDC-714B-4327-BE89-7454800E6B86}"/>
    <cellStyle name="Ввод  2 2 3 2 2 4" xfId="39124" xr:uid="{C35C0F4E-130C-433E-893A-24EF4FFBBD21}"/>
    <cellStyle name="Ввод  2 2 3 2 3" xfId="15220" xr:uid="{3D4B5302-5D45-4AD8-B7C2-F5909F3050A4}"/>
    <cellStyle name="Ввод  2 2 3 2 3 2" xfId="31398" xr:uid="{6EF1DC88-F79B-4EE1-900A-56AF40624BF5}"/>
    <cellStyle name="Ввод  2 2 3 2 3 3" xfId="44871" xr:uid="{7BE8E4CF-B8D2-4C5A-BE38-F677F1CDF1ED}"/>
    <cellStyle name="Ввод  2 2 3 2 4" xfId="22874" xr:uid="{B413B247-BBD0-4C95-8A41-22CF25295E66}"/>
    <cellStyle name="Ввод  2 2 3 2 5" xfId="35943" xr:uid="{08784B96-8B8C-455E-97AD-B1FC7CF3FCD7}"/>
    <cellStyle name="Ввод  2 2 3 3" xfId="6925" xr:uid="{629019A1-0C7E-4869-AC23-BDA00F3FE287}"/>
    <cellStyle name="Ввод  2 2 3 3 2" xfId="14730" xr:uid="{7E9136CF-DEC6-4BD0-81DE-DA47C8FF68C6}"/>
    <cellStyle name="Ввод  2 2 3 3 2 2" xfId="31012" xr:uid="{ED075D8F-604C-49BD-BCA7-87BDD6302BAB}"/>
    <cellStyle name="Ввод  2 2 3 3 2 3" xfId="44437" xr:uid="{E85634F7-9074-43F0-A332-C0BE166548D3}"/>
    <cellStyle name="Ввод  2 2 3 3 3" xfId="24547" xr:uid="{43FFF77A-3143-4D8B-A1F4-B21FFF44B056}"/>
    <cellStyle name="Ввод  2 2 3 3 4" xfId="37628" xr:uid="{5FDD83AD-58EA-44EF-BE43-15E9CCE1B677}"/>
    <cellStyle name="Ввод  2 2 3 4" xfId="17464" xr:uid="{CA919016-0EE5-4963-88C6-DA5DDB17603D}"/>
    <cellStyle name="Ввод  2 2 3 4 2" xfId="33207" xr:uid="{D1803580-6B0F-4ECB-95FA-F1F19FD53B83}"/>
    <cellStyle name="Ввод  2 2 3 4 3" xfId="46993" xr:uid="{C718A204-5A8E-47F9-A7A5-6FC359D3D75D}"/>
    <cellStyle name="Ввод  2 2 3 5" xfId="21299" xr:uid="{C19240E4-66A7-478F-B4D7-27674174461D}"/>
    <cellStyle name="Ввод  2 2 3 6" xfId="34322" xr:uid="{A0AEDB12-6170-4BF5-8E57-7A911B25D65D}"/>
    <cellStyle name="Ввод  2 2 4" xfId="2620" xr:uid="{928B1912-24BD-4FEE-B138-C39364F63E84}"/>
    <cellStyle name="Ввод  2 2 4 2" xfId="5008" xr:uid="{CB514731-FE62-45B3-9F5D-168DAFB058B1}"/>
    <cellStyle name="Ввод  2 2 4 2 2" xfId="7917" xr:uid="{5EEBDBB7-47AE-4CAC-BCA0-9C1D0EA303DB}"/>
    <cellStyle name="Ввод  2 2 4 2 2 2" xfId="14820" xr:uid="{D64FFD7B-3594-422D-AFD2-62E344DA891A}"/>
    <cellStyle name="Ввод  2 2 4 2 2 2 2" xfId="31081" xr:uid="{1B4F8F43-3190-497A-B3F6-6D1A6CE2386B}"/>
    <cellStyle name="Ввод  2 2 4 2 2 2 3" xfId="44517" xr:uid="{E0F52F75-65B8-46D0-B744-327A11D459D5}"/>
    <cellStyle name="Ввод  2 2 4 2 2 3" xfId="25433" xr:uid="{D2569E71-78B0-4951-8781-987D73AC0D64}"/>
    <cellStyle name="Ввод  2 2 4 2 2 4" xfId="38509" xr:uid="{8A52BF1C-E219-421C-8EB9-EECB384AECAC}"/>
    <cellStyle name="Ввод  2 2 4 2 3" xfId="11277" xr:uid="{7B726693-37D9-4C4C-A284-18C65F4FD81A}"/>
    <cellStyle name="Ввод  2 2 4 2 3 2" xfId="28064" xr:uid="{4154877A-D6C1-4BB2-8A0B-4CC19CD4E062}"/>
    <cellStyle name="Ввод  2 2 4 2 3 3" xfId="41246" xr:uid="{0040ACB4-07FA-4E29-8621-6FFE2D3C186A}"/>
    <cellStyle name="Ввод  2 2 4 2 4" xfId="22772" xr:uid="{93BF772F-80F2-4382-9A49-724549D994E9}"/>
    <cellStyle name="Ввод  2 2 4 2 5" xfId="35832" xr:uid="{1F262A6F-F5CA-4D2C-BDCD-7DC055AF68FE}"/>
    <cellStyle name="Ввод  2 2 4 3" xfId="6284" xr:uid="{5F74AD1E-3878-49D0-9994-E8ABDEF54627}"/>
    <cellStyle name="Ввод  2 2 4 3 2" xfId="14231" xr:uid="{ADAA0337-0571-4C04-935D-A7F232E76728}"/>
    <cellStyle name="Ввод  2 2 4 3 2 2" xfId="30576" xr:uid="{9E92545A-1EC4-4D53-8EC9-4B068A62714E}"/>
    <cellStyle name="Ввод  2 2 4 3 2 3" xfId="43968" xr:uid="{9CA53B15-1EEB-4EB3-A2EA-20260DC12DE8}"/>
    <cellStyle name="Ввод  2 2 4 3 3" xfId="23924" xr:uid="{18A1F332-5038-49B3-B9CF-02501BFB59E8}"/>
    <cellStyle name="Ввод  2 2 4 3 4" xfId="37005" xr:uid="{2AE25DC5-F208-4376-BDE4-77081C534145}"/>
    <cellStyle name="Ввод  2 2 4 4" xfId="16427" xr:uid="{6FAAF08C-BDCC-4274-8098-D625ABD116D5}"/>
    <cellStyle name="Ввод  2 2 4 4 2" xfId="32441" xr:uid="{463DE7D6-A612-427C-B8AF-03DFD0FC6D4D}"/>
    <cellStyle name="Ввод  2 2 4 4 3" xfId="45978" xr:uid="{CC0AD38E-FD39-4A74-AE71-39667C51BFE3}"/>
    <cellStyle name="Ввод  2 2 4 5" xfId="20676" xr:uid="{88006E46-B6D7-4ADD-8E5F-2E1DBBEEF040}"/>
    <cellStyle name="Ввод  2 2 4 6" xfId="33699" xr:uid="{F0CC59B2-EA74-4CA5-AC3A-FF770D3EF979}"/>
    <cellStyle name="Ввод  2 2 5" xfId="4268" xr:uid="{95966E1F-8BA0-49DE-98C5-4E226EB705D3}"/>
    <cellStyle name="Ввод  2 2 5 2" xfId="5051" xr:uid="{4EBF28C6-4CFB-4BBB-9410-7085FAAB104C}"/>
    <cellStyle name="Ввод  2 2 5 2 2" xfId="9320" xr:uid="{FEF30FC7-DE35-4E4D-BA9C-6DBF78F28499}"/>
    <cellStyle name="Ввод  2 2 5 2 2 2" xfId="15936" xr:uid="{4D0015BB-9D35-4BEE-AFCA-07425746ECAC}"/>
    <cellStyle name="Ввод  2 2 5 2 2 2 2" xfId="32015" xr:uid="{0C75C82A-6866-4D83-97DF-36EF26E97469}"/>
    <cellStyle name="Ввод  2 2 5 2 2 2 3" xfId="45532" xr:uid="{579E758E-921E-479A-AC4F-852629D08C4F}"/>
    <cellStyle name="Ввод  2 2 5 2 2 3" xfId="26793" xr:uid="{2A42CA95-A1A8-429E-9F35-3BA55792ECA9}"/>
    <cellStyle name="Ввод  2 2 5 2 2 4" xfId="39869" xr:uid="{232C7644-84CA-4256-9EA1-C22FF2F0C3C4}"/>
    <cellStyle name="Ввод  2 2 5 2 3" xfId="12893" xr:uid="{A1E5C20B-4B92-4BF9-A3B2-3A5042FE8A50}"/>
    <cellStyle name="Ввод  2 2 5 2 3 2" xfId="29448" xr:uid="{9F64F2FB-944D-4BA6-8174-A455AD7E0816}"/>
    <cellStyle name="Ввод  2 2 5 2 3 3" xfId="42738" xr:uid="{DF5CE126-769C-4449-99A3-6AB0CFD00340}"/>
    <cellStyle name="Ввод  2 2 5 2 4" xfId="22800" xr:uid="{9A226908-5C87-47C0-B85E-B4A4091A5103}"/>
    <cellStyle name="Ввод  2 2 5 2 5" xfId="35865" xr:uid="{186B2417-4A8E-40B7-A4EB-E57117222DD4}"/>
    <cellStyle name="Ввод  2 2 5 3" xfId="7832" xr:uid="{D17BE7C3-F76F-4C96-A40F-1D5C70BE5DD8}"/>
    <cellStyle name="Ввод  2 2 5 3 2" xfId="13745" xr:uid="{F10CF0B9-8095-4E5E-9045-72A976E73E6F}"/>
    <cellStyle name="Ввод  2 2 5 3 2 2" xfId="30158" xr:uid="{07C28213-4403-4FB1-AF49-0C689F73F8EF}"/>
    <cellStyle name="Ввод  2 2 5 3 2 3" xfId="43520" xr:uid="{8D00C76E-1DBB-4A54-AE72-E487EB4060C3}"/>
    <cellStyle name="Ввод  2 2 5 3 3" xfId="25352" xr:uid="{E88BA576-94A5-472B-8EDE-208DF37E9407}"/>
    <cellStyle name="Ввод  2 2 5 3 4" xfId="38428" xr:uid="{A8B48A96-2F25-4D80-AA1E-D706C501E9CC}"/>
    <cellStyle name="Ввод  2 2 5 4" xfId="17089" xr:uid="{7B812AEF-353B-4D6F-989F-3B62C088C13B}"/>
    <cellStyle name="Ввод  2 2 5 4 2" xfId="32858" xr:uid="{E8D3445C-BCB2-4A58-8EF7-C60D3DC7D80E}"/>
    <cellStyle name="Ввод  2 2 5 4 3" xfId="46629" xr:uid="{23EA1EB6-26F4-49BD-8EB4-D035BE4EA970}"/>
    <cellStyle name="Ввод  2 2 5 5" xfId="22093" xr:uid="{69EA4B7F-2601-4B06-8021-270BCB88C81A}"/>
    <cellStyle name="Ввод  2 2 5 6" xfId="35142" xr:uid="{CCA6FB8A-6051-4778-AAE3-7E234941513E}"/>
    <cellStyle name="Ввод  2 2 6" xfId="4440" xr:uid="{A4F2EF52-1C40-446F-B842-14D0EBB86D97}"/>
    <cellStyle name="Ввод  2 2 6 2" xfId="7080" xr:uid="{A0DB5708-C9C8-44C4-9DEE-474474AE8641}"/>
    <cellStyle name="Ввод  2 2 6 2 2" xfId="14085" xr:uid="{94DD0551-4A1E-491F-8AFF-4195EF58F1CF}"/>
    <cellStyle name="Ввод  2 2 6 2 2 2" xfId="30452" xr:uid="{CB83679A-AE64-4A69-820A-38586FA89A1A}"/>
    <cellStyle name="Ввод  2 2 6 2 2 3" xfId="43835" xr:uid="{C115E148-AC72-4FC4-83CD-2195D7992CE0}"/>
    <cellStyle name="Ввод  2 2 6 2 3" xfId="24679" xr:uid="{B0832004-794C-4D61-A08A-75A9B591813A}"/>
    <cellStyle name="Ввод  2 2 6 2 4" xfId="37760" xr:uid="{DFC27A60-4B2A-40C3-AFCD-A58BEC615192}"/>
    <cellStyle name="Ввод  2 2 6 3" xfId="16251" xr:uid="{6ACCD655-F16A-454E-AF87-23B32C736AF1}"/>
    <cellStyle name="Ввод  2 2 6 3 2" xfId="32286" xr:uid="{E65F849A-FD4F-4591-BC88-968D15064EBD}"/>
    <cellStyle name="Ввод  2 2 6 3 3" xfId="45815" xr:uid="{47D0B4A9-0FE5-4690-BF5C-4259186CFB83}"/>
    <cellStyle name="Ввод  2 2 6 4" xfId="22258" xr:uid="{3E0127E6-B4F0-454E-8768-6B2924BC0A22}"/>
    <cellStyle name="Ввод  2 2 6 5" xfId="35307" xr:uid="{AA18BEDF-F907-4B29-9BC2-BFB6B3DF3DE0}"/>
    <cellStyle name="Ввод  2 2 7" xfId="5493" xr:uid="{52F8E56C-5E7B-4267-95A8-9EF277E78917}"/>
    <cellStyle name="Ввод  2 2 7 2" xfId="8675" xr:uid="{3D5D8F51-DAFF-4A3C-96FD-C2D7E29FE530}"/>
    <cellStyle name="Ввод  2 2 7 2 2" xfId="17461" xr:uid="{982EB503-5CB3-427D-8903-440BEAA0D659}"/>
    <cellStyle name="Ввод  2 2 7 2 2 2" xfId="33205" xr:uid="{F0F75EA9-FA46-4D67-8A07-EDAE10D8A230}"/>
    <cellStyle name="Ввод  2 2 7 2 2 3" xfId="46990" xr:uid="{80E0010B-44B4-4EE6-8AAB-E0074BC75139}"/>
    <cellStyle name="Ввод  2 2 7 2 3" xfId="26168" xr:uid="{F39C6A17-B43B-49EF-866B-9102D44ED1AC}"/>
    <cellStyle name="Ввод  2 2 7 2 4" xfId="39244" xr:uid="{C31EC2AA-4A32-40AC-AD6E-FFDDF0A295E5}"/>
    <cellStyle name="Ввод  2 2 7 3" xfId="14988" xr:uid="{8A68B7E4-F85F-47DC-A3D0-47999F63304E}"/>
    <cellStyle name="Ввод  2 2 7 3 2" xfId="31221" xr:uid="{5E88CFE1-7E67-425E-9A39-7689CB7C0D0E}"/>
    <cellStyle name="Ввод  2 2 7 3 3" xfId="44670" xr:uid="{9FDB4D59-2A41-4DB0-841F-8633B78AFFCA}"/>
    <cellStyle name="Ввод  2 2 7 4" xfId="23140" xr:uid="{8A2E07C8-3985-42CF-808A-82ED2D634895}"/>
    <cellStyle name="Ввод  2 2 7 5" xfId="36221" xr:uid="{D0F47A93-A5EC-4916-A65E-7CE8432290A2}"/>
    <cellStyle name="Ввод  2 2 8" xfId="12403" xr:uid="{FC22FDD5-2952-4789-BD1E-B98043FB67F4}"/>
    <cellStyle name="Ввод  2 2 8 2" xfId="29068" xr:uid="{67715B2B-B849-4890-BAF2-B5DDE46A4220}"/>
    <cellStyle name="Ввод  2 2 8 3" xfId="42309" xr:uid="{14E76816-3740-42AF-AE94-9902262F6805}"/>
    <cellStyle name="Ввод  2 2 9" xfId="17738" xr:uid="{E7F02250-08DD-480C-A037-DB3966F308BF}"/>
    <cellStyle name="Ввод  2 2 9 2" xfId="33460" xr:uid="{71EC68A7-AC7B-4BFA-9EAE-9E4493F1718B}"/>
    <cellStyle name="Ввод  2 2 9 3" xfId="47243" xr:uid="{6DB03E28-A1E5-4F94-BF71-8BF9496F25E9}"/>
    <cellStyle name="Ввод  2 20" xfId="3143" xr:uid="{356EF932-2504-46D4-A18D-83AA6B2B19A3}"/>
    <cellStyle name="Ввод  2 20 2" xfId="4987" xr:uid="{E00D2443-24F5-43B0-9AF9-F8FCBCF6D00F}"/>
    <cellStyle name="Ввод  2 20 2 2" xfId="8435" xr:uid="{5A76A96A-50D7-46B9-8827-1F01A5CCC34C}"/>
    <cellStyle name="Ввод  2 20 2 2 2" xfId="10659" xr:uid="{8244151A-1E09-4F53-AF1B-31A0F4FEABC3}"/>
    <cellStyle name="Ввод  2 20 2 2 2 2" xfId="27509" xr:uid="{ED7C6C76-F7A5-44A9-B205-D6318CA03F6E}"/>
    <cellStyle name="Ввод  2 20 2 2 2 3" xfId="40640" xr:uid="{26BD6803-3C9D-45E1-B5F3-9A966DDF05EF}"/>
    <cellStyle name="Ввод  2 20 2 2 3" xfId="25937" xr:uid="{B3E49267-D528-4A45-9AF8-7F36D158D21C}"/>
    <cellStyle name="Ввод  2 20 2 2 4" xfId="39013" xr:uid="{B5FC14A6-34B2-4910-AA2D-46EA7CDECDBD}"/>
    <cellStyle name="Ввод  2 20 2 3" xfId="11732" xr:uid="{4AB8DCD8-C5A0-4D36-80DE-A8E2B3B05BA9}"/>
    <cellStyle name="Ввод  2 20 2 3 2" xfId="28459" xr:uid="{AB6BF2C9-3A75-4C86-BAB1-2CF16C12C508}"/>
    <cellStyle name="Ввод  2 20 2 3 3" xfId="41670" xr:uid="{7EE26FB4-9796-4A08-9A2F-C96CD5583389}"/>
    <cellStyle name="Ввод  2 20 2 4" xfId="22759" xr:uid="{31BDDCE2-D87C-4289-A180-445E84B0810D}"/>
    <cellStyle name="Ввод  2 20 2 5" xfId="35816" xr:uid="{EA65A7F9-ACDB-4965-9FC9-70EB196E5DF4}"/>
    <cellStyle name="Ввод  2 20 3" xfId="6802" xr:uid="{917EA53C-6758-4BC4-AC0C-21ADDC3406DD}"/>
    <cellStyle name="Ввод  2 20 3 2" xfId="17102" xr:uid="{6980D885-428C-478D-BA21-69F132B1B7A3}"/>
    <cellStyle name="Ввод  2 20 3 2 2" xfId="32870" xr:uid="{4D287DCB-C9FC-44B7-8C6A-8C10DF82663E}"/>
    <cellStyle name="Ввод  2 20 3 2 3" xfId="46641" xr:uid="{41065875-9DFD-4875-84EF-AC83EE6F2023}"/>
    <cellStyle name="Ввод  2 20 3 3" xfId="24428" xr:uid="{D58175BB-B95A-4728-B0A7-4B1E99E6111D}"/>
    <cellStyle name="Ввод  2 20 3 4" xfId="37509" xr:uid="{62801FEA-FA17-4456-AB42-58C49B1F2D19}"/>
    <cellStyle name="Ввод  2 20 4" xfId="17558" xr:uid="{044B2876-0118-4E7A-9DA8-C6E5790E6234}"/>
    <cellStyle name="Ввод  2 20 4 2" xfId="33295" xr:uid="{654D17A6-8930-41F7-B653-27BD9B3FB33F}"/>
    <cellStyle name="Ввод  2 20 4 3" xfId="47083" xr:uid="{2D4ABC12-58AC-4AE1-B521-3C1F37C0E553}"/>
    <cellStyle name="Ввод  2 20 5" xfId="21180" xr:uid="{4FD8A3CD-275D-431C-BB57-032B518B03CD}"/>
    <cellStyle name="Ввод  2 20 6" xfId="34203" xr:uid="{412D928A-A53D-4AD8-8620-1D1964921EE8}"/>
    <cellStyle name="Ввод  2 21" xfId="2639" xr:uid="{A30AC2BF-539B-43AC-83C1-8913473D4F44}"/>
    <cellStyle name="Ввод  2 21 2" xfId="7936" xr:uid="{0AEAC804-F7C0-4114-8BA7-5495EC1696A2}"/>
    <cellStyle name="Ввод  2 21 2 2" xfId="12702" xr:uid="{41CE5125-6D53-42BA-AEB0-29ACC1DD3F3F}"/>
    <cellStyle name="Ввод  2 21 2 2 2" xfId="29289" xr:uid="{BCFA5BA0-40F4-4851-806B-B1AC94F92234}"/>
    <cellStyle name="Ввод  2 21 2 2 3" xfId="42566" xr:uid="{7688BE2E-0473-4277-BC0F-8AC7988B2912}"/>
    <cellStyle name="Ввод  2 21 2 3" xfId="25452" xr:uid="{A41D5000-F399-476D-A089-66A9394C8C89}"/>
    <cellStyle name="Ввод  2 21 2 4" xfId="38528" xr:uid="{30278853-E446-4D3B-A0B7-DDC07B142F0A}"/>
    <cellStyle name="Ввод  2 21 3" xfId="6303" xr:uid="{13440C61-E129-4B74-AB66-58BBFEAF01B8}"/>
    <cellStyle name="Ввод  2 21 3 2" xfId="17466" xr:uid="{F7F18F94-2C54-4C2B-8B8E-7B8C12FDC74E}"/>
    <cellStyle name="Ввод  2 21 3 2 2" xfId="33209" xr:uid="{BC63EA5E-5747-4E1D-9DD7-0034C4E866E2}"/>
    <cellStyle name="Ввод  2 21 3 2 3" xfId="46995" xr:uid="{071AF8C8-15AE-44CC-9C39-3B20678D7ECE}"/>
    <cellStyle name="Ввод  2 21 3 3" xfId="23943" xr:uid="{40BD414D-D7F0-498C-9203-059A3D645C48}"/>
    <cellStyle name="Ввод  2 21 3 4" xfId="37024" xr:uid="{70A8B28F-D5C1-43D5-81CC-4C7232C58AEF}"/>
    <cellStyle name="Ввод  2 21 4" xfId="10995" xr:uid="{0AA926C8-2C71-4B8B-BC80-DBDC8B4A24B4}"/>
    <cellStyle name="Ввод  2 21 4 2" xfId="27802" xr:uid="{9A82437F-7B03-40D1-9A42-A83CE67B1CF8}"/>
    <cellStyle name="Ввод  2 21 4 3" xfId="40975" xr:uid="{18FB5BEC-7F45-495C-80C4-C7EC46774A38}"/>
    <cellStyle name="Ввод  2 21 5" xfId="20695" xr:uid="{8B738122-4132-4028-8514-A66E506EC313}"/>
    <cellStyle name="Ввод  2 21 6" xfId="33718" xr:uid="{71C56E84-E4D7-4D41-BBA9-FD10C0219886}"/>
    <cellStyle name="Ввод  2 22" xfId="4133" xr:uid="{C7B8EC7F-9874-4795-8CD9-00B6353F9EA3}"/>
    <cellStyle name="Ввод  2 22 2" xfId="9185" xr:uid="{09EB8AF5-ED39-4317-9738-BAFCBFEF20E5}"/>
    <cellStyle name="Ввод  2 22 2 2" xfId="11221" xr:uid="{46D1F0F0-1DB1-4991-BC50-83831F611F3D}"/>
    <cellStyle name="Ввод  2 22 2 2 2" xfId="28015" xr:uid="{223B2CB8-ACB0-4550-8078-ACFB8A32B624}"/>
    <cellStyle name="Ввод  2 22 2 2 3" xfId="41197" xr:uid="{5FD2ABF6-463A-473A-9733-BA9413B82E12}"/>
    <cellStyle name="Ввод  2 22 2 3" xfId="26663" xr:uid="{D2173A7D-E051-4BEA-B06C-1CC99609A3C8}"/>
    <cellStyle name="Ввод  2 22 2 4" xfId="39739" xr:uid="{24EF4A1C-1F46-40B2-9B25-43807BDFD8C3}"/>
    <cellStyle name="Ввод  2 22 3" xfId="7697" xr:uid="{D7E8DC50-4807-4CDE-BB42-4624E2D48BE5}"/>
    <cellStyle name="Ввод  2 22 3 2" xfId="17121" xr:uid="{87C46F62-B179-4930-89B9-787BD46D8717}"/>
    <cellStyle name="Ввод  2 22 3 2 2" xfId="32885" xr:uid="{6A12234D-37B3-4FE8-A050-8C4DE5C3C4D3}"/>
    <cellStyle name="Ввод  2 22 3 2 3" xfId="46657" xr:uid="{DBFFA88D-A23B-4759-8501-272B76F799EA}"/>
    <cellStyle name="Ввод  2 22 3 3" xfId="25222" xr:uid="{746AE376-12B0-40CB-BE22-16446721E019}"/>
    <cellStyle name="Ввод  2 22 3 4" xfId="38298" xr:uid="{B741BBD4-4A0C-4397-80F2-09C520CB8F00}"/>
    <cellStyle name="Ввод  2 22 4" xfId="16104" xr:uid="{23F79F24-29FB-45C7-8931-56BC97111A72}"/>
    <cellStyle name="Ввод  2 22 4 2" xfId="32162" xr:uid="{F368B989-58E9-41C1-9D2B-DDA8E0F0AF94}"/>
    <cellStyle name="Ввод  2 22 4 3" xfId="45683" xr:uid="{B36117F7-1FFD-41C5-80DB-4FF7C9A3570A}"/>
    <cellStyle name="Ввод  2 22 5" xfId="21963" xr:uid="{014A34C0-9259-4D86-A349-A8FD8ABB6C05}"/>
    <cellStyle name="Ввод  2 22 6" xfId="35012" xr:uid="{664185A1-B96A-402E-BD6F-2BFE1B63E4BE}"/>
    <cellStyle name="Ввод  2 23" xfId="2548" xr:uid="{03AACEDC-8B96-43A8-ABC7-16A5E96BE920}"/>
    <cellStyle name="Ввод  2 23 2" xfId="7846" xr:uid="{B613764A-B884-42FC-BB90-2FACF828920A}"/>
    <cellStyle name="Ввод  2 23 2 2" xfId="17496" xr:uid="{A28208F5-5AB0-43CF-B3E4-D2035E8F6C71}"/>
    <cellStyle name="Ввод  2 23 2 2 2" xfId="33239" xr:uid="{0EB23C7F-263A-46C1-8FDE-A51760227376}"/>
    <cellStyle name="Ввод  2 23 2 2 3" xfId="47025" xr:uid="{53EB236F-BEEC-46AC-BED0-8E206F945362}"/>
    <cellStyle name="Ввод  2 23 2 3" xfId="25365" xr:uid="{821E4656-FA9D-4B94-AAA8-EFEB97939721}"/>
    <cellStyle name="Ввод  2 23 2 4" xfId="38441" xr:uid="{ED06401F-CD7A-40D2-BF12-B2E8E2BC503D}"/>
    <cellStyle name="Ввод  2 23 3" xfId="6213" xr:uid="{349300EF-8A80-4D9C-864E-BFFB149C6C1E}"/>
    <cellStyle name="Ввод  2 23 3 2" xfId="16809" xr:uid="{8B24F61C-E5C6-4D35-8265-6910C4724080}"/>
    <cellStyle name="Ввод  2 23 3 2 2" xfId="32689" xr:uid="{F28DE8D1-E9F0-4B34-B273-988D4AC26F31}"/>
    <cellStyle name="Ввод  2 23 3 2 3" xfId="46352" xr:uid="{7CD2917B-1F84-41E2-861A-DCC9823BA5AC}"/>
    <cellStyle name="Ввод  2 23 3 3" xfId="23856" xr:uid="{ABD850B9-8662-4169-B316-F92A58D28B67}"/>
    <cellStyle name="Ввод  2 23 3 4" xfId="36937" xr:uid="{A79C3691-E27C-4FE7-88A2-09CB91ADBB86}"/>
    <cellStyle name="Ввод  2 23 4" xfId="16763" xr:uid="{0BAFCB69-1D5A-410F-9E87-74FD4CCFBDB3}"/>
    <cellStyle name="Ввод  2 23 4 2" xfId="32645" xr:uid="{80F7E21D-E061-4AD6-ADD3-7E29B68022DB}"/>
    <cellStyle name="Ввод  2 23 4 3" xfId="46306" xr:uid="{C8CDCC43-C191-4AEA-83FE-8C52852C938D}"/>
    <cellStyle name="Ввод  2 23 5" xfId="20608" xr:uid="{25B5256A-8C86-466E-A160-5972E1D3BBBA}"/>
    <cellStyle name="Ввод  2 23 6" xfId="33631" xr:uid="{A55B4B8D-5630-4AFF-B42E-7E06F2BAC05D}"/>
    <cellStyle name="Ввод  2 24" xfId="4063" xr:uid="{9DE409F5-4BF0-4974-B189-8B136F5D7F31}"/>
    <cellStyle name="Ввод  2 24 2" xfId="9115" xr:uid="{7C37F13F-A29A-4425-88A0-D018F5BD02D2}"/>
    <cellStyle name="Ввод  2 24 2 2" xfId="13124" xr:uid="{5E8A7383-3A89-4288-AB87-6032507BA6B6}"/>
    <cellStyle name="Ввод  2 24 2 2 2" xfId="29638" xr:uid="{C3350C9B-1532-430A-87B7-9A1F68E53DA1}"/>
    <cellStyle name="Ввод  2 24 2 2 3" xfId="42950" xr:uid="{1023BE47-FEC4-472D-8BD8-B8ED2910CF72}"/>
    <cellStyle name="Ввод  2 24 2 3" xfId="26596" xr:uid="{6040F6B7-1586-4A1A-A847-35F38C102B91}"/>
    <cellStyle name="Ввод  2 24 2 4" xfId="39672" xr:uid="{7749B8AA-D39F-485E-9107-9CCD474984E7}"/>
    <cellStyle name="Ввод  2 24 3" xfId="7627" xr:uid="{30155B8C-ACFB-4DFC-817E-E88984836864}"/>
    <cellStyle name="Ввод  2 24 3 2" xfId="15830" xr:uid="{CFE8B3FF-11DE-46C9-B4D1-54F1069875F4}"/>
    <cellStyle name="Ввод  2 24 3 2 2" xfId="31923" xr:uid="{E605F780-53C9-422A-9EA1-207C53F92D05}"/>
    <cellStyle name="Ввод  2 24 3 2 3" xfId="45435" xr:uid="{1BB4A827-EE65-4541-9792-A04CB03870EE}"/>
    <cellStyle name="Ввод  2 24 3 3" xfId="25155" xr:uid="{183795F9-F6F5-42A6-A1DA-A0BD7B53EC00}"/>
    <cellStyle name="Ввод  2 24 3 4" xfId="38231" xr:uid="{DD508379-8EC9-420F-B05E-F6FA56AA33B5}"/>
    <cellStyle name="Ввод  2 24 4" xfId="15171" xr:uid="{BC0C7E9A-4350-4F3A-83C7-19EFD580AE06}"/>
    <cellStyle name="Ввод  2 24 4 2" xfId="31361" xr:uid="{53EE9ACC-9C44-4F66-9720-765C3E7A7F8F}"/>
    <cellStyle name="Ввод  2 24 4 3" xfId="44828" xr:uid="{A4D92F84-6E0F-4D72-8215-B6084B2B7BEA}"/>
    <cellStyle name="Ввод  2 24 5" xfId="21896" xr:uid="{0C2704FC-703A-423A-869F-8FEFAD311D92}"/>
    <cellStyle name="Ввод  2 24 6" xfId="34945" xr:uid="{437E0268-5FB6-4D8B-A382-575CDB0EFA1C}"/>
    <cellStyle name="Ввод  2 25" xfId="4289" xr:uid="{E2045837-5B99-4C90-A5E6-7B8F577216BE}"/>
    <cellStyle name="Ввод  2 25 2" xfId="6158" xr:uid="{38FAD568-C633-4AEA-BE53-320F2E37744E}"/>
    <cellStyle name="Ввод  2 25 2 2" xfId="12986" xr:uid="{A2437F13-319D-48AC-94A6-94AF440A1967}"/>
    <cellStyle name="Ввод  2 25 2 2 2" xfId="29523" xr:uid="{36AF6266-E90C-4B7D-8217-C95AADAD5812}"/>
    <cellStyle name="Ввод  2 25 2 2 3" xfId="42823" xr:uid="{3ED9DA9A-9393-424E-8239-E99B5F520D6F}"/>
    <cellStyle name="Ввод  2 25 2 3" xfId="23803" xr:uid="{479D2F4F-82E1-4C3A-B3A5-B3439D38AD5A}"/>
    <cellStyle name="Ввод  2 25 2 4" xfId="36884" xr:uid="{0D2C8954-45C7-4204-BBFC-0901524E9F61}"/>
    <cellStyle name="Ввод  2 25 3" xfId="14841" xr:uid="{EBE7795C-A59E-46E4-BEA2-2D90090952F8}"/>
    <cellStyle name="Ввод  2 25 3 2" xfId="31098" xr:uid="{30B270D6-1102-4D3C-9194-4D0208C74E7D}"/>
    <cellStyle name="Ввод  2 25 3 3" xfId="44536" xr:uid="{AE0D3449-8BC2-40D6-AF71-20D8524B5553}"/>
    <cellStyle name="Ввод  2 25 4" xfId="22110" xr:uid="{095A61CC-5614-4C78-98BD-58025A89DEF1}"/>
    <cellStyle name="Ввод  2 25 5" xfId="35159" xr:uid="{0C4B2132-D19C-4E13-ADA8-2EE1C0B5F71D}"/>
    <cellStyle name="Ввод  2 26" xfId="5268" xr:uid="{125D3508-B693-48BD-8099-C8AFC03B7167}"/>
    <cellStyle name="Ввод  2 26 2" xfId="9701" xr:uid="{5A487742-6F51-476A-A36D-C9576C6116A6}"/>
    <cellStyle name="Ввод  2 26 2 2" xfId="10688" xr:uid="{D9AE2C03-7B70-43F3-B425-207E6DD8D867}"/>
    <cellStyle name="Ввод  2 26 2 2 2" xfId="27536" xr:uid="{26554815-6443-4796-B18F-389055264188}"/>
    <cellStyle name="Ввод  2 26 2 2 3" xfId="40669" xr:uid="{1B0E892E-E22F-40D9-B764-CE2FF08A35CF}"/>
    <cellStyle name="Ввод  2 26 2 3" xfId="27001" xr:uid="{E3D293DA-4CA9-45B5-AAF8-B1A50AE865F0}"/>
    <cellStyle name="Ввод  2 26 2 4" xfId="40117" xr:uid="{E1257192-AA6A-4FAD-B458-4B91137CB709}"/>
    <cellStyle name="Ввод  2 26 3" xfId="11229" xr:uid="{F0C1B54E-C2C1-4A61-98FB-7CF94C407E24}"/>
    <cellStyle name="Ввод  2 26 3 2" xfId="28023" xr:uid="{3966A0A9-E797-40BD-BF8C-D752ADD2DD3A}"/>
    <cellStyle name="Ввод  2 26 3 3" xfId="41205" xr:uid="{1A3C277E-5F10-4265-82EC-D123BB758CE4}"/>
    <cellStyle name="Ввод  2 26 4" xfId="22920" xr:uid="{9EA1DB41-D747-4B80-BB84-6784BF8DD7F7}"/>
    <cellStyle name="Ввод  2 26 5" xfId="35998" xr:uid="{A96B9917-A161-4768-8401-02EC0729D320}"/>
    <cellStyle name="Ввод  2 27" xfId="10380" xr:uid="{0E4F6F07-FBCA-411F-AD43-F57E23EC5CC3}"/>
    <cellStyle name="Ввод  2 27 2" xfId="17590" xr:uid="{64524264-FC90-4CA8-9280-C1BB52A19EB5}"/>
    <cellStyle name="Ввод  2 27 2 2" xfId="33326" xr:uid="{D170F7F6-C7A1-4221-A443-91FCD34C68D5}"/>
    <cellStyle name="Ввод  2 27 2 3" xfId="47115" xr:uid="{BBACFBAE-31DA-4C78-9E13-1A56F5DB20AF}"/>
    <cellStyle name="Ввод  2 27 3" xfId="27400" xr:uid="{47433850-765C-4E29-90DF-A522E05401B6}"/>
    <cellStyle name="Ввод  2 27 4" xfId="40522" xr:uid="{174E68F3-90AA-47A4-AB7C-AA1EFE7DB4D3}"/>
    <cellStyle name="Ввод  2 28" xfId="10559" xr:uid="{00F846CF-5F53-40F1-9C65-809E8FF3E29D}"/>
    <cellStyle name="Ввод  2 28 2" xfId="17604" xr:uid="{8FEBA5C4-D04B-4030-904E-5DD29E184E12}"/>
    <cellStyle name="Ввод  2 28 2 2" xfId="33339" xr:uid="{1F48B725-5938-4E25-9459-2C390F2E7E45}"/>
    <cellStyle name="Ввод  2 28 2 3" xfId="47129" xr:uid="{210D16C7-5CAF-4C7B-B8E9-4911B6B8BBA9}"/>
    <cellStyle name="Ввод  2 28 3" xfId="27418" xr:uid="{CBB95906-F252-4142-AB7C-2A958C61A369}"/>
    <cellStyle name="Ввод  2 28 4" xfId="40540" xr:uid="{C1C668E0-7A26-4CE7-9674-51450CF8EFD7}"/>
    <cellStyle name="Ввод  2 29" xfId="11986" xr:uid="{A92F5F83-6BFC-41FA-9DFD-373614E452C4}"/>
    <cellStyle name="Ввод  2 29 2" xfId="28692" xr:uid="{D0731835-80A2-4ACD-B71A-1621DB74DD24}"/>
    <cellStyle name="Ввод  2 29 3" xfId="41910" xr:uid="{88630C58-5C8B-48CA-9CE3-4012CB75A393}"/>
    <cellStyle name="Ввод  2 3" xfId="3344" xr:uid="{BA8F2AA0-E7E7-4973-87DA-1B375F41E800}"/>
    <cellStyle name="Ввод  2 3 10" xfId="34390" xr:uid="{20AFE72F-9FFE-4DC6-A390-69B828355A77}"/>
    <cellStyle name="Ввод  2 3 2" xfId="2706" xr:uid="{BDCF54E9-35FA-449C-900F-BE559B78A21C}"/>
    <cellStyle name="Ввод  2 3 2 2" xfId="8002" xr:uid="{F280E50B-290C-46C6-96F3-E24B43113E3E}"/>
    <cellStyle name="Ввод  2 3 2 2 2" xfId="14293" xr:uid="{C54D50A2-0523-4817-AC24-CDDCDD52B60E}"/>
    <cellStyle name="Ввод  2 3 2 2 2 2" xfId="30632" xr:uid="{F3AD6DB2-609F-4990-B8B9-FC2319F75E1B}"/>
    <cellStyle name="Ввод  2 3 2 2 2 3" xfId="44026" xr:uid="{5B39300E-26C8-458E-8EF7-855C47AFCAFA}"/>
    <cellStyle name="Ввод  2 3 2 2 3" xfId="25517" xr:uid="{EEADEDB7-86B7-4BF8-B89E-9CD54416222E}"/>
    <cellStyle name="Ввод  2 3 2 2 4" xfId="38593" xr:uid="{56A8BD87-844A-4188-AE5E-215C99E1DF0F}"/>
    <cellStyle name="Ввод  2 3 2 3" xfId="6369" xr:uid="{6E277135-413A-44C2-BFC0-0FF7B1A2159E}"/>
    <cellStyle name="Ввод  2 3 2 3 2" xfId="14890" xr:uid="{50184226-64D5-4563-AD87-1FC5B8F5A90E}"/>
    <cellStyle name="Ввод  2 3 2 3 2 2" xfId="31140" xr:uid="{559F5165-AD58-4B89-8E6B-B07E90CFD0CE}"/>
    <cellStyle name="Ввод  2 3 2 3 2 3" xfId="44581" xr:uid="{ECF0210A-69B8-46EB-AC39-CA13FA7AB2D8}"/>
    <cellStyle name="Ввод  2 3 2 3 3" xfId="24008" xr:uid="{A1733AC3-5AAD-43B5-81C6-EC6454CA2405}"/>
    <cellStyle name="Ввод  2 3 2 3 4" xfId="37089" xr:uid="{3FF62D7C-D812-424C-A9AD-0B7D73D81D32}"/>
    <cellStyle name="Ввод  2 3 2 4" xfId="15369" xr:uid="{40E9551F-1604-415E-9F7F-20995AB2C502}"/>
    <cellStyle name="Ввод  2 3 2 4 2" xfId="31525" xr:uid="{FA9F923F-F291-48C7-9AEC-96DF89B0EC94}"/>
    <cellStyle name="Ввод  2 3 2 4 3" xfId="45012" xr:uid="{D05B46DE-061E-480B-88F0-ED4C2447D55F}"/>
    <cellStyle name="Ввод  2 3 2 5" xfId="20760" xr:uid="{8F82238E-AECF-45D5-8A02-80DBDB9424CF}"/>
    <cellStyle name="Ввод  2 3 2 6" xfId="33783" xr:uid="{35592E36-A528-4EC8-B2B5-28BBF5B62929}"/>
    <cellStyle name="Ввод  2 3 3" xfId="4160" xr:uid="{65ACD1E8-2E5A-4D33-BC9D-8BA0BCBEEE94}"/>
    <cellStyle name="Ввод  2 3 3 2" xfId="9212" xr:uid="{B3E9862C-3DAB-44FA-8EA9-D0177E272D0A}"/>
    <cellStyle name="Ввод  2 3 3 2 2" xfId="14707" xr:uid="{450A087D-8AAB-427C-A89F-ACFBAECB7975}"/>
    <cellStyle name="Ввод  2 3 3 2 2 2" xfId="30996" xr:uid="{AB6DDE6E-35B0-43D3-97D3-5B3D42A929B3}"/>
    <cellStyle name="Ввод  2 3 3 2 2 3" xfId="44418" xr:uid="{6B2B57E9-0230-4477-B0F9-E7E18CE8D46C}"/>
    <cellStyle name="Ввод  2 3 3 2 3" xfId="26687" xr:uid="{E9FC899B-438F-4FFC-82E6-5D4B5BA20AEC}"/>
    <cellStyle name="Ввод  2 3 3 2 4" xfId="39763" xr:uid="{33525588-6E74-4C42-BCC6-F1116E8BFEBB}"/>
    <cellStyle name="Ввод  2 3 3 3" xfId="7724" xr:uid="{5BC26821-7D0D-4EF5-B634-0480062EDDCD}"/>
    <cellStyle name="Ввод  2 3 3 3 2" xfId="13325" xr:uid="{63252EB6-CEED-42BE-A3E0-A402A1361D63}"/>
    <cellStyle name="Ввод  2 3 3 3 2 2" xfId="29808" xr:uid="{725158B3-50CD-414D-AB55-0E97F10A6D5A}"/>
    <cellStyle name="Ввод  2 3 3 3 2 3" xfId="43139" xr:uid="{9EAF89C6-58AA-474A-8B15-7E34B52A5ECB}"/>
    <cellStyle name="Ввод  2 3 3 3 3" xfId="25246" xr:uid="{98308023-A83C-4D6B-85EA-235781BBA780}"/>
    <cellStyle name="Ввод  2 3 3 3 4" xfId="38322" xr:uid="{40A52E82-2990-4498-B62C-82C870AB103B}"/>
    <cellStyle name="Ввод  2 3 3 4" xfId="15887" xr:uid="{746B072B-F85A-47F3-A3AD-BBF66D66AF70}"/>
    <cellStyle name="Ввод  2 3 3 4 2" xfId="31972" xr:uid="{30EC268D-DB61-4F02-8A2A-6AFC057E841E}"/>
    <cellStyle name="Ввод  2 3 3 4 3" xfId="45487" xr:uid="{D496023B-62C2-4E1B-8835-FBBEE3DE0EDE}"/>
    <cellStyle name="Ввод  2 3 3 5" xfId="21987" xr:uid="{9C088466-5934-474B-88A3-D571F3B559A3}"/>
    <cellStyle name="Ввод  2 3 3 6" xfId="35036" xr:uid="{F61D22C9-97CF-41D1-98DB-D46F9AF181EE}"/>
    <cellStyle name="Ввод  2 3 4" xfId="2586" xr:uid="{6C27013F-DF51-4756-A33F-A6A07C045534}"/>
    <cellStyle name="Ввод  2 3 4 2" xfId="7883" xr:uid="{052440A0-37D3-406F-ADDC-1DDB69C38AA4}"/>
    <cellStyle name="Ввод  2 3 4 2 2" xfId="10957" xr:uid="{9265E7AF-3144-4706-ABA5-D664F672DE6B}"/>
    <cellStyle name="Ввод  2 3 4 2 2 2" xfId="27770" xr:uid="{0B196B28-BDF4-4604-8594-919BE9301E05}"/>
    <cellStyle name="Ввод  2 3 4 2 2 3" xfId="40937" xr:uid="{5658DA4C-1B85-464E-9455-DFEF5BD01F0A}"/>
    <cellStyle name="Ввод  2 3 4 2 3" xfId="25402" xr:uid="{584EBEF2-7F8C-4036-B7E5-37A903E20403}"/>
    <cellStyle name="Ввод  2 3 4 2 4" xfId="38478" xr:uid="{D4D53955-05C3-4442-8DDE-1D72371DA5BA}"/>
    <cellStyle name="Ввод  2 3 4 3" xfId="6250" xr:uid="{02AC66FD-0C98-4B72-AA10-2F9839481E34}"/>
    <cellStyle name="Ввод  2 3 4 3 2" xfId="11781" xr:uid="{252520EC-0A45-4AB2-98DB-1197638EB6B1}"/>
    <cellStyle name="Ввод  2 3 4 3 2 2" xfId="28504" xr:uid="{3AD6F7BF-AC3A-40D6-95A6-DF3021F5E73F}"/>
    <cellStyle name="Ввод  2 3 4 3 2 3" xfId="41716" xr:uid="{2D985CEF-86A3-4BFD-8E77-2E57573589B8}"/>
    <cellStyle name="Ввод  2 3 4 3 3" xfId="23893" xr:uid="{EEE7D229-A718-4E1D-97EF-44E869D5BDE2}"/>
    <cellStyle name="Ввод  2 3 4 3 4" xfId="36974" xr:uid="{86AC7A9E-861A-4E56-8358-5A613221458F}"/>
    <cellStyle name="Ввод  2 3 4 4" xfId="11413" xr:uid="{069B078D-DC7E-4A22-94B8-E40BB10C19E8}"/>
    <cellStyle name="Ввод  2 3 4 4 2" xfId="28183" xr:uid="{316F6B61-5AB8-42E6-8409-B981269AE321}"/>
    <cellStyle name="Ввод  2 3 4 4 3" xfId="41374" xr:uid="{504EDCD6-B0B3-4921-8751-3BB92C308DE8}"/>
    <cellStyle name="Ввод  2 3 4 5" xfId="20645" xr:uid="{73AC19F2-EEB6-44C2-9E82-1FA2CAEDCFC1}"/>
    <cellStyle name="Ввод  2 3 4 6" xfId="33668" xr:uid="{035240C3-D097-4425-AFF5-96680C340821}"/>
    <cellStyle name="Ввод  2 3 5" xfId="4099" xr:uid="{83533EDD-7960-4E25-9362-12AC43C06696}"/>
    <cellStyle name="Ввод  2 3 5 2" xfId="9151" xr:uid="{4C1BE415-7731-4B2A-9B75-35C98F629D86}"/>
    <cellStyle name="Ввод  2 3 5 2 2" xfId="16031" xr:uid="{1DB87590-5028-45F4-80F9-DC3CFF5D98AC}"/>
    <cellStyle name="Ввод  2 3 5 2 2 2" xfId="32096" xr:uid="{D2054AB8-5711-4CE4-84DA-51BCD0CFC306}"/>
    <cellStyle name="Ввод  2 3 5 2 2 3" xfId="45615" xr:uid="{25A5602F-EE8B-4A0E-8983-616523646D2C}"/>
    <cellStyle name="Ввод  2 3 5 2 3" xfId="26632" xr:uid="{AD06B2DA-3050-4C0E-B680-1ED7B94D8591}"/>
    <cellStyle name="Ввод  2 3 5 2 4" xfId="39708" xr:uid="{7B8B0EF9-114B-42D3-8649-703BCC3200EB}"/>
    <cellStyle name="Ввод  2 3 5 3" xfId="7663" xr:uid="{417D9A50-8687-4C6E-820E-4DE6474F2AED}"/>
    <cellStyle name="Ввод  2 3 5 3 2" xfId="13942" xr:uid="{596D9BD3-3D50-4CEB-9251-8CC26A8B6E0E}"/>
    <cellStyle name="Ввод  2 3 5 3 2 2" xfId="30330" xr:uid="{8045AA63-73C0-4562-A575-9DA4011541F9}"/>
    <cellStyle name="Ввод  2 3 5 3 2 3" xfId="43707" xr:uid="{95C45252-AD2B-42BA-8592-76FB6F013270}"/>
    <cellStyle name="Ввод  2 3 5 3 3" xfId="25191" xr:uid="{0247E851-A8E9-4758-B346-FD4C283022F0}"/>
    <cellStyle name="Ввод  2 3 5 3 4" xfId="38267" xr:uid="{14EB99D1-783A-4AED-8413-AD74D18304FC}"/>
    <cellStyle name="Ввод  2 3 5 4" xfId="12835" xr:uid="{79DCBD57-3699-42DE-8117-D88C9CEF349A}"/>
    <cellStyle name="Ввод  2 3 5 4 2" xfId="29406" xr:uid="{21B7B522-A5F3-4FEB-B2DE-515C29BB8024}"/>
    <cellStyle name="Ввод  2 3 5 4 3" xfId="42688" xr:uid="{D683D8CE-910F-4DEC-A071-C7E00898D53E}"/>
    <cellStyle name="Ввод  2 3 5 5" xfId="21932" xr:uid="{B2E59051-4AF4-4AB9-9D0E-8BBBBACCB693}"/>
    <cellStyle name="Ввод  2 3 5 6" xfId="34981" xr:uid="{895E4D40-A357-44C3-A89B-DCFAB0CC719B}"/>
    <cellStyle name="Ввод  2 3 6" xfId="4375" xr:uid="{8D405B2D-2805-4CC3-A2A8-550CF2139783}"/>
    <cellStyle name="Ввод  2 3 6 2" xfId="6994" xr:uid="{D61FD6C3-EA46-4816-8E82-685D0BA9B7E1}"/>
    <cellStyle name="Ввод  2 3 6 2 2" xfId="16376" xr:uid="{43A59BBF-C46B-4788-B826-138111A8FE0C}"/>
    <cellStyle name="Ввод  2 3 6 2 2 2" xfId="32396" xr:uid="{D4C349D5-AA86-48F8-9B8B-C244225D8E01}"/>
    <cellStyle name="Ввод  2 3 6 2 2 3" xfId="45930" xr:uid="{3A1D59CC-2B73-4433-BED8-435D08F34262}"/>
    <cellStyle name="Ввод  2 3 6 2 3" xfId="24615" xr:uid="{230DA229-DE85-4F8F-9F56-899AB74BB013}"/>
    <cellStyle name="Ввод  2 3 6 2 4" xfId="37696" xr:uid="{5F6F1E4C-35AA-4A66-887F-2C5C74F6BB2B}"/>
    <cellStyle name="Ввод  2 3 6 3" xfId="12814" xr:uid="{D7DCB5B9-C9B6-42B1-BD91-888B3CBCB977}"/>
    <cellStyle name="Ввод  2 3 6 3 2" xfId="29387" xr:uid="{21843EBF-71CB-4F97-A014-B86608BB1D0B}"/>
    <cellStyle name="Ввод  2 3 6 3 3" xfId="42668" xr:uid="{4CB2B8AE-7DC7-41F8-A63A-ED6981DFFED7}"/>
    <cellStyle name="Ввод  2 3 6 4" xfId="22194" xr:uid="{149B2F0E-96C1-49E0-94F3-1FCFE1382F53}"/>
    <cellStyle name="Ввод  2 3 6 5" xfId="35243" xr:uid="{34DF0102-DA70-4A93-A234-58C1CCC8840E}"/>
    <cellStyle name="Ввод  2 3 7" xfId="5429" xr:uid="{BE4DC5CF-1EDC-46A4-B19D-7B468A74FD2D}"/>
    <cellStyle name="Ввод  2 3 7 2" xfId="8607" xr:uid="{65D890A9-367A-4726-AE1E-A906B25AF23E}"/>
    <cellStyle name="Ввод  2 3 7 2 2" xfId="14366" xr:uid="{59531935-4956-48C2-B38A-4A091036E14B}"/>
    <cellStyle name="Ввод  2 3 7 2 2 2" xfId="30699" xr:uid="{841B2D61-1B2F-4B69-8F63-825887A494FE}"/>
    <cellStyle name="Ввод  2 3 7 2 2 3" xfId="44096" xr:uid="{D70E5486-DBCD-401D-BF7D-58ADA07F13C1}"/>
    <cellStyle name="Ввод  2 3 7 2 3" xfId="26104" xr:uid="{9CD0D5BE-05A9-4B2A-A921-E142B6FA4E5F}"/>
    <cellStyle name="Ввод  2 3 7 2 4" xfId="39180" xr:uid="{BD82D355-9E72-48CA-9217-CF74DE8AB26E}"/>
    <cellStyle name="Ввод  2 3 7 3" xfId="15116" xr:uid="{2789A881-FEAD-411C-A193-7B56D46EFA2B}"/>
    <cellStyle name="Ввод  2 3 7 3 2" xfId="31319" xr:uid="{BA1A16D3-8645-42BF-9EFF-0CD75B37E21C}"/>
    <cellStyle name="Ввод  2 3 7 3 3" xfId="44781" xr:uid="{246CA198-45C3-402B-89EB-775739D25725}"/>
    <cellStyle name="Ввод  2 3 7 4" xfId="23076" xr:uid="{1F1AAFBC-16BB-4FBA-B8FA-64F53F99BC77}"/>
    <cellStyle name="Ввод  2 3 7 5" xfId="36157" xr:uid="{B175F377-3AF7-4D9A-90B2-2AEE74AD12E7}"/>
    <cellStyle name="Ввод  2 3 8" xfId="15084" xr:uid="{A3E74F52-25D8-4A00-A864-01DB02A97768}"/>
    <cellStyle name="Ввод  2 3 8 2" xfId="31292" xr:uid="{92BD75F6-63F4-4F07-B47D-E17BB710E89D}"/>
    <cellStyle name="Ввод  2 3 8 3" xfId="44751" xr:uid="{1C8F183E-B998-4193-A1C9-758493B64353}"/>
    <cellStyle name="Ввод  2 3 9" xfId="21367" xr:uid="{F84A6AC1-D617-4F1F-BDB7-60642385FFBB}"/>
    <cellStyle name="Ввод  2 30" xfId="12351" xr:uid="{D7CA0DD3-D4D3-4BEF-8E9F-DB93B28E565F}"/>
    <cellStyle name="Ввод  2 30 2" xfId="29017" xr:uid="{0A84FAB5-5CA9-46EB-A3D7-C6D94E793551}"/>
    <cellStyle name="Ввод  2 30 3" xfId="42257" xr:uid="{CF7E032C-99EE-4769-9FE0-41648ABFA5CC}"/>
    <cellStyle name="Ввод  2 31" xfId="14239" xr:uid="{85C9D25E-51DF-49C6-A59E-17C7F44B46CA}"/>
    <cellStyle name="Ввод  2 31 2" xfId="30584" xr:uid="{1FD7BDD6-947F-4B2D-A10C-C6C43D04A3BA}"/>
    <cellStyle name="Ввод  2 31 3" xfId="43976" xr:uid="{1700F22C-B662-49C5-A711-44DCF1D252FC}"/>
    <cellStyle name="Ввод  2 32" xfId="17657" xr:uid="{108BA7D4-E47C-4994-85BA-0743E1F0682B}"/>
    <cellStyle name="Ввод  2 32 2" xfId="33380" xr:uid="{1F20E0A5-6B14-4E0C-A253-655436F6671B}"/>
    <cellStyle name="Ввод  2 32 3" xfId="47169" xr:uid="{DE439EA9-C4D8-48AE-BDD2-28FEB4BD7B0B}"/>
    <cellStyle name="Ввод  2 33" xfId="33558" xr:uid="{0FCF1CB3-769D-45DA-A53F-B344128542B4}"/>
    <cellStyle name="Ввод  2 4" xfId="3457" xr:uid="{0C11B440-C51F-46D4-A2F0-B3F130CC667D}"/>
    <cellStyle name="Ввод  2 4 10" xfId="34473" xr:uid="{E6C2D3E6-8B90-49F1-89C6-E7C482A777E6}"/>
    <cellStyle name="Ввод  2 4 2" xfId="2799" xr:uid="{C9B01CC7-007B-4F3C-BA68-9D8BE421D487}"/>
    <cellStyle name="Ввод  2 4 2 2" xfId="8095" xr:uid="{88A1F01E-93D5-43CD-AA8C-F1F7F6AD48C3}"/>
    <cellStyle name="Ввод  2 4 2 2 2" xfId="15468" xr:uid="{6F15D52E-898A-4706-B65B-C8DDEBFEF0CF}"/>
    <cellStyle name="Ввод  2 4 2 2 2 2" xfId="31610" xr:uid="{3DB089B0-7139-4639-AC47-87CBAFA0706C}"/>
    <cellStyle name="Ввод  2 4 2 2 2 3" xfId="45107" xr:uid="{94385742-6FEC-4F00-8F69-EC5FCC538ECE}"/>
    <cellStyle name="Ввод  2 4 2 2 3" xfId="25606" xr:uid="{53224BCF-8769-4169-ADC9-873F5772EDD4}"/>
    <cellStyle name="Ввод  2 4 2 2 4" xfId="38682" xr:uid="{15F032FB-B5B7-417D-BAB3-81F0427F992E}"/>
    <cellStyle name="Ввод  2 4 2 3" xfId="6462" xr:uid="{4B29FFBD-21ED-44C4-82DE-56BB4E158145}"/>
    <cellStyle name="Ввод  2 4 2 3 2" xfId="13811" xr:uid="{F36C76CA-9A7C-44C3-B869-00F48E6E9738}"/>
    <cellStyle name="Ввод  2 4 2 3 2 2" xfId="30214" xr:uid="{13836EF0-B82A-4BEE-8CC6-2B605E95D133}"/>
    <cellStyle name="Ввод  2 4 2 3 2 3" xfId="43583" xr:uid="{C731C28D-110B-4F7B-AE60-A6B90679E668}"/>
    <cellStyle name="Ввод  2 4 2 3 3" xfId="24097" xr:uid="{FADC3B4C-0FAC-468C-8280-DB85890261AF}"/>
    <cellStyle name="Ввод  2 4 2 3 4" xfId="37178" xr:uid="{31BD0DD1-18BA-4525-98D3-3033FF304ACD}"/>
    <cellStyle name="Ввод  2 4 2 4" xfId="10904" xr:uid="{376C0B52-A1E1-498E-9E20-0AD897EECD67}"/>
    <cellStyle name="Ввод  2 4 2 4 2" xfId="27725" xr:uid="{BF93E3BD-A6C5-4B26-BBDC-320D3D790537}"/>
    <cellStyle name="Ввод  2 4 2 4 3" xfId="40884" xr:uid="{E7ABCD70-849D-4A3F-B99C-466C5DB98C92}"/>
    <cellStyle name="Ввод  2 4 2 5" xfId="20849" xr:uid="{0E92CCF9-F051-40B1-A1B6-91EA44316600}"/>
    <cellStyle name="Ввод  2 4 2 6" xfId="33872" xr:uid="{DBD68C72-8BC8-4207-99F8-2D2BC3543749}"/>
    <cellStyle name="Ввод  2 4 3" xfId="4068" xr:uid="{72993720-929A-4785-A4B9-07B5D20B5F9F}"/>
    <cellStyle name="Ввод  2 4 3 2" xfId="9120" xr:uid="{932A51F9-EAE0-4182-A998-9FFEB1D202D7}"/>
    <cellStyle name="Ввод  2 4 3 2 2" xfId="13654" xr:uid="{DBC077AC-21F9-41C1-83E3-45F0E630CAA7}"/>
    <cellStyle name="Ввод  2 4 3 2 2 2" xfId="30083" xr:uid="{940887D1-B96B-4D52-B994-2127D6B883A4}"/>
    <cellStyle name="Ввод  2 4 3 2 2 3" xfId="43441" xr:uid="{60679ABD-D068-4EFF-B0FC-836DFF05DCC2}"/>
    <cellStyle name="Ввод  2 4 3 2 3" xfId="26601" xr:uid="{915B8DC0-BC5F-45EE-9378-59DC5F602E71}"/>
    <cellStyle name="Ввод  2 4 3 2 4" xfId="39677" xr:uid="{C061D135-E95E-4E24-892D-2F53B8B516D6}"/>
    <cellStyle name="Ввод  2 4 3 3" xfId="7632" xr:uid="{99DC25C7-66D0-4AB6-9B98-7F1A1F508292}"/>
    <cellStyle name="Ввод  2 4 3 3 2" xfId="11048" xr:uid="{E51355B0-57DC-4537-A5D4-C5A51D00D623}"/>
    <cellStyle name="Ввод  2 4 3 3 2 2" xfId="27851" xr:uid="{F113BA91-B564-452E-A7D3-5E6843DD37A9}"/>
    <cellStyle name="Ввод  2 4 3 3 2 3" xfId="41027" xr:uid="{F28AC9D0-E285-490E-9B13-D1728DF87F4C}"/>
    <cellStyle name="Ввод  2 4 3 3 3" xfId="25160" xr:uid="{2FC2FDCB-51DA-420F-AF5F-E1680B3C1052}"/>
    <cellStyle name="Ввод  2 4 3 3 4" xfId="38236" xr:uid="{041B318C-00FC-4986-B582-09BF8F8D2B7E}"/>
    <cellStyle name="Ввод  2 4 3 4" xfId="14121" xr:uid="{A8BE66AA-FEC1-4E7A-AF68-375325B7CED7}"/>
    <cellStyle name="Ввод  2 4 3 4 2" xfId="30486" xr:uid="{D2189C03-9BAA-4F6D-AC94-93F982410DAD}"/>
    <cellStyle name="Ввод  2 4 3 4 3" xfId="43869" xr:uid="{E4040813-CADD-46A0-ADE1-59F29F653BDA}"/>
    <cellStyle name="Ввод  2 4 3 5" xfId="21901" xr:uid="{02DA8B41-44E9-4B90-A06F-A51C31738F0B}"/>
    <cellStyle name="Ввод  2 4 3 6" xfId="34950" xr:uid="{60DF0A39-1120-4B75-991A-1A52EC6BE63B}"/>
    <cellStyle name="Ввод  2 4 4" xfId="2955" xr:uid="{80E2B47D-6329-4634-869A-6E8B9A02C68E}"/>
    <cellStyle name="Ввод  2 4 4 2" xfId="8251" xr:uid="{73477FEF-C3C4-4318-A42C-D0F4EC2872F8}"/>
    <cellStyle name="Ввод  2 4 4 2 2" xfId="16632" xr:uid="{71B6D434-1A98-42B8-AA9C-9DB5CA9155C1}"/>
    <cellStyle name="Ввод  2 4 4 2 2 2" xfId="32538" xr:uid="{7A1B6205-EC0F-46DA-9636-F9B96531F872}"/>
    <cellStyle name="Ввод  2 4 4 2 2 3" xfId="46179" xr:uid="{19EDE920-44ED-48E4-BD80-72268067AC38}"/>
    <cellStyle name="Ввод  2 4 4 2 3" xfId="25760" xr:uid="{6D443340-5C91-421B-B358-DC173EB0255F}"/>
    <cellStyle name="Ввод  2 4 4 2 4" xfId="38836" xr:uid="{739AF833-FA46-4392-BF6B-BBAA528641B0}"/>
    <cellStyle name="Ввод  2 4 4 3" xfId="6618" xr:uid="{57134C02-CC6A-4577-B6C3-F48F2AE372E3}"/>
    <cellStyle name="Ввод  2 4 4 3 2" xfId="10709" xr:uid="{CF21E98F-F10B-4968-96AF-0D249B6544F0}"/>
    <cellStyle name="Ввод  2 4 4 3 2 2" xfId="27554" xr:uid="{E4628E44-09ED-431D-BD74-6F1B7C87C54F}"/>
    <cellStyle name="Ввод  2 4 4 3 2 3" xfId="40690" xr:uid="{18F20493-7CFE-4840-802D-E86E6ADAA475}"/>
    <cellStyle name="Ввод  2 4 4 3 3" xfId="24251" xr:uid="{6DC4182D-3E5A-4761-89D1-B18EDBF97345}"/>
    <cellStyle name="Ввод  2 4 4 3 4" xfId="37332" xr:uid="{82D853BC-B009-4855-A216-096F6A9E0D6A}"/>
    <cellStyle name="Ввод  2 4 4 4" xfId="14661" xr:uid="{01A3F356-566F-4359-B563-C57EA102EF68}"/>
    <cellStyle name="Ввод  2 4 4 4 2" xfId="30955" xr:uid="{16A043DB-076D-4535-BA7C-8E4EC45051D5}"/>
    <cellStyle name="Ввод  2 4 4 4 3" xfId="44376" xr:uid="{39493FFE-34FB-4A86-997D-E5C8CF157FF5}"/>
    <cellStyle name="Ввод  2 4 4 5" xfId="21003" xr:uid="{B610B6DC-0332-4A60-BB51-37CF8B689ABC}"/>
    <cellStyle name="Ввод  2 4 4 6" xfId="34026" xr:uid="{BAA76DC6-E104-492B-B2B5-8D790C98AFFC}"/>
    <cellStyle name="Ввод  2 4 5" xfId="4136" xr:uid="{FF69D00E-D98F-49D3-AEB2-108C765256DB}"/>
    <cellStyle name="Ввод  2 4 5 2" xfId="9188" xr:uid="{B429D110-86BC-46D1-9DAA-C2C197F9CE9D}"/>
    <cellStyle name="Ввод  2 4 5 2 2" xfId="11652" xr:uid="{3C9D8C67-A49D-4A2F-8A57-142397784328}"/>
    <cellStyle name="Ввод  2 4 5 2 2 2" xfId="28393" xr:uid="{9DE5825A-5914-4C6F-A32A-D27D4E795193}"/>
    <cellStyle name="Ввод  2 4 5 2 2 3" xfId="41597" xr:uid="{C29387A9-8BF1-4128-B828-CA2B9A494BA2}"/>
    <cellStyle name="Ввод  2 4 5 2 3" xfId="26666" xr:uid="{1D7ED46F-49F0-4C1B-8377-DEA7B198FDE0}"/>
    <cellStyle name="Ввод  2 4 5 2 4" xfId="39742" xr:uid="{7584705E-CE40-45E2-B7A9-3203294AD595}"/>
    <cellStyle name="Ввод  2 4 5 3" xfId="7700" xr:uid="{EEACC6D8-DE42-4CED-9828-101BBBCE8E51}"/>
    <cellStyle name="Ввод  2 4 5 3 2" xfId="16197" xr:uid="{86DE16D6-ACCE-4D51-A02A-61D0E60DD42A}"/>
    <cellStyle name="Ввод  2 4 5 3 2 2" xfId="32241" xr:uid="{C119563A-5580-469B-974D-C72E315CB4B7}"/>
    <cellStyle name="Ввод  2 4 5 3 2 3" xfId="45765" xr:uid="{AE39A512-B4AA-4029-BF11-9B4E178AAAE0}"/>
    <cellStyle name="Ввод  2 4 5 3 3" xfId="25225" xr:uid="{E6AC1419-5668-41C3-8A27-C7F81AF68FF3}"/>
    <cellStyle name="Ввод  2 4 5 3 4" xfId="38301" xr:uid="{7326321D-4D12-4409-B661-D0D8BA4514A5}"/>
    <cellStyle name="Ввод  2 4 5 4" xfId="13857" xr:uid="{3614CD3F-B358-4900-9B9E-CAF1C33A1423}"/>
    <cellStyle name="Ввод  2 4 5 4 2" xfId="30258" xr:uid="{6D77F770-7972-4CDE-B484-E405CED39551}"/>
    <cellStyle name="Ввод  2 4 5 4 3" xfId="43629" xr:uid="{C8A80014-AB08-4F5E-9AF3-37C11859645F}"/>
    <cellStyle name="Ввод  2 4 5 5" xfId="21966" xr:uid="{678334F3-1CB0-459F-8B21-AEF39CC3DCCF}"/>
    <cellStyle name="Ввод  2 4 5 6" xfId="35015" xr:uid="{D906BE6A-0AFB-4F3B-8384-8075722911A7}"/>
    <cellStyle name="Ввод  2 4 6" xfId="4459" xr:uid="{E493E590-7807-4242-8F4E-795AE007BAB2}"/>
    <cellStyle name="Ввод  2 4 6 2" xfId="7099" xr:uid="{1EB76AE3-A502-4DA9-9849-C5AFED29A8CA}"/>
    <cellStyle name="Ввод  2 4 6 2 2" xfId="11832" xr:uid="{CEB859F7-DC5F-4F58-90BE-C3F5F8780070}"/>
    <cellStyle name="Ввод  2 4 6 2 2 2" xfId="28552" xr:uid="{5352D772-0F4B-4174-92FB-F3E1C6FE8FF3}"/>
    <cellStyle name="Ввод  2 4 6 2 2 3" xfId="41765" xr:uid="{F0562C1E-EEC2-4311-816E-8F1BF2C17AD3}"/>
    <cellStyle name="Ввод  2 4 6 2 3" xfId="24698" xr:uid="{92FE28A7-BE30-416B-87F8-173EBEBADB7D}"/>
    <cellStyle name="Ввод  2 4 6 2 4" xfId="37779" xr:uid="{6DED965D-95F2-4603-9B0E-0C11C4266458}"/>
    <cellStyle name="Ввод  2 4 6 3" xfId="11835" xr:uid="{6C38D62B-30D4-46A3-863F-D6F4EF6DA254}"/>
    <cellStyle name="Ввод  2 4 6 3 2" xfId="28555" xr:uid="{5745B2FD-B554-461C-89F2-7772A98FD9F0}"/>
    <cellStyle name="Ввод  2 4 6 3 3" xfId="41768" xr:uid="{FA057F62-1FBB-4149-AF5E-AA8451D691A3}"/>
    <cellStyle name="Ввод  2 4 6 4" xfId="22277" xr:uid="{0D48DA5A-E6D9-4D3B-81F1-FA37BDDFD1C0}"/>
    <cellStyle name="Ввод  2 4 6 5" xfId="35326" xr:uid="{04F1B465-015B-41A6-B301-9DE072DBD497}"/>
    <cellStyle name="Ввод  2 4 7" xfId="5512" xr:uid="{8B10E35A-0E15-471D-A7C5-0A59BC3D486A}"/>
    <cellStyle name="Ввод  2 4 7 2" xfId="8694" xr:uid="{2CDF6A88-45E0-40B2-A957-C66539320B62}"/>
    <cellStyle name="Ввод  2 4 7 2 2" xfId="14736" xr:uid="{2352A962-8304-4EC6-9A0A-5372F258E52D}"/>
    <cellStyle name="Ввод  2 4 7 2 2 2" xfId="31018" xr:uid="{68003255-8C4C-4027-AC4A-1B4C6D1485F5}"/>
    <cellStyle name="Ввод  2 4 7 2 2 3" xfId="44443" xr:uid="{0E11FB53-1AC2-47B7-B914-39115580DA00}"/>
    <cellStyle name="Ввод  2 4 7 2 3" xfId="26187" xr:uid="{3C55CD2C-2A29-42AC-885F-D40779429DCC}"/>
    <cellStyle name="Ввод  2 4 7 2 4" xfId="39263" xr:uid="{EC3866F9-C7A6-4C6E-933A-75D48CA225D3}"/>
    <cellStyle name="Ввод  2 4 7 3" xfId="15958" xr:uid="{4F49C30F-BDED-48DC-991A-33CB3BE5809A}"/>
    <cellStyle name="Ввод  2 4 7 3 2" xfId="32034" xr:uid="{256386DB-3FC5-49F0-8B86-B38F0064A343}"/>
    <cellStyle name="Ввод  2 4 7 3 3" xfId="45552" xr:uid="{CDAC8A18-B5A4-4643-9F81-A45DBA75AE38}"/>
    <cellStyle name="Ввод  2 4 7 4" xfId="23159" xr:uid="{FE86B36C-E0AA-4C14-97DB-B15375F82DEB}"/>
    <cellStyle name="Ввод  2 4 7 5" xfId="36240" xr:uid="{57E7FCC2-37C8-4AE8-B16A-C39C3069AAFA}"/>
    <cellStyle name="Ввод  2 4 8" xfId="16241" xr:uid="{7D3B6249-EAAA-4632-85C2-C57DD8A2F598}"/>
    <cellStyle name="Ввод  2 4 8 2" xfId="32277" xr:uid="{A0C7CD6D-ED95-44B3-B63D-40081DCD12A6}"/>
    <cellStyle name="Ввод  2 4 8 3" xfId="45805" xr:uid="{F0174B81-F14D-4E7C-B035-C387B1685644}"/>
    <cellStyle name="Ввод  2 4 9" xfId="21429" xr:uid="{54314CBC-790E-461C-B626-5A0ED39FEBE7}"/>
    <cellStyle name="Ввод  2 5" xfId="3434" xr:uid="{47CE6BB0-58C1-471C-B1E5-3855E00A8874}"/>
    <cellStyle name="Ввод  2 5 2" xfId="2776" xr:uid="{B7E336FA-9C0B-4F27-9E5E-302CEF155AC3}"/>
    <cellStyle name="Ввод  2 5 2 2" xfId="8072" xr:uid="{B82FFA5A-4337-43BC-AA78-A0017D70B6A0}"/>
    <cellStyle name="Ввод  2 5 2 2 2" xfId="17268" xr:uid="{1AEED585-C134-4A9C-92F3-886E89CC40D5}"/>
    <cellStyle name="Ввод  2 5 2 2 2 2" xfId="33027" xr:uid="{D5239F23-F3DA-4874-ADCE-AAAD65FEC447}"/>
    <cellStyle name="Ввод  2 5 2 2 2 3" xfId="46802" xr:uid="{3E7C0C67-4F1C-42C2-B039-11B0A4C7FA20}"/>
    <cellStyle name="Ввод  2 5 2 2 3" xfId="25583" xr:uid="{63AB33F4-10DB-4168-8DFB-B319F35648FB}"/>
    <cellStyle name="Ввод  2 5 2 2 4" xfId="38659" xr:uid="{337DCF90-F2E3-43D9-9974-13676BF4A941}"/>
    <cellStyle name="Ввод  2 5 2 3" xfId="6439" xr:uid="{C6CA2442-C212-43CD-A03E-480A3F7134C6}"/>
    <cellStyle name="Ввод  2 5 2 3 2" xfId="15352" xr:uid="{851358DF-B1B3-4FAD-9708-025BB0BB95EE}"/>
    <cellStyle name="Ввод  2 5 2 3 2 2" xfId="31509" xr:uid="{F3BA0EAB-CD95-499A-B811-58F4BFDA042A}"/>
    <cellStyle name="Ввод  2 5 2 3 2 3" xfId="44995" xr:uid="{CF613D48-4E2F-4FCD-9D54-0DB2734367C5}"/>
    <cellStyle name="Ввод  2 5 2 3 3" xfId="24074" xr:uid="{60F98799-EE67-4B18-9D79-1AA3038214DB}"/>
    <cellStyle name="Ввод  2 5 2 3 4" xfId="37155" xr:uid="{465E4364-09A4-43C3-BA64-66F447799F3E}"/>
    <cellStyle name="Ввод  2 5 2 4" xfId="12856" xr:uid="{A7352104-E4E8-4FCD-A0BA-9CEF0740D8B0}"/>
    <cellStyle name="Ввод  2 5 2 4 2" xfId="29422" xr:uid="{E46EE327-D1D7-401F-8AC0-AE12D3BBED66}"/>
    <cellStyle name="Ввод  2 5 2 4 3" xfId="42708" xr:uid="{4A132FFB-7267-4DC7-AAC1-9BBFCEDE3A59}"/>
    <cellStyle name="Ввод  2 5 2 5" xfId="20826" xr:uid="{35C6EF81-A001-41DD-BC2C-231648AED770}"/>
    <cellStyle name="Ввод  2 5 2 6" xfId="33849" xr:uid="{26C24FC4-104D-4988-8118-410421BC2117}"/>
    <cellStyle name="Ввод  2 5 3" xfId="4436" xr:uid="{267028F8-EA03-4EF3-AFAA-0CBA2A57480A}"/>
    <cellStyle name="Ввод  2 5 3 2" xfId="7076" xr:uid="{0DF4529A-AEC2-42A1-862D-99F31FB26531}"/>
    <cellStyle name="Ввод  2 5 3 2 2" xfId="14769" xr:uid="{EBB618E1-8ED1-42D2-8F60-7C357C0D5610}"/>
    <cellStyle name="Ввод  2 5 3 2 2 2" xfId="31039" xr:uid="{D046BD24-5EF4-40F7-B6C3-CAD3F870159B}"/>
    <cellStyle name="Ввод  2 5 3 2 2 3" xfId="44470" xr:uid="{E68A02F5-4EBB-43B9-9C30-CFC1DB80E065}"/>
    <cellStyle name="Ввод  2 5 3 2 3" xfId="24675" xr:uid="{E0E6436C-F089-4ACE-91FE-CF223051139B}"/>
    <cellStyle name="Ввод  2 5 3 2 4" xfId="37756" xr:uid="{4381659A-7591-4208-AF59-C3F3FFDD4C40}"/>
    <cellStyle name="Ввод  2 5 3 3" xfId="14090" xr:uid="{BE69641F-4A36-4EE4-8DC7-98EDBCD72DFE}"/>
    <cellStyle name="Ввод  2 5 3 3 2" xfId="30457" xr:uid="{4FE4B4CC-0056-4AEA-B696-3A3388D68579}"/>
    <cellStyle name="Ввод  2 5 3 3 3" xfId="43840" xr:uid="{9A90CB2B-44AD-44E2-A1A1-6CCDEC551281}"/>
    <cellStyle name="Ввод  2 5 3 4" xfId="22254" xr:uid="{8A98EF42-64FD-448E-B864-BEEA9C349F39}"/>
    <cellStyle name="Ввод  2 5 3 5" xfId="35303" xr:uid="{77B98264-20BE-4A58-BB3D-C9F5334DEEA0}"/>
    <cellStyle name="Ввод  2 5 4" xfId="5489" xr:uid="{5B3B6C3F-50C4-4D7E-8F82-9499E3CBE252}"/>
    <cellStyle name="Ввод  2 5 4 2" xfId="8671" xr:uid="{5DD3D2E1-2908-41AE-8734-291C3AB1C550}"/>
    <cellStyle name="Ввод  2 5 4 2 2" xfId="10958" xr:uid="{6B52E070-CC64-41EB-AF5F-BE623DBBD314}"/>
    <cellStyle name="Ввод  2 5 4 2 2 2" xfId="27771" xr:uid="{090D9025-E30D-4E1E-8099-641C1BD4DF57}"/>
    <cellStyle name="Ввод  2 5 4 2 2 3" xfId="40938" xr:uid="{FEB264F2-8E3E-4BEA-85FD-4CD2AD48A4A7}"/>
    <cellStyle name="Ввод  2 5 4 2 3" xfId="26164" xr:uid="{59137C85-3234-4EB5-846F-B857B5E63338}"/>
    <cellStyle name="Ввод  2 5 4 2 4" xfId="39240" xr:uid="{4C0512A7-E768-4398-9E02-93822FDCF0E5}"/>
    <cellStyle name="Ввод  2 5 4 3" xfId="11308" xr:uid="{70924561-E726-49A9-B5F4-8C23B925042F}"/>
    <cellStyle name="Ввод  2 5 4 3 2" xfId="28090" xr:uid="{CC9FD943-18D6-4592-9E4F-CFE40E321450}"/>
    <cellStyle name="Ввод  2 5 4 3 3" xfId="41275" xr:uid="{E6DA681A-9AD2-435C-9B11-12AE919C7B09}"/>
    <cellStyle name="Ввод  2 5 4 4" xfId="23136" xr:uid="{C3BC4BB5-ED5B-47B9-86D0-CE96B117BCD3}"/>
    <cellStyle name="Ввод  2 5 4 5" xfId="36217" xr:uid="{E1EE421F-8F95-4F10-B20A-A2D58C0FC8B6}"/>
    <cellStyle name="Ввод  2 5 5" xfId="12841" xr:uid="{A8D9A778-DE2B-4DB6-AE6F-7F54AEE32647}"/>
    <cellStyle name="Ввод  2 5 5 2" xfId="29411" xr:uid="{32E720DB-0812-46D7-944E-591C36BBF0F8}"/>
    <cellStyle name="Ввод  2 5 5 3" xfId="42694" xr:uid="{6FF39214-5BE5-4320-9F8F-39E21E8CFDE8}"/>
    <cellStyle name="Ввод  2 5 6" xfId="21418" xr:uid="{F623373D-78BB-4CEA-A66A-397C5D3D30C1}"/>
    <cellStyle name="Ввод  2 5 7" xfId="34450" xr:uid="{D7B746C7-13C8-4AC6-B2FD-1CED68C9C2CE}"/>
    <cellStyle name="Ввод  2 6" xfId="3322" xr:uid="{7AC8D3B6-3694-421D-BDCE-60C2018148BD}"/>
    <cellStyle name="Ввод  2 6 2" xfId="2684" xr:uid="{8A51C917-BD64-4C99-8485-AD285354EC90}"/>
    <cellStyle name="Ввод  2 6 2 2" xfId="7980" xr:uid="{00F6448A-5391-454A-9C1D-0879C937B609}"/>
    <cellStyle name="Ввод  2 6 2 2 2" xfId="12760" xr:uid="{78194949-3C6C-4AA2-AA97-FD22B3FF0CF3}"/>
    <cellStyle name="Ввод  2 6 2 2 2 2" xfId="29337" xr:uid="{F7CC128A-BDBE-4B68-87C0-A264124AFDE5}"/>
    <cellStyle name="Ввод  2 6 2 2 2 3" xfId="42617" xr:uid="{AA37A934-EE8F-4CC6-AAF3-0A459DCB4DC2}"/>
    <cellStyle name="Ввод  2 6 2 2 3" xfId="25496" xr:uid="{40DEADB2-7537-4DBB-814C-F47BA4D5A5BC}"/>
    <cellStyle name="Ввод  2 6 2 2 4" xfId="38572" xr:uid="{7682CA07-811D-44C5-972D-97A48E1227E7}"/>
    <cellStyle name="Ввод  2 6 2 3" xfId="6347" xr:uid="{A88C0E3E-EC49-4E5D-B262-81BB397AC65B}"/>
    <cellStyle name="Ввод  2 6 2 3 2" xfId="13569" xr:uid="{D7D464D3-5380-4F66-B375-3F5352751F0E}"/>
    <cellStyle name="Ввод  2 6 2 3 2 2" xfId="30012" xr:uid="{14298B22-2865-42D7-8C68-AD636100DB44}"/>
    <cellStyle name="Ввод  2 6 2 3 2 3" xfId="43362" xr:uid="{F8451B88-9AA7-41D4-9F13-11D9645A01B0}"/>
    <cellStyle name="Ввод  2 6 2 3 3" xfId="23987" xr:uid="{A921E0EB-7B1E-429B-858B-2E7BADD46B17}"/>
    <cellStyle name="Ввод  2 6 2 3 4" xfId="37068" xr:uid="{09F4B8C1-46F5-4896-82B7-E2497E701103}"/>
    <cellStyle name="Ввод  2 6 2 4" xfId="13073" xr:uid="{99C5B990-709F-4DB9-83C6-8BEB16557DE6}"/>
    <cellStyle name="Ввод  2 6 2 4 2" xfId="29594" xr:uid="{D746D924-A3A1-4BC9-8434-4C41135BAA11}"/>
    <cellStyle name="Ввод  2 6 2 4 3" xfId="42903" xr:uid="{F615DC33-21CB-46A8-9D24-D5F728036B37}"/>
    <cellStyle name="Ввод  2 6 2 5" xfId="20739" xr:uid="{26839FB6-7CF3-484F-B3EA-32D650982A0A}"/>
    <cellStyle name="Ввод  2 6 2 6" xfId="33762" xr:uid="{0C956783-0E7C-4670-8009-224FFE4CE7D7}"/>
    <cellStyle name="Ввод  2 6 3" xfId="4353" xr:uid="{071AADF5-291B-4855-96B4-74FD3586CFAB}"/>
    <cellStyle name="Ввод  2 6 3 2" xfId="6972" xr:uid="{1A3D02B8-E431-4CAB-8D73-945AADCF31E5}"/>
    <cellStyle name="Ввод  2 6 3 2 2" xfId="10838" xr:uid="{A4EEBA93-6067-42DA-B685-ACFDCEF2B9B0}"/>
    <cellStyle name="Ввод  2 6 3 2 2 2" xfId="27668" xr:uid="{44325BB0-B0E9-40FF-A8CE-08E32B9D330A}"/>
    <cellStyle name="Ввод  2 6 3 2 2 3" xfId="40819" xr:uid="{313C9011-04BA-4A50-9469-A588F93942CD}"/>
    <cellStyle name="Ввод  2 6 3 2 3" xfId="24594" xr:uid="{E0C16058-042D-4334-BCBF-0CEA71377A22}"/>
    <cellStyle name="Ввод  2 6 3 2 4" xfId="37675" xr:uid="{D5DAC945-434E-4E1E-AFC9-257E13C48FB6}"/>
    <cellStyle name="Ввод  2 6 3 3" xfId="15127" xr:uid="{843C8164-CE1D-4F72-BF69-9E05873E87AE}"/>
    <cellStyle name="Ввод  2 6 3 3 2" xfId="31329" xr:uid="{AE1C6CE4-1A1E-4230-AFF6-7BA20871698F}"/>
    <cellStyle name="Ввод  2 6 3 3 3" xfId="44791" xr:uid="{DE3AEBEE-A026-409B-A2CB-A4A696AB09E0}"/>
    <cellStyle name="Ввод  2 6 3 4" xfId="22173" xr:uid="{90D2774B-1BCC-424D-B2FB-E6460979B778}"/>
    <cellStyle name="Ввод  2 6 3 5" xfId="35222" xr:uid="{5A1A31C6-C0BA-4D4C-83C8-EE97347F7CF8}"/>
    <cellStyle name="Ввод  2 6 4" xfId="5408" xr:uid="{5409D5C2-D18D-498A-A21C-3345843C929D}"/>
    <cellStyle name="Ввод  2 6 4 2" xfId="8585" xr:uid="{E3221654-C033-47FB-9957-4EBB3A733BF2}"/>
    <cellStyle name="Ввод  2 6 4 2 2" xfId="12485" xr:uid="{70EFD978-61A3-4E5A-8782-22FD9733F7AF}"/>
    <cellStyle name="Ввод  2 6 4 2 2 2" xfId="29123" xr:uid="{C26C75A2-C0CF-430E-9CB7-81953430D966}"/>
    <cellStyle name="Ввод  2 6 4 2 2 3" xfId="42376" xr:uid="{4E11A680-6186-4347-87D4-1962F2C89915}"/>
    <cellStyle name="Ввод  2 6 4 2 3" xfId="26083" xr:uid="{08DF7AB1-69B9-4632-BAE8-2B441AC94696}"/>
    <cellStyle name="Ввод  2 6 4 2 4" xfId="39159" xr:uid="{EDB81EC1-FC12-43B9-B173-B7AD47960047}"/>
    <cellStyle name="Ввод  2 6 4 3" xfId="17285" xr:uid="{59DF51C2-97CE-470B-ACDB-99440CFC51FE}"/>
    <cellStyle name="Ввод  2 6 4 3 2" xfId="33043" xr:uid="{B68392ED-EB2B-405B-8D73-FDFB6F19A341}"/>
    <cellStyle name="Ввод  2 6 4 3 3" xfId="46819" xr:uid="{DD0CA4F7-2B5A-4429-9333-3CCCDE7190D1}"/>
    <cellStyle name="Ввод  2 6 4 4" xfId="23055" xr:uid="{0F4A187F-4FFE-4C7C-8A5A-E229757FE8AF}"/>
    <cellStyle name="Ввод  2 6 4 5" xfId="36136" xr:uid="{58679ABE-4296-49FA-9FD5-3169481226A0}"/>
    <cellStyle name="Ввод  2 6 5" xfId="10969" xr:uid="{165DF0D5-A0E6-43EA-B032-10AF2B9DAFD6}"/>
    <cellStyle name="Ввод  2 6 5 2" xfId="27779" xr:uid="{C20B8911-9F82-4D26-9C32-C7D12DF2A4F5}"/>
    <cellStyle name="Ввод  2 6 5 3" xfId="40949" xr:uid="{E2DC17C1-4D40-4C24-A563-68C955A45556}"/>
    <cellStyle name="Ввод  2 6 6" xfId="21346" xr:uid="{C41FE42B-EFE8-48B9-B10C-F10714EB09E8}"/>
    <cellStyle name="Ввод  2 6 7" xfId="34369" xr:uid="{9ED64A22-D95C-49E1-9A1C-D924A8825915}"/>
    <cellStyle name="Ввод  2 7" xfId="3461" xr:uid="{73F555EF-EF1D-4435-AAB9-FC80D896B82E}"/>
    <cellStyle name="Ввод  2 7 2" xfId="2803" xr:uid="{4ABD02EC-4907-4CE1-8F11-C22E7FD9675F}"/>
    <cellStyle name="Ввод  2 7 2 2" xfId="8099" xr:uid="{11D8E2F5-6BB6-45D4-AFAC-AEB07D2E6977}"/>
    <cellStyle name="Ввод  2 7 2 2 2" xfId="13767" xr:uid="{E48F7B82-9780-40FF-A615-0EFC9BDDFEB1}"/>
    <cellStyle name="Ввод  2 7 2 2 2 2" xfId="30176" xr:uid="{0320C684-DB1A-4512-AB43-7250DFB17AB9}"/>
    <cellStyle name="Ввод  2 7 2 2 2 3" xfId="43540" xr:uid="{44ADF289-4DA4-46ED-9D5D-31B573DE512E}"/>
    <cellStyle name="Ввод  2 7 2 2 3" xfId="25610" xr:uid="{CB1E3D80-7310-45E0-8118-5E20B0EEF0B9}"/>
    <cellStyle name="Ввод  2 7 2 2 4" xfId="38686" xr:uid="{B30BAC98-EBD8-4AF5-A665-8ABEE2AF90FC}"/>
    <cellStyle name="Ввод  2 7 2 3" xfId="6466" xr:uid="{0FC3839B-BE37-4DE7-B146-96156C3530A1}"/>
    <cellStyle name="Ввод  2 7 2 3 2" xfId="16638" xr:uid="{778A7CDC-507B-4D87-85D2-89122167141C}"/>
    <cellStyle name="Ввод  2 7 2 3 2 2" xfId="32544" xr:uid="{D57F3C16-189F-4EBA-990D-68F7FE761F8C}"/>
    <cellStyle name="Ввод  2 7 2 3 2 3" xfId="46185" xr:uid="{A0ECFEFB-6801-4249-8BC9-C3D63DD9D6AA}"/>
    <cellStyle name="Ввод  2 7 2 3 3" xfId="24101" xr:uid="{0808A164-28E2-4509-BB02-2EF64610C8EC}"/>
    <cellStyle name="Ввод  2 7 2 3 4" xfId="37182" xr:uid="{0B05C408-5A61-4A15-ADC0-AD0FFE2618A8}"/>
    <cellStyle name="Ввод  2 7 2 4" xfId="16088" xr:uid="{2FC65685-B1C1-44B7-BF19-D604B1988D0B}"/>
    <cellStyle name="Ввод  2 7 2 4 2" xfId="32147" xr:uid="{4395601D-1DEB-4EF4-A61E-0D3F87013B1D}"/>
    <cellStyle name="Ввод  2 7 2 4 3" xfId="45668" xr:uid="{D8CE8242-870C-46B1-A8D4-77F270913C31}"/>
    <cellStyle name="Ввод  2 7 2 5" xfId="20853" xr:uid="{3A5C503B-370D-4074-AECE-429DF5BFAA23}"/>
    <cellStyle name="Ввод  2 7 2 6" xfId="33876" xr:uid="{2F586AFA-9663-4089-9608-04D46F3AD6B1}"/>
    <cellStyle name="Ввод  2 7 3" xfId="4463" xr:uid="{487BB8A7-BC93-4D0B-AA3C-A0E0A90F3027}"/>
    <cellStyle name="Ввод  2 7 3 2" xfId="7103" xr:uid="{6B6811D9-D8FD-4041-9A4C-FB3A81F8BF7A}"/>
    <cellStyle name="Ввод  2 7 3 2 2" xfId="15121" xr:uid="{F6C0E23D-5648-489B-AF19-E6B30E044C2E}"/>
    <cellStyle name="Ввод  2 7 3 2 2 2" xfId="31324" xr:uid="{8D48559A-C265-4D73-894B-2CAFB236B80A}"/>
    <cellStyle name="Ввод  2 7 3 2 2 3" xfId="44786" xr:uid="{8C31C4C1-A76E-4C2E-B937-3801A2182AAD}"/>
    <cellStyle name="Ввод  2 7 3 2 3" xfId="24702" xr:uid="{85D14694-1603-4EFD-B5EC-AB2D1664ACCB}"/>
    <cellStyle name="Ввод  2 7 3 2 4" xfId="37783" xr:uid="{C104557E-D8C9-4576-A449-04469BA8F108}"/>
    <cellStyle name="Ввод  2 7 3 3" xfId="15638" xr:uid="{FC3F3E39-F523-4805-BD00-3EFD439D2105}"/>
    <cellStyle name="Ввод  2 7 3 3 2" xfId="31758" xr:uid="{5B34F5D7-3E24-48BD-9836-274E0D32AB0F}"/>
    <cellStyle name="Ввод  2 7 3 3 3" xfId="45262" xr:uid="{B677D683-7728-4A83-A86E-4C958AEDFA07}"/>
    <cellStyle name="Ввод  2 7 3 4" xfId="22281" xr:uid="{963ABA5C-CD92-4095-861E-10E86E875EEB}"/>
    <cellStyle name="Ввод  2 7 3 5" xfId="35330" xr:uid="{0B9CA50A-79BE-4EDF-8812-6A8733F3BF55}"/>
    <cellStyle name="Ввод  2 7 4" xfId="5516" xr:uid="{60D2F4EF-D422-4687-936E-550C8A3220E9}"/>
    <cellStyle name="Ввод  2 7 4 2" xfId="8698" xr:uid="{E05C207B-2EF0-4924-81EC-7759AE088BB2}"/>
    <cellStyle name="Ввод  2 7 4 2 2" xfId="12354" xr:uid="{A3EC4034-E916-4882-9FA1-1ED574A85EE9}"/>
    <cellStyle name="Ввод  2 7 4 2 2 2" xfId="29020" xr:uid="{DD67F68F-B5FC-46A5-A65F-BEC2F12BC919}"/>
    <cellStyle name="Ввод  2 7 4 2 2 3" xfId="42260" xr:uid="{ED336585-76E4-4B0D-B64A-D532BCDA5D28}"/>
    <cellStyle name="Ввод  2 7 4 2 3" xfId="26191" xr:uid="{05407FD6-B9D8-47B6-91DB-91164416CE00}"/>
    <cellStyle name="Ввод  2 7 4 2 4" xfId="39267" xr:uid="{D2FF3192-40F4-4BE0-AB70-3633E6DC15B1}"/>
    <cellStyle name="Ввод  2 7 4 3" xfId="11959" xr:uid="{53C0E1FB-861B-4FCF-984E-6C71509F5AA6}"/>
    <cellStyle name="Ввод  2 7 4 3 2" xfId="28668" xr:uid="{D43248F6-8A93-4ADC-A5E4-00788430244E}"/>
    <cellStyle name="Ввод  2 7 4 3 3" xfId="41886" xr:uid="{29366BAD-39D8-4740-9731-5E8BC4C11AC9}"/>
    <cellStyle name="Ввод  2 7 4 4" xfId="23163" xr:uid="{34EA1583-B44E-490D-9C5A-B8103CB2AB41}"/>
    <cellStyle name="Ввод  2 7 4 5" xfId="36244" xr:uid="{5FA36F3E-64F8-4A83-B939-B0E225585458}"/>
    <cellStyle name="Ввод  2 7 5" xfId="17301" xr:uid="{A528E96B-104A-4CB1-AF1B-8E5EED6C1EF1}"/>
    <cellStyle name="Ввод  2 7 5 2" xfId="33059" xr:uid="{2AD5B072-690B-4C67-B989-0A5D34226E56}"/>
    <cellStyle name="Ввод  2 7 5 3" xfId="46835" xr:uid="{E19CC944-448E-40A1-A9B5-8C8F5DA36670}"/>
    <cellStyle name="Ввод  2 7 6" xfId="21433" xr:uid="{30569A6B-918A-46E5-803C-FEF2641492ED}"/>
    <cellStyle name="Ввод  2 7 7" xfId="34477" xr:uid="{55673CDF-EB9F-403A-B9CD-A0C7AC4DE961}"/>
    <cellStyle name="Ввод  2 8" xfId="3520" xr:uid="{49B4B31B-0668-4763-B3E4-82A4566AE7FA}"/>
    <cellStyle name="Ввод  2 8 2" xfId="2861" xr:uid="{599E407B-AAA5-4665-8ECE-579AB6F3197C}"/>
    <cellStyle name="Ввод  2 8 2 2" xfId="8157" xr:uid="{3FD28593-B9B5-47B4-A024-4BA7D26F3386}"/>
    <cellStyle name="Ввод  2 8 2 2 2" xfId="14646" xr:uid="{008E0DA1-FFBD-4A47-891B-49A7BAA0B48E}"/>
    <cellStyle name="Ввод  2 8 2 2 2 2" xfId="30942" xr:uid="{E9F89180-2A56-4055-AB13-F47E8F5BF146}"/>
    <cellStyle name="Ввод  2 8 2 2 2 3" xfId="44363" xr:uid="{E8A4F308-886A-4E51-A9A6-D910F75CB223}"/>
    <cellStyle name="Ввод  2 8 2 2 3" xfId="25668" xr:uid="{4E736641-66C2-4C22-87FE-D96542F1DC7A}"/>
    <cellStyle name="Ввод  2 8 2 2 4" xfId="38744" xr:uid="{8ED702E9-70B3-4C29-A71C-85A29EC2257D}"/>
    <cellStyle name="Ввод  2 8 2 3" xfId="6524" xr:uid="{CA372085-8BE1-4DAB-8F36-A3695DE06334}"/>
    <cellStyle name="Ввод  2 8 2 3 2" xfId="17310" xr:uid="{12CC3CAE-613B-4222-BBCF-5F358F726738}"/>
    <cellStyle name="Ввод  2 8 2 3 2 2" xfId="33068" xr:uid="{85DB6F1D-CE7D-416C-A4FE-11A4E417F6C6}"/>
    <cellStyle name="Ввод  2 8 2 3 2 3" xfId="46844" xr:uid="{B9E34749-9380-4CBC-9DB8-F446C8D1D59C}"/>
    <cellStyle name="Ввод  2 8 2 3 3" xfId="24159" xr:uid="{CF60B60D-AD69-4437-A1C1-E9CDF0C731AA}"/>
    <cellStyle name="Ввод  2 8 2 3 4" xfId="37240" xr:uid="{38FCA7A9-E62F-4CB9-AD17-68E7C0DE6B10}"/>
    <cellStyle name="Ввод  2 8 2 4" xfId="13476" xr:uid="{5339D07C-139F-450E-84F5-ADF72BB22D73}"/>
    <cellStyle name="Ввод  2 8 2 4 2" xfId="29937" xr:uid="{5325EA37-A5FD-4CAC-ACD9-A23C330CE9E0}"/>
    <cellStyle name="Ввод  2 8 2 4 3" xfId="43277" xr:uid="{9CC3485B-6D63-4193-8409-9138DA774BB6}"/>
    <cellStyle name="Ввод  2 8 2 5" xfId="20911" xr:uid="{BEB337D8-0B49-4819-B8C8-A096CDF5D8CD}"/>
    <cellStyle name="Ввод  2 8 2 6" xfId="33934" xr:uid="{8324AF65-34C0-422E-A5E0-FCF6FCF296AC}"/>
    <cellStyle name="Ввод  2 8 3" xfId="4521" xr:uid="{66B9072B-92E1-4A8D-A2F1-60B23150A063}"/>
    <cellStyle name="Ввод  2 8 3 2" xfId="7162" xr:uid="{977D738B-8222-453B-817A-AA2CD5A1579A}"/>
    <cellStyle name="Ввод  2 8 3 2 2" xfId="11627" xr:uid="{87182454-4CE9-4F33-A6C1-D69C6203EDFF}"/>
    <cellStyle name="Ввод  2 8 3 2 2 2" xfId="28373" xr:uid="{AF5E79EE-E5D7-47F2-9B61-A1527AED010E}"/>
    <cellStyle name="Ввод  2 8 3 2 2 3" xfId="41576" xr:uid="{AB2B0DF9-0406-440C-BBD3-D181D5D69F2A}"/>
    <cellStyle name="Ввод  2 8 3 2 3" xfId="24760" xr:uid="{0D3669EB-2E3C-420E-BFDC-87FA13FE8035}"/>
    <cellStyle name="Ввод  2 8 3 2 4" xfId="37841" xr:uid="{EACF578D-F973-42E8-BE6A-E10C4399A17C}"/>
    <cellStyle name="Ввод  2 8 3 3" xfId="11880" xr:uid="{8510D6AB-1FD4-4984-B09D-95C4D856F68B}"/>
    <cellStyle name="Ввод  2 8 3 3 2" xfId="28596" xr:uid="{CE95EF98-28A9-440A-BD78-48A17B51AAE9}"/>
    <cellStyle name="Ввод  2 8 3 3 3" xfId="41812" xr:uid="{4D42D361-51C0-4850-8819-C812E5DDF4DF}"/>
    <cellStyle name="Ввод  2 8 3 4" xfId="22339" xr:uid="{82C572AE-B0A6-48B6-A73F-375755B5836E}"/>
    <cellStyle name="Ввод  2 8 3 5" xfId="35388" xr:uid="{50B91217-8E9B-464A-BAB6-40CF25985755}"/>
    <cellStyle name="Ввод  2 8 4" xfId="5574" xr:uid="{79EBC292-776E-4B72-9057-813440E913B4}"/>
    <cellStyle name="Ввод  2 8 4 2" xfId="8756" xr:uid="{E0131BD6-9C6E-4174-957C-A42741ABF189}"/>
    <cellStyle name="Ввод  2 8 4 2 2" xfId="13153" xr:uid="{6C855EAC-F7D4-4F7D-8D34-94043604BF10}"/>
    <cellStyle name="Ввод  2 8 4 2 2 2" xfId="29666" xr:uid="{395F73C1-CC36-458E-99F1-2AF1BD08E548}"/>
    <cellStyle name="Ввод  2 8 4 2 2 3" xfId="42978" xr:uid="{92CC87BB-D1C0-4A27-974B-6A3B0EFBC746}"/>
    <cellStyle name="Ввод  2 8 4 2 3" xfId="26249" xr:uid="{5FF0E72A-B8E8-4774-B596-08BD53912A5A}"/>
    <cellStyle name="Ввод  2 8 4 2 4" xfId="39325" xr:uid="{D39CEA6D-3CB1-46E6-BBAE-BFA786201AD1}"/>
    <cellStyle name="Ввод  2 8 4 3" xfId="11176" xr:uid="{28AC720C-3D5F-4888-A596-CC69C92D99C4}"/>
    <cellStyle name="Ввод  2 8 4 3 2" xfId="27970" xr:uid="{FD6A4024-2240-408A-8511-0503BF9B6C3A}"/>
    <cellStyle name="Ввод  2 8 4 3 3" xfId="41152" xr:uid="{B357AAB6-6C4D-4052-AF8F-47E7542848F7}"/>
    <cellStyle name="Ввод  2 8 4 4" xfId="23221" xr:uid="{6CE90615-EACE-4ABC-BCFD-BA9455CD51F5}"/>
    <cellStyle name="Ввод  2 8 4 5" xfId="36302" xr:uid="{C9A3F1F3-78DD-41D3-92BD-5DEDD0DA0BE3}"/>
    <cellStyle name="Ввод  2 8 5" xfId="13613" xr:uid="{02EB3655-47FB-4BD1-82D9-160AC52AFE62}"/>
    <cellStyle name="Ввод  2 8 5 2" xfId="30051" xr:uid="{4A9B37C0-44D7-4FA0-8F6B-B405718FE4FC}"/>
    <cellStyle name="Ввод  2 8 5 3" xfId="43404" xr:uid="{3ACA18B8-4B6F-4A2E-8043-E7637C198A4F}"/>
    <cellStyle name="Ввод  2 8 6" xfId="21483" xr:uid="{89355ABA-9ABC-4B51-B15D-1DCA057348DD}"/>
    <cellStyle name="Ввод  2 8 7" xfId="34535" xr:uid="{E2FC0C35-13EC-4EC0-979C-9DFBE8CF72E2}"/>
    <cellStyle name="Ввод  2 9" xfId="3591" xr:uid="{C5E3A4C0-8865-4AFE-B634-3AF8F8EF6EC0}"/>
    <cellStyle name="Ввод  2 9 2" xfId="2926" xr:uid="{A16E170B-7FDB-4829-9716-798CD2326D08}"/>
    <cellStyle name="Ввод  2 9 2 2" xfId="8222" xr:uid="{F4CB5BC8-1BA8-4D6A-A448-3B1A9DF3CCCC}"/>
    <cellStyle name="Ввод  2 9 2 2 2" xfId="15883" xr:uid="{A6ED0FC0-DFBB-4A4D-B334-22D71A78BC10}"/>
    <cellStyle name="Ввод  2 9 2 2 2 2" xfId="31968" xr:uid="{46B5ED5C-DB29-46C7-A518-BBB436BDD067}"/>
    <cellStyle name="Ввод  2 9 2 2 2 3" xfId="45483" xr:uid="{095A87FD-91BD-4B20-B987-D08EB1A15A52}"/>
    <cellStyle name="Ввод  2 9 2 2 3" xfId="25733" xr:uid="{4D9040BA-2B22-4EF7-9B68-54E5EB109E2E}"/>
    <cellStyle name="Ввод  2 9 2 2 4" xfId="38809" xr:uid="{EA641850-03F1-4AE8-AEF7-E87F16F7DEAE}"/>
    <cellStyle name="Ввод  2 9 2 3" xfId="6589" xr:uid="{260B2246-ECDB-4866-971C-A763018A7C04}"/>
    <cellStyle name="Ввод  2 9 2 3 2" xfId="13682" xr:uid="{581D372D-F835-431B-9FC8-5FF366AADA84}"/>
    <cellStyle name="Ввод  2 9 2 3 2 2" xfId="30107" xr:uid="{C35B7B14-365D-4C79-B483-7B8D8A072DF7}"/>
    <cellStyle name="Ввод  2 9 2 3 2 3" xfId="43466" xr:uid="{ECAD3DC8-AD3E-4B57-8C69-FCEFDB22AAD5}"/>
    <cellStyle name="Ввод  2 9 2 3 3" xfId="24224" xr:uid="{CAB70A86-68DB-47C1-B14E-50E96024BA47}"/>
    <cellStyle name="Ввод  2 9 2 3 4" xfId="37305" xr:uid="{EA2362B7-38AC-49F2-9BDB-B256F3759887}"/>
    <cellStyle name="Ввод  2 9 2 4" xfId="13989" xr:uid="{0ACCA555-02D5-428C-9822-A5483CB957CC}"/>
    <cellStyle name="Ввод  2 9 2 4 2" xfId="30375" xr:uid="{4ECAD1EB-80BA-47F8-9A0E-3EDD75E14165}"/>
    <cellStyle name="Ввод  2 9 2 4 3" xfId="43753" xr:uid="{8BB753E9-3800-408A-882F-CEC3E0481933}"/>
    <cellStyle name="Ввод  2 9 2 5" xfId="20976" xr:uid="{D137365A-6DD5-44DB-B19A-B82FA13C29B0}"/>
    <cellStyle name="Ввод  2 9 2 6" xfId="33999" xr:uid="{8E90A038-AE24-4887-B508-4E1973BA6388}"/>
    <cellStyle name="Ввод  2 9 3" xfId="4546" xr:uid="{8C664E0D-BEDC-4F39-9381-1F5A951922FA}"/>
    <cellStyle name="Ввод  2 9 3 2" xfId="7228" xr:uid="{AC4947DD-F446-4280-B8EA-084A053CCA29}"/>
    <cellStyle name="Ввод  2 9 3 2 2" xfId="13856" xr:uid="{96F7F8BE-ABEC-48B1-A20F-EDAF1C4DFC85}"/>
    <cellStyle name="Ввод  2 9 3 2 2 2" xfId="30257" xr:uid="{CE7D03C7-13A8-48B8-8445-7596AD097A42}"/>
    <cellStyle name="Ввод  2 9 3 2 2 3" xfId="43628" xr:uid="{AB439CE5-64E9-4C73-89CE-A3E9283FD11A}"/>
    <cellStyle name="Ввод  2 9 3 2 3" xfId="24822" xr:uid="{95ED0831-0596-4DCD-B0DE-4D1E2A9CA8E4}"/>
    <cellStyle name="Ввод  2 9 3 2 4" xfId="37903" xr:uid="{3C382B33-0EB0-4574-A088-0CCB260E0F65}"/>
    <cellStyle name="Ввод  2 9 3 3" xfId="15188" xr:uid="{DCC46555-ADF9-4077-BFC7-96DC674CB01D}"/>
    <cellStyle name="Ввод  2 9 3 3 2" xfId="31372" xr:uid="{5336C453-30B3-45EB-A71C-56C086D21817}"/>
    <cellStyle name="Ввод  2 9 3 3 3" xfId="44843" xr:uid="{6AED2568-2BD8-492A-8409-30EC505FC01A}"/>
    <cellStyle name="Ввод  2 9 3 4" xfId="22362" xr:uid="{D68057BB-788D-4977-88AC-26580D734F8C}"/>
    <cellStyle name="Ввод  2 9 3 5" xfId="35411" xr:uid="{C9799A06-8C80-42AC-9CE6-657F71D11F98}"/>
    <cellStyle name="Ввод  2 9 4" xfId="5636" xr:uid="{E4B7EDE5-3C43-4479-B14D-6E383A21A7FF}"/>
    <cellStyle name="Ввод  2 9 4 2" xfId="8818" xr:uid="{EE9CB00E-B271-4197-8116-08BA24723921}"/>
    <cellStyle name="Ввод  2 9 4 2 2" xfId="16123" xr:uid="{587E5F91-2026-4E21-AF53-CE8887C3AF44}"/>
    <cellStyle name="Ввод  2 9 4 2 2 2" xfId="32178" xr:uid="{BBA832A1-8D41-4A0F-8EE6-701060441A41}"/>
    <cellStyle name="Ввод  2 9 4 2 2 3" xfId="45699" xr:uid="{877B6001-EEF3-4CD5-A6AA-78D4CBC3A2D3}"/>
    <cellStyle name="Ввод  2 9 4 2 3" xfId="26311" xr:uid="{B7BF8940-2E72-435D-9F4C-5102DDCE4F54}"/>
    <cellStyle name="Ввод  2 9 4 2 4" xfId="39387" xr:uid="{72C8F4C8-D4D4-4E3A-B977-3148ACEC053A}"/>
    <cellStyle name="Ввод  2 9 4 3" xfId="13095" xr:uid="{5EF91A83-C1F4-4F18-A40D-8FF59A1B7184}"/>
    <cellStyle name="Ввод  2 9 4 3 2" xfId="29611" xr:uid="{6DFD7299-23D9-424B-B49C-F0A1A3855F65}"/>
    <cellStyle name="Ввод  2 9 4 3 3" xfId="42922" xr:uid="{8B506B2D-72A6-4E37-807E-FDA94389589B}"/>
    <cellStyle name="Ввод  2 9 4 4" xfId="23283" xr:uid="{A6B5FC2B-19F9-4C95-9F62-8C702569BA9E}"/>
    <cellStyle name="Ввод  2 9 4 5" xfId="36364" xr:uid="{CCDC2802-0A85-4072-8248-056A0CE957B8}"/>
    <cellStyle name="Ввод  2 9 5" xfId="11157" xr:uid="{4ECEE132-8664-4E8F-8C23-BBF83E14E5E7}"/>
    <cellStyle name="Ввод  2 9 5 2" xfId="27952" xr:uid="{B70A1CFA-5449-4E0E-B407-1745A2C6AF94}"/>
    <cellStyle name="Ввод  2 9 5 3" xfId="41133" xr:uid="{9AC4C2B7-0843-4CBD-8359-A132ABB6FE0E}"/>
    <cellStyle name="Ввод  2 9 6" xfId="21545" xr:uid="{C63D8D0B-B869-43A4-B23A-CB4A347BC03A}"/>
    <cellStyle name="Ввод  2 9 7" xfId="34598" xr:uid="{945CAC80-44A8-4C7E-9EE5-6CA2743007BA}"/>
    <cellStyle name="Ввод  3" xfId="2292" xr:uid="{567969A8-03BD-4AF4-814A-5E48EBE84EEB}"/>
    <cellStyle name="Ввод  3 10" xfId="3717" xr:uid="{8252F838-C2EA-438D-9CB0-8C79297BDEC4}"/>
    <cellStyle name="Ввод  3 10 2" xfId="3033" xr:uid="{0B7C8E95-4511-49FC-A0C1-8D69A41CEA89}"/>
    <cellStyle name="Ввод  3 10 2 2" xfId="8329" xr:uid="{4C6E90DA-87D8-4E37-8699-61FEAE8CEB89}"/>
    <cellStyle name="Ввод  3 10 2 2 2" xfId="13562" xr:uid="{33C8F9F7-62CD-40FB-BB92-ABD6E91E5550}"/>
    <cellStyle name="Ввод  3 10 2 2 2 2" xfId="30006" xr:uid="{9DA52106-9702-4036-AE4A-072228AC5CED}"/>
    <cellStyle name="Ввод  3 10 2 2 2 3" xfId="43355" xr:uid="{CBF008F9-CB36-45AC-8871-A64E553E61CF}"/>
    <cellStyle name="Ввод  3 10 2 2 3" xfId="25833" xr:uid="{BD90BC35-CABF-462C-A607-B7DFEEDE5857}"/>
    <cellStyle name="Ввод  3 10 2 2 4" xfId="38909" xr:uid="{40DD9459-1A85-408A-95A6-0824EFF8AFA2}"/>
    <cellStyle name="Ввод  3 10 2 3" xfId="6696" xr:uid="{6A077575-22F0-4948-AE6D-327717C65CAA}"/>
    <cellStyle name="Ввод  3 10 2 3 2" xfId="16221" xr:uid="{4B1B347A-F5C6-49BF-B60E-2059A335BADB}"/>
    <cellStyle name="Ввод  3 10 2 3 2 2" xfId="32259" xr:uid="{0479FECE-9AAE-4F18-9601-D0A45CEB0237}"/>
    <cellStyle name="Ввод  3 10 2 3 2 3" xfId="45787" xr:uid="{A76597F7-2BE3-42C6-9F99-1B4450858AAF}"/>
    <cellStyle name="Ввод  3 10 2 3 3" xfId="24324" xr:uid="{0D589736-E809-4273-8C9B-7A0DEB63CA08}"/>
    <cellStyle name="Ввод  3 10 2 3 4" xfId="37405" xr:uid="{E54C9712-AE26-4D17-9ED8-B1367C81E807}"/>
    <cellStyle name="Ввод  3 10 2 4" xfId="15727" xr:uid="{5D7236E5-68AD-4AF9-B27B-FD5538DCA153}"/>
    <cellStyle name="Ввод  3 10 2 4 2" xfId="31837" xr:uid="{1E0DC230-4BCE-479E-97D5-EA512640CC31}"/>
    <cellStyle name="Ввод  3 10 2 4 3" xfId="45346" xr:uid="{7C3579DC-40B5-4BCA-BAC1-2A4D59E2D577}"/>
    <cellStyle name="Ввод  3 10 2 5" xfId="21076" xr:uid="{AAAAA9F3-FB90-45F1-814C-937AEBDAE814}"/>
    <cellStyle name="Ввод  3 10 2 6" xfId="34099" xr:uid="{F0CC428F-AA92-4383-9846-402D7D3109F7}"/>
    <cellStyle name="Ввод  3 10 3" xfId="4622" xr:uid="{E2D9FA6C-2539-44B7-9B6C-6B1866B3BF21}"/>
    <cellStyle name="Ввод  3 10 3 2" xfId="7352" xr:uid="{0A79A3BC-A695-4091-89B2-5A7A36763ED4}"/>
    <cellStyle name="Ввод  3 10 3 2 2" xfId="13918" xr:uid="{F6B0867F-8F21-4866-98A7-E6F6E0DF0028}"/>
    <cellStyle name="Ввод  3 10 3 2 2 2" xfId="30309" xr:uid="{B598CB1A-728A-4856-BA82-E24D887783BB}"/>
    <cellStyle name="Ввод  3 10 3 2 2 3" xfId="43683" xr:uid="{9CA78FFF-2C63-4CC7-8E9D-499D48A5B9A4}"/>
    <cellStyle name="Ввод  3 10 3 2 3" xfId="24911" xr:uid="{02798F37-0693-49B8-A3EE-99171B6A8B08}"/>
    <cellStyle name="Ввод  3 10 3 2 4" xfId="37991" xr:uid="{622CD02A-671D-45A7-88D3-E60F842D033C}"/>
    <cellStyle name="Ввод  3 10 3 3" xfId="16405" xr:uid="{2CC5A241-8ADB-4CA6-A316-BB869D22D2B4}"/>
    <cellStyle name="Ввод  3 10 3 3 2" xfId="32421" xr:uid="{E794EA81-9BAC-4C36-B231-C1480ABD1C19}"/>
    <cellStyle name="Ввод  3 10 3 3 3" xfId="45956" xr:uid="{7514A97E-4EFC-433F-9585-8F886E757647}"/>
    <cellStyle name="Ввод  3 10 3 4" xfId="22432" xr:uid="{B28DBB89-14F9-4365-B71B-8B096FAF1A98}"/>
    <cellStyle name="Ввод  3 10 3 5" xfId="35485" xr:uid="{1C195298-B6F0-4F96-828A-D51E6AF04480}"/>
    <cellStyle name="Ввод  3 10 4" xfId="5724" xr:uid="{60FDC3F9-6C8E-4FC3-9A53-4A448F3344EB}"/>
    <cellStyle name="Ввод  3 10 4 2" xfId="8913" xr:uid="{0DD9DADF-B705-49DE-9BA8-C755087D806E}"/>
    <cellStyle name="Ввод  3 10 4 2 2" xfId="15734" xr:uid="{161AC8EB-75CF-4AAE-98A6-AD030AC2F2EA}"/>
    <cellStyle name="Ввод  3 10 4 2 2 2" xfId="31843" xr:uid="{B4D53215-F1AD-4198-86C1-431A713B374D}"/>
    <cellStyle name="Ввод  3 10 4 2 2 3" xfId="45353" xr:uid="{07B88656-C749-4532-9199-170B157FE658}"/>
    <cellStyle name="Ввод  3 10 4 2 3" xfId="26399" xr:uid="{289B2737-BCB4-4D3D-A40A-665A8EA4066D}"/>
    <cellStyle name="Ввод  3 10 4 2 4" xfId="39475" xr:uid="{AB21C787-5ACD-4D9F-9102-A6BB498D6135}"/>
    <cellStyle name="Ввод  3 10 4 3" xfId="13023" xr:uid="{B77ECBA0-8E62-4BA3-893E-ECA46EFE0FE7}"/>
    <cellStyle name="Ввод  3 10 4 3 2" xfId="29555" xr:uid="{39CB6F45-E87A-494F-AC92-1B78313E0DA6}"/>
    <cellStyle name="Ввод  3 10 4 3 3" xfId="42857" xr:uid="{D00FDF1D-3420-4A77-A5F2-BEE16BA25265}"/>
    <cellStyle name="Ввод  3 10 4 4" xfId="23371" xr:uid="{6506AFAC-D6B7-4537-A308-52A108FC39A8}"/>
    <cellStyle name="Ввод  3 10 4 5" xfId="36452" xr:uid="{0BEA949D-2ABC-4274-BC42-024BB5CF627B}"/>
    <cellStyle name="Ввод  3 10 5" xfId="13191" xr:uid="{24F187DC-A190-4749-AAC5-8E0F843763C8}"/>
    <cellStyle name="Ввод  3 10 5 2" xfId="29695" xr:uid="{2D76B70B-BB54-4810-A387-1E1B0BF15488}"/>
    <cellStyle name="Ввод  3 10 5 3" xfId="43013" xr:uid="{578C6766-5447-48C8-8590-CB8D144EA7D7}"/>
    <cellStyle name="Ввод  3 10 6" xfId="21633" xr:uid="{DB7A4B59-1715-4A9D-8480-887AAAC2400E}"/>
    <cellStyle name="Ввод  3 10 7" xfId="34687" xr:uid="{1A22A6AA-4A1C-47C2-ABC7-4B988E842501}"/>
    <cellStyle name="Ввод  3 11" xfId="3578" xr:uid="{BF418816-F3AF-4DD7-8CE1-23CA16BBAB99}"/>
    <cellStyle name="Ввод  3 11 2" xfId="2913" xr:uid="{10D9350C-77BB-4D32-B288-A6FF11DE39B3}"/>
    <cellStyle name="Ввод  3 11 2 2" xfId="8209" xr:uid="{4CCEA6B7-9A76-4F3F-B824-BBF86D64A591}"/>
    <cellStyle name="Ввод  3 11 2 2 2" xfId="15682" xr:uid="{23ED1607-8684-4ABA-AA0B-EA0ED9245E5B}"/>
    <cellStyle name="Ввод  3 11 2 2 2 2" xfId="31795" xr:uid="{85459A7D-ACC1-4C33-95B0-4F8DD3DA5457}"/>
    <cellStyle name="Ввод  3 11 2 2 2 3" xfId="45303" xr:uid="{2DBE42FC-ADF3-4970-963C-2EE76E0A7B5D}"/>
    <cellStyle name="Ввод  3 11 2 2 3" xfId="25720" xr:uid="{2DE3C4F1-4AE9-4D52-AC6C-94D03B1AB9CB}"/>
    <cellStyle name="Ввод  3 11 2 2 4" xfId="38796" xr:uid="{3DE840CB-595A-4344-BE09-1F713949DE23}"/>
    <cellStyle name="Ввод  3 11 2 3" xfId="6576" xr:uid="{176554A6-1ECF-4C25-9176-94904700023E}"/>
    <cellStyle name="Ввод  3 11 2 3 2" xfId="12090" xr:uid="{F496B0B6-6DB9-4AED-8825-A793E3E5A28E}"/>
    <cellStyle name="Ввод  3 11 2 3 2 2" xfId="28790" xr:uid="{1C61C0D6-4ACF-4F58-9F71-021ED3CE3724}"/>
    <cellStyle name="Ввод  3 11 2 3 2 3" xfId="42010" xr:uid="{683D9A8F-CD88-4296-8919-40D954066060}"/>
    <cellStyle name="Ввод  3 11 2 3 3" xfId="24211" xr:uid="{18C30A0E-9C90-40C0-8E62-66B436F32F82}"/>
    <cellStyle name="Ввод  3 11 2 3 4" xfId="37292" xr:uid="{52C70F16-507B-4D20-BC06-04442CFD19C8}"/>
    <cellStyle name="Ввод  3 11 2 4" xfId="15142" xr:uid="{8CC2BEFB-2688-48E9-A7CC-EB7E843E3360}"/>
    <cellStyle name="Ввод  3 11 2 4 2" xfId="31341" xr:uid="{76DEC712-917A-48EB-A549-07CE725A1871}"/>
    <cellStyle name="Ввод  3 11 2 4 3" xfId="44805" xr:uid="{F1CDF87E-19A4-4D05-9137-DCBE7A1C8A26}"/>
    <cellStyle name="Ввод  3 11 2 5" xfId="20963" xr:uid="{AD758C3A-60E2-42FC-BD5A-5AAB4DF95F22}"/>
    <cellStyle name="Ввод  3 11 2 6" xfId="33986" xr:uid="{1367EC5B-400A-4D90-80DD-4650E5FA1B47}"/>
    <cellStyle name="Ввод  3 11 3" xfId="4669" xr:uid="{8D205411-9DAA-4504-9E90-69625BD74C75}"/>
    <cellStyle name="Ввод  3 11 3 2" xfId="7215" xr:uid="{C0DA1456-2962-4688-BFFE-CCE88EBAB318}"/>
    <cellStyle name="Ввод  3 11 3 2 2" xfId="11522" xr:uid="{01BB8BD0-1633-468B-8C0F-36215FD78B5E}"/>
    <cellStyle name="Ввод  3 11 3 2 2 2" xfId="28280" xr:uid="{1EB959E6-5939-40B4-875F-CA3D38AAB7D3}"/>
    <cellStyle name="Ввод  3 11 3 2 2 3" xfId="41477" xr:uid="{C3C64DB9-840C-4ED1-A311-B2A03A050AEB}"/>
    <cellStyle name="Ввод  3 11 3 2 3" xfId="24809" xr:uid="{70D0A1D7-3032-44E8-8776-FE32299DE9BA}"/>
    <cellStyle name="Ввод  3 11 3 2 4" xfId="37890" xr:uid="{6F887067-CB80-4B1D-A6C5-648E1D84AF65}"/>
    <cellStyle name="Ввод  3 11 3 3" xfId="15007" xr:uid="{4FC63CCD-5DFD-406C-BE4F-EE13499FAC6F}"/>
    <cellStyle name="Ввод  3 11 3 3 2" xfId="31234" xr:uid="{0DF2C364-3994-448F-9480-E5AF04F7DF6B}"/>
    <cellStyle name="Ввод  3 11 3 3 3" xfId="44684" xr:uid="{ECE9AA9B-7DF6-474C-993B-6482FC269E5A}"/>
    <cellStyle name="Ввод  3 11 3 4" xfId="22479" xr:uid="{A6C6DCD3-E0F3-4F33-87BE-D47EBE3BC787}"/>
    <cellStyle name="Ввод  3 11 3 5" xfId="35532" xr:uid="{92F2F92F-CB16-4DDD-8792-6EF63779D7F4}"/>
    <cellStyle name="Ввод  3 11 4" xfId="5623" xr:uid="{31380732-10EA-4750-8F4C-2C2FF77E580F}"/>
    <cellStyle name="Ввод  3 11 4 2" xfId="8805" xr:uid="{0CDB1ED1-8218-46F9-A1A1-147442716024}"/>
    <cellStyle name="Ввод  3 11 4 2 2" xfId="16183" xr:uid="{F1F897B5-D902-4250-9A56-3430F788D8B5}"/>
    <cellStyle name="Ввод  3 11 4 2 2 2" xfId="32228" xr:uid="{7F4C3D7F-4386-4FDB-A9D0-A1E9AC1EFF40}"/>
    <cellStyle name="Ввод  3 11 4 2 2 3" xfId="45751" xr:uid="{C9DB5158-5D31-4633-9E22-A3750D706634}"/>
    <cellStyle name="Ввод  3 11 4 2 3" xfId="26298" xr:uid="{BEA63EC2-0CBE-4E46-9B06-CBD059566191}"/>
    <cellStyle name="Ввод  3 11 4 2 4" xfId="39374" xr:uid="{7834242C-D180-4920-8E6D-855CDCD921F0}"/>
    <cellStyle name="Ввод  3 11 4 3" xfId="14602" xr:uid="{3DEECFE7-B345-4F9B-877F-E3463CC3746E}"/>
    <cellStyle name="Ввод  3 11 4 3 2" xfId="30902" xr:uid="{48093F55-B2F4-41A9-AD06-BE24C7159B6D}"/>
    <cellStyle name="Ввод  3 11 4 3 3" xfId="44321" xr:uid="{96981B2B-3AED-4777-89B8-F5804B65F02F}"/>
    <cellStyle name="Ввод  3 11 4 4" xfId="23270" xr:uid="{E6EACAA0-E8AB-4FF3-89ED-C3B79F647D37}"/>
    <cellStyle name="Ввод  3 11 4 5" xfId="36351" xr:uid="{ECDB5425-E0DB-403D-B932-2EFEFBB314C9}"/>
    <cellStyle name="Ввод  3 11 5" xfId="14297" xr:uid="{BF0D3753-1356-4479-B507-A3E75322DCAC}"/>
    <cellStyle name="Ввод  3 11 5 2" xfId="30635" xr:uid="{50FFE9BE-0B4E-4851-836F-5C86BECE16C7}"/>
    <cellStyle name="Ввод  3 11 5 3" xfId="44029" xr:uid="{DB37F6EF-381D-4D68-B342-C14CCB6FF991}"/>
    <cellStyle name="Ввод  3 11 6" xfId="21532" xr:uid="{EA764624-9432-4E1B-A7BA-847B5CFF7CE3}"/>
    <cellStyle name="Ввод  3 11 7" xfId="34585" xr:uid="{3E1FE21C-5494-4F84-8F68-3615C6402F04}"/>
    <cellStyle name="Ввод  3 12" xfId="3700" xr:uid="{EEB623CB-8140-434D-BC8C-2C3B4A529813}"/>
    <cellStyle name="Ввод  3 12 2" xfId="3016" xr:uid="{941F4091-879E-4A43-8471-2DE1EB63B75F}"/>
    <cellStyle name="Ввод  3 12 2 2" xfId="8312" xr:uid="{B5501C9E-50BF-45C7-88C5-60036EC50208}"/>
    <cellStyle name="Ввод  3 12 2 2 2" xfId="17393" xr:uid="{08475931-F199-42FD-A9FA-373BB0CF62FF}"/>
    <cellStyle name="Ввод  3 12 2 2 2 2" xfId="33147" xr:uid="{BD22E7E7-FA5E-4E92-9DAA-AEE6E4D0FFA0}"/>
    <cellStyle name="Ввод  3 12 2 2 2 3" xfId="46923" xr:uid="{9EAC9B19-6A6B-4E78-9FB5-CD4DEE81A420}"/>
    <cellStyle name="Ввод  3 12 2 2 3" xfId="25816" xr:uid="{62D0B26F-5E99-4174-A5D5-E484FAC38506}"/>
    <cellStyle name="Ввод  3 12 2 2 4" xfId="38892" xr:uid="{260CCC51-35A4-4C08-90D1-7071F3C9EB51}"/>
    <cellStyle name="Ввод  3 12 2 3" xfId="6679" xr:uid="{79D413D1-BFD7-442E-95A3-868AC70683D9}"/>
    <cellStyle name="Ввод  3 12 2 3 2" xfId="10585" xr:uid="{AE99F096-3693-4DED-8295-63E18754515B}"/>
    <cellStyle name="Ввод  3 12 2 3 2 2" xfId="27444" xr:uid="{B8EFBE85-28C8-4631-9A02-A58830EE2786}"/>
    <cellStyle name="Ввод  3 12 2 3 2 3" xfId="40566" xr:uid="{408D2CF5-D4D2-4531-BE27-2FA650228440}"/>
    <cellStyle name="Ввод  3 12 2 3 3" xfId="24307" xr:uid="{0F15423B-0969-4601-9669-E061B2542892}"/>
    <cellStyle name="Ввод  3 12 2 3 4" xfId="37388" xr:uid="{1D128C04-C2FD-4977-B982-62E1EB957557}"/>
    <cellStyle name="Ввод  3 12 2 4" xfId="16846" xr:uid="{F2533DED-5E80-4059-B06C-9E74F9E8C46C}"/>
    <cellStyle name="Ввод  3 12 2 4 2" xfId="32723" xr:uid="{5E4CB359-7871-418A-9905-F261698FD187}"/>
    <cellStyle name="Ввод  3 12 2 4 3" xfId="46388" xr:uid="{50BBD5A2-524E-438C-9F2C-303814402119}"/>
    <cellStyle name="Ввод  3 12 2 5" xfId="21059" xr:uid="{9941245E-C7C9-4524-B4C3-AAB8F7E64C2E}"/>
    <cellStyle name="Ввод  3 12 2 6" xfId="34082" xr:uid="{783E47EE-1846-4633-A3BC-6BA7DCF2C069}"/>
    <cellStyle name="Ввод  3 12 3" xfId="4730" xr:uid="{497F3947-D851-4B50-88B5-0FCB4ABCC92C}"/>
    <cellStyle name="Ввод  3 12 3 2" xfId="7335" xr:uid="{CC233CC6-4AF4-4DEF-8C64-BB7EC32CA9F6}"/>
    <cellStyle name="Ввод  3 12 3 2 2" xfId="10861" xr:uid="{4CAC6DA6-45E7-4B0B-8BCC-EE0880D3EF71}"/>
    <cellStyle name="Ввод  3 12 3 2 2 2" xfId="27689" xr:uid="{A3C8130C-D8A5-434D-A92D-6C13D5CAEBD6}"/>
    <cellStyle name="Ввод  3 12 3 2 2 3" xfId="40842" xr:uid="{EC9373F3-167C-4225-81B5-EC449FBBB6CA}"/>
    <cellStyle name="Ввод  3 12 3 2 3" xfId="24894" xr:uid="{6402C639-FC39-4047-9417-6FAA85FCA3B5}"/>
    <cellStyle name="Ввод  3 12 3 2 4" xfId="37974" xr:uid="{990F6168-D4E4-4AA6-874D-CF198B862CC7}"/>
    <cellStyle name="Ввод  3 12 3 3" xfId="15334" xr:uid="{7DD56A3A-1F37-44DB-866D-FEE1BA7A9A80}"/>
    <cellStyle name="Ввод  3 12 3 3 2" xfId="31491" xr:uid="{7B1EECE1-40ED-4953-B5EE-53CFEC3CE97D}"/>
    <cellStyle name="Ввод  3 12 3 3 3" xfId="44977" xr:uid="{98AEB27D-5537-446F-B4C1-0E4FAE84220E}"/>
    <cellStyle name="Ввод  3 12 3 4" xfId="22533" xr:uid="{0E777CB2-051E-43B4-9323-FB6750E16B70}"/>
    <cellStyle name="Ввод  3 12 3 5" xfId="35586" xr:uid="{B3802579-6026-4293-BE9B-26F83123837C}"/>
    <cellStyle name="Ввод  3 12 4" xfId="5707" xr:uid="{DA1402A5-A716-4FB0-9B74-25C1DEFD7790}"/>
    <cellStyle name="Ввод  3 12 4 2" xfId="8896" xr:uid="{D76BFB53-D02E-4CE6-93B3-33E670A445B5}"/>
    <cellStyle name="Ввод  3 12 4 2 2" xfId="15903" xr:uid="{810591C8-A47A-4C0B-B7FA-359463BE5EF0}"/>
    <cellStyle name="Ввод  3 12 4 2 2 2" xfId="31986" xr:uid="{CD0332D5-7FFD-414D-8688-849497FCC198}"/>
    <cellStyle name="Ввод  3 12 4 2 2 3" xfId="45502" xr:uid="{5EF2D4CB-5D2C-4DD5-808F-9E66C8FDCACE}"/>
    <cellStyle name="Ввод  3 12 4 2 3" xfId="26382" xr:uid="{947A59E2-AB81-4CB2-A791-77151E725A94}"/>
    <cellStyle name="Ввод  3 12 4 2 4" xfId="39458" xr:uid="{EB058F60-4D79-4177-A194-F4C6C155C190}"/>
    <cellStyle name="Ввод  3 12 4 3" xfId="17529" xr:uid="{57AF11F1-652F-4B61-B2A0-FCFEE19DA987}"/>
    <cellStyle name="Ввод  3 12 4 3 2" xfId="33267" xr:uid="{B6A78441-2712-4AD7-B02A-62D8A972FC1D}"/>
    <cellStyle name="Ввод  3 12 4 3 3" xfId="47054" xr:uid="{0A34AB33-4CC5-4548-8E31-4250145E5850}"/>
    <cellStyle name="Ввод  3 12 4 4" xfId="23354" xr:uid="{4B9CA9C9-9BF9-405B-A23B-579BC1FEA1D2}"/>
    <cellStyle name="Ввод  3 12 4 5" xfId="36435" xr:uid="{5E984E34-F489-4392-9683-172016B07771}"/>
    <cellStyle name="Ввод  3 12 5" xfId="14522" xr:uid="{18C40879-C0F4-4751-923A-CFD3B2C171EA}"/>
    <cellStyle name="Ввод  3 12 5 2" xfId="30838" xr:uid="{6319819E-07E8-4A8A-BE4E-252A081FE089}"/>
    <cellStyle name="Ввод  3 12 5 3" xfId="44249" xr:uid="{5F4391C6-E983-4FAF-A6ED-A50BA5E4272C}"/>
    <cellStyle name="Ввод  3 12 6" xfId="21616" xr:uid="{0C89D57D-0D0E-488A-BE2B-7B89438E7E6D}"/>
    <cellStyle name="Ввод  3 12 7" xfId="34670" xr:uid="{3228F801-C008-45AE-B59C-D837602FE075}"/>
    <cellStyle name="Ввод  3 13" xfId="3684" xr:uid="{116FB9DF-6E71-4826-B3A1-595906FCAADD}"/>
    <cellStyle name="Ввод  3 13 2" xfId="3000" xr:uid="{077A782D-723C-48C5-9333-15D9B9BEA241}"/>
    <cellStyle name="Ввод  3 13 2 2" xfId="8296" xr:uid="{CFFE7D55-0F5F-42CE-8B3A-0B62BC14D930}"/>
    <cellStyle name="Ввод  3 13 2 2 2" xfId="16235" xr:uid="{07D0B0D8-1590-4283-AF73-E9755721BD84}"/>
    <cellStyle name="Ввод  3 13 2 2 2 2" xfId="32271" xr:uid="{87BDABFD-38B4-4160-986F-70C4C5883109}"/>
    <cellStyle name="Ввод  3 13 2 2 2 3" xfId="45799" xr:uid="{68445B60-91C8-4024-A66B-739ADB98B12A}"/>
    <cellStyle name="Ввод  3 13 2 2 3" xfId="25801" xr:uid="{4CF63020-0D9D-4057-8630-16D805780BE3}"/>
    <cellStyle name="Ввод  3 13 2 2 4" xfId="38877" xr:uid="{870467A2-E46A-4A65-9657-382A48F3C605}"/>
    <cellStyle name="Ввод  3 13 2 3" xfId="6663" xr:uid="{DD53DED3-893F-47A1-995F-B6DA3DFEBC8A}"/>
    <cellStyle name="Ввод  3 13 2 3 2" xfId="14365" xr:uid="{F6918C03-10B0-4E74-A53E-7ECFABD3F6C4}"/>
    <cellStyle name="Ввод  3 13 2 3 2 2" xfId="30698" xr:uid="{E956C9C0-9DBA-460C-9166-89FA333D0DA8}"/>
    <cellStyle name="Ввод  3 13 2 3 2 3" xfId="44095" xr:uid="{627C0AD9-B9F3-44E1-B0D5-71A150DC4AFF}"/>
    <cellStyle name="Ввод  3 13 2 3 3" xfId="24292" xr:uid="{D56EACD9-EA47-48A4-B461-2BFE814AE17E}"/>
    <cellStyle name="Ввод  3 13 2 3 4" xfId="37373" xr:uid="{A71A31AA-A9AA-4003-AE42-B288D07517F4}"/>
    <cellStyle name="Ввод  3 13 2 4" xfId="14395" xr:uid="{2C84C657-C4DA-479E-86F0-C0EA3F4FC471}"/>
    <cellStyle name="Ввод  3 13 2 4 2" xfId="30727" xr:uid="{99C2CBC6-BFCA-4CFC-9F32-201F6737FCA7}"/>
    <cellStyle name="Ввод  3 13 2 4 3" xfId="44125" xr:uid="{BC7FA125-B436-45C7-8F73-881B2F4AE45F}"/>
    <cellStyle name="Ввод  3 13 2 5" xfId="21044" xr:uid="{DE43D762-D20B-4C4B-858F-467DEB123BC8}"/>
    <cellStyle name="Ввод  3 13 2 6" xfId="34067" xr:uid="{B045A5ED-51AF-40CC-8E90-0746AC971942}"/>
    <cellStyle name="Ввод  3 13 3" xfId="4717" xr:uid="{3B9228DF-7987-42BC-8EF9-0E9C3A15357B}"/>
    <cellStyle name="Ввод  3 13 3 2" xfId="7319" xr:uid="{EA9C682C-ED88-42A1-A88D-7EC985116F1F}"/>
    <cellStyle name="Ввод  3 13 3 2 2" xfId="13160" xr:uid="{3DE328E1-C7E1-41AF-9656-BEF8CCC0CF8B}"/>
    <cellStyle name="Ввод  3 13 3 2 2 2" xfId="29673" xr:uid="{68C35F52-5767-4E5A-9679-97531926962B}"/>
    <cellStyle name="Ввод  3 13 3 2 2 3" xfId="42985" xr:uid="{2D6B7EBC-E46A-4403-BB26-3859AB447C27}"/>
    <cellStyle name="Ввод  3 13 3 2 3" xfId="24879" xr:uid="{DE740EC1-8BB3-4586-9EBE-3E153767BC95}"/>
    <cellStyle name="Ввод  3 13 3 2 4" xfId="37959" xr:uid="{41713851-28D3-4175-A015-832795EF7DEE}"/>
    <cellStyle name="Ввод  3 13 3 3" xfId="15827" xr:uid="{873F29E6-EE04-4E94-B2A2-C08DC21471E7}"/>
    <cellStyle name="Ввод  3 13 3 3 2" xfId="31921" xr:uid="{A01660B8-EFEB-4CDA-81C7-BD401EE0EA46}"/>
    <cellStyle name="Ввод  3 13 3 3 3" xfId="45433" xr:uid="{BCDB1290-ADA1-4CE9-845F-A0B20D41C0FF}"/>
    <cellStyle name="Ввод  3 13 3 4" xfId="22521" xr:uid="{2A18709E-4233-4AF3-A288-13A8BFE9FC2C}"/>
    <cellStyle name="Ввод  3 13 3 5" xfId="35574" xr:uid="{CEB06F16-B983-4BD7-A801-1081CD6AD046}"/>
    <cellStyle name="Ввод  3 13 4" xfId="5692" xr:uid="{4DE794A7-9EB7-42BB-9B1F-8C800B388934}"/>
    <cellStyle name="Ввод  3 13 4 2" xfId="8880" xr:uid="{094C7750-2EC2-4C94-BD31-5CEE3DEA71CC}"/>
    <cellStyle name="Ввод  3 13 4 2 2" xfId="12304" xr:uid="{48469450-2AC4-4402-9FA0-FA3E6B6F29A6}"/>
    <cellStyle name="Ввод  3 13 4 2 2 2" xfId="28976" xr:uid="{3B467FE9-2562-43CF-968F-443B64CE5C95}"/>
    <cellStyle name="Ввод  3 13 4 2 2 3" xfId="42213" xr:uid="{6F8963F5-227A-4835-94B5-EF750C738C7C}"/>
    <cellStyle name="Ввод  3 13 4 2 3" xfId="26367" xr:uid="{EFCE9546-63FC-497A-B4AD-A438175392B7}"/>
    <cellStyle name="Ввод  3 13 4 2 4" xfId="39443" xr:uid="{C7248F23-F739-4C72-8850-F07EBEF66B8D}"/>
    <cellStyle name="Ввод  3 13 4 3" xfId="11457" xr:uid="{3CD277C3-8D21-432D-90FA-4381D76D5B21}"/>
    <cellStyle name="Ввод  3 13 4 3 2" xfId="28222" xr:uid="{E166BCB0-F072-478A-9AFE-D7A227142487}"/>
    <cellStyle name="Ввод  3 13 4 3 3" xfId="41416" xr:uid="{6E5625E9-2B6E-4267-A23A-6E5E08267EAB}"/>
    <cellStyle name="Ввод  3 13 4 4" xfId="23339" xr:uid="{FFE780E4-8987-4527-9ECC-4743454CE1D5}"/>
    <cellStyle name="Ввод  3 13 4 5" xfId="36420" xr:uid="{F8A26435-4D9B-44B8-AFD6-AA19241A102C}"/>
    <cellStyle name="Ввод  3 13 5" xfId="15547" xr:uid="{A324C80F-4C5E-4284-A900-52209B75D6B9}"/>
    <cellStyle name="Ввод  3 13 5 2" xfId="31680" xr:uid="{242A0462-28A7-43AC-8F6A-21B89986717D}"/>
    <cellStyle name="Ввод  3 13 5 3" xfId="45179" xr:uid="{2E8C448F-E8EE-4284-9E68-2164507C2224}"/>
    <cellStyle name="Ввод  3 13 6" xfId="21601" xr:uid="{D7D15381-BBF6-4560-807D-FD658D8A194B}"/>
    <cellStyle name="Ввод  3 13 7" xfId="34655" xr:uid="{E8EE336D-BF17-452E-A189-45F7C52DE08A}"/>
    <cellStyle name="Ввод  3 14" xfId="3821" xr:uid="{2692C20A-6E67-417B-B313-4DBF89D6062B}"/>
    <cellStyle name="Ввод  3 14 2" xfId="3083" xr:uid="{174E32AC-009D-434A-927D-D4ABD1DFFB9E}"/>
    <cellStyle name="Ввод  3 14 2 2" xfId="8375" xr:uid="{09DC7022-417D-4E6C-81F7-07393E158BFD}"/>
    <cellStyle name="Ввод  3 14 2 2 2" xfId="10786" xr:uid="{2AFFF293-AA97-4643-AAF8-EE81EA24E280}"/>
    <cellStyle name="Ввод  3 14 2 2 2 2" xfId="27620" xr:uid="{9805CF1C-8AD8-4AC7-B401-F326E68FCAAE}"/>
    <cellStyle name="Ввод  3 14 2 2 2 3" xfId="40767" xr:uid="{4CE21D9A-0B6A-4E82-962D-929E1E47F2CA}"/>
    <cellStyle name="Ввод  3 14 2 2 3" xfId="25879" xr:uid="{734E96D7-0494-4B4A-A946-9CF7855759CB}"/>
    <cellStyle name="Ввод  3 14 2 2 4" xfId="38955" xr:uid="{6DD01C7C-5175-43F7-B2D7-E15DBDF32F91}"/>
    <cellStyle name="Ввод  3 14 2 3" xfId="6742" xr:uid="{0E85E9BE-1370-4EAF-9326-E512DF62C742}"/>
    <cellStyle name="Ввод  3 14 2 3 2" xfId="17187" xr:uid="{DF5F0148-FD51-420C-9B68-25D0BE879246}"/>
    <cellStyle name="Ввод  3 14 2 3 2 2" xfId="32950" xr:uid="{5E694350-F8FB-40E6-9572-74E22C159FF6}"/>
    <cellStyle name="Ввод  3 14 2 3 2 3" xfId="46722" xr:uid="{FB1513A4-B785-4588-9A5D-1F36F941D397}"/>
    <cellStyle name="Ввод  3 14 2 3 3" xfId="24370" xr:uid="{FBE5F6EB-C07B-436D-B144-27EF0D678221}"/>
    <cellStyle name="Ввод  3 14 2 3 4" xfId="37451" xr:uid="{D1EC5888-2D17-4D9D-B7E3-68760867B335}"/>
    <cellStyle name="Ввод  3 14 2 4" xfId="12880" xr:uid="{6A4EAD6D-63B6-401F-A9BA-8EF4DEA7815D}"/>
    <cellStyle name="Ввод  3 14 2 4 2" xfId="29439" xr:uid="{DDDE84F7-4098-4CEF-A92D-52D8CB4D79AA}"/>
    <cellStyle name="Ввод  3 14 2 4 3" xfId="42728" xr:uid="{1EF9A82B-B56B-490D-8CFF-96090FABE183}"/>
    <cellStyle name="Ввод  3 14 2 5" xfId="21122" xr:uid="{8A7030BC-9376-4627-AEA4-FA3882E7FA44}"/>
    <cellStyle name="Ввод  3 14 2 6" xfId="34145" xr:uid="{EAB056BA-68C8-4EDE-A27E-226937977608}"/>
    <cellStyle name="Ввод  3 14 3" xfId="4767" xr:uid="{7E35EC17-E43D-404D-B163-0AB954A7B015}"/>
    <cellStyle name="Ввод  3 14 3 2" xfId="7408" xr:uid="{6BFDAC8D-E19E-47C1-8C56-9F89BBCB5218}"/>
    <cellStyle name="Ввод  3 14 3 2 2" xfId="11328" xr:uid="{EAC88E50-4DC0-40C7-B18B-094AA33BC561}"/>
    <cellStyle name="Ввод  3 14 3 2 2 2" xfId="28107" xr:uid="{55129B58-57AC-49D1-9D0B-DD7FD6ADB277}"/>
    <cellStyle name="Ввод  3 14 3 2 2 3" xfId="41295" xr:uid="{848D7B5C-33CB-4EE7-9E32-F3211909FE83}"/>
    <cellStyle name="Ввод  3 14 3 2 3" xfId="24967" xr:uid="{623ABE0B-7D53-4988-BD62-095AEE9E8948}"/>
    <cellStyle name="Ввод  3 14 3 2 4" xfId="38043" xr:uid="{75726CE0-64C3-40B3-A685-91358FF78552}"/>
    <cellStyle name="Ввод  3 14 3 3" xfId="13324" xr:uid="{D8AB4E6C-9128-44BD-95FC-25516BF4C47C}"/>
    <cellStyle name="Ввод  3 14 3 3 2" xfId="29807" xr:uid="{82BD7B59-C867-4DEA-87B6-E7451FF4EA30}"/>
    <cellStyle name="Ввод  3 14 3 3 3" xfId="43138" xr:uid="{D6D57538-9989-4A76-9DFE-11BBB04EA026}"/>
    <cellStyle name="Ввод  3 14 3 4" xfId="22570" xr:uid="{D4B891B5-A1BB-4669-9B82-083E78990FBA}"/>
    <cellStyle name="Ввод  3 14 3 5" xfId="35623" xr:uid="{F21913EF-A1C9-4E7F-B278-7D993203D3B7}"/>
    <cellStyle name="Ввод  3 14 4" xfId="5793" xr:uid="{41883BF4-B1BD-40D6-A054-136BCE7CECE2}"/>
    <cellStyle name="Ввод  3 14 4 2" xfId="8953" xr:uid="{A65B10DB-3C1E-4732-A778-DD444C324233}"/>
    <cellStyle name="Ввод  3 14 4 2 2" xfId="13614" xr:uid="{2CA81686-695C-4037-81CE-4D478F29EECB}"/>
    <cellStyle name="Ввод  3 14 4 2 2 2" xfId="30052" xr:uid="{3F1A2B1C-53E9-4F24-89AA-71E1B9AB2E3D}"/>
    <cellStyle name="Ввод  3 14 4 2 2 3" xfId="43405" xr:uid="{476F9DE8-4358-4036-8A36-DD282FB63B50}"/>
    <cellStyle name="Ввод  3 14 4 2 3" xfId="26439" xr:uid="{3D703CF0-C6C8-4EC6-8899-FEC7E58EF98F}"/>
    <cellStyle name="Ввод  3 14 4 2 4" xfId="39515" xr:uid="{95470BE7-6E09-432A-A58D-15E2AB2CB97A}"/>
    <cellStyle name="Ввод  3 14 4 3" xfId="16069" xr:uid="{518D5A39-8E41-49D4-833D-287CA092C2E0}"/>
    <cellStyle name="Ввод  3 14 4 3 2" xfId="32129" xr:uid="{E0755A01-5C16-47AD-9490-B9C2A0C336BE}"/>
    <cellStyle name="Ввод  3 14 4 3 3" xfId="45649" xr:uid="{9F14EB0C-76E4-4B8B-8A42-F98616CC00C6}"/>
    <cellStyle name="Ввод  3 14 4 4" xfId="23440" xr:uid="{E2C44EBE-1A4E-4EC9-905D-D97F74830A07}"/>
    <cellStyle name="Ввод  3 14 4 5" xfId="36521" xr:uid="{F792777C-2CB4-4067-B74B-318C056D3011}"/>
    <cellStyle name="Ввод  3 14 5" xfId="14512" xr:uid="{80A0ED8C-3816-4B77-B39E-03E2A7C530FD}"/>
    <cellStyle name="Ввод  3 14 5 2" xfId="30830" xr:uid="{53C79CAC-5F4B-4E26-A747-376BC8886ECA}"/>
    <cellStyle name="Ввод  3 14 5 3" xfId="44240" xr:uid="{2F520335-EDC8-4B32-B4B2-25A62DE12E27}"/>
    <cellStyle name="Ввод  3 14 6" xfId="21702" xr:uid="{4469F8EE-4796-48A4-9DC8-70EDC64C042A}"/>
    <cellStyle name="Ввод  3 14 7" xfId="34756" xr:uid="{41956BE2-7912-456B-8563-77E85826AF4E}"/>
    <cellStyle name="Ввод  3 15" xfId="3836" xr:uid="{46EF6F76-84E5-4A26-8599-6C9451AEB6A8}"/>
    <cellStyle name="Ввод  3 15 2" xfId="3098" xr:uid="{3D217E1A-56BD-4A92-98A2-4792FD3C3E9B}"/>
    <cellStyle name="Ввод  3 15 2 2" xfId="8390" xr:uid="{2B920DB0-D930-4C02-9D22-BC7D8FC120AC}"/>
    <cellStyle name="Ввод  3 15 2 2 2" xfId="17412" xr:uid="{25C8728D-C984-40B0-AB42-DF0FDCF12823}"/>
    <cellStyle name="Ввод  3 15 2 2 2 2" xfId="33166" xr:uid="{C637E9F9-5FC0-463B-8DC2-CB0C1FBAF514}"/>
    <cellStyle name="Ввод  3 15 2 2 2 3" xfId="46942" xr:uid="{54483DF1-0AE9-4E05-B8BA-C81A5A3CCB86}"/>
    <cellStyle name="Ввод  3 15 2 2 3" xfId="25893" xr:uid="{3F433702-337D-44B3-BC8F-CFFCF55633CA}"/>
    <cellStyle name="Ввод  3 15 2 2 4" xfId="38969" xr:uid="{81A462E0-540E-4437-8E5C-1D7A6EA22E52}"/>
    <cellStyle name="Ввод  3 15 2 3" xfId="6757" xr:uid="{BFF50303-A196-4BC1-8FFA-C16C52B83F53}"/>
    <cellStyle name="Ввод  3 15 2 3 2" xfId="11600" xr:uid="{0D06A26B-8986-4553-B186-6AF76F2832B8}"/>
    <cellStyle name="Ввод  3 15 2 3 2 2" xfId="28349" xr:uid="{FE6982E0-0DD6-4B00-81E5-FB5B83F68A8D}"/>
    <cellStyle name="Ввод  3 15 2 3 2 3" xfId="41550" xr:uid="{E86E7062-A147-48EE-A154-049A7660A7FD}"/>
    <cellStyle name="Ввод  3 15 2 3 3" xfId="24384" xr:uid="{A09E4085-664E-483B-9E06-9C7029BC72AB}"/>
    <cellStyle name="Ввод  3 15 2 3 4" xfId="37465" xr:uid="{AC8CB33F-2AD1-489D-B0D5-7AF1C5B990CA}"/>
    <cellStyle name="Ввод  3 15 2 4" xfId="11908" xr:uid="{30703C78-4AD4-47AE-89F6-7A3743F55BA9}"/>
    <cellStyle name="Ввод  3 15 2 4 2" xfId="28623" xr:uid="{97306262-02EF-41B8-9DE1-0187DED17179}"/>
    <cellStyle name="Ввод  3 15 2 4 3" xfId="41839" xr:uid="{A3F77498-CF53-4C1C-84C6-5E4035382A9B}"/>
    <cellStyle name="Ввод  3 15 2 5" xfId="21136" xr:uid="{F65693A0-4508-4E37-A0A7-76075BEFC181}"/>
    <cellStyle name="Ввод  3 15 2 6" xfId="34159" xr:uid="{A39E85BD-545F-4EBF-8822-FDE399772ABB}"/>
    <cellStyle name="Ввод  3 15 3" xfId="4781" xr:uid="{0B496695-294C-4DB6-BBCF-92F84120924A}"/>
    <cellStyle name="Ввод  3 15 3 2" xfId="7423" xr:uid="{BFE3BFCB-ED79-4E5D-9D96-9C6D81753237}"/>
    <cellStyle name="Ввод  3 15 3 2 2" xfId="11611" xr:uid="{E5443F07-F95C-4538-A92E-E279FE932316}"/>
    <cellStyle name="Ввод  3 15 3 2 2 2" xfId="28358" xr:uid="{89920CA2-D38D-4320-9F9D-A01D145627C7}"/>
    <cellStyle name="Ввод  3 15 3 2 2 3" xfId="41560" xr:uid="{3C308B62-241F-4779-BD6C-4857B2DC02E3}"/>
    <cellStyle name="Ввод  3 15 3 2 3" xfId="24980" xr:uid="{10BD87DC-77AC-4CFC-AAAE-3A6525BD1E23}"/>
    <cellStyle name="Ввод  3 15 3 2 4" xfId="38056" xr:uid="{E4A94EBE-D07D-4325-AF2C-0DF120D35D3F}"/>
    <cellStyle name="Ввод  3 15 3 3" xfId="16307" xr:uid="{FB5D661E-944D-4F79-AD9A-CBA0DC0B1FC5}"/>
    <cellStyle name="Ввод  3 15 3 3 2" xfId="32333" xr:uid="{B4E45235-ACF5-4214-96EC-A3E2BD9F9E96}"/>
    <cellStyle name="Ввод  3 15 3 3 3" xfId="45864" xr:uid="{E365CD56-A798-44B8-9BC1-209F4691C42C}"/>
    <cellStyle name="Ввод  3 15 3 4" xfId="22583" xr:uid="{F55B0C5A-C547-479F-B163-04774582C4CA}"/>
    <cellStyle name="Ввод  3 15 3 5" xfId="35636" xr:uid="{52E2918C-B31D-4800-9612-4C1BA5F64448}"/>
    <cellStyle name="Ввод  3 15 4" xfId="5806" xr:uid="{552B5D6D-4617-430C-BD2C-55AFCF8F467D}"/>
    <cellStyle name="Ввод  3 15 4 2" xfId="8967" xr:uid="{8D23B539-9DF7-46DF-8904-4F7164A09691}"/>
    <cellStyle name="Ввод  3 15 4 2 2" xfId="11654" xr:uid="{44D7B53D-F8B3-4DD5-8AAE-EA6419B4D7A8}"/>
    <cellStyle name="Ввод  3 15 4 2 2 2" xfId="28395" xr:uid="{A4282191-6E54-4855-93AC-5635EDF3134F}"/>
    <cellStyle name="Ввод  3 15 4 2 2 3" xfId="41599" xr:uid="{A1A16246-3D74-4FD3-9F29-EBC84D82087A}"/>
    <cellStyle name="Ввод  3 15 4 2 3" xfId="26452" xr:uid="{3F0EE318-26D8-4AFC-9A18-52D9B221C7FC}"/>
    <cellStyle name="Ввод  3 15 4 2 4" xfId="39528" xr:uid="{73FB6E6F-977D-4848-BB2D-EDB05B3DCF18}"/>
    <cellStyle name="Ввод  3 15 4 3" xfId="16766" xr:uid="{F9ABB895-C6F5-4AF3-8A52-F3DDE770D87D}"/>
    <cellStyle name="Ввод  3 15 4 3 2" xfId="32648" xr:uid="{1616E2E2-0540-40E0-A3EC-7C714BC4B68C}"/>
    <cellStyle name="Ввод  3 15 4 3 3" xfId="46309" xr:uid="{DA18AB97-601F-40C2-B5F5-EB6E85C7B748}"/>
    <cellStyle name="Ввод  3 15 4 4" xfId="23453" xr:uid="{D08B448F-B17B-41A1-993C-70ACB70BC7BC}"/>
    <cellStyle name="Ввод  3 15 4 5" xfId="36534" xr:uid="{202E3D32-1DE4-4934-BEDE-099CCE7C5182}"/>
    <cellStyle name="Ввод  3 15 5" xfId="16703" xr:uid="{D575D4F1-7248-475B-BA1F-EB5735CEF8D0}"/>
    <cellStyle name="Ввод  3 15 5 2" xfId="32588" xr:uid="{AF488527-8620-4AB6-B8C0-1EDAC8C2ADC9}"/>
    <cellStyle name="Ввод  3 15 5 3" xfId="46247" xr:uid="{13120D04-5DA8-4312-BF75-5627E00BC220}"/>
    <cellStyle name="Ввод  3 15 6" xfId="21715" xr:uid="{7CC25A0E-5340-4E41-A19C-A4AA086AC3AC}"/>
    <cellStyle name="Ввод  3 15 7" xfId="34769" xr:uid="{FA453072-140F-432E-A841-561B19EB936F}"/>
    <cellStyle name="Ввод  3 16" xfId="3895" xr:uid="{B6378956-583C-4364-84A5-D956DDE758EA}"/>
    <cellStyle name="Ввод  3 16 2" xfId="3164" xr:uid="{01FA6289-8210-4E8C-A32E-2185E28F7A84}"/>
    <cellStyle name="Ввод  3 16 2 2" xfId="8456" xr:uid="{39219756-AD16-4EEC-B26D-9A79397DB851}"/>
    <cellStyle name="Ввод  3 16 2 2 2" xfId="11006" xr:uid="{A9792FBA-BE17-4CDE-BAC2-60E0F3F5E820}"/>
    <cellStyle name="Ввод  3 16 2 2 2 2" xfId="27813" xr:uid="{3DD3455B-293D-4AD4-B95A-87C137404B6A}"/>
    <cellStyle name="Ввод  3 16 2 2 2 3" xfId="40986" xr:uid="{4E9D7ADA-FC89-4782-8C28-CCCBFE5420EE}"/>
    <cellStyle name="Ввод  3 16 2 2 3" xfId="25958" xr:uid="{C2AACFA2-3F46-4EEF-A161-A0FCFF1602A3}"/>
    <cellStyle name="Ввод  3 16 2 2 4" xfId="39034" xr:uid="{8D6E05C3-372C-4E84-A39A-AAFE5A6018B2}"/>
    <cellStyle name="Ввод  3 16 2 3" xfId="6823" xr:uid="{4CC31428-907F-4E7B-B845-7B7157310D33}"/>
    <cellStyle name="Ввод  3 16 2 3 2" xfId="16786" xr:uid="{D1D26A8C-4A2F-436B-A58C-329D4C760672}"/>
    <cellStyle name="Ввод  3 16 2 3 2 2" xfId="32667" xr:uid="{C74084B2-918A-4290-AC42-631DFB8EC1AB}"/>
    <cellStyle name="Ввод  3 16 2 3 2 3" xfId="46329" xr:uid="{7830EE54-FCBE-48AC-B527-429A7EDD0FD4}"/>
    <cellStyle name="Ввод  3 16 2 3 3" xfId="24449" xr:uid="{EFF5A1ED-06EC-42C7-8D24-24D62A368809}"/>
    <cellStyle name="Ввод  3 16 2 3 4" xfId="37530" xr:uid="{FAD02D63-DC6C-46DC-B13B-0A979E5DF9F9}"/>
    <cellStyle name="Ввод  3 16 2 4" xfId="17188" xr:uid="{26CA8BCB-ED6A-438D-9F0F-F4E04F8286D3}"/>
    <cellStyle name="Ввод  3 16 2 4 2" xfId="32951" xr:uid="{91527813-3066-4B1F-99E0-E56E6F5E192E}"/>
    <cellStyle name="Ввод  3 16 2 4 3" xfId="46723" xr:uid="{AB319739-42E5-42C7-8A23-9373B1F6BB11}"/>
    <cellStyle name="Ввод  3 16 2 5" xfId="21201" xr:uid="{CC2CFAD3-DE15-4EA3-922F-4074D1354CEB}"/>
    <cellStyle name="Ввод  3 16 2 6" xfId="34224" xr:uid="{1671CAD7-DF20-4309-ABB3-59A79EA0FB22}"/>
    <cellStyle name="Ввод  3 16 3" xfId="4832" xr:uid="{E2A0393C-7B4E-4FD6-99DF-8F5438594A41}"/>
    <cellStyle name="Ввод  3 16 3 2" xfId="7476" xr:uid="{9AA1D7E5-4C1B-43D8-B7F6-11E35A810277}"/>
    <cellStyle name="Ввод  3 16 3 2 2" xfId="13463" xr:uid="{0BDD2874-6B49-4959-8AC1-8F32ABBBAACE}"/>
    <cellStyle name="Ввод  3 16 3 2 2 2" xfId="29926" xr:uid="{0F56E0F5-7884-475D-8D7D-3AF25191BF0A}"/>
    <cellStyle name="Ввод  3 16 3 2 2 3" xfId="43265" xr:uid="{AD55296A-2EE1-4E38-9516-2DAD448BF105}"/>
    <cellStyle name="Ввод  3 16 3 2 3" xfId="25033" xr:uid="{4E5C447B-C68B-4000-9CD2-9F0DE6C942E6}"/>
    <cellStyle name="Ввод  3 16 3 2 4" xfId="38109" xr:uid="{81D88EE8-3853-4617-A627-27C990AF84EC}"/>
    <cellStyle name="Ввод  3 16 3 3" xfId="11513" xr:uid="{2634323F-688E-4F6B-B5E9-E9984AF2F1D4}"/>
    <cellStyle name="Ввод  3 16 3 3 2" xfId="28272" xr:uid="{79AB14E7-BCD4-4453-975D-E9BD9B62CC2A}"/>
    <cellStyle name="Ввод  3 16 3 3 3" xfId="41469" xr:uid="{EE305C3C-EAE3-41CD-8A94-F4F64B627F89}"/>
    <cellStyle name="Ввод  3 16 3 4" xfId="22634" xr:uid="{E09E862B-EA28-49DA-8984-53121709FFBB}"/>
    <cellStyle name="Ввод  3 16 3 5" xfId="35687" xr:uid="{1993E2E2-A2C3-44EB-8130-E92E1195C446}"/>
    <cellStyle name="Ввод  3 16 4" xfId="5859" xr:uid="{8C46B7C1-554A-4DEC-B16D-2F6254FC3E73}"/>
    <cellStyle name="Ввод  3 16 4 2" xfId="9017" xr:uid="{3129D78D-D4A4-4651-9450-CF081BC35180}"/>
    <cellStyle name="Ввод  3 16 4 2 2" xfId="14423" xr:uid="{F8A0E210-9CE0-4756-8790-9BEF713A19B8}"/>
    <cellStyle name="Ввод  3 16 4 2 2 2" xfId="30753" xr:uid="{6AD75564-E640-4B79-96ED-2007AE3CBD2D}"/>
    <cellStyle name="Ввод  3 16 4 2 2 3" xfId="44153" xr:uid="{6ED26706-57C4-437E-BECD-FDC7113F2E87}"/>
    <cellStyle name="Ввод  3 16 4 2 3" xfId="26502" xr:uid="{180EB41D-7137-452E-B8BF-A05366792462}"/>
    <cellStyle name="Ввод  3 16 4 2 4" xfId="39578" xr:uid="{9EBB30EE-C439-4F00-B8AB-2CBED4F208A8}"/>
    <cellStyle name="Ввод  3 16 4 3" xfId="14741" xr:uid="{0BF3964C-F769-4D04-A26F-6C630ED42486}"/>
    <cellStyle name="Ввод  3 16 4 3 2" xfId="31021" xr:uid="{69F7BFC0-CED9-46AE-AE65-AF7C6DF7A787}"/>
    <cellStyle name="Ввод  3 16 4 3 3" xfId="44446" xr:uid="{71EA81F2-5DDA-4468-9280-E184C59AD453}"/>
    <cellStyle name="Ввод  3 16 4 4" xfId="23506" xr:uid="{D6C2A88B-29C7-472F-AC12-A5A284F34E75}"/>
    <cellStyle name="Ввод  3 16 4 5" xfId="36587" xr:uid="{70D3B2E6-30BD-472A-ACB3-606863689F4E}"/>
    <cellStyle name="Ввод  3 16 5" xfId="10810" xr:uid="{CC07AF35-8CD1-4D33-B91A-B6516B92ED33}"/>
    <cellStyle name="Ввод  3 16 5 2" xfId="27643" xr:uid="{ADB6207E-F48C-4065-BD25-88B2E0E3FE96}"/>
    <cellStyle name="Ввод  3 16 5 3" xfId="40791" xr:uid="{9F66BA34-34D3-45C9-8A3E-0B0E0208B666}"/>
    <cellStyle name="Ввод  3 16 6" xfId="21771" xr:uid="{875FA94B-D10C-4E2F-A70B-5323AE40DD9A}"/>
    <cellStyle name="Ввод  3 16 7" xfId="34822" xr:uid="{81B6D117-63A4-46A2-8039-7F788CE8EB40}"/>
    <cellStyle name="Ввод  3 17" xfId="3968" xr:uid="{96E018E7-1336-4DAB-A4EA-FF43A36A15CE}"/>
    <cellStyle name="Ввод  3 17 2" xfId="3262" xr:uid="{4FF69AFC-AB83-4F78-A7D5-59A07ED3BFC5}"/>
    <cellStyle name="Ввод  3 17 2 2" xfId="8547" xr:uid="{E4566C9D-3C9E-4AE6-947C-3888EE3E222D}"/>
    <cellStyle name="Ввод  3 17 2 2 2" xfId="17423" xr:uid="{A3C3A426-57A4-4C50-88C4-5D2690E9BDBE}"/>
    <cellStyle name="Ввод  3 17 2 2 2 2" xfId="33177" xr:uid="{AA888045-D0E6-426D-A9A7-D5F93D74C8D6}"/>
    <cellStyle name="Ввод  3 17 2 2 2 3" xfId="46953" xr:uid="{DD9FB14B-D5D6-4FC3-A163-A4D008AAD377}"/>
    <cellStyle name="Ввод  3 17 2 2 3" xfId="26046" xr:uid="{F39823CE-6C33-407D-A631-B96883793802}"/>
    <cellStyle name="Ввод  3 17 2 2 4" xfId="39122" xr:uid="{B148EC8D-3C66-48C5-96DA-888BA8FE0147}"/>
    <cellStyle name="Ввод  3 17 2 3" xfId="6920" xr:uid="{229029AE-ADBD-45D8-82DF-249BC6F99D61}"/>
    <cellStyle name="Ввод  3 17 2 3 2" xfId="10901" xr:uid="{64FFF088-675A-4CD2-A5E1-D33700D6E117}"/>
    <cellStyle name="Ввод  3 17 2 3 2 2" xfId="27722" xr:uid="{6F83C51A-DF06-40A3-9E82-C0929A26270F}"/>
    <cellStyle name="Ввод  3 17 2 3 2 3" xfId="40881" xr:uid="{889C706B-59F8-4E1E-8F81-BC4B0E5DF6AF}"/>
    <cellStyle name="Ввод  3 17 2 3 3" xfId="24543" xr:uid="{FF9D2AD8-A02E-4CD3-9E1A-8FF42861823D}"/>
    <cellStyle name="Ввод  3 17 2 3 4" xfId="37624" xr:uid="{2D4D176D-B20C-4BC5-AA81-B13F731EEC47}"/>
    <cellStyle name="Ввод  3 17 2 4" xfId="11103" xr:uid="{52718C7B-251B-4C8D-8D35-BD2C5645D60A}"/>
    <cellStyle name="Ввод  3 17 2 4 2" xfId="27904" xr:uid="{9739773A-9946-4C78-9244-C35A5878A24E}"/>
    <cellStyle name="Ввод  3 17 2 4 3" xfId="41082" xr:uid="{CFA23E56-78E3-4C68-BA4C-9B07A13A11AA}"/>
    <cellStyle name="Ввод  3 17 2 5" xfId="21295" xr:uid="{44D2C1F5-8A4C-488F-9E3D-5A77B7A2A87A}"/>
    <cellStyle name="Ввод  3 17 2 6" xfId="34318" xr:uid="{A01165E6-8A94-418E-ABBE-83334E254F26}"/>
    <cellStyle name="Ввод  3 17 3" xfId="4880" xr:uid="{02233CEA-813F-4DAF-A4E2-9DDF452383DD}"/>
    <cellStyle name="Ввод  3 17 3 2" xfId="7548" xr:uid="{BD5DDAB7-A629-4067-B54D-FC8CF0639C90}"/>
    <cellStyle name="Ввод  3 17 3 2 2" xfId="17162" xr:uid="{93EC3F0D-FBBB-4D15-97AB-877F9AB0883C}"/>
    <cellStyle name="Ввод  3 17 3 2 2 2" xfId="32925" xr:uid="{E29EEE2E-0668-48A2-8484-25270E7B99B2}"/>
    <cellStyle name="Ввод  3 17 3 2 2 3" xfId="46697" xr:uid="{0ECC7EDD-4358-4D4F-ACAD-9669D5260FA7}"/>
    <cellStyle name="Ввод  3 17 3 2 3" xfId="25076" xr:uid="{AB092441-0F03-4734-8B50-FA3DA0E73BDB}"/>
    <cellStyle name="Ввод  3 17 3 2 4" xfId="38152" xr:uid="{78B2F94B-AFD0-4712-81C8-6CC19535CA30}"/>
    <cellStyle name="Ввод  3 17 3 3" xfId="16003" xr:uid="{28EC211E-76D1-4B71-80B6-8984A37231E9}"/>
    <cellStyle name="Ввод  3 17 3 3 2" xfId="32074" xr:uid="{8A06D4F4-3775-4E76-95A1-EF77DCC45CB1}"/>
    <cellStyle name="Ввод  3 17 3 3 3" xfId="45593" xr:uid="{D4A3D42A-D48A-4DC3-9F6C-38B90C4671D2}"/>
    <cellStyle name="Ввод  3 17 3 4" xfId="22677" xr:uid="{E39E7087-3524-4EC8-83D1-79B20DFECFBE}"/>
    <cellStyle name="Ввод  3 17 3 5" xfId="35730" xr:uid="{5B897F1F-68E5-4BD8-8F5F-4729223894F8}"/>
    <cellStyle name="Ввод  3 17 4" xfId="5902" xr:uid="{F55360DD-B25D-4C92-8C6F-2FF6216525EA}"/>
    <cellStyle name="Ввод  3 17 4 2" xfId="9062" xr:uid="{44562E10-3829-40A9-AAA2-D5EF12C09007}"/>
    <cellStyle name="Ввод  3 17 4 2 2" xfId="11825" xr:uid="{892F34DB-3F92-4405-8307-E713CAD1AB04}"/>
    <cellStyle name="Ввод  3 17 4 2 2 2" xfId="28545" xr:uid="{44E09DAD-F75C-416E-BB58-891D40F64AA0}"/>
    <cellStyle name="Ввод  3 17 4 2 2 3" xfId="41758" xr:uid="{98E846CC-F73F-41D3-AE27-E2A54DB87227}"/>
    <cellStyle name="Ввод  3 17 4 2 3" xfId="26543" xr:uid="{A5F4EC32-96EC-46AA-9C0B-EEC048740899}"/>
    <cellStyle name="Ввод  3 17 4 2 4" xfId="39619" xr:uid="{996DB3E2-DDC8-43EA-9ADB-252911070606}"/>
    <cellStyle name="Ввод  3 17 4 3" xfId="14975" xr:uid="{0DB1959D-E0E1-4AA9-A2F6-46C2ECF8A062}"/>
    <cellStyle name="Ввод  3 17 4 3 2" xfId="31211" xr:uid="{BB6014C1-2892-45E0-84DC-8AFE78B54207}"/>
    <cellStyle name="Ввод  3 17 4 3 3" xfId="44659" xr:uid="{33C11E33-1ADB-4E0F-8DD0-3F3C45BB27C6}"/>
    <cellStyle name="Ввод  3 17 4 4" xfId="23549" xr:uid="{9A6A38A8-CCEF-4D44-A4AE-9662EE21B13F}"/>
    <cellStyle name="Ввод  3 17 4 5" xfId="36630" xr:uid="{02BC8D1A-A40B-41DD-90E5-57598A09754A}"/>
    <cellStyle name="Ввод  3 17 5" xfId="14424" xr:uid="{E0E0FC45-3D32-47CD-9731-0E5DE4C31887}"/>
    <cellStyle name="Ввод  3 17 5 2" xfId="30754" xr:uid="{E78F85D8-EA5D-4B43-9357-A414E756F54D}"/>
    <cellStyle name="Ввод  3 17 5 3" xfId="44154" xr:uid="{11AB9279-4D0D-441E-9E82-65A5C11D01C8}"/>
    <cellStyle name="Ввод  3 17 6" xfId="21815" xr:uid="{10649C44-6D20-46BE-98C3-171254A731EB}"/>
    <cellStyle name="Ввод  3 17 7" xfId="34865" xr:uid="{CE4F4157-A6A4-43CB-8930-E6A537CDBB1B}"/>
    <cellStyle name="Ввод  3 18" xfId="3852" xr:uid="{CBB3581D-A238-4FB1-8F73-BF761E955B8E}"/>
    <cellStyle name="Ввод  3 18 2" xfId="3117" xr:uid="{998D122A-EBDB-4241-ADBF-4D3D083A32F4}"/>
    <cellStyle name="Ввод  3 18 2 2" xfId="8409" xr:uid="{46CF1FA1-B4F6-4768-A248-C1DA44F951BB}"/>
    <cellStyle name="Ввод  3 18 2 2 2" xfId="17414" xr:uid="{09560F53-B49D-43EC-9615-FAC14D9C7B4E}"/>
    <cellStyle name="Ввод  3 18 2 2 2 2" xfId="33168" xr:uid="{85495E49-6BAE-4D27-AC0C-A78A35C2901F}"/>
    <cellStyle name="Ввод  3 18 2 2 2 3" xfId="46944" xr:uid="{F4E0D004-1A78-4FE0-991A-7D799AB712B4}"/>
    <cellStyle name="Ввод  3 18 2 2 3" xfId="25911" xr:uid="{69E41D3C-4360-4E10-8110-C4B756D1858B}"/>
    <cellStyle name="Ввод  3 18 2 2 4" xfId="38987" xr:uid="{2786E18C-10E2-4008-B453-A31DA2848847}"/>
    <cellStyle name="Ввод  3 18 2 3" xfId="6776" xr:uid="{24D8A893-399D-4371-93B7-4B08F1388AAC}"/>
    <cellStyle name="Ввод  3 18 2 3 2" xfId="16807" xr:uid="{CC54556A-7928-44F8-9C01-1FCA34263421}"/>
    <cellStyle name="Ввод  3 18 2 3 2 2" xfId="32687" xr:uid="{BDCE9B54-CA5F-4726-B659-EF77B5DCFB80}"/>
    <cellStyle name="Ввод  3 18 2 3 2 3" xfId="46350" xr:uid="{07892972-06F0-48E8-ADD3-58155CB34D5A}"/>
    <cellStyle name="Ввод  3 18 2 3 3" xfId="24402" xr:uid="{378B6BF8-6166-4EAB-8223-56F662141850}"/>
    <cellStyle name="Ввод  3 18 2 3 4" xfId="37483" xr:uid="{004BC8BE-A3A2-4519-96FC-FB44D87D5420}"/>
    <cellStyle name="Ввод  3 18 2 4" xfId="13553" xr:uid="{222D94F3-6A9D-4E14-ABFD-7EF9EBB4F5ED}"/>
    <cellStyle name="Ввод  3 18 2 4 2" xfId="29998" xr:uid="{6717B2F7-0DFA-4203-96DB-F68FB140366F}"/>
    <cellStyle name="Ввод  3 18 2 4 3" xfId="43347" xr:uid="{A9DCA601-9F18-45BF-A54F-16EEB3C8D392}"/>
    <cellStyle name="Ввод  3 18 2 5" xfId="21154" xr:uid="{0AECBC45-3304-4010-9B22-F10156D3DD00}"/>
    <cellStyle name="Ввод  3 18 2 6" xfId="34177" xr:uid="{B6ECDAC1-7F35-48E3-9578-B954E9B39F3A}"/>
    <cellStyle name="Ввод  3 18 3" xfId="4796" xr:uid="{84C96006-9B07-466F-8D87-893ECE74A652}"/>
    <cellStyle name="Ввод  3 18 3 2" xfId="7438" xr:uid="{8BD5E615-4AF9-4538-B3C2-BAB533AA04B4}"/>
    <cellStyle name="Ввод  3 18 3 2 2" xfId="14663" xr:uid="{D981ECAE-E991-4532-A52B-FBD829006951}"/>
    <cellStyle name="Ввод  3 18 3 2 2 2" xfId="30957" xr:uid="{20444D2F-79F5-4AF3-BBA9-47F076A0E75B}"/>
    <cellStyle name="Ввод  3 18 3 2 2 3" xfId="44378" xr:uid="{5C6DE558-9055-4DF7-993D-89C0341D8099}"/>
    <cellStyle name="Ввод  3 18 3 2 3" xfId="24995" xr:uid="{FB0AC4FD-6A9A-448A-94FD-9F6C2E7E6697}"/>
    <cellStyle name="Ввод  3 18 3 2 4" xfId="38071" xr:uid="{2ABCBFC2-0405-4F68-B3A4-0FC3C38C5C83}"/>
    <cellStyle name="Ввод  3 18 3 3" xfId="10765" xr:uid="{CE897E95-43C8-4FEF-93D9-EA8CC6FE900D}"/>
    <cellStyle name="Ввод  3 18 3 3 2" xfId="27600" xr:uid="{FA9F21A4-905A-4160-8EE0-FDD844C94E02}"/>
    <cellStyle name="Ввод  3 18 3 3 3" xfId="40746" xr:uid="{169B2E7F-7A2A-4A94-8018-195B95FB786C}"/>
    <cellStyle name="Ввод  3 18 3 4" xfId="22598" xr:uid="{B6208278-40B8-4F21-B7A3-D2DE42C3BCA0}"/>
    <cellStyle name="Ввод  3 18 3 5" xfId="35651" xr:uid="{3C7AFEFF-8F62-4983-A48A-C0DD0EC57F32}"/>
    <cellStyle name="Ввод  3 18 4" xfId="5821" xr:uid="{3479CF02-A365-4E23-8965-9358D6A2766A}"/>
    <cellStyle name="Ввод  3 18 4 2" xfId="8982" xr:uid="{75880B87-C589-4C25-AF1D-B2404A046167}"/>
    <cellStyle name="Ввод  3 18 4 2 2" xfId="15217" xr:uid="{86318ED0-221A-45DB-A28D-CF9F9F93D0FA}"/>
    <cellStyle name="Ввод  3 18 4 2 2 2" xfId="31396" xr:uid="{B0CC91B5-4D99-43A4-BE91-C767A988ECB6}"/>
    <cellStyle name="Ввод  3 18 4 2 2 3" xfId="44869" xr:uid="{6BCFA496-ECD7-4E09-A687-274196C40D15}"/>
    <cellStyle name="Ввод  3 18 4 2 3" xfId="26467" xr:uid="{46933EB5-CEE5-4FD1-8E7F-B16D30926205}"/>
    <cellStyle name="Ввод  3 18 4 2 4" xfId="39543" xr:uid="{4D343E1C-188C-4C56-8C97-5F16155534A2}"/>
    <cellStyle name="Ввод  3 18 4 3" xfId="14446" xr:uid="{A158B8AF-AF18-4FB7-8C04-46E8CED68B8E}"/>
    <cellStyle name="Ввод  3 18 4 3 2" xfId="30774" xr:uid="{C7234E4D-E8EF-4EBF-BCF4-242A301D4042}"/>
    <cellStyle name="Ввод  3 18 4 3 3" xfId="44175" xr:uid="{561CAF7F-927B-44FC-85F6-0CE0E0D59E43}"/>
    <cellStyle name="Ввод  3 18 4 4" xfId="23468" xr:uid="{74F11380-AD9B-48B1-9E74-97767150F414}"/>
    <cellStyle name="Ввод  3 18 4 5" xfId="36549" xr:uid="{C8DE68ED-613B-48A6-B734-8AE36A6C9A4C}"/>
    <cellStyle name="Ввод  3 18 5" xfId="14100" xr:uid="{98624627-C973-475E-8A88-AD72F1E36E6D}"/>
    <cellStyle name="Ввод  3 18 5 2" xfId="30467" xr:uid="{3F818C48-D47C-4B2D-9F63-6004BB6FD44A}"/>
    <cellStyle name="Ввод  3 18 5 3" xfId="43850" xr:uid="{B4AE915E-CB4E-430D-9440-4840C356A96F}"/>
    <cellStyle name="Ввод  3 18 6" xfId="21730" xr:uid="{E678C81B-B552-4CE3-AB6C-A0F5FCD77B32}"/>
    <cellStyle name="Ввод  3 18 7" xfId="34784" xr:uid="{62DD8661-6C11-4B54-B578-DB523C5FDE00}"/>
    <cellStyle name="Ввод  3 19" xfId="3980" xr:uid="{8FF0C63F-C9CC-489F-83B6-E9ACD7519D0E}"/>
    <cellStyle name="Ввод  3 19 2" xfId="3220" xr:uid="{F62C96CA-EC2D-4F53-92F2-236D66986409}"/>
    <cellStyle name="Ввод  3 19 2 2" xfId="8511" xr:uid="{4CB33E96-F795-4AEE-ADF0-53D47C996D5A}"/>
    <cellStyle name="Ввод  3 19 2 2 2" xfId="10829" xr:uid="{FD4FFE94-0F3C-41B0-AB4D-B45935C3C007}"/>
    <cellStyle name="Ввод  3 19 2 2 2 2" xfId="27660" xr:uid="{81E6E99A-E810-4BEB-A50D-DCF6AE04B9D7}"/>
    <cellStyle name="Ввод  3 19 2 2 2 3" xfId="40810" xr:uid="{9E0BC7C1-EB2A-4698-8CDF-073383CA833F}"/>
    <cellStyle name="Ввод  3 19 2 2 3" xfId="26010" xr:uid="{80A8B95C-147A-47CB-9D7D-3A15A2321146}"/>
    <cellStyle name="Ввод  3 19 2 2 4" xfId="39086" xr:uid="{FE9E5ABF-9D6C-477F-A2A0-1B5CE9EAF66C}"/>
    <cellStyle name="Ввод  3 19 2 3" xfId="6879" xr:uid="{F2A1F846-59F6-4DB6-85D7-84AEB8137333}"/>
    <cellStyle name="Ввод  3 19 2 3 2" xfId="11760" xr:uid="{E8EE671C-FA8F-4528-BF6B-DB84C4EB47DE}"/>
    <cellStyle name="Ввод  3 19 2 3 2 2" xfId="28485" xr:uid="{D52AC3A5-C815-4312-ABD6-DCC94532FB29}"/>
    <cellStyle name="Ввод  3 19 2 3 2 3" xfId="41696" xr:uid="{3BE57F47-0A17-45AE-8AEC-8D870945F85E}"/>
    <cellStyle name="Ввод  3 19 2 3 3" xfId="24502" xr:uid="{A600D52F-DCA6-4913-9B65-29E0E454F936}"/>
    <cellStyle name="Ввод  3 19 2 3 4" xfId="37583" xr:uid="{226D743F-79D2-4EC6-B803-C86165DF3D84}"/>
    <cellStyle name="Ввод  3 19 2 4" xfId="17548" xr:uid="{E5B69B05-44C4-40BC-8594-31E641C3BDF3}"/>
    <cellStyle name="Ввод  3 19 2 4 2" xfId="33286" xr:uid="{D0D4DDE7-9FEB-4450-A3AA-D2BCA36A40F7}"/>
    <cellStyle name="Ввод  3 19 2 4 3" xfId="47073" xr:uid="{0566E187-71EA-40C4-BBC7-CBDCD096DCFC}"/>
    <cellStyle name="Ввод  3 19 2 5" xfId="21254" xr:uid="{FDAB032C-E89E-4677-8C01-08C304A7044D}"/>
    <cellStyle name="Ввод  3 19 2 6" xfId="34277" xr:uid="{EEA8827D-21A8-47B1-B242-4A46CC6D22D6}"/>
    <cellStyle name="Ввод  3 19 3" xfId="4892" xr:uid="{A6D64401-275B-4127-B3C8-CB9F4EB9F437}"/>
    <cellStyle name="Ввод  3 19 3 2" xfId="7560" xr:uid="{E95CF35D-A196-4927-BE86-B0A5B32A4A5B}"/>
    <cellStyle name="Ввод  3 19 3 2 2" xfId="12274" xr:uid="{53B87EAC-06B6-4380-8D5B-C3DEF991DD04}"/>
    <cellStyle name="Ввод  3 19 3 2 2 2" xfId="28952" xr:uid="{5D8106E0-836E-435A-8E6D-E356AEF01E03}"/>
    <cellStyle name="Ввод  3 19 3 2 2 3" xfId="42186" xr:uid="{D0BF29BF-2302-49F0-833A-E59389553A80}"/>
    <cellStyle name="Ввод  3 19 3 2 3" xfId="25088" xr:uid="{3113A98A-4747-485B-BEDE-45259C704E58}"/>
    <cellStyle name="Ввод  3 19 3 2 4" xfId="38164" xr:uid="{8539E510-C1E9-4667-9D60-7210A66C0246}"/>
    <cellStyle name="Ввод  3 19 3 3" xfId="13793" xr:uid="{60AAD3AA-ACFB-454C-B7EC-71862C6F6970}"/>
    <cellStyle name="Ввод  3 19 3 3 2" xfId="30199" xr:uid="{2073C694-3D3D-4F83-BDC2-A9D929462453}"/>
    <cellStyle name="Ввод  3 19 3 3 3" xfId="43565" xr:uid="{DE9A4162-0CBE-4505-A68B-0E6734E41627}"/>
    <cellStyle name="Ввод  3 19 3 4" xfId="22689" xr:uid="{56B49F9C-4446-4815-B398-35979B2BB7AB}"/>
    <cellStyle name="Ввод  3 19 3 5" xfId="35742" xr:uid="{2A7ACA29-E540-4827-968D-A80D7853F56C}"/>
    <cellStyle name="Ввод  3 19 4" xfId="5914" xr:uid="{622FF625-8041-4FB3-AD90-B29DCBDA72CF}"/>
    <cellStyle name="Ввод  3 19 4 2" xfId="9074" xr:uid="{8451840B-A303-4FF2-8E5B-D820DA699591}"/>
    <cellStyle name="Ввод  3 19 4 2 2" xfId="12172" xr:uid="{5E423FAE-8232-40F7-B361-D5EE5498EADE}"/>
    <cellStyle name="Ввод  3 19 4 2 2 2" xfId="28867" xr:uid="{06E41BE3-B724-486C-853A-7A3A9B369169}"/>
    <cellStyle name="Ввод  3 19 4 2 2 3" xfId="42092" xr:uid="{E0BDF3F2-91FB-47CF-9FD4-347734808A09}"/>
    <cellStyle name="Ввод  3 19 4 2 3" xfId="26555" xr:uid="{0B752576-4276-4ADD-8FFA-E533470C6189}"/>
    <cellStyle name="Ввод  3 19 4 2 4" xfId="39631" xr:uid="{8014D9DC-7943-48B3-A1ED-22C98D172868}"/>
    <cellStyle name="Ввод  3 19 4 3" xfId="14679" xr:uid="{8E47EACD-36F5-44A3-8009-A2D977DF0D51}"/>
    <cellStyle name="Ввод  3 19 4 3 2" xfId="30972" xr:uid="{A5F40023-2BE4-4140-8264-28ED6CB68B05}"/>
    <cellStyle name="Ввод  3 19 4 3 3" xfId="44393" xr:uid="{CE1C12D8-5F3B-464A-9FD1-B86247721F05}"/>
    <cellStyle name="Ввод  3 19 4 4" xfId="23561" xr:uid="{74C338D6-40C9-4143-B96A-B6DF92AD7681}"/>
    <cellStyle name="Ввод  3 19 4 5" xfId="36642" xr:uid="{06FF93A4-73E2-4DEB-8298-9F61D8D8F70A}"/>
    <cellStyle name="Ввод  3 19 5" xfId="11447" xr:uid="{CAE00196-82E6-4AE6-956A-DD6563BEA33D}"/>
    <cellStyle name="Ввод  3 19 5 2" xfId="28212" xr:uid="{971A3C31-1A67-4093-88BB-D0C62301783A}"/>
    <cellStyle name="Ввод  3 19 5 3" xfId="41406" xr:uid="{F5DA9013-2DD3-4A0C-BA20-C6B3F7B8CE81}"/>
    <cellStyle name="Ввод  3 19 6" xfId="21827" xr:uid="{5775D18B-6B16-411E-B046-93F928F4FDD7}"/>
    <cellStyle name="Ввод  3 19 7" xfId="34877" xr:uid="{33182479-9071-4F16-A112-1CEAEA647CE8}"/>
    <cellStyle name="Ввод  3 2" xfId="3439" xr:uid="{B8330055-2FA1-4F3E-A601-BA62BAD6D79D}"/>
    <cellStyle name="Ввод  3 2 10" xfId="20492" xr:uid="{7FB8A353-B51A-4C02-82F3-58587CC31738}"/>
    <cellStyle name="Ввод  3 2 11" xfId="34455" xr:uid="{BF897ED5-FEFC-40CA-90CE-AB09884078A8}"/>
    <cellStyle name="Ввод  3 2 2" xfId="2781" xr:uid="{FA5518DB-1767-405C-95B5-67F50FDE6914}"/>
    <cellStyle name="Ввод  3 2 2 2" xfId="5105" xr:uid="{DAD7F5C1-DCFE-4A4E-B7DC-10A2D47576B0}"/>
    <cellStyle name="Ввод  3 2 2 2 2" xfId="8077" xr:uid="{607537D9-0F25-4A07-B681-3FBC21C81693}"/>
    <cellStyle name="Ввод  3 2 2 2 2 2" xfId="15067" xr:uid="{0B7F83EA-0B4E-4253-AC15-C07C02778C13}"/>
    <cellStyle name="Ввод  3 2 2 2 2 2 2" xfId="31278" xr:uid="{39F85FAD-0A8B-45D3-A2AA-6408E1376D94}"/>
    <cellStyle name="Ввод  3 2 2 2 2 2 3" xfId="44734" xr:uid="{7BE45124-66F5-49FF-AB88-DC5B2AA657F0}"/>
    <cellStyle name="Ввод  3 2 2 2 2 3" xfId="25588" xr:uid="{8B053E4B-39E5-4440-9661-80777CA95FCD}"/>
    <cellStyle name="Ввод  3 2 2 2 2 4" xfId="38664" xr:uid="{FB7C150F-9A87-4AE0-840D-060AF325C006}"/>
    <cellStyle name="Ввод  3 2 2 2 3" xfId="11649" xr:uid="{E7FF1D86-56CA-47BC-A773-E108D0E3D373}"/>
    <cellStyle name="Ввод  3 2 2 2 3 2" xfId="28390" xr:uid="{73921B93-D892-457D-B029-2AEDEF884C75}"/>
    <cellStyle name="Ввод  3 2 2 2 3 3" xfId="41594" xr:uid="{5136A7EE-BC86-4E14-9E91-CADA17764CEE}"/>
    <cellStyle name="Ввод  3 2 2 2 4" xfId="22829" xr:uid="{CFA83A8E-6CDD-4AC3-9AC6-8E9E84E89229}"/>
    <cellStyle name="Ввод  3 2 2 2 5" xfId="35898" xr:uid="{F1E97AA3-3AE7-4152-BBAB-08A12454D1B9}"/>
    <cellStyle name="Ввод  3 2 2 3" xfId="6444" xr:uid="{ACBDB612-413B-44AC-8265-A7DF1592B58C}"/>
    <cellStyle name="Ввод  3 2 2 3 2" xfId="13849" xr:uid="{7396DFCE-ED72-47E7-A3C6-EAC23D55D485}"/>
    <cellStyle name="Ввод  3 2 2 3 2 2" xfId="30250" xr:uid="{6740E82C-655F-4C82-AB19-18480F8BC14D}"/>
    <cellStyle name="Ввод  3 2 2 3 2 3" xfId="43621" xr:uid="{7D34B691-15A5-4D11-B9CE-084740568447}"/>
    <cellStyle name="Ввод  3 2 2 3 3" xfId="24079" xr:uid="{861CBCEC-D885-48A6-94A5-6ED71C65E85A}"/>
    <cellStyle name="Ввод  3 2 2 3 4" xfId="37160" xr:uid="{41EC4235-336A-4897-BFE7-D7E488C4B181}"/>
    <cellStyle name="Ввод  3 2 2 4" xfId="16039" xr:uid="{95F353DA-30AD-4ECB-BD1D-EFC9552F5B55}"/>
    <cellStyle name="Ввод  3 2 2 4 2" xfId="32103" xr:uid="{AFBB23DE-297A-47A9-92A0-899F5E2021AF}"/>
    <cellStyle name="Ввод  3 2 2 4 3" xfId="45622" xr:uid="{1BAC9567-D36C-42F8-8CDA-2DF01D90CD73}"/>
    <cellStyle name="Ввод  3 2 2 5" xfId="20831" xr:uid="{5BC7D01F-1DA1-42D5-A068-309951FCB6EA}"/>
    <cellStyle name="Ввод  3 2 2 6" xfId="33854" xr:uid="{5BA893B1-FD37-4CAB-9F68-46445268D9E9}"/>
    <cellStyle name="Ввод  3 2 3" xfId="4056" xr:uid="{6D1E00BE-EB6D-47A6-A4F4-0D2AB47005BD}"/>
    <cellStyle name="Ввод  3 2 3 2" xfId="5200" xr:uid="{60940E59-7679-492A-8E59-47BCF32B9F6A}"/>
    <cellStyle name="Ввод  3 2 3 2 2" xfId="9109" xr:uid="{C392F88E-C171-41C1-80A6-A31FD0639D54}"/>
    <cellStyle name="Ввод  3 2 3 2 2 2" xfId="14271" xr:uid="{BC12C8D0-4FD3-492C-B2C7-0F27DD376DBD}"/>
    <cellStyle name="Ввод  3 2 3 2 2 2 2" xfId="30613" xr:uid="{B6472495-FECF-43DC-91CA-3D2303E0FB12}"/>
    <cellStyle name="Ввод  3 2 3 2 2 2 3" xfId="44006" xr:uid="{A9954092-884D-479C-A371-D2D82FADF327}"/>
    <cellStyle name="Ввод  3 2 3 2 2 3" xfId="26590" xr:uid="{59F3364F-5DD0-493A-978D-BCEECA024C89}"/>
    <cellStyle name="Ввод  3 2 3 2 2 4" xfId="39666" xr:uid="{18E32C90-59B0-44C4-B3D9-D31834DAD4E6}"/>
    <cellStyle name="Ввод  3 2 3 2 3" xfId="11886" xr:uid="{81DB455D-B459-41E7-A26D-E01B1FAEFE53}"/>
    <cellStyle name="Ввод  3 2 3 2 3 2" xfId="28602" xr:uid="{2D8C8D47-51D8-4F39-A343-6E597E0632D5}"/>
    <cellStyle name="Ввод  3 2 3 2 3 3" xfId="41818" xr:uid="{D853232B-3C53-4591-9D3E-C9791B328997}"/>
    <cellStyle name="Ввод  3 2 3 2 4" xfId="22875" xr:uid="{BDF054CA-1A38-499C-A6C7-493800315AD1}"/>
    <cellStyle name="Ввод  3 2 3 2 5" xfId="35944" xr:uid="{ECDEB7D6-3C75-4A0D-9108-B441C03BF859}"/>
    <cellStyle name="Ввод  3 2 3 3" xfId="7621" xr:uid="{D9466B70-192A-423A-B50C-42AC960A2EA4}"/>
    <cellStyle name="Ввод  3 2 3 3 2" xfId="13312" xr:uid="{0970179B-DDDB-4F74-BAB5-38BDE9154589}"/>
    <cellStyle name="Ввод  3 2 3 3 2 2" xfId="29798" xr:uid="{7D583E90-AFBE-4685-B011-CC662FFB1C18}"/>
    <cellStyle name="Ввод  3 2 3 3 2 3" xfId="43127" xr:uid="{C02A958B-78BE-4F8A-82DE-73EA3A20A42E}"/>
    <cellStyle name="Ввод  3 2 3 3 3" xfId="25149" xr:uid="{8A5C583F-B3DE-42DA-B96A-54BDBF6BF1E0}"/>
    <cellStyle name="Ввод  3 2 3 3 4" xfId="38225" xr:uid="{B482F344-D671-47FD-A0E1-B8A8CBF55614}"/>
    <cellStyle name="Ввод  3 2 3 4" xfId="11481" xr:uid="{38093560-90E5-4A20-9562-449EB3ECE739}"/>
    <cellStyle name="Ввод  3 2 3 4 2" xfId="28245" xr:uid="{BF7BF3DE-CED2-4D0A-85D3-5DA1EAEC9141}"/>
    <cellStyle name="Ввод  3 2 3 4 3" xfId="41440" xr:uid="{758B1C7D-AD69-4DC6-BCA9-F4D6964D38F5}"/>
    <cellStyle name="Ввод  3 2 3 5" xfId="21890" xr:uid="{B7E35759-961F-445E-9019-F98FB65395D0}"/>
    <cellStyle name="Ввод  3 2 3 6" xfId="34939" xr:uid="{67797C51-2DBC-4642-B0BF-7C16CDAEFB0A}"/>
    <cellStyle name="Ввод  3 2 4" xfId="2621" xr:uid="{11E70EE2-70DA-4485-8063-B3ECF95844E0}"/>
    <cellStyle name="Ввод  3 2 4 2" xfId="5009" xr:uid="{BCBC7A0C-D85F-41E9-B65D-74C0A4BCB595}"/>
    <cellStyle name="Ввод  3 2 4 2 2" xfId="7918" xr:uid="{45C873F0-379C-4F09-9D85-581964184269}"/>
    <cellStyle name="Ввод  3 2 4 2 2 2" xfId="17181" xr:uid="{C92C6367-1DEE-4824-B497-66F5439F954B}"/>
    <cellStyle name="Ввод  3 2 4 2 2 2 2" xfId="32944" xr:uid="{4548EF88-78AD-4E15-B10C-40E555A3D30E}"/>
    <cellStyle name="Ввод  3 2 4 2 2 2 3" xfId="46716" xr:uid="{48A935B4-AB05-48B7-B8F7-52D1E469292E}"/>
    <cellStyle name="Ввод  3 2 4 2 2 3" xfId="25434" xr:uid="{16B8420A-3EEF-4FC6-A2C9-81AEB61668FB}"/>
    <cellStyle name="Ввод  3 2 4 2 2 4" xfId="38510" xr:uid="{76435875-7B25-4824-9606-CCFF28C1E0B9}"/>
    <cellStyle name="Ввод  3 2 4 2 3" xfId="13906" xr:uid="{DCC5706C-ECE2-4E2B-BF30-B10354C77CEA}"/>
    <cellStyle name="Ввод  3 2 4 2 3 2" xfId="30298" xr:uid="{70DD2FE6-5E08-4E4D-BAAA-2CE27A29E85C}"/>
    <cellStyle name="Ввод  3 2 4 2 3 3" xfId="43671" xr:uid="{E783DE79-FC6A-4798-8D5E-2B17ACA3DC1E}"/>
    <cellStyle name="Ввод  3 2 4 2 4" xfId="22773" xr:uid="{6593E519-B4DE-49CE-B4CF-88148D88A0C1}"/>
    <cellStyle name="Ввод  3 2 4 2 5" xfId="35833" xr:uid="{5E2A5461-6C41-4545-94C9-E7A98334AFF9}"/>
    <cellStyle name="Ввод  3 2 4 3" xfId="6285" xr:uid="{7D47F18A-BBFB-4B81-98F4-75702668D7EB}"/>
    <cellStyle name="Ввод  3 2 4 3 2" xfId="13133" xr:uid="{CF33C1CE-F411-475D-8338-9866EB31B838}"/>
    <cellStyle name="Ввод  3 2 4 3 2 2" xfId="29647" xr:uid="{090AB3D5-5786-4CE7-914A-EB0DBD2D52BC}"/>
    <cellStyle name="Ввод  3 2 4 3 2 3" xfId="42959" xr:uid="{8C317D80-61F9-42DA-A7A5-56A6EC42D25F}"/>
    <cellStyle name="Ввод  3 2 4 3 3" xfId="23925" xr:uid="{29DB77CA-A3B1-44F0-95EE-7833295CAA40}"/>
    <cellStyle name="Ввод  3 2 4 3 4" xfId="37006" xr:uid="{F3605187-460A-4C27-A047-FFD42FB10782}"/>
    <cellStyle name="Ввод  3 2 4 4" xfId="13803" xr:uid="{D0A17EDA-499A-4D69-AAC5-98AD80DFA2EF}"/>
    <cellStyle name="Ввод  3 2 4 4 2" xfId="30207" xr:uid="{733D9AFC-CB60-4F35-9F06-271B79B95D55}"/>
    <cellStyle name="Ввод  3 2 4 4 3" xfId="43575" xr:uid="{A1C792D5-8CD9-442A-B0CD-F14798639643}"/>
    <cellStyle name="Ввод  3 2 4 5" xfId="20677" xr:uid="{D81C56BE-BE82-4926-B1B7-EA513139CFA9}"/>
    <cellStyle name="Ввод  3 2 4 6" xfId="33700" xr:uid="{D01A9C2C-3D02-4F6E-8CB9-14F4F7144F93}"/>
    <cellStyle name="Ввод  3 2 5" xfId="4157" xr:uid="{349622A7-B71E-454C-866A-54241D0EF3FD}"/>
    <cellStyle name="Ввод  3 2 5 2" xfId="5239" xr:uid="{C564D6A3-D644-4818-BB64-103F7163EA29}"/>
    <cellStyle name="Ввод  3 2 5 2 2" xfId="9209" xr:uid="{74DFF522-709E-4EB3-A705-F5D96C4563E3}"/>
    <cellStyle name="Ввод  3 2 5 2 2 2" xfId="11142" xr:uid="{BAAA5A7C-E4E0-45F6-9330-B2C8C04AEDC9}"/>
    <cellStyle name="Ввод  3 2 5 2 2 2 2" xfId="27939" xr:uid="{A2FE2EA1-960C-4513-9F9B-20D731CB5A8F}"/>
    <cellStyle name="Ввод  3 2 5 2 2 2 3" xfId="41120" xr:uid="{523AB474-7405-492D-936C-369F41AAD375}"/>
    <cellStyle name="Ввод  3 2 5 2 2 3" xfId="26684" xr:uid="{9044826B-140C-403E-9322-5E673A9F434E}"/>
    <cellStyle name="Ввод  3 2 5 2 2 4" xfId="39760" xr:uid="{5EC98589-17F9-4681-A683-37C271A49B0C}"/>
    <cellStyle name="Ввод  3 2 5 2 3" xfId="15290" xr:uid="{588EC98F-4526-454C-A206-EFB87EBDC006}"/>
    <cellStyle name="Ввод  3 2 5 2 3 2" xfId="31459" xr:uid="{3B365482-B1BD-48AA-999D-C8081122B211}"/>
    <cellStyle name="Ввод  3 2 5 2 3 3" xfId="44938" xr:uid="{4B4E5316-CDDC-4D2F-9711-6047FDB6BE8A}"/>
    <cellStyle name="Ввод  3 2 5 2 4" xfId="22903" xr:uid="{2C4FE93C-AD08-4E24-8926-DEE00FD688A2}"/>
    <cellStyle name="Ввод  3 2 5 2 5" xfId="35977" xr:uid="{97531D3F-CCE5-4A18-9F6F-A779AFB161DE}"/>
    <cellStyle name="Ввод  3 2 5 3" xfId="7721" xr:uid="{BC5F77A6-5A8A-4932-ACA6-3F2870AB05C2}"/>
    <cellStyle name="Ввод  3 2 5 3 2" xfId="14312" xr:uid="{2A7DF4C5-B11E-48F8-BA5B-33D864CF79B0}"/>
    <cellStyle name="Ввод  3 2 5 3 2 2" xfId="30649" xr:uid="{1CDAF812-39DE-498F-A292-9BA4D7588DB6}"/>
    <cellStyle name="Ввод  3 2 5 3 2 3" xfId="44043" xr:uid="{B59509A0-6FC9-46B2-8CFC-4D687C01A704}"/>
    <cellStyle name="Ввод  3 2 5 3 3" xfId="25243" xr:uid="{B1CAA76C-1BE6-4009-AA5B-60510FF2E5D0}"/>
    <cellStyle name="Ввод  3 2 5 3 4" xfId="38319" xr:uid="{AD7DCF95-8B3D-408C-A51E-F24A130E85B6}"/>
    <cellStyle name="Ввод  3 2 5 4" xfId="15454" xr:uid="{D2A63A23-A1B8-4A7A-9B79-DBFC8F7CBEB9}"/>
    <cellStyle name="Ввод  3 2 5 4 2" xfId="31599" xr:uid="{4D370AFB-1F62-482D-BB99-D59A3DA8BB11}"/>
    <cellStyle name="Ввод  3 2 5 4 3" xfId="45094" xr:uid="{6CD57390-D958-44FC-9B35-FFB0B80A6E29}"/>
    <cellStyle name="Ввод  3 2 5 5" xfId="21984" xr:uid="{C9DEA8E8-EDDE-4F5D-BC69-71E698ED744C}"/>
    <cellStyle name="Ввод  3 2 5 6" xfId="35033" xr:uid="{C7B8C33F-0F48-4FC7-82FA-23245ADD0284}"/>
    <cellStyle name="Ввод  3 2 6" xfId="4441" xr:uid="{1C355EC9-EDE3-4B2B-B49E-89DB1F7EE065}"/>
    <cellStyle name="Ввод  3 2 6 2" xfId="7081" xr:uid="{2A21D30C-7FCA-49D1-B10E-AD450D9C8A04}"/>
    <cellStyle name="Ввод  3 2 6 2 2" xfId="16421" xr:uid="{51F2B6D0-85DC-418F-A60D-F7FEDBD48089}"/>
    <cellStyle name="Ввод  3 2 6 2 2 2" xfId="32435" xr:uid="{C0487041-CC66-4384-A45D-0A90C10128D2}"/>
    <cellStyle name="Ввод  3 2 6 2 2 3" xfId="45972" xr:uid="{E710F10E-EF2B-41FF-AED0-296A805B4A40}"/>
    <cellStyle name="Ввод  3 2 6 2 3" xfId="24680" xr:uid="{06E7F612-6B02-4DDE-BA77-6D2C817EEBFB}"/>
    <cellStyle name="Ввод  3 2 6 2 4" xfId="37761" xr:uid="{BE663195-FF7B-4ADA-AD33-757225342CDD}"/>
    <cellStyle name="Ввод  3 2 6 3" xfId="11056" xr:uid="{D9F06D60-2BAB-4977-92CE-C5A570181234}"/>
    <cellStyle name="Ввод  3 2 6 3 2" xfId="27859" xr:uid="{91852B85-9A84-4046-A4A8-40F94252FB53}"/>
    <cellStyle name="Ввод  3 2 6 3 3" xfId="41035" xr:uid="{3FBE66E4-5534-4824-9A39-5C7800071317}"/>
    <cellStyle name="Ввод  3 2 6 4" xfId="22259" xr:uid="{CCB9277D-3E72-41E6-A997-FBA739C2B7E2}"/>
    <cellStyle name="Ввод  3 2 6 5" xfId="35308" xr:uid="{328D0731-0391-4AC9-9AD7-7540CC41D278}"/>
    <cellStyle name="Ввод  3 2 7" xfId="5494" xr:uid="{A6A696B1-81B0-4B11-892B-421738A9A2AC}"/>
    <cellStyle name="Ввод  3 2 7 2" xfId="8676" xr:uid="{911D8385-1C05-46A5-8CC5-BA342525E846}"/>
    <cellStyle name="Ввод  3 2 7 2 2" xfId="13721" xr:uid="{DA5DA110-3F22-4A25-B2CB-155A663C45FF}"/>
    <cellStyle name="Ввод  3 2 7 2 2 2" xfId="30137" xr:uid="{D43AA4EF-0269-4B6A-A9F6-C40849EB3028}"/>
    <cellStyle name="Ввод  3 2 7 2 2 3" xfId="43499" xr:uid="{9A1B1E66-5B13-4255-B237-FE65C604C1B1}"/>
    <cellStyle name="Ввод  3 2 7 2 3" xfId="26169" xr:uid="{6E65259B-8096-4E08-8FF4-5948E48DFEB8}"/>
    <cellStyle name="Ввод  3 2 7 2 4" xfId="39245" xr:uid="{8DCE72E6-7F67-46BC-B2BB-72CF1BF58C78}"/>
    <cellStyle name="Ввод  3 2 7 3" xfId="14400" xr:uid="{30345B0D-E437-4427-A25C-3BB86F4CF681}"/>
    <cellStyle name="Ввод  3 2 7 3 2" xfId="30732" xr:uid="{563E3153-86B9-42C1-8353-BAC34F0588BB}"/>
    <cellStyle name="Ввод  3 2 7 3 3" xfId="44130" xr:uid="{00CFF7E1-8729-4488-A595-06BD0A9B0A77}"/>
    <cellStyle name="Ввод  3 2 7 4" xfId="23141" xr:uid="{938029F0-77A3-4CBB-88B5-FB4159B3ED07}"/>
    <cellStyle name="Ввод  3 2 7 5" xfId="36222" xr:uid="{1D1A68FE-09A7-432B-8CD9-F24F7F221CC8}"/>
    <cellStyle name="Ввод  3 2 8" xfId="17033" xr:uid="{8DF64D2F-66AA-4179-AA18-B9FBF52C0741}"/>
    <cellStyle name="Ввод  3 2 8 2" xfId="32808" xr:uid="{9523E533-3557-4154-BDFE-67B213F29939}"/>
    <cellStyle name="Ввод  3 2 8 3" xfId="46575" xr:uid="{9DBFCC4F-43F0-4E91-B6B2-E85237F094A3}"/>
    <cellStyle name="Ввод  3 2 9" xfId="17739" xr:uid="{1EF12A28-EA45-4840-8416-A5FED6D94437}"/>
    <cellStyle name="Ввод  3 2 9 2" xfId="33461" xr:uid="{CA70A23C-36C2-4E1A-B623-8DC39339AC39}"/>
    <cellStyle name="Ввод  3 2 9 3" xfId="47244" xr:uid="{F48EBAA5-9BDD-4277-9222-B3B3C41E8335}"/>
    <cellStyle name="Ввод  3 20" xfId="3144" xr:uid="{F4410121-DC7A-4E9E-B446-5426A61BE714}"/>
    <cellStyle name="Ввод  3 20 2" xfId="4988" xr:uid="{AF23FB2C-D0E6-45F0-B758-649F3F4F5B4C}"/>
    <cellStyle name="Ввод  3 20 2 2" xfId="8436" xr:uid="{EAD1AAC3-D941-4540-8558-7B56F1DF7F88}"/>
    <cellStyle name="Ввод  3 20 2 2 2" xfId="11008" xr:uid="{F626C2E6-0C36-44D7-AA36-7A5E3CC7164F}"/>
    <cellStyle name="Ввод  3 20 2 2 2 2" xfId="27815" xr:uid="{202FE1CA-2713-4E70-BF75-CFA51F531F05}"/>
    <cellStyle name="Ввод  3 20 2 2 2 3" xfId="40988" xr:uid="{8DFD98DD-282F-408F-A683-34F60533364C}"/>
    <cellStyle name="Ввод  3 20 2 2 3" xfId="25938" xr:uid="{D51A164E-174A-404F-8E71-9402A4FD710A}"/>
    <cellStyle name="Ввод  3 20 2 2 4" xfId="39014" xr:uid="{0C7EA520-6FD5-494B-9EB9-19177551C998}"/>
    <cellStyle name="Ввод  3 20 2 3" xfId="14644" xr:uid="{A82828BC-64ED-49BF-9066-6A6D90F7167B}"/>
    <cellStyle name="Ввод  3 20 2 3 2" xfId="30940" xr:uid="{D900A535-7A08-4429-855F-89B45438FF77}"/>
    <cellStyle name="Ввод  3 20 2 3 3" xfId="44361" xr:uid="{D813642E-86B4-49FB-8417-B7D386A059F2}"/>
    <cellStyle name="Ввод  3 20 2 4" xfId="22760" xr:uid="{1C1AE44B-E0E1-415F-A8D6-96FC08443C50}"/>
    <cellStyle name="Ввод  3 20 2 5" xfId="35817" xr:uid="{F10C7761-4D3A-492A-B459-DADC068FBF7C}"/>
    <cellStyle name="Ввод  3 20 3" xfId="6803" xr:uid="{B84C216A-4FA5-424A-82B0-73CDDF0D2556}"/>
    <cellStyle name="Ввод  3 20 3 2" xfId="16868" xr:uid="{856393CB-0FDD-4002-8820-77C8B9478EAE}"/>
    <cellStyle name="Ввод  3 20 3 2 2" xfId="32745" xr:uid="{94FC4FE0-CC60-4D6E-AC88-99B072A803D9}"/>
    <cellStyle name="Ввод  3 20 3 2 3" xfId="46410" xr:uid="{3CE9E19B-6825-4060-958E-A3F585D811E2}"/>
    <cellStyle name="Ввод  3 20 3 3" xfId="24429" xr:uid="{4BC52EF2-DC30-4C8E-B7FB-4B2602C09F6C}"/>
    <cellStyle name="Ввод  3 20 3 4" xfId="37510" xr:uid="{6B0F074C-F50F-4FA3-818E-05A207842850}"/>
    <cellStyle name="Ввод  3 20 4" xfId="17243" xr:uid="{6599CC7E-4D36-479F-A1FC-8E7871D0829E}"/>
    <cellStyle name="Ввод  3 20 4 2" xfId="33002" xr:uid="{7FF21733-55E6-4304-A1DD-49BD6CE2692C}"/>
    <cellStyle name="Ввод  3 20 4 3" xfId="46777" xr:uid="{65123094-EA98-4037-9525-645D8C0E1DE3}"/>
    <cellStyle name="Ввод  3 20 5" xfId="21181" xr:uid="{2102B804-AF80-41EB-B13F-AABFC65FB92B}"/>
    <cellStyle name="Ввод  3 20 6" xfId="34204" xr:uid="{C0CD41D3-BCEC-42B9-BD02-3743F95D6A71}"/>
    <cellStyle name="Ввод  3 21" xfId="2640" xr:uid="{6D0ECE78-FF77-4F3A-97E9-79CA416D363A}"/>
    <cellStyle name="Ввод  3 21 2" xfId="7937" xr:uid="{2F7420C3-F4F9-4CC9-8D58-28335DF22FA7}"/>
    <cellStyle name="Ввод  3 21 2 2" xfId="14778" xr:uid="{8A1E08B6-9913-4C88-AC42-D056AAC31629}"/>
    <cellStyle name="Ввод  3 21 2 2 2" xfId="31046" xr:uid="{FC7ECC10-C15A-4718-BA97-E60C0A03D5A6}"/>
    <cellStyle name="Ввод  3 21 2 2 3" xfId="44477" xr:uid="{F22F932A-4B6C-45A7-94C0-74914E50260D}"/>
    <cellStyle name="Ввод  3 21 2 3" xfId="25453" xr:uid="{04001B37-7A92-4A45-9375-63174568CC26}"/>
    <cellStyle name="Ввод  3 21 2 4" xfId="38529" xr:uid="{27338621-BB2D-4EEA-8053-689AF5946491}"/>
    <cellStyle name="Ввод  3 21 3" xfId="6304" xr:uid="{BBB3CB95-3CF4-4AA3-BA4F-42B3CA8D49C5}"/>
    <cellStyle name="Ввод  3 21 3 2" xfId="14763" xr:uid="{AC3A03B3-2B1F-42B8-B981-BE277222DBED}"/>
    <cellStyle name="Ввод  3 21 3 2 2" xfId="31035" xr:uid="{4DF54DDC-095F-4026-B7C8-24D67D6742DF}"/>
    <cellStyle name="Ввод  3 21 3 2 3" xfId="44465" xr:uid="{E209DFA7-0ECA-48C5-9809-EE27AB52D521}"/>
    <cellStyle name="Ввод  3 21 3 3" xfId="23944" xr:uid="{2696A60C-1FAE-4729-A3E2-3EA1A88F3326}"/>
    <cellStyle name="Ввод  3 21 3 4" xfId="37025" xr:uid="{315099D9-40B5-4F70-A70E-F8BBF0AB2B88}"/>
    <cellStyle name="Ввод  3 21 4" xfId="17169" xr:uid="{A3539C57-9AAC-4926-BEE1-303214F64147}"/>
    <cellStyle name="Ввод  3 21 4 2" xfId="32932" xr:uid="{E2362DC6-014A-4EFD-81A1-52C8C5399DFD}"/>
    <cellStyle name="Ввод  3 21 4 3" xfId="46704" xr:uid="{D62183A4-BF93-432B-9A64-D1F4833AFD3C}"/>
    <cellStyle name="Ввод  3 21 5" xfId="20696" xr:uid="{3BA82BB6-B2D9-43AF-A9FB-9B011303B27B}"/>
    <cellStyle name="Ввод  3 21 6" xfId="33719" xr:uid="{6F56723D-5C41-479F-A53B-1852734E3B88}"/>
    <cellStyle name="Ввод  3 22" xfId="4111" xr:uid="{0B2C85F8-BC67-4EAF-A48E-6BC86E885118}"/>
    <cellStyle name="Ввод  3 22 2" xfId="9163" xr:uid="{0953199F-D83A-4ABA-A941-1E00399534FD}"/>
    <cellStyle name="Ввод  3 22 2 2" xfId="11669" xr:uid="{4B551F3C-DC02-4EE2-B4E4-4B382AA52006}"/>
    <cellStyle name="Ввод  3 22 2 2 2" xfId="28408" xr:uid="{8BBEA84F-BCAD-44B4-88FB-CB2A97289A14}"/>
    <cellStyle name="Ввод  3 22 2 2 3" xfId="41612" xr:uid="{77EFBEE7-2CDA-4D17-8442-42A5AFC3FB7F}"/>
    <cellStyle name="Ввод  3 22 2 3" xfId="26644" xr:uid="{DE158127-C050-4949-BD60-4FF47A159AE8}"/>
    <cellStyle name="Ввод  3 22 2 4" xfId="39720" xr:uid="{B9CEC043-5BE0-4122-85BB-87A78B9124A5}"/>
    <cellStyle name="Ввод  3 22 3" xfId="7675" xr:uid="{1517BB2C-214A-494E-B0CE-750ABBA7398E}"/>
    <cellStyle name="Ввод  3 22 3 2" xfId="14746" xr:uid="{66B32A8A-DDE6-46E8-AE2D-EB0B6022EEDC}"/>
    <cellStyle name="Ввод  3 22 3 2 2" xfId="31024" xr:uid="{7865AC2F-A99B-42F1-9B21-5E596D597FDB}"/>
    <cellStyle name="Ввод  3 22 3 2 3" xfId="44450" xr:uid="{012675ED-DBEF-44A6-A4F7-C6CF189FCC18}"/>
    <cellStyle name="Ввод  3 22 3 3" xfId="25203" xr:uid="{26E50940-7C68-49B3-840D-7DE236174A93}"/>
    <cellStyle name="Ввод  3 22 3 4" xfId="38279" xr:uid="{4A76808B-8292-4478-A7FC-867A10F4AFFC}"/>
    <cellStyle name="Ввод  3 22 4" xfId="17327" xr:uid="{90F5C12B-CF10-4CB1-A0AE-2827F4A8392B}"/>
    <cellStyle name="Ввод  3 22 4 2" xfId="33081" xr:uid="{5B07BDFC-97FA-422F-B90E-6D77147A05C2}"/>
    <cellStyle name="Ввод  3 22 4 3" xfId="46857" xr:uid="{711BBD76-E796-412D-84F6-78D2C6994819}"/>
    <cellStyle name="Ввод  3 22 5" xfId="21944" xr:uid="{B052689D-27A8-4735-8F73-CF456CDEFD6C}"/>
    <cellStyle name="Ввод  3 22 6" xfId="34993" xr:uid="{E1148B5D-8CCD-46F6-970A-84DAB7EC8F8E}"/>
    <cellStyle name="Ввод  3 23" xfId="2549" xr:uid="{DA677045-7B90-4756-856C-EBC15D66424C}"/>
    <cellStyle name="Ввод  3 23 2" xfId="7847" xr:uid="{63814A20-E98A-46C5-A7F4-7D23318D70A6}"/>
    <cellStyle name="Ввод  3 23 2 2" xfId="13236" xr:uid="{2AAD9AAE-74BB-494D-8484-4BEA8BF36C20}"/>
    <cellStyle name="Ввод  3 23 2 2 2" xfId="29733" xr:uid="{FB9321BE-2991-4AD3-A43A-3151649BFE0D}"/>
    <cellStyle name="Ввод  3 23 2 2 3" xfId="43055" xr:uid="{54EC4BBB-304D-4DF7-A4F2-AB35A3F53157}"/>
    <cellStyle name="Ввод  3 23 2 3" xfId="25366" xr:uid="{1AE6AAE3-1203-4323-A1AF-2117485C3A28}"/>
    <cellStyle name="Ввод  3 23 2 4" xfId="38442" xr:uid="{3C02F03B-768C-4BE5-A7EF-2625E680485F}"/>
    <cellStyle name="Ввод  3 23 3" xfId="6214" xr:uid="{874E2633-DCEF-4FE6-9723-E26B2A580A23}"/>
    <cellStyle name="Ввод  3 23 3 2" xfId="11151" xr:uid="{A0AAC51C-8CEA-47B1-A05D-A6A4EA88FB51}"/>
    <cellStyle name="Ввод  3 23 3 2 2" xfId="27947" xr:uid="{6B142B25-C162-484A-8736-4EBC267EA819}"/>
    <cellStyle name="Ввод  3 23 3 2 3" xfId="41128" xr:uid="{C98C3237-16CC-49D5-867B-6659AFD6C8A0}"/>
    <cellStyle name="Ввод  3 23 3 3" xfId="23857" xr:uid="{ECDCA4B7-111B-49F2-81AA-BB33C7E3550B}"/>
    <cellStyle name="Ввод  3 23 3 4" xfId="36938" xr:uid="{200E17DD-B6E9-494B-A8B5-2ECA2E4C5027}"/>
    <cellStyle name="Ввод  3 23 4" xfId="11395" xr:uid="{6A982E50-2284-4B2B-BD30-7B87A2353419}"/>
    <cellStyle name="Ввод  3 23 4 2" xfId="28167" xr:uid="{2FAC2E81-668B-4D93-BCE9-4E75C840397A}"/>
    <cellStyle name="Ввод  3 23 4 3" xfId="41357" xr:uid="{F7837DA1-A1B9-44B0-97C1-B2EB90D9922A}"/>
    <cellStyle name="Ввод  3 23 5" xfId="20609" xr:uid="{DD81944D-D1DF-4638-9812-496363151CA0}"/>
    <cellStyle name="Ввод  3 23 6" xfId="33632" xr:uid="{89D89B62-F633-4FA0-95FF-A274D031897F}"/>
    <cellStyle name="Ввод  3 24" xfId="4215" xr:uid="{8EFD09CC-8958-4588-99A5-AA2A7E78BA5C}"/>
    <cellStyle name="Ввод  3 24 2" xfId="9267" xr:uid="{42DEF4AF-0723-430A-903F-6EE1B4262B1A}"/>
    <cellStyle name="Ввод  3 24 2 2" xfId="12816" xr:uid="{208DCB08-0261-4E9A-9040-67FB274CD93D}"/>
    <cellStyle name="Ввод  3 24 2 2 2" xfId="29389" xr:uid="{045AE800-41A3-4251-98C4-59F2D6C19E22}"/>
    <cellStyle name="Ввод  3 24 2 2 3" xfId="42670" xr:uid="{1856824C-73F7-46C4-BB12-9F8999FCE9D0}"/>
    <cellStyle name="Ввод  3 24 2 3" xfId="26740" xr:uid="{27A0FF09-4BE3-41A9-AAA5-2D4EE6448ADC}"/>
    <cellStyle name="Ввод  3 24 2 4" xfId="39816" xr:uid="{FEC8B537-46B7-4F37-AB4D-C9B070D2E03C}"/>
    <cellStyle name="Ввод  3 24 3" xfId="7779" xr:uid="{88F1CEEE-0819-4FD2-9586-59B2E8099AC6}"/>
    <cellStyle name="Ввод  3 24 3 2" xfId="13923" xr:uid="{8ABF62E0-3EFA-4DD3-AEAF-7DCB4733862C}"/>
    <cellStyle name="Ввод  3 24 3 2 2" xfId="30314" xr:uid="{B736CF33-09E6-4AD0-9BA6-EA7D7B87A534}"/>
    <cellStyle name="Ввод  3 24 3 2 3" xfId="43688" xr:uid="{F5BCBD8B-13E1-4DD7-A8DB-CA143F77BE3E}"/>
    <cellStyle name="Ввод  3 24 3 3" xfId="25299" xr:uid="{D5CA6CB2-77FF-4C6D-9A42-744EE7251D42}"/>
    <cellStyle name="Ввод  3 24 3 4" xfId="38375" xr:uid="{BBCD665D-7C0F-43DD-930E-7BBB4F102553}"/>
    <cellStyle name="Ввод  3 24 4" xfId="12409" xr:uid="{6864BBBA-B58B-4C66-843F-8F1B9B5281CE}"/>
    <cellStyle name="Ввод  3 24 4 2" xfId="29072" xr:uid="{D3E7EDDA-5E57-4F6A-9297-9A76D2F02B54}"/>
    <cellStyle name="Ввод  3 24 4 3" xfId="42313" xr:uid="{BB0BB702-9B9C-415E-9BD1-8E781D4FA6FA}"/>
    <cellStyle name="Ввод  3 24 5" xfId="22040" xr:uid="{781FDC6D-4427-475D-B696-861F712EF028}"/>
    <cellStyle name="Ввод  3 24 6" xfId="35089" xr:uid="{821333DA-970C-471C-8BDF-A12EEC65A8C6}"/>
    <cellStyle name="Ввод  3 25" xfId="4290" xr:uid="{E45BA48F-EAAC-496E-8E5D-7EF28DB28AE4}"/>
    <cellStyle name="Ввод  3 25 2" xfId="6159" xr:uid="{DE508F8C-471C-4116-A63E-F2F72CF66C7E}"/>
    <cellStyle name="Ввод  3 25 2 2" xfId="16675" xr:uid="{4A3B2318-83F7-4795-9FE5-74146036204C}"/>
    <cellStyle name="Ввод  3 25 2 2 2" xfId="32567" xr:uid="{B292E2A3-AD60-4DB0-BD71-F6381B687349}"/>
    <cellStyle name="Ввод  3 25 2 2 3" xfId="46222" xr:uid="{AC78A45B-FE5D-41B7-BFEE-0CBDD62FB4FF}"/>
    <cellStyle name="Ввод  3 25 2 3" xfId="23804" xr:uid="{9BF58F3E-A034-4D0A-AE89-56FE00F4119A}"/>
    <cellStyle name="Ввод  3 25 2 4" xfId="36885" xr:uid="{801541A3-3DB2-412C-808D-12EA546C1A5D}"/>
    <cellStyle name="Ввод  3 25 3" xfId="11859" xr:uid="{180F2077-52B0-4D3D-98D5-F3E8FF10C461}"/>
    <cellStyle name="Ввод  3 25 3 2" xfId="28576" xr:uid="{48235961-5032-4B52-BB08-4BD1CACDFF3F}"/>
    <cellStyle name="Ввод  3 25 3 3" xfId="41792" xr:uid="{C64D2D8E-AE22-45AC-9B32-F5F29A62EAEA}"/>
    <cellStyle name="Ввод  3 25 4" xfId="22111" xr:uid="{0A823154-9CC3-45C2-AA3D-1E5B04D11E9D}"/>
    <cellStyle name="Ввод  3 25 5" xfId="35160" xr:uid="{3F3AC8A9-6A6C-463C-8F9C-54909F2D3109}"/>
    <cellStyle name="Ввод  3 26" xfId="5269" xr:uid="{7B84E6F6-F2CD-480F-BB99-275C1C367C73}"/>
    <cellStyle name="Ввод  3 26 2" xfId="9702" xr:uid="{D0F67AE4-4244-4F63-98FD-3E66D76DDA66}"/>
    <cellStyle name="Ввод  3 26 2 2" xfId="10966" xr:uid="{D4A9C8BC-D0B0-4991-B85A-28BA2218190F}"/>
    <cellStyle name="Ввод  3 26 2 2 2" xfId="27778" xr:uid="{76CEFDC4-9924-45E9-8239-230485142343}"/>
    <cellStyle name="Ввод  3 26 2 2 3" xfId="40946" xr:uid="{8E86A636-5EF5-45DA-A6E0-6105D755F140}"/>
    <cellStyle name="Ввод  3 26 2 3" xfId="27002" xr:uid="{4BE58536-C3B8-426B-89C8-1EEFF74AE104}"/>
    <cellStyle name="Ввод  3 26 2 4" xfId="40118" xr:uid="{92ADD1B6-4076-421B-91E9-76CE926DA2C0}"/>
    <cellStyle name="Ввод  3 26 3" xfId="17080" xr:uid="{D665B960-D7E9-4822-86EB-06619EB36BBA}"/>
    <cellStyle name="Ввод  3 26 3 2" xfId="32850" xr:uid="{803741F1-A15B-44BC-B032-04A048A262B5}"/>
    <cellStyle name="Ввод  3 26 3 3" xfId="46620" xr:uid="{A292A267-8FEA-458D-81A8-13839A7C0395}"/>
    <cellStyle name="Ввод  3 26 4" xfId="22921" xr:uid="{89E4BB90-FACB-4CDC-883C-F492547DFD58}"/>
    <cellStyle name="Ввод  3 26 5" xfId="35999" xr:uid="{BC7A04F4-5BB6-49E0-A10D-20DFE1E250A3}"/>
    <cellStyle name="Ввод  3 27" xfId="10560" xr:uid="{9162BD69-6671-4F09-B69E-B196E9121938}"/>
    <cellStyle name="Ввод  3 27 2" xfId="17605" xr:uid="{7462A22D-C055-4C85-AD9A-4F5625F67D84}"/>
    <cellStyle name="Ввод  3 27 2 2" xfId="33340" xr:uid="{9BCE41D5-CBA6-4111-86DD-30662D414B92}"/>
    <cellStyle name="Ввод  3 27 2 3" xfId="47130" xr:uid="{957AAE63-5CF8-487E-A2B2-5269D77D66E6}"/>
    <cellStyle name="Ввод  3 27 3" xfId="27419" xr:uid="{33F16755-BF3B-4B9A-AE75-0CD99559E106}"/>
    <cellStyle name="Ввод  3 27 4" xfId="40541" xr:uid="{59231FFF-AC3B-441A-A71C-84BE0D516743}"/>
    <cellStyle name="Ввод  3 28" xfId="11987" xr:uid="{13CE3A8A-BA21-4CE3-BFA1-A346EB1D6D07}"/>
    <cellStyle name="Ввод  3 28 2" xfId="28693" xr:uid="{60911203-3A6B-410C-B140-F794763C94CD}"/>
    <cellStyle name="Ввод  3 28 3" xfId="41911" xr:uid="{F9A41D1D-0DA3-4597-9CDB-46B179887F42}"/>
    <cellStyle name="Ввод  3 29" xfId="12779" xr:uid="{721A3B3B-AEAF-4B79-8B7D-3375AF306A00}"/>
    <cellStyle name="Ввод  3 29 2" xfId="29354" xr:uid="{AF924C05-B0C7-4B0A-A28E-3DA47CF30257}"/>
    <cellStyle name="Ввод  3 29 3" xfId="42634" xr:uid="{23BBBB0F-027C-459F-888A-208509613B39}"/>
    <cellStyle name="Ввод  3 3" xfId="3343" xr:uid="{15608EF1-93CA-43F0-AC63-AB329A23ED30}"/>
    <cellStyle name="Ввод  3 3 10" xfId="34389" xr:uid="{1520860A-B569-43A5-83FE-CCA56E6728D3}"/>
    <cellStyle name="Ввод  3 3 2" xfId="2705" xr:uid="{25102F83-5681-46A2-BDD8-7C6E0B9CD937}"/>
    <cellStyle name="Ввод  3 3 2 2" xfId="8001" xr:uid="{A9F2DFAD-5A38-4F74-970A-E3B601773C56}"/>
    <cellStyle name="Ввод  3 3 2 2 2" xfId="10859" xr:uid="{069F195C-FD90-4CFB-AD04-C1C3EDCA22BE}"/>
    <cellStyle name="Ввод  3 3 2 2 2 2" xfId="27687" xr:uid="{0384EB81-A2A2-409B-A415-E36048EA92A5}"/>
    <cellStyle name="Ввод  3 3 2 2 2 3" xfId="40840" xr:uid="{7BD1C6C1-11B4-4B16-B957-C35AA9DAACFC}"/>
    <cellStyle name="Ввод  3 3 2 2 3" xfId="25516" xr:uid="{C0F06563-8D61-4686-BF22-E53FFB994D84}"/>
    <cellStyle name="Ввод  3 3 2 2 4" xfId="38592" xr:uid="{053F199E-553D-401B-9351-A184AD5F6717}"/>
    <cellStyle name="Ввод  3 3 2 3" xfId="6368" xr:uid="{4660ADDA-6911-49C8-BBED-3D15D32736CC}"/>
    <cellStyle name="Ввод  3 3 2 3 2" xfId="14706" xr:uid="{EB38EDC6-0FF5-413D-8B5C-A49147F8D17F}"/>
    <cellStyle name="Ввод  3 3 2 3 2 2" xfId="30995" xr:uid="{35760334-DDEE-43B4-90E2-B7CF38F66512}"/>
    <cellStyle name="Ввод  3 3 2 3 2 3" xfId="44417" xr:uid="{1B25984F-6519-4D28-AE64-4A46F7197DC6}"/>
    <cellStyle name="Ввод  3 3 2 3 3" xfId="24007" xr:uid="{8596164B-74C0-4B80-BDDA-B094BFA5A1E6}"/>
    <cellStyle name="Ввод  3 3 2 3 4" xfId="37088" xr:uid="{76767CF9-635D-4966-9ABE-1E0AF16107E9}"/>
    <cellStyle name="Ввод  3 3 2 4" xfId="11412" xr:uid="{A239F36D-3EBA-448F-96C7-08F7ACC93EA0}"/>
    <cellStyle name="Ввод  3 3 2 4 2" xfId="28182" xr:uid="{2FEFA7B1-4ACB-4D3D-9312-31ABF9A6F0ED}"/>
    <cellStyle name="Ввод  3 3 2 4 3" xfId="41373" xr:uid="{B2252383-6E87-4081-8073-43B43C2D18FC}"/>
    <cellStyle name="Ввод  3 3 2 5" xfId="20759" xr:uid="{486D3CCB-DBD5-4E18-A1DC-85B3DB8BC905}"/>
    <cellStyle name="Ввод  3 3 2 6" xfId="33782" xr:uid="{8471200D-1A45-44FD-9C0C-F5862A42F24C}"/>
    <cellStyle name="Ввод  3 3 3" xfId="4145" xr:uid="{7D2EA503-2BB2-4C4D-A133-BB68168CB0C3}"/>
    <cellStyle name="Ввод  3 3 3 2" xfId="9197" xr:uid="{E3125E62-17E0-44A6-AA15-572AFB17F707}"/>
    <cellStyle name="Ввод  3 3 3 2 2" xfId="13639" xr:uid="{31B224AD-571B-4440-9516-3EEECB20D74D}"/>
    <cellStyle name="Ввод  3 3 3 2 2 2" xfId="30072" xr:uid="{1413AB4D-116B-41D4-8CF9-5382B972892C}"/>
    <cellStyle name="Ввод  3 3 3 2 2 3" xfId="43427" xr:uid="{DD17710D-3833-4E13-81E9-B62BC741BC9B}"/>
    <cellStyle name="Ввод  3 3 3 2 3" xfId="26673" xr:uid="{D32A9847-6407-4442-883C-C6581FF5737A}"/>
    <cellStyle name="Ввод  3 3 3 2 4" xfId="39749" xr:uid="{F14F402C-5A58-43F9-A607-4AA912569A2F}"/>
    <cellStyle name="Ввод  3 3 3 3" xfId="7709" xr:uid="{ED0BC7AD-F386-4482-BACD-8B739B283736}"/>
    <cellStyle name="Ввод  3 3 3 3 2" xfId="16890" xr:uid="{4461004E-C59B-45CC-86E3-AF809E06D472}"/>
    <cellStyle name="Ввод  3 3 3 3 2 2" xfId="32766" xr:uid="{2DA4E6D8-0A9B-4D75-8F06-46AE279F263D}"/>
    <cellStyle name="Ввод  3 3 3 3 2 3" xfId="46432" xr:uid="{FBF2FE9F-3E63-4EAE-90B4-0A9249A0C2C7}"/>
    <cellStyle name="Ввод  3 3 3 3 3" xfId="25232" xr:uid="{D17828B6-48B3-4777-A6CC-EA3F06E47AD1}"/>
    <cellStyle name="Ввод  3 3 3 3 4" xfId="38308" xr:uid="{304C575B-EF3A-4B73-8B25-B3BBA22F3BD4}"/>
    <cellStyle name="Ввод  3 3 3 4" xfId="13626" xr:uid="{B0B4E8A7-359B-4EEB-B8BC-BDA74E26CA28}"/>
    <cellStyle name="Ввод  3 3 3 4 2" xfId="30062" xr:uid="{560CDFF1-5985-4193-9634-5B30F296E038}"/>
    <cellStyle name="Ввод  3 3 3 4 3" xfId="43417" xr:uid="{B25E2F80-74F3-4C7F-AC8F-CD1327D077AA}"/>
    <cellStyle name="Ввод  3 3 3 5" xfId="21973" xr:uid="{4705195D-3656-4964-839A-999E849862AA}"/>
    <cellStyle name="Ввод  3 3 3 6" xfId="35022" xr:uid="{896B8916-8C1D-461E-B7A8-21D35806AF23}"/>
    <cellStyle name="Ввод  3 3 4" xfId="2585" xr:uid="{46D33548-A801-4C69-BE1D-6B1275A4F171}"/>
    <cellStyle name="Ввод  3 3 4 2" xfId="7882" xr:uid="{3B4B05D3-0830-42AD-8555-B717DF7A6FE5}"/>
    <cellStyle name="Ввод  3 3 4 2 2" xfId="14641" xr:uid="{47D82F74-A727-4CC2-BB93-D4981E81A839}"/>
    <cellStyle name="Ввод  3 3 4 2 2 2" xfId="30937" xr:uid="{4005875A-52CC-401D-AB28-9626EB811090}"/>
    <cellStyle name="Ввод  3 3 4 2 2 3" xfId="44358" xr:uid="{C8B536B3-6872-4F03-8FD6-73C1DB8C82A2}"/>
    <cellStyle name="Ввод  3 3 4 2 3" xfId="25401" xr:uid="{6C8682E8-2F12-48D6-A1A3-DBFB885A6F17}"/>
    <cellStyle name="Ввод  3 3 4 2 4" xfId="38477" xr:uid="{0D4F3AE2-67E2-475F-965B-C0409F9A03AA}"/>
    <cellStyle name="Ввод  3 3 4 3" xfId="6249" xr:uid="{658BFDC4-7A65-4C9C-8741-EF4315E6D8B0}"/>
    <cellStyle name="Ввод  3 3 4 3 2" xfId="14238" xr:uid="{CAC36521-4A79-431E-837D-D05481798B39}"/>
    <cellStyle name="Ввод  3 3 4 3 2 2" xfId="30583" xr:uid="{48C500F9-9A8E-4D72-B142-68AC427798B7}"/>
    <cellStyle name="Ввод  3 3 4 3 2 3" xfId="43975" xr:uid="{4E756236-9919-4AAE-B15B-B287A18E0EE1}"/>
    <cellStyle name="Ввод  3 3 4 3 3" xfId="23892" xr:uid="{6FD96322-A93C-403A-B9D0-05757410F8B1}"/>
    <cellStyle name="Ввод  3 3 4 3 4" xfId="36973" xr:uid="{A0428F47-6B8D-4F44-A36E-20BAC32AFF46}"/>
    <cellStyle name="Ввод  3 3 4 4" xfId="11925" xr:uid="{C42DCADA-B01F-4B83-81BE-C6B940EEA675}"/>
    <cellStyle name="Ввод  3 3 4 4 2" xfId="28639" xr:uid="{EF5112DB-AA29-4453-B513-336AD92CFDD1}"/>
    <cellStyle name="Ввод  3 3 4 4 3" xfId="41856" xr:uid="{A34DB2B3-FBB5-4764-A890-417CAE4F8941}"/>
    <cellStyle name="Ввод  3 3 4 5" xfId="20644" xr:uid="{E01695DE-EBC9-4969-B6DD-BFDE83EB5F84}"/>
    <cellStyle name="Ввод  3 3 4 6" xfId="33667" xr:uid="{B4B175B7-693C-4FAE-8BCF-0894432F73A0}"/>
    <cellStyle name="Ввод  3 3 5" xfId="4059" xr:uid="{DADF8431-D3E2-448F-824E-B772AACEA0ED}"/>
    <cellStyle name="Ввод  3 3 5 2" xfId="9112" xr:uid="{ACC88C8D-6C4D-41EF-B559-DFA00E0952FD}"/>
    <cellStyle name="Ввод  3 3 5 2 2" xfId="16306" xr:uid="{30C373FC-C12E-44C3-AF15-12190D5AE5F2}"/>
    <cellStyle name="Ввод  3 3 5 2 2 2" xfId="32332" xr:uid="{3E1B34FF-2C8D-4854-AD5D-4844A2D9831C}"/>
    <cellStyle name="Ввод  3 3 5 2 2 3" xfId="45863" xr:uid="{C39718BC-1A6E-4403-AB02-E30DFF33687F}"/>
    <cellStyle name="Ввод  3 3 5 2 3" xfId="26593" xr:uid="{94B5CED3-15BD-468E-9162-6EC603684981}"/>
    <cellStyle name="Ввод  3 3 5 2 4" xfId="39669" xr:uid="{89C01FDB-C9C2-47C4-A476-3FCF6510153A}"/>
    <cellStyle name="Ввод  3 3 5 3" xfId="7624" xr:uid="{022C8842-9804-4945-89A6-E3690540BA53}"/>
    <cellStyle name="Ввод  3 3 5 3 2" xfId="14092" xr:uid="{2B15947F-2AB0-4B31-A681-65E36C1642C7}"/>
    <cellStyle name="Ввод  3 3 5 3 2 2" xfId="30459" xr:uid="{ECC2EC11-E310-4578-A2BB-06CA356A3B74}"/>
    <cellStyle name="Ввод  3 3 5 3 2 3" xfId="43842" xr:uid="{97EE4D78-B9B2-4904-B7DB-4D7BB6BD44B4}"/>
    <cellStyle name="Ввод  3 3 5 3 3" xfId="25152" xr:uid="{308A52B5-6086-40B8-81E6-AC7930D7ECE6}"/>
    <cellStyle name="Ввод  3 3 5 3 4" xfId="38228" xr:uid="{E4657CC6-D8A0-4326-878C-A8A888CEFB31}"/>
    <cellStyle name="Ввод  3 3 5 4" xfId="12680" xr:uid="{EFBFF057-CD8F-4594-BA74-368C291EA484}"/>
    <cellStyle name="Ввод  3 3 5 4 2" xfId="29275" xr:uid="{A00380B9-8847-4513-84FF-8A014DC0A0C9}"/>
    <cellStyle name="Ввод  3 3 5 4 3" xfId="42548" xr:uid="{9287A34B-4E69-42CF-B179-B9456688099E}"/>
    <cellStyle name="Ввод  3 3 5 5" xfId="21893" xr:uid="{8E29EBB8-E072-4BB0-B941-C8C072E17F58}"/>
    <cellStyle name="Ввод  3 3 5 6" xfId="34942" xr:uid="{AC862D5C-4D0F-42F2-A7BA-A15F8D42D856}"/>
    <cellStyle name="Ввод  3 3 6" xfId="4374" xr:uid="{30516F96-AEF9-401F-9CEE-4993ECBDBF5C}"/>
    <cellStyle name="Ввод  3 3 6 2" xfId="6993" xr:uid="{4148C8D9-3AEB-46DA-81A8-C8BB0191E7EF}"/>
    <cellStyle name="Ввод  3 3 6 2 2" xfId="13698" xr:uid="{AB66391D-EB09-476D-BB64-1B3865A3E7F5}"/>
    <cellStyle name="Ввод  3 3 6 2 2 2" xfId="30119" xr:uid="{FB1EB16B-503D-4094-8439-D6665E216818}"/>
    <cellStyle name="Ввод  3 3 6 2 2 3" xfId="43478" xr:uid="{54628569-CE92-4663-9ECE-2E231D9AB4BC}"/>
    <cellStyle name="Ввод  3 3 6 2 3" xfId="24614" xr:uid="{1F28A4DA-5704-4B69-AC63-98D4AE6AA53B}"/>
    <cellStyle name="Ввод  3 3 6 2 4" xfId="37695" xr:uid="{77782058-827B-470F-A0C4-3FE3D9C56D5A}"/>
    <cellStyle name="Ввод  3 3 6 3" xfId="11628" xr:uid="{7DEEC97A-EEB3-48D7-8D29-7C8ED49F89CB}"/>
    <cellStyle name="Ввод  3 3 6 3 2" xfId="28374" xr:uid="{0354CBE8-7ABE-4E79-90FE-6897C5F468D3}"/>
    <cellStyle name="Ввод  3 3 6 3 3" xfId="41577" xr:uid="{176FF502-CBFD-4369-8A04-988AACAD2AD5}"/>
    <cellStyle name="Ввод  3 3 6 4" xfId="22193" xr:uid="{1AFC0229-BBBF-49A4-B0B2-0D569D45DDE4}"/>
    <cellStyle name="Ввод  3 3 6 5" xfId="35242" xr:uid="{D206BD1D-20AA-46EB-ACCD-FCBFC859607B}"/>
    <cellStyle name="Ввод  3 3 7" xfId="5428" xr:uid="{C151C7A2-01F0-4E9F-AF3D-A51CB77159AF}"/>
    <cellStyle name="Ввод  3 3 7 2" xfId="8606" xr:uid="{A7FE56C8-FD56-40D0-A2BC-1E904D116CFC}"/>
    <cellStyle name="Ввод  3 3 7 2 2" xfId="13404" xr:uid="{871C0660-481A-4076-8C88-ECA7AE02EBD7}"/>
    <cellStyle name="Ввод  3 3 7 2 2 2" xfId="29873" xr:uid="{20641FDF-746D-4BBA-B25D-A3D5F9B640E6}"/>
    <cellStyle name="Ввод  3 3 7 2 2 3" xfId="43208" xr:uid="{2EC91853-E876-4B2C-8F34-87D6675F86CB}"/>
    <cellStyle name="Ввод  3 3 7 2 3" xfId="26103" xr:uid="{7BAE5B57-74A6-4A58-8FCB-EFB9EB5F7E85}"/>
    <cellStyle name="Ввод  3 3 7 2 4" xfId="39179" xr:uid="{7C94837B-74B9-46D9-B6F0-D090FA1357E4}"/>
    <cellStyle name="Ввод  3 3 7 3" xfId="15120" xr:uid="{E8452E9F-94C9-4B9A-8D8E-8D14F338C4FE}"/>
    <cellStyle name="Ввод  3 3 7 3 2" xfId="31323" xr:uid="{56F2EF75-119F-4723-B952-4F3C59BFA3FD}"/>
    <cellStyle name="Ввод  3 3 7 3 3" xfId="44785" xr:uid="{11C397EF-0F1A-4E50-82F6-8F0DC1D5273D}"/>
    <cellStyle name="Ввод  3 3 7 4" xfId="23075" xr:uid="{5B9DFC33-06CC-4454-AD2E-575D6DE84221}"/>
    <cellStyle name="Ввод  3 3 7 5" xfId="36156" xr:uid="{8204D370-91E1-4E4A-B214-798DB57207F7}"/>
    <cellStyle name="Ввод  3 3 8" xfId="15880" xr:uid="{296050B4-5AFA-4ADE-B80A-6D62B6844836}"/>
    <cellStyle name="Ввод  3 3 8 2" xfId="31966" xr:uid="{8D47C5AC-93E1-4B3B-85F8-CCC97E6D017D}"/>
    <cellStyle name="Ввод  3 3 8 3" xfId="45481" xr:uid="{C64020B4-041C-44C0-80A4-5F941DB224E6}"/>
    <cellStyle name="Ввод  3 3 9" xfId="21366" xr:uid="{F6C658DA-98B6-4C0F-9ECF-D0867AA659FF}"/>
    <cellStyle name="Ввод  3 30" xfId="16440" xr:uid="{1DADBE94-C2AE-4A3D-A824-D27B2316AD39}"/>
    <cellStyle name="Ввод  3 30 2" xfId="32452" xr:uid="{9C0F8284-41E2-4C79-95B3-F60B463BD7E2}"/>
    <cellStyle name="Ввод  3 30 3" xfId="45990" xr:uid="{B1E4D7B1-9DB1-4AC0-97E7-A368F47384AD}"/>
    <cellStyle name="Ввод  3 31" xfId="17658" xr:uid="{81EAD5C0-B391-4EDE-8B9C-A2325C5E6233}"/>
    <cellStyle name="Ввод  3 31 2" xfId="33381" xr:uid="{E1125947-040C-4820-B12E-8147EAFA12AE}"/>
    <cellStyle name="Ввод  3 31 3" xfId="47170" xr:uid="{FE61E725-2710-432E-8678-E01C4A2112FA}"/>
    <cellStyle name="Ввод  3 32" xfId="33559" xr:uid="{00AB9741-F813-4306-B390-43A6F3C1D10A}"/>
    <cellStyle name="Ввод  3 4" xfId="3458" xr:uid="{23B9AF21-C0D0-456C-92FF-D4F3237063FE}"/>
    <cellStyle name="Ввод  3 4 10" xfId="34474" xr:uid="{E1D171ED-D6D2-4F34-929E-25C01BA1010E}"/>
    <cellStyle name="Ввод  3 4 2" xfId="2800" xr:uid="{EC5BECC3-03FD-4723-BE63-31040B45E347}"/>
    <cellStyle name="Ввод  3 4 2 2" xfId="8096" xr:uid="{6EA4C011-A812-43B4-9EAF-0EA6B5B43CEB}"/>
    <cellStyle name="Ввод  3 4 2 2 2" xfId="17373" xr:uid="{66EE96C6-52F9-46C2-8F48-68B5EB929FED}"/>
    <cellStyle name="Ввод  3 4 2 2 2 2" xfId="33127" xr:uid="{200C86CF-DB40-42CF-A9CC-2F5E434E806C}"/>
    <cellStyle name="Ввод  3 4 2 2 2 3" xfId="46903" xr:uid="{5EBC6860-9E3F-48E8-8F46-0499EB8B7545}"/>
    <cellStyle name="Ввод  3 4 2 2 3" xfId="25607" xr:uid="{637AC9B4-55BF-450A-89F3-3AC1E2E9FF4D}"/>
    <cellStyle name="Ввод  3 4 2 2 4" xfId="38683" xr:uid="{CC151DBC-E9B8-4CD2-8438-E4704A908AE7}"/>
    <cellStyle name="Ввод  3 4 2 3" xfId="6463" xr:uid="{C188BAF5-5392-4D29-AF5E-CDE0121EBCE5}"/>
    <cellStyle name="Ввод  3 4 2 3 2" xfId="13201" xr:uid="{4279AF6C-0D67-4298-A603-902FE5A5A040}"/>
    <cellStyle name="Ввод  3 4 2 3 2 2" xfId="29703" xr:uid="{DF4F56E1-29B3-4D26-95B4-4B4898FA5913}"/>
    <cellStyle name="Ввод  3 4 2 3 2 3" xfId="43022" xr:uid="{66D9A2B5-6B27-41CE-828A-DF501964A4B7}"/>
    <cellStyle name="Ввод  3 4 2 3 3" xfId="24098" xr:uid="{7305A58A-7687-4355-8552-8BB9C0ACC38A}"/>
    <cellStyle name="Ввод  3 4 2 3 4" xfId="37179" xr:uid="{05DFB6EA-7E2C-4C3F-A662-11A4A689B18F}"/>
    <cellStyle name="Ввод  3 4 2 4" xfId="16737" xr:uid="{2C13490E-8966-4AB7-82FD-B02387200855}"/>
    <cellStyle name="Ввод  3 4 2 4 2" xfId="32620" xr:uid="{165BCDE8-6AB9-4051-8334-8AFDB3DDE705}"/>
    <cellStyle name="Ввод  3 4 2 4 3" xfId="46280" xr:uid="{38705763-4D44-44AA-B4D7-263818B38053}"/>
    <cellStyle name="Ввод  3 4 2 5" xfId="20850" xr:uid="{313E50BA-373A-4323-985D-7CB6155BF9BC}"/>
    <cellStyle name="Ввод  3 4 2 6" xfId="33873" xr:uid="{0936A519-84CD-44FC-953D-67E10BEEFEAC}"/>
    <cellStyle name="Ввод  3 4 3" xfId="4167" xr:uid="{780ECAAF-16FE-4208-9691-677F7BA114AC}"/>
    <cellStyle name="Ввод  3 4 3 2" xfId="9219" xr:uid="{D97FA0A2-1CAC-45A0-96B7-C35E07EE20C8}"/>
    <cellStyle name="Ввод  3 4 3 2 2" xfId="14226" xr:uid="{B1B38671-74F6-4B2E-A59E-BC522A18CCEF}"/>
    <cellStyle name="Ввод  3 4 3 2 2 2" xfId="30571" xr:uid="{27F32584-48DD-48E0-85D4-2453CCBCED29}"/>
    <cellStyle name="Ввод  3 4 3 2 2 3" xfId="43963" xr:uid="{DD693D21-8561-457C-8DC3-87D23D3FD596}"/>
    <cellStyle name="Ввод  3 4 3 2 3" xfId="26694" xr:uid="{ED0B8270-C7D1-4E02-BBFA-529B94AB5C32}"/>
    <cellStyle name="Ввод  3 4 3 2 4" xfId="39770" xr:uid="{0CF98C0A-AF86-409A-82CA-E09603265481}"/>
    <cellStyle name="Ввод  3 4 3 3" xfId="7731" xr:uid="{B16652DE-1D31-48E9-8D4B-B0C1B3868915}"/>
    <cellStyle name="Ввод  3 4 3 3 2" xfId="13984" xr:uid="{B66E6A90-6720-4EEC-A1E8-70B8BE92505F}"/>
    <cellStyle name="Ввод  3 4 3 3 2 2" xfId="30370" xr:uid="{9CC76F8B-73AD-4BBC-8B26-DC35F0773588}"/>
    <cellStyle name="Ввод  3 4 3 3 2 3" xfId="43748" xr:uid="{7B98CE63-5D8B-4232-ACAD-09CD4745F701}"/>
    <cellStyle name="Ввод  3 4 3 3 3" xfId="25253" xr:uid="{1799CD67-B41A-4B88-8CA1-2FFEFCA50736}"/>
    <cellStyle name="Ввод  3 4 3 3 4" xfId="38329" xr:uid="{8AF2FFF2-9CED-4E72-8A47-12D0F7056BBD}"/>
    <cellStyle name="Ввод  3 4 3 4" xfId="11247" xr:uid="{9670BB9C-35B0-4953-B994-DC4FD1ACBEB1}"/>
    <cellStyle name="Ввод  3 4 3 4 2" xfId="28037" xr:uid="{DED9DB49-15F6-4FC1-A919-22A8506EA5FC}"/>
    <cellStyle name="Ввод  3 4 3 4 3" xfId="41219" xr:uid="{FBB1C073-C369-4EB7-A1D4-411785A276E4}"/>
    <cellStyle name="Ввод  3 4 3 5" xfId="21994" xr:uid="{8D814C87-25B1-42C5-8546-85CEFF029704}"/>
    <cellStyle name="Ввод  3 4 3 6" xfId="35043" xr:uid="{FFA3F6E4-8832-40D1-89CF-3BABB8E7E079}"/>
    <cellStyle name="Ввод  3 4 4" xfId="2894" xr:uid="{B02BDD25-C484-47DD-965B-BA2FDF7134CC}"/>
    <cellStyle name="Ввод  3 4 4 2" xfId="8190" xr:uid="{8F5A5051-8ED6-4274-ABF4-E19E6D3232B1}"/>
    <cellStyle name="Ввод  3 4 4 2 2" xfId="11014" xr:uid="{AC5F0881-3E1B-47C1-9629-7E60F5EDE695}"/>
    <cellStyle name="Ввод  3 4 4 2 2 2" xfId="27821" xr:uid="{E864C868-E320-4F63-B492-F66812DDC199}"/>
    <cellStyle name="Ввод  3 4 4 2 2 3" xfId="40994" xr:uid="{2E9C4914-2F89-4B76-A506-A23F3A9CA5F7}"/>
    <cellStyle name="Ввод  3 4 4 2 3" xfId="25701" xr:uid="{E7CDE07F-F819-4FE0-B428-2A1FA814E847}"/>
    <cellStyle name="Ввод  3 4 4 2 4" xfId="38777" xr:uid="{23211B74-4479-48E0-A634-6325F0481883}"/>
    <cellStyle name="Ввод  3 4 4 3" xfId="6557" xr:uid="{BDFC41AA-B7CC-45AE-99C4-A98AAE249864}"/>
    <cellStyle name="Ввод  3 4 4 3 2" xfId="13297" xr:uid="{8FD9427B-C5AA-4CB6-AEA6-3792C970E3C9}"/>
    <cellStyle name="Ввод  3 4 4 3 2 2" xfId="29785" xr:uid="{E93C81FF-ACF5-4F72-B99E-66447968D3EB}"/>
    <cellStyle name="Ввод  3 4 4 3 2 3" xfId="43113" xr:uid="{5E0C227F-6604-41F9-BEFB-551C9BEF67A8}"/>
    <cellStyle name="Ввод  3 4 4 3 3" xfId="24192" xr:uid="{BA31CC8E-C3DC-4A43-BE4C-1006051CF090}"/>
    <cellStyle name="Ввод  3 4 4 3 4" xfId="37273" xr:uid="{A79424DD-5B8F-4F37-B6E4-1FA637E2E546}"/>
    <cellStyle name="Ввод  3 4 4 4" xfId="11154" xr:uid="{094179B8-8261-4E2C-BC6A-13D2E70E0A1C}"/>
    <cellStyle name="Ввод  3 4 4 4 2" xfId="27949" xr:uid="{FB35CBDB-F270-4509-8D7D-120759F44431}"/>
    <cellStyle name="Ввод  3 4 4 4 3" xfId="41130" xr:uid="{258E15AE-46B9-4ED5-ADE6-4EC72A4DA22C}"/>
    <cellStyle name="Ввод  3 4 4 5" xfId="20944" xr:uid="{14C21E08-AF2F-4993-A8D4-B7C6C31AA1FF}"/>
    <cellStyle name="Ввод  3 4 4 6" xfId="33967" xr:uid="{A541B764-4A52-47B6-BB12-C2753B6C38D4}"/>
    <cellStyle name="Ввод  3 4 5" xfId="4207" xr:uid="{AEF684F2-0742-4F72-A27D-A62A4BED4D2B}"/>
    <cellStyle name="Ввод  3 4 5 2" xfId="9259" xr:uid="{DBA22E1D-4838-4C18-A1EF-3911CD99BEE8}"/>
    <cellStyle name="Ввод  3 4 5 2 2" xfId="13370" xr:uid="{6DFBB162-CE2D-4F2C-8AED-8E8B692E7137}"/>
    <cellStyle name="Ввод  3 4 5 2 2 2" xfId="29844" xr:uid="{78296974-DC47-450C-905F-C6656F888DCA}"/>
    <cellStyle name="Ввод  3 4 5 2 2 3" xfId="43179" xr:uid="{9187ED4D-A375-461A-BB8C-7E883AD02D34}"/>
    <cellStyle name="Ввод  3 4 5 2 3" xfId="26734" xr:uid="{A54926BA-73F6-4FA2-8818-20B9F7FCC822}"/>
    <cellStyle name="Ввод  3 4 5 2 4" xfId="39810" xr:uid="{319F263F-68A2-439C-A84E-BD3F8BD1C0EC}"/>
    <cellStyle name="Ввод  3 4 5 3" xfId="7771" xr:uid="{256BB7D4-71A8-42A9-8BEB-FBAF11D22CC3}"/>
    <cellStyle name="Ввод  3 4 5 3 2" xfId="12976" xr:uid="{9EB5B216-6D79-4D02-B017-065886595BEB}"/>
    <cellStyle name="Ввод  3 4 5 3 2 2" xfId="29514" xr:uid="{572429AC-2E13-4D4C-AC7D-35A1F3AC5C72}"/>
    <cellStyle name="Ввод  3 4 5 3 2 3" xfId="42813" xr:uid="{404F6C80-C8D9-45C4-9944-1CECF754696D}"/>
    <cellStyle name="Ввод  3 4 5 3 3" xfId="25293" xr:uid="{960E23B5-F63A-4C77-8792-3A7FE8E83D4B}"/>
    <cellStyle name="Ввод  3 4 5 3 4" xfId="38369" xr:uid="{8FDDD230-028B-4A52-8123-2F3824BF4C74}"/>
    <cellStyle name="Ввод  3 4 5 4" xfId="11678" xr:uid="{970ED172-5322-4BA5-8564-E03DA7539B65}"/>
    <cellStyle name="Ввод  3 4 5 4 2" xfId="28415" xr:uid="{C75BF755-8EC8-4186-8C22-036624F290AF}"/>
    <cellStyle name="Ввод  3 4 5 4 3" xfId="41621" xr:uid="{839EC4EC-9C5A-4908-ADAA-96959D4CFBCF}"/>
    <cellStyle name="Ввод  3 4 5 5" xfId="22034" xr:uid="{B981A907-9764-4138-9706-2DD0C63A4FC5}"/>
    <cellStyle name="Ввод  3 4 5 6" xfId="35083" xr:uid="{D61EA687-6D55-4E34-963B-9F4B647BB8F1}"/>
    <cellStyle name="Ввод  3 4 6" xfId="4460" xr:uid="{07595789-906D-44D8-B35D-8F1ED167B69A}"/>
    <cellStyle name="Ввод  3 4 6 2" xfId="7100" xr:uid="{03439A7A-E531-4B9C-B1B7-DC4B955FC6AB}"/>
    <cellStyle name="Ввод  3 4 6 2 2" xfId="14464" xr:uid="{3E9401DC-0BD9-4943-AF79-94C74B723197}"/>
    <cellStyle name="Ввод  3 4 6 2 2 2" xfId="30790" xr:uid="{D83DE3F1-0DB4-4247-AE77-EC57F037C8B2}"/>
    <cellStyle name="Ввод  3 4 6 2 2 3" xfId="44193" xr:uid="{98036977-FA2B-4920-B653-21A8EF743FF2}"/>
    <cellStyle name="Ввод  3 4 6 2 3" xfId="24699" xr:uid="{B883DF13-D149-4745-825B-4A31D51EA5AE}"/>
    <cellStyle name="Ввод  3 4 6 2 4" xfId="37780" xr:uid="{FECBA5AE-533F-4CB7-A4B3-6C7A9397A95A}"/>
    <cellStyle name="Ввод  3 4 6 3" xfId="12395" xr:uid="{4DEDE53F-8520-4BD2-AB01-56B9E66DF56C}"/>
    <cellStyle name="Ввод  3 4 6 3 2" xfId="29060" xr:uid="{3E6A9E6C-3E8E-4159-BE05-5AD330184733}"/>
    <cellStyle name="Ввод  3 4 6 3 3" xfId="42301" xr:uid="{66609E59-4D80-4B60-B5C1-FF49AE0DF54D}"/>
    <cellStyle name="Ввод  3 4 6 4" xfId="22278" xr:uid="{F5835750-63F1-4026-BDD7-C590EE3B928B}"/>
    <cellStyle name="Ввод  3 4 6 5" xfId="35327" xr:uid="{0A803B6E-2899-40DB-A524-7568103A891D}"/>
    <cellStyle name="Ввод  3 4 7" xfId="5513" xr:uid="{A7B1F0DC-3DE7-4330-A2A5-F660B0B23B20}"/>
    <cellStyle name="Ввод  3 4 7 2" xfId="8695" xr:uid="{EBD98B68-DCFF-418B-AF75-777D0F1CDFC5}"/>
    <cellStyle name="Ввод  3 4 7 2 2" xfId="12781" xr:uid="{52B7CC6C-1B91-47F3-9151-DC01197BB824}"/>
    <cellStyle name="Ввод  3 4 7 2 2 2" xfId="29356" xr:uid="{F3F9460B-DA2B-4F2B-8ED9-AA4A06E73470}"/>
    <cellStyle name="Ввод  3 4 7 2 2 3" xfId="42636" xr:uid="{CABDB59E-CC6B-4DAF-8B96-AD02231596DC}"/>
    <cellStyle name="Ввод  3 4 7 2 3" xfId="26188" xr:uid="{4F323818-CDF5-4BD6-82C7-44D38ECE7C7C}"/>
    <cellStyle name="Ввод  3 4 7 2 4" xfId="39264" xr:uid="{0348AEEE-D58E-468B-BABD-5F0FC5D291DD}"/>
    <cellStyle name="Ввод  3 4 7 3" xfId="10676" xr:uid="{2C5C2103-FBDD-4BD9-A02C-976141BE887B}"/>
    <cellStyle name="Ввод  3 4 7 3 2" xfId="27526" xr:uid="{2BBDD46D-5F11-4FD6-8005-47100D38B2BD}"/>
    <cellStyle name="Ввод  3 4 7 3 3" xfId="40657" xr:uid="{A58DD62F-E4C6-4D87-B2EA-DE63F215256A}"/>
    <cellStyle name="Ввод  3 4 7 4" xfId="23160" xr:uid="{0F5024EF-2530-4B50-B70C-DD672A9959AA}"/>
    <cellStyle name="Ввод  3 4 7 5" xfId="36241" xr:uid="{E14A8203-F212-414C-94A1-9BE1F5DBE97E}"/>
    <cellStyle name="Ввод  3 4 8" xfId="16009" xr:uid="{0D1A4A42-B2A4-471E-869E-80AAFFF89B80}"/>
    <cellStyle name="Ввод  3 4 8 2" xfId="32079" xr:uid="{0618E8F5-FB5E-4377-852F-939B62CAE22F}"/>
    <cellStyle name="Ввод  3 4 8 3" xfId="45598" xr:uid="{26155D07-DB24-4713-8E2E-DBBE640122E3}"/>
    <cellStyle name="Ввод  3 4 9" xfId="21430" xr:uid="{C903931E-F3A4-4B56-B13D-9F1471CFA0CA}"/>
    <cellStyle name="Ввод  3 5" xfId="3435" xr:uid="{B089D49C-5478-4ED8-81EE-B35FE162D6FB}"/>
    <cellStyle name="Ввод  3 5 2" xfId="2777" xr:uid="{286A4E79-1494-419B-A10A-40B97E174A1F}"/>
    <cellStyle name="Ввод  3 5 2 2" xfId="8073" xr:uid="{061DCE61-3998-44EB-80CC-287BEEC13FF0}"/>
    <cellStyle name="Ввод  3 5 2 2 2" xfId="17094" xr:uid="{4D64FC8F-9E1F-4059-AE0F-758968914061}"/>
    <cellStyle name="Ввод  3 5 2 2 2 2" xfId="32863" xr:uid="{7270C620-B44C-4612-9359-4F03601B52A8}"/>
    <cellStyle name="Ввод  3 5 2 2 2 3" xfId="46634" xr:uid="{345CE20D-7891-4A27-A9A3-ECE27E35F2C4}"/>
    <cellStyle name="Ввод  3 5 2 2 3" xfId="25584" xr:uid="{FC5DD9D0-C55B-45BA-974D-2216ABA7DBC9}"/>
    <cellStyle name="Ввод  3 5 2 2 4" xfId="38660" xr:uid="{3CB908BA-EA76-49E3-AC33-FFB04C93C498}"/>
    <cellStyle name="Ввод  3 5 2 3" xfId="6440" xr:uid="{73B3B3B4-271D-4AEC-8F3A-BCE7CD8721A7}"/>
    <cellStyle name="Ввод  3 5 2 3 2" xfId="14191" xr:uid="{343D5AE0-6F4E-489E-8D96-486270CD34CF}"/>
    <cellStyle name="Ввод  3 5 2 3 2 2" xfId="30540" xr:uid="{7F985E9F-5AC5-434A-91A3-4FDEA865DF0C}"/>
    <cellStyle name="Ввод  3 5 2 3 2 3" xfId="43928" xr:uid="{ABB6BB0B-36D1-4081-8DD5-52660C7910E8}"/>
    <cellStyle name="Ввод  3 5 2 3 3" xfId="24075" xr:uid="{AE927562-EC8E-494C-BB43-D79504090265}"/>
    <cellStyle name="Ввод  3 5 2 3 4" xfId="37156" xr:uid="{1C37C85B-7702-41DD-A743-C6DD3F7EABC5}"/>
    <cellStyle name="Ввод  3 5 2 4" xfId="11694" xr:uid="{AFEB110E-CAE9-489E-9DD2-3C3EF35B267B}"/>
    <cellStyle name="Ввод  3 5 2 4 2" xfId="28427" xr:uid="{E2C2EDBB-E9F0-46B0-9D20-313DB1A3E05B}"/>
    <cellStyle name="Ввод  3 5 2 4 3" xfId="41637" xr:uid="{DAAF9276-30F2-4BB7-A251-5AC0E55F53B7}"/>
    <cellStyle name="Ввод  3 5 2 5" xfId="20827" xr:uid="{D8BD1B2F-D237-4B9B-8641-05C243FF38F0}"/>
    <cellStyle name="Ввод  3 5 2 6" xfId="33850" xr:uid="{94E0013B-50BF-4E60-B988-C08AD42EACA6}"/>
    <cellStyle name="Ввод  3 5 3" xfId="4437" xr:uid="{E67A0DFC-3545-413A-92D8-07E143FAAD50}"/>
    <cellStyle name="Ввод  3 5 3 2" xfId="7077" xr:uid="{C72D6E89-E92C-4BCB-8CFE-7EA0B5EE3567}"/>
    <cellStyle name="Ввод  3 5 3 2 2" xfId="14971" xr:uid="{D40EC8DB-520B-401B-BEE0-B0C0DAC38E25}"/>
    <cellStyle name="Ввод  3 5 3 2 2 2" xfId="31207" xr:uid="{A877F9D4-FA53-41B3-A8CD-1A9947E6A2B3}"/>
    <cellStyle name="Ввод  3 5 3 2 2 3" xfId="44655" xr:uid="{CFCDB6B0-BF7F-4BF6-BEF6-AB590725B435}"/>
    <cellStyle name="Ввод  3 5 3 2 3" xfId="24676" xr:uid="{4A478F99-83CD-4EA4-BC1B-0ACA12C9C128}"/>
    <cellStyle name="Ввод  3 5 3 2 4" xfId="37757" xr:uid="{7EC27144-9042-4CE6-8CA0-26E5086B7A4C}"/>
    <cellStyle name="Ввод  3 5 3 3" xfId="13591" xr:uid="{F2919F31-7060-4D64-B17C-A13C67CC7EC3}"/>
    <cellStyle name="Ввод  3 5 3 3 2" xfId="30031" xr:uid="{8E7BFB99-7AD8-4EED-A7E2-1356CFA43A59}"/>
    <cellStyle name="Ввод  3 5 3 3 3" xfId="43383" xr:uid="{BF4E665D-F246-40DF-BE45-A2291D05BA13}"/>
    <cellStyle name="Ввод  3 5 3 4" xfId="22255" xr:uid="{92203623-A3E9-4108-AB96-41722F7EE185}"/>
    <cellStyle name="Ввод  3 5 3 5" xfId="35304" xr:uid="{7A11AA1D-4741-4E59-A9CA-7DDCFDCA8E52}"/>
    <cellStyle name="Ввод  3 5 4" xfId="5490" xr:uid="{BFBDBE44-D1E0-41F8-B1B4-CC8486CB5DCD}"/>
    <cellStyle name="Ввод  3 5 4 2" xfId="8672" xr:uid="{EAFE32D6-B329-40E8-8D29-7732275BD58F}"/>
    <cellStyle name="Ввод  3 5 4 2 2" xfId="17460" xr:uid="{AD44C6A6-219B-49D9-9805-D2AE8E4E0A3D}"/>
    <cellStyle name="Ввод  3 5 4 2 2 2" xfId="33204" xr:uid="{48D177E3-B4B8-45E4-90F6-23788B8138AB}"/>
    <cellStyle name="Ввод  3 5 4 2 2 3" xfId="46989" xr:uid="{58C8BE31-B15B-4C05-9848-41286B24AB86}"/>
    <cellStyle name="Ввод  3 5 4 2 3" xfId="26165" xr:uid="{4946C696-1AAB-4652-BE00-20DCE915AF6B}"/>
    <cellStyle name="Ввод  3 5 4 2 4" xfId="39241" xr:uid="{0F032D65-8F52-41A6-9E57-04EBA32237B7}"/>
    <cellStyle name="Ввод  3 5 4 3" xfId="15766" xr:uid="{6CC680B7-A631-4676-B63A-7F7F26B7CAE5}"/>
    <cellStyle name="Ввод  3 5 4 3 2" xfId="31869" xr:uid="{5E6697DD-8169-4DA0-893E-ABFEBABEC170}"/>
    <cellStyle name="Ввод  3 5 4 3 3" xfId="45380" xr:uid="{A8D3C4E2-F9DC-4851-ADF7-B943C5C28778}"/>
    <cellStyle name="Ввод  3 5 4 4" xfId="23137" xr:uid="{8B70EA3A-EFCA-4479-B333-6E2ED8810849}"/>
    <cellStyle name="Ввод  3 5 4 5" xfId="36218" xr:uid="{8597AA78-98B7-40FB-973F-21FE85267030}"/>
    <cellStyle name="Ввод  3 5 5" xfId="12517" xr:uid="{EC1858B3-FB69-4F54-B42B-9F5B934E331C}"/>
    <cellStyle name="Ввод  3 5 5 2" xfId="29149" xr:uid="{2B9A7D65-F5CE-4182-BB32-8A4793A4189D}"/>
    <cellStyle name="Ввод  3 5 5 3" xfId="42404" xr:uid="{F5B57779-FFCC-478E-AE60-432349148934}"/>
    <cellStyle name="Ввод  3 5 6" xfId="21419" xr:uid="{936968F6-1E01-49CF-9CBD-CC63AA62938F}"/>
    <cellStyle name="Ввод  3 5 7" xfId="34451" xr:uid="{247D4DF7-84B5-42A9-99DE-6E9E87793E25}"/>
    <cellStyle name="Ввод  3 6" xfId="3321" xr:uid="{7ADA213A-3812-4777-A70E-33DBC1FE212B}"/>
    <cellStyle name="Ввод  3 6 2" xfId="2683" xr:uid="{87FCFFF0-AC5B-4547-A3BC-2C830690B334}"/>
    <cellStyle name="Ввод  3 6 2 2" xfId="7979" xr:uid="{4B118B24-A38C-41BD-A13E-ECE3E730F45C}"/>
    <cellStyle name="Ввод  3 6 2 2 2" xfId="12121" xr:uid="{B8C82CE5-3B77-4908-A788-39A87EDB04F7}"/>
    <cellStyle name="Ввод  3 6 2 2 2 2" xfId="28821" xr:uid="{269D7A90-FDC0-49A7-904A-C3FB1314AB98}"/>
    <cellStyle name="Ввод  3 6 2 2 2 3" xfId="42041" xr:uid="{6C21D83F-C0FC-4D01-ACF4-E69EC0BFA1D5}"/>
    <cellStyle name="Ввод  3 6 2 2 3" xfId="25495" xr:uid="{AFDC6CD1-56AB-4B26-8DAA-6C90241E2E22}"/>
    <cellStyle name="Ввод  3 6 2 2 4" xfId="38571" xr:uid="{B28BEDFF-2F3C-4958-A22C-E56D892A5EB2}"/>
    <cellStyle name="Ввод  3 6 2 3" xfId="6346" xr:uid="{4A0D6FC5-03C6-467F-ACA1-126925669064}"/>
    <cellStyle name="Ввод  3 6 2 3 2" xfId="16883" xr:uid="{519AE6CC-E36F-4995-B09D-B76BCA992308}"/>
    <cellStyle name="Ввод  3 6 2 3 2 2" xfId="32760" xr:uid="{8F8FDB03-BD24-4D86-B9BC-6B2F7AC839AF}"/>
    <cellStyle name="Ввод  3 6 2 3 2 3" xfId="46425" xr:uid="{182808AD-A033-421C-BE9C-35FD099AD199}"/>
    <cellStyle name="Ввод  3 6 2 3 3" xfId="23986" xr:uid="{333642FA-15AA-4D1D-89F8-7F03657A6832}"/>
    <cellStyle name="Ввод  3 6 2 3 4" xfId="37067" xr:uid="{C4418CD2-DCA5-44F3-89EE-AF427BE9A1E7}"/>
    <cellStyle name="Ввод  3 6 2 4" xfId="14243" xr:uid="{0752837C-892E-4D83-B7E8-1740C2E3542B}"/>
    <cellStyle name="Ввод  3 6 2 4 2" xfId="30588" xr:uid="{A45905D2-0FF9-409F-AA7C-86393854D247}"/>
    <cellStyle name="Ввод  3 6 2 4 3" xfId="43980" xr:uid="{5292EB17-2893-4920-9B9A-F335CDAA54DC}"/>
    <cellStyle name="Ввод  3 6 2 5" xfId="20738" xr:uid="{903ECDAB-092E-4792-9D3C-3B8607A918A9}"/>
    <cellStyle name="Ввод  3 6 2 6" xfId="33761" xr:uid="{3C6CAFD7-46F3-4C2F-88A4-1464015FB2E3}"/>
    <cellStyle name="Ввод  3 6 3" xfId="4352" xr:uid="{A0D03007-A0CC-4CBC-83CF-096EA8887137}"/>
    <cellStyle name="Ввод  3 6 3 2" xfId="6971" xr:uid="{F33F6FC3-F128-4E9A-ABF5-1B994B71DB14}"/>
    <cellStyle name="Ввод  3 6 3 2 2" xfId="13847" xr:uid="{468B7DF8-8E91-471E-B4D8-D13A1EB52EAA}"/>
    <cellStyle name="Ввод  3 6 3 2 2 2" xfId="30249" xr:uid="{8B6090B9-5527-4770-9AE2-56A8DA424800}"/>
    <cellStyle name="Ввод  3 6 3 2 2 3" xfId="43619" xr:uid="{316BF150-BC8C-45C3-A4FC-8C685C3FB606}"/>
    <cellStyle name="Ввод  3 6 3 2 3" xfId="24593" xr:uid="{925520B6-7513-46BA-B4DB-24D907130A0D}"/>
    <cellStyle name="Ввод  3 6 3 2 4" xfId="37674" xr:uid="{B73B7694-5334-464F-BA07-02D6BCC08B1D}"/>
    <cellStyle name="Ввод  3 6 3 3" xfId="15415" xr:uid="{7B56ACF3-F92D-4D7A-BA42-C26BA775E4BE}"/>
    <cellStyle name="Ввод  3 6 3 3 2" xfId="31566" xr:uid="{8E612D11-FDA6-405B-A382-58E1847B4B8D}"/>
    <cellStyle name="Ввод  3 6 3 3 3" xfId="45057" xr:uid="{6E7445B8-12B1-40E5-9A8D-478FA30F36C3}"/>
    <cellStyle name="Ввод  3 6 3 4" xfId="22172" xr:uid="{85B172A8-860C-46A9-9EA9-710AA136852C}"/>
    <cellStyle name="Ввод  3 6 3 5" xfId="35221" xr:uid="{2692239C-A64B-429F-982D-E32ACF7FDB97}"/>
    <cellStyle name="Ввод  3 6 4" xfId="5407" xr:uid="{43A336DC-538D-46A1-9C9D-31E9F867F2A8}"/>
    <cellStyle name="Ввод  3 6 4 2" xfId="8584" xr:uid="{6FFC1D2D-31CF-4153-84D2-2DE7C0D357D3}"/>
    <cellStyle name="Ввод  3 6 4 2 2" xfId="17429" xr:uid="{377D0BBA-3390-4028-BC27-98AFDB1C1B03}"/>
    <cellStyle name="Ввод  3 6 4 2 2 2" xfId="33183" xr:uid="{89A9FE09-CADC-49CA-8D77-B0E8D8B5B03D}"/>
    <cellStyle name="Ввод  3 6 4 2 2 3" xfId="46959" xr:uid="{1E5685E7-EED1-445E-B718-7EF0B85ED7E3}"/>
    <cellStyle name="Ввод  3 6 4 2 3" xfId="26082" xr:uid="{4A46E9E4-DF98-458F-8765-60B21F603CF3}"/>
    <cellStyle name="Ввод  3 6 4 2 4" xfId="39158" xr:uid="{F78B3092-EE86-4F48-8803-54CBB1913F07}"/>
    <cellStyle name="Ввод  3 6 4 3" xfId="10971" xr:uid="{F54DFFF3-4544-46E5-8E0C-F3E78C5EC0DE}"/>
    <cellStyle name="Ввод  3 6 4 3 2" xfId="27781" xr:uid="{EC9BECF6-5F0B-455E-9F08-6500F978CB3D}"/>
    <cellStyle name="Ввод  3 6 4 3 3" xfId="40951" xr:uid="{6006A52B-4D9D-493E-BAA2-BB1A07B7F1AB}"/>
    <cellStyle name="Ввод  3 6 4 4" xfId="23054" xr:uid="{E54B7624-CCDD-42B5-AF65-C40672A18CEC}"/>
    <cellStyle name="Ввод  3 6 4 5" xfId="36135" xr:uid="{0E6F7FA0-887F-473E-87F1-36BE47E1EBD5}"/>
    <cellStyle name="Ввод  3 6 5" xfId="16286" xr:uid="{D0DF6A0E-9291-47D7-B14B-744C25CD199C}"/>
    <cellStyle name="Ввод  3 6 5 2" xfId="32318" xr:uid="{A42EE1FA-402C-49AF-A665-ED849D1DF2EA}"/>
    <cellStyle name="Ввод  3 6 5 3" xfId="45848" xr:uid="{DBB441F5-7D8B-4F27-8503-DE9557216084}"/>
    <cellStyle name="Ввод  3 6 6" xfId="21345" xr:uid="{E6421E7B-1354-472B-9FD8-534B9E3445D4}"/>
    <cellStyle name="Ввод  3 6 7" xfId="34368" xr:uid="{F2A2CD34-AA51-4C31-B97D-31EC13738147}"/>
    <cellStyle name="Ввод  3 7" xfId="3462" xr:uid="{86117870-B4B7-4C89-BE3A-2C0A6AAF1686}"/>
    <cellStyle name="Ввод  3 7 2" xfId="2804" xr:uid="{8C83C52D-296E-4AFA-82A4-2FA591645E2F}"/>
    <cellStyle name="Ввод  3 7 2 2" xfId="8100" xr:uid="{1E53CC44-7805-466F-AAB5-484E1BD1CAD5}"/>
    <cellStyle name="Ввод  3 7 2 2 2" xfId="15346" xr:uid="{93CB9059-81C1-4B9B-B38A-49FCB3EF76A8}"/>
    <cellStyle name="Ввод  3 7 2 2 2 2" xfId="31503" xr:uid="{3F496B9B-FA07-433C-8FCD-9AA11AC63B38}"/>
    <cellStyle name="Ввод  3 7 2 2 2 3" xfId="44989" xr:uid="{5F246A60-A916-4577-BB3D-306C6E4352B5}"/>
    <cellStyle name="Ввод  3 7 2 2 3" xfId="25611" xr:uid="{A7FB6705-F992-4304-B31D-C67AF7186000}"/>
    <cellStyle name="Ввод  3 7 2 2 4" xfId="38687" xr:uid="{D02BCDEA-C49C-45C5-B3AE-25CCAB02137D}"/>
    <cellStyle name="Ввод  3 7 2 3" xfId="6467" xr:uid="{DD3A35BF-AECA-4605-B4EB-CEDA4F66FE7E}"/>
    <cellStyle name="Ввод  3 7 2 3 2" xfId="12098" xr:uid="{5165A2C7-F06D-4660-BCF4-C15AA7C831A1}"/>
    <cellStyle name="Ввод  3 7 2 3 2 2" xfId="28798" xr:uid="{32658061-DCE1-4676-AA27-55990D2278CE}"/>
    <cellStyle name="Ввод  3 7 2 3 2 3" xfId="42018" xr:uid="{EF855AB1-D316-4C34-A0EC-FACC2061943F}"/>
    <cellStyle name="Ввод  3 7 2 3 3" xfId="24102" xr:uid="{982E797B-2319-4478-B727-C9031386238C}"/>
    <cellStyle name="Ввод  3 7 2 3 4" xfId="37183" xr:uid="{69515597-1074-4E3E-89C0-67C027C93B8C}"/>
    <cellStyle name="Ввод  3 7 2 4" xfId="17326" xr:uid="{ABC5D7E9-1EB0-42C2-A0C4-1EC457DB9370}"/>
    <cellStyle name="Ввод  3 7 2 4 2" xfId="33080" xr:uid="{54327E90-592C-460F-A161-D9D79E0A6333}"/>
    <cellStyle name="Ввод  3 7 2 4 3" xfId="46856" xr:uid="{D33F8926-0223-4BB9-858E-CADA8C8C67A7}"/>
    <cellStyle name="Ввод  3 7 2 5" xfId="20854" xr:uid="{0FF11C0D-C4C1-4899-87E2-C24BDCDCCA89}"/>
    <cellStyle name="Ввод  3 7 2 6" xfId="33877" xr:uid="{73325E11-1A04-48F4-BEF7-77868CD2C1B8}"/>
    <cellStyle name="Ввод  3 7 3" xfId="4464" xr:uid="{DE8B4A46-3273-4AF6-82C1-A02C93997D53}"/>
    <cellStyle name="Ввод  3 7 3 2" xfId="7104" xr:uid="{E2724B6E-2653-49BB-A6E4-49D28DC7883C}"/>
    <cellStyle name="Ввод  3 7 3 2 2" xfId="13641" xr:uid="{F7EB1631-57DD-4B15-8ABE-64C7EB716A40}"/>
    <cellStyle name="Ввод  3 7 3 2 2 2" xfId="30073" xr:uid="{30B8EF4F-5681-4267-B6D9-9C6356D966E3}"/>
    <cellStyle name="Ввод  3 7 3 2 2 3" xfId="43429" xr:uid="{3305282F-78C0-4335-B65F-51AAD0BF7CEC}"/>
    <cellStyle name="Ввод  3 7 3 2 3" xfId="24703" xr:uid="{1EB84108-43FC-49BF-AD42-D178BD4BB718}"/>
    <cellStyle name="Ввод  3 7 3 2 4" xfId="37784" xr:uid="{F1AE353F-93D1-4F9D-9D32-AFEC14E8F079}"/>
    <cellStyle name="Ввод  3 7 3 3" xfId="14961" xr:uid="{4A66D02B-C209-4FBF-96F3-44D406646397}"/>
    <cellStyle name="Ввод  3 7 3 3 2" xfId="31199" xr:uid="{AAEA630E-56A8-4748-AE09-C9FA3306B6A9}"/>
    <cellStyle name="Ввод  3 7 3 3 3" xfId="44646" xr:uid="{1073AF94-FD25-4A45-913C-9F74B17EC449}"/>
    <cellStyle name="Ввод  3 7 3 4" xfId="22282" xr:uid="{4ECAB012-0792-45B2-A808-9B0CB3349A6D}"/>
    <cellStyle name="Ввод  3 7 3 5" xfId="35331" xr:uid="{B2BB6DEF-9C83-44C0-9CEF-B440DE3DF16A}"/>
    <cellStyle name="Ввод  3 7 4" xfId="5517" xr:uid="{BF410C07-046A-49DA-A221-A1E8516DBF97}"/>
    <cellStyle name="Ввод  3 7 4 2" xfId="8699" xr:uid="{2FB63928-0389-4294-9C34-9BA384DBACE0}"/>
    <cellStyle name="Ввод  3 7 4 2 2" xfId="12824" xr:uid="{EEA1DE35-459D-44E6-A432-C724039BC909}"/>
    <cellStyle name="Ввод  3 7 4 2 2 2" xfId="29396" xr:uid="{7EAC6FA6-D0E4-4269-B892-64747260513B}"/>
    <cellStyle name="Ввод  3 7 4 2 2 3" xfId="42678" xr:uid="{3C5B2DD8-C78B-493D-9F95-2E818D64FFE1}"/>
    <cellStyle name="Ввод  3 7 4 2 3" xfId="26192" xr:uid="{C51F01DC-CCC2-408F-82EC-BF7167CD4630}"/>
    <cellStyle name="Ввод  3 7 4 2 4" xfId="39268" xr:uid="{99052B0C-1014-402C-A89C-DDBECC76767F}"/>
    <cellStyle name="Ввод  3 7 4 3" xfId="17568" xr:uid="{B64D0444-9EED-4087-959A-CB1E68B4F58B}"/>
    <cellStyle name="Ввод  3 7 4 3 2" xfId="33305" xr:uid="{036F2C25-77A6-40F4-AE80-4A05C7FFFB9B}"/>
    <cellStyle name="Ввод  3 7 4 3 3" xfId="47093" xr:uid="{BE23B6FA-D9DB-4532-A1C6-AD00D4DE8F63}"/>
    <cellStyle name="Ввод  3 7 4 4" xfId="23164" xr:uid="{969EC6F1-2BFF-46E3-802A-45DAFB7ACD7F}"/>
    <cellStyle name="Ввод  3 7 4 5" xfId="36245" xr:uid="{308D1994-AD64-403F-9E24-2B38BF61D820}"/>
    <cellStyle name="Ввод  3 7 5" xfId="16386" xr:uid="{A4F63A05-EA7D-46C6-BCD3-90561F2E4A2E}"/>
    <cellStyle name="Ввод  3 7 5 2" xfId="32406" xr:uid="{35E4FC71-64F9-4684-9EB6-DC3C4A5EE649}"/>
    <cellStyle name="Ввод  3 7 5 3" xfId="45940" xr:uid="{F8BF8F33-E7D8-436C-9F75-8726DF2074C2}"/>
    <cellStyle name="Ввод  3 7 6" xfId="21434" xr:uid="{4E26AB49-4856-479F-9365-1D3D423E7994}"/>
    <cellStyle name="Ввод  3 7 7" xfId="34478" xr:uid="{0C4B9EC3-3810-4733-9261-185D9D53EBE6}"/>
    <cellStyle name="Ввод  3 8" xfId="3314" xr:uid="{C78CF4AB-20FE-4F49-9216-50C67F991601}"/>
    <cellStyle name="Ввод  3 8 2" xfId="2676" xr:uid="{342E7183-CA2A-4F60-AC77-9946072D450B}"/>
    <cellStyle name="Ввод  3 8 2 2" xfId="7972" xr:uid="{9B614993-A43C-4472-9126-4498D79F4641}"/>
    <cellStyle name="Ввод  3 8 2 2 2" xfId="11189" xr:uid="{4DB34E43-6447-4F41-B235-AFEE16FDBDF2}"/>
    <cellStyle name="Ввод  3 8 2 2 2 2" xfId="27983" xr:uid="{42699750-77DD-4B7E-8D06-F8B5C9E136C7}"/>
    <cellStyle name="Ввод  3 8 2 2 2 3" xfId="41165" xr:uid="{1CEE7DFF-3233-44E4-87CB-3128F8501055}"/>
    <cellStyle name="Ввод  3 8 2 2 3" xfId="25488" xr:uid="{A84C5225-8998-4D85-8A57-BB0E4392960B}"/>
    <cellStyle name="Ввод  3 8 2 2 4" xfId="38564" xr:uid="{54FF96DB-87D2-4288-B656-4013740BCF4A}"/>
    <cellStyle name="Ввод  3 8 2 3" xfId="6339" xr:uid="{CFE6358C-E7CA-49B3-9652-FD174CD6F042}"/>
    <cellStyle name="Ввод  3 8 2 3 2" xfId="13480" xr:uid="{139320D7-EDB4-4C0C-882E-1783656DCD54}"/>
    <cellStyle name="Ввод  3 8 2 3 2 2" xfId="29941" xr:uid="{30595F8E-7F68-4B1C-9F50-E53AF68BDB8C}"/>
    <cellStyle name="Ввод  3 8 2 3 2 3" xfId="43281" xr:uid="{55F02236-E2BE-45C2-8ACF-5C24054567F2}"/>
    <cellStyle name="Ввод  3 8 2 3 3" xfId="23979" xr:uid="{23D08A35-582E-4E8E-82CA-9BF19B7E5807}"/>
    <cellStyle name="Ввод  3 8 2 3 4" xfId="37060" xr:uid="{DD1E7236-9739-4608-90B6-878DA37B4869}"/>
    <cellStyle name="Ввод  3 8 2 4" xfId="12650" xr:uid="{DD676C95-26E7-4A56-A24E-C569B3FF80CE}"/>
    <cellStyle name="Ввод  3 8 2 4 2" xfId="29252" xr:uid="{CD0D36D1-AC91-4C8F-8E48-76130CBCB517}"/>
    <cellStyle name="Ввод  3 8 2 4 3" xfId="42521" xr:uid="{B3BEC70D-5937-43C6-9105-1F4165AAFAF0}"/>
    <cellStyle name="Ввод  3 8 2 5" xfId="20731" xr:uid="{19E03093-1F4E-4F0C-860C-97A7E3527D41}"/>
    <cellStyle name="Ввод  3 8 2 6" xfId="33754" xr:uid="{2AB6AB63-E29D-494B-A654-F6C1CAA8907D}"/>
    <cellStyle name="Ввод  3 8 3" xfId="4345" xr:uid="{1E0423C6-527F-47A9-B79A-82A4BF52950C}"/>
    <cellStyle name="Ввод  3 8 3 2" xfId="6964" xr:uid="{7D5A6C93-7257-47AA-8FB7-D9260162DCA0}"/>
    <cellStyle name="Ввод  3 8 3 2 2" xfId="17353" xr:uid="{71158BF8-581D-4538-9393-BBE78304C751}"/>
    <cellStyle name="Ввод  3 8 3 2 2 2" xfId="33107" xr:uid="{8A135FC9-3EED-4E3A-9508-10DFC6A68C46}"/>
    <cellStyle name="Ввод  3 8 3 2 2 3" xfId="46883" xr:uid="{8811DD52-5A79-4CD1-8FBC-3A7639EACA19}"/>
    <cellStyle name="Ввод  3 8 3 2 3" xfId="24586" xr:uid="{F20775F6-D816-4BFC-A45B-B67680EFFE20}"/>
    <cellStyle name="Ввод  3 8 3 2 4" xfId="37667" xr:uid="{7DB1DD2B-FB25-40B1-BB21-732E098B75BD}"/>
    <cellStyle name="Ввод  3 8 3 3" xfId="15049" xr:uid="{31EE16E9-2BAC-41D6-97DA-7CB3BC4272A9}"/>
    <cellStyle name="Ввод  3 8 3 3 2" xfId="31263" xr:uid="{DAEB26A2-BEE8-45DA-9CFA-BCC8B2CCBABF}"/>
    <cellStyle name="Ввод  3 8 3 3 3" xfId="44719" xr:uid="{02C6074A-2AEA-4807-9B8E-87E46B2E2B0F}"/>
    <cellStyle name="Ввод  3 8 3 4" xfId="22165" xr:uid="{B6C1503E-523D-4A73-8F85-F558E974F946}"/>
    <cellStyle name="Ввод  3 8 3 5" xfId="35214" xr:uid="{9835340A-1C93-4978-8F81-8DAFFC21173A}"/>
    <cellStyle name="Ввод  3 8 4" xfId="5400" xr:uid="{77AD0B85-601E-4B61-816A-57F581767183}"/>
    <cellStyle name="Ввод  3 8 4 2" xfId="8577" xr:uid="{A1714BC1-9F0F-4C37-91FB-3D5C1CEF7614}"/>
    <cellStyle name="Ввод  3 8 4 2 2" xfId="14570" xr:uid="{96679F9C-F0D7-4655-AE03-0E6189AD6E62}"/>
    <cellStyle name="Ввод  3 8 4 2 2 2" xfId="30875" xr:uid="{61DB4E9B-5F00-410B-A9B4-5B19C21AF5FC}"/>
    <cellStyle name="Ввод  3 8 4 2 2 3" xfId="44291" xr:uid="{8F5F1565-D322-40B3-A348-0336C7B99DC3}"/>
    <cellStyle name="Ввод  3 8 4 2 3" xfId="26075" xr:uid="{14EF3B5A-C4F1-44E6-A69E-434C0C6B0AE5}"/>
    <cellStyle name="Ввод  3 8 4 2 4" xfId="39151" xr:uid="{BF896FBA-EF04-4D41-830C-A92AEEC88779}"/>
    <cellStyle name="Ввод  3 8 4 3" xfId="16835" xr:uid="{1FCD98C5-7CD2-4DD2-8CAD-73BF4D7D3451}"/>
    <cellStyle name="Ввод  3 8 4 3 2" xfId="32713" xr:uid="{38EF43F1-FC16-46FD-A9A2-7091EDD5A757}"/>
    <cellStyle name="Ввод  3 8 4 3 3" xfId="46377" xr:uid="{02C13A44-21B6-4654-AAB0-E6D09B2823DF}"/>
    <cellStyle name="Ввод  3 8 4 4" xfId="23047" xr:uid="{9C9941DC-72D3-4228-B216-26E324595A9F}"/>
    <cellStyle name="Ввод  3 8 4 5" xfId="36128" xr:uid="{5846E910-1F8A-47ED-AF36-DF26728608DC}"/>
    <cellStyle name="Ввод  3 8 5" xfId="15863" xr:uid="{343E5CDC-9C8B-407C-A179-9247AEB51979}"/>
    <cellStyle name="Ввод  3 8 5 2" xfId="31952" xr:uid="{7F78800D-AE44-4478-AD40-4A06B7465B73}"/>
    <cellStyle name="Ввод  3 8 5 3" xfId="45466" xr:uid="{5132598E-28BD-4AFD-B174-BF30E5D2A8A9}"/>
    <cellStyle name="Ввод  3 8 6" xfId="21338" xr:uid="{AF1F83B2-D80C-4516-A4EE-46F0FC9E57B0}"/>
    <cellStyle name="Ввод  3 8 7" xfId="34361" xr:uid="{5D1E11A4-4E0F-43DC-B29F-E2C8F7C576C1}"/>
    <cellStyle name="Ввод  3 9" xfId="3590" xr:uid="{85567133-033F-4461-9F66-456F3F9C6788}"/>
    <cellStyle name="Ввод  3 9 2" xfId="2925" xr:uid="{57000FC6-33D6-417A-A5A6-7101DF97467B}"/>
    <cellStyle name="Ввод  3 9 2 2" xfId="8221" xr:uid="{F52B70D4-A353-48A5-B7B1-C4F0738E24BE}"/>
    <cellStyle name="Ввод  3 9 2 2 2" xfId="14666" xr:uid="{C018B265-56C6-4327-A524-9FE62F7FC3F9}"/>
    <cellStyle name="Ввод  3 9 2 2 2 2" xfId="30960" xr:uid="{AB05AE86-CDA8-4851-92B5-CA3A574C1060}"/>
    <cellStyle name="Ввод  3 9 2 2 2 3" xfId="44381" xr:uid="{2E8D0B96-B076-408C-9FF9-B58811EBAB8B}"/>
    <cellStyle name="Ввод  3 9 2 2 3" xfId="25732" xr:uid="{14F1B346-8A95-449D-B9B2-0B0E605ADF58}"/>
    <cellStyle name="Ввод  3 9 2 2 4" xfId="38808" xr:uid="{53AB0E39-08EC-418C-9C40-CE1D200A9A1D}"/>
    <cellStyle name="Ввод  3 9 2 3" xfId="6588" xr:uid="{20FBA5A0-48D8-4735-AF69-ACF31486B4A6}"/>
    <cellStyle name="Ввод  3 9 2 3 2" xfId="12381" xr:uid="{012B9DE8-A622-43A1-AE43-D3416E1D6862}"/>
    <cellStyle name="Ввод  3 9 2 3 2 2" xfId="29047" xr:uid="{C8C7D412-E2B2-49DC-BFFF-ED22DB587FF4}"/>
    <cellStyle name="Ввод  3 9 2 3 2 3" xfId="42287" xr:uid="{9F9BFCBB-210D-48A4-92E5-7DDB786A2737}"/>
    <cellStyle name="Ввод  3 9 2 3 3" xfId="24223" xr:uid="{3D3D1981-5869-4285-9A74-F2D4607C941B}"/>
    <cellStyle name="Ввод  3 9 2 3 4" xfId="37304" xr:uid="{28C506FC-7649-4A91-A7C1-022476291A80}"/>
    <cellStyle name="Ввод  3 9 2 4" xfId="14599" xr:uid="{762014CF-5115-40C8-A283-67818C1AC8E1}"/>
    <cellStyle name="Ввод  3 9 2 4 2" xfId="30899" xr:uid="{9E4295B5-24D1-49C1-AECC-6CECB1D96BF1}"/>
    <cellStyle name="Ввод  3 9 2 4 3" xfId="44318" xr:uid="{88C7A157-E106-4C79-9D15-96E6031DF345}"/>
    <cellStyle name="Ввод  3 9 2 5" xfId="20975" xr:uid="{4DACB1AD-6D38-44AF-B1DB-D1B72729236C}"/>
    <cellStyle name="Ввод  3 9 2 6" xfId="33998" xr:uid="{21CF77DE-D627-4DCC-A3C2-1E7E55A96BD4}"/>
    <cellStyle name="Ввод  3 9 3" xfId="4547" xr:uid="{46E876C7-D327-4194-9673-BD67758CDF40}"/>
    <cellStyle name="Ввод  3 9 3 2" xfId="7227" xr:uid="{1B7E3607-6884-42B9-A8E6-9491BD7FF8E8}"/>
    <cellStyle name="Ввод  3 9 3 2 2" xfId="13529" xr:uid="{84B43B70-BDD2-4EDB-A176-0FAA05905E2E}"/>
    <cellStyle name="Ввод  3 9 3 2 2 2" xfId="29980" xr:uid="{EDE20C87-B455-45E3-9468-033D15B01AB2}"/>
    <cellStyle name="Ввод  3 9 3 2 2 3" xfId="43325" xr:uid="{BD119E11-E528-471F-8B29-5CFEAB0D57F9}"/>
    <cellStyle name="Ввод  3 9 3 2 3" xfId="24821" xr:uid="{C26EFCB3-39DE-4651-9F5E-930FFBAFDB86}"/>
    <cellStyle name="Ввод  3 9 3 2 4" xfId="37902" xr:uid="{4A11B094-02A6-4C5E-987E-B618A061C417}"/>
    <cellStyle name="Ввод  3 9 3 3" xfId="15825" xr:uid="{94FD376C-2ECA-4B81-B4E0-005AF5DBFF4D}"/>
    <cellStyle name="Ввод  3 9 3 3 2" xfId="31919" xr:uid="{6A58D861-EE9B-4FF8-9DD7-0F22265F004A}"/>
    <cellStyle name="Ввод  3 9 3 3 3" xfId="45431" xr:uid="{8DF47E88-4A68-44CF-8DC5-5AF8D68C0C3B}"/>
    <cellStyle name="Ввод  3 9 3 4" xfId="22363" xr:uid="{5F4265B5-865F-458F-B947-A21C3809D0F3}"/>
    <cellStyle name="Ввод  3 9 3 5" xfId="35412" xr:uid="{EE672753-42B3-4074-90A9-A8E3DB1596AA}"/>
    <cellStyle name="Ввод  3 9 4" xfId="5635" xr:uid="{D71DD71A-0DDC-4419-A2AA-724959FB213D}"/>
    <cellStyle name="Ввод  3 9 4 2" xfId="8817" xr:uid="{F8401593-CE56-49E6-A16E-2924A7331E15}"/>
    <cellStyle name="Ввод  3 9 4 2 2" xfId="14541" xr:uid="{8447F4C5-55D0-4A9C-947E-9F1F9D11E076}"/>
    <cellStyle name="Ввод  3 9 4 2 2 2" xfId="30853" xr:uid="{DAC1B503-079B-4347-90A3-6F4DAFBE0F60}"/>
    <cellStyle name="Ввод  3 9 4 2 2 3" xfId="44265" xr:uid="{EF72C9DE-4993-4B51-8D6D-DB1D8FFDCA49}"/>
    <cellStyle name="Ввод  3 9 4 2 3" xfId="26310" xr:uid="{8599750C-6834-4E03-A846-AB23F0056741}"/>
    <cellStyle name="Ввод  3 9 4 2 4" xfId="39386" xr:uid="{E925BE3E-2691-4204-80BB-589321219355}"/>
    <cellStyle name="Ввод  3 9 4 3" xfId="15786" xr:uid="{A256739F-95A3-4579-B7F9-567938C2FFC2}"/>
    <cellStyle name="Ввод  3 9 4 3 2" xfId="31887" xr:uid="{550B4C9B-B238-4F9D-BC7F-661CCC13CEB5}"/>
    <cellStyle name="Ввод  3 9 4 3 3" xfId="45398" xr:uid="{415CF9E6-8C9C-496C-A741-6FA1FB42191A}"/>
    <cellStyle name="Ввод  3 9 4 4" xfId="23282" xr:uid="{7524EE4A-92B6-4CA1-8ECC-02F73F32B1A4}"/>
    <cellStyle name="Ввод  3 9 4 5" xfId="36363" xr:uid="{236696E8-AC5E-40FC-924D-56BB24980FDE}"/>
    <cellStyle name="Ввод  3 9 5" xfId="13565" xr:uid="{340DD854-833D-44FB-8F7D-DDD26D98231E}"/>
    <cellStyle name="Ввод  3 9 5 2" xfId="30009" xr:uid="{4625DA3E-DAFA-4506-98C2-8D5AB47F7F97}"/>
    <cellStyle name="Ввод  3 9 5 3" xfId="43358" xr:uid="{63B96861-BD72-49B8-B771-AEB97FBF865A}"/>
    <cellStyle name="Ввод  3 9 6" xfId="21544" xr:uid="{E0F289D9-48FF-4890-B81E-5756C54171A8}"/>
    <cellStyle name="Ввод  3 9 7" xfId="34597" xr:uid="{6981F3EC-6E34-421C-B289-C2E7A3E06CDD}"/>
    <cellStyle name="Ввод  4" xfId="2293" xr:uid="{7F935492-6466-45FC-BA86-84801327F85D}"/>
    <cellStyle name="Ввод  4 10" xfId="3718" xr:uid="{D09AF338-C95C-4EC1-9CEF-B4B671F996A8}"/>
    <cellStyle name="Ввод  4 10 2" xfId="3034" xr:uid="{50B0B3FE-1865-4318-BE3E-1BE3B989BFE4}"/>
    <cellStyle name="Ввод  4 10 2 2" xfId="8330" xr:uid="{EC29B79E-3ED7-4F83-9952-E9D775B3D14E}"/>
    <cellStyle name="Ввод  4 10 2 2 2" xfId="17397" xr:uid="{25414BCA-6386-4F4F-A848-0A51EFF762C7}"/>
    <cellStyle name="Ввод  4 10 2 2 2 2" xfId="33151" xr:uid="{279E3345-A4FC-4ADC-ACBF-21AB02A779E9}"/>
    <cellStyle name="Ввод  4 10 2 2 2 3" xfId="46927" xr:uid="{CC80AE35-4CF4-4D52-83ED-CA4B76C54D55}"/>
    <cellStyle name="Ввод  4 10 2 2 3" xfId="25834" xr:uid="{99B453A8-696B-4C59-B924-5E04902D3B34}"/>
    <cellStyle name="Ввод  4 10 2 2 4" xfId="38910" xr:uid="{6236396A-FDBA-4699-BBB1-BBECED38DBA9}"/>
    <cellStyle name="Ввод  4 10 2 3" xfId="6697" xr:uid="{40FCDEBC-847C-4F73-9003-19169A316822}"/>
    <cellStyle name="Ввод  4 10 2 3 2" xfId="12057" xr:uid="{A27EF465-3FBD-4F27-9F3F-2DCF53DAFA34}"/>
    <cellStyle name="Ввод  4 10 2 3 2 2" xfId="28757" xr:uid="{BC20E788-7D9B-46BA-A1CE-A14E48CDEF43}"/>
    <cellStyle name="Ввод  4 10 2 3 2 3" xfId="41977" xr:uid="{4E3924D5-E3E5-4CAE-8F4F-96F3C490D20E}"/>
    <cellStyle name="Ввод  4 10 2 3 3" xfId="24325" xr:uid="{3BEFD4DC-BB4A-471A-B439-215BA7BC9777}"/>
    <cellStyle name="Ввод  4 10 2 3 4" xfId="37406" xr:uid="{9C9D2B4B-1048-42A0-ADB5-30B7247AB4C2}"/>
    <cellStyle name="Ввод  4 10 2 4" xfId="16289" xr:uid="{547027C8-80DA-41E5-87BD-BED0C87605DD}"/>
    <cellStyle name="Ввод  4 10 2 4 2" xfId="32321" xr:uid="{DBED864D-84A9-4366-81E7-6B70A78D4D33}"/>
    <cellStyle name="Ввод  4 10 2 4 3" xfId="45851" xr:uid="{2CF0C4F1-559D-4E02-91F5-3E509275002F}"/>
    <cellStyle name="Ввод  4 10 2 5" xfId="21077" xr:uid="{99BFFD40-4965-4E1B-9B95-7963C3668962}"/>
    <cellStyle name="Ввод  4 10 2 6" xfId="34100" xr:uid="{6C4DF7D7-2D9B-44AC-B68B-EF52411242FA}"/>
    <cellStyle name="Ввод  4 10 3" xfId="4623" xr:uid="{46A49C19-DC93-45A9-8C9D-728807312F9D}"/>
    <cellStyle name="Ввод  4 10 3 2" xfId="7353" xr:uid="{6F13A8EB-B6C1-4DCF-927E-9A27BB884BEC}"/>
    <cellStyle name="Ввод  4 10 3 2 2" xfId="16070" xr:uid="{16AE781B-3681-43CF-A3A4-2042111F4BF7}"/>
    <cellStyle name="Ввод  4 10 3 2 2 2" xfId="32130" xr:uid="{4FE1C73C-56B4-4903-9166-77CAE7221FD1}"/>
    <cellStyle name="Ввод  4 10 3 2 2 3" xfId="45650" xr:uid="{D3F5688F-01E1-47EB-BDB7-178EE3E70A5A}"/>
    <cellStyle name="Ввод  4 10 3 2 3" xfId="24912" xr:uid="{B3BE5AE8-3B14-4933-91A0-1CCC054F6679}"/>
    <cellStyle name="Ввод  4 10 3 2 4" xfId="37992" xr:uid="{389EA04A-ADE1-4C49-B9FB-B73AA111F169}"/>
    <cellStyle name="Ввод  4 10 3 3" xfId="11722" xr:uid="{9FFE2E32-354D-4619-8BB7-296F5FE0EEE3}"/>
    <cellStyle name="Ввод  4 10 3 3 2" xfId="28451" xr:uid="{D6D553C0-0C93-4D11-997C-0C029D117A57}"/>
    <cellStyle name="Ввод  4 10 3 3 3" xfId="41661" xr:uid="{E9A9C7AB-3EE3-4CCF-817E-D135E11297A2}"/>
    <cellStyle name="Ввод  4 10 3 4" xfId="22433" xr:uid="{B4395274-CA3E-4364-8E0B-CB5B34D6CD1A}"/>
    <cellStyle name="Ввод  4 10 3 5" xfId="35486" xr:uid="{C57F3687-6698-4C4E-9510-57F09050BAAE}"/>
    <cellStyle name="Ввод  4 10 4" xfId="5725" xr:uid="{7BDF454A-8457-4370-B987-95F962567FDA}"/>
    <cellStyle name="Ввод  4 10 4 2" xfId="8914" xr:uid="{72215712-A235-4584-8E8A-0CD8FFEC2552}"/>
    <cellStyle name="Ввод  4 10 4 2 2" xfId="13551" xr:uid="{E80711F8-3362-4D19-8254-022872D85E5F}"/>
    <cellStyle name="Ввод  4 10 4 2 2 2" xfId="29996" xr:uid="{0FB6B6DD-6BE8-46E0-BA42-BC27952537E0}"/>
    <cellStyle name="Ввод  4 10 4 2 2 3" xfId="43345" xr:uid="{CE562CD1-D68A-4BB2-9D75-96AB08F9FC8D}"/>
    <cellStyle name="Ввод  4 10 4 2 3" xfId="26400" xr:uid="{F11D2D74-18C9-4AF4-B645-2AA34E489023}"/>
    <cellStyle name="Ввод  4 10 4 2 4" xfId="39476" xr:uid="{6B523D1B-A3C5-436D-9BCB-C86E0DFBD3F3}"/>
    <cellStyle name="Ввод  4 10 4 3" xfId="14579" xr:uid="{0674FE35-C6D4-47E7-9681-55F33331699D}"/>
    <cellStyle name="Ввод  4 10 4 3 2" xfId="30882" xr:uid="{36A313CC-7CE7-4D16-B600-3B13C6FF0CA1}"/>
    <cellStyle name="Ввод  4 10 4 3 3" xfId="44299" xr:uid="{8F23FB00-D2B9-4359-AE7D-B441881CB3FE}"/>
    <cellStyle name="Ввод  4 10 4 4" xfId="23372" xr:uid="{F21F7DC3-9C17-4CD9-9CAA-C6469E12A52B}"/>
    <cellStyle name="Ввод  4 10 4 5" xfId="36453" xr:uid="{163C3075-D086-491E-AC69-3E6CC1508016}"/>
    <cellStyle name="Ввод  4 10 5" xfId="11885" xr:uid="{138C08C4-BF31-4088-AFE4-C005DD0C1D55}"/>
    <cellStyle name="Ввод  4 10 5 2" xfId="28601" xr:uid="{1B2533A4-2C8F-4BB4-ADD8-BC245A698D8D}"/>
    <cellStyle name="Ввод  4 10 5 3" xfId="41817" xr:uid="{1FC35008-B21F-4B8B-A37D-77F33E1DDCC3}"/>
    <cellStyle name="Ввод  4 10 6" xfId="21634" xr:uid="{3A7E1162-0B38-453B-B9DE-7C44A16C1209}"/>
    <cellStyle name="Ввод  4 10 7" xfId="34688" xr:uid="{BE0B7B6D-CFFE-409F-A4C0-2DA399E454BD}"/>
    <cellStyle name="Ввод  4 11" xfId="3577" xr:uid="{18E59EEE-4017-4D7A-A402-23C9B0BF388C}"/>
    <cellStyle name="Ввод  4 11 2" xfId="2912" xr:uid="{17B49AF9-8BE9-409F-A266-9D5320785197}"/>
    <cellStyle name="Ввод  4 11 2 2" xfId="8208" xr:uid="{06A82A2D-D225-467A-B37F-74EE467E8A76}"/>
    <cellStyle name="Ввод  4 11 2 2 2" xfId="11042" xr:uid="{EC0D3BDA-F51E-405B-87B9-9D31F2783D98}"/>
    <cellStyle name="Ввод  4 11 2 2 2 2" xfId="27848" xr:uid="{5A074333-5034-44DC-A708-5E043552B76B}"/>
    <cellStyle name="Ввод  4 11 2 2 2 3" xfId="41022" xr:uid="{C4E69778-133C-46E5-B166-3E0D4DFE16F3}"/>
    <cellStyle name="Ввод  4 11 2 2 3" xfId="25719" xr:uid="{F60C1752-3F14-4BB3-8102-CD20071327DC}"/>
    <cellStyle name="Ввод  4 11 2 2 4" xfId="38795" xr:uid="{878B387A-BEE9-4380-82A8-51C5CE4BC7B5}"/>
    <cellStyle name="Ввод  4 11 2 3" xfId="6575" xr:uid="{D460A9F2-658E-4166-BBAE-0887ABE68B0A}"/>
    <cellStyle name="Ввод  4 11 2 3 2" xfId="12246" xr:uid="{7827CF6D-8D10-4588-B801-1EDAB16E3556}"/>
    <cellStyle name="Ввод  4 11 2 3 2 2" xfId="28927" xr:uid="{7243ABB3-5F16-46B5-ADF0-9170529F84E2}"/>
    <cellStyle name="Ввод  4 11 2 3 2 3" xfId="42160" xr:uid="{7CA4C018-DB42-40D3-8DAD-70E407A6A249}"/>
    <cellStyle name="Ввод  4 11 2 3 3" xfId="24210" xr:uid="{BFFF31D4-5B93-454C-B927-247546209101}"/>
    <cellStyle name="Ввод  4 11 2 3 4" xfId="37291" xr:uid="{00CDED91-F9D7-4123-A974-E34D5003EC13}"/>
    <cellStyle name="Ввод  4 11 2 4" xfId="14825" xr:uid="{A7482B76-EED9-432B-8FF2-D1C9E12D6387}"/>
    <cellStyle name="Ввод  4 11 2 4 2" xfId="31086" xr:uid="{45A8CA18-D00F-4F66-8860-A06999DEE6BD}"/>
    <cellStyle name="Ввод  4 11 2 4 3" xfId="44522" xr:uid="{D90747D4-DB22-43F2-AFAB-211916975126}"/>
    <cellStyle name="Ввод  4 11 2 5" xfId="20962" xr:uid="{480743B6-ABE2-4DED-8A43-FF79D8DC3FC5}"/>
    <cellStyle name="Ввод  4 11 2 6" xfId="33985" xr:uid="{8A58660A-9FF9-4E4B-A797-769ACFC0FE24}"/>
    <cellStyle name="Ввод  4 11 3" xfId="4668" xr:uid="{AA5F11C6-CFFF-479F-A1FA-C51CF72F6DA7}"/>
    <cellStyle name="Ввод  4 11 3 2" xfId="7214" xr:uid="{A0061A0B-DD13-4BEC-B9C3-E7E79D77B8BB}"/>
    <cellStyle name="Ввод  4 11 3 2 2" xfId="16167" xr:uid="{0472C763-B070-449B-AAC3-B45A866A0161}"/>
    <cellStyle name="Ввод  4 11 3 2 2 2" xfId="32216" xr:uid="{A1613BA4-89CF-4B96-9E4E-6072442A258A}"/>
    <cellStyle name="Ввод  4 11 3 2 2 3" xfId="45738" xr:uid="{B336F8B4-C933-4BE4-9916-44AC16DDC27F}"/>
    <cellStyle name="Ввод  4 11 3 2 3" xfId="24808" xr:uid="{F83A9F19-0A2C-4157-A50D-DBB22D5039D9}"/>
    <cellStyle name="Ввод  4 11 3 2 4" xfId="37889" xr:uid="{DB1EBBE6-A416-42A6-96E0-4B0DD3C1CDD9}"/>
    <cellStyle name="Ввод  4 11 3 3" xfId="12521" xr:uid="{8A0F038C-7278-4375-BAAF-ACFEFB095A2B}"/>
    <cellStyle name="Ввод  4 11 3 3 2" xfId="29150" xr:uid="{9FE17DFF-F50B-4213-B808-4BB8399AA2AB}"/>
    <cellStyle name="Ввод  4 11 3 3 3" xfId="42407" xr:uid="{EFAB0841-AA86-4B86-921E-91EA63E5BD8B}"/>
    <cellStyle name="Ввод  4 11 3 4" xfId="22478" xr:uid="{29117FEC-1D64-4391-8230-E01B13249E0F}"/>
    <cellStyle name="Ввод  4 11 3 5" xfId="35531" xr:uid="{66D46BE2-C350-4E5B-BD18-B8C1016095A1}"/>
    <cellStyle name="Ввод  4 11 4" xfId="5622" xr:uid="{1965C9C9-163C-4B42-979D-13D533B178F5}"/>
    <cellStyle name="Ввод  4 11 4 2" xfId="8804" xr:uid="{9CE2278E-40DA-4CA9-8B64-3E05E9C8EAD2}"/>
    <cellStyle name="Ввод  4 11 4 2 2" xfId="14537" xr:uid="{8FC19C38-AA6C-4330-A127-116BE032292A}"/>
    <cellStyle name="Ввод  4 11 4 2 2 2" xfId="30849" xr:uid="{D47AA179-6445-43DC-B361-187525DE5BDF}"/>
    <cellStyle name="Ввод  4 11 4 2 2 3" xfId="44261" xr:uid="{42273BE7-F4C3-4E8D-8F50-2C2E0D49C27C}"/>
    <cellStyle name="Ввод  4 11 4 2 3" xfId="26297" xr:uid="{E89EBE40-6CED-4E35-AD34-2ECFFC1E4DF4}"/>
    <cellStyle name="Ввод  4 11 4 2 4" xfId="39373" xr:uid="{00FB2CBE-73AF-468A-AAE0-7018BE29509A}"/>
    <cellStyle name="Ввод  4 11 4 3" xfId="15981" xr:uid="{768F8521-0A08-42A2-A12E-35AE87BE4A87}"/>
    <cellStyle name="Ввод  4 11 4 3 2" xfId="32055" xr:uid="{B2BEA69C-8AE0-4AFA-B5A9-7DCD7FFC9A4A}"/>
    <cellStyle name="Ввод  4 11 4 3 3" xfId="45574" xr:uid="{F1000612-F6F8-4366-BF61-CF9497FD4765}"/>
    <cellStyle name="Ввод  4 11 4 4" xfId="23269" xr:uid="{798970BD-F94A-4169-8118-9C0CF6197106}"/>
    <cellStyle name="Ввод  4 11 4 5" xfId="36350" xr:uid="{BDD48E31-6BEA-45EC-91A5-F30D9D9E0D70}"/>
    <cellStyle name="Ввод  4 11 5" xfId="12061" xr:uid="{0F3D8EDD-6A84-438F-B496-48ED61B5DB89}"/>
    <cellStyle name="Ввод  4 11 5 2" xfId="28761" xr:uid="{DA49AD8C-9CB6-4A25-88F4-0EACD68AAEB0}"/>
    <cellStyle name="Ввод  4 11 5 3" xfId="41981" xr:uid="{EADE1521-3B64-4157-A606-21578C0A139B}"/>
    <cellStyle name="Ввод  4 11 6" xfId="21531" xr:uid="{71B62B7C-55B3-407A-AF6B-D469344B4EBC}"/>
    <cellStyle name="Ввод  4 11 7" xfId="34584" xr:uid="{1B216BD9-122F-4E05-A1EA-3DEF815AEF5F}"/>
    <cellStyle name="Ввод  4 12" xfId="3701" xr:uid="{15249E6E-EFA3-44F4-A836-639FA85AF5D0}"/>
    <cellStyle name="Ввод  4 12 2" xfId="3017" xr:uid="{53889B0A-736F-4FBA-B432-2C8DEA105764}"/>
    <cellStyle name="Ввод  4 12 2 2" xfId="8313" xr:uid="{9D135BDC-7C46-4242-AB82-927DD9C616D5}"/>
    <cellStyle name="Ввод  4 12 2 2 2" xfId="14909" xr:uid="{F2201AF1-C9F9-45F1-A78F-DA7A50D45CDD}"/>
    <cellStyle name="Ввод  4 12 2 2 2 2" xfId="31155" xr:uid="{E1CE9B77-EE08-49DE-BF42-DE8DBE2DD62B}"/>
    <cellStyle name="Ввод  4 12 2 2 2 3" xfId="44598" xr:uid="{CBE5DAD5-E176-4F47-ADA9-38D20DA6EA18}"/>
    <cellStyle name="Ввод  4 12 2 2 3" xfId="25817" xr:uid="{D2DD4C59-877C-4B6D-A976-2F95BC90B506}"/>
    <cellStyle name="Ввод  4 12 2 2 4" xfId="38893" xr:uid="{BF7F7E44-BA30-4B7C-95EC-EB840861B047}"/>
    <cellStyle name="Ввод  4 12 2 3" xfId="6680" xr:uid="{B8E37873-5988-44CB-8014-9820E88BE889}"/>
    <cellStyle name="Ввод  4 12 2 3 2" xfId="17244" xr:uid="{8FD838EC-4755-4778-A150-D52801169AF9}"/>
    <cellStyle name="Ввод  4 12 2 3 2 2" xfId="33003" xr:uid="{CD9D1D8E-6E4A-4030-BAC4-C1EBCE5E389B}"/>
    <cellStyle name="Ввод  4 12 2 3 2 3" xfId="46778" xr:uid="{D519518A-B669-4926-881B-3208D1D4E892}"/>
    <cellStyle name="Ввод  4 12 2 3 3" xfId="24308" xr:uid="{7D25EF2F-1879-47D4-9830-F1FD18C7B2A2}"/>
    <cellStyle name="Ввод  4 12 2 3 4" xfId="37389" xr:uid="{6B602A32-4A51-478E-AB6D-467FD867D73B}"/>
    <cellStyle name="Ввод  4 12 2 4" xfId="11881" xr:uid="{99AEA78F-5189-4B5D-9F31-1CAE98F8EB78}"/>
    <cellStyle name="Ввод  4 12 2 4 2" xfId="28597" xr:uid="{B99D0545-E0BA-46E9-9259-E9F8BB688AAC}"/>
    <cellStyle name="Ввод  4 12 2 4 3" xfId="41813" xr:uid="{D0330D09-40B1-45E5-9B00-B48E5B866F4F}"/>
    <cellStyle name="Ввод  4 12 2 5" xfId="21060" xr:uid="{871EAEC1-F407-417B-8650-9169C0854283}"/>
    <cellStyle name="Ввод  4 12 2 6" xfId="34083" xr:uid="{ABC84247-8AD8-4714-9243-614975902C7A}"/>
    <cellStyle name="Ввод  4 12 3" xfId="4731" xr:uid="{E8AF1AD3-4FC6-4BAA-846F-7996AF46B2E0}"/>
    <cellStyle name="Ввод  4 12 3 2" xfId="7336" xr:uid="{F962A668-4DE0-4869-9D98-46B2D093FCEA}"/>
    <cellStyle name="Ввод  4 12 3 2 2" xfId="13136" xr:uid="{12210A38-1B89-4E95-B56D-E4ACA644B2CF}"/>
    <cellStyle name="Ввод  4 12 3 2 2 2" xfId="29650" xr:uid="{CB97E462-D7FB-4BE3-B3ED-0A092A724877}"/>
    <cellStyle name="Ввод  4 12 3 2 2 3" xfId="42962" xr:uid="{1C5B2860-774E-4E5F-8337-E92948B690A2}"/>
    <cellStyle name="Ввод  4 12 3 2 3" xfId="24895" xr:uid="{CCF50B1F-1B01-40D7-9B0F-0DA6C5817424}"/>
    <cellStyle name="Ввод  4 12 3 2 4" xfId="37975" xr:uid="{BADC98CD-EF38-4A37-A478-9DFAB6784789}"/>
    <cellStyle name="Ввод  4 12 3 3" xfId="12032" xr:uid="{A6A6C16B-346D-4590-81EF-6B3E8E9CBDFF}"/>
    <cellStyle name="Ввод  4 12 3 3 2" xfId="28734" xr:uid="{F8E410DD-DFCC-4F44-B4F1-31287429C19E}"/>
    <cellStyle name="Ввод  4 12 3 3 3" xfId="41952" xr:uid="{2C2BE98A-236B-4E32-8DA0-E823AE49AC9E}"/>
    <cellStyle name="Ввод  4 12 3 4" xfId="22534" xr:uid="{22B47600-0A20-4DE3-A519-D6BA23420F64}"/>
    <cellStyle name="Ввод  4 12 3 5" xfId="35587" xr:uid="{8B077FDF-8606-4B86-89DD-11884CBA24DC}"/>
    <cellStyle name="Ввод  4 12 4" xfId="5708" xr:uid="{9016B7DC-DC8A-46CB-9B2A-A21142D74BCA}"/>
    <cellStyle name="Ввод  4 12 4 2" xfId="8897" xr:uid="{716F9EFE-A7BF-40A9-BFA4-F2BEC6457567}"/>
    <cellStyle name="Ввод  4 12 4 2 2" xfId="14931" xr:uid="{184DD98A-CD4F-4AF2-81B1-D1B7D899C605}"/>
    <cellStyle name="Ввод  4 12 4 2 2 2" xfId="31173" xr:uid="{8EC90252-3960-4DE7-A8B6-F0EF7CA36580}"/>
    <cellStyle name="Ввод  4 12 4 2 2 3" xfId="44618" xr:uid="{F916CF9B-CD1D-41EC-8C1A-CE4443AA54A5}"/>
    <cellStyle name="Ввод  4 12 4 2 3" xfId="26383" xr:uid="{169F21DB-82A2-4FE7-BBB5-84A9A8BD056D}"/>
    <cellStyle name="Ввод  4 12 4 2 4" xfId="39459" xr:uid="{6DC1030C-77E0-4638-9DBC-E1AE73ADB179}"/>
    <cellStyle name="Ввод  4 12 4 3" xfId="15622" xr:uid="{92FED1D2-CAB6-4C8B-8712-20C9496151A5}"/>
    <cellStyle name="Ввод  4 12 4 3 2" xfId="31743" xr:uid="{9E1F15B5-0A0C-423D-B90B-5D5B6C415F63}"/>
    <cellStyle name="Ввод  4 12 4 3 3" xfId="45247" xr:uid="{82478FFD-0338-4B81-961F-F991CE747177}"/>
    <cellStyle name="Ввод  4 12 4 4" xfId="23355" xr:uid="{84FC9580-B2D7-4D9C-A48A-FAA634BB6245}"/>
    <cellStyle name="Ввод  4 12 4 5" xfId="36436" xr:uid="{281F1301-F213-4A0A-B291-6225FB23F66B}"/>
    <cellStyle name="Ввод  4 12 5" xfId="14673" xr:uid="{73BF795F-C4C5-4154-B395-72488934CDBB}"/>
    <cellStyle name="Ввод  4 12 5 2" xfId="30967" xr:uid="{4DD10189-50D4-44C1-A012-697CF2159A62}"/>
    <cellStyle name="Ввод  4 12 5 3" xfId="44388" xr:uid="{1C70F3B1-EB7F-4D0F-824E-C4967AF65691}"/>
    <cellStyle name="Ввод  4 12 6" xfId="21617" xr:uid="{3B1C842F-CC02-4FD8-AECD-BD62DDCC3A72}"/>
    <cellStyle name="Ввод  4 12 7" xfId="34671" xr:uid="{71B50AB5-9DD6-4655-AC80-CCCA9EDE3601}"/>
    <cellStyle name="Ввод  4 13" xfId="3685" xr:uid="{3F2CA16A-8DEB-4AA6-B079-1BF6F2FAB980}"/>
    <cellStyle name="Ввод  4 13 2" xfId="3001" xr:uid="{CB6B78C4-73AB-4850-8503-C8053C1B5759}"/>
    <cellStyle name="Ввод  4 13 2 2" xfId="8297" xr:uid="{4D79A81E-984C-438C-B3BE-DA28F190D2FD}"/>
    <cellStyle name="Ввод  4 13 2 2 2" xfId="10798" xr:uid="{CAD581AB-0526-4542-B466-2779AE91D383}"/>
    <cellStyle name="Ввод  4 13 2 2 2 2" xfId="27632" xr:uid="{B486E8D6-27BF-42A4-B43E-9D3F94B90A57}"/>
    <cellStyle name="Ввод  4 13 2 2 2 3" xfId="40779" xr:uid="{557EBE23-F714-4C24-939F-C7BF49AC6A86}"/>
    <cellStyle name="Ввод  4 13 2 2 3" xfId="25802" xr:uid="{F51AA5F4-16F3-407B-B6FD-6361AD0E0AFF}"/>
    <cellStyle name="Ввод  4 13 2 2 4" xfId="38878" xr:uid="{F2A14F98-23E4-48AA-B9E2-3592DB8000F5}"/>
    <cellStyle name="Ввод  4 13 2 3" xfId="6664" xr:uid="{37BDF036-DED4-443B-A75F-41F46E1BE809}"/>
    <cellStyle name="Ввод  4 13 2 3 2" xfId="13577" xr:uid="{6D95B045-48D3-4873-83AD-404A9D8FE090}"/>
    <cellStyle name="Ввод  4 13 2 3 2 2" xfId="30019" xr:uid="{B3713583-5739-4D66-9DF2-9C2E9CBF0166}"/>
    <cellStyle name="Ввод  4 13 2 3 2 3" xfId="43370" xr:uid="{7DE6A269-6496-43BC-A388-E790AF783062}"/>
    <cellStyle name="Ввод  4 13 2 3 3" xfId="24293" xr:uid="{DD7BC75B-854C-427E-8EC3-17FBB20CDFD5}"/>
    <cellStyle name="Ввод  4 13 2 3 4" xfId="37374" xr:uid="{FD3EA808-E4A7-4859-8810-8A6CCC9BA8D9}"/>
    <cellStyle name="Ввод  4 13 2 4" xfId="14147" xr:uid="{150863A6-4A9F-4007-BA9B-28BC6BA96BFC}"/>
    <cellStyle name="Ввод  4 13 2 4 2" xfId="30507" xr:uid="{FAB4AD0D-405B-466C-BA25-979A612553D1}"/>
    <cellStyle name="Ввод  4 13 2 4 3" xfId="43893" xr:uid="{AC1F9349-BB47-44C4-AECF-67881983707E}"/>
    <cellStyle name="Ввод  4 13 2 5" xfId="21045" xr:uid="{6D641B3C-7988-40FC-99FF-59F847D3A1D1}"/>
    <cellStyle name="Ввод  4 13 2 6" xfId="34068" xr:uid="{260EB268-EA0F-4B50-B935-380C6B4FA732}"/>
    <cellStyle name="Ввод  4 13 3" xfId="4718" xr:uid="{EE280FD0-68A1-415E-B190-5BD3D8FBF8B9}"/>
    <cellStyle name="Ввод  4 13 3 2" xfId="7320" xr:uid="{3F3D5573-7698-4F7B-99F9-672011CEEAD3}"/>
    <cellStyle name="Ввод  4 13 3 2 2" xfId="11511" xr:uid="{CDDF878A-0B63-4CC6-8887-000186E7179B}"/>
    <cellStyle name="Ввод  4 13 3 2 2 2" xfId="28270" xr:uid="{9E1237C9-961E-4BE7-B467-9D5E259A40DD}"/>
    <cellStyle name="Ввод  4 13 3 2 2 3" xfId="41467" xr:uid="{8DE60150-E4D9-425E-8E91-77967587A849}"/>
    <cellStyle name="Ввод  4 13 3 2 3" xfId="24880" xr:uid="{2D71ED58-0BCC-4886-88AC-A8BF34D53518}"/>
    <cellStyle name="Ввод  4 13 3 2 4" xfId="37960" xr:uid="{9000AF06-47AA-4CE7-A6A8-272678CD89D3}"/>
    <cellStyle name="Ввод  4 13 3 3" xfId="11898" xr:uid="{5C42774D-7C5E-43FD-9FDC-B8BFC2322462}"/>
    <cellStyle name="Ввод  4 13 3 3 2" xfId="28613" xr:uid="{25AAEE33-E453-448E-9D26-131D5512515F}"/>
    <cellStyle name="Ввод  4 13 3 3 3" xfId="41829" xr:uid="{834BB94D-1B90-4536-9103-9742FE38C8B6}"/>
    <cellStyle name="Ввод  4 13 3 4" xfId="22522" xr:uid="{3B076000-963C-475B-B2EE-9EB99D9B502C}"/>
    <cellStyle name="Ввод  4 13 3 5" xfId="35575" xr:uid="{1F7844A6-6580-41F7-9C11-8941AC691108}"/>
    <cellStyle name="Ввод  4 13 4" xfId="5693" xr:uid="{BB5AE93D-BB9D-41EB-86B0-DB5442EF8CAE}"/>
    <cellStyle name="Ввод  4 13 4 2" xfId="8881" xr:uid="{A07FAE67-3329-4770-89CA-B462A31D22C8}"/>
    <cellStyle name="Ввод  4 13 4 2 2" xfId="12222" xr:uid="{A79CE11F-3C97-40A5-8FDA-3BD820E23330}"/>
    <cellStyle name="Ввод  4 13 4 2 2 2" xfId="28906" xr:uid="{F3B87AAA-FBB5-48E9-AAFD-8038E4722C3F}"/>
    <cellStyle name="Ввод  4 13 4 2 2 3" xfId="42139" xr:uid="{5D8DC5BD-EE6B-4BEE-B40E-D7505B3D4EC8}"/>
    <cellStyle name="Ввод  4 13 4 2 3" xfId="26368" xr:uid="{72165470-E95D-4F43-9896-A49B68D1A0A1}"/>
    <cellStyle name="Ввод  4 13 4 2 4" xfId="39444" xr:uid="{CAB8A8F3-DB86-4C5A-8CD4-F5AFDF895DDF}"/>
    <cellStyle name="Ввод  4 13 4 3" xfId="13219" xr:uid="{C221FE83-1CAA-4C03-9324-A89F8FC5DB26}"/>
    <cellStyle name="Ввод  4 13 4 3 2" xfId="29720" xr:uid="{F7AABA26-990B-49F6-9B0E-4910BBAD959F}"/>
    <cellStyle name="Ввод  4 13 4 3 3" xfId="43039" xr:uid="{87397799-1D5A-4DDD-9380-50A76725ED77}"/>
    <cellStyle name="Ввод  4 13 4 4" xfId="23340" xr:uid="{DBC070DD-33EF-439A-8496-58F96DD44F8F}"/>
    <cellStyle name="Ввод  4 13 4 5" xfId="36421" xr:uid="{C84E69F1-27C1-4038-836C-9385DD944E3A}"/>
    <cellStyle name="Ввод  4 13 5" xfId="17305" xr:uid="{47E9D6A1-46E0-4AD9-9AF0-9E70FA20C931}"/>
    <cellStyle name="Ввод  4 13 5 2" xfId="33063" xr:uid="{982A60BA-FF6E-4A91-BC64-C09F7467E654}"/>
    <cellStyle name="Ввод  4 13 5 3" xfId="46839" xr:uid="{50907BD4-0848-4EAB-9783-DD67948B6875}"/>
    <cellStyle name="Ввод  4 13 6" xfId="21602" xr:uid="{CF57BA72-E029-44E4-858A-D760D79E0FA0}"/>
    <cellStyle name="Ввод  4 13 7" xfId="34656" xr:uid="{1B2F36DF-8F25-48BF-BC67-9A82A4E3E39B}"/>
    <cellStyle name="Ввод  4 14" xfId="3544" xr:uid="{495D4878-7853-44EE-B72B-96DB1E6363F4}"/>
    <cellStyle name="Ввод  4 14 2" xfId="2885" xr:uid="{FD0049AE-C0E6-4BB4-8193-5B1EE147B807}"/>
    <cellStyle name="Ввод  4 14 2 2" xfId="8181" xr:uid="{B0700B40-8D8A-43F4-8847-29A1D92C9835}"/>
    <cellStyle name="Ввод  4 14 2 2 2" xfId="17036" xr:uid="{B8030E07-B808-46E2-A7C6-3A098334D312}"/>
    <cellStyle name="Ввод  4 14 2 2 2 2" xfId="32810" xr:uid="{83EBAA59-C1AC-40D0-B5B1-13E6A4F2EEFA}"/>
    <cellStyle name="Ввод  4 14 2 2 2 3" xfId="46578" xr:uid="{A39B02E5-D430-4F19-AF3F-974E8A9C15CF}"/>
    <cellStyle name="Ввод  4 14 2 2 3" xfId="25692" xr:uid="{970EA82D-866A-40C3-B2E3-B4596357A131}"/>
    <cellStyle name="Ввод  4 14 2 2 4" xfId="38768" xr:uid="{DF3171FA-2B2E-4817-ADC3-3413FDDE48FC}"/>
    <cellStyle name="Ввод  4 14 2 3" xfId="6548" xr:uid="{46B42B7F-9E70-4CCF-8067-EB74F7AEBEE2}"/>
    <cellStyle name="Ввод  4 14 2 3 2" xfId="14863" xr:uid="{DA83581A-9C57-43AC-BEFC-9AA8C4D7F4AB}"/>
    <cellStyle name="Ввод  4 14 2 3 2 2" xfId="31117" xr:uid="{906190DD-E2CD-4F6D-BBCF-3F9EF300CAA3}"/>
    <cellStyle name="Ввод  4 14 2 3 2 3" xfId="44556" xr:uid="{2B014C20-D478-474C-8B83-0775353AD3E0}"/>
    <cellStyle name="Ввод  4 14 2 3 3" xfId="24183" xr:uid="{2C63D8AB-46F9-4E44-AAC6-4D8B8D26A2F7}"/>
    <cellStyle name="Ввод  4 14 2 3 4" xfId="37264" xr:uid="{7E060249-E2FF-4748-8F56-4331CA854DEC}"/>
    <cellStyle name="Ввод  4 14 2 4" xfId="13123" xr:uid="{97060D61-21BB-41E8-BCBE-5CE3CC51DA2F}"/>
    <cellStyle name="Ввод  4 14 2 4 2" xfId="29637" xr:uid="{20AF077F-2EA1-4452-95B6-68A00F4FB6AC}"/>
    <cellStyle name="Ввод  4 14 2 4 3" xfId="42949" xr:uid="{B8D162BA-B465-4334-B66E-977F428DA9EA}"/>
    <cellStyle name="Ввод  4 14 2 5" xfId="20935" xr:uid="{B27F00C8-CC45-45ED-B8C0-203B9D6D3FC6}"/>
    <cellStyle name="Ввод  4 14 2 6" xfId="33958" xr:uid="{DFBD0437-7B33-4F57-A156-0249BC8E7BAA}"/>
    <cellStyle name="Ввод  4 14 3" xfId="4647" xr:uid="{ADDC9847-5147-4926-80D0-ECFC97C0E127}"/>
    <cellStyle name="Ввод  4 14 3 2" xfId="7186" xr:uid="{57C79A61-3AFF-4BA4-B108-B7C3B33E4756}"/>
    <cellStyle name="Ввод  4 14 3 2 2" xfId="14588" xr:uid="{49C67CC3-3107-4A9F-9A73-4282008C095D}"/>
    <cellStyle name="Ввод  4 14 3 2 2 2" xfId="30888" xr:uid="{582CE856-85A5-4A23-AC13-150835EDCCEC}"/>
    <cellStyle name="Ввод  4 14 3 2 2 3" xfId="44307" xr:uid="{4C724DCC-4E62-4BD6-9789-4D9268AB0819}"/>
    <cellStyle name="Ввод  4 14 3 2 3" xfId="24783" xr:uid="{8B5F9119-F3F8-4973-9199-CFD8E33A9C07}"/>
    <cellStyle name="Ввод  4 14 3 2 4" xfId="37864" xr:uid="{030D8DAD-097C-4AFA-B583-9D519C4F5AF1}"/>
    <cellStyle name="Ввод  4 14 3 3" xfId="13077" xr:uid="{72789239-8881-46C6-8B95-FAE9B5185DA9}"/>
    <cellStyle name="Ввод  4 14 3 3 2" xfId="29598" xr:uid="{900E47AB-CC6D-4FE2-A814-4C023A8DF51F}"/>
    <cellStyle name="Ввод  4 14 3 3 3" xfId="42907" xr:uid="{1FE8FFF2-38BA-4477-BF04-6FADA3928FFD}"/>
    <cellStyle name="Ввод  4 14 3 4" xfId="22457" xr:uid="{5C9C0BE6-8F70-4A96-8069-9CEF08CAD398}"/>
    <cellStyle name="Ввод  4 14 3 5" xfId="35510" xr:uid="{5ACCD2A4-7858-41C8-A90A-E136E619952E}"/>
    <cellStyle name="Ввод  4 14 4" xfId="5597" xr:uid="{475ABD3F-DB3A-49E8-B502-91F8858A9D6C}"/>
    <cellStyle name="Ввод  4 14 4 2" xfId="8779" xr:uid="{5F26A77D-54A1-48FF-900A-540633E398BD}"/>
    <cellStyle name="Ввод  4 14 4 2 2" xfId="11575" xr:uid="{078AD3FC-89D5-46B4-8565-B4D5729B46E8}"/>
    <cellStyle name="Ввод  4 14 4 2 2 2" xfId="28327" xr:uid="{200D7D25-60CB-4916-98E4-1B3167ED64E1}"/>
    <cellStyle name="Ввод  4 14 4 2 2 3" xfId="41527" xr:uid="{12A3C2E7-2A2A-4CBF-AF52-B859B0FF1908}"/>
    <cellStyle name="Ввод  4 14 4 2 3" xfId="26272" xr:uid="{349A3DA4-01E9-4DB6-94D6-2212BAE0200A}"/>
    <cellStyle name="Ввод  4 14 4 2 4" xfId="39348" xr:uid="{0AE5CE2F-2DAC-417E-851D-615792771705}"/>
    <cellStyle name="Ввод  4 14 4 3" xfId="14184" xr:uid="{87B6559C-C101-44B1-9ADB-CD7EB65661B3}"/>
    <cellStyle name="Ввод  4 14 4 3 2" xfId="30535" xr:uid="{B6390233-2E5E-485A-82D1-B07447304149}"/>
    <cellStyle name="Ввод  4 14 4 3 3" xfId="43922" xr:uid="{2ECAFB20-BFCC-4161-8110-BDE7EEB13965}"/>
    <cellStyle name="Ввод  4 14 4 4" xfId="23244" xr:uid="{C0B3D445-DA55-4B90-8E81-24D775DDF74D}"/>
    <cellStyle name="Ввод  4 14 4 5" xfId="36325" xr:uid="{F3312145-8F72-4EE5-84AB-24C9FBBED28A}"/>
    <cellStyle name="Ввод  4 14 5" xfId="16264" xr:uid="{6F6525FF-4AF8-4EAC-AC9E-0207191EA694}"/>
    <cellStyle name="Ввод  4 14 5 2" xfId="32298" xr:uid="{7A91B3C1-F9AA-4B80-A527-C023B1FBB993}"/>
    <cellStyle name="Ввод  4 14 5 3" xfId="45827" xr:uid="{14955787-CE5C-4F10-8ED4-5767DF5BBC09}"/>
    <cellStyle name="Ввод  4 14 6" xfId="21506" xr:uid="{25D6D3F9-BEA5-4526-A4B2-B72FA1804E9C}"/>
    <cellStyle name="Ввод  4 14 7" xfId="34558" xr:uid="{0E05FB59-9496-4A3D-8C8E-3F21A62F2F7C}"/>
    <cellStyle name="Ввод  4 15" xfId="3703" xr:uid="{DDFB6643-52C2-4E21-AC47-32B068ADB3DB}"/>
    <cellStyle name="Ввод  4 15 2" xfId="3019" xr:uid="{DFF5D26C-1694-4D79-97C5-E58B07A016AA}"/>
    <cellStyle name="Ввод  4 15 2 2" xfId="8315" xr:uid="{C2C837B0-BB38-469E-BA79-F23B4AC1703B}"/>
    <cellStyle name="Ввод  4 15 2 2 2" xfId="17394" xr:uid="{B028D937-2F1B-46A1-AF63-494911A1C02D}"/>
    <cellStyle name="Ввод  4 15 2 2 2 2" xfId="33148" xr:uid="{09197C35-F43E-4392-8B28-4DB4B6407300}"/>
    <cellStyle name="Ввод  4 15 2 2 2 3" xfId="46924" xr:uid="{7726B40F-2879-45B2-BCF5-7A2DAE73BA58}"/>
    <cellStyle name="Ввод  4 15 2 2 3" xfId="25819" xr:uid="{8F9C7653-A11C-4542-B49C-41195907CC61}"/>
    <cellStyle name="Ввод  4 15 2 2 4" xfId="38895" xr:uid="{3BFB732C-1AC7-40FC-8FA5-8DB20AEA6336}"/>
    <cellStyle name="Ввод  4 15 2 3" xfId="6682" xr:uid="{74EB953F-498D-4993-AEB4-28DD7E045937}"/>
    <cellStyle name="Ввод  4 15 2 3 2" xfId="17105" xr:uid="{0A7B6413-383F-4923-95D8-E2D489FFE6EB}"/>
    <cellStyle name="Ввод  4 15 2 3 2 2" xfId="32872" xr:uid="{4A5CABB1-F386-44AA-88BF-4508C0598831}"/>
    <cellStyle name="Ввод  4 15 2 3 2 3" xfId="46643" xr:uid="{DA569E80-8DEA-4D2C-8FE8-4171949DB8DF}"/>
    <cellStyle name="Ввод  4 15 2 3 3" xfId="24310" xr:uid="{B784A773-72F8-47F3-A176-8A2365F380B6}"/>
    <cellStyle name="Ввод  4 15 2 3 4" xfId="37391" xr:uid="{F10C062F-B9D5-4B9D-8398-67B49BEE4309}"/>
    <cellStyle name="Ввод  4 15 2 4" xfId="12788" xr:uid="{95091CEF-E167-454B-9CFC-0BEF2B656280}"/>
    <cellStyle name="Ввод  4 15 2 4 2" xfId="29363" xr:uid="{DC65EC56-4A29-487B-95AA-629B45213E92}"/>
    <cellStyle name="Ввод  4 15 2 4 3" xfId="42643" xr:uid="{AE990A0A-4096-4CD2-8033-3C5B0018146A}"/>
    <cellStyle name="Ввод  4 15 2 5" xfId="21062" xr:uid="{023902AD-30A2-42BA-AF2A-44A8EEE2DCBE}"/>
    <cellStyle name="Ввод  4 15 2 6" xfId="34085" xr:uid="{5771BB37-0336-4893-BCEE-7F21522ACF6D}"/>
    <cellStyle name="Ввод  4 15 3" xfId="4733" xr:uid="{B1C7F1CA-BFAF-4F5C-8339-E68D132688F3}"/>
    <cellStyle name="Ввод  4 15 3 2" xfId="7338" xr:uid="{A9C55BC5-7F2E-47D8-90F7-D05ECE2951AC}"/>
    <cellStyle name="Ввод  4 15 3 2 2" xfId="16374" xr:uid="{47337A4C-9B34-4D94-88E8-ED50FDCA2179}"/>
    <cellStyle name="Ввод  4 15 3 2 2 2" xfId="32394" xr:uid="{632567FE-F269-4842-B929-25BD2751BBA1}"/>
    <cellStyle name="Ввод  4 15 3 2 2 3" xfId="45928" xr:uid="{B9732B03-EE4E-4EDF-8464-F45FC8651883}"/>
    <cellStyle name="Ввод  4 15 3 2 3" xfId="24897" xr:uid="{F1199670-36AE-4FD4-80F1-FD8E08DA31F3}"/>
    <cellStyle name="Ввод  4 15 3 2 4" xfId="37977" xr:uid="{5AC1CB66-E463-4898-8645-178980FF52FE}"/>
    <cellStyle name="Ввод  4 15 3 3" xfId="13168" xr:uid="{C34B3EDF-4B35-4131-8B22-6820F50AC546}"/>
    <cellStyle name="Ввод  4 15 3 3 2" xfId="29679" xr:uid="{CC1091A8-98DD-4C54-8BE3-F531C6051C37}"/>
    <cellStyle name="Ввод  4 15 3 3 3" xfId="42992" xr:uid="{B3737DF2-A822-4EE6-9ED3-C5A6B2DCFC6A}"/>
    <cellStyle name="Ввод  4 15 3 4" xfId="22536" xr:uid="{62C6F951-EC15-4611-9A2C-D456F13F0E62}"/>
    <cellStyle name="Ввод  4 15 3 5" xfId="35589" xr:uid="{F4B53348-FC1D-4537-BD83-5252879F7B0E}"/>
    <cellStyle name="Ввод  4 15 4" xfId="5710" xr:uid="{8404217B-7C7D-4E75-ACFD-5743BD28C222}"/>
    <cellStyle name="Ввод  4 15 4 2" xfId="8899" xr:uid="{613A4511-5FD9-4144-80F0-EF6D55BCA556}"/>
    <cellStyle name="Ввод  4 15 4 2 2" xfId="12228" xr:uid="{47B49B57-2B0D-4EF2-A4B0-F80C37F80B06}"/>
    <cellStyle name="Ввод  4 15 4 2 2 2" xfId="28910" xr:uid="{212BD70F-E6DE-41A0-9A0D-088AD3F43C05}"/>
    <cellStyle name="Ввод  4 15 4 2 2 3" xfId="42143" xr:uid="{8ABD5897-8139-4C7B-A6FC-4AC9F8D779D3}"/>
    <cellStyle name="Ввод  4 15 4 2 3" xfId="26385" xr:uid="{F614A9E1-C636-47C5-A60F-04AD55619CEC}"/>
    <cellStyle name="Ввод  4 15 4 2 4" xfId="39461" xr:uid="{5DAEF70A-B613-4DA1-ABFF-F95C55F2869B}"/>
    <cellStyle name="Ввод  4 15 4 3" xfId="15330" xr:uid="{8ED176DE-04D7-4268-BE1B-AFC4AE9C772C}"/>
    <cellStyle name="Ввод  4 15 4 3 2" xfId="31488" xr:uid="{CD3C6821-7483-41F2-8221-5283A4383461}"/>
    <cellStyle name="Ввод  4 15 4 3 3" xfId="44974" xr:uid="{9FE8B82F-9EB4-45AC-98E4-1584F32CCDC7}"/>
    <cellStyle name="Ввод  4 15 4 4" xfId="23357" xr:uid="{B3B98F73-8281-461B-BFDB-06DE6A35A81C}"/>
    <cellStyle name="Ввод  4 15 4 5" xfId="36438" xr:uid="{F6852186-1AAE-4C66-BC31-5B0ABB06E6AD}"/>
    <cellStyle name="Ввод  4 15 5" xfId="14049" xr:uid="{7E7B9387-6577-4629-A56E-59E1782C7669}"/>
    <cellStyle name="Ввод  4 15 5 2" xfId="30420" xr:uid="{D7AED549-51EE-491F-82BB-1D8D0B5D00C1}"/>
    <cellStyle name="Ввод  4 15 5 3" xfId="43802" xr:uid="{15A0A6F7-1C90-469D-BF13-7C3C22884085}"/>
    <cellStyle name="Ввод  4 15 6" xfId="21619" xr:uid="{DEB613E8-C6CB-4789-99C4-1A9DBA3E25D7}"/>
    <cellStyle name="Ввод  4 15 7" xfId="34673" xr:uid="{FD2AC6BA-68E3-45F9-9785-99DA968BC41C}"/>
    <cellStyle name="Ввод  4 16" xfId="3894" xr:uid="{10A5045E-CDB8-4578-B4F2-22C638F509AE}"/>
    <cellStyle name="Ввод  4 16 2" xfId="3163" xr:uid="{ACA557EB-6D9F-4725-9934-256CBFC8FC8B}"/>
    <cellStyle name="Ввод  4 16 2 2" xfId="8455" xr:uid="{D1395771-95C6-4FB5-ABFD-2A7DB434F0A3}"/>
    <cellStyle name="Ввод  4 16 2 2 2" xfId="10656" xr:uid="{EE6BA9A2-C73B-40B4-8B22-492195F4DD1E}"/>
    <cellStyle name="Ввод  4 16 2 2 2 2" xfId="27507" xr:uid="{2158EA01-7917-4899-992B-BFE55D23CA21}"/>
    <cellStyle name="Ввод  4 16 2 2 2 3" xfId="40637" xr:uid="{B092468F-FFB8-41FF-9E8B-40F430E55D69}"/>
    <cellStyle name="Ввод  4 16 2 2 3" xfId="25957" xr:uid="{A7D5C000-0ADC-426F-B693-4F529BEBCF4C}"/>
    <cellStyle name="Ввод  4 16 2 2 4" xfId="39033" xr:uid="{2D64CF26-BDE1-47C0-BACF-C5A537A71C94}"/>
    <cellStyle name="Ввод  4 16 2 3" xfId="6822" xr:uid="{EECDF070-C9D3-4104-ACA5-9A18466E3E4F}"/>
    <cellStyle name="Ввод  4 16 2 3 2" xfId="12107" xr:uid="{80141727-B08A-4055-918F-2BF9B584715A}"/>
    <cellStyle name="Ввод  4 16 2 3 2 2" xfId="28807" xr:uid="{1B1A570D-C44C-4964-B34A-820F6C71FD10}"/>
    <cellStyle name="Ввод  4 16 2 3 2 3" xfId="42027" xr:uid="{393A60CA-38FD-4119-9E7A-83235E3844B5}"/>
    <cellStyle name="Ввод  4 16 2 3 3" xfId="24448" xr:uid="{758B0B02-2233-468C-B00B-B112DDBBD41E}"/>
    <cellStyle name="Ввод  4 16 2 3 4" xfId="37529" xr:uid="{15A6D2B0-39F9-4249-8CD7-E4F1DBDD8A5F}"/>
    <cellStyle name="Ввод  4 16 2 4" xfId="14780" xr:uid="{9E7059AC-266F-4E1B-B496-38447EBE4488}"/>
    <cellStyle name="Ввод  4 16 2 4 2" xfId="31048" xr:uid="{A7779F3F-2BEA-4F69-8989-4BB18226CFBB}"/>
    <cellStyle name="Ввод  4 16 2 4 3" xfId="44479" xr:uid="{202D01B8-ACE2-4F81-8342-1EFFF62F45C9}"/>
    <cellStyle name="Ввод  4 16 2 5" xfId="21200" xr:uid="{2EC96268-F570-4708-9472-B12027E8824A}"/>
    <cellStyle name="Ввод  4 16 2 6" xfId="34223" xr:uid="{3E67074E-1F08-45BC-82C5-EBB22611F94B}"/>
    <cellStyle name="Ввод  4 16 3" xfId="4831" xr:uid="{3862597B-5FBB-4269-A294-F6CB934DAC0A}"/>
    <cellStyle name="Ввод  4 16 3 2" xfId="7475" xr:uid="{0E9045FE-14C0-4605-AF99-7498331F12EE}"/>
    <cellStyle name="Ввод  4 16 3 2 2" xfId="16337" xr:uid="{39C53D18-61E7-4B7C-9F85-C1E7C4DADAC3}"/>
    <cellStyle name="Ввод  4 16 3 2 2 2" xfId="32361" xr:uid="{13261952-ECB8-4831-8B0A-551E92847C83}"/>
    <cellStyle name="Ввод  4 16 3 2 2 3" xfId="45892" xr:uid="{2440D9BA-DC05-4A92-BC09-3F0012AEAA35}"/>
    <cellStyle name="Ввод  4 16 3 2 3" xfId="25032" xr:uid="{8A99F18E-9BCB-4963-86F1-BDA2FDCEFDBD}"/>
    <cellStyle name="Ввод  4 16 3 2 4" xfId="38108" xr:uid="{8B7C5D43-574B-449F-AD39-03F5590915CF}"/>
    <cellStyle name="Ввод  4 16 3 3" xfId="13666" xr:uid="{0EBD996B-5788-426D-92E3-2A821D08172D}"/>
    <cellStyle name="Ввод  4 16 3 3 2" xfId="30091" xr:uid="{FF29B184-E30B-4DA1-8346-96AB303AB20F}"/>
    <cellStyle name="Ввод  4 16 3 3 3" xfId="43450" xr:uid="{F469F8DF-87B5-478B-BA33-1356A74E7C46}"/>
    <cellStyle name="Ввод  4 16 3 4" xfId="22633" xr:uid="{151609CD-1E91-4C7B-AD14-C1AA199D6DCD}"/>
    <cellStyle name="Ввод  4 16 3 5" xfId="35686" xr:uid="{42B68985-EE5F-47BA-911B-3DE10C8B0171}"/>
    <cellStyle name="Ввод  4 16 4" xfId="5858" xr:uid="{C5F4F3D4-7BAA-4916-976C-467610A3499A}"/>
    <cellStyle name="Ввод  4 16 4 2" xfId="9016" xr:uid="{9F588E42-169A-4EB0-9AD6-871D4B388D4D}"/>
    <cellStyle name="Ввод  4 16 4 2 2" xfId="16282" xr:uid="{8AC1BBD6-1C87-4DF3-B4FA-931BFB9884F3}"/>
    <cellStyle name="Ввод  4 16 4 2 2 2" xfId="32314" xr:uid="{37AEDBC1-9FC3-43F8-A0C2-6EC50A7E705C}"/>
    <cellStyle name="Ввод  4 16 4 2 2 3" xfId="45844" xr:uid="{E7E00973-D928-4604-8FFA-68219A029C0F}"/>
    <cellStyle name="Ввод  4 16 4 2 3" xfId="26501" xr:uid="{30DE7AEE-1768-4478-9029-6415893A3DE9}"/>
    <cellStyle name="Ввод  4 16 4 2 4" xfId="39577" xr:uid="{872CF5AD-62A1-4304-BC61-9124CB9F8F28}"/>
    <cellStyle name="Ввод  4 16 4 3" xfId="15500" xr:uid="{5A769DCA-8461-4864-9FA6-BA216A0BD6E3}"/>
    <cellStyle name="Ввод  4 16 4 3 2" xfId="31639" xr:uid="{36BD3D34-7C7A-469C-9874-2F2E51DBE418}"/>
    <cellStyle name="Ввод  4 16 4 3 3" xfId="45136" xr:uid="{E6887408-6C70-43F0-93AC-5E8E2EF05DE5}"/>
    <cellStyle name="Ввод  4 16 4 4" xfId="23505" xr:uid="{F71027B2-404E-4504-BE6D-EAB3B1FCDC98}"/>
    <cellStyle name="Ввод  4 16 4 5" xfId="36586" xr:uid="{6A3E55C5-0484-49D5-8617-4308A5A0BA99}"/>
    <cellStyle name="Ввод  4 16 5" xfId="12940" xr:uid="{58C57F66-0A31-4220-ABF1-139ABD8CC6BD}"/>
    <cellStyle name="Ввод  4 16 5 2" xfId="29481" xr:uid="{9A1192A4-77E6-4B60-8FBB-56C50D4C8511}"/>
    <cellStyle name="Ввод  4 16 5 3" xfId="42778" xr:uid="{A394B2EB-9B17-42B0-B3A8-CFBB8B8CD1DF}"/>
    <cellStyle name="Ввод  4 16 6" xfId="21770" xr:uid="{9356959B-891B-4509-8221-3FE684ADDE40}"/>
    <cellStyle name="Ввод  4 16 7" xfId="34821" xr:uid="{D79BD8E7-44D9-4133-AE84-DBFFCA52DA51}"/>
    <cellStyle name="Ввод  4 17" xfId="3969" xr:uid="{B113AC4B-7C9D-4247-8014-1202432CC91D}"/>
    <cellStyle name="Ввод  4 17 2" xfId="3214" xr:uid="{5AE4185C-52A7-4BFC-B948-4A74ABD93337}"/>
    <cellStyle name="Ввод  4 17 2 2" xfId="8505" xr:uid="{5A70AD7A-2E87-4791-BF11-77A15021915E}"/>
    <cellStyle name="Ввод  4 17 2 2 2" xfId="10979" xr:uid="{85352812-F32D-4552-8114-E0856D8180C3}"/>
    <cellStyle name="Ввод  4 17 2 2 2 2" xfId="27788" xr:uid="{20973F35-1129-4825-A433-909E8C985A9A}"/>
    <cellStyle name="Ввод  4 17 2 2 2 3" xfId="40959" xr:uid="{B90E9BC8-65D6-49AD-A8A9-8C35D7545775}"/>
    <cellStyle name="Ввод  4 17 2 2 3" xfId="26004" xr:uid="{2B30A5DE-F24E-4C17-80C5-AFAD0D827A03}"/>
    <cellStyle name="Ввод  4 17 2 2 4" xfId="39080" xr:uid="{99424E6F-9B89-49EC-B794-2713485F3B7E}"/>
    <cellStyle name="Ввод  4 17 2 3" xfId="6873" xr:uid="{F4AFBC07-796E-4FC8-977E-4B38922FE1F7}"/>
    <cellStyle name="Ввод  4 17 2 3 2" xfId="17232" xr:uid="{94F28526-C4F2-43DA-A9FA-08BCDACA8A0F}"/>
    <cellStyle name="Ввод  4 17 2 3 2 2" xfId="32991" xr:uid="{2842DA1B-584B-4971-83A5-D50030CE2C53}"/>
    <cellStyle name="Ввод  4 17 2 3 2 3" xfId="46766" xr:uid="{970FBECB-6646-4C4D-9361-925E8DAE536D}"/>
    <cellStyle name="Ввод  4 17 2 3 3" xfId="24496" xr:uid="{E25E917B-8CD5-4B1E-B8B1-E8AA6152B037}"/>
    <cellStyle name="Ввод  4 17 2 3 4" xfId="37577" xr:uid="{3A59C42D-091D-4AB4-9AA7-C1CC1CD5CE6C}"/>
    <cellStyle name="Ввод  4 17 2 4" xfId="12809" xr:uid="{ADA576AA-F6C4-4E71-B801-53905CC8043B}"/>
    <cellStyle name="Ввод  4 17 2 4 2" xfId="29383" xr:uid="{AD87FC96-A2A0-4534-801F-D526963BF226}"/>
    <cellStyle name="Ввод  4 17 2 4 3" xfId="42664" xr:uid="{B57343F1-B9D9-4C1B-9973-BC7960BA2BCC}"/>
    <cellStyle name="Ввод  4 17 2 5" xfId="21248" xr:uid="{14CE8852-D8ED-4C4E-B28A-F22D513FD17E}"/>
    <cellStyle name="Ввод  4 17 2 6" xfId="34271" xr:uid="{875F0F57-91AB-44E8-BECD-B7EB750B39D0}"/>
    <cellStyle name="Ввод  4 17 3" xfId="4881" xr:uid="{78FC8D6C-9449-4D62-8C00-C39A22229B22}"/>
    <cellStyle name="Ввод  4 17 3 2" xfId="7549" xr:uid="{59AB3F4B-4299-4349-A21D-5C98987C0BC5}"/>
    <cellStyle name="Ввод  4 17 3 2 2" xfId="11943" xr:uid="{8061F52A-3185-4AF8-ACF6-84147B703BCE}"/>
    <cellStyle name="Ввод  4 17 3 2 2 2" xfId="28653" xr:uid="{9F847C56-CE09-41A0-A460-95D518C3EABF}"/>
    <cellStyle name="Ввод  4 17 3 2 2 3" xfId="41871" xr:uid="{33FC9B2E-CED2-48FD-B89C-CC2191989C2C}"/>
    <cellStyle name="Ввод  4 17 3 2 3" xfId="25077" xr:uid="{84745554-33FC-43E6-872F-465A804F3547}"/>
    <cellStyle name="Ввод  4 17 3 2 4" xfId="38153" xr:uid="{720070A4-826D-4A93-9E28-9EFB6CF318C8}"/>
    <cellStyle name="Ввод  4 17 3 3" xfId="15292" xr:uid="{C66B9CFA-48E0-4639-A952-BA3CC110A80F}"/>
    <cellStyle name="Ввод  4 17 3 3 2" xfId="31460" xr:uid="{85412FEB-767B-4BCC-89A3-3446E632BCBE}"/>
    <cellStyle name="Ввод  4 17 3 3 3" xfId="44940" xr:uid="{A3F5F240-C349-4E2E-A54A-A51269E4793D}"/>
    <cellStyle name="Ввод  4 17 3 4" xfId="22678" xr:uid="{B91F9B02-CF3A-4B73-8334-6FCE6B3F2AB9}"/>
    <cellStyle name="Ввод  4 17 3 5" xfId="35731" xr:uid="{0BEC78A8-6E48-4D94-B666-C6D9BBBDCF76}"/>
    <cellStyle name="Ввод  4 17 4" xfId="5903" xr:uid="{90A8F215-EA61-424E-BE14-E1DC091FDA8E}"/>
    <cellStyle name="Ввод  4 17 4 2" xfId="9063" xr:uid="{73E5F8CA-DAC1-4A58-869F-CFF908C2D669}"/>
    <cellStyle name="Ввод  4 17 4 2 2" xfId="13322" xr:uid="{7117D0F1-51B0-4CCB-BED2-A0123A5D09E6}"/>
    <cellStyle name="Ввод  4 17 4 2 2 2" xfId="29805" xr:uid="{8AC83FB3-3E68-4335-9216-D307E44E623A}"/>
    <cellStyle name="Ввод  4 17 4 2 2 3" xfId="43136" xr:uid="{3FE4BCF6-92D3-4A19-A06E-9AEEC4D93618}"/>
    <cellStyle name="Ввод  4 17 4 2 3" xfId="26544" xr:uid="{4902A21E-89CE-462F-A1E5-80231D9C57EB}"/>
    <cellStyle name="Ввод  4 17 4 2 4" xfId="39620" xr:uid="{89DE213E-03C2-46DD-B081-0B506458A617}"/>
    <cellStyle name="Ввод  4 17 4 3" xfId="13282" xr:uid="{6388AB15-70F9-4714-9DFB-BCA0E9253EFF}"/>
    <cellStyle name="Ввод  4 17 4 3 2" xfId="29773" xr:uid="{9F2E5A27-E195-4BF6-B83C-69E8972EDC39}"/>
    <cellStyle name="Ввод  4 17 4 3 3" xfId="43099" xr:uid="{3B82CB8B-5269-4B01-97A8-C6D0C491B961}"/>
    <cellStyle name="Ввод  4 17 4 4" xfId="23550" xr:uid="{20C4DD13-90A9-4E71-8752-BA5FA2795674}"/>
    <cellStyle name="Ввод  4 17 4 5" xfId="36631" xr:uid="{D64B48BE-8C18-4949-A6BB-80332DB6D48E}"/>
    <cellStyle name="Ввод  4 17 5" xfId="15605" xr:uid="{CA2DD217-5E13-4C31-8782-F81127B64927}"/>
    <cellStyle name="Ввод  4 17 5 2" xfId="31729" xr:uid="{45447C74-ED67-4475-B406-2B791A73B407}"/>
    <cellStyle name="Ввод  4 17 5 3" xfId="45232" xr:uid="{3ECAE0C9-810A-4434-81E4-1B0FF2A76315}"/>
    <cellStyle name="Ввод  4 17 6" xfId="21816" xr:uid="{00AC3B20-8B41-4FBD-88B3-5E36B3962705}"/>
    <cellStyle name="Ввод  4 17 7" xfId="34866" xr:uid="{8A79DD7A-2D2C-497A-9EE5-3C62C82EBBAC}"/>
    <cellStyle name="Ввод  4 18" xfId="3884" xr:uid="{00AAB80B-C6F2-413A-8A80-A757A4A6A859}"/>
    <cellStyle name="Ввод  4 18 2" xfId="3141" xr:uid="{135265EF-7A10-48BD-BA20-061A7B2931D0}"/>
    <cellStyle name="Ввод  4 18 2 2" xfId="8433" xr:uid="{B152D8C2-127B-4E65-B42F-6DDA283AF037}"/>
    <cellStyle name="Ввод  4 18 2 2 2" xfId="10886" xr:uid="{E112B5C0-CFA5-46C3-AC03-FD76A157F672}"/>
    <cellStyle name="Ввод  4 18 2 2 2 2" xfId="27710" xr:uid="{F5660E8A-8708-420E-8A35-06A5BCCE5BA3}"/>
    <cellStyle name="Ввод  4 18 2 2 2 3" xfId="40866" xr:uid="{1D0DE58C-DB92-4377-92FE-67D392A81370}"/>
    <cellStyle name="Ввод  4 18 2 2 3" xfId="25935" xr:uid="{AA518190-F5EF-4D93-8F5D-2517481E4D22}"/>
    <cellStyle name="Ввод  4 18 2 2 4" xfId="39011" xr:uid="{A67B1843-8903-4634-9724-917C6BE841FC}"/>
    <cellStyle name="Ввод  4 18 2 3" xfId="6800" xr:uid="{05564D11-D62D-4C2A-AAEB-5A1D10869ABC}"/>
    <cellStyle name="Ввод  4 18 2 3 2" xfId="11484" xr:uid="{94EA16DB-6F42-4722-8F27-5001DDE312CB}"/>
    <cellStyle name="Ввод  4 18 2 3 2 2" xfId="28248" xr:uid="{670D6620-6490-45A6-83DC-0B77187E5157}"/>
    <cellStyle name="Ввод  4 18 2 3 2 3" xfId="41443" xr:uid="{782F2650-6BE3-4E76-9F8B-26FA2F3B23E8}"/>
    <cellStyle name="Ввод  4 18 2 3 3" xfId="24426" xr:uid="{1268F7A0-8281-4F3E-9955-413E73FC4515}"/>
    <cellStyle name="Ввод  4 18 2 3 4" xfId="37507" xr:uid="{2AF65B04-941F-4058-A34C-4159F54CD60F}"/>
    <cellStyle name="Ввод  4 18 2 4" xfId="16379" xr:uid="{BD5977D8-9896-4AC7-87EF-F9A6717EAED0}"/>
    <cellStyle name="Ввод  4 18 2 4 2" xfId="32399" xr:uid="{A4552BEE-4D65-41E8-B72D-6ACE8F09FC2F}"/>
    <cellStyle name="Ввод  4 18 2 4 3" xfId="45933" xr:uid="{44050959-3C24-4405-819C-9682E4D4A48E}"/>
    <cellStyle name="Ввод  4 18 2 5" xfId="21178" xr:uid="{48E6B716-019C-4DD5-91B8-E3078ED0FD3C}"/>
    <cellStyle name="Ввод  4 18 2 6" xfId="34201" xr:uid="{D13DEBDD-A7CD-4DA9-9981-C9C3D15E7637}"/>
    <cellStyle name="Ввод  4 18 3" xfId="4821" xr:uid="{8C7B826B-473B-41BF-A86B-50868C51111C}"/>
    <cellStyle name="Ввод  4 18 3 2" xfId="7465" xr:uid="{F5BF2245-EEB6-48CE-860F-260CE37B9D77}"/>
    <cellStyle name="Ввод  4 18 3 2 2" xfId="15978" xr:uid="{378127EC-D040-419C-9A48-87E849E2BC23}"/>
    <cellStyle name="Ввод  4 18 3 2 2 2" xfId="32052" xr:uid="{E071C576-5E29-46E8-8CC8-068E1319359C}"/>
    <cellStyle name="Ввод  4 18 3 2 2 3" xfId="45571" xr:uid="{67BC11A7-B59B-49B0-B15E-FEC090CEC307}"/>
    <cellStyle name="Ввод  4 18 3 2 3" xfId="25022" xr:uid="{5E02B96F-5CD4-483C-A122-4B45511A4768}"/>
    <cellStyle name="Ввод  4 18 3 2 4" xfId="38098" xr:uid="{B29D17CD-4678-4DF9-AC2B-A1E409E2DDC9}"/>
    <cellStyle name="Ввод  4 18 3 3" xfId="11192" xr:uid="{B972EE72-06DD-4A73-B949-662D2CFC3670}"/>
    <cellStyle name="Ввод  4 18 3 3 2" xfId="27986" xr:uid="{F61A9BB5-2E51-46DE-9502-645E04CDB260}"/>
    <cellStyle name="Ввод  4 18 3 3 3" xfId="41168" xr:uid="{0CAD7585-4B59-4EF9-97B1-A39B2C3FA91E}"/>
    <cellStyle name="Ввод  4 18 3 4" xfId="22623" xr:uid="{645A6E3D-4ED8-425E-B098-CF16798213AB}"/>
    <cellStyle name="Ввод  4 18 3 5" xfId="35676" xr:uid="{038D563F-3583-43E2-8D4B-12B3AEC4B374}"/>
    <cellStyle name="Ввод  4 18 4" xfId="5848" xr:uid="{22088723-9E5F-4C18-81C8-9BFCDA2D2FF0}"/>
    <cellStyle name="Ввод  4 18 4 2" xfId="9006" xr:uid="{FFD5EFD5-9BF5-41F3-BCFC-10B04CA2ECF0}"/>
    <cellStyle name="Ввод  4 18 4 2 2" xfId="17100" xr:uid="{5B55D783-BE08-4C6D-89C4-08945E3D59E5}"/>
    <cellStyle name="Ввод  4 18 4 2 2 2" xfId="32868" xr:uid="{2FB81B18-FE8D-47C9-B5E2-1CD894E041B8}"/>
    <cellStyle name="Ввод  4 18 4 2 2 3" xfId="46639" xr:uid="{01F5B42E-4D5B-4416-AA42-4AB60D58E83B}"/>
    <cellStyle name="Ввод  4 18 4 2 3" xfId="26491" xr:uid="{E430F76D-CC23-42D7-B40F-A7684DF95FBE}"/>
    <cellStyle name="Ввод  4 18 4 2 4" xfId="39567" xr:uid="{3178DFC4-28C6-402D-856D-577DC402682D}"/>
    <cellStyle name="Ввод  4 18 4 3" xfId="13309" xr:uid="{2819CADE-9081-4178-965D-945F96A85F23}"/>
    <cellStyle name="Ввод  4 18 4 3 2" xfId="29795" xr:uid="{94304241-AC01-4A38-85AB-4F6E92A19927}"/>
    <cellStyle name="Ввод  4 18 4 3 3" xfId="43124" xr:uid="{2C52B2B9-F83E-452E-A414-F65117ED7539}"/>
    <cellStyle name="Ввод  4 18 4 4" xfId="23495" xr:uid="{D4CBD6AB-8CA6-48B0-8101-C00A079169E2}"/>
    <cellStyle name="Ввод  4 18 4 5" xfId="36576" xr:uid="{29190996-6FDA-42AB-9916-0008D3AAD101}"/>
    <cellStyle name="Ввод  4 18 5" xfId="11117" xr:uid="{7D6745BE-44C1-4820-8D8A-DF4C59AEBB96}"/>
    <cellStyle name="Ввод  4 18 5 2" xfId="27918" xr:uid="{43CEA504-C64D-40C4-9867-F81330B4444A}"/>
    <cellStyle name="Ввод  4 18 5 3" xfId="41096" xr:uid="{FE9F4C3F-C1E0-43CF-9B16-4DA342F30B3B}"/>
    <cellStyle name="Ввод  4 18 6" xfId="21760" xr:uid="{821E8D8A-E1B5-4E29-B8EF-514957F00901}"/>
    <cellStyle name="Ввод  4 18 7" xfId="34811" xr:uid="{5E48217C-9346-4DAA-929F-EBF3A29A0605}"/>
    <cellStyle name="Ввод  4 19" xfId="3981" xr:uid="{F81187DE-B774-49CD-B9D3-8DE3AA72A21F}"/>
    <cellStyle name="Ввод  4 19 2" xfId="3221" xr:uid="{A59DFCBB-E834-4DCB-9689-F67B1141787B}"/>
    <cellStyle name="Ввод  4 19 2 2" xfId="8512" xr:uid="{25EDC21D-6681-4E07-8FCD-8A664DC85B39}"/>
    <cellStyle name="Ввод  4 19 2 2 2" xfId="13180" xr:uid="{07748729-3AD5-4EB9-B778-54C0AC896878}"/>
    <cellStyle name="Ввод  4 19 2 2 2 2" xfId="29688" xr:uid="{D9FB3C1B-9A0D-4CA9-90CC-63F33E4A6432}"/>
    <cellStyle name="Ввод  4 19 2 2 2 3" xfId="43003" xr:uid="{950A2A64-A5D0-4653-A024-058B6DC97239}"/>
    <cellStyle name="Ввод  4 19 2 2 3" xfId="26011" xr:uid="{A72AD756-FEF8-41A2-8838-13539A26F72C}"/>
    <cellStyle name="Ввод  4 19 2 2 4" xfId="39087" xr:uid="{94F3E522-6301-4A90-81C3-9F0AC3040A91}"/>
    <cellStyle name="Ввод  4 19 2 3" xfId="6880" xr:uid="{70C477A4-BBB6-4E7D-96CE-0EAF30EC7966}"/>
    <cellStyle name="Ввод  4 19 2 3 2" xfId="14604" xr:uid="{AA4094F5-B781-4BF1-BFDB-55011640B818}"/>
    <cellStyle name="Ввод  4 19 2 3 2 2" xfId="30904" xr:uid="{2B3479A3-1665-498C-94E3-0060A1869CCC}"/>
    <cellStyle name="Ввод  4 19 2 3 2 3" xfId="44323" xr:uid="{9E98F3DA-0234-4692-BFEA-3A5942C1C2FE}"/>
    <cellStyle name="Ввод  4 19 2 3 3" xfId="24503" xr:uid="{377153B8-150C-499D-8EBA-CDD721B39AA4}"/>
    <cellStyle name="Ввод  4 19 2 3 4" xfId="37584" xr:uid="{B58C68B2-91D5-4CDB-84D2-BB7BAF10270D}"/>
    <cellStyle name="Ввод  4 19 2 4" xfId="15859" xr:uid="{71E510CE-2AA4-4475-8FCB-3E9CAAB25E78}"/>
    <cellStyle name="Ввод  4 19 2 4 2" xfId="31950" xr:uid="{C01FC89F-ACBC-44A7-8DF1-276BF9639030}"/>
    <cellStyle name="Ввод  4 19 2 4 3" xfId="45463" xr:uid="{729F7892-EBE4-40E2-A1E8-84EA59A83315}"/>
    <cellStyle name="Ввод  4 19 2 5" xfId="21255" xr:uid="{792DA656-CE47-4690-8314-090AD48FDB62}"/>
    <cellStyle name="Ввод  4 19 2 6" xfId="34278" xr:uid="{95AD2A6A-E83A-4B91-90E5-FD6B253596AB}"/>
    <cellStyle name="Ввод  4 19 3" xfId="4893" xr:uid="{CAC82B28-F67C-45F5-8B42-5AD44ECA4EC3}"/>
    <cellStyle name="Ввод  4 19 3 2" xfId="7561" xr:uid="{F892466B-8A11-461C-BFF0-606FF5A1B92C}"/>
    <cellStyle name="Ввод  4 19 3 2 2" xfId="16597" xr:uid="{1E29EAC0-20A4-4812-AFAD-30AE40EEDFE1}"/>
    <cellStyle name="Ввод  4 19 3 2 2 2" xfId="32513" xr:uid="{F7BA53CF-0FC9-44DF-B0F0-420D8D64D02F}"/>
    <cellStyle name="Ввод  4 19 3 2 2 3" xfId="46144" xr:uid="{36A7CAE9-F08A-4BBF-AD44-9E2CAF2C2001}"/>
    <cellStyle name="Ввод  4 19 3 2 3" xfId="25089" xr:uid="{F7C29380-D3E6-4F48-85DC-B6DDBA39A69F}"/>
    <cellStyle name="Ввод  4 19 3 2 4" xfId="38165" xr:uid="{897E05F9-80F4-4F62-9353-C811E262216A}"/>
    <cellStyle name="Ввод  4 19 3 3" xfId="13474" xr:uid="{DC5A7193-3FB5-464D-8697-02C1593D1093}"/>
    <cellStyle name="Ввод  4 19 3 3 2" xfId="29935" xr:uid="{8207387D-D8D8-436D-ACB8-40D27C4CD7F1}"/>
    <cellStyle name="Ввод  4 19 3 3 3" xfId="43275" xr:uid="{AC91C8B9-01DC-4A32-8C03-814E8E0774C7}"/>
    <cellStyle name="Ввод  4 19 3 4" xfId="22690" xr:uid="{144456E1-7EAA-44B5-900C-880F8043F03D}"/>
    <cellStyle name="Ввод  4 19 3 5" xfId="35743" xr:uid="{71D3C1C5-372E-49D8-9846-64003FA59774}"/>
    <cellStyle name="Ввод  4 19 4" xfId="5915" xr:uid="{44809DE7-A728-47E3-B078-2A1CA41597F0}"/>
    <cellStyle name="Ввод  4 19 4 2" xfId="9075" xr:uid="{9E54A865-BA97-479C-ABE9-18CB9A649EF3}"/>
    <cellStyle name="Ввод  4 19 4 2 2" xfId="13634" xr:uid="{AFAB44F4-55E5-4C21-A2A0-4490CBC10673}"/>
    <cellStyle name="Ввод  4 19 4 2 2 2" xfId="30069" xr:uid="{6402579B-7D31-4F3D-AD43-E55417CCBDF0}"/>
    <cellStyle name="Ввод  4 19 4 2 2 3" xfId="43424" xr:uid="{FC068498-12DD-45E5-8988-94D7A9439412}"/>
    <cellStyle name="Ввод  4 19 4 2 3" xfId="26556" xr:uid="{17BBFA11-6814-45C3-9DA8-4EF17AAE279B}"/>
    <cellStyle name="Ввод  4 19 4 2 4" xfId="39632" xr:uid="{45DDD130-8F3D-419D-9FD3-7576D656ED44}"/>
    <cellStyle name="Ввод  4 19 4 3" xfId="13422" xr:uid="{8EA88614-8B10-4059-B041-5BC3053A3D52}"/>
    <cellStyle name="Ввод  4 19 4 3 2" xfId="29889" xr:uid="{19C0534C-BA2F-4219-96AC-68FABCC150D3}"/>
    <cellStyle name="Ввод  4 19 4 3 3" xfId="43226" xr:uid="{965CD60E-4E22-4998-91BB-391F04021D08}"/>
    <cellStyle name="Ввод  4 19 4 4" xfId="23562" xr:uid="{196E7166-9258-4E17-91DB-3A0CF1770CD9}"/>
    <cellStyle name="Ввод  4 19 4 5" xfId="36643" xr:uid="{5D4D3434-265F-4932-B3A9-51252A0CCCCB}"/>
    <cellStyle name="Ввод  4 19 5" xfId="16097" xr:uid="{02284894-C8B9-44EE-B351-13BBA554ECA4}"/>
    <cellStyle name="Ввод  4 19 5 2" xfId="32155" xr:uid="{B7AC45BC-6C76-40FE-BE96-13A58BC0F3D7}"/>
    <cellStyle name="Ввод  4 19 5 3" xfId="45676" xr:uid="{B0047E9D-B62A-4840-8200-B9AE9F7186D8}"/>
    <cellStyle name="Ввод  4 19 6" xfId="21828" xr:uid="{3E4360F2-23C6-4128-8161-AF87B65CCCFC}"/>
    <cellStyle name="Ввод  4 19 7" xfId="34878" xr:uid="{45F72A52-AFE4-435E-97E3-D4C4898F295E}"/>
    <cellStyle name="Ввод  4 2" xfId="3440" xr:uid="{9735B14C-B664-458C-BF0E-AC1E24A730B6}"/>
    <cellStyle name="Ввод  4 2 10" xfId="20493" xr:uid="{A2DF0AB8-C25C-4BB8-8481-40EFF71E7D3C}"/>
    <cellStyle name="Ввод  4 2 11" xfId="34456" xr:uid="{4CEBD06D-982F-4B9C-83F0-F2A7020D506E}"/>
    <cellStyle name="Ввод  4 2 2" xfId="2782" xr:uid="{B5736A0D-D137-4E19-A84A-CB95A690D0C1}"/>
    <cellStyle name="Ввод  4 2 2 2" xfId="5106" xr:uid="{740E4DDF-B3FF-46B8-B8BF-97F4803D4D9C}"/>
    <cellStyle name="Ввод  4 2 2 2 2" xfId="8078" xr:uid="{EEBB771E-0A99-40CB-BFB7-86A54C3DA1D4}"/>
    <cellStyle name="Ввод  4 2 2 2 2 2" xfId="14984" xr:uid="{BAB3B4F7-E101-4FEB-A69B-B2873432255C}"/>
    <cellStyle name="Ввод  4 2 2 2 2 2 2" xfId="31218" xr:uid="{BAA7E348-B3D5-4F39-8FAC-6308D8706DD4}"/>
    <cellStyle name="Ввод  4 2 2 2 2 2 3" xfId="44666" xr:uid="{58FD4DAB-3078-490E-AE15-519CF765147B}"/>
    <cellStyle name="Ввод  4 2 2 2 2 3" xfId="25589" xr:uid="{3B8D15DB-6462-4F38-8B30-604A83740F27}"/>
    <cellStyle name="Ввод  4 2 2 2 2 4" xfId="38665" xr:uid="{402CF13C-0264-4BB3-92DC-D6477AF4DFDC}"/>
    <cellStyle name="Ввод  4 2 2 2 3" xfId="13953" xr:uid="{DB37A50B-6B6D-4A40-A5B8-68A59A66965F}"/>
    <cellStyle name="Ввод  4 2 2 2 3 2" xfId="30341" xr:uid="{BF7813B7-099B-4BD8-AB90-173F97AF99AA}"/>
    <cellStyle name="Ввод  4 2 2 2 3 3" xfId="43718" xr:uid="{F4F8A23D-F171-4469-9FF1-710457D14EEE}"/>
    <cellStyle name="Ввод  4 2 2 2 4" xfId="22830" xr:uid="{AE55DE91-DBC7-4F5A-B00B-D0E986F1C431}"/>
    <cellStyle name="Ввод  4 2 2 2 5" xfId="35899" xr:uid="{2452DE8E-177C-4E31-8485-6CB07CDB0875}"/>
    <cellStyle name="Ввод  4 2 2 3" xfId="6445" xr:uid="{517C158F-EE2E-452A-95B7-F74AC7342626}"/>
    <cellStyle name="Ввод  4 2 2 3 2" xfId="13490" xr:uid="{BFCF1326-6D45-4374-A192-C668281790CD}"/>
    <cellStyle name="Ввод  4 2 2 3 2 2" xfId="29951" xr:uid="{7E09E9B2-40BC-4FF6-8F7F-D1351CB32A07}"/>
    <cellStyle name="Ввод  4 2 2 3 2 3" xfId="43291" xr:uid="{33199E81-F08A-4A57-8259-9A9D0BCB6B17}"/>
    <cellStyle name="Ввод  4 2 2 3 3" xfId="24080" xr:uid="{CF44D509-84C4-4711-91AA-CF4C2CC3AAC1}"/>
    <cellStyle name="Ввод  4 2 2 3 4" xfId="37161" xr:uid="{249C0F0F-3F63-415D-AF60-07600E373135}"/>
    <cellStyle name="Ввод  4 2 2 4" xfId="10679" xr:uid="{A4B93524-40BF-4C00-B5B1-A71859AFCA30}"/>
    <cellStyle name="Ввод  4 2 2 4 2" xfId="27529" xr:uid="{C8046F22-5DE3-4D20-9A11-ABEF21499368}"/>
    <cellStyle name="Ввод  4 2 2 4 3" xfId="40660" xr:uid="{291FF4F2-C8BE-48F4-982D-5986A965ED11}"/>
    <cellStyle name="Ввод  4 2 2 5" xfId="20832" xr:uid="{44B1AC77-47C3-4DC4-8BC2-0F3EB5DEACB4}"/>
    <cellStyle name="Ввод  4 2 2 6" xfId="33855" xr:uid="{0DC34F4D-CE49-4739-A814-B93C12F5D032}"/>
    <cellStyle name="Ввод  4 2 3" xfId="2518" xr:uid="{2A5C0B1E-8257-47D7-B80C-2752FBA40A52}"/>
    <cellStyle name="Ввод  4 2 3 2" xfId="5201" xr:uid="{92620DF6-36A1-4B89-9D87-C4D19F3856E8}"/>
    <cellStyle name="Ввод  4 2 3 2 2" xfId="6143" xr:uid="{537A609B-44C2-443D-8989-A658325172F6}"/>
    <cellStyle name="Ввод  4 2 3 2 2 2" xfId="13394" xr:uid="{01518B85-6A54-4755-94E2-55E191B86ABF}"/>
    <cellStyle name="Ввод  4 2 3 2 2 2 2" xfId="29864" xr:uid="{C0EED8C8-C395-431C-9A07-358B1F3DEB7C}"/>
    <cellStyle name="Ввод  4 2 3 2 2 2 3" xfId="43199" xr:uid="{EB3E3343-FCBC-4507-B037-EF1CFF2FB9CB}"/>
    <cellStyle name="Ввод  4 2 3 2 2 3" xfId="23788" xr:uid="{F33BB615-5341-4F81-8BFF-1215F32E67B7}"/>
    <cellStyle name="Ввод  4 2 3 2 2 4" xfId="36869" xr:uid="{1BE06127-3DC4-4D86-B456-D49839631051}"/>
    <cellStyle name="Ввод  4 2 3 2 3" xfId="12195" xr:uid="{86FFCA8A-62C5-49CB-B3FA-9A3ABC649BAA}"/>
    <cellStyle name="Ввод  4 2 3 2 3 2" xfId="28886" xr:uid="{81DF170B-6A0B-4F0A-AAF8-EC1386359686}"/>
    <cellStyle name="Ввод  4 2 3 2 3 3" xfId="42113" xr:uid="{DB0EE944-365F-4BD9-9E84-324EB1439FAF}"/>
    <cellStyle name="Ввод  4 2 3 2 4" xfId="22876" xr:uid="{C3A7DF3A-DF81-4274-B561-9057DC367205}"/>
    <cellStyle name="Ввод  4 2 3 2 5" xfId="35945" xr:uid="{6D4010E8-E63E-489B-9E33-0513830C772C}"/>
    <cellStyle name="Ввод  4 2 3 3" xfId="6184" xr:uid="{F083C0C7-FFF1-4E6B-AD61-2781931556A6}"/>
    <cellStyle name="Ввод  4 2 3 3 2" xfId="17083" xr:uid="{AA35084E-52B2-4141-8D9D-49EC8F848846}"/>
    <cellStyle name="Ввод  4 2 3 3 2 2" xfId="32853" xr:uid="{42013151-6737-42BE-B0E4-7BB0EAF01998}"/>
    <cellStyle name="Ввод  4 2 3 3 2 3" xfId="46623" xr:uid="{3500DB01-6173-4226-A87C-E2620E66458A}"/>
    <cellStyle name="Ввод  4 2 3 3 3" xfId="23829" xr:uid="{8D30679B-DD22-49E1-B28C-41C2F46E96AC}"/>
    <cellStyle name="Ввод  4 2 3 3 4" xfId="36910" xr:uid="{A9E06224-4177-4839-BEF5-5DFB1B725617}"/>
    <cellStyle name="Ввод  4 2 3 4" xfId="15914" xr:uid="{EA2D3AD6-BD9B-4987-9982-2A4174E3DEA8}"/>
    <cellStyle name="Ввод  4 2 3 4 2" xfId="31996" xr:uid="{111B3C69-9237-4BE3-814B-DA1449DAA2D8}"/>
    <cellStyle name="Ввод  4 2 3 4 3" xfId="45512" xr:uid="{1A78997E-927E-42F8-9295-6AD59AFB524C}"/>
    <cellStyle name="Ввод  4 2 3 5" xfId="20581" xr:uid="{A7B35CCC-90B7-4F65-9E72-DD174586D9B3}"/>
    <cellStyle name="Ввод  4 2 3 6" xfId="33604" xr:uid="{EFED956E-9055-4641-BD10-FA54B79E15CD}"/>
    <cellStyle name="Ввод  4 2 4" xfId="2622" xr:uid="{794E7782-F8EF-4DE6-A2D0-A47E08B8088F}"/>
    <cellStyle name="Ввод  4 2 4 2" xfId="5010" xr:uid="{363F35EC-FDDB-4A7D-98A4-55D8B054948A}"/>
    <cellStyle name="Ввод  4 2 4 2 2" xfId="7919" xr:uid="{62EC8D5D-BEF3-47F8-89D5-946D4D830B7F}"/>
    <cellStyle name="Ввод  4 2 4 2 2 2" xfId="16140" xr:uid="{79D191EB-0FD6-4FC2-9256-9CECD751DB71}"/>
    <cellStyle name="Ввод  4 2 4 2 2 2 2" xfId="32194" xr:uid="{3AA5E1CC-8179-4291-902F-95B848C7724A}"/>
    <cellStyle name="Ввод  4 2 4 2 2 2 3" xfId="45715" xr:uid="{16B34992-4E5D-4857-8BB0-409FE8031B1D}"/>
    <cellStyle name="Ввод  4 2 4 2 2 3" xfId="25435" xr:uid="{7B124A72-D7C5-44BE-99D3-A61F9299446B}"/>
    <cellStyle name="Ввод  4 2 4 2 2 4" xfId="38511" xr:uid="{E6996B9A-BCCB-4438-BD37-93D6012FD209}"/>
    <cellStyle name="Ввод  4 2 4 2 3" xfId="15952" xr:uid="{C19A5467-F666-4441-A675-CEB221DE47FF}"/>
    <cellStyle name="Ввод  4 2 4 2 3 2" xfId="32029" xr:uid="{A0CF1824-6202-4562-B54A-42D939083834}"/>
    <cellStyle name="Ввод  4 2 4 2 3 3" xfId="45547" xr:uid="{43A7FA1A-C612-4ADE-B153-DBAB2D2C32A9}"/>
    <cellStyle name="Ввод  4 2 4 2 4" xfId="22774" xr:uid="{8282C199-8C4A-4DF2-BF6C-0548512EEBA6}"/>
    <cellStyle name="Ввод  4 2 4 2 5" xfId="35834" xr:uid="{9A3F2560-3144-4E0E-A2BC-1B3802E47102}"/>
    <cellStyle name="Ввод  4 2 4 3" xfId="6286" xr:uid="{B8668C0A-BDFC-471B-AD65-B88AAB21A534}"/>
    <cellStyle name="Ввод  4 2 4 3 2" xfId="13068" xr:uid="{3A34771B-69AA-42F5-880D-435173C1D23D}"/>
    <cellStyle name="Ввод  4 2 4 3 2 2" xfId="29592" xr:uid="{967A46DF-202E-44EC-B763-381CBDF302E0}"/>
    <cellStyle name="Ввод  4 2 4 3 2 3" xfId="42898" xr:uid="{E97C400D-61C9-4FFD-B61C-615501C35F96}"/>
    <cellStyle name="Ввод  4 2 4 3 3" xfId="23926" xr:uid="{6BFF0BF9-000A-432A-BDF4-A16BF701E520}"/>
    <cellStyle name="Ввод  4 2 4 3 4" xfId="37007" xr:uid="{1F98ED27-4A27-437E-9684-24E71DE03BB2}"/>
    <cellStyle name="Ввод  4 2 4 4" xfId="12780" xr:uid="{106D5F9E-57A8-4D6B-9C48-361BBD2F2FD8}"/>
    <cellStyle name="Ввод  4 2 4 4 2" xfId="29355" xr:uid="{322D48A0-CB74-4883-B6A6-0398F847B3B2}"/>
    <cellStyle name="Ввод  4 2 4 4 3" xfId="42635" xr:uid="{66F848A9-553D-4250-B0F5-949B648E8E7C}"/>
    <cellStyle name="Ввод  4 2 4 5" xfId="20678" xr:uid="{1120632B-9C38-4BF6-8756-08853D68776C}"/>
    <cellStyle name="Ввод  4 2 4 6" xfId="33701" xr:uid="{C62E75E8-828D-4FA0-B241-054F7327F033}"/>
    <cellStyle name="Ввод  4 2 5" xfId="4190" xr:uid="{33D0AE0C-AB1D-4680-A286-7B362C792811}"/>
    <cellStyle name="Ввод  4 2 5 2" xfId="4985" xr:uid="{BD8E11E5-6F6E-4D7B-80BC-0EA8028E2B29}"/>
    <cellStyle name="Ввод  4 2 5 2 2" xfId="9242" xr:uid="{9F211135-F17E-4FCF-955A-E6D8C8F50C77}"/>
    <cellStyle name="Ввод  4 2 5 2 2 2" xfId="12173" xr:uid="{9AE85C34-2950-479F-9DD2-C93E5C71AD15}"/>
    <cellStyle name="Ввод  4 2 5 2 2 2 2" xfId="28868" xr:uid="{46A1A7D1-C03F-4F89-8838-EA7917730AC2}"/>
    <cellStyle name="Ввод  4 2 5 2 2 2 3" xfId="42093" xr:uid="{D2B4DB4A-7F4E-4EC8-917F-AA226DCAEB71}"/>
    <cellStyle name="Ввод  4 2 5 2 2 3" xfId="26717" xr:uid="{78BDA318-3D57-4575-973F-56773E914AEA}"/>
    <cellStyle name="Ввод  4 2 5 2 2 4" xfId="39793" xr:uid="{8DA163F4-685B-4113-8613-554AC63CD48D}"/>
    <cellStyle name="Ввод  4 2 5 2 3" xfId="15301" xr:uid="{D7041530-48D0-4ABC-A152-A9F2C11DAF60}"/>
    <cellStyle name="Ввод  4 2 5 2 3 2" xfId="31469" xr:uid="{2D673483-3017-44E8-B423-316B37995BD9}"/>
    <cellStyle name="Ввод  4 2 5 2 3 3" xfId="44949" xr:uid="{3D1AB7C5-8D41-4B82-897D-239CA84F319E}"/>
    <cellStyle name="Ввод  4 2 5 2 4" xfId="22757" xr:uid="{02135EF6-4BB8-4E24-A410-291F11F9E36C}"/>
    <cellStyle name="Ввод  4 2 5 2 5" xfId="35814" xr:uid="{51D6AF65-7650-4B76-AF65-41C191BA2305}"/>
    <cellStyle name="Ввод  4 2 5 3" xfId="7754" xr:uid="{B2379D17-F78C-4FF0-A55D-B9F1AB38130A}"/>
    <cellStyle name="Ввод  4 2 5 3 2" xfId="14157" xr:uid="{D625DE62-4C10-4E5B-9A09-7EAD946803CD}"/>
    <cellStyle name="Ввод  4 2 5 3 2 2" xfId="30514" xr:uid="{AF44CC25-7882-4DF5-9250-5E760D0F37EC}"/>
    <cellStyle name="Ввод  4 2 5 3 2 3" xfId="43900" xr:uid="{8973CCDF-5AC0-453E-A84C-9CD66D0397B9}"/>
    <cellStyle name="Ввод  4 2 5 3 3" xfId="25276" xr:uid="{13939931-F142-4274-8746-4BC69C62BA5E}"/>
    <cellStyle name="Ввод  4 2 5 3 4" xfId="38352" xr:uid="{47231ACE-86C8-4120-B88C-69928CC253A7}"/>
    <cellStyle name="Ввод  4 2 5 4" xfId="14094" xr:uid="{03E1D0B3-1CE0-4CB7-A3F2-2791C39E32FA}"/>
    <cellStyle name="Ввод  4 2 5 4 2" xfId="30461" xr:uid="{6FE8C1C8-E80F-42A6-915F-A828B58917C8}"/>
    <cellStyle name="Ввод  4 2 5 4 3" xfId="43844" xr:uid="{CACB0D87-0401-491C-9C01-2F4691929C90}"/>
    <cellStyle name="Ввод  4 2 5 5" xfId="22017" xr:uid="{9730A97D-289F-430C-9814-431549FA2E12}"/>
    <cellStyle name="Ввод  4 2 5 6" xfId="35066" xr:uid="{8F681450-BFED-4E42-82BC-193DA7DF077C}"/>
    <cellStyle name="Ввод  4 2 6" xfId="4442" xr:uid="{42678DB5-90EA-4E6E-8266-9C2B585AF258}"/>
    <cellStyle name="Ввод  4 2 6 2" xfId="7082" xr:uid="{40CAE573-0658-47ED-AA4A-C747442241C4}"/>
    <cellStyle name="Ввод  4 2 6 2 2" xfId="11243" xr:uid="{076D70C3-AE89-41CC-B8D5-5EA4FB1B6030}"/>
    <cellStyle name="Ввод  4 2 6 2 2 2" xfId="28033" xr:uid="{73BB8795-4632-479A-ACDA-A433859E59B8}"/>
    <cellStyle name="Ввод  4 2 6 2 2 3" xfId="41215" xr:uid="{0D2DEB31-44A0-4392-A184-41DBD79CED41}"/>
    <cellStyle name="Ввод  4 2 6 2 3" xfId="24681" xr:uid="{B111B26D-ABE7-4571-A7CF-6DD2529D9B99}"/>
    <cellStyle name="Ввод  4 2 6 2 4" xfId="37762" xr:uid="{2E84496E-20CF-49EB-9AD9-755E262A2631}"/>
    <cellStyle name="Ввод  4 2 6 3" xfId="13826" xr:uid="{BD8AB948-64BF-440F-971A-E2B910354634}"/>
    <cellStyle name="Ввод  4 2 6 3 2" xfId="30228" xr:uid="{672E5FA7-3214-4ED4-B212-681DC5CF4D02}"/>
    <cellStyle name="Ввод  4 2 6 3 3" xfId="43598" xr:uid="{7C09AA70-F81C-4887-ADC7-F4E335541267}"/>
    <cellStyle name="Ввод  4 2 6 4" xfId="22260" xr:uid="{FB2609AC-AAF3-4549-B227-C51BCCEE3771}"/>
    <cellStyle name="Ввод  4 2 6 5" xfId="35309" xr:uid="{26715D30-BED4-49B4-B34C-FFBA4838FFC9}"/>
    <cellStyle name="Ввод  4 2 7" xfId="5495" xr:uid="{5A6CC2E5-D328-4DB9-8EAD-2DF109327CC8}"/>
    <cellStyle name="Ввод  4 2 7 2" xfId="8677" xr:uid="{3173697E-9645-4F32-890D-B4423805E9CB}"/>
    <cellStyle name="Ввод  4 2 7 2 2" xfId="10819" xr:uid="{D093121A-7193-4F6D-9451-07C68CC51AEE}"/>
    <cellStyle name="Ввод  4 2 7 2 2 2" xfId="27651" xr:uid="{296A207D-2055-479F-8939-3AB8FE330797}"/>
    <cellStyle name="Ввод  4 2 7 2 2 3" xfId="40800" xr:uid="{C2990C68-35C8-4DA1-8216-D0CA2784D0D2}"/>
    <cellStyle name="Ввод  4 2 7 2 3" xfId="26170" xr:uid="{10B212A5-7F2C-4DE6-A6AE-A66D1A0EAF5D}"/>
    <cellStyle name="Ввод  4 2 7 2 4" xfId="39246" xr:uid="{A4A9362D-583F-4F1C-8183-7AE43F5520E3}"/>
    <cellStyle name="Ввод  4 2 7 3" xfId="11445" xr:uid="{7F2E146C-126E-4FE5-BB03-447D96D0FAE6}"/>
    <cellStyle name="Ввод  4 2 7 3 2" xfId="28210" xr:uid="{89840148-359E-4018-A827-FB70127B10FC}"/>
    <cellStyle name="Ввод  4 2 7 3 3" xfId="41404" xr:uid="{91121586-12E4-4584-95B9-CD1CC5CEF388}"/>
    <cellStyle name="Ввод  4 2 7 4" xfId="23142" xr:uid="{FE0C30D7-EDAC-4E0B-9736-C6D0B67CCE92}"/>
    <cellStyle name="Ввод  4 2 7 5" xfId="36223" xr:uid="{7181C10F-5B8E-4576-A032-893D48BA9F76}"/>
    <cellStyle name="Ввод  4 2 8" xfId="14207" xr:uid="{AB3F1779-9D23-4132-AB7C-5022ED441742}"/>
    <cellStyle name="Ввод  4 2 8 2" xfId="30552" xr:uid="{5B6BA176-3587-4F75-AF7D-04C0C23AC331}"/>
    <cellStyle name="Ввод  4 2 8 3" xfId="43944" xr:uid="{BE802D0F-871E-4D51-B162-EE07A94C1525}"/>
    <cellStyle name="Ввод  4 2 9" xfId="17740" xr:uid="{DDA6A7B4-9B65-46D8-841B-B9BD90116884}"/>
    <cellStyle name="Ввод  4 2 9 2" xfId="33462" xr:uid="{F06909D0-FBB3-437B-A02C-79B357E999B5}"/>
    <cellStyle name="Ввод  4 2 9 3" xfId="47245" xr:uid="{864FD7E6-21B0-4573-AB8F-332268DA35E5}"/>
    <cellStyle name="Ввод  4 20" xfId="3145" xr:uid="{08A4DAFD-62A6-4853-8763-421BBC7AAEC6}"/>
    <cellStyle name="Ввод  4 20 2" xfId="4989" xr:uid="{FF0C3740-9A54-4667-8081-C9A55D14DBCF}"/>
    <cellStyle name="Ввод  4 20 2 2" xfId="8437" xr:uid="{8F8D0CBA-FB34-4DE6-82E8-9E4ACE92A2F8}"/>
    <cellStyle name="Ввод  4 20 2 2 2" xfId="12649" xr:uid="{53B57569-5A25-4493-8FAD-306659BBACD8}"/>
    <cellStyle name="Ввод  4 20 2 2 2 2" xfId="29251" xr:uid="{2FB3132C-85D9-45F3-BCBD-42F6CA3C8AE0}"/>
    <cellStyle name="Ввод  4 20 2 2 2 3" xfId="42520" xr:uid="{667B5D1D-507A-4D82-A393-027A74D04507}"/>
    <cellStyle name="Ввод  4 20 2 2 3" xfId="25939" xr:uid="{A23B94CC-92BB-4A88-8F31-1ED2E8CC33DB}"/>
    <cellStyle name="Ввод  4 20 2 2 4" xfId="39015" xr:uid="{D84A9275-4222-4892-9F32-90FB57D9A63A}"/>
    <cellStyle name="Ввод  4 20 2 3" xfId="15331" xr:uid="{F9DFB0A0-8B69-4212-848E-EBAF6D65EB80}"/>
    <cellStyle name="Ввод  4 20 2 3 2" xfId="31489" xr:uid="{2511FA79-6C8C-4F10-950E-0A0EFAAEA971}"/>
    <cellStyle name="Ввод  4 20 2 3 3" xfId="44975" xr:uid="{ED313111-0494-4BC5-99BC-7B8F10C8E4DB}"/>
    <cellStyle name="Ввод  4 20 2 4" xfId="22761" xr:uid="{821BC0E4-EEE4-40E5-ACDE-C50F0224F367}"/>
    <cellStyle name="Ввод  4 20 2 5" xfId="35818" xr:uid="{BB6E76A2-E47E-4281-BB4B-9D563288BE45}"/>
    <cellStyle name="Ввод  4 20 3" xfId="6804" xr:uid="{6F11FE1F-BB54-456D-B3D1-486E9D8BBF69}"/>
    <cellStyle name="Ввод  4 20 3 2" xfId="11655" xr:uid="{0F34C366-21D4-4625-9241-03008577F262}"/>
    <cellStyle name="Ввод  4 20 3 2 2" xfId="28396" xr:uid="{13F55272-EDBB-48FF-BE43-8E19E5370094}"/>
    <cellStyle name="Ввод  4 20 3 2 3" xfId="41600" xr:uid="{B8E7075C-A349-4AF5-8DDA-95829D1D6593}"/>
    <cellStyle name="Ввод  4 20 3 3" xfId="24430" xr:uid="{013AD621-6A7F-4A8A-B219-2410AE19DAA1}"/>
    <cellStyle name="Ввод  4 20 3 4" xfId="37511" xr:uid="{8F91C9B7-9617-455B-BA3D-9D77CFBEB094}"/>
    <cellStyle name="Ввод  4 20 4" xfId="16817" xr:uid="{5DFB1D31-34D3-48D3-9C2E-6250E3B82772}"/>
    <cellStyle name="Ввод  4 20 4 2" xfId="32697" xr:uid="{338A5BF8-2D4A-4188-B846-091CFA0D29A9}"/>
    <cellStyle name="Ввод  4 20 4 3" xfId="46360" xr:uid="{CAE4333D-DA5B-459F-B38D-B47820BB05AC}"/>
    <cellStyle name="Ввод  4 20 5" xfId="21182" xr:uid="{A1DB72B3-329F-4B2F-A5CB-80648EBD8BD7}"/>
    <cellStyle name="Ввод  4 20 6" xfId="34205" xr:uid="{C0F4F8A7-F463-4EF6-A663-8AAB864E9322}"/>
    <cellStyle name="Ввод  4 21" xfId="2641" xr:uid="{DDEEF124-9BC2-41AA-9457-D672D3B1D47A}"/>
    <cellStyle name="Ввод  4 21 2" xfId="7938" xr:uid="{5CF8EFA2-6B25-4E0C-8305-19D148A0A891}"/>
    <cellStyle name="Ввод  4 21 2 2" xfId="10806" xr:uid="{66E44731-C513-4DF4-9D23-4B43EC56B883}"/>
    <cellStyle name="Ввод  4 21 2 2 2" xfId="27639" xr:uid="{3A279512-477F-4038-A6EF-52FADC25F874}"/>
    <cellStyle name="Ввод  4 21 2 2 3" xfId="40787" xr:uid="{CC988AB7-A2D1-452F-8D0C-96C07322F9E5}"/>
    <cellStyle name="Ввод  4 21 2 3" xfId="25454" xr:uid="{A65ACEF4-B1C5-4D03-BA78-1D3B6739DF93}"/>
    <cellStyle name="Ввод  4 21 2 4" xfId="38530" xr:uid="{07290ED2-5C0C-4FA2-89C1-4E38B0085EE4}"/>
    <cellStyle name="Ввод  4 21 3" xfId="6305" xr:uid="{54E207F8-5ADB-41D4-AD88-17DE8FAF469E}"/>
    <cellStyle name="Ввод  4 21 3 2" xfId="11161" xr:uid="{729BFED0-91F3-4A0D-B90A-82EA89A9DF81}"/>
    <cellStyle name="Ввод  4 21 3 2 2" xfId="27955" xr:uid="{3B88CC9C-CD68-49C3-A47A-3A1AB375CD5F}"/>
    <cellStyle name="Ввод  4 21 3 2 3" xfId="41137" xr:uid="{1D9F98EE-2D03-4DB4-95F4-91081D853081}"/>
    <cellStyle name="Ввод  4 21 3 3" xfId="23945" xr:uid="{859291BF-2DF5-42FC-B3CB-3BCA8F7A5927}"/>
    <cellStyle name="Ввод  4 21 3 4" xfId="37026" xr:uid="{AE449E79-2E16-434A-829D-1D86A74BA79D}"/>
    <cellStyle name="Ввод  4 21 4" xfId="17219" xr:uid="{42B8D619-A131-4DCF-B7AF-D76680C9F038}"/>
    <cellStyle name="Ввод  4 21 4 2" xfId="32979" xr:uid="{F29B655D-6E0F-4861-BC47-0BC9297B71F8}"/>
    <cellStyle name="Ввод  4 21 4 3" xfId="46753" xr:uid="{721CC88E-6852-475D-934A-7B822A0459AF}"/>
    <cellStyle name="Ввод  4 21 5" xfId="20697" xr:uid="{D359CFF2-51B8-4D95-BAE2-C44702A7DB5B}"/>
    <cellStyle name="Ввод  4 21 6" xfId="33720" xr:uid="{34EEB051-10EF-4514-B864-951E974178F0}"/>
    <cellStyle name="Ввод  4 22" xfId="4148" xr:uid="{3723ED36-A17D-434E-B380-F15B864BC492}"/>
    <cellStyle name="Ввод  4 22 2" xfId="9200" xr:uid="{9183F4F7-4091-4475-AC62-5AB00B655B79}"/>
    <cellStyle name="Ввод  4 22 2 2" xfId="14025" xr:uid="{6CD9E2AD-BF83-4AF8-8DA9-1121326C2541}"/>
    <cellStyle name="Ввод  4 22 2 2 2" xfId="30404" xr:uid="{52E61D71-9D9E-420E-A8A4-F13ADD5156FB}"/>
    <cellStyle name="Ввод  4 22 2 2 3" xfId="43784" xr:uid="{25448D3B-334E-44D2-93D5-78C052AFDCE7}"/>
    <cellStyle name="Ввод  4 22 2 3" xfId="26676" xr:uid="{FF39CD22-00CF-4BD0-B564-4E3E821A614C}"/>
    <cellStyle name="Ввод  4 22 2 4" xfId="39752" xr:uid="{74371003-9B0C-495B-9EF4-EAD6BEDF4815}"/>
    <cellStyle name="Ввод  4 22 3" xfId="7712" xr:uid="{71CA0E89-2CDC-44B4-89B7-95FC7A6E018C}"/>
    <cellStyle name="Ввод  4 22 3 2" xfId="15931" xr:uid="{416DBA41-5FBD-4309-9C91-0D1B4853C0CF}"/>
    <cellStyle name="Ввод  4 22 3 2 2" xfId="32012" xr:uid="{092A49F2-D553-44C9-92A9-BA6F6FE6E441}"/>
    <cellStyle name="Ввод  4 22 3 2 3" xfId="45528" xr:uid="{75DC24A0-05BE-4C1A-A1AE-D8AD5A5C1048}"/>
    <cellStyle name="Ввод  4 22 3 3" xfId="25235" xr:uid="{B71B8C56-F825-492B-9357-38F086A98065}"/>
    <cellStyle name="Ввод  4 22 3 4" xfId="38311" xr:uid="{C153AC22-4D64-4D63-97B5-16B2C353EE08}"/>
    <cellStyle name="Ввод  4 22 4" xfId="16138" xr:uid="{957AE42B-9337-4B1A-BEBD-1DC24F503A47}"/>
    <cellStyle name="Ввод  4 22 4 2" xfId="32192" xr:uid="{958332E4-4C41-471A-8487-F148B298FED4}"/>
    <cellStyle name="Ввод  4 22 4 3" xfId="45713" xr:uid="{CA6269A1-69EF-4516-AEBA-83AFD4C1B0E0}"/>
    <cellStyle name="Ввод  4 22 5" xfId="21976" xr:uid="{E57AC701-DAA6-4BA1-AFA3-560EFF8BC2F5}"/>
    <cellStyle name="Ввод  4 22 6" xfId="35025" xr:uid="{88E128A3-A996-4440-873E-2DC3E87594F4}"/>
    <cellStyle name="Ввод  4 23" xfId="2550" xr:uid="{FD5181B4-52DA-470F-AA7D-06966F2BB73C}"/>
    <cellStyle name="Ввод  4 23 2" xfId="7848" xr:uid="{A6A0E1E2-A8DE-4A9F-A680-3CE50429B48A}"/>
    <cellStyle name="Ввод  4 23 2 2" xfId="10955" xr:uid="{364C45FC-2AF4-4489-9708-BCF8D9FDD8D9}"/>
    <cellStyle name="Ввод  4 23 2 2 2" xfId="27769" xr:uid="{3E11A699-9880-4B75-9F60-200731D64BE7}"/>
    <cellStyle name="Ввод  4 23 2 2 3" xfId="40935" xr:uid="{CA2A65B0-2E83-4ADF-8C16-7BC9853A3BCC}"/>
    <cellStyle name="Ввод  4 23 2 3" xfId="25367" xr:uid="{C81A85F7-A2DB-4F9C-9B59-E4372181B049}"/>
    <cellStyle name="Ввод  4 23 2 4" xfId="38443" xr:uid="{4E8B448E-A6D1-4F9C-AA73-5DC214D7DF13}"/>
    <cellStyle name="Ввод  4 23 3" xfId="6215" xr:uid="{29E3FE7C-5FA5-444A-89D3-8C6ECEF0EF16}"/>
    <cellStyle name="Ввод  4 23 3 2" xfId="14972" xr:uid="{2D3920C9-3E9C-4431-B7BE-8603986BECB3}"/>
    <cellStyle name="Ввод  4 23 3 2 2" xfId="31208" xr:uid="{16D12AB6-1154-40DC-8876-56E7D428E5DA}"/>
    <cellStyle name="Ввод  4 23 3 2 3" xfId="44656" xr:uid="{B43F09A9-0EE0-4A11-8B87-E4EC9A2A4153}"/>
    <cellStyle name="Ввод  4 23 3 3" xfId="23858" xr:uid="{EF76EFB5-1F2B-4E24-9E74-A85BCDFC29CB}"/>
    <cellStyle name="Ввод  4 23 3 4" xfId="36939" xr:uid="{FA7E3516-76FC-47C0-A4E9-B84F71AC99E9}"/>
    <cellStyle name="Ввод  4 23 4" xfId="13147" xr:uid="{6DDD274C-F143-4C5B-9551-3502BCDBFCE3}"/>
    <cellStyle name="Ввод  4 23 4 2" xfId="29661" xr:uid="{7AE6214D-5929-4D78-B5C6-05A46A873DB3}"/>
    <cellStyle name="Ввод  4 23 4 3" xfId="42973" xr:uid="{0012B5CB-ED71-4E6B-93D3-16CA7A9ECA76}"/>
    <cellStyle name="Ввод  4 23 5" xfId="20610" xr:uid="{F86F1FA2-1B32-4437-A813-1A1ABFB71FBC}"/>
    <cellStyle name="Ввод  4 23 6" xfId="33633" xr:uid="{FAD3C5AC-97B8-4B71-9083-2543505C15EA}"/>
    <cellStyle name="Ввод  4 24" xfId="2524" xr:uid="{3BB5DA62-3697-4E0C-B23D-BC5D5037945F}"/>
    <cellStyle name="Ввод  4 24 2" xfId="6139" xr:uid="{418210A0-345F-4EC5-AF40-F9DD2C09A640}"/>
    <cellStyle name="Ввод  4 24 2 2" xfId="16825" xr:uid="{D478A418-2012-47B6-AA12-1F76DFD7BA16}"/>
    <cellStyle name="Ввод  4 24 2 2 2" xfId="32705" xr:uid="{018636D7-E6EF-4A92-8707-930DD16B8A9D}"/>
    <cellStyle name="Ввод  4 24 2 2 3" xfId="46368" xr:uid="{910175D9-F827-49A2-8D88-B5BC3B1F3B1D}"/>
    <cellStyle name="Ввод  4 24 2 3" xfId="23784" xr:uid="{558D9268-A1A2-4414-BE35-C7FD23122868}"/>
    <cellStyle name="Ввод  4 24 2 4" xfId="36865" xr:uid="{83063B86-703A-47FF-8B6E-C6A1BCD23479}"/>
    <cellStyle name="Ввод  4 24 3" xfId="6190" xr:uid="{ED2E8166-5FE0-4071-BDC5-25E9E6B77539}"/>
    <cellStyle name="Ввод  4 24 3 2" xfId="13587" xr:uid="{ACFA1827-7489-476F-863E-1B4DE93613BA}"/>
    <cellStyle name="Ввод  4 24 3 2 2" xfId="30028" xr:uid="{9DC5E5E6-9FD9-456D-A50A-D8A025FB4304}"/>
    <cellStyle name="Ввод  4 24 3 2 3" xfId="43379" xr:uid="{3CE25074-A799-489F-859E-03C6C901EE3B}"/>
    <cellStyle name="Ввод  4 24 3 3" xfId="23835" xr:uid="{273531B4-743E-4219-86A2-D1D131D6FFD7}"/>
    <cellStyle name="Ввод  4 24 3 4" xfId="36916" xr:uid="{F6CD2C15-AF1B-40DE-8452-B4A2927FEF84}"/>
    <cellStyle name="Ввод  4 24 4" xfId="12288" xr:uid="{BD03522E-14B6-4612-9BB2-066F9F8AE307}"/>
    <cellStyle name="Ввод  4 24 4 2" xfId="28962" xr:uid="{1F53CF22-4CA4-4542-ABFA-7C7C98119578}"/>
    <cellStyle name="Ввод  4 24 4 3" xfId="42199" xr:uid="{D2D0E0B0-03B1-4108-B245-6B16E859F5F2}"/>
    <cellStyle name="Ввод  4 24 5" xfId="20587" xr:uid="{465BB5FF-8E1B-4ACE-99DC-24D647A224D4}"/>
    <cellStyle name="Ввод  4 24 6" xfId="33610" xr:uid="{59C4D357-C5F2-4DF2-A202-90A101F2A425}"/>
    <cellStyle name="Ввод  4 25" xfId="4291" xr:uid="{1EACC4F8-CCA8-4B94-B26F-5905334C98A8}"/>
    <cellStyle name="Ввод  4 25 2" xfId="6160" xr:uid="{DFC6EE6D-0927-456D-B6C1-B0D5DB8D4E25}"/>
    <cellStyle name="Ввод  4 25 2 2" xfId="14274" xr:uid="{272A5A44-B4B3-4C8F-85BA-64492881FA0E}"/>
    <cellStyle name="Ввод  4 25 2 2 2" xfId="30616" xr:uid="{36515098-CB21-4D4E-B9B4-908956988950}"/>
    <cellStyle name="Ввод  4 25 2 2 3" xfId="44009" xr:uid="{BAB87ED1-BDC9-4FA1-8674-6E6F3A46D571}"/>
    <cellStyle name="Ввод  4 25 2 3" xfId="23805" xr:uid="{1C9969E6-5201-4C10-B403-7198012C8F12}"/>
    <cellStyle name="Ввод  4 25 2 4" xfId="36886" xr:uid="{6E21FB09-424B-4896-B2FD-A3C451B9543D}"/>
    <cellStyle name="Ввод  4 25 3" xfId="11508" xr:uid="{E03D8208-2EB2-40B4-BDBB-4F66BCFE6C19}"/>
    <cellStyle name="Ввод  4 25 3 2" xfId="28267" xr:uid="{349053F0-2515-4D5B-BF1A-7FB52D1EFABA}"/>
    <cellStyle name="Ввод  4 25 3 3" xfId="41464" xr:uid="{087FBDAC-BB00-4F76-866B-357B35AAFFCF}"/>
    <cellStyle name="Ввод  4 25 4" xfId="22112" xr:uid="{AB157179-2CCD-4CCE-B55D-88DF0CBDE87F}"/>
    <cellStyle name="Ввод  4 25 5" xfId="35161" xr:uid="{D700990E-88F3-4C6B-91F1-DD6D8233C40D}"/>
    <cellStyle name="Ввод  4 26" xfId="5270" xr:uid="{AFF8F7D7-52D1-4F81-9E48-E44B7192EB7A}"/>
    <cellStyle name="Ввод  4 26 2" xfId="9703" xr:uid="{1FCF41F3-5502-47F8-91D4-E2540F3784E7}"/>
    <cellStyle name="Ввод  4 26 2 2" xfId="15054" xr:uid="{77039EB2-8113-42DF-9470-D0A1F3EBD997}"/>
    <cellStyle name="Ввод  4 26 2 2 2" xfId="31266" xr:uid="{23D6D338-48A4-44A9-8B8A-814374179975}"/>
    <cellStyle name="Ввод  4 26 2 2 3" xfId="44722" xr:uid="{4BA14FF2-8A5F-4058-A218-122D65B52358}"/>
    <cellStyle name="Ввод  4 26 2 3" xfId="27003" xr:uid="{00AFAB19-FFEC-4CB6-ABB7-49DA336B3980}"/>
    <cellStyle name="Ввод  4 26 2 4" xfId="40119" xr:uid="{2C78EBAB-D3C5-418C-8383-1F4A6C3D6AB5}"/>
    <cellStyle name="Ввод  4 26 3" xfId="12991" xr:uid="{EA9F24C3-3B86-4844-B157-1B054A67DBC1}"/>
    <cellStyle name="Ввод  4 26 3 2" xfId="29528" xr:uid="{C8322557-34EA-4235-A3D2-6B53460CBD93}"/>
    <cellStyle name="Ввод  4 26 3 3" xfId="42828" xr:uid="{C73D908C-CDAC-47F9-9C1B-C58911C95101}"/>
    <cellStyle name="Ввод  4 26 4" xfId="22922" xr:uid="{1FF817BA-D50A-45A4-A21A-16F015230319}"/>
    <cellStyle name="Ввод  4 26 5" xfId="36000" xr:uid="{D8343D07-9786-4C22-909C-6DBB4CC59586}"/>
    <cellStyle name="Ввод  4 27" xfId="10561" xr:uid="{1AD4C55E-4502-494A-AEC8-56152F0B7124}"/>
    <cellStyle name="Ввод  4 27 2" xfId="17606" xr:uid="{FA5CAD65-B5E1-4795-B2FC-CAF33A780DB6}"/>
    <cellStyle name="Ввод  4 27 2 2" xfId="33341" xr:uid="{F56525A6-4675-4D52-8E44-C1D3C6721C7A}"/>
    <cellStyle name="Ввод  4 27 2 3" xfId="47131" xr:uid="{784B6E70-B553-4DC9-AC26-317920163658}"/>
    <cellStyle name="Ввод  4 27 3" xfId="27420" xr:uid="{D6CFFC59-699B-4DB8-B93D-83019B8407F9}"/>
    <cellStyle name="Ввод  4 27 4" xfId="40542" xr:uid="{C92048E8-24F4-4402-80CD-B2D2826BCB78}"/>
    <cellStyle name="Ввод  4 28" xfId="11988" xr:uid="{477126B4-56BC-4A98-BEBF-70F3F1F90ED3}"/>
    <cellStyle name="Ввод  4 28 2" xfId="28694" xr:uid="{18C12EC5-6980-4468-8781-02E2D3E5F41C}"/>
    <cellStyle name="Ввод  4 28 3" xfId="41912" xr:uid="{A8FCA4BB-48BF-4A95-AF41-AA054AF8724E}"/>
    <cellStyle name="Ввод  4 29" xfId="16074" xr:uid="{98C73D62-40BA-4304-8910-96CAED1837BB}"/>
    <cellStyle name="Ввод  4 29 2" xfId="32134" xr:uid="{82B866DF-D1E5-4666-B531-42C0339ABA5D}"/>
    <cellStyle name="Ввод  4 29 3" xfId="45654" xr:uid="{AF191555-C4CA-4E8F-9CB2-34E82E7C29EA}"/>
    <cellStyle name="Ввод  4 3" xfId="3342" xr:uid="{DB530A86-C7A1-40F2-8012-C905B32406F6}"/>
    <cellStyle name="Ввод  4 3 10" xfId="34388" xr:uid="{EFC213AF-CA20-474B-A055-7B67807842C9}"/>
    <cellStyle name="Ввод  4 3 2" xfId="2704" xr:uid="{CEEBBEB0-E831-4237-9EB0-AD0537D05E87}"/>
    <cellStyle name="Ввод  4 3 2 2" xfId="8000" xr:uid="{B167122F-6E51-456C-BD3B-26E17CFCD349}"/>
    <cellStyle name="Ввод  4 3 2 2 2" xfId="11862" xr:uid="{C7189A91-C2A8-43A1-968C-7414FB5BB4B7}"/>
    <cellStyle name="Ввод  4 3 2 2 2 2" xfId="28578" xr:uid="{63D8D5D4-BBB2-4D90-B442-8302B8AB2896}"/>
    <cellStyle name="Ввод  4 3 2 2 2 3" xfId="41794" xr:uid="{7C440411-39D9-4A39-BE8D-5013FBBFB073}"/>
    <cellStyle name="Ввод  4 3 2 2 3" xfId="25515" xr:uid="{67BB7446-004C-4BB2-BF18-12709CB7EAB5}"/>
    <cellStyle name="Ввод  4 3 2 2 4" xfId="38591" xr:uid="{AAF8EB8D-0D15-4910-8683-7745D5963C7D}"/>
    <cellStyle name="Ввод  4 3 2 3" xfId="6367" xr:uid="{10C6FBA4-8765-4F7D-9EB1-52B4CBE4CB13}"/>
    <cellStyle name="Ввод  4 3 2 3 2" xfId="11131" xr:uid="{E28FB40C-D87C-476C-B8AA-5B091B0DB400}"/>
    <cellStyle name="Ввод  4 3 2 3 2 2" xfId="27929" xr:uid="{43175979-FE7B-4ADA-A873-73B6A8868594}"/>
    <cellStyle name="Ввод  4 3 2 3 2 3" xfId="41109" xr:uid="{CBD9BACE-DE9C-463C-AAFC-43F806053BFE}"/>
    <cellStyle name="Ввод  4 3 2 3 3" xfId="24006" xr:uid="{7C65C437-8CCA-4D5D-B904-CFD7CDA3B3C3}"/>
    <cellStyle name="Ввод  4 3 2 3 4" xfId="37087" xr:uid="{6B749527-C3A2-4ACF-AD03-BBF5D5EFCA59}"/>
    <cellStyle name="Ввод  4 3 2 4" xfId="15526" xr:uid="{1D4FA81B-EA43-480F-953D-26127273A008}"/>
    <cellStyle name="Ввод  4 3 2 4 2" xfId="31662" xr:uid="{56520F68-348D-4EDA-BA66-60E9A62C5601}"/>
    <cellStyle name="Ввод  4 3 2 4 3" xfId="45161" xr:uid="{29B64005-3984-4829-A8FB-1F6E3D761DCB}"/>
    <cellStyle name="Ввод  4 3 2 5" xfId="20758" xr:uid="{7C8A15FF-DD97-4055-A9FF-DE3DB29AD1B8}"/>
    <cellStyle name="Ввод  4 3 2 6" xfId="33781" xr:uid="{7D6B8729-063F-42BF-9225-3F8B26DCE949}"/>
    <cellStyle name="Ввод  4 3 3" xfId="4164" xr:uid="{7A25B34A-2D64-409F-8C05-C485A30C4909}"/>
    <cellStyle name="Ввод  4 3 3 2" xfId="9216" xr:uid="{05859300-5D13-45CF-8984-8E646C688956}"/>
    <cellStyle name="Ввод  4 3 3 2 2" xfId="15126" xr:uid="{DBFBD7F4-0469-4C65-A55E-3BF55A9689E7}"/>
    <cellStyle name="Ввод  4 3 3 2 2 2" xfId="31328" xr:uid="{2DC02F70-8BC2-4A4E-8171-4F1605BE1FFF}"/>
    <cellStyle name="Ввод  4 3 3 2 2 3" xfId="44790" xr:uid="{96F919FC-FF2F-4FC9-8B04-CC035C431DF7}"/>
    <cellStyle name="Ввод  4 3 3 2 3" xfId="26691" xr:uid="{F6B3E07F-CA53-4F8F-AD0C-212EAC13D836}"/>
    <cellStyle name="Ввод  4 3 3 2 4" xfId="39767" xr:uid="{962E1BD0-2E4F-4B4E-8E43-F79B6F62EC84}"/>
    <cellStyle name="Ввод  4 3 3 3" xfId="7728" xr:uid="{0B61C80A-9D2A-44AE-BE81-3D29A639BD11}"/>
    <cellStyle name="Ввод  4 3 3 3 2" xfId="14030" xr:uid="{153E7198-7016-4160-824E-257379300607}"/>
    <cellStyle name="Ввод  4 3 3 3 2 2" xfId="30408" xr:uid="{B67F4AC5-B427-4C0C-9D7F-58593A85D1CB}"/>
    <cellStyle name="Ввод  4 3 3 3 2 3" xfId="43789" xr:uid="{978CAA28-372D-419A-8B8C-B9DEE6570745}"/>
    <cellStyle name="Ввод  4 3 3 3 3" xfId="25250" xr:uid="{82E5DA21-DD2B-45DD-99EC-2B4561B1EC6D}"/>
    <cellStyle name="Ввод  4 3 3 3 4" xfId="38326" xr:uid="{9AA6659F-663A-4BBE-B2EB-CD999DDB2088}"/>
    <cellStyle name="Ввод  4 3 3 4" xfId="11307" xr:uid="{CC770E87-1271-434C-809D-618E6872ABF8}"/>
    <cellStyle name="Ввод  4 3 3 4 2" xfId="28089" xr:uid="{A111F972-04AF-44F0-A9B5-A111DC2ED9B1}"/>
    <cellStyle name="Ввод  4 3 3 4 3" xfId="41274" xr:uid="{B511276F-4F4B-49DE-BDFB-AA11F97504B7}"/>
    <cellStyle name="Ввод  4 3 3 5" xfId="21991" xr:uid="{A7720E6A-48F8-4737-B14F-EB55D2C739EA}"/>
    <cellStyle name="Ввод  4 3 3 6" xfId="35040" xr:uid="{FF5FEE9F-1BFA-4317-9EDB-2B907ED7CD2B}"/>
    <cellStyle name="Ввод  4 3 4" xfId="2584" xr:uid="{4795C977-72C2-474A-A585-0E4E04EAAB16}"/>
    <cellStyle name="Ввод  4 3 4 2" xfId="7881" xr:uid="{B783BD0B-4F40-433E-B936-CD58C3360D22}"/>
    <cellStyle name="Ввод  4 3 4 2 2" xfId="11032" xr:uid="{5F6B4772-18E0-491B-A354-6BE98379C4CA}"/>
    <cellStyle name="Ввод  4 3 4 2 2 2" xfId="27838" xr:uid="{4A0C17D6-DF21-4694-ABDD-56033A80913A}"/>
    <cellStyle name="Ввод  4 3 4 2 2 3" xfId="41012" xr:uid="{58A34316-28F3-441B-9F06-28F4699A6D77}"/>
    <cellStyle name="Ввод  4 3 4 2 3" xfId="25400" xr:uid="{5950E7E3-15AF-47CA-B4EC-18C832628FE0}"/>
    <cellStyle name="Ввод  4 3 4 2 4" xfId="38476" xr:uid="{74E36509-9793-4D32-A05B-376AEF03798B}"/>
    <cellStyle name="Ввод  4 3 4 3" xfId="6248" xr:uid="{5C51521D-DDB2-48A0-978B-133246B6BD9D}"/>
    <cellStyle name="Ввод  4 3 4 3 2" xfId="15517" xr:uid="{FAE3864F-49EA-41BB-B8DB-B8B9AD842CDC}"/>
    <cellStyle name="Ввод  4 3 4 3 2 2" xfId="31654" xr:uid="{0EB5CB8C-01C9-4A3F-ABA2-8E4203C18765}"/>
    <cellStyle name="Ввод  4 3 4 3 2 3" xfId="45152" xr:uid="{0496E39D-08E7-47C0-A53F-F564BA095103}"/>
    <cellStyle name="Ввод  4 3 4 3 3" xfId="23891" xr:uid="{A6D0D352-FF16-4638-AC80-2BEDE692B458}"/>
    <cellStyle name="Ввод  4 3 4 3 4" xfId="36972" xr:uid="{B26FA130-3F07-4910-88D2-C1672BB8F2EE}"/>
    <cellStyle name="Ввод  4 3 4 4" xfId="14396" xr:uid="{9FD9E589-99D8-46E1-8892-C56977ECC1EE}"/>
    <cellStyle name="Ввод  4 3 4 4 2" xfId="30728" xr:uid="{56000AEA-A214-4B15-9BDC-CE7C85D2E084}"/>
    <cellStyle name="Ввод  4 3 4 4 3" xfId="44126" xr:uid="{F1C350DC-0921-4E69-AB3C-340574EB3E25}"/>
    <cellStyle name="Ввод  4 3 4 5" xfId="20643" xr:uid="{85A23E9A-FFBE-48A4-913F-E0D2F382319B}"/>
    <cellStyle name="Ввод  4 3 4 6" xfId="33666" xr:uid="{6EFB7967-8EC9-4A27-9DF5-7D3763A6BC49}"/>
    <cellStyle name="Ввод  4 3 5" xfId="4135" xr:uid="{DC4F603F-9BD2-4851-B3FC-8102E88DEAFA}"/>
    <cellStyle name="Ввод  4 3 5 2" xfId="9187" xr:uid="{4248B4E6-7B64-44DA-BC81-B4C8275CDB15}"/>
    <cellStyle name="Ввод  4 3 5 2 2" xfId="13021" xr:uid="{4BF65D60-B3E9-4E95-9D40-2F9740252E06}"/>
    <cellStyle name="Ввод  4 3 5 2 2 2" xfId="29553" xr:uid="{5125C199-9AFE-48D7-923F-D0BE780154FA}"/>
    <cellStyle name="Ввод  4 3 5 2 2 3" xfId="42855" xr:uid="{9F8AA940-86BF-4744-B7AE-41AEABB2094C}"/>
    <cellStyle name="Ввод  4 3 5 2 3" xfId="26665" xr:uid="{50DD8EA2-0504-44AA-A3C2-3023008CD4C4}"/>
    <cellStyle name="Ввод  4 3 5 2 4" xfId="39741" xr:uid="{84713884-A90B-4519-AC84-65E5C2906B4C}"/>
    <cellStyle name="Ввод  4 3 5 3" xfId="7699" xr:uid="{84939E9A-63D6-4C06-9C72-13EA0F923296}"/>
    <cellStyle name="Ввод  4 3 5 3 2" xfId="14804" xr:uid="{43C5BA13-116A-4D90-AB22-9BBE000976FA}"/>
    <cellStyle name="Ввод  4 3 5 3 2 2" xfId="31067" xr:uid="{29369983-6E0D-4B94-B49F-86188EC8F883}"/>
    <cellStyle name="Ввод  4 3 5 3 2 3" xfId="44501" xr:uid="{2CD4260F-A1E9-4B34-9FD1-D24733C7BA68}"/>
    <cellStyle name="Ввод  4 3 5 3 3" xfId="25224" xr:uid="{999116F3-BA98-4AB6-9351-07BC94959622}"/>
    <cellStyle name="Ввод  4 3 5 3 4" xfId="38300" xr:uid="{7215DC96-BB5D-4DCE-834B-B1C405EC185D}"/>
    <cellStyle name="Ввод  4 3 5 4" xfId="11849" xr:uid="{94A062A8-2C8F-4F29-8138-726DDF3D0C17}"/>
    <cellStyle name="Ввод  4 3 5 4 2" xfId="28566" xr:uid="{E31A6D41-BE54-4894-A654-579FBCFA39F6}"/>
    <cellStyle name="Ввод  4 3 5 4 3" xfId="41782" xr:uid="{BC5B35BB-8E10-4D99-8A91-DAB4EB6410E8}"/>
    <cellStyle name="Ввод  4 3 5 5" xfId="21965" xr:uid="{46C24C76-06DB-488C-A17A-C65C0774B1F3}"/>
    <cellStyle name="Ввод  4 3 5 6" xfId="35014" xr:uid="{FEC17551-9E01-4231-88F0-79F2A9EDE4E7}"/>
    <cellStyle name="Ввод  4 3 6" xfId="4373" xr:uid="{C6D34491-278A-4C00-B957-6820D922140C}"/>
    <cellStyle name="Ввод  4 3 6 2" xfId="6992" xr:uid="{DB21707B-296A-4419-B494-E3760DCCB7F3}"/>
    <cellStyle name="Ввод  4 3 6 2 2" xfId="12204" xr:uid="{1C337B8D-571F-4750-AEE7-8B4D36F5F8F8}"/>
    <cellStyle name="Ввод  4 3 6 2 2 2" xfId="28893" xr:uid="{0CE43F3B-2D5B-47B0-88E2-45EEC4A2608E}"/>
    <cellStyle name="Ввод  4 3 6 2 2 3" xfId="42122" xr:uid="{7DDED53E-ED0C-4721-957A-1E27EC63371D}"/>
    <cellStyle name="Ввод  4 3 6 2 3" xfId="24613" xr:uid="{40AFBB3C-5F63-4FEF-AEA0-849D8673E11D}"/>
    <cellStyle name="Ввод  4 3 6 2 4" xfId="37694" xr:uid="{4F51DD49-7A98-4D95-97A5-3175F8E7D477}"/>
    <cellStyle name="Ввод  4 3 6 3" xfId="16366" xr:uid="{A682F981-0056-404B-B860-E2CF23EDFAF1}"/>
    <cellStyle name="Ввод  4 3 6 3 2" xfId="32387" xr:uid="{14457C69-8BF9-4227-BA57-77183296699B}"/>
    <cellStyle name="Ввод  4 3 6 3 3" xfId="45920" xr:uid="{28B1E44D-7BB9-4AA8-AFAD-832AADE508F7}"/>
    <cellStyle name="Ввод  4 3 6 4" xfId="22192" xr:uid="{79BD66F1-A8DF-4FAB-A941-782311D85CC9}"/>
    <cellStyle name="Ввод  4 3 6 5" xfId="35241" xr:uid="{35B952F1-6C0F-41BE-8922-DEE42450CCF9}"/>
    <cellStyle name="Ввод  4 3 7" xfId="5427" xr:uid="{DBCEFCB4-E333-4C23-866B-AC1706402139}"/>
    <cellStyle name="Ввод  4 3 7 2" xfId="8605" xr:uid="{CECB44BA-8899-46D6-BA81-7E5521B1CFE6}"/>
    <cellStyle name="Ввод  4 3 7 2 2" xfId="14838" xr:uid="{1A2CF98E-688B-44F9-9218-DC1EA79A85A6}"/>
    <cellStyle name="Ввод  4 3 7 2 2 2" xfId="31095" xr:uid="{B403BE85-4E59-40AE-93A4-1C47CD45D8F4}"/>
    <cellStyle name="Ввод  4 3 7 2 2 3" xfId="44533" xr:uid="{C317D930-C12E-4A90-AA6E-817BA35CF999}"/>
    <cellStyle name="Ввод  4 3 7 2 3" xfId="26102" xr:uid="{01C7B50E-4696-4385-B8FB-4A0FB7C81E80}"/>
    <cellStyle name="Ввод  4 3 7 2 4" xfId="39178" xr:uid="{A1DCFC2E-462C-4E8C-9E6F-1BDE32E3CF2A}"/>
    <cellStyle name="Ввод  4 3 7 3" xfId="15641" xr:uid="{0ADCE1B6-73B6-4B68-A56E-4AE0EE7CB7C4}"/>
    <cellStyle name="Ввод  4 3 7 3 2" xfId="31760" xr:uid="{0F182F75-6AE9-4BDA-A8FE-EBFA433145F3}"/>
    <cellStyle name="Ввод  4 3 7 3 3" xfId="45265" xr:uid="{47388081-7126-4DBC-BEF2-085DF1E89F12}"/>
    <cellStyle name="Ввод  4 3 7 4" xfId="23074" xr:uid="{8A0B3B4E-4243-42FA-81C9-64DF55CB432A}"/>
    <cellStyle name="Ввод  4 3 7 5" xfId="36155" xr:uid="{7963033F-ED3C-4716-8A9D-7BBA223B2717}"/>
    <cellStyle name="Ввод  4 3 8" xfId="13118" xr:uid="{084C4727-2A6B-4EAB-9403-551AB43B0F1E}"/>
    <cellStyle name="Ввод  4 3 8 2" xfId="29633" xr:uid="{1194282A-2085-4BDC-951A-D83DCB7F6329}"/>
    <cellStyle name="Ввод  4 3 8 3" xfId="42944" xr:uid="{6623AD12-E16A-4B82-ADEF-4104C0331D7D}"/>
    <cellStyle name="Ввод  4 3 9" xfId="21365" xr:uid="{59372FEA-F979-4C11-882A-381EA0A3C3BC}"/>
    <cellStyle name="Ввод  4 30" xfId="11467" xr:uid="{EF41817A-C81E-477E-978B-029030B7BB44}"/>
    <cellStyle name="Ввод  4 30 2" xfId="28231" xr:uid="{16BC2148-E1C2-46AD-A93C-18A03E1048A0}"/>
    <cellStyle name="Ввод  4 30 3" xfId="41426" xr:uid="{F46C2A72-6F35-47E8-8FE8-106352D33E13}"/>
    <cellStyle name="Ввод  4 31" xfId="17659" xr:uid="{F9BE8B20-8024-4437-8B08-E387D82361EB}"/>
    <cellStyle name="Ввод  4 31 2" xfId="33382" xr:uid="{7FA424CA-09F7-4C56-B731-50B6D9E16BD1}"/>
    <cellStyle name="Ввод  4 31 3" xfId="47171" xr:uid="{9D1ED74D-7927-4E44-BFDF-101A227E2349}"/>
    <cellStyle name="Ввод  4 32" xfId="33560" xr:uid="{9C7B35AA-D006-4769-812E-24AE8E2339A9}"/>
    <cellStyle name="Ввод  4 4" xfId="3459" xr:uid="{4447D342-BEF4-415F-9262-E83A614E9F34}"/>
    <cellStyle name="Ввод  4 4 10" xfId="34475" xr:uid="{10DFF7EB-91C8-43EF-94E1-269313438FCF}"/>
    <cellStyle name="Ввод  4 4 2" xfId="2801" xr:uid="{0293E037-3DAE-4EF3-8427-2A3E49E85C85}"/>
    <cellStyle name="Ввод  4 4 2 2" xfId="8097" xr:uid="{408AD059-A221-4959-928B-F555AB686108}"/>
    <cellStyle name="Ввод  4 4 2 2 2" xfId="12105" xr:uid="{294D8327-3019-4374-85FC-B8779A54A8B6}"/>
    <cellStyle name="Ввод  4 4 2 2 2 2" xfId="28805" xr:uid="{BC59ED03-7F07-45C3-9B07-CBBB07942938}"/>
    <cellStyle name="Ввод  4 4 2 2 2 3" xfId="42025" xr:uid="{E2A43E50-CC46-485D-964F-DECB9F789007}"/>
    <cellStyle name="Ввод  4 4 2 2 3" xfId="25608" xr:uid="{F88D8314-446A-4C68-9B9C-72B6563F3E3F}"/>
    <cellStyle name="Ввод  4 4 2 2 4" xfId="38684" xr:uid="{3B2F052B-65F2-47B7-A87E-106916A901AC}"/>
    <cellStyle name="Ввод  4 4 2 3" xfId="6464" xr:uid="{DE5D9E43-47E8-4A04-A462-4FBFB70DE705}"/>
    <cellStyle name="Ввод  4 4 2 3 2" xfId="16797" xr:uid="{91DB16F5-05E5-499F-9231-C0BDF59CF897}"/>
    <cellStyle name="Ввод  4 4 2 3 2 2" xfId="32678" xr:uid="{6C8DEAC1-5C07-4DE4-AE2C-912A2AD32450}"/>
    <cellStyle name="Ввод  4 4 2 3 2 3" xfId="46340" xr:uid="{0DFB7C9C-4C5B-42A9-8D5C-C24A80C1A714}"/>
    <cellStyle name="Ввод  4 4 2 3 3" xfId="24099" xr:uid="{38873EB3-9326-44F4-99D1-7D2916672314}"/>
    <cellStyle name="Ввод  4 4 2 3 4" xfId="37180" xr:uid="{9B72E5EA-A3E1-4CF4-B872-40F54DECA7B4}"/>
    <cellStyle name="Ввод  4 4 2 4" xfId="15422" xr:uid="{A7D93523-5096-43DF-A28C-CA0FE8973D8C}"/>
    <cellStyle name="Ввод  4 4 2 4 2" xfId="31571" xr:uid="{7BA1EBCB-5C0F-479E-B221-2243CD0CD976}"/>
    <cellStyle name="Ввод  4 4 2 4 3" xfId="45064" xr:uid="{3CDA1EB1-201B-445C-8F0E-2AF4274296D5}"/>
    <cellStyle name="Ввод  4 4 2 5" xfId="20851" xr:uid="{D1327CC1-D877-478A-8AE7-9671A0F6FEAB}"/>
    <cellStyle name="Ввод  4 4 2 6" xfId="33874" xr:uid="{75F46FE9-4A6C-4DE4-ACEC-485CB71EE1E4}"/>
    <cellStyle name="Ввод  4 4 3" xfId="4118" xr:uid="{5C9D582E-0417-429D-854F-A75F4644E347}"/>
    <cellStyle name="Ввод  4 4 3 2" xfId="9170" xr:uid="{A0648B38-6857-4056-A3F1-75B8D533B9CA}"/>
    <cellStyle name="Ввод  4 4 3 2 2" xfId="13819" xr:uid="{F59E88D2-527D-427A-B54B-1D32CF1AC41B}"/>
    <cellStyle name="Ввод  4 4 3 2 2 2" xfId="30221" xr:uid="{F0733526-8CE2-4CE5-8240-1166D61F3C51}"/>
    <cellStyle name="Ввод  4 4 3 2 2 3" xfId="43591" xr:uid="{B6D6C4C9-256C-4ED3-958C-40F479F02717}"/>
    <cellStyle name="Ввод  4 4 3 2 3" xfId="26651" xr:uid="{604BD1D9-7B22-498C-81BA-47FBA4E44EA2}"/>
    <cellStyle name="Ввод  4 4 3 2 4" xfId="39727" xr:uid="{6822D433-E008-405D-93E4-659C198B065E}"/>
    <cellStyle name="Ввод  4 4 3 3" xfId="7682" xr:uid="{05DC7AB8-DCFA-418B-89CF-73802BB4E350}"/>
    <cellStyle name="Ввод  4 4 3 3 2" xfId="15717" xr:uid="{B3291C58-21A4-41F1-B700-0C528BF69D0A}"/>
    <cellStyle name="Ввод  4 4 3 3 2 2" xfId="31827" xr:uid="{B38A50F0-D084-40CA-977C-46F3D13491E8}"/>
    <cellStyle name="Ввод  4 4 3 3 2 3" xfId="45336" xr:uid="{E2E4B063-C094-408D-8DA2-F3A6C383D7E2}"/>
    <cellStyle name="Ввод  4 4 3 3 3" xfId="25210" xr:uid="{C33605B9-5404-4FCD-99DA-F19A6FBD86A6}"/>
    <cellStyle name="Ввод  4 4 3 3 4" xfId="38286" xr:uid="{D335C8B2-2D29-40AC-BFB4-B8FCC2237CAC}"/>
    <cellStyle name="Ввод  4 4 3 4" xfId="16818" xr:uid="{B7EB224D-3C15-4786-A641-3BC2459CDD76}"/>
    <cellStyle name="Ввод  4 4 3 4 2" xfId="32698" xr:uid="{5106DDFC-78A7-482E-8442-1A36EC4A606D}"/>
    <cellStyle name="Ввод  4 4 3 4 3" xfId="46361" xr:uid="{3ECADF3C-B853-4F58-B646-0CF7181B8073}"/>
    <cellStyle name="Ввод  4 4 3 5" xfId="21951" xr:uid="{C1783E17-9E42-4E33-8DBE-1AA1A3F052F3}"/>
    <cellStyle name="Ввод  4 4 3 6" xfId="35000" xr:uid="{70262A63-D857-4985-BE7C-C4C978BAC3CF}"/>
    <cellStyle name="Ввод  4 4 4" xfId="2963" xr:uid="{3AD64404-7D73-4516-A699-82D1739B2A2E}"/>
    <cellStyle name="Ввод  4 4 4 2" xfId="8259" xr:uid="{589FB5A4-893C-47B3-BAA9-457C461717CE}"/>
    <cellStyle name="Ввод  4 4 4 2 2" xfId="10587" xr:uid="{861729B1-F8BB-4B80-88E1-651536576954}"/>
    <cellStyle name="Ввод  4 4 4 2 2 2" xfId="27446" xr:uid="{067ED483-A504-4AE0-A1A8-D21D0595BF27}"/>
    <cellStyle name="Ввод  4 4 4 2 2 3" xfId="40568" xr:uid="{BB2A08E0-23A7-4853-8688-E1F07ADF03A8}"/>
    <cellStyle name="Ввод  4 4 4 2 3" xfId="25768" xr:uid="{C21976DA-C79C-47DE-B03E-D0BDDE4FD07E}"/>
    <cellStyle name="Ввод  4 4 4 2 4" xfId="38844" xr:uid="{77A2B551-2232-4FB7-AF63-4D3C81B18EDD}"/>
    <cellStyle name="Ввод  4 4 4 3" xfId="6626" xr:uid="{3C68683B-E5E1-4F96-B8C2-4705FE65E0B4}"/>
    <cellStyle name="Ввод  4 4 4 3 2" xfId="11982" xr:uid="{E7865287-7514-4783-817F-587BC7CC89EA}"/>
    <cellStyle name="Ввод  4 4 4 3 2 2" xfId="28688" xr:uid="{D0191913-FFAC-4148-AA5A-5101315F7528}"/>
    <cellStyle name="Ввод  4 4 4 3 2 3" xfId="41906" xr:uid="{6ABD894F-9464-4708-83EF-8907ED74E5F1}"/>
    <cellStyle name="Ввод  4 4 4 3 3" xfId="24259" xr:uid="{15EB2CF7-075B-4835-BE91-4951B49BE66A}"/>
    <cellStyle name="Ввод  4 4 4 3 4" xfId="37340" xr:uid="{8AD801B2-B963-4856-83B5-496D67481FC5}"/>
    <cellStyle name="Ввод  4 4 4 4" xfId="13708" xr:uid="{F1E5FA6D-B07E-4B70-A863-95819F27A044}"/>
    <cellStyle name="Ввод  4 4 4 4 2" xfId="30127" xr:uid="{1408281C-8EF8-403F-94B6-D5AE6695AF95}"/>
    <cellStyle name="Ввод  4 4 4 4 3" xfId="43487" xr:uid="{986924C5-BCEB-4C6F-AD27-70309BE4E26F}"/>
    <cellStyle name="Ввод  4 4 4 5" xfId="21011" xr:uid="{A5EC76A5-84A1-467F-8B65-8BDA2FFA0F35}"/>
    <cellStyle name="Ввод  4 4 4 6" xfId="34034" xr:uid="{B60EEA74-83CE-4D1C-96B2-35F125B356FE}"/>
    <cellStyle name="Ввод  4 4 5" xfId="4238" xr:uid="{D81FC059-262E-4E66-A80C-4FEFB26A07A3}"/>
    <cellStyle name="Ввод  4 4 5 2" xfId="9290" xr:uid="{5B3F38AC-CB3A-4BB9-8421-46717ECD4114}"/>
    <cellStyle name="Ввод  4 4 5 2 2" xfId="13735" xr:uid="{CF8611EB-0104-47D7-A3B8-E4AF0BB1F690}"/>
    <cellStyle name="Ввод  4 4 5 2 2 2" xfId="30150" xr:uid="{151D0F67-D3B6-4498-A57F-9D2F80EEB145}"/>
    <cellStyle name="Ввод  4 4 5 2 2 3" xfId="43512" xr:uid="{10DB732E-4051-442E-85DC-300FB116AAD7}"/>
    <cellStyle name="Ввод  4 4 5 2 3" xfId="26763" xr:uid="{24AF593E-EFCF-44C0-B258-AC85AA437698}"/>
    <cellStyle name="Ввод  4 4 5 2 4" xfId="39839" xr:uid="{9B1AEC51-C38C-4C07-A2F2-9C359D92DD88}"/>
    <cellStyle name="Ввод  4 4 5 3" xfId="7802" xr:uid="{8F2D5206-B680-42F8-8383-C1101A1A45C5}"/>
    <cellStyle name="Ввод  4 4 5 3 2" xfId="11070" xr:uid="{B8966803-DFB5-41E7-AEE7-CCC6027EA7F6}"/>
    <cellStyle name="Ввод  4 4 5 3 2 2" xfId="27873" xr:uid="{E2706768-C9E1-4418-A2C9-412C24DC9772}"/>
    <cellStyle name="Ввод  4 4 5 3 2 3" xfId="41049" xr:uid="{35332694-9BAB-4F23-93C2-528F51E0264A}"/>
    <cellStyle name="Ввод  4 4 5 3 3" xfId="25322" xr:uid="{12A6B6C1-AB08-4E68-914C-6DA95565A0B7}"/>
    <cellStyle name="Ввод  4 4 5 3 4" xfId="38398" xr:uid="{984FD3B9-8934-4267-AB5C-ADCDEE8F9F33}"/>
    <cellStyle name="Ввод  4 4 5 4" xfId="13567" xr:uid="{601F50A5-AD05-4D36-81F4-3DA174AB39D5}"/>
    <cellStyle name="Ввод  4 4 5 4 2" xfId="30010" xr:uid="{6A8B7457-3A4B-4DD2-949F-1F7569B0A496}"/>
    <cellStyle name="Ввод  4 4 5 4 3" xfId="43360" xr:uid="{6B7F9381-10B0-465D-BCB1-54F6183AB385}"/>
    <cellStyle name="Ввод  4 4 5 5" xfId="22063" xr:uid="{8DA182C0-78FA-4B2B-AC81-6B31D6019112}"/>
    <cellStyle name="Ввод  4 4 5 6" xfId="35112" xr:uid="{68BF46A6-8006-479E-BC60-477D723797C3}"/>
    <cellStyle name="Ввод  4 4 6" xfId="4461" xr:uid="{AB4A2230-AE36-4BAA-97C6-EA36F5F1B003}"/>
    <cellStyle name="Ввод  4 4 6 2" xfId="7101" xr:uid="{BA2069D0-DA2D-47CF-BE3B-87928002AA27}"/>
    <cellStyle name="Ввод  4 4 6 2 2" xfId="15788" xr:uid="{ED2B7CD1-0C60-4C2E-B3BB-1E3C7EF98AF7}"/>
    <cellStyle name="Ввод  4 4 6 2 2 2" xfId="31889" xr:uid="{BFA9D711-B204-4CA6-8412-5DC85CE168A1}"/>
    <cellStyle name="Ввод  4 4 6 2 2 3" xfId="45400" xr:uid="{FBC24060-38E7-4209-BFD5-9EA31F4E2427}"/>
    <cellStyle name="Ввод  4 4 6 2 3" xfId="24700" xr:uid="{B292384E-7B24-4B9A-8A9D-B69BD3A67288}"/>
    <cellStyle name="Ввод  4 4 6 2 4" xfId="37781" xr:uid="{03E9FDFB-D7B2-4DA2-BE87-0B936A442CE7}"/>
    <cellStyle name="Ввод  4 4 6 3" xfId="16212" xr:uid="{F119EC41-9FE9-4E89-A8E8-AB5D8E96D31A}"/>
    <cellStyle name="Ввод  4 4 6 3 2" xfId="32252" xr:uid="{C906F9CD-F6DF-450C-8DBE-C328A4FC231A}"/>
    <cellStyle name="Ввод  4 4 6 3 3" xfId="45779" xr:uid="{AC99ACA9-137E-4A06-9EC1-DA6B06C2B5B0}"/>
    <cellStyle name="Ввод  4 4 6 4" xfId="22279" xr:uid="{EFFF2B5A-289F-4EE6-BAAE-554AE6EC5101}"/>
    <cellStyle name="Ввод  4 4 6 5" xfId="35328" xr:uid="{290EE9D6-DD60-402C-A847-6299CE6977D4}"/>
    <cellStyle name="Ввод  4 4 7" xfId="5514" xr:uid="{AEF67DA9-E616-472C-9174-1C71458F4290}"/>
    <cellStyle name="Ввод  4 4 7 2" xfId="8696" xr:uid="{694A93E6-737A-416E-ABEE-152F79993867}"/>
    <cellStyle name="Ввод  4 4 7 2 2" xfId="14940" xr:uid="{F9528665-098D-41AC-973A-B73751C9C987}"/>
    <cellStyle name="Ввод  4 4 7 2 2 2" xfId="31180" xr:uid="{B29FAB79-84E0-48E8-AE4F-0BA0D4E87A53}"/>
    <cellStyle name="Ввод  4 4 7 2 2 3" xfId="44627" xr:uid="{E71DBA8C-D942-43CA-9C91-8EECF80E1884}"/>
    <cellStyle name="Ввод  4 4 7 2 3" xfId="26189" xr:uid="{DB2329D7-06C8-4720-9543-131A174A1187}"/>
    <cellStyle name="Ввод  4 4 7 2 4" xfId="39265" xr:uid="{6F4B447C-40C2-48BF-80BA-8B8B870A9B20}"/>
    <cellStyle name="Ввод  4 4 7 3" xfId="11250" xr:uid="{9B83D021-9E1F-4325-A0A1-51721181DC5E}"/>
    <cellStyle name="Ввод  4 4 7 3 2" xfId="28040" xr:uid="{BFB1E5EE-4B49-4BFA-B9D8-7532E63A9D16}"/>
    <cellStyle name="Ввод  4 4 7 3 3" xfId="41222" xr:uid="{DB06F68B-DB49-446F-B604-6FF7BD406728}"/>
    <cellStyle name="Ввод  4 4 7 4" xfId="23161" xr:uid="{F155F669-1E53-43A5-8B60-4DA2F88C7FF5}"/>
    <cellStyle name="Ввод  4 4 7 5" xfId="36242" xr:uid="{DDB54D61-BEFA-498F-AFE4-E1BB221579FC}"/>
    <cellStyle name="Ввод  4 4 8" xfId="16303" xr:uid="{BA5413CF-5130-4555-A448-3CF085B90B93}"/>
    <cellStyle name="Ввод  4 4 8 2" xfId="32330" xr:uid="{84A90394-2DE9-4E3A-90E6-9218C45C8179}"/>
    <cellStyle name="Ввод  4 4 8 3" xfId="45861" xr:uid="{ACC23037-F564-46B2-B153-5F44099B6412}"/>
    <cellStyle name="Ввод  4 4 9" xfId="21431" xr:uid="{7550569D-2F30-402E-9799-910C18CFD867}"/>
    <cellStyle name="Ввод  4 5" xfId="3436" xr:uid="{D0AA886F-3255-48F2-9885-7E164363840A}"/>
    <cellStyle name="Ввод  4 5 2" xfId="2778" xr:uid="{2959F7DD-C8E3-4E9C-9B4F-A00EEACBEF2F}"/>
    <cellStyle name="Ввод  4 5 2 2" xfId="8074" xr:uid="{DCEF4BAF-840B-43DB-8FB9-F31758B98EF5}"/>
    <cellStyle name="Ввод  4 5 2 2 2" xfId="13576" xr:uid="{F77E7973-48A8-4234-A70D-6D1F41BE92AD}"/>
    <cellStyle name="Ввод  4 5 2 2 2 2" xfId="30018" xr:uid="{C121780B-7A10-45E3-8FCA-B01AB285FF89}"/>
    <cellStyle name="Ввод  4 5 2 2 2 3" xfId="43369" xr:uid="{0D582EC5-BB1A-4AB1-B1DA-4C5E3B1DA8FD}"/>
    <cellStyle name="Ввод  4 5 2 2 3" xfId="25585" xr:uid="{8F66C046-0201-4B12-A935-70B0CCEDA804}"/>
    <cellStyle name="Ввод  4 5 2 2 4" xfId="38661" xr:uid="{DE6CC870-0BDA-4D40-8E08-4C1CE2818807}"/>
    <cellStyle name="Ввод  4 5 2 3" xfId="6441" xr:uid="{5CA5DF6B-0578-4D81-AC23-C6E696A56EB7}"/>
    <cellStyle name="Ввод  4 5 2 3 2" xfId="15452" xr:uid="{67995FDB-30B8-407A-B5C1-365B11CE9E1C}"/>
    <cellStyle name="Ввод  4 5 2 3 2 2" xfId="31597" xr:uid="{5EA215FD-5BEF-41C8-AEAB-DF39FCF2F4D9}"/>
    <cellStyle name="Ввод  4 5 2 3 2 3" xfId="45092" xr:uid="{BD4714B6-0645-4A1D-BC25-51E400BBA1A3}"/>
    <cellStyle name="Ввод  4 5 2 3 3" xfId="24076" xr:uid="{5B438269-ADC3-4D36-AC01-6ECCE771C3E5}"/>
    <cellStyle name="Ввод  4 5 2 3 4" xfId="37157" xr:uid="{2CE4BAE1-C104-42FE-9D4D-E787956B76EC}"/>
    <cellStyle name="Ввод  4 5 2 4" xfId="13086" xr:uid="{8AF0FC1A-CC5F-4607-894E-99BAD065F4F7}"/>
    <cellStyle name="Ввод  4 5 2 4 2" xfId="29603" xr:uid="{ED8776CB-8E2A-48A4-8510-8E4DD2A4FE92}"/>
    <cellStyle name="Ввод  4 5 2 4 3" xfId="42913" xr:uid="{F2BA8AE8-5B06-459A-8008-BFC966CF58B6}"/>
    <cellStyle name="Ввод  4 5 2 5" xfId="20828" xr:uid="{33CD8BED-A6B8-4F52-9F8B-1686F10E2A1D}"/>
    <cellStyle name="Ввод  4 5 2 6" xfId="33851" xr:uid="{C3221D0F-ED0A-49DA-A5B2-8F8A29717021}"/>
    <cellStyle name="Ввод  4 5 3" xfId="4438" xr:uid="{B2AB0297-4FB0-4DB9-A13E-2E07020A4CB2}"/>
    <cellStyle name="Ввод  4 5 3 2" xfId="7078" xr:uid="{439A8FFC-2456-4FB8-A01D-E76204675BF8}"/>
    <cellStyle name="Ввод  4 5 3 2 2" xfId="16085" xr:uid="{2D898246-A2DD-4EA3-B19E-C4D1D9CB76D8}"/>
    <cellStyle name="Ввод  4 5 3 2 2 2" xfId="32145" xr:uid="{6B32E444-92A1-4053-9852-ECD64709E6B2}"/>
    <cellStyle name="Ввод  4 5 3 2 2 3" xfId="45665" xr:uid="{F8EB5B72-1577-43AC-9CD4-46BBC02E9A98}"/>
    <cellStyle name="Ввод  4 5 3 2 3" xfId="24677" xr:uid="{9FB1816F-2D8E-42D7-9627-6649218C28F2}"/>
    <cellStyle name="Ввод  4 5 3 2 4" xfId="37758" xr:uid="{A2DD28DD-68FE-4A64-B9EB-10C793D5D128}"/>
    <cellStyle name="Ввод  4 5 3 3" xfId="15848" xr:uid="{020DB258-2A1F-4D75-A90B-F5504042D851}"/>
    <cellStyle name="Ввод  4 5 3 3 2" xfId="31941" xr:uid="{E28F91E1-2E13-4E70-A296-CD5581273A5B}"/>
    <cellStyle name="Ввод  4 5 3 3 3" xfId="45453" xr:uid="{03BAEB5C-2DCC-48BE-9F4E-5AF9A7996EAF}"/>
    <cellStyle name="Ввод  4 5 3 4" xfId="22256" xr:uid="{9D4F068D-0BFE-45EB-9338-57881128426C}"/>
    <cellStyle name="Ввод  4 5 3 5" xfId="35305" xr:uid="{233DBFB3-4617-4B35-8875-369520DDFF2E}"/>
    <cellStyle name="Ввод  4 5 4" xfId="5491" xr:uid="{55B4E91E-195B-4DED-BF8F-8DA934BD3782}"/>
    <cellStyle name="Ввод  4 5 4 2" xfId="8673" xr:uid="{241DB67B-9F0C-4D92-B2A5-D12A75BDC674}"/>
    <cellStyle name="Ввод  4 5 4 2 2" xfId="14127" xr:uid="{C08D68F5-FB3D-423A-83CD-A7D235B71F07}"/>
    <cellStyle name="Ввод  4 5 4 2 2 2" xfId="30491" xr:uid="{7F55EA66-48FA-4C60-ADA9-38EAEDD2BDC3}"/>
    <cellStyle name="Ввод  4 5 4 2 2 3" xfId="43875" xr:uid="{4FB71FCA-DA18-4AF5-B6E1-0BD33A06B706}"/>
    <cellStyle name="Ввод  4 5 4 2 3" xfId="26166" xr:uid="{890EFB19-C076-4FA6-BBDE-DB5FFADE9F96}"/>
    <cellStyle name="Ввод  4 5 4 2 4" xfId="39242" xr:uid="{CED6ADEE-786C-45AD-957A-CAEFA33DB5D7}"/>
    <cellStyle name="Ввод  4 5 4 3" xfId="13449" xr:uid="{35876220-2DC6-488D-B5C8-6F0410592A0E}"/>
    <cellStyle name="Ввод  4 5 4 3 2" xfId="29913" xr:uid="{253A889E-466B-481C-A611-343D6A32D426}"/>
    <cellStyle name="Ввод  4 5 4 3 3" xfId="43251" xr:uid="{30EA1D6C-7951-4D49-9A85-FF1D80EC013A}"/>
    <cellStyle name="Ввод  4 5 4 4" xfId="23138" xr:uid="{14604C85-A471-41B2-ADA7-0B605D162E03}"/>
    <cellStyle name="Ввод  4 5 4 5" xfId="36219" xr:uid="{0827C84F-57F5-426B-8304-3CB768EE87F9}"/>
    <cellStyle name="Ввод  4 5 5" xfId="13552" xr:uid="{862BAE84-9508-479A-98CA-76D93B6EB246}"/>
    <cellStyle name="Ввод  4 5 5 2" xfId="29997" xr:uid="{63FA5F86-F6D7-4C37-85D9-8BB2CFD64218}"/>
    <cellStyle name="Ввод  4 5 5 3" xfId="43346" xr:uid="{DF709018-92ED-4E63-AD99-1EDACC469511}"/>
    <cellStyle name="Ввод  4 5 6" xfId="21420" xr:uid="{3F37F347-485F-46CE-9455-E33117C14AF2}"/>
    <cellStyle name="Ввод  4 5 7" xfId="34452" xr:uid="{B2E64F46-894C-46DE-8FBD-1605A1ECF3C1}"/>
    <cellStyle name="Ввод  4 6" xfId="3320" xr:uid="{11668559-539B-49B5-8792-BEE4692EDE0C}"/>
    <cellStyle name="Ввод  4 6 2" xfId="2682" xr:uid="{7DFB13B4-90BD-4433-AB18-69608CAE6046}"/>
    <cellStyle name="Ввод  4 6 2 2" xfId="7978" xr:uid="{B5CA6650-4737-4206-8B19-33818543B356}"/>
    <cellStyle name="Ввод  4 6 2 2 2" xfId="12030" xr:uid="{2ED1E56C-BC87-4536-B0AA-9ED68C6802D7}"/>
    <cellStyle name="Ввод  4 6 2 2 2 2" xfId="28732" xr:uid="{3F4CA8F3-6A61-4849-8690-135C8D5BC718}"/>
    <cellStyle name="Ввод  4 6 2 2 2 3" xfId="41950" xr:uid="{988298A8-1757-4B68-B22F-60BAF7461B59}"/>
    <cellStyle name="Ввод  4 6 2 2 3" xfId="25494" xr:uid="{33DE060D-0760-4BA8-A599-A103B57E4C99}"/>
    <cellStyle name="Ввод  4 6 2 2 4" xfId="38570" xr:uid="{2808DD59-89F3-46D5-A697-E7D46D8F65E0}"/>
    <cellStyle name="Ввод  4 6 2 3" xfId="6345" xr:uid="{4BC78A3E-397E-4273-97B3-042F4B53D448}"/>
    <cellStyle name="Ввод  4 6 2 3 2" xfId="12083" xr:uid="{77F9BDB2-DDA0-410C-A9B9-682FAE91A1CB}"/>
    <cellStyle name="Ввод  4 6 2 3 2 2" xfId="28783" xr:uid="{70787106-1584-4592-B02E-CC3F0D38A578}"/>
    <cellStyle name="Ввод  4 6 2 3 2 3" xfId="42003" xr:uid="{54B0ADA5-C3CC-4E0F-8431-9B131ECD9200}"/>
    <cellStyle name="Ввод  4 6 2 3 3" xfId="23985" xr:uid="{935A5DE0-B0B6-4331-BB86-51EE883ECF5E}"/>
    <cellStyle name="Ввод  4 6 2 3 4" xfId="37066" xr:uid="{38333A74-25AD-49D1-8BA9-732BAE9DDB59}"/>
    <cellStyle name="Ввод  4 6 2 4" xfId="12695" xr:uid="{084DC019-4189-4F61-93C6-DC6129625563}"/>
    <cellStyle name="Ввод  4 6 2 4 2" xfId="29285" xr:uid="{6A6A3D5E-C226-4E85-AD59-80422DE501AC}"/>
    <cellStyle name="Ввод  4 6 2 4 3" xfId="42561" xr:uid="{39C4FD1C-4521-42AD-8AED-241800C6E9E4}"/>
    <cellStyle name="Ввод  4 6 2 5" xfId="20737" xr:uid="{1778E54E-A188-4E9A-B9F6-1822C1730978}"/>
    <cellStyle name="Ввод  4 6 2 6" xfId="33760" xr:uid="{7593EF3D-6D62-4F0C-812F-B74F5AA74B89}"/>
    <cellStyle name="Ввод  4 6 3" xfId="4351" xr:uid="{622BA808-773D-436D-8D1E-950E166D9C3E}"/>
    <cellStyle name="Ввод  4 6 3 2" xfId="6970" xr:uid="{0E28F83C-DAA9-4D22-93DB-338CBDEB9EBB}"/>
    <cellStyle name="Ввод  4 6 3 2 2" xfId="12443" xr:uid="{38386F2F-2C21-42B9-AD49-0EDF598F6BBC}"/>
    <cellStyle name="Ввод  4 6 3 2 2 2" xfId="29095" xr:uid="{75DE2971-D078-4161-83C8-8CD746D79292}"/>
    <cellStyle name="Ввод  4 6 3 2 2 3" xfId="42341" xr:uid="{82161121-910F-4688-95E2-17566DED3C20}"/>
    <cellStyle name="Ввод  4 6 3 2 3" xfId="24592" xr:uid="{D3668340-7673-4006-A911-8B7C5DF09595}"/>
    <cellStyle name="Ввод  4 6 3 2 4" xfId="37673" xr:uid="{0A265467-3A7D-415F-AF7A-795A19AC7B0C}"/>
    <cellStyle name="Ввод  4 6 3 3" xfId="11615" xr:uid="{51BA4D13-3032-422A-8DF3-CC00626866D8}"/>
    <cellStyle name="Ввод  4 6 3 3 2" xfId="28362" xr:uid="{D49043B4-2D86-4DCD-B5C1-C7251B2F5377}"/>
    <cellStyle name="Ввод  4 6 3 3 3" xfId="41564" xr:uid="{8459A543-5307-4711-8AAB-871F2B53DD15}"/>
    <cellStyle name="Ввод  4 6 3 4" xfId="22171" xr:uid="{79BE72BE-D55C-4E8E-B1ED-4FC1C59D9B15}"/>
    <cellStyle name="Ввод  4 6 3 5" xfId="35220" xr:uid="{9FC41A5D-AE07-4643-99C5-26646DA68940}"/>
    <cellStyle name="Ввод  4 6 4" xfId="5406" xr:uid="{78B15B7A-960D-4A33-BD20-12A44B97609A}"/>
    <cellStyle name="Ввод  4 6 4 2" xfId="8583" xr:uid="{2F94DC5C-D381-4215-A28C-6ADAA02A4BA2}"/>
    <cellStyle name="Ввод  4 6 4 2 2" xfId="12938" xr:uid="{89DE4129-679F-4BA6-92B3-89E48A8C5EBF}"/>
    <cellStyle name="Ввод  4 6 4 2 2 2" xfId="29480" xr:uid="{4E95C54A-894A-46EA-8546-068D8F572680}"/>
    <cellStyle name="Ввод  4 6 4 2 2 3" xfId="42777" xr:uid="{8A7DB714-20D5-48EA-AEE4-35949B58819C}"/>
    <cellStyle name="Ввод  4 6 4 2 3" xfId="26081" xr:uid="{53CDED9E-F50C-4D73-A292-74543EFF0411}"/>
    <cellStyle name="Ввод  4 6 4 2 4" xfId="39157" xr:uid="{88B201BC-B1B9-4F5D-9B6E-34B3FB855A6E}"/>
    <cellStyle name="Ввод  4 6 4 3" xfId="11783" xr:uid="{4D2F3E9E-8FD6-46A5-B606-6D55F31FAEBB}"/>
    <cellStyle name="Ввод  4 6 4 3 2" xfId="28506" xr:uid="{1D0B13F7-75A2-4486-A49A-83CD8D48D5EE}"/>
    <cellStyle name="Ввод  4 6 4 3 3" xfId="41718" xr:uid="{E521DD48-7963-4F38-BC89-6759F9EF200D}"/>
    <cellStyle name="Ввод  4 6 4 4" xfId="23053" xr:uid="{5A737BA9-486C-46A5-8154-8711190433EE}"/>
    <cellStyle name="Ввод  4 6 4 5" xfId="36134" xr:uid="{8B6E61B1-DAEB-4799-BEEA-086FC06CE2E0}"/>
    <cellStyle name="Ввод  4 6 5" xfId="17258" xr:uid="{B778D484-4E53-4E4D-9841-10DDACB9A980}"/>
    <cellStyle name="Ввод  4 6 5 2" xfId="33017" xr:uid="{053B109B-C663-47B7-85D7-03D719AE8824}"/>
    <cellStyle name="Ввод  4 6 5 3" xfId="46792" xr:uid="{809A02C8-55CB-4FE3-8B21-6A521A968B13}"/>
    <cellStyle name="Ввод  4 6 6" xfId="21344" xr:uid="{8BBE41FF-A8B1-4AD9-9A4D-E67FD3907366}"/>
    <cellStyle name="Ввод  4 6 7" xfId="34367" xr:uid="{C1B89D46-E971-47B6-A143-CA3BA38D8E32}"/>
    <cellStyle name="Ввод  4 7" xfId="3463" xr:uid="{353AC48F-7871-4827-B5B5-FDBA81CA11E5}"/>
    <cellStyle name="Ввод  4 7 2" xfId="2805" xr:uid="{5A61FC97-80E3-4675-A55B-6303ABA8C204}"/>
    <cellStyle name="Ввод  4 7 2 2" xfId="8101" xr:uid="{26FBBED9-A4E4-41EA-8C8A-5866255B2B72}"/>
    <cellStyle name="Ввод  4 7 2 2 2" xfId="12362" xr:uid="{CEABBE7F-5AB8-4485-B352-CEECDE8EE73F}"/>
    <cellStyle name="Ввод  4 7 2 2 2 2" xfId="29028" xr:uid="{9D7BA55D-3339-43B9-9518-9D258EAE408B}"/>
    <cellStyle name="Ввод  4 7 2 2 2 3" xfId="42268" xr:uid="{E649A6F4-0C94-4C2C-8CE1-0770CD69AAEA}"/>
    <cellStyle name="Ввод  4 7 2 2 3" xfId="25612" xr:uid="{D9938D4D-3F07-4187-B6E1-9EFE329D0784}"/>
    <cellStyle name="Ввод  4 7 2 2 4" xfId="38688" xr:uid="{0D369C54-DC76-428A-A0CE-E0A05665EEDB}"/>
    <cellStyle name="Ввод  4 7 2 3" xfId="6468" xr:uid="{8BE3AB93-D937-4A2D-908A-3298EFC8D104}"/>
    <cellStyle name="Ввод  4 7 2 3 2" xfId="13445" xr:uid="{112B15BE-38D7-47ED-8291-735D94C8FF9F}"/>
    <cellStyle name="Ввод  4 7 2 3 2 2" xfId="29909" xr:uid="{169126A7-D22C-4EEE-BA58-DBF0A6818E0B}"/>
    <cellStyle name="Ввод  4 7 2 3 2 3" xfId="43247" xr:uid="{C95FD615-9505-40F7-8993-37178BEE0BEB}"/>
    <cellStyle name="Ввод  4 7 2 3 3" xfId="24103" xr:uid="{CDF43389-61ED-480A-9562-B2CEAFBBEC32}"/>
    <cellStyle name="Ввод  4 7 2 3 4" xfId="37184" xr:uid="{9B5B7A8D-4C40-49FF-9A68-83E658826DD5}"/>
    <cellStyle name="Ввод  4 7 2 4" xfId="13636" xr:uid="{EC375CA8-FD95-487B-9044-99CB3FC0D3E1}"/>
    <cellStyle name="Ввод  4 7 2 4 2" xfId="30070" xr:uid="{C1BC0099-6E63-4648-AC1D-397B3777D5AD}"/>
    <cellStyle name="Ввод  4 7 2 4 3" xfId="43425" xr:uid="{6E6C51C9-30B6-4967-B945-5027347A39CA}"/>
    <cellStyle name="Ввод  4 7 2 5" xfId="20855" xr:uid="{5E8D6A23-366A-422D-96F7-8AAE9B004F88}"/>
    <cellStyle name="Ввод  4 7 2 6" xfId="33878" xr:uid="{81AFF91B-229D-4152-81AE-1AE8DC1C31A2}"/>
    <cellStyle name="Ввод  4 7 3" xfId="4465" xr:uid="{C792462B-431F-4092-ACB2-6EB4BB7C8462}"/>
    <cellStyle name="Ввод  4 7 3 2" xfId="7105" xr:uid="{DBA512DC-4489-4964-83C7-4037F44794EE}"/>
    <cellStyle name="Ввод  4 7 3 2 2" xfId="16243" xr:uid="{CCCBB5FC-52AA-4439-9F81-F6980D5E2844}"/>
    <cellStyle name="Ввод  4 7 3 2 2 2" xfId="32279" xr:uid="{029D982D-71B3-41BF-A545-31CCF2EF9988}"/>
    <cellStyle name="Ввод  4 7 3 2 2 3" xfId="45807" xr:uid="{C2D718FB-2C15-47B9-812B-A75CF1637E3F}"/>
    <cellStyle name="Ввод  4 7 3 2 3" xfId="24704" xr:uid="{F3BEFA51-3547-43C4-BD84-5F254FF35983}"/>
    <cellStyle name="Ввод  4 7 3 2 4" xfId="37785" xr:uid="{39B3D3F6-9F48-49C2-8208-6B5480ECBFE6}"/>
    <cellStyle name="Ввод  4 7 3 3" xfId="11049" xr:uid="{06BAF253-D9E7-4AEA-AB64-B381236F0729}"/>
    <cellStyle name="Ввод  4 7 3 3 2" xfId="27852" xr:uid="{31BBAEEE-F5CE-4600-B0B8-CA7C3E59305F}"/>
    <cellStyle name="Ввод  4 7 3 3 3" xfId="41028" xr:uid="{69F44CF5-CF7B-495C-8505-0901ACEFB53A}"/>
    <cellStyle name="Ввод  4 7 3 4" xfId="22283" xr:uid="{838B6C22-1BBE-45B4-91A0-78BEC63DDE0F}"/>
    <cellStyle name="Ввод  4 7 3 5" xfId="35332" xr:uid="{33F13E1F-6BC8-46E5-A16B-15AA28F5C6DC}"/>
    <cellStyle name="Ввод  4 7 4" xfId="5518" xr:uid="{2FC1F898-32E1-44A6-828F-2BFE2BFA1646}"/>
    <cellStyle name="Ввод  4 7 4 2" xfId="8700" xr:uid="{1E02B810-D785-485E-BF2E-1F0A18D52154}"/>
    <cellStyle name="Ввод  4 7 4 2 2" xfId="16073" xr:uid="{F0AB9BEB-1EF7-4E96-84A4-C6D70E39AB60}"/>
    <cellStyle name="Ввод  4 7 4 2 2 2" xfId="32133" xr:uid="{DABC10FC-2FC0-45B2-ABC9-125BA50F2C9D}"/>
    <cellStyle name="Ввод  4 7 4 2 2 3" xfId="45653" xr:uid="{0F20BEAF-6406-4752-A9F9-D37848E00FA6}"/>
    <cellStyle name="Ввод  4 7 4 2 3" xfId="26193" xr:uid="{611A3625-E87C-4685-80B7-F64B3E9E3B61}"/>
    <cellStyle name="Ввод  4 7 4 2 4" xfId="39269" xr:uid="{6872134E-E692-43DC-8834-59996CDDDE38}"/>
    <cellStyle name="Ввод  4 7 4 3" xfId="14414" xr:uid="{900B4565-5EA6-4903-AE5D-8D6DCEBD9AB6}"/>
    <cellStyle name="Ввод  4 7 4 3 2" xfId="30744" xr:uid="{C0A08485-B801-406A-8CFD-3F6736F95651}"/>
    <cellStyle name="Ввод  4 7 4 3 3" xfId="44144" xr:uid="{B27F5CCB-3065-4B08-83C5-EBCD2C0DA203}"/>
    <cellStyle name="Ввод  4 7 4 4" xfId="23165" xr:uid="{CFC03EC0-B125-4702-AD2D-3E89A40DD257}"/>
    <cellStyle name="Ввод  4 7 4 5" xfId="36246" xr:uid="{6AA0FD7C-17B4-4666-9925-3B8A6E149674}"/>
    <cellStyle name="Ввод  4 7 5" xfId="16208" xr:uid="{FEAC51E4-FCAC-40D2-A920-FEDAF7EB0546}"/>
    <cellStyle name="Ввод  4 7 5 2" xfId="32248" xr:uid="{BBE962E7-83FE-4224-8B92-5A1000BBB3FB}"/>
    <cellStyle name="Ввод  4 7 5 3" xfId="45775" xr:uid="{96418A9C-D4DD-45C0-990C-3E4D6D6570AC}"/>
    <cellStyle name="Ввод  4 7 6" xfId="21435" xr:uid="{B1FB82D9-AB5A-4771-BF56-124D15A2FF1D}"/>
    <cellStyle name="Ввод  4 7 7" xfId="34479" xr:uid="{A2B230C5-F334-4B83-8B2F-FF5F9E10A887}"/>
    <cellStyle name="Ввод  4 8" xfId="3313" xr:uid="{C73E6597-40BD-4EED-AF38-D87CA82CFC65}"/>
    <cellStyle name="Ввод  4 8 2" xfId="2675" xr:uid="{6C57CE6D-EAAA-4C9E-8FD3-A7CCA9E01530}"/>
    <cellStyle name="Ввод  4 8 2 2" xfId="7971" xr:uid="{D5714529-697B-4E88-AFCA-BC503561D23C}"/>
    <cellStyle name="Ввод  4 8 2 2 2" xfId="13385" xr:uid="{A24248DD-924E-4E73-B322-A7E9E477F922}"/>
    <cellStyle name="Ввод  4 8 2 2 2 2" xfId="29857" xr:uid="{027F29BB-658F-4F13-90B3-2361C36DE57B}"/>
    <cellStyle name="Ввод  4 8 2 2 2 3" xfId="43192" xr:uid="{4AF2709A-2DFA-4590-8B43-2D35ACEB9F5D}"/>
    <cellStyle name="Ввод  4 8 2 2 3" xfId="25487" xr:uid="{BEB3BEE8-D9E1-46D3-9531-153CCDDBEB1F}"/>
    <cellStyle name="Ввод  4 8 2 2 4" xfId="38563" xr:uid="{4E81A70A-FBF3-4C19-81E9-DBAC67D1052F}"/>
    <cellStyle name="Ввод  4 8 2 3" xfId="6338" xr:uid="{BA669458-64DC-4BA9-B280-320F006E5BA8}"/>
    <cellStyle name="Ввод  4 8 2 3 2" xfId="14338" xr:uid="{EB330AB5-5839-4E83-ACE2-DED8D69EE960}"/>
    <cellStyle name="Ввод  4 8 2 3 2 2" xfId="30672" xr:uid="{EF2063B3-7218-4A9F-B37D-215A38AFBE3F}"/>
    <cellStyle name="Ввод  4 8 2 3 2 3" xfId="44068" xr:uid="{2C979810-B350-4CBA-86D0-1A0D789E8F33}"/>
    <cellStyle name="Ввод  4 8 2 3 3" xfId="23978" xr:uid="{90A179A4-BF88-47B9-913F-1455852BBE64}"/>
    <cellStyle name="Ввод  4 8 2 3 4" xfId="37059" xr:uid="{7FBBDADE-01FD-4B0B-ACAE-06DE32651A91}"/>
    <cellStyle name="Ввод  4 8 2 4" xfId="12955" xr:uid="{39BBD5DF-2F84-497A-B63F-8B1FA8B73A18}"/>
    <cellStyle name="Ввод  4 8 2 4 2" xfId="29493" xr:uid="{CAA29A2F-E9EB-41B6-B40B-6BC547B1BDC6}"/>
    <cellStyle name="Ввод  4 8 2 4 3" xfId="42792" xr:uid="{1A49B5C3-F23E-472C-A91D-C7A3D0575F7A}"/>
    <cellStyle name="Ввод  4 8 2 5" xfId="20730" xr:uid="{AA0E3730-82EC-40F6-AAAF-F4A27464DC76}"/>
    <cellStyle name="Ввод  4 8 2 6" xfId="33753" xr:uid="{F1CDD6D2-744C-4B75-A716-F270F9CB8FB7}"/>
    <cellStyle name="Ввод  4 8 3" xfId="4344" xr:uid="{74F8BF5D-FDCE-47A1-94F0-3E35FE956815}"/>
    <cellStyle name="Ввод  4 8 3 2" xfId="6963" xr:uid="{DED49B25-2246-46F8-AD49-194FC3E5950A}"/>
    <cellStyle name="Ввод  4 8 3 2 2" xfId="12977" xr:uid="{68F287D1-F768-442E-85D4-9F76640890B2}"/>
    <cellStyle name="Ввод  4 8 3 2 2 2" xfId="29515" xr:uid="{6412A97C-490F-49A0-A85A-AEA459D6117C}"/>
    <cellStyle name="Ввод  4 8 3 2 2 3" xfId="42814" xr:uid="{E775A9DE-4E04-4CDF-AE37-40A065E3E172}"/>
    <cellStyle name="Ввод  4 8 3 2 3" xfId="24585" xr:uid="{A84747ED-5551-44C5-BDBD-50520AD96911}"/>
    <cellStyle name="Ввод  4 8 3 2 4" xfId="37666" xr:uid="{B1B86F59-8902-41CB-A905-8AC518FAFB09}"/>
    <cellStyle name="Ввод  4 8 3 3" xfId="10629" xr:uid="{890A58C8-9F34-4A75-AF63-8717A1BFD69C}"/>
    <cellStyle name="Ввод  4 8 3 3 2" xfId="27488" xr:uid="{F3107D28-B99C-417E-A5D0-A4C7838194E1}"/>
    <cellStyle name="Ввод  4 8 3 3 3" xfId="40610" xr:uid="{1422E648-9C16-4298-BB0A-A7AA0A2E1C8D}"/>
    <cellStyle name="Ввод  4 8 3 4" xfId="22164" xr:uid="{38F65E6D-D202-4DFE-BEDD-F04D991544A0}"/>
    <cellStyle name="Ввод  4 8 3 5" xfId="35213" xr:uid="{49F8FE0C-F5BC-48EA-9469-7E7C1C1CDFA4}"/>
    <cellStyle name="Ввод  4 8 4" xfId="5399" xr:uid="{92ED84DD-B00C-4308-B2B5-1B96696F03BE}"/>
    <cellStyle name="Ввод  4 8 4 2" xfId="8576" xr:uid="{E3444735-F2BC-4CE9-AEEB-9F8E4DA0F8A3}"/>
    <cellStyle name="Ввод  4 8 4 2 2" xfId="14794" xr:uid="{5E406BAD-0379-482E-861B-8C43A7833E03}"/>
    <cellStyle name="Ввод  4 8 4 2 2 2" xfId="31060" xr:uid="{6EC89C1D-9EFD-4E9C-A784-860406BD01D5}"/>
    <cellStyle name="Ввод  4 8 4 2 2 3" xfId="44492" xr:uid="{5825E6C7-DF06-4FD1-AC64-A65BDA948495}"/>
    <cellStyle name="Ввод  4 8 4 2 3" xfId="26074" xr:uid="{9709AB48-FBD3-4441-8C9A-B4973872D9A6}"/>
    <cellStyle name="Ввод  4 8 4 2 4" xfId="39150" xr:uid="{2CE3001A-1D8B-4D7D-8770-AE5180349310}"/>
    <cellStyle name="Ввод  4 8 4 3" xfId="15554" xr:uid="{D1482D96-4D40-4D68-B762-128E30CA7970}"/>
    <cellStyle name="Ввод  4 8 4 3 2" xfId="31686" xr:uid="{EB50B3CF-32BE-43A3-B1AD-FFA35D4F114C}"/>
    <cellStyle name="Ввод  4 8 4 3 3" xfId="45186" xr:uid="{E7814E52-73C6-423D-B544-49B22D60116C}"/>
    <cellStyle name="Ввод  4 8 4 4" xfId="23046" xr:uid="{37C6F8A8-58D1-4EB6-A52D-471C8634F5D0}"/>
    <cellStyle name="Ввод  4 8 4 5" xfId="36127" xr:uid="{19205EBD-B696-401C-889C-1E091D12AE3A}"/>
    <cellStyle name="Ввод  4 8 5" xfId="16980" xr:uid="{F4E71324-38BF-48CA-9DBF-550FE06B8AA9}"/>
    <cellStyle name="Ввод  4 8 5 2" xfId="32803" xr:uid="{E1919280-6D89-496F-A55E-AC07259AD2AD}"/>
    <cellStyle name="Ввод  4 8 5 3" xfId="46522" xr:uid="{86A7975E-B192-4E14-A28E-91639116E09F}"/>
    <cellStyle name="Ввод  4 8 6" xfId="21337" xr:uid="{218A5652-14F4-45FA-A047-343D263ED431}"/>
    <cellStyle name="Ввод  4 8 7" xfId="34360" xr:uid="{D69149D0-2B53-41ED-B807-BDFAE5CA2468}"/>
    <cellStyle name="Ввод  4 9" xfId="3589" xr:uid="{7E065EF0-8973-4DC5-A299-902AC60F98DF}"/>
    <cellStyle name="Ввод  4 9 2" xfId="2924" xr:uid="{4D2F7A3F-6E00-4852-BF02-4EB9AFEF5A73}"/>
    <cellStyle name="Ввод  4 9 2 2" xfId="8220" xr:uid="{07C58C86-22A1-4577-B78D-BB30C33C3427}"/>
    <cellStyle name="Ввод  4 9 2 2 2" xfId="13100" xr:uid="{59D33159-3703-41B8-BB1D-F3CB7A9EF61C}"/>
    <cellStyle name="Ввод  4 9 2 2 2 2" xfId="29615" xr:uid="{3C357F63-BE67-4054-B91C-5A3E19B4DBBD}"/>
    <cellStyle name="Ввод  4 9 2 2 2 3" xfId="42926" xr:uid="{9C4A0652-2811-423A-862C-12CC62E465A2}"/>
    <cellStyle name="Ввод  4 9 2 2 3" xfId="25731" xr:uid="{83910F5C-B211-4EC0-8455-49A7A59DD90E}"/>
    <cellStyle name="Ввод  4 9 2 2 4" xfId="38807" xr:uid="{66CCF622-3C25-4FB1-A85A-0205E47F1649}"/>
    <cellStyle name="Ввод  4 9 2 3" xfId="6587" xr:uid="{3C8F3EC2-F802-496B-8D64-0587E3911D78}"/>
    <cellStyle name="Ввод  4 9 2 3 2" xfId="13090" xr:uid="{6F84C0F9-1365-41DE-84F6-D03D75469D9B}"/>
    <cellStyle name="Ввод  4 9 2 3 2 2" xfId="29607" xr:uid="{4B1B4878-0365-490E-A2AB-EA8E9693C590}"/>
    <cellStyle name="Ввод  4 9 2 3 2 3" xfId="42917" xr:uid="{48E6CCDC-E4E1-4390-99B4-34D512DA530F}"/>
    <cellStyle name="Ввод  4 9 2 3 3" xfId="24222" xr:uid="{AD977191-B34A-464C-9F56-6110D07BFC08}"/>
    <cellStyle name="Ввод  4 9 2 3 4" xfId="37303" xr:uid="{03B0E83A-4C76-4AC1-94C8-35EE94849258}"/>
    <cellStyle name="Ввод  4 9 2 4" xfId="17205" xr:uid="{56638173-1B2E-4C65-A0B4-73EB1F0C1AC8}"/>
    <cellStyle name="Ввод  4 9 2 4 2" xfId="32967" xr:uid="{590E1AEF-0C8B-4E49-985C-50FD8EE69F5D}"/>
    <cellStyle name="Ввод  4 9 2 4 3" xfId="46740" xr:uid="{F71A13D6-24CF-4466-BA74-4EA86338CCD4}"/>
    <cellStyle name="Ввод  4 9 2 5" xfId="20974" xr:uid="{FBCE7BB8-540B-455C-85C4-0E7D1FE2534C}"/>
    <cellStyle name="Ввод  4 9 2 6" xfId="33997" xr:uid="{08BA726E-A70B-4A06-A512-F99F6E9BDBEB}"/>
    <cellStyle name="Ввод  4 9 3" xfId="4548" xr:uid="{1D40B6C1-13C2-4F06-9C6B-F25E1D70A856}"/>
    <cellStyle name="Ввод  4 9 3 2" xfId="7226" xr:uid="{12531CAD-BEAF-4701-A2F0-4BEDC98C3A2A}"/>
    <cellStyle name="Ввод  4 9 3 2 2" xfId="16096" xr:uid="{5B80C879-7F2B-4E8E-87A8-8EC55B4E6F9F}"/>
    <cellStyle name="Ввод  4 9 3 2 2 2" xfId="32154" xr:uid="{FC762A14-B213-48CC-BF20-6E280488BCCB}"/>
    <cellStyle name="Ввод  4 9 3 2 2 3" xfId="45675" xr:uid="{8CBD538B-1BAE-476D-BC07-C0DD598DCE28}"/>
    <cellStyle name="Ввод  4 9 3 2 3" xfId="24820" xr:uid="{F2BB5D2F-CAEB-4774-8548-18CC1664B134}"/>
    <cellStyle name="Ввод  4 9 3 2 4" xfId="37901" xr:uid="{5B49F759-1E16-4396-82B4-5C848A2C2CF8}"/>
    <cellStyle name="Ввод  4 9 3 3" xfId="11812" xr:uid="{7F05A6AC-CA32-4093-A84F-E33D55FC892B}"/>
    <cellStyle name="Ввод  4 9 3 3 2" xfId="28533" xr:uid="{6AC53B6A-9DC3-41EA-9CC6-B3A7B7B84B8F}"/>
    <cellStyle name="Ввод  4 9 3 3 3" xfId="41745" xr:uid="{9C29F60E-25CE-41B4-B363-CB7C7613B29E}"/>
    <cellStyle name="Ввод  4 9 3 4" xfId="22364" xr:uid="{67C53F3F-EB50-4B46-B9F1-093B09BD1277}"/>
    <cellStyle name="Ввод  4 9 3 5" xfId="35413" xr:uid="{21866B03-BC42-484B-BB57-4BDA8061F416}"/>
    <cellStyle name="Ввод  4 9 4" xfId="5634" xr:uid="{3B665823-4DAC-438D-A8D4-7B18CF46E43B}"/>
    <cellStyle name="Ввод  4 9 4 2" xfId="8816" xr:uid="{CF6A158F-3593-445C-A6B6-7E720EBC2607}"/>
    <cellStyle name="Ввод  4 9 4 2 2" xfId="11463" xr:uid="{040246E8-CB60-4778-8B63-CA500290F354}"/>
    <cellStyle name="Ввод  4 9 4 2 2 2" xfId="28227" xr:uid="{1681A7BD-4C08-4756-9403-66BF25564231}"/>
    <cellStyle name="Ввод  4 9 4 2 2 3" xfId="41422" xr:uid="{68E74CD1-3A5C-446A-8608-AAE5D8A467CA}"/>
    <cellStyle name="Ввод  4 9 4 2 3" xfId="26309" xr:uid="{1C27B5EB-2F3E-4B84-BC84-867C47965B38}"/>
    <cellStyle name="Ввод  4 9 4 2 4" xfId="39385" xr:uid="{9D367AEE-FE4C-469D-B956-75F892CD1F33}"/>
    <cellStyle name="Ввод  4 9 4 3" xfId="15267" xr:uid="{4C72D8CA-3B02-454C-ACBE-F496D2A799EF}"/>
    <cellStyle name="Ввод  4 9 4 3 2" xfId="31442" xr:uid="{38F95A73-1374-443A-BC55-0107E7B43403}"/>
    <cellStyle name="Ввод  4 9 4 3 3" xfId="44918" xr:uid="{9A56D38A-B392-422B-B137-A7FB716DA86C}"/>
    <cellStyle name="Ввод  4 9 4 4" xfId="23281" xr:uid="{6D3F16D5-8D69-4BD2-8C9D-55EF4604A089}"/>
    <cellStyle name="Ввод  4 9 4 5" xfId="36362" xr:uid="{DE76DFE6-1DCE-44C1-B99C-9EAC971668A6}"/>
    <cellStyle name="Ввод  4 9 5" xfId="12823" xr:uid="{8FBA6C08-BD05-411F-BEA6-8C82EB5E6F99}"/>
    <cellStyle name="Ввод  4 9 5 2" xfId="29395" xr:uid="{E3C076AD-2655-4E6A-91FE-C8ED90E5F011}"/>
    <cellStyle name="Ввод  4 9 5 3" xfId="42677" xr:uid="{82E345EA-5CAD-40B1-AD95-60960DBFB67B}"/>
    <cellStyle name="Ввод  4 9 6" xfId="21543" xr:uid="{236C395B-1D37-4FAA-9A5C-DB6ED674FAC9}"/>
    <cellStyle name="Ввод  4 9 7" xfId="34596" xr:uid="{C54D6AAD-D876-4E3A-B900-855DDA5DC897}"/>
    <cellStyle name="Верт. заголовок" xfId="2294" xr:uid="{FAB50BA0-3F18-45E5-9597-4387CEB0E66D}"/>
    <cellStyle name="Верт. заголовок 1" xfId="2295" xr:uid="{A75223F8-8503-43C9-BE07-FC431301B2D6}"/>
    <cellStyle name="Верт. заголовок 1 2" xfId="10382" xr:uid="{B5297429-6B65-43AB-BC12-8DF732B5B832}"/>
    <cellStyle name="Верт. заголовок 2" xfId="2296" xr:uid="{5DA78373-0B10-4F79-BFEB-0030A2265163}"/>
    <cellStyle name="Верт. заголовок 2 2" xfId="10383" xr:uid="{5329E835-6C01-4E89-9F25-64F766C4DA7B}"/>
    <cellStyle name="Верт. заголовок 3" xfId="2297" xr:uid="{63ADDF5F-7BD9-400F-8010-26CBAE960BC5}"/>
    <cellStyle name="Верт. заголовок 3 2" xfId="10384" xr:uid="{EAF672EB-05B0-473A-B0CB-6BA7A397D10F}"/>
    <cellStyle name="Верт. заголовок 4" xfId="10381" xr:uid="{43DC00F8-339A-4EE2-A593-62151164B718}"/>
    <cellStyle name="Вывод 1" xfId="2298" xr:uid="{68E79E9B-421F-4E8A-B5FF-BB277A6BC204}"/>
    <cellStyle name="Вывод 1 10" xfId="3723" xr:uid="{3A576AC0-8187-4FF7-91D4-72B79E3974E8}"/>
    <cellStyle name="Вывод 1 10 2" xfId="3039" xr:uid="{901B3C24-9042-4601-B02F-FD4D2AA00B4A}"/>
    <cellStyle name="Вывод 1 10 2 2" xfId="8335" xr:uid="{E08FB565-7126-4E29-81C8-1AC6FB1AF906}"/>
    <cellStyle name="Вывод 1 10 2 2 2" xfId="12546" xr:uid="{3B9D68FB-0A8B-4FB8-93DE-73FD8C188D41}"/>
    <cellStyle name="Вывод 1 10 2 2 2 2" xfId="29170" xr:uid="{179B65BF-1755-412C-A63F-819A53A7EB93}"/>
    <cellStyle name="Вывод 1 10 2 2 2 3" xfId="42429" xr:uid="{30E57EBA-ECBD-4907-9666-9490AA6EC58E}"/>
    <cellStyle name="Вывод 1 10 2 2 3" xfId="25839" xr:uid="{1710D01A-7D91-4104-860B-54DC895043BA}"/>
    <cellStyle name="Вывод 1 10 2 2 4" xfId="38915" xr:uid="{09C392E3-F31C-4333-BB6A-2A59A503D599}"/>
    <cellStyle name="Вывод 1 10 2 3" xfId="6702" xr:uid="{6BC43970-7F16-481C-84A4-2ADFA542388F}"/>
    <cellStyle name="Вывод 1 10 2 3 2" xfId="14805" xr:uid="{49F3EAE1-F1B6-4991-A9DC-21BCB9DAC7A4}"/>
    <cellStyle name="Вывод 1 10 2 3 2 2" xfId="31068" xr:uid="{A8803C7F-6944-4CC6-A14F-482127F5FF3D}"/>
    <cellStyle name="Вывод 1 10 2 3 2 3" xfId="44502" xr:uid="{83E76FA3-2AB8-45A1-ADCD-9FD3925A71A4}"/>
    <cellStyle name="Вывод 1 10 2 3 3" xfId="24330" xr:uid="{5B439845-F738-44C5-BB41-4D393B5BD74F}"/>
    <cellStyle name="Вывод 1 10 2 3 4" xfId="37411" xr:uid="{FA49AE5F-2CD6-49D3-9641-8255320907F4}"/>
    <cellStyle name="Вывод 1 10 2 4" xfId="15193" xr:uid="{C6A9D70A-DEE9-4950-BA92-21BDD66D7889}"/>
    <cellStyle name="Вывод 1 10 2 4 2" xfId="31377" xr:uid="{7118FD9B-E758-4A83-9664-3381B6A47C47}"/>
    <cellStyle name="Вывод 1 10 2 4 3" xfId="44848" xr:uid="{5AF106B3-D01D-4657-8475-A23547466581}"/>
    <cellStyle name="Вывод 1 10 2 5" xfId="21082" xr:uid="{C38A0440-786D-4A3A-B4CC-BF99F58ED625}"/>
    <cellStyle name="Вывод 1 10 2 6" xfId="34105" xr:uid="{48054FB6-35D2-4A42-89E2-98D030C5E7DA}"/>
    <cellStyle name="Вывод 1 10 3" xfId="4624" xr:uid="{FEAEA2DB-A04D-47CB-9DED-F9F8619EBEB5}"/>
    <cellStyle name="Вывод 1 10 3 2" xfId="7358" xr:uid="{92ADA3F4-F77A-4C56-8BF3-81DFF52D3D3C}"/>
    <cellStyle name="Вывод 1 10 3 2 2" xfId="10860" xr:uid="{748EA1C9-16FC-4044-B766-1EA4C4E49F50}"/>
    <cellStyle name="Вывод 1 10 3 2 2 2" xfId="27688" xr:uid="{0A3F7514-F451-4065-ACF8-928A80537F24}"/>
    <cellStyle name="Вывод 1 10 3 2 2 3" xfId="40841" xr:uid="{5606B170-69A8-469C-B01E-4D0B6C7F6115}"/>
    <cellStyle name="Вывод 1 10 3 2 3" xfId="24917" xr:uid="{929AFB1A-D726-40BC-9693-4CD0D3D4D9F5}"/>
    <cellStyle name="Вывод 1 10 3 2 4" xfId="37997" xr:uid="{577A07C4-821A-468A-9DDE-210036A0D598}"/>
    <cellStyle name="Вывод 1 10 3 3" xfId="16677" xr:uid="{F8B95832-64D4-473A-89FE-DFD35814BCD0}"/>
    <cellStyle name="Вывод 1 10 3 3 2" xfId="32568" xr:uid="{5ADD191F-F797-4F95-86F5-F41C9E39DA56}"/>
    <cellStyle name="Вывод 1 10 3 3 3" xfId="46224" xr:uid="{F0FF1F54-609F-4598-87F6-462E057E4CBE}"/>
    <cellStyle name="Вывод 1 10 3 4" xfId="22434" xr:uid="{0BA8C51C-7DFF-4596-8CBA-A839063D298F}"/>
    <cellStyle name="Вывод 1 10 3 5" xfId="35487" xr:uid="{D5E0A075-CFF8-41B5-8BA9-2AE2E8118638}"/>
    <cellStyle name="Вывод 1 10 4" xfId="5730" xr:uid="{F65E1757-EDD7-432F-9DF9-048227A16D30}"/>
    <cellStyle name="Вывод 1 10 4 2" xfId="8919" xr:uid="{1828BA11-29C5-465D-BF26-77E56D146BD1}"/>
    <cellStyle name="Вывод 1 10 4 2 2" xfId="15461" xr:uid="{3F7EB329-1117-49B5-A8B2-8C5BFC23FBC2}"/>
    <cellStyle name="Вывод 1 10 4 2 2 2" xfId="31605" xr:uid="{0AFC157F-3920-41E8-B29A-23B706615F51}"/>
    <cellStyle name="Вывод 1 10 4 2 2 3" xfId="45100" xr:uid="{EDB1290A-1C6F-41AA-9564-F1F4352CE556}"/>
    <cellStyle name="Вывод 1 10 4 2 3" xfId="26405" xr:uid="{7CAADEEE-CB2F-41D9-AC41-BCA94D6A430D}"/>
    <cellStyle name="Вывод 1 10 4 2 4" xfId="39481" xr:uid="{850AD9E5-6881-482C-AFA3-F13FA03B14ED}"/>
    <cellStyle name="Вывод 1 10 4 3" xfId="16899" xr:uid="{D4CCCB06-484D-46B8-A0AF-FF7CF60E9357}"/>
    <cellStyle name="Вывод 1 10 4 3 2" xfId="32774" xr:uid="{BDAE0DC8-5252-49C1-87CA-8C76CADEB3E8}"/>
    <cellStyle name="Вывод 1 10 4 3 3" xfId="46441" xr:uid="{2F801F76-2938-4ED5-87FB-06F0B7C40786}"/>
    <cellStyle name="Вывод 1 10 4 4" xfId="23377" xr:uid="{CC4FD824-EAE3-45FE-9D6B-F76BF63C7199}"/>
    <cellStyle name="Вывод 1 10 4 5" xfId="36458" xr:uid="{C1BE8CAC-FFC6-44A3-A9EE-DD0FDDE05ADD}"/>
    <cellStyle name="Вывод 1 10 5" xfId="11785" xr:uid="{98E1F1D9-EB56-4B48-BAC1-C56106E36ED8}"/>
    <cellStyle name="Вывод 1 10 5 2" xfId="28508" xr:uid="{7EE1911A-A1C2-45B5-B819-F9508C0E5118}"/>
    <cellStyle name="Вывод 1 10 5 3" xfId="41720" xr:uid="{87228FAE-59FC-4054-876F-F1DA83002009}"/>
    <cellStyle name="Вывод 1 10 6" xfId="21639" xr:uid="{23E59B63-38BC-4861-B238-DC7B09626986}"/>
    <cellStyle name="Вывод 1 10 7" xfId="34693" xr:uid="{C60D4B4E-9627-46C3-9A6E-A0F0BCCD2F64}"/>
    <cellStyle name="Вывод 1 11" xfId="3576" xr:uid="{8752F1A1-5F33-49DD-A4E1-A5314A02F40E}"/>
    <cellStyle name="Вывод 1 11 2" xfId="2911" xr:uid="{BAB1CFE2-6204-431E-A6EC-D097A45A1307}"/>
    <cellStyle name="Вывод 1 11 2 2" xfId="8207" xr:uid="{6983862F-8882-438E-8896-0A1984F1DD89}"/>
    <cellStyle name="Вывод 1 11 2 2 2" xfId="10719" xr:uid="{921C6E5B-605D-4647-AECF-480413082930}"/>
    <cellStyle name="Вывод 1 11 2 2 2 2" xfId="27563" xr:uid="{2D72EA69-7F72-43DE-B777-6F35F1415984}"/>
    <cellStyle name="Вывод 1 11 2 2 2 3" xfId="40700" xr:uid="{E73A206F-AF09-4D16-9DA2-D0FCD9A0811B}"/>
    <cellStyle name="Вывод 1 11 2 2 3" xfId="25718" xr:uid="{AA10D774-A339-4F5E-87F4-8C931FCA0DE6}"/>
    <cellStyle name="Вывод 1 11 2 2 4" xfId="38794" xr:uid="{2D40C21D-1273-4342-A95B-6AAAB5EC441A}"/>
    <cellStyle name="Вывод 1 11 2 3" xfId="6574" xr:uid="{DC8CC5D6-8B68-43CD-B15F-5874D4FE8086}"/>
    <cellStyle name="Вывод 1 11 2 3 2" xfId="14824" xr:uid="{5CE4B0E1-50E6-4FF9-85BD-0E93A2D48C3C}"/>
    <cellStyle name="Вывод 1 11 2 3 2 2" xfId="31085" xr:uid="{C4AE54DA-D371-4202-88DA-8571535EDE0F}"/>
    <cellStyle name="Вывод 1 11 2 3 2 3" xfId="44521" xr:uid="{0569F8E4-D33B-403E-93ED-133261F1BF0C}"/>
    <cellStyle name="Вывод 1 11 2 3 3" xfId="24209" xr:uid="{5A9F6F5B-E462-48B2-8A70-DD0AB528756C}"/>
    <cellStyle name="Вывод 1 11 2 3 4" xfId="37290" xr:uid="{6AFC0DB1-D4F5-4C3E-9F21-3A6C1851A5C7}"/>
    <cellStyle name="Вывод 1 11 2 4" xfId="11119" xr:uid="{56215E20-B55C-4D44-86EA-BD7C3A4E49E2}"/>
    <cellStyle name="Вывод 1 11 2 4 2" xfId="27919" xr:uid="{27B4F2FC-4869-4ED1-80A7-7FA0D8811728}"/>
    <cellStyle name="Вывод 1 11 2 4 3" xfId="41097" xr:uid="{7833E76F-63EE-456A-8A77-A2869A99E180}"/>
    <cellStyle name="Вывод 1 11 2 5" xfId="20961" xr:uid="{93CE8FB3-EE9B-40E7-B29E-149ECC20F112}"/>
    <cellStyle name="Вывод 1 11 2 6" xfId="33984" xr:uid="{B725F63F-2CB8-467E-BF6D-39330169A63E}"/>
    <cellStyle name="Вывод 1 11 3" xfId="4667" xr:uid="{3E39802B-3642-4300-BF83-1B4BDA4066B4}"/>
    <cellStyle name="Вывод 1 11 3 2" xfId="7213" xr:uid="{4716AD24-B03D-4BB0-BDCD-6ECA2549DC97}"/>
    <cellStyle name="Вывод 1 11 3 2 2" xfId="16645" xr:uid="{EB693D9C-7619-4A25-A679-3D07143B5980}"/>
    <cellStyle name="Вывод 1 11 3 2 2 2" xfId="32551" xr:uid="{2028F9CC-EDC7-44D7-9922-C808AB756F9F}"/>
    <cellStyle name="Вывод 1 11 3 2 2 3" xfId="46192" xr:uid="{8C8550F0-E443-4B66-9778-652B89FBB5D1}"/>
    <cellStyle name="Вывод 1 11 3 2 3" xfId="24807" xr:uid="{8985DFB2-852C-4CFD-B03E-AB504DB5DA01}"/>
    <cellStyle name="Вывод 1 11 3 2 4" xfId="37888" xr:uid="{5AADD222-A2D0-41C8-BD20-2F18EF28F59E}"/>
    <cellStyle name="Вывод 1 11 3 3" xfId="12538" xr:uid="{EE40A53C-BEB6-4865-BA66-D8CDAF986DDA}"/>
    <cellStyle name="Вывод 1 11 3 3 2" xfId="29163" xr:uid="{E036D609-10E6-4461-A0DD-085B7DC2CDE9}"/>
    <cellStyle name="Вывод 1 11 3 3 3" xfId="42422" xr:uid="{144F6B8C-D6DF-41BF-BF0F-F0550774DD34}"/>
    <cellStyle name="Вывод 1 11 3 4" xfId="22477" xr:uid="{0E5C0B7A-5DDD-4E55-A319-396261509070}"/>
    <cellStyle name="Вывод 1 11 3 5" xfId="35530" xr:uid="{22EDFCF4-DACE-4AA9-8C5C-0112AC64E725}"/>
    <cellStyle name="Вывод 1 11 4" xfId="5621" xr:uid="{A6611B22-FC30-4E14-A7E2-D39AFE49D285}"/>
    <cellStyle name="Вывод 1 11 4 2" xfId="8803" xr:uid="{D7305127-4AEA-45CF-B1B0-BBE97AEB6712}"/>
    <cellStyle name="Вывод 1 11 4 2 2" xfId="11919" xr:uid="{56AF0DBB-D56A-49DC-B8E6-A5BF5A2028B7}"/>
    <cellStyle name="Вывод 1 11 4 2 2 2" xfId="28633" xr:uid="{21EEF06C-E783-45E7-9A41-028F8590A9FF}"/>
    <cellStyle name="Вывод 1 11 4 2 2 3" xfId="41850" xr:uid="{DB1E1653-FFAD-4524-9FAA-BA1C98F56DFB}"/>
    <cellStyle name="Вывод 1 11 4 2 3" xfId="26296" xr:uid="{194A1F0B-1D63-435A-BF6F-9B97D272EB8D}"/>
    <cellStyle name="Вывод 1 11 4 2 4" xfId="39372" xr:uid="{EB255D68-6EC2-45B5-9888-D537810F6610}"/>
    <cellStyle name="Вывод 1 11 4 3" xfId="15774" xr:uid="{BB91608A-69B5-408B-B498-A1F5A3174E72}"/>
    <cellStyle name="Вывод 1 11 4 3 2" xfId="31876" xr:uid="{F257280A-BDA4-4F58-BDCC-5787293A74E2}"/>
    <cellStyle name="Вывод 1 11 4 3 3" xfId="45387" xr:uid="{F26C2008-7E42-4BD4-95FA-17FF9CAF3BE7}"/>
    <cellStyle name="Вывод 1 11 4 4" xfId="23268" xr:uid="{4317F46F-3FCA-4249-AFA8-CA355A4A543C}"/>
    <cellStyle name="Вывод 1 11 4 5" xfId="36349" xr:uid="{AB0CDCDF-F029-49FE-A5CB-DA3E2F909678}"/>
    <cellStyle name="Вывод 1 11 5" xfId="10603" xr:uid="{A379136E-4387-4A45-BFCA-44E7CAFFD939}"/>
    <cellStyle name="Вывод 1 11 5 2" xfId="27462" xr:uid="{88F2F3BD-E55A-474A-A025-B3784011A3C9}"/>
    <cellStyle name="Вывод 1 11 5 3" xfId="40584" xr:uid="{D4971124-959B-494D-B852-26DA528C0448}"/>
    <cellStyle name="Вывод 1 11 6" xfId="21530" xr:uid="{7BB546BB-CC4C-4947-8EC0-202BF3AB25B9}"/>
    <cellStyle name="Вывод 1 11 7" xfId="34583" xr:uid="{C7B287C6-6D5C-4A16-B721-7B5D63CE5177}"/>
    <cellStyle name="Вывод 1 12" xfId="3704" xr:uid="{F80550FD-374D-4C90-A70B-0CCA9F8FCA77}"/>
    <cellStyle name="Вывод 1 12 2" xfId="3020" xr:uid="{84D94F97-DD4E-4E1E-9078-AB9E22D3E715}"/>
    <cellStyle name="Вывод 1 12 2 2" xfId="8316" xr:uid="{2848179B-8C71-499C-9990-E0782C545E1D}"/>
    <cellStyle name="Вывод 1 12 2 2 2" xfId="15944" xr:uid="{9412FE02-C781-4C8F-80A6-BAE55BE6907A}"/>
    <cellStyle name="Вывод 1 12 2 2 2 2" xfId="32021" xr:uid="{A8E27935-BBC8-481C-9BE5-BBF552557797}"/>
    <cellStyle name="Вывод 1 12 2 2 2 3" xfId="45539" xr:uid="{20701A5B-1E4E-42D8-9305-124F9C09CA23}"/>
    <cellStyle name="Вывод 1 12 2 2 3" xfId="25820" xr:uid="{423A7846-7A3D-4CC3-81A3-D7730F1B1FF8}"/>
    <cellStyle name="Вывод 1 12 2 2 4" xfId="38896" xr:uid="{733559F7-F842-4E61-AB56-0A021326AD90}"/>
    <cellStyle name="Вывод 1 12 2 3" xfId="6683" xr:uid="{AD310445-2BA9-4096-BE95-7B8B9DDBFDD9}"/>
    <cellStyle name="Вывод 1 12 2 3 2" xfId="15846" xr:uid="{14D5C510-FC9C-47E0-8143-31362E44F85C}"/>
    <cellStyle name="Вывод 1 12 2 3 2 2" xfId="31939" xr:uid="{77CC2B3E-CC36-4135-A48F-9B75D747339E}"/>
    <cellStyle name="Вывод 1 12 2 3 2 3" xfId="45451" xr:uid="{ED393C23-7831-41C1-9B98-ECF8705DC15D}"/>
    <cellStyle name="Вывод 1 12 2 3 3" xfId="24311" xr:uid="{635DF297-B572-4020-BD12-76DDA5B8598D}"/>
    <cellStyle name="Вывод 1 12 2 3 4" xfId="37392" xr:uid="{79AD239B-9070-4F77-A364-BFD818FE46FD}"/>
    <cellStyle name="Вывод 1 12 2 4" xfId="13200" xr:uid="{62B9771D-5E8B-4AFB-8661-82F10E6B9247}"/>
    <cellStyle name="Вывод 1 12 2 4 2" xfId="29702" xr:uid="{D87EAE63-2CFF-4634-840E-B1AE9062550B}"/>
    <cellStyle name="Вывод 1 12 2 4 3" xfId="43021" xr:uid="{8795EEC9-E888-46C7-B6A0-FBCA79279CE6}"/>
    <cellStyle name="Вывод 1 12 2 5" xfId="21063" xr:uid="{5C3FBECF-A07A-44B6-9D44-42E16D90ED9F}"/>
    <cellStyle name="Вывод 1 12 2 6" xfId="34086" xr:uid="{11FA1E1D-1F92-45BF-A24E-7EF2E0260CF1}"/>
    <cellStyle name="Вывод 1 12 3" xfId="4734" xr:uid="{81DB4DAB-FF5D-46CB-8558-D90D966C227B}"/>
    <cellStyle name="Вывод 1 12 3 2" xfId="7339" xr:uid="{594C90B9-1C81-42FD-9702-7D5DA708C319}"/>
    <cellStyle name="Вывод 1 12 3 2 2" xfId="11556" xr:uid="{9BCEC155-FF27-4078-820B-1912CD301A3F}"/>
    <cellStyle name="Вывод 1 12 3 2 2 2" xfId="28313" xr:uid="{825686C1-BAFB-4346-8A47-8F47218ABBD2}"/>
    <cellStyle name="Вывод 1 12 3 2 2 3" xfId="41511" xr:uid="{540022D8-96C7-4426-A170-E46507CAB1F6}"/>
    <cellStyle name="Вывод 1 12 3 2 3" xfId="24898" xr:uid="{5FEA144C-E9FD-49FD-96AA-9300B96D65FF}"/>
    <cellStyle name="Вывод 1 12 3 2 4" xfId="37978" xr:uid="{09176701-1C08-4B9A-86F4-EA8A7E18316B}"/>
    <cellStyle name="Вывод 1 12 3 3" xfId="13131" xr:uid="{77682096-6D6E-4457-BC22-D570F859E85E}"/>
    <cellStyle name="Вывод 1 12 3 3 2" xfId="29645" xr:uid="{A7876F35-C7B9-444A-AFAB-84C031B930A4}"/>
    <cellStyle name="Вывод 1 12 3 3 3" xfId="42957" xr:uid="{0E5A8207-C0ED-455A-B96A-95E7D8D8C246}"/>
    <cellStyle name="Вывод 1 12 3 4" xfId="22537" xr:uid="{A119C11D-BAA0-423E-BAA6-DD7F54BC40CF}"/>
    <cellStyle name="Вывод 1 12 3 5" xfId="35590" xr:uid="{E9AC0403-E5EC-4BE7-8B7D-3FB901715AF5}"/>
    <cellStyle name="Вывод 1 12 4" xfId="5711" xr:uid="{E2A259CA-D78E-4F67-87FD-C94A34A1C476}"/>
    <cellStyle name="Вывод 1 12 4 2" xfId="8900" xr:uid="{D8C93D0E-19E3-4B4C-A577-7DB60A1BFBB1}"/>
    <cellStyle name="Вывод 1 12 4 2 2" xfId="14701" xr:uid="{C60E50EE-0527-4399-891C-3003035B1EE7}"/>
    <cellStyle name="Вывод 1 12 4 2 2 2" xfId="30991" xr:uid="{5A6392DA-EBFF-47C4-BB49-8EB19BF8A369}"/>
    <cellStyle name="Вывод 1 12 4 2 2 3" xfId="44413" xr:uid="{9FDBD45F-A11F-4705-A347-84F608BD0410}"/>
    <cellStyle name="Вывод 1 12 4 2 3" xfId="26386" xr:uid="{ECEA6EB2-C0FF-4DDE-8622-B7C7354F4AF7}"/>
    <cellStyle name="Вывод 1 12 4 2 4" xfId="39462" xr:uid="{9D3D3A01-2E3D-434F-81FC-F9513D78E395}"/>
    <cellStyle name="Вывод 1 12 4 3" xfId="17527" xr:uid="{38D21818-689D-4213-9329-3450EB0F58AB}"/>
    <cellStyle name="Вывод 1 12 4 3 2" xfId="33265" xr:uid="{95D9043B-DF36-42CB-8AA6-3CA5CB5397DB}"/>
    <cellStyle name="Вывод 1 12 4 3 3" xfId="47052" xr:uid="{BC93A2C7-5515-4F77-9838-5CBB9A6EE4B8}"/>
    <cellStyle name="Вывод 1 12 4 4" xfId="23358" xr:uid="{B1D09AD9-E71D-4535-91B3-799FFE95C012}"/>
    <cellStyle name="Вывод 1 12 4 5" xfId="36439" xr:uid="{013C2F9F-020F-4416-B693-261D7A099C99}"/>
    <cellStyle name="Вывод 1 12 5" xfId="16822" xr:uid="{4AD81FD1-786C-48CE-9932-BAFBBBB200E2}"/>
    <cellStyle name="Вывод 1 12 5 2" xfId="32702" xr:uid="{FF0992A7-2DF7-42A6-A0EF-18FFCD064DC0}"/>
    <cellStyle name="Вывод 1 12 5 3" xfId="46365" xr:uid="{CD596428-4E9C-465B-A526-DD4429695F02}"/>
    <cellStyle name="Вывод 1 12 6" xfId="21620" xr:uid="{0C27778E-94CA-41E8-84A2-7D42407BD8C0}"/>
    <cellStyle name="Вывод 1 12 7" xfId="34674" xr:uid="{99A14648-8A43-46EB-B399-638786427A57}"/>
    <cellStyle name="Вывод 1 13" xfId="3688" xr:uid="{425C00D8-43C5-4DE6-9C58-2A34638F876F}"/>
    <cellStyle name="Вывод 1 13 2" xfId="3004" xr:uid="{A2CF3C8F-A869-44C9-94E9-FC5176E371DB}"/>
    <cellStyle name="Вывод 1 13 2 2" xfId="8300" xr:uid="{7F547E38-3229-4E9F-91BB-DFE1FA375DC6}"/>
    <cellStyle name="Вывод 1 13 2 2 2" xfId="16326" xr:uid="{2038F941-6513-4B24-B345-FFD28BB0546C}"/>
    <cellStyle name="Вывод 1 13 2 2 2 2" xfId="32351" xr:uid="{DDCB05A1-C6C9-4169-9D40-7F36B52CD84E}"/>
    <cellStyle name="Вывод 1 13 2 2 2 3" xfId="45882" xr:uid="{CA24DAC8-2DB8-49CE-89F3-7A262185DD90}"/>
    <cellStyle name="Вывод 1 13 2 2 3" xfId="25805" xr:uid="{F4EE56F5-AE87-4B97-BE95-CCFC18CE52EC}"/>
    <cellStyle name="Вывод 1 13 2 2 4" xfId="38881" xr:uid="{80A149E9-634E-466D-8ACC-1F4A121E8E32}"/>
    <cellStyle name="Вывод 1 13 2 3" xfId="6667" xr:uid="{6A09FB05-F062-4EAC-8CBB-9CF03386D152}"/>
    <cellStyle name="Вывод 1 13 2 3 2" xfId="13468" xr:uid="{80C8C2EF-287B-474A-9F94-1647D79F2B8A}"/>
    <cellStyle name="Вывод 1 13 2 3 2 2" xfId="29931" xr:uid="{1DD4E118-98B8-4783-B69A-EE40983CDF79}"/>
    <cellStyle name="Вывод 1 13 2 3 2 3" xfId="43270" xr:uid="{A3C6D975-34C6-4C7A-B05B-C056845D1584}"/>
    <cellStyle name="Вывод 1 13 2 3 3" xfId="24296" xr:uid="{BC2B6CFB-011D-4C17-8D88-68A590723EC4}"/>
    <cellStyle name="Вывод 1 13 2 3 4" xfId="37377" xr:uid="{97B23307-5955-43C9-A0D7-758C8EAEB921}"/>
    <cellStyle name="Вывод 1 13 2 4" xfId="13041" xr:uid="{EBC479DB-CD9A-4AF7-B8E0-B7182778903F}"/>
    <cellStyle name="Вывод 1 13 2 4 2" xfId="29568" xr:uid="{03BEF82A-8AF8-4A0D-99C1-28297D2D4931}"/>
    <cellStyle name="Вывод 1 13 2 4 3" xfId="42871" xr:uid="{388237B6-CAF2-4032-9CBF-EE06621B8DC4}"/>
    <cellStyle name="Вывод 1 13 2 5" xfId="21048" xr:uid="{A40C5C4F-81F9-48D2-9CD5-56A0A8BD3070}"/>
    <cellStyle name="Вывод 1 13 2 6" xfId="34071" xr:uid="{B0EA2464-FCCD-4EAF-807E-DEE0862B2462}"/>
    <cellStyle name="Вывод 1 13 3" xfId="4719" xr:uid="{E14B9968-8DB4-4767-BE74-DAC5EEF4A404}"/>
    <cellStyle name="Вывод 1 13 3 2" xfId="7323" xr:uid="{25D73F01-CEA2-4C27-968E-40B1C3AE7B68}"/>
    <cellStyle name="Вывод 1 13 3 2 2" xfId="15160" xr:uid="{2550120F-78E8-495D-BF0A-6C7C6227AC62}"/>
    <cellStyle name="Вывод 1 13 3 2 2 2" xfId="31354" xr:uid="{2E30328B-274E-45EE-BC31-1590E8B9FFB8}"/>
    <cellStyle name="Вывод 1 13 3 2 2 3" xfId="44820" xr:uid="{34C05D1B-5BDB-4672-A940-5247177F368A}"/>
    <cellStyle name="Вывод 1 13 3 2 3" xfId="24883" xr:uid="{C0214972-35A7-407B-82A9-0AEE97B00E77}"/>
    <cellStyle name="Вывод 1 13 3 2 4" xfId="37963" xr:uid="{7492FC8B-0A25-46ED-9D39-3529F59B1EBC}"/>
    <cellStyle name="Вывод 1 13 3 3" xfId="11766" xr:uid="{70D98D7D-91C1-483B-B723-4FA29A2F7845}"/>
    <cellStyle name="Вывод 1 13 3 3 2" xfId="28491" xr:uid="{AD4A1143-53F6-41B5-9A44-30D7E096A1EF}"/>
    <cellStyle name="Вывод 1 13 3 3 3" xfId="41702" xr:uid="{067A6E63-80F3-43E2-ACBC-2649D43B0C3F}"/>
    <cellStyle name="Вывод 1 13 3 4" xfId="22523" xr:uid="{E1072F15-4708-4B57-AA36-FFDB4674236A}"/>
    <cellStyle name="Вывод 1 13 3 5" xfId="35576" xr:uid="{1D0BFE8F-ABFD-458C-A4CB-348D1D2290E1}"/>
    <cellStyle name="Вывод 1 13 4" xfId="5696" xr:uid="{8FE27ED8-6BD0-4811-A480-B35C7242E0D2}"/>
    <cellStyle name="Вывод 1 13 4 2" xfId="8884" xr:uid="{09B4971C-CF7A-48A9-B33D-026CED1DD823}"/>
    <cellStyle name="Вывод 1 13 4 2 2" xfId="15112" xr:uid="{DA3D7858-0CFB-474E-B0D3-1FFCE316C258}"/>
    <cellStyle name="Вывод 1 13 4 2 2 2" xfId="31317" xr:uid="{EFB4ACDF-4A71-455D-8D53-D476F4F86077}"/>
    <cellStyle name="Вывод 1 13 4 2 2 3" xfId="44779" xr:uid="{06F68AAF-FE26-49CD-A2C2-350C5DF9216E}"/>
    <cellStyle name="Вывод 1 13 4 2 3" xfId="26371" xr:uid="{C3A579F6-7227-4F2D-B83A-11C80FE24744}"/>
    <cellStyle name="Вывод 1 13 4 2 4" xfId="39447" xr:uid="{641BAD1E-0EFA-4FDD-838D-993627C98EEF}"/>
    <cellStyle name="Вывод 1 13 4 3" xfId="17531" xr:uid="{D8FEF72A-037A-48CC-BB1A-B8D0530281D9}"/>
    <cellStyle name="Вывод 1 13 4 3 2" xfId="33269" xr:uid="{9E132080-A118-422B-AB89-055ADE00C602}"/>
    <cellStyle name="Вывод 1 13 4 3 3" xfId="47056" xr:uid="{168C7F27-C7B3-44EE-AD0D-6557F11D23BA}"/>
    <cellStyle name="Вывод 1 13 4 4" xfId="23343" xr:uid="{072A0536-CDC1-4946-A1A7-D39F9D29F859}"/>
    <cellStyle name="Вывод 1 13 4 5" xfId="36424" xr:uid="{0B7F9493-311B-4617-A598-9FAE178FCFD6}"/>
    <cellStyle name="Вывод 1 13 5" xfId="16213" xr:uid="{2BF7D38B-7CD4-4B44-BDA8-A37479909C1D}"/>
    <cellStyle name="Вывод 1 13 5 2" xfId="32253" xr:uid="{721CE94F-BCFA-4E79-A50D-EFD9361F2252}"/>
    <cellStyle name="Вывод 1 13 5 3" xfId="45780" xr:uid="{24AB97A7-71A1-4CDB-B6BC-9BB4C8B91BE3}"/>
    <cellStyle name="Вывод 1 13 6" xfId="21605" xr:uid="{0FD89A9A-11A2-4DC4-BD14-AA45168C57C8}"/>
    <cellStyle name="Вывод 1 13 7" xfId="34659" xr:uid="{FB92C2FE-45C1-401B-AD03-0A0E8304949D}"/>
    <cellStyle name="Вывод 1 14" xfId="3535" xr:uid="{83445699-C710-4FFD-A126-3BCBD92AD786}"/>
    <cellStyle name="Вывод 1 14 2" xfId="2876" xr:uid="{769F7DF0-8E91-4792-B5C5-2ADC69B22EE6}"/>
    <cellStyle name="Вывод 1 14 2 2" xfId="8172" xr:uid="{1230F91C-09FB-43EB-8E69-7299EDC9B782}"/>
    <cellStyle name="Вывод 1 14 2 2 2" xfId="13087" xr:uid="{19173847-33FF-4F1C-977C-6E64ADE8218D}"/>
    <cellStyle name="Вывод 1 14 2 2 2 2" xfId="29604" xr:uid="{9CDE63A3-61B4-463E-B908-D10505C01A8C}"/>
    <cellStyle name="Вывод 1 14 2 2 2 3" xfId="42914" xr:uid="{CECEC22A-6861-4E8B-817D-D957C274A50E}"/>
    <cellStyle name="Вывод 1 14 2 2 3" xfId="25683" xr:uid="{87DE3EAC-D9CE-4B99-8A88-AD51DE2EF3B2}"/>
    <cellStyle name="Вывод 1 14 2 2 4" xfId="38759" xr:uid="{C0F77285-1657-4BBD-B1F5-B9F9A6D901FE}"/>
    <cellStyle name="Вывод 1 14 2 3" xfId="6539" xr:uid="{D3CCC18E-93AC-4C63-8718-379AC0896E8A}"/>
    <cellStyle name="Вывод 1 14 2 3 2" xfId="14443" xr:uid="{4A0FF9CF-6E6A-420A-B03C-9A4502AEC07A}"/>
    <cellStyle name="Вывод 1 14 2 3 2 2" xfId="30772" xr:uid="{9B4BF380-2067-4287-BA6C-B28417ADD50B}"/>
    <cellStyle name="Вывод 1 14 2 3 2 3" xfId="44172" xr:uid="{C1C19557-5697-44AA-B45E-851B619D8A3E}"/>
    <cellStyle name="Вывод 1 14 2 3 3" xfId="24174" xr:uid="{96DF5316-6F24-436C-AC84-BB92848EA8D6}"/>
    <cellStyle name="Вывод 1 14 2 3 4" xfId="37255" xr:uid="{2515EFB6-859A-48D5-9AD5-A26B9925708F}"/>
    <cellStyle name="Вывод 1 14 2 4" xfId="15530" xr:uid="{7BE28EE0-5546-4F1C-ADE0-F41157B55102}"/>
    <cellStyle name="Вывод 1 14 2 4 2" xfId="31666" xr:uid="{269E893F-DAB8-4412-B00B-6F4553D6368E}"/>
    <cellStyle name="Вывод 1 14 2 4 3" xfId="45165" xr:uid="{30EC5149-5834-43DE-87D2-0D6D08EE8C19}"/>
    <cellStyle name="Вывод 1 14 2 5" xfId="20926" xr:uid="{39D98A87-2ABF-4476-B270-33DF38FE49D2}"/>
    <cellStyle name="Вывод 1 14 2 6" xfId="33949" xr:uid="{09684B06-368D-4A76-BD28-CFDEDFAB9F8E}"/>
    <cellStyle name="Вывод 1 14 3" xfId="4642" xr:uid="{C97F7FAA-26AA-439B-A705-3A309761B290}"/>
    <cellStyle name="Вывод 1 14 3 2" xfId="7177" xr:uid="{5D4954AB-B120-42F6-A6C2-DB264BA4D0D0}"/>
    <cellStyle name="Вывод 1 14 3 2 2" xfId="14823" xr:uid="{B5562A2F-7E36-43D6-AE06-D27A7542756E}"/>
    <cellStyle name="Вывод 1 14 3 2 2 2" xfId="31084" xr:uid="{D15F1213-5257-4306-AA7B-06ADD11DD1EF}"/>
    <cellStyle name="Вывод 1 14 3 2 2 3" xfId="44520" xr:uid="{63E91DD2-B4DC-4325-9D4D-4792185A3E5C}"/>
    <cellStyle name="Вывод 1 14 3 2 3" xfId="24774" xr:uid="{564A7270-C42A-4581-B636-41DE67574CDB}"/>
    <cellStyle name="Вывод 1 14 3 2 4" xfId="37855" xr:uid="{D2754B66-A09B-4302-AD19-594BCE0740B0}"/>
    <cellStyle name="Вывод 1 14 3 3" xfId="13099" xr:uid="{DAF6D8CA-4967-4D33-ADA7-A3B5DC85F5D7}"/>
    <cellStyle name="Вывод 1 14 3 3 2" xfId="29614" xr:uid="{E164BACA-F8C4-4B56-9AD3-3B7817BCD7F9}"/>
    <cellStyle name="Вывод 1 14 3 3 3" xfId="42925" xr:uid="{67EBD928-13D0-451D-AE67-AE4D73C14E99}"/>
    <cellStyle name="Вывод 1 14 3 4" xfId="22452" xr:uid="{AAD3928E-1C59-48EB-9ADA-F4D67A09E2C8}"/>
    <cellStyle name="Вывод 1 14 3 5" xfId="35505" xr:uid="{B7AF3C1A-57F9-4517-A37C-0AF8CF1F5A32}"/>
    <cellStyle name="Вывод 1 14 4" xfId="5588" xr:uid="{46BB798D-D6EB-49D7-BDDA-6C40D5E3C81C}"/>
    <cellStyle name="Вывод 1 14 4 2" xfId="8770" xr:uid="{84BE9C27-811F-4074-B7FB-530290B19E1E}"/>
    <cellStyle name="Вывод 1 14 4 2 2" xfId="15066" xr:uid="{83BDC6A4-92B4-4FCD-88B4-B82AAC16E321}"/>
    <cellStyle name="Вывод 1 14 4 2 2 2" xfId="31277" xr:uid="{3587E2DA-1923-4E1B-AEE2-9E0F5426FA0D}"/>
    <cellStyle name="Вывод 1 14 4 2 2 3" xfId="44733" xr:uid="{AD1EAF09-3060-4BC2-A4F9-038839585907}"/>
    <cellStyle name="Вывод 1 14 4 2 3" xfId="26263" xr:uid="{8433B9E0-3576-42BE-BF8E-9BA5A7EB8DC6}"/>
    <cellStyle name="Вывод 1 14 4 2 4" xfId="39339" xr:uid="{7BF885D0-A6EB-4EB9-9EE8-7492708390A0}"/>
    <cellStyle name="Вывод 1 14 4 3" xfId="16621" xr:uid="{D4F2C8F1-F4FE-4FED-BAEF-5E9C1FBD0B7C}"/>
    <cellStyle name="Вывод 1 14 4 3 2" xfId="32529" xr:uid="{9B7FE934-0E37-46BD-8A95-714655703C64}"/>
    <cellStyle name="Вывод 1 14 4 3 3" xfId="46168" xr:uid="{C9E79200-942A-4730-A281-56C7717DB8D8}"/>
    <cellStyle name="Вывод 1 14 4 4" xfId="23235" xr:uid="{4E099479-B9A0-4241-8CE0-CCAD4CB9A0A1}"/>
    <cellStyle name="Вывод 1 14 4 5" xfId="36316" xr:uid="{3B45454D-FDFC-4791-9F2C-818A37CD8214}"/>
    <cellStyle name="Вывод 1 14 5" xfId="11179" xr:uid="{E944AF6F-4CBA-418D-B9FA-C4002C1AED40}"/>
    <cellStyle name="Вывод 1 14 5 2" xfId="27973" xr:uid="{ADF080B1-CD38-4F39-B1CD-AD7E38B04047}"/>
    <cellStyle name="Вывод 1 14 5 3" xfId="41155" xr:uid="{A87FFA68-7BD4-4287-B616-28CA5BA218AB}"/>
    <cellStyle name="Вывод 1 14 6" xfId="21497" xr:uid="{DAB00889-D962-4155-8472-05161E674FC3}"/>
    <cellStyle name="Вывод 1 14 7" xfId="34549" xr:uid="{B0818AD0-8104-4A22-A222-F44A67734FBA}"/>
    <cellStyle name="Вывод 1 15" xfId="3712" xr:uid="{C9DEE873-43C2-4451-AA2A-EAEF326999D2}"/>
    <cellStyle name="Вывод 1 15 2" xfId="3028" xr:uid="{687828AD-B4BA-4E1B-BA7A-9AEF013FC459}"/>
    <cellStyle name="Вывод 1 15 2 2" xfId="8324" xr:uid="{EDBA1FCA-4909-45E8-84F1-75DF546225AC}"/>
    <cellStyle name="Вывод 1 15 2 2 2" xfId="17396" xr:uid="{E82F2F61-5E19-4CD0-BDF1-0DABA07EDB50}"/>
    <cellStyle name="Вывод 1 15 2 2 2 2" xfId="33150" xr:uid="{F4139981-C392-4A73-B469-DC53841BC975}"/>
    <cellStyle name="Вывод 1 15 2 2 2 3" xfId="46926" xr:uid="{29BF5D56-354B-46E3-A8B7-76CFA64D4BA4}"/>
    <cellStyle name="Вывод 1 15 2 2 3" xfId="25828" xr:uid="{91F8F8C5-3D4B-48D8-A604-CB016F615965}"/>
    <cellStyle name="Вывод 1 15 2 2 4" xfId="38904" xr:uid="{070D3482-0E89-47A2-94C4-838198033C77}"/>
    <cellStyle name="Вывод 1 15 2 3" xfId="6691" xr:uid="{DC17452D-0880-409B-939D-193DFA4513EE}"/>
    <cellStyle name="Вывод 1 15 2 3 2" xfId="14973" xr:uid="{B0D17747-36D2-4F65-B3DA-A1A6904EC072}"/>
    <cellStyle name="Вывод 1 15 2 3 2 2" xfId="31209" xr:uid="{A20E7B7E-CE41-45DE-B72C-FF0CE6A39B1E}"/>
    <cellStyle name="Вывод 1 15 2 3 2 3" xfId="44657" xr:uid="{9D7C70AA-AFC7-4DF6-B820-F468D0C3BEA2}"/>
    <cellStyle name="Вывод 1 15 2 3 3" xfId="24319" xr:uid="{E4610CD5-6317-40D3-9D29-A65ED191D5CA}"/>
    <cellStyle name="Вывод 1 15 2 3 4" xfId="37400" xr:uid="{0BB6A107-39AD-4600-AA79-5B071AF8D8B0}"/>
    <cellStyle name="Вывод 1 15 2 4" xfId="17082" xr:uid="{B01DE88F-654C-4F20-8C9B-ECB2C5AA0410}"/>
    <cellStyle name="Вывод 1 15 2 4 2" xfId="32852" xr:uid="{6882C664-03E2-4ED6-A588-52A2FE5EFA6C}"/>
    <cellStyle name="Вывод 1 15 2 4 3" xfId="46622" xr:uid="{BB334D7F-FE0C-4FD1-969A-94B814ADEC21}"/>
    <cellStyle name="Вывод 1 15 2 5" xfId="21071" xr:uid="{733D18D3-59C6-473C-ACFE-0C04F1FD7D22}"/>
    <cellStyle name="Вывод 1 15 2 6" xfId="34094" xr:uid="{01F09C6F-9496-42C4-81F0-439D80F37A1F}"/>
    <cellStyle name="Вывод 1 15 3" xfId="4742" xr:uid="{40F0B1D1-2E15-4E65-9510-5A48BF006039}"/>
    <cellStyle name="Вывод 1 15 3 2" xfId="7347" xr:uid="{D17AA0B1-83B2-437C-98D2-20F046934113}"/>
    <cellStyle name="Вывод 1 15 3 2 2" xfId="17344" xr:uid="{55A227E5-BCEC-4945-81F4-76F19CFB2417}"/>
    <cellStyle name="Вывод 1 15 3 2 2 2" xfId="33098" xr:uid="{F192839D-D413-4C60-BEC7-B7DCD81E0477}"/>
    <cellStyle name="Вывод 1 15 3 2 2 3" xfId="46874" xr:uid="{3B2410DE-9B77-46D5-B412-04B92106A9AD}"/>
    <cellStyle name="Вывод 1 15 3 2 3" xfId="24906" xr:uid="{830463AB-5ADC-4F0F-B09F-FC64C2DEEC8C}"/>
    <cellStyle name="Вывод 1 15 3 2 4" xfId="37986" xr:uid="{B395E5C3-5F40-44DB-BAC2-58539132A02B}"/>
    <cellStyle name="Вывод 1 15 3 3" xfId="12456" xr:uid="{7A87E56C-A0B9-41B5-A4A5-914DC530D632}"/>
    <cellStyle name="Вывод 1 15 3 3 2" xfId="29103" xr:uid="{1E7A0039-6788-4178-8DFF-6F9F54CD3967}"/>
    <cellStyle name="Вывод 1 15 3 3 3" xfId="42352" xr:uid="{9112D5EE-E04F-41A4-91F7-16570CA78AF7}"/>
    <cellStyle name="Вывод 1 15 3 4" xfId="22545" xr:uid="{588BCDE7-E293-45E8-8D17-AD18D90F0E86}"/>
    <cellStyle name="Вывод 1 15 3 5" xfId="35598" xr:uid="{D4447A89-4150-4F4C-91D7-AA003E899390}"/>
    <cellStyle name="Вывод 1 15 4" xfId="5719" xr:uid="{AECD1DD0-2E2B-4874-BEDA-83E57C7727DA}"/>
    <cellStyle name="Вывод 1 15 4 2" xfId="8908" xr:uid="{AE788053-7D15-4023-BC46-48E552A30A36}"/>
    <cellStyle name="Вывод 1 15 4 2 2" xfId="14309" xr:uid="{26CDCB42-4310-4BF4-B944-98004942FBF2}"/>
    <cellStyle name="Вывод 1 15 4 2 2 2" xfId="30646" xr:uid="{32292076-4994-46C0-AEC1-62F9EF59F9AF}"/>
    <cellStyle name="Вывод 1 15 4 2 2 3" xfId="44040" xr:uid="{06089ADE-75D1-451F-9B3E-D7CC88191357}"/>
    <cellStyle name="Вывод 1 15 4 2 3" xfId="26394" xr:uid="{8FC84E2C-2F8A-422B-91C1-E26B9008FC1E}"/>
    <cellStyle name="Вывод 1 15 4 2 4" xfId="39470" xr:uid="{8560A881-243A-46D8-BDC3-672FAF0CA5B4}"/>
    <cellStyle name="Вывод 1 15 4 3" xfId="17159" xr:uid="{6C5E4BB6-AAA4-4C82-B734-E510458EAB2E}"/>
    <cellStyle name="Вывод 1 15 4 3 2" xfId="32922" xr:uid="{8B5A43D5-1B4F-4F5E-B503-6E1B6A87D66B}"/>
    <cellStyle name="Вывод 1 15 4 3 3" xfId="46694" xr:uid="{1FB80C37-7922-4E5D-9279-B137A7A5427F}"/>
    <cellStyle name="Вывод 1 15 4 4" xfId="23366" xr:uid="{4DC00066-AA75-4287-81A5-D7E3AC04DE66}"/>
    <cellStyle name="Вывод 1 15 4 5" xfId="36447" xr:uid="{32D9E958-EADA-4620-95A0-809350539064}"/>
    <cellStyle name="Вывод 1 15 5" xfId="17144" xr:uid="{6581A61F-9CEE-41EC-8290-6B2BE5C4F391}"/>
    <cellStyle name="Вывод 1 15 5 2" xfId="32907" xr:uid="{91325F89-13AE-499A-A69B-257473274DFA}"/>
    <cellStyle name="Вывод 1 15 5 3" xfId="46679" xr:uid="{B9E95A97-86D8-49F9-B7B3-3B8160CDB6B3}"/>
    <cellStyle name="Вывод 1 15 6" xfId="21628" xr:uid="{C593F457-1EE2-4BBB-9394-75BE3034842A}"/>
    <cellStyle name="Вывод 1 15 7" xfId="34682" xr:uid="{B52E6125-029B-4859-9DCB-E3775274589F}"/>
    <cellStyle name="Вывод 1 16" xfId="3893" xr:uid="{A96A1FDB-9990-4496-AE71-7F506C2C4968}"/>
    <cellStyle name="Вывод 1 16 2" xfId="3162" xr:uid="{0C7C5ED5-35AC-4728-AA0F-A94AB1D901CB}"/>
    <cellStyle name="Вывод 1 16 2 2" xfId="8454" xr:uid="{0F9AB3AA-B45B-4647-8B98-2FF72DAA6FBC}"/>
    <cellStyle name="Вывод 1 16 2 2 2" xfId="13501" xr:uid="{538BA7E8-0661-4339-A711-CB83A3D6CB45}"/>
    <cellStyle name="Вывод 1 16 2 2 2 2" xfId="29959" xr:uid="{DA1F47D9-3C09-47F5-BEF8-9CCD215F44F3}"/>
    <cellStyle name="Вывод 1 16 2 2 2 3" xfId="43300" xr:uid="{F25C3B1E-374C-4747-BDF9-A2024BE9B82D}"/>
    <cellStyle name="Вывод 1 16 2 2 3" xfId="25956" xr:uid="{40D40F47-1955-4251-B628-AFA1D7348B6A}"/>
    <cellStyle name="Вывод 1 16 2 2 4" xfId="39032" xr:uid="{3DEEB035-7A34-4B6B-9BD8-F2E8311ED779}"/>
    <cellStyle name="Вывод 1 16 2 3" xfId="6821" xr:uid="{8470BD97-217C-49E4-B16B-061B76EAB9D6}"/>
    <cellStyle name="Вывод 1 16 2 3 2" xfId="13091" xr:uid="{653224DB-AEC2-4AF5-B0E9-43231B91594F}"/>
    <cellStyle name="Вывод 1 16 2 3 2 2" xfId="29608" xr:uid="{EA30C551-8613-494C-8678-8E205E0E4737}"/>
    <cellStyle name="Вывод 1 16 2 3 2 3" xfId="42918" xr:uid="{8C351CDB-9343-44C7-A9E2-27E04E16C08F}"/>
    <cellStyle name="Вывод 1 16 2 3 3" xfId="24447" xr:uid="{756CB6D3-7579-4A0A-9860-42D0CA3538F8}"/>
    <cellStyle name="Вывод 1 16 2 3 4" xfId="37528" xr:uid="{E3C9902D-6EDD-4902-97A4-EB39E84D7798}"/>
    <cellStyle name="Вывод 1 16 2 4" xfId="16851" xr:uid="{D3844687-AA91-4CA7-B36E-C03E03B095D6}"/>
    <cellStyle name="Вывод 1 16 2 4 2" xfId="32728" xr:uid="{00B27DDE-E9D4-4CD8-AD3E-25694DF2AE55}"/>
    <cellStyle name="Вывод 1 16 2 4 3" xfId="46393" xr:uid="{BEB0F61C-0497-4C07-A878-89F8BBC78302}"/>
    <cellStyle name="Вывод 1 16 2 5" xfId="21199" xr:uid="{468B4BD3-C94E-4CA9-ADE1-AB9683FEEE53}"/>
    <cellStyle name="Вывод 1 16 2 6" xfId="34222" xr:uid="{4C59917B-E7E5-411C-B099-08BAC93817B8}"/>
    <cellStyle name="Вывод 1 16 3" xfId="4830" xr:uid="{39A0DA4F-5805-4CB1-8AFF-E9893F389C53}"/>
    <cellStyle name="Вывод 1 16 3 2" xfId="7474" xr:uid="{6C5BBF77-8D50-4F15-9DBC-372E3CE3FEA9}"/>
    <cellStyle name="Вывод 1 16 3 2 2" xfId="12447" xr:uid="{B0565D6D-F72D-4DF4-91C1-0B8097889F11}"/>
    <cellStyle name="Вывод 1 16 3 2 2 2" xfId="29098" xr:uid="{0F776647-9022-4357-B0BC-A9B6E4389392}"/>
    <cellStyle name="Вывод 1 16 3 2 2 3" xfId="42344" xr:uid="{92CBE04D-EB52-4679-9A97-9FB4B69F35D8}"/>
    <cellStyle name="Вывод 1 16 3 2 3" xfId="25031" xr:uid="{BC8F0434-9035-4A5C-BBD2-A0B2AC043E67}"/>
    <cellStyle name="Вывод 1 16 3 2 4" xfId="38107" xr:uid="{9DC3A446-48A1-4CEE-8E2F-1930F8F6889D}"/>
    <cellStyle name="Вывод 1 16 3 3" xfId="15450" xr:uid="{B1FAC8AC-CB5D-4D8A-A8C3-6F4B22B9D6EA}"/>
    <cellStyle name="Вывод 1 16 3 3 2" xfId="31595" xr:uid="{EA2A6A12-3F34-44CA-8396-48967877AC7C}"/>
    <cellStyle name="Вывод 1 16 3 3 3" xfId="45090" xr:uid="{9AB7E843-10DD-42CF-AA7E-CAA3B98276D1}"/>
    <cellStyle name="Вывод 1 16 3 4" xfId="22632" xr:uid="{85946307-A425-43A0-938C-CA35777B44E1}"/>
    <cellStyle name="Вывод 1 16 3 5" xfId="35685" xr:uid="{E98710E3-82D5-4C6D-86BF-4F0EC993BC98}"/>
    <cellStyle name="Вывод 1 16 4" xfId="5857" xr:uid="{6AA9F155-F4CA-461D-915C-30BFF51B026F}"/>
    <cellStyle name="Вывод 1 16 4 2" xfId="9015" xr:uid="{5E0C6E62-9F7C-4BE4-A2F1-59E9C913D138}"/>
    <cellStyle name="Вывод 1 16 4 2 2" xfId="16363" xr:uid="{E8631C8D-217A-4FD6-8F82-1D9379F50DA8}"/>
    <cellStyle name="Вывод 1 16 4 2 2 2" xfId="32384" xr:uid="{7CACF0D7-0E7C-4E97-A095-E5A561C8835A}"/>
    <cellStyle name="Вывод 1 16 4 2 2 3" xfId="45917" xr:uid="{70480EB6-BC74-4799-B177-F965E5ED93B2}"/>
    <cellStyle name="Вывод 1 16 4 2 3" xfId="26500" xr:uid="{8366ABD5-EECD-48D5-B34D-C5B3B6B17E57}"/>
    <cellStyle name="Вывод 1 16 4 2 4" xfId="39576" xr:uid="{50DDF5A0-672E-4CD6-894A-6B777BD50D14}"/>
    <cellStyle name="Вывод 1 16 4 3" xfId="12483" xr:uid="{D326F736-5CBC-4A79-A953-9810EA133192}"/>
    <cellStyle name="Вывод 1 16 4 3 2" xfId="29121" xr:uid="{F10A94FE-95AB-4ABD-8823-78B6A7B6CA4E}"/>
    <cellStyle name="Вывод 1 16 4 3 3" xfId="42374" xr:uid="{27888FA8-002B-4156-868C-B111098B691B}"/>
    <cellStyle name="Вывод 1 16 4 4" xfId="23504" xr:uid="{15DB88EE-7CC7-494A-B3F1-87410654151F}"/>
    <cellStyle name="Вывод 1 16 4 5" xfId="36585" xr:uid="{ED7EBD4C-C36D-4055-B16A-C779CEE69936}"/>
    <cellStyle name="Вывод 1 16 5" xfId="11904" xr:uid="{16F2AB77-AAB0-4B63-9E94-ED17DA643FB6}"/>
    <cellStyle name="Вывод 1 16 5 2" xfId="28619" xr:uid="{CD6D1975-1FDF-4519-8B6C-871DEE4D12CC}"/>
    <cellStyle name="Вывод 1 16 5 3" xfId="41835" xr:uid="{26F1C2F2-4E27-470A-92C1-B3065AF5F3AD}"/>
    <cellStyle name="Вывод 1 16 6" xfId="21769" xr:uid="{A308BE51-6187-44C4-B0B2-66699B0B64FD}"/>
    <cellStyle name="Вывод 1 16 7" xfId="34820" xr:uid="{3F12FFAC-1F6C-4296-851E-DBC69A8093E6}"/>
    <cellStyle name="Вывод 1 17" xfId="3970" xr:uid="{FB666AED-D794-4036-BE89-B6D11498E7A5}"/>
    <cellStyle name="Вывод 1 17 2" xfId="3215" xr:uid="{DCFF6292-B353-4740-A961-351013B44866}"/>
    <cellStyle name="Вывод 1 17 2 2" xfId="8506" xr:uid="{D5AFB9E5-982F-4E09-9893-7F81F30AE13A}"/>
    <cellStyle name="Вывод 1 17 2 2 2" xfId="17420" xr:uid="{3E99134C-3A91-4088-AD1E-C545829595EC}"/>
    <cellStyle name="Вывод 1 17 2 2 2 2" xfId="33174" xr:uid="{7D62236C-EC93-4F0E-B85F-6A5729DEE401}"/>
    <cellStyle name="Вывод 1 17 2 2 2 3" xfId="46950" xr:uid="{C8D72C5E-ADD3-4872-8CE2-9A498DB356E9}"/>
    <cellStyle name="Вывод 1 17 2 2 3" xfId="26005" xr:uid="{61C3005B-5B36-43E4-AF2A-5D49F8C88399}"/>
    <cellStyle name="Вывод 1 17 2 2 4" xfId="39081" xr:uid="{728D3C15-4E6F-4329-B6EF-CF402F768F2E}"/>
    <cellStyle name="Вывод 1 17 2 3" xfId="6874" xr:uid="{12F7FAF7-D4D8-46ED-A1C2-EA367E1C66EB}"/>
    <cellStyle name="Вывод 1 17 2 3 2" xfId="11299" xr:uid="{993396A7-9545-4119-B809-6CD6EB41931E}"/>
    <cellStyle name="Вывод 1 17 2 3 2 2" xfId="28083" xr:uid="{8FBB8370-0C1B-44CE-B8F5-223D72509A18}"/>
    <cellStyle name="Вывод 1 17 2 3 2 3" xfId="41266" xr:uid="{B4B6F0D7-026C-402D-A2D6-A9CB3A36A8E1}"/>
    <cellStyle name="Вывод 1 17 2 3 3" xfId="24497" xr:uid="{63BF007A-4FF1-44AE-89E1-2D95B1C9B9BA}"/>
    <cellStyle name="Вывод 1 17 2 3 4" xfId="37578" xr:uid="{1439939C-9063-4D16-9B96-E347D79C6C90}"/>
    <cellStyle name="Вывод 1 17 2 4" xfId="17547" xr:uid="{FC860CB3-C66D-4517-828C-CBEDCED71057}"/>
    <cellStyle name="Вывод 1 17 2 4 2" xfId="33285" xr:uid="{03D207EE-8FD4-4A45-B676-53A2880950AD}"/>
    <cellStyle name="Вывод 1 17 2 4 3" xfId="47072" xr:uid="{0F37ABAE-ADCB-43D7-8A58-F857BD22324B}"/>
    <cellStyle name="Вывод 1 17 2 5" xfId="21249" xr:uid="{E65BFCF9-DF07-4D3F-A180-98F620EE0709}"/>
    <cellStyle name="Вывод 1 17 2 6" xfId="34272" xr:uid="{363931F7-1930-4FCF-8C66-C2705A56D772}"/>
    <cellStyle name="Вывод 1 17 3" xfId="4882" xr:uid="{7CB245FD-9CCE-45A6-AD9D-423B2A5E15D9}"/>
    <cellStyle name="Вывод 1 17 3 2" xfId="7550" xr:uid="{09627BB4-160C-46B7-AFA5-017EDFD49E1C}"/>
    <cellStyle name="Вывод 1 17 3 2 2" xfId="11848" xr:uid="{A98FC4A4-1840-4A7E-A8BC-ED745EA52D07}"/>
    <cellStyle name="Вывод 1 17 3 2 2 2" xfId="28565" xr:uid="{C744F98F-C723-4D82-AE2C-C0D5858FE3FE}"/>
    <cellStyle name="Вывод 1 17 3 2 2 3" xfId="41781" xr:uid="{7D464810-E5F6-4965-9A2D-00E29A57AB8E}"/>
    <cellStyle name="Вывод 1 17 3 2 3" xfId="25078" xr:uid="{A77FE540-35EE-49D8-BAAD-E13622E388EF}"/>
    <cellStyle name="Вывод 1 17 3 2 4" xfId="38154" xr:uid="{35CC8B0C-454B-490C-B582-739127B6864B}"/>
    <cellStyle name="Вывод 1 17 3 3" xfId="17039" xr:uid="{90170CC4-BB40-4285-876E-6910A2D28A83}"/>
    <cellStyle name="Вывод 1 17 3 3 2" xfId="32813" xr:uid="{7CD4562E-9AAC-4644-B5A2-ACA6BAE4135A}"/>
    <cellStyle name="Вывод 1 17 3 3 3" xfId="46581" xr:uid="{52AA9470-6478-42AC-BBB0-E1BEA01DDE1F}"/>
    <cellStyle name="Вывод 1 17 3 4" xfId="22679" xr:uid="{0A2B5F85-51DA-4FB6-80FE-210DD0A456C5}"/>
    <cellStyle name="Вывод 1 17 3 5" xfId="35732" xr:uid="{38774735-D493-449E-8501-41DDAD10EA33}"/>
    <cellStyle name="Вывод 1 17 4" xfId="5904" xr:uid="{49713492-F9AE-449E-8DF0-02019664A958}"/>
    <cellStyle name="Вывод 1 17 4 2" xfId="9064" xr:uid="{2473D2B4-107F-4614-ADC6-F033A3151C30}"/>
    <cellStyle name="Вывод 1 17 4 2 2" xfId="16887" xr:uid="{A3A1A5FB-B4A8-46CA-97AE-981BF65091B9}"/>
    <cellStyle name="Вывод 1 17 4 2 2 2" xfId="32763" xr:uid="{D0012BF8-3EFE-4494-BD08-659796DD4C62}"/>
    <cellStyle name="Вывод 1 17 4 2 2 3" xfId="46429" xr:uid="{97BF96CF-1B3D-40AF-9268-7016B20230AC}"/>
    <cellStyle name="Вывод 1 17 4 2 3" xfId="26545" xr:uid="{40960E63-A628-418A-BB56-D31D69C72644}"/>
    <cellStyle name="Вывод 1 17 4 2 4" xfId="39621" xr:uid="{32FBE657-F447-4787-BC8B-261F40E60D89}"/>
    <cellStyle name="Вывод 1 17 4 3" xfId="14720" xr:uid="{6F9B8F10-89C3-44BC-A275-19E3422178BC}"/>
    <cellStyle name="Вывод 1 17 4 3 2" xfId="31005" xr:uid="{F0CAB795-1BA1-46FB-B546-C4D531E9868E}"/>
    <cellStyle name="Вывод 1 17 4 3 3" xfId="44429" xr:uid="{5632927A-6778-47E5-BE5C-7BA1878DFF33}"/>
    <cellStyle name="Вывод 1 17 4 4" xfId="23551" xr:uid="{B972ACD9-6CA6-43CA-8633-68EEEE3C7078}"/>
    <cellStyle name="Вывод 1 17 4 5" xfId="36632" xr:uid="{2DD9E4D1-D631-4F72-97B1-9B078D8DDE15}"/>
    <cellStyle name="Вывод 1 17 5" xfId="12965" xr:uid="{9C7D49A6-D11E-400B-A739-FAB7BE9B3123}"/>
    <cellStyle name="Вывод 1 17 5 2" xfId="29503" xr:uid="{5D0B2039-9CE1-48AF-8DB0-4820D4326076}"/>
    <cellStyle name="Вывод 1 17 5 3" xfId="42802" xr:uid="{91A1D3B7-20F9-4C8A-A2EE-1A241F065997}"/>
    <cellStyle name="Вывод 1 17 6" xfId="21817" xr:uid="{F0AA7456-9378-4D5A-9268-B5D648FB06A7}"/>
    <cellStyle name="Вывод 1 17 7" xfId="34867" xr:uid="{846F3FA9-A53D-478F-8C8A-2A427AC921D0}"/>
    <cellStyle name="Вывод 1 18" xfId="3883" xr:uid="{21FD417E-0B1C-45D7-AACF-9B56EDC2298F}"/>
    <cellStyle name="Вывод 1 18 2" xfId="3140" xr:uid="{86AF4E7C-95E6-490C-AC91-C5EAD94CD422}"/>
    <cellStyle name="Вывод 1 18 2 2" xfId="8432" xr:uid="{623C79A9-C9A5-4517-A5AD-AD877B824E8F}"/>
    <cellStyle name="Вывод 1 18 2 2 2" xfId="15933" xr:uid="{7E618283-F4B0-4E78-A9F0-AACE783FF349}"/>
    <cellStyle name="Вывод 1 18 2 2 2 2" xfId="32013" xr:uid="{43C757CB-8A58-46CA-B47E-41FE391291ED}"/>
    <cellStyle name="Вывод 1 18 2 2 2 3" xfId="45530" xr:uid="{6DB959E9-2291-4822-9F4F-A2E224DEF578}"/>
    <cellStyle name="Вывод 1 18 2 2 3" xfId="25934" xr:uid="{5EBDC195-53DC-49E7-BDA7-69D63BC9993E}"/>
    <cellStyle name="Вывод 1 18 2 2 4" xfId="39010" xr:uid="{A36601E0-1B2B-43EF-B4A0-FD50D8D01CA5}"/>
    <cellStyle name="Вывод 1 18 2 3" xfId="6799" xr:uid="{F187300B-CD06-4DFA-805C-4CC96E372772}"/>
    <cellStyle name="Вывод 1 18 2 3 2" xfId="16741" xr:uid="{92F1717F-2BBF-4727-BBEB-8A02B8373682}"/>
    <cellStyle name="Вывод 1 18 2 3 2 2" xfId="32624" xr:uid="{B10C8A12-373E-4DB3-AF35-EE96C493F7DA}"/>
    <cellStyle name="Вывод 1 18 2 3 2 3" xfId="46284" xr:uid="{7C9D8F4D-E11A-471F-8BEF-800A0C72D960}"/>
    <cellStyle name="Вывод 1 18 2 3 3" xfId="24425" xr:uid="{0EF9F7F1-53AB-4531-90EF-C2F175986378}"/>
    <cellStyle name="Вывод 1 18 2 3 4" xfId="37506" xr:uid="{15FD2ACD-12DE-4DAE-83D8-CCB50214EF0B}"/>
    <cellStyle name="Вывод 1 18 2 4" xfId="12641" xr:uid="{392D58AE-6413-4356-803A-0FD1F5F724D5}"/>
    <cellStyle name="Вывод 1 18 2 4 2" xfId="29244" xr:uid="{9360575E-C070-40C1-9E8A-F68BBED8077C}"/>
    <cellStyle name="Вывод 1 18 2 4 3" xfId="42512" xr:uid="{CDCC7112-A448-478D-9E26-980E04F3C06D}"/>
    <cellStyle name="Вывод 1 18 2 5" xfId="21177" xr:uid="{F6829DCB-4EB2-4AFB-9803-2707A67E0626}"/>
    <cellStyle name="Вывод 1 18 2 6" xfId="34200" xr:uid="{924F6992-5C7F-4881-8D90-C8DBADFA924F}"/>
    <cellStyle name="Вывод 1 18 3" xfId="4820" xr:uid="{19D2C901-F5A4-48B2-A30D-6AAB7F5B5F4A}"/>
    <cellStyle name="Вывод 1 18 3 2" xfId="7464" xr:uid="{C5C3C63F-3EDA-4DB0-B2C3-339426CCE755}"/>
    <cellStyle name="Вывод 1 18 3 2 2" xfId="14290" xr:uid="{C38D69F7-5584-42C4-AF91-CD0FAE33D410}"/>
    <cellStyle name="Вывод 1 18 3 2 2 2" xfId="30629" xr:uid="{4CCA6F58-EDB5-4260-9C89-453566ED30C5}"/>
    <cellStyle name="Вывод 1 18 3 2 2 3" xfId="44023" xr:uid="{2A6B7D2C-96CB-45C4-A6D9-6CFAA8280E39}"/>
    <cellStyle name="Вывод 1 18 3 2 3" xfId="25021" xr:uid="{E4C65F78-9A34-4798-827D-06077BC083A2}"/>
    <cellStyle name="Вывод 1 18 3 2 4" xfId="38097" xr:uid="{7D8A3CEF-3380-4494-9974-33BFFAC1771B}"/>
    <cellStyle name="Вывод 1 18 3 3" xfId="13867" xr:uid="{254CC54F-8220-488A-A7DC-2ED5E43ED2BB}"/>
    <cellStyle name="Вывод 1 18 3 3 2" xfId="30265" xr:uid="{ADC4B64A-1C59-473D-AD4E-E21F3101F789}"/>
    <cellStyle name="Вывод 1 18 3 3 3" xfId="43637" xr:uid="{40854057-A1F7-4B54-991A-37E47639DF65}"/>
    <cellStyle name="Вывод 1 18 3 4" xfId="22622" xr:uid="{791FC207-34F3-429A-816F-2FD67D50DE6B}"/>
    <cellStyle name="Вывод 1 18 3 5" xfId="35675" xr:uid="{EAA884EB-F66F-4267-8EF2-E3F0D5726F02}"/>
    <cellStyle name="Вывод 1 18 4" xfId="5847" xr:uid="{90BE4D26-40D7-4848-BD6D-16188DE7A5A8}"/>
    <cellStyle name="Вывод 1 18 4 2" xfId="9005" xr:uid="{B1A1F9D3-3213-4182-A0BA-8AE059812A89}"/>
    <cellStyle name="Вывод 1 18 4 2 2" xfId="11143" xr:uid="{37CC6959-E9CB-4636-9F59-54D7D8846358}"/>
    <cellStyle name="Вывод 1 18 4 2 2 2" xfId="27940" xr:uid="{6529BF49-3399-41D9-9DD7-0D9C6B987382}"/>
    <cellStyle name="Вывод 1 18 4 2 2 3" xfId="41121" xr:uid="{21F97F61-7246-4CFE-85BA-AF55E3409415}"/>
    <cellStyle name="Вывод 1 18 4 2 3" xfId="26490" xr:uid="{166F2F3E-3665-4277-BBE1-C09C75BDCF48}"/>
    <cellStyle name="Вывод 1 18 4 2 4" xfId="39566" xr:uid="{32106082-0563-49EE-80B9-4FE3EDA1E0A2}"/>
    <cellStyle name="Вывод 1 18 4 3" xfId="16849" xr:uid="{538AD7AA-42A5-43D2-A321-287CEE3E22D7}"/>
    <cellStyle name="Вывод 1 18 4 3 2" xfId="32726" xr:uid="{DE92661C-E84A-4752-84C3-C683452D40F6}"/>
    <cellStyle name="Вывод 1 18 4 3 3" xfId="46391" xr:uid="{3D81585A-9493-4DE6-B82F-C68B4F8514BC}"/>
    <cellStyle name="Вывод 1 18 4 4" xfId="23494" xr:uid="{E952F28C-2035-4DA9-BCDF-02DF18DE1DC3}"/>
    <cellStyle name="Вывод 1 18 4 5" xfId="36575" xr:uid="{55D7818E-F17D-4C39-B769-05B22F8106E3}"/>
    <cellStyle name="Вывод 1 18 5" xfId="11227" xr:uid="{18C151A1-4569-456C-A811-5575E3EBED24}"/>
    <cellStyle name="Вывод 1 18 5 2" xfId="28021" xr:uid="{514ADA36-3689-4531-A0CF-E8A492B77935}"/>
    <cellStyle name="Вывод 1 18 5 3" xfId="41203" xr:uid="{D0B84302-43D3-454F-A5CE-1613C65680F2}"/>
    <cellStyle name="Вывод 1 18 6" xfId="21759" xr:uid="{45E7768A-59A1-45F4-B407-73393810EA02}"/>
    <cellStyle name="Вывод 1 18 7" xfId="34810" xr:uid="{4F23D286-E6C4-47E8-B407-D786A31269CE}"/>
    <cellStyle name="Вывод 1 19" xfId="3982" xr:uid="{DDAD0950-B520-436B-9168-A218C1D8F705}"/>
    <cellStyle name="Вывод 1 19 2" xfId="3222" xr:uid="{9342852A-46D4-4C11-AE01-904B47EC59D2}"/>
    <cellStyle name="Вывод 1 19 2 2" xfId="8513" xr:uid="{120F8C78-20D0-48C3-BB95-EE1B93C3A05F}"/>
    <cellStyle name="Вывод 1 19 2 2 2" xfId="10781" xr:uid="{52956C10-90C7-4012-8F1B-7B42DC861E88}"/>
    <cellStyle name="Вывод 1 19 2 2 2 2" xfId="27615" xr:uid="{40B87494-F19D-44E8-9897-0137F6095E63}"/>
    <cellStyle name="Вывод 1 19 2 2 2 3" xfId="40762" xr:uid="{B97CFFFB-AF8E-4E1D-8398-F02591276483}"/>
    <cellStyle name="Вывод 1 19 2 2 3" xfId="26012" xr:uid="{3D984206-E132-4EF1-ABA0-974B2E8821AF}"/>
    <cellStyle name="Вывод 1 19 2 2 4" xfId="39088" xr:uid="{4BDF9BC5-8F9F-42CA-B79D-28245195A457}"/>
    <cellStyle name="Вывод 1 19 2 3" xfId="6881" xr:uid="{05CAA844-42D7-4026-A7AF-ECAACE22E1CF}"/>
    <cellStyle name="Вывод 1 19 2 3 2" xfId="15391" xr:uid="{2487E15B-DA10-4433-9D7B-C74E1BC3DAFA}"/>
    <cellStyle name="Вывод 1 19 2 3 2 2" xfId="31545" xr:uid="{9CC608FC-C782-4D72-A106-1A849DE0A563}"/>
    <cellStyle name="Вывод 1 19 2 3 2 3" xfId="45033" xr:uid="{51784591-8144-4EE9-9B0C-3759BC3C4CF5}"/>
    <cellStyle name="Вывод 1 19 2 3 3" xfId="24504" xr:uid="{ECE7676C-9C0C-4DCD-AFDF-419E90979707}"/>
    <cellStyle name="Вывод 1 19 2 3 4" xfId="37585" xr:uid="{BFB308F1-4820-4CC9-93D7-8C959A7B71F5}"/>
    <cellStyle name="Вывод 1 19 2 4" xfId="11836" xr:uid="{2C0775CE-90E0-444D-840B-79AF4259E493}"/>
    <cellStyle name="Вывод 1 19 2 4 2" xfId="28556" xr:uid="{BBB76DC1-8331-4C9F-AF19-82C12EAF194F}"/>
    <cellStyle name="Вывод 1 19 2 4 3" xfId="41769" xr:uid="{23DCE9BA-4614-473D-A27B-0D98DEA25C4D}"/>
    <cellStyle name="Вывод 1 19 2 5" xfId="21256" xr:uid="{20F68450-961A-4985-B57C-2C497F25D154}"/>
    <cellStyle name="Вывод 1 19 2 6" xfId="34279" xr:uid="{4E30188B-6639-49E6-ADA9-8D6E187109F0}"/>
    <cellStyle name="Вывод 1 19 3" xfId="4894" xr:uid="{8A897E99-6706-4B5D-A701-E1B3311C9483}"/>
    <cellStyle name="Вывод 1 19 3 2" xfId="7562" xr:uid="{C62E3480-B03F-446A-A23A-C385CC35D003}"/>
    <cellStyle name="Вывод 1 19 3 2 2" xfId="15071" xr:uid="{1DF46ED9-2117-4183-9656-728DAFCEDEF0}"/>
    <cellStyle name="Вывод 1 19 3 2 2 2" xfId="31281" xr:uid="{79DC2634-489C-42CA-BCE4-38DBD18ACF40}"/>
    <cellStyle name="Вывод 1 19 3 2 2 3" xfId="44738" xr:uid="{5D6977D6-CAE9-48BA-85FB-86301B03BBCA}"/>
    <cellStyle name="Вывод 1 19 3 2 3" xfId="25090" xr:uid="{58CC6DB4-EE47-456F-B9B3-DD3381F0616D}"/>
    <cellStyle name="Вывод 1 19 3 2 4" xfId="38166" xr:uid="{8DD1C970-67C1-41E4-8457-D94F8878D1DB}"/>
    <cellStyle name="Вывод 1 19 3 3" xfId="12127" xr:uid="{33F87A4C-5F41-4CB6-A284-949866A612BC}"/>
    <cellStyle name="Вывод 1 19 3 3 2" xfId="28827" xr:uid="{DBA5E472-EB69-414B-8B2F-A3E1444F06B4}"/>
    <cellStyle name="Вывод 1 19 3 3 3" xfId="42047" xr:uid="{39683B48-75B6-4B38-8020-487D98A0E723}"/>
    <cellStyle name="Вывод 1 19 3 4" xfId="22691" xr:uid="{6FA330AA-0354-4CD6-9C7D-869FCC36F804}"/>
    <cellStyle name="Вывод 1 19 3 5" xfId="35744" xr:uid="{4A94E9FA-A1A2-48F0-9B42-415EE59F84DA}"/>
    <cellStyle name="Вывод 1 19 4" xfId="5916" xr:uid="{3A8BE8BE-AB82-4374-B263-F9E007A60987}"/>
    <cellStyle name="Вывод 1 19 4 2" xfId="9076" xr:uid="{2637E029-ED21-4049-BCD9-B29B37F19F26}"/>
    <cellStyle name="Вывод 1 19 4 2 2" xfId="15273" xr:uid="{D07C0E7F-7A52-434E-AA58-3887EEC0F285}"/>
    <cellStyle name="Вывод 1 19 4 2 2 2" xfId="31447" xr:uid="{E7ACCF76-3AE0-4AE1-BEC4-628DA201CD34}"/>
    <cellStyle name="Вывод 1 19 4 2 2 3" xfId="44923" xr:uid="{19773889-0116-4E5A-AA16-F79158D13884}"/>
    <cellStyle name="Вывод 1 19 4 2 3" xfId="26557" xr:uid="{D41AB2A2-7CAD-404B-96F0-30CF24041F6B}"/>
    <cellStyle name="Вывод 1 19 4 2 4" xfId="39633" xr:uid="{ED20BAA6-024E-416C-B4CB-98DBF92EBE69}"/>
    <cellStyle name="Вывод 1 19 4 3" xfId="15430" xr:uid="{3A282BCD-9F9E-4798-BA08-BE5B3C7EA602}"/>
    <cellStyle name="Вывод 1 19 4 3 2" xfId="31577" xr:uid="{BCB57757-6814-41C1-8A0C-0D74A5AA9979}"/>
    <cellStyle name="Вывод 1 19 4 3 3" xfId="45072" xr:uid="{45886BB9-2964-42B0-A2F0-87216E771087}"/>
    <cellStyle name="Вывод 1 19 4 4" xfId="23563" xr:uid="{FC4A5A88-725A-4071-A582-0295A66E8ED8}"/>
    <cellStyle name="Вывод 1 19 4 5" xfId="36644" xr:uid="{D89E7C90-D996-4B46-9E76-FD5E179B4AAA}"/>
    <cellStyle name="Вывод 1 19 5" xfId="17334" xr:uid="{2FF4B605-10E3-4BBC-B8DA-557030A349B1}"/>
    <cellStyle name="Вывод 1 19 5 2" xfId="33088" xr:uid="{FCA35C14-C00F-40E6-B879-E2344CCBECFE}"/>
    <cellStyle name="Вывод 1 19 5 3" xfId="46864" xr:uid="{D16DCF08-D227-4E8F-873F-39BC73407BB9}"/>
    <cellStyle name="Вывод 1 19 6" xfId="21829" xr:uid="{A84A970D-5CE3-4AE1-B0ED-859C5165FD7B}"/>
    <cellStyle name="Вывод 1 19 7" xfId="34879" xr:uid="{3AC2CE0E-CBD0-4453-B5FA-573D1402D4DD}"/>
    <cellStyle name="Вывод 1 2" xfId="3442" xr:uid="{B3CEF58F-D563-47D5-8163-0C2720307568}"/>
    <cellStyle name="Вывод 1 2 10" xfId="17741" xr:uid="{A3576362-0342-4DF7-AADD-569CEB44B514}"/>
    <cellStyle name="Вывод 1 2 10 2" xfId="33463" xr:uid="{E9CA0CF8-48F4-4410-825F-4ABCB88F4517}"/>
    <cellStyle name="Вывод 1 2 10 3" xfId="47246" xr:uid="{A084A6A1-8D65-4671-AE50-585F88FAD65F}"/>
    <cellStyle name="Вывод 1 2 11" xfId="20494" xr:uid="{F3047543-75B0-4C31-8098-0E35C3078775}"/>
    <cellStyle name="Вывод 1 2 12" xfId="34458" xr:uid="{5EE43569-5C21-4C68-BD7A-A52F75C12494}"/>
    <cellStyle name="Вывод 1 2 2" xfId="2784" xr:uid="{54DCCEF3-7CFB-465D-89ED-E277BD9148C8}"/>
    <cellStyle name="Вывод 1 2 2 2" xfId="5107" xr:uid="{F617B7CF-0A82-4B20-81CF-2D6D7AA06DA0}"/>
    <cellStyle name="Вывод 1 2 2 2 2" xfId="8080" xr:uid="{644E347C-66B5-46A5-B72B-B2DF3C5A3648}"/>
    <cellStyle name="Вывод 1 2 2 2 2 2" xfId="16745" xr:uid="{3A47A58E-FD30-432C-83A5-DFF0DE7CD722}"/>
    <cellStyle name="Вывод 1 2 2 2 2 2 2" xfId="32627" xr:uid="{46FA1596-C029-4D3E-BF1D-F19068432D8B}"/>
    <cellStyle name="Вывод 1 2 2 2 2 2 3" xfId="46288" xr:uid="{62A0C823-3BA1-479C-A77F-D4558FDCAF7B}"/>
    <cellStyle name="Вывод 1 2 2 2 2 3" xfId="25591" xr:uid="{08967633-6688-45D1-ABD5-2C831DB4D31F}"/>
    <cellStyle name="Вывод 1 2 2 2 2 4" xfId="38667" xr:uid="{2F15515B-9EBF-4F20-8BB1-B79DA020C242}"/>
    <cellStyle name="Вывод 1 2 2 2 3" xfId="12123" xr:uid="{56409C80-97B8-4DCF-81CD-A4C71214F186}"/>
    <cellStyle name="Вывод 1 2 2 2 3 2" xfId="28823" xr:uid="{B340FD16-5814-4BB0-87D8-0C5BD2E8DAB8}"/>
    <cellStyle name="Вывод 1 2 2 2 3 3" xfId="42043" xr:uid="{5CEC645E-3959-4D96-BCE6-6BA05804397B}"/>
    <cellStyle name="Вывод 1 2 2 2 4" xfId="22831" xr:uid="{951C1E0A-AA23-4CD2-8C44-D24855D63406}"/>
    <cellStyle name="Вывод 1 2 2 2 5" xfId="35900" xr:uid="{BBA752E7-786E-4DB7-BEAD-766A2C1544D9}"/>
    <cellStyle name="Вывод 1 2 2 3" xfId="6447" xr:uid="{A1D33412-B7E1-4497-A790-86BD6C8FBD25}"/>
    <cellStyle name="Вывод 1 2 2 3 2" xfId="12545" xr:uid="{8E6575DE-0A4D-4502-A612-4C35B5BDFA81}"/>
    <cellStyle name="Вывод 1 2 2 3 2 2" xfId="29169" xr:uid="{987E92E4-F7F2-4506-9397-34A393F1395E}"/>
    <cellStyle name="Вывод 1 2 2 3 2 3" xfId="42428" xr:uid="{B161972A-75C0-4860-9B2F-3FCED234F214}"/>
    <cellStyle name="Вывод 1 2 2 3 3" xfId="24082" xr:uid="{85B1C023-D7E6-40CE-A094-E5DCAC19077C}"/>
    <cellStyle name="Вывод 1 2 2 3 4" xfId="37163" xr:uid="{6ADF4CCB-030F-45A2-A660-9DA33263B55B}"/>
    <cellStyle name="Вывод 1 2 2 4" xfId="13223" xr:uid="{0B26AAB0-55CF-4927-9445-F9AEEAFDE97D}"/>
    <cellStyle name="Вывод 1 2 2 4 2" xfId="29722" xr:uid="{9B2DA882-0F14-4F3F-9083-555DF857DFFE}"/>
    <cellStyle name="Вывод 1 2 2 4 3" xfId="43042" xr:uid="{11CA7428-D2D9-4199-9306-9BE2F7BA43C1}"/>
    <cellStyle name="Вывод 1 2 2 5" xfId="20834" xr:uid="{443D247F-189E-4914-9CCE-A4FA77A10E28}"/>
    <cellStyle name="Вывод 1 2 2 6" xfId="33857" xr:uid="{F73118B0-391A-4484-A443-EA411F490F65}"/>
    <cellStyle name="Вывод 1 2 3" xfId="4062" xr:uid="{11A9FB53-2B5F-48E5-A5C1-B0F12E4D0FDE}"/>
    <cellStyle name="Вывод 1 2 3 2" xfId="5202" xr:uid="{9BAEDD9F-0A54-4221-B80A-E297B46876C2}"/>
    <cellStyle name="Вывод 1 2 3 2 2" xfId="9114" xr:uid="{222E3E60-D352-4965-8195-B9346442542F}"/>
    <cellStyle name="Вывод 1 2 3 2 2 2" xfId="11810" xr:uid="{CF8D243B-A416-4832-AA37-FE76FE33698E}"/>
    <cellStyle name="Вывод 1 2 3 2 2 2 2" xfId="28531" xr:uid="{9BB48370-1B6D-4830-8A78-B4CB2842694B}"/>
    <cellStyle name="Вывод 1 2 3 2 2 2 3" xfId="41743" xr:uid="{69F98440-98C0-4B3A-8E53-A15FCBCC3842}"/>
    <cellStyle name="Вывод 1 2 3 2 2 3" xfId="26595" xr:uid="{B31D85B7-5A3A-4214-8017-B725C32EA004}"/>
    <cellStyle name="Вывод 1 2 3 2 2 4" xfId="39671" xr:uid="{22E46ACC-4ECF-41A2-98C7-676B0EB23C16}"/>
    <cellStyle name="Вывод 1 2 3 2 3" xfId="15928" xr:uid="{C57FE246-3F3C-401D-90AA-012FEF1C1024}"/>
    <cellStyle name="Вывод 1 2 3 2 3 2" xfId="32009" xr:uid="{440525C9-FBE7-4E63-8131-C9F4BADB0E67}"/>
    <cellStyle name="Вывод 1 2 3 2 3 3" xfId="45525" xr:uid="{B132C3BC-8573-474B-91A9-A4C6F25280B8}"/>
    <cellStyle name="Вывод 1 2 3 2 4" xfId="22877" xr:uid="{8C66D639-E86F-42A2-846A-BE75B7ED0D4B}"/>
    <cellStyle name="Вывод 1 2 3 2 5" xfId="35946" xr:uid="{0131AC50-4F8C-48C1-84F0-2ED422260037}"/>
    <cellStyle name="Вывод 1 2 3 3" xfId="7626" xr:uid="{4F3B479E-0AD8-4D71-BB32-CC4FA8BA97C2}"/>
    <cellStyle name="Вывод 1 2 3 3 2" xfId="12846" xr:uid="{E3E458FF-385F-48A2-BDFE-C1C3C035C7C9}"/>
    <cellStyle name="Вывод 1 2 3 3 2 2" xfId="29416" xr:uid="{B22C4E2E-4D8F-412F-8F05-2458062C57F7}"/>
    <cellStyle name="Вывод 1 2 3 3 2 3" xfId="42699" xr:uid="{E22C4242-A245-4337-AFAB-95C9EE66DC8C}"/>
    <cellStyle name="Вывод 1 2 3 3 3" xfId="25154" xr:uid="{1C834E3C-3C3B-4C76-8AC3-04EF5825C4BB}"/>
    <cellStyle name="Вывод 1 2 3 3 4" xfId="38230" xr:uid="{1C3605DA-664B-4A29-A3FE-7A98A5CB884A}"/>
    <cellStyle name="Вывод 1 2 3 4" xfId="15708" xr:uid="{7DAD96E8-8275-4A4A-826E-7A954FB90D9D}"/>
    <cellStyle name="Вывод 1 2 3 4 2" xfId="31819" xr:uid="{DD1A65E5-295E-4687-AB53-DA1E162A85CF}"/>
    <cellStyle name="Вывод 1 2 3 4 3" xfId="45327" xr:uid="{BDFB0528-4261-4451-A179-B01847FB3E2A}"/>
    <cellStyle name="Вывод 1 2 3 5" xfId="21895" xr:uid="{F5D71979-EC5B-495B-8623-BF00C38E7933}"/>
    <cellStyle name="Вывод 1 2 3 6" xfId="34944" xr:uid="{0F954A6D-0F6E-4C6E-8689-E620D71BE223}"/>
    <cellStyle name="Вывод 1 2 4" xfId="2623" xr:uid="{C5FB9AD0-8FE1-4140-95B8-9CEDFC29449F}"/>
    <cellStyle name="Вывод 1 2 4 2" xfId="5069" xr:uid="{4294EA0D-36DB-4FE6-B412-156E634408D8}"/>
    <cellStyle name="Вывод 1 2 4 2 2" xfId="7920" xr:uid="{858BDA10-439C-4237-B479-E8755BAFBF7C}"/>
    <cellStyle name="Вывод 1 2 4 2 2 2" xfId="17146" xr:uid="{83FE5BA2-BD25-46B7-87E0-50C862D1E2B5}"/>
    <cellStyle name="Вывод 1 2 4 2 2 2 2" xfId="32909" xr:uid="{17587F98-6658-4FAA-9B51-8C3BC923791D}"/>
    <cellStyle name="Вывод 1 2 4 2 2 2 3" xfId="46681" xr:uid="{BC7CB7EA-6C7F-4E39-AEF6-63658D892ADB}"/>
    <cellStyle name="Вывод 1 2 4 2 2 3" xfId="25436" xr:uid="{2F7E9AE4-C032-488E-ABBE-85D33D9700EB}"/>
    <cellStyle name="Вывод 1 2 4 2 2 4" xfId="38512" xr:uid="{F112C8AB-7CF8-4CB2-BEAC-FBEFA3801D70}"/>
    <cellStyle name="Вывод 1 2 4 2 3" xfId="13910" xr:uid="{3E919F79-35BC-4D9D-B52B-EB58E21FB293}"/>
    <cellStyle name="Вывод 1 2 4 2 3 2" xfId="30301" xr:uid="{4B71DD63-4720-4BB8-8258-FC8863EA93A9}"/>
    <cellStyle name="Вывод 1 2 4 2 3 3" xfId="43675" xr:uid="{C0854E2C-90C6-4E94-A96E-76B91B6481FB}"/>
    <cellStyle name="Вывод 1 2 4 2 4" xfId="22813" xr:uid="{844C7F1D-304D-46E6-A2C9-C18D99AA2AE4}"/>
    <cellStyle name="Вывод 1 2 4 2 5" xfId="35879" xr:uid="{9B2B9AC8-3D3E-46A2-A2AE-B1347EAEE0A0}"/>
    <cellStyle name="Вывод 1 2 4 3" xfId="6287" xr:uid="{DA1630DD-8FA3-45A8-BFF3-5FBC67636199}"/>
    <cellStyle name="Вывод 1 2 4 3 2" xfId="14344" xr:uid="{811C8FE9-7513-4997-AEFE-2BFB243A63D2}"/>
    <cellStyle name="Вывод 1 2 4 3 2 2" xfId="30678" xr:uid="{3D30E066-C858-40EB-91DC-F4F63FD1DB6D}"/>
    <cellStyle name="Вывод 1 2 4 3 2 3" xfId="44074" xr:uid="{ED290E39-7F0A-4944-B0F1-88FA5CDA6C49}"/>
    <cellStyle name="Вывод 1 2 4 3 3" xfId="23927" xr:uid="{EB1FB84A-CCAD-4514-8A35-C353F257759D}"/>
    <cellStyle name="Вывод 1 2 4 3 4" xfId="37008" xr:uid="{EF3BD396-B6F9-4A50-97D2-1C76427FC820}"/>
    <cellStyle name="Вывод 1 2 4 4" xfId="12478" xr:uid="{5DB3EB72-EE8F-4622-900E-B5704EC4F7F5}"/>
    <cellStyle name="Вывод 1 2 4 4 2" xfId="29117" xr:uid="{A0DF00C2-6B57-4D99-8B80-B00A1766D831}"/>
    <cellStyle name="Вывод 1 2 4 4 3" xfId="42370" xr:uid="{2F649BA5-493E-4403-A2D6-194173F40D9B}"/>
    <cellStyle name="Вывод 1 2 4 5" xfId="20679" xr:uid="{A51176B1-72C3-441A-A918-EDA1C301DAFF}"/>
    <cellStyle name="Вывод 1 2 4 6" xfId="33702" xr:uid="{9462E40E-8570-4A8B-BBD7-E8F2FFD401BA}"/>
    <cellStyle name="Вывод 1 2 5" xfId="4196" xr:uid="{15893C9A-80C9-4212-ACE0-F01F2EB922A8}"/>
    <cellStyle name="Вывод 1 2 5 2" xfId="5235" xr:uid="{22A3AD5A-2903-461A-8466-0E7EC4900369}"/>
    <cellStyle name="Вывод 1 2 5 2 2" xfId="9248" xr:uid="{75250AB8-0E28-4980-86C6-B0BA728478C6}"/>
    <cellStyle name="Вывод 1 2 5 2 2 2" xfId="17480" xr:uid="{DB8AD0B4-D32E-4707-9BA7-767A55ADAECC}"/>
    <cellStyle name="Вывод 1 2 5 2 2 2 2" xfId="33223" xr:uid="{DA938B74-3866-4C0A-8B6E-F6E987EBD549}"/>
    <cellStyle name="Вывод 1 2 5 2 2 2 3" xfId="47009" xr:uid="{14C3A156-1C9A-416F-907D-61F2CE262F1D}"/>
    <cellStyle name="Вывод 1 2 5 2 2 3" xfId="26723" xr:uid="{4102A728-A2BD-4E74-8CFF-1B6B4AAB213A}"/>
    <cellStyle name="Вывод 1 2 5 2 2 4" xfId="39799" xr:uid="{03917C3A-1B9B-4F9E-8F9F-FE7F8CA80B39}"/>
    <cellStyle name="Вывод 1 2 5 2 3" xfId="12051" xr:uid="{B733813C-3086-4D4F-921E-E43A42803F9B}"/>
    <cellStyle name="Вывод 1 2 5 2 3 2" xfId="28751" xr:uid="{A0F52178-98DE-44C8-AD95-E31309F98673}"/>
    <cellStyle name="Вывод 1 2 5 2 3 3" xfId="41971" xr:uid="{6B249E09-4956-4C91-A807-D2461C13DA37}"/>
    <cellStyle name="Вывод 1 2 5 2 4" xfId="22901" xr:uid="{7EA6E61E-AB01-4D57-ADE7-29BD3B6CB683}"/>
    <cellStyle name="Вывод 1 2 5 2 5" xfId="35975" xr:uid="{3E9CE3B0-9019-45CC-8B99-E122527717B9}"/>
    <cellStyle name="Вывод 1 2 5 3" xfId="7760" xr:uid="{930404AA-61D3-4AC2-AB38-E7183F10B46F}"/>
    <cellStyle name="Вывод 1 2 5 3 2" xfId="15751" xr:uid="{45A72A1B-057A-4904-89BB-C1403EEC0142}"/>
    <cellStyle name="Вывод 1 2 5 3 2 2" xfId="31858" xr:uid="{3F006542-4EEF-45A2-ABA9-DBF34CCC5A70}"/>
    <cellStyle name="Вывод 1 2 5 3 2 3" xfId="45368" xr:uid="{2F4B4E6D-A287-42BE-821C-09A88A27C246}"/>
    <cellStyle name="Вывод 1 2 5 3 3" xfId="25282" xr:uid="{DF7B8EF8-1A2A-4FDB-9742-EC1D21EA441C}"/>
    <cellStyle name="Вывод 1 2 5 3 4" xfId="38358" xr:uid="{149EAF01-B82E-4C57-9D2E-64B827D44913}"/>
    <cellStyle name="Вывод 1 2 5 4" xfId="16320" xr:uid="{2898B067-AD60-47B4-93AD-B6DD0D2F85F9}"/>
    <cellStyle name="Вывод 1 2 5 4 2" xfId="32346" xr:uid="{101C99AE-632F-4E07-A345-FB9F9F0298F5}"/>
    <cellStyle name="Вывод 1 2 5 4 3" xfId="45877" xr:uid="{68C2CFC9-BB3E-48E0-8B79-7874868CE231}"/>
    <cellStyle name="Вывод 1 2 5 5" xfId="22023" xr:uid="{C38F7B65-D011-4E2E-AA3D-6839F7EC3828}"/>
    <cellStyle name="Вывод 1 2 5 6" xfId="35072" xr:uid="{71FB37BF-07BD-4162-B30D-718B9E5076C7}"/>
    <cellStyle name="Вывод 1 2 6" xfId="4444" xr:uid="{D1A7616F-23B8-4DCF-A504-D54F3E6911AB}"/>
    <cellStyle name="Вывод 1 2 6 2" xfId="7084" xr:uid="{401DD6CC-56E3-44D4-8AB5-BB4E630EF0DF}"/>
    <cellStyle name="Вывод 1 2 6 2 2" xfId="15161" xr:uid="{77D80A1D-E59D-49AE-970D-F41676CB2F03}"/>
    <cellStyle name="Вывод 1 2 6 2 2 2" xfId="31355" xr:uid="{5386356A-4949-43D7-8E7A-0B2C33DB4E33}"/>
    <cellStyle name="Вывод 1 2 6 2 2 3" xfId="44821" xr:uid="{1FAC0449-C599-4F66-9D71-6A88ABB35099}"/>
    <cellStyle name="Вывод 1 2 6 2 3" xfId="24683" xr:uid="{3BF24804-51C1-48BC-8BA3-DC36F5CF72D1}"/>
    <cellStyle name="Вывод 1 2 6 2 4" xfId="37764" xr:uid="{46BD49D8-44E7-4752-9432-29562C5E61DF}"/>
    <cellStyle name="Вывод 1 2 6 3" xfId="13532" xr:uid="{693F10CF-2FAA-46A4-9B71-6BDE588C1EDC}"/>
    <cellStyle name="Вывод 1 2 6 3 2" xfId="29982" xr:uid="{086527BB-EA55-48E4-8A83-73EBFFAD541D}"/>
    <cellStyle name="Вывод 1 2 6 3 3" xfId="43327" xr:uid="{9380BC46-FADF-4C23-8B57-F7EF9E22F9B2}"/>
    <cellStyle name="Вывод 1 2 6 4" xfId="22262" xr:uid="{5AA49496-6A2A-4560-88B5-E2F5D366B076}"/>
    <cellStyle name="Вывод 1 2 6 5" xfId="35311" xr:uid="{67061338-7394-41A4-94D7-91C4BE3CDEAF}"/>
    <cellStyle name="Вывод 1 2 7" xfId="4962" xr:uid="{7B443E97-7A5E-4D53-914D-7B17D632F126}"/>
    <cellStyle name="Вывод 1 2 7 2" xfId="8679" xr:uid="{D1F1AFC1-08E1-4B24-84C2-7F86A0340FCE}"/>
    <cellStyle name="Вывод 1 2 7 2 2" xfId="17463" xr:uid="{BAFB339E-653D-4767-9FB2-D7C773F5FFE0}"/>
    <cellStyle name="Вывод 1 2 7 2 2 2" xfId="33206" xr:uid="{3CBB0771-35FB-4D77-A68D-ECEE74063057}"/>
    <cellStyle name="Вывод 1 2 7 2 2 3" xfId="46992" xr:uid="{F409620D-03A6-4776-AAE7-DF3875F2C5B7}"/>
    <cellStyle name="Вывод 1 2 7 2 3" xfId="26172" xr:uid="{92821E39-BB86-4804-9BF1-BA92C2976EC8}"/>
    <cellStyle name="Вывод 1 2 7 2 4" xfId="39248" xr:uid="{767B51E7-7347-49B2-95F6-98C036F879A0}"/>
    <cellStyle name="Вывод 1 2 7 3" xfId="11983" xr:uid="{2BB57C6B-A5FD-4F6A-B904-147E305CF628}"/>
    <cellStyle name="Вывод 1 2 7 3 2" xfId="28689" xr:uid="{DC6B7539-1D33-4574-8949-55EE53D2E31D}"/>
    <cellStyle name="Вывод 1 2 7 3 3" xfId="41907" xr:uid="{899B04E3-6553-472F-9BEE-0CC6368B28CD}"/>
    <cellStyle name="Вывод 1 2 7 4" xfId="22742" xr:uid="{F5BAF513-1296-4F51-A192-104FB7B103E6}"/>
    <cellStyle name="Вывод 1 2 7 5" xfId="35797" xr:uid="{A9B7279E-F166-4970-A084-F5A26FFD433E}"/>
    <cellStyle name="Вывод 1 2 8" xfId="5497" xr:uid="{99A0B6BB-4913-4F3B-962B-02D3E933D4CE}"/>
    <cellStyle name="Вывод 1 2 8 2" xfId="9818" xr:uid="{713F878C-19F8-4876-90F8-D3795CA7E6D3}"/>
    <cellStyle name="Вывод 1 2 8 2 2" xfId="10631" xr:uid="{B6B15033-6717-4B13-A3C1-42982E2E4B8C}"/>
    <cellStyle name="Вывод 1 2 8 2 2 2" xfId="27490" xr:uid="{1B09D5C8-6F35-4F76-B08A-8D61620B2EBD}"/>
    <cellStyle name="Вывод 1 2 8 2 2 3" xfId="40612" xr:uid="{E20B1D05-2DA7-4FA0-8B9E-E88D06DABCC3}"/>
    <cellStyle name="Вывод 1 2 8 2 3" xfId="27114" xr:uid="{F01B3526-F4A9-4F0E-A9D2-18A287EBCF86}"/>
    <cellStyle name="Вывод 1 2 8 2 4" xfId="40233" xr:uid="{4F53B16B-B334-4A11-96A8-A83F45AA506B}"/>
    <cellStyle name="Вывод 1 2 8 3" xfId="17300" xr:uid="{1E89B43E-E364-4569-B2CD-AE4D00B494B7}"/>
    <cellStyle name="Вывод 1 2 8 3 2" xfId="33058" xr:uid="{3581149D-0947-4CCB-8E6F-27DAE57E65EC}"/>
    <cellStyle name="Вывод 1 2 8 3 3" xfId="46834" xr:uid="{FE2EECD3-4931-4BFC-8F5C-CB9B0B6249C6}"/>
    <cellStyle name="Вывод 1 2 8 4" xfId="23144" xr:uid="{F384551E-0AE1-4A52-A940-D1BD56A10183}"/>
    <cellStyle name="Вывод 1 2 8 5" xfId="36225" xr:uid="{66941D5A-D957-427B-902B-92A5B4AE18CF}"/>
    <cellStyle name="Вывод 1 2 9" xfId="11534" xr:uid="{67AF81FE-9CE4-4062-8AB5-3B5CA3DA08A2}"/>
    <cellStyle name="Вывод 1 2 9 2" xfId="28292" xr:uid="{8BC76755-05A6-45EB-940C-F87CD93618B0}"/>
    <cellStyle name="Вывод 1 2 9 3" xfId="41489" xr:uid="{CCDB4E26-4498-4149-90CB-F7735556275B}"/>
    <cellStyle name="Вывод 1 20" xfId="3993" xr:uid="{CCEE1AD3-91E7-44AB-B183-9E591D08D1D4}"/>
    <cellStyle name="Вывод 1 20 2" xfId="3231" xr:uid="{8282A8C6-DA7E-4B65-87B9-1389F5C0F50E}"/>
    <cellStyle name="Вывод 1 20 2 2" xfId="8522" xr:uid="{841C0FC0-5722-4485-85AE-DDB43658D9C5}"/>
    <cellStyle name="Вывод 1 20 2 2 2" xfId="10931" xr:uid="{A11A265E-E11E-482A-A433-C1BECB2BB38F}"/>
    <cellStyle name="Вывод 1 20 2 2 2 2" xfId="27749" xr:uid="{B4AA1E02-18AB-4681-B600-63C9951CB7F9}"/>
    <cellStyle name="Вывод 1 20 2 2 2 3" xfId="40911" xr:uid="{3D9D9E07-E469-4A68-86C1-790358225767}"/>
    <cellStyle name="Вывод 1 20 2 2 3" xfId="26021" xr:uid="{533E5013-71F3-4EEC-9AC9-7BF910AC108B}"/>
    <cellStyle name="Вывод 1 20 2 2 4" xfId="39097" xr:uid="{E9CF77B0-9DF6-45C4-BC33-278081B61009}"/>
    <cellStyle name="Вывод 1 20 2 3" xfId="6890" xr:uid="{33707BA4-EED1-4382-8056-392BEAC67E96}"/>
    <cellStyle name="Вывод 1 20 2 3 2" xfId="15954" xr:uid="{5451EF93-6B7E-4E89-AEC2-6312A8323F7E}"/>
    <cellStyle name="Вывод 1 20 2 3 2 2" xfId="32031" xr:uid="{C50BCC06-E2E7-409B-9328-57A1FE0CF657}"/>
    <cellStyle name="Вывод 1 20 2 3 2 3" xfId="45549" xr:uid="{148AC99A-6172-48AE-AB97-9CB77A1278FE}"/>
    <cellStyle name="Вывод 1 20 2 3 3" xfId="24513" xr:uid="{8669C193-F356-4EFD-B118-9948B90A38B8}"/>
    <cellStyle name="Вывод 1 20 2 3 4" xfId="37594" xr:uid="{C869EB8C-C85B-428A-9522-BCEC73908E1E}"/>
    <cellStyle name="Вывод 1 20 2 4" xfId="12344" xr:uid="{1E0DBDEE-82CF-4B6D-B291-B2FAE6FA5027}"/>
    <cellStyle name="Вывод 1 20 2 4 2" xfId="29011" xr:uid="{D13EF581-9108-469C-959D-29D8463D0799}"/>
    <cellStyle name="Вывод 1 20 2 4 3" xfId="42251" xr:uid="{5CEA0269-ACD0-4DAA-870F-3DAC0B7CF0C0}"/>
    <cellStyle name="Вывод 1 20 2 5" xfId="21265" xr:uid="{44352156-8F9D-4612-9345-ECB17FA084EB}"/>
    <cellStyle name="Вывод 1 20 2 6" xfId="34288" xr:uid="{3CAB9B0E-2D88-4B1C-B85E-2A6A80EB2AA8}"/>
    <cellStyle name="Вывод 1 20 3" xfId="4905" xr:uid="{A700BD47-EFC5-4065-8439-2E1139B1E24F}"/>
    <cellStyle name="Вывод 1 20 3 2" xfId="7573" xr:uid="{1D2B28FC-2868-4260-A976-009A1A36674C}"/>
    <cellStyle name="Вывод 1 20 3 2 2" xfId="15757" xr:uid="{82A71879-CAE2-4A45-B2E7-D90341F8CBB3}"/>
    <cellStyle name="Вывод 1 20 3 2 2 2" xfId="31863" xr:uid="{50978399-C9B3-451E-AB21-D3179D7BCA51}"/>
    <cellStyle name="Вывод 1 20 3 2 2 3" xfId="45374" xr:uid="{524E9E92-03E9-4B07-A365-0C21A34B7692}"/>
    <cellStyle name="Вывод 1 20 3 2 3" xfId="25101" xr:uid="{4C80B11F-04B7-42E6-A440-A42239CE79E0}"/>
    <cellStyle name="Вывод 1 20 3 2 4" xfId="38177" xr:uid="{D62B1A35-3BCC-4C29-9B10-6CA800841A23}"/>
    <cellStyle name="Вывод 1 20 3 3" xfId="12530" xr:uid="{CE59D18D-8FB2-45DA-A24B-B1DE572F8A2A}"/>
    <cellStyle name="Вывод 1 20 3 3 2" xfId="29155" xr:uid="{8CBBCA92-9956-4384-BC64-CDB9D36D971A}"/>
    <cellStyle name="Вывод 1 20 3 3 3" xfId="42414" xr:uid="{21AC99AB-C808-4757-B8B3-A834E2E2DD08}"/>
    <cellStyle name="Вывод 1 20 3 4" xfId="22702" xr:uid="{5B656181-1B66-4E84-B149-A535137FE59E}"/>
    <cellStyle name="Вывод 1 20 3 5" xfId="35755" xr:uid="{EB72F47C-C218-4E1F-B99F-E886A0AB8898}"/>
    <cellStyle name="Вывод 1 20 4" xfId="5927" xr:uid="{82447F41-68D0-4403-BA99-8BC5CB6FE08C}"/>
    <cellStyle name="Вывод 1 20 4 2" xfId="9860" xr:uid="{4A11285A-1AC5-41E5-B631-7BCF0ACE9122}"/>
    <cellStyle name="Вывод 1 20 4 2 2" xfId="15542" xr:uid="{81E2B4E1-FB42-47E3-99CE-12BA60C5232D}"/>
    <cellStyle name="Вывод 1 20 4 2 2 2" xfId="31676" xr:uid="{074D25C2-85D6-46C3-A196-E9B3B5B20241}"/>
    <cellStyle name="Вывод 1 20 4 2 2 3" xfId="45175" xr:uid="{1F16955D-2BEF-4694-842E-56C57B39143A}"/>
    <cellStyle name="Вывод 1 20 4 2 3" xfId="27156" xr:uid="{6CC96371-AF27-4A09-8169-676BAD783B85}"/>
    <cellStyle name="Вывод 1 20 4 2 4" xfId="40275" xr:uid="{FC34A05B-6483-46FB-A7C4-164F80BB4255}"/>
    <cellStyle name="Вывод 1 20 4 3" xfId="16332" xr:uid="{4CFF5D07-60EB-4643-8FD3-361425C1F7AC}"/>
    <cellStyle name="Вывод 1 20 4 3 2" xfId="32356" xr:uid="{1C3775AD-BE79-4202-B872-220D285BFE65}"/>
    <cellStyle name="Вывод 1 20 4 3 3" xfId="45887" xr:uid="{09720C93-CD24-4007-A828-ADACE058BDEF}"/>
    <cellStyle name="Вывод 1 20 4 4" xfId="23574" xr:uid="{6C526B1B-D047-4F68-B7D1-90EE6B88184F}"/>
    <cellStyle name="Вывод 1 20 4 5" xfId="36655" xr:uid="{54198C36-1D65-4AA2-A2BB-92C76735A946}"/>
    <cellStyle name="Вывод 1 20 5" xfId="6101" xr:uid="{48E2B33A-4DAB-4C9D-AB3A-D4A71C64E9FB}"/>
    <cellStyle name="Вывод 1 20 5 2" xfId="13195" xr:uid="{FD698DD5-A9FF-462C-89A9-9EE72564D3A5}"/>
    <cellStyle name="Вывод 1 20 5 2 2" xfId="29699" xr:uid="{091340CA-31F0-4F53-9AA3-65D7E6931408}"/>
    <cellStyle name="Вывод 1 20 5 2 3" xfId="43017" xr:uid="{3E2699BB-EFFC-497E-842C-4B5779138A64}"/>
    <cellStyle name="Вывод 1 20 5 3" xfId="23747" xr:uid="{181FA9EB-B4E9-4EDC-B2C8-781AD104A9AA}"/>
    <cellStyle name="Вывод 1 20 5 4" xfId="36828" xr:uid="{73306755-D1FA-49C7-BF95-67CD8E9CD341}"/>
    <cellStyle name="Вывод 1 20 6" xfId="11352" xr:uid="{CBF7593D-D26D-477E-9510-70DFAD7C3F25}"/>
    <cellStyle name="Вывод 1 20 6 2" xfId="28131" xr:uid="{C3FA1AD8-62D4-48F7-8908-4B3F76AFA63B}"/>
    <cellStyle name="Вывод 1 20 6 3" xfId="41319" xr:uid="{391E7EFC-BFF1-4297-896C-723C5C591486}"/>
    <cellStyle name="Вывод 1 20 7" xfId="21840" xr:uid="{154EFBD9-6A86-46BC-9E33-CD470921D126}"/>
    <cellStyle name="Вывод 1 20 8" xfId="34890" xr:uid="{FD56833C-4242-4E5D-A858-786C527E15FF}"/>
    <cellStyle name="Вывод 1 21" xfId="3150" xr:uid="{08169208-6E4B-4E30-A7C1-3C41FC9D8874}"/>
    <cellStyle name="Вывод 1 21 2" xfId="8442" xr:uid="{EA7E4534-0E1A-4059-9C92-55FFDE8D29AF}"/>
    <cellStyle name="Вывод 1 21 2 2" xfId="10794" xr:uid="{BACFFE53-7A72-4834-BC2F-05A9E5797522}"/>
    <cellStyle name="Вывод 1 21 2 2 2" xfId="27628" xr:uid="{A71B55F4-308E-4544-8BBE-CC790031C308}"/>
    <cellStyle name="Вывод 1 21 2 2 3" xfId="40775" xr:uid="{6B42807B-F2B9-4939-9A20-AC2B358A7778}"/>
    <cellStyle name="Вывод 1 21 2 3" xfId="25944" xr:uid="{1EDD0DE1-0C75-4FCE-85FA-A6BA5A51EA76}"/>
    <cellStyle name="Вывод 1 21 2 4" xfId="39020" xr:uid="{2528DA63-505E-4604-9634-7E7383070C12}"/>
    <cellStyle name="Вывод 1 21 3" xfId="6809" xr:uid="{6647D99C-0FA3-438E-90F0-F69027906091}"/>
    <cellStyle name="Вывод 1 21 3 2" xfId="15342" xr:uid="{B7635383-2B98-4DB8-A3FA-7D4680AFB3EE}"/>
    <cellStyle name="Вывод 1 21 3 2 2" xfId="31499" xr:uid="{AB937B52-29C4-450C-A335-E3801FC65AEE}"/>
    <cellStyle name="Вывод 1 21 3 2 3" xfId="44985" xr:uid="{C2118656-115F-46EB-BD5E-34DC77775226}"/>
    <cellStyle name="Вывод 1 21 3 3" xfId="24435" xr:uid="{1AF49B7B-2FBD-4915-9EB6-E7E49E53E619}"/>
    <cellStyle name="Вывод 1 21 3 4" xfId="37516" xr:uid="{054853AC-686F-472C-B2DA-5F71BD78941D}"/>
    <cellStyle name="Вывод 1 21 4" xfId="16041" xr:uid="{E0925CFE-CA1B-455B-9BCA-CA51B13D8D36}"/>
    <cellStyle name="Вывод 1 21 4 2" xfId="32105" xr:uid="{1140C95D-2A8B-4857-B789-D0BEEF2E9E6D}"/>
    <cellStyle name="Вывод 1 21 4 3" xfId="45624" xr:uid="{885AC0E0-A8E7-4D0C-9519-7DB033933057}"/>
    <cellStyle name="Вывод 1 21 5" xfId="21187" xr:uid="{CE8A71DB-B057-4449-89FD-0C70425A34F9}"/>
    <cellStyle name="Вывод 1 21 6" xfId="34210" xr:uid="{38524B2A-BD19-4E79-85AF-D14C0F456EE0}"/>
    <cellStyle name="Вывод 1 22" xfId="2642" xr:uid="{8C11BF22-617D-4F18-ADC2-E21F285CF4A4}"/>
    <cellStyle name="Вывод 1 22 2" xfId="7939" xr:uid="{8CDFEE24-614A-416F-BB27-818C79121C49}"/>
    <cellStyle name="Вывод 1 22 2 2" xfId="13754" xr:uid="{BDD5CDCD-C7BD-4E7F-9E08-DB0E51B1338D}"/>
    <cellStyle name="Вывод 1 22 2 2 2" xfId="30166" xr:uid="{A7DFE259-7751-408B-B9E4-CE9D2E70BF4C}"/>
    <cellStyle name="Вывод 1 22 2 2 3" xfId="43528" xr:uid="{C331EA5C-8CE9-4690-B1A8-75A31F854417}"/>
    <cellStyle name="Вывод 1 22 2 3" xfId="25455" xr:uid="{5115D2D0-1567-4552-BEE9-A73BF9486FFE}"/>
    <cellStyle name="Вывод 1 22 2 4" xfId="38531" xr:uid="{8A7DF23C-E00B-40A6-ACE2-E94DF7C19C99}"/>
    <cellStyle name="Вывод 1 22 3" xfId="6306" xr:uid="{E9722FC6-2E46-4ACF-9380-6910D7C9C458}"/>
    <cellStyle name="Вывод 1 22 3 2" xfId="16873" xr:uid="{1E32852A-9987-4E3C-87BD-17BA78B87A4A}"/>
    <cellStyle name="Вывод 1 22 3 2 2" xfId="32750" xr:uid="{3BD9D76D-FCD4-4C8E-95F3-6973076BCCFD}"/>
    <cellStyle name="Вывод 1 22 3 2 3" xfId="46415" xr:uid="{F8AD9EE8-FAD3-4428-97D3-221E76E94731}"/>
    <cellStyle name="Вывод 1 22 3 3" xfId="23946" xr:uid="{CABA22D9-DB66-4C08-B4D6-89D0955F729F}"/>
    <cellStyle name="Вывод 1 22 3 4" xfId="37027" xr:uid="{3D1CEBB9-3081-4FA0-8D9F-DD3BA62F37AC}"/>
    <cellStyle name="Вывод 1 22 4" xfId="12879" xr:uid="{CD898A57-750A-487C-BBB2-7BA682143B2E}"/>
    <cellStyle name="Вывод 1 22 4 2" xfId="29438" xr:uid="{8628D944-751C-4366-9B1D-DFBA621C61D3}"/>
    <cellStyle name="Вывод 1 22 4 3" xfId="42727" xr:uid="{1FA79759-E1CA-4CFA-981A-218A954F24E0}"/>
    <cellStyle name="Вывод 1 22 5" xfId="20698" xr:uid="{AE646CFC-C48A-4BF9-A710-C142FB1F9A94}"/>
    <cellStyle name="Вывод 1 22 6" xfId="33721" xr:uid="{5B697627-F0CF-4C1F-8F3A-521F60BD7B20}"/>
    <cellStyle name="Вывод 1 23" xfId="4156" xr:uid="{825FF29C-B487-4E6F-8EE2-DF2810B9A011}"/>
    <cellStyle name="Вывод 1 23 2" xfId="9208" xr:uid="{FB41C387-EDF4-43CC-9A02-0DAFFD8AA7E0}"/>
    <cellStyle name="Вывод 1 23 2 2" xfId="12459" xr:uid="{C29CA2A5-2CBF-44F7-8995-85EAF03C31C2}"/>
    <cellStyle name="Вывод 1 23 2 2 2" xfId="29105" xr:uid="{F8E34FEB-1DF0-47E9-9234-A831B1EC9673}"/>
    <cellStyle name="Вывод 1 23 2 2 3" xfId="42355" xr:uid="{73433D89-836B-447A-8691-300384B12C39}"/>
    <cellStyle name="Вывод 1 23 2 3" xfId="26683" xr:uid="{7BC73795-6D3E-4A7E-8E52-78164AC8CE58}"/>
    <cellStyle name="Вывод 1 23 2 4" xfId="39759" xr:uid="{36DD2D00-5E00-4C1D-8D87-998277EC8736}"/>
    <cellStyle name="Вывод 1 23 3" xfId="7720" xr:uid="{098259FC-AA96-4F51-B614-7C36FCE4B11A}"/>
    <cellStyle name="Вывод 1 23 3 2" xfId="14686" xr:uid="{15E548FF-0ED1-40A6-9E4D-BA66A3A99523}"/>
    <cellStyle name="Вывод 1 23 3 2 2" xfId="30979" xr:uid="{AE0A041C-CD01-48B7-9102-240257FE8327}"/>
    <cellStyle name="Вывод 1 23 3 2 3" xfId="44400" xr:uid="{84B60790-2BFC-46B4-93B3-6766E5765472}"/>
    <cellStyle name="Вывод 1 23 3 3" xfId="25242" xr:uid="{72037C8E-14CF-4637-89B1-9F800B91B6BA}"/>
    <cellStyle name="Вывод 1 23 3 4" xfId="38318" xr:uid="{7ACF127B-6954-4674-AD95-59A760D724CB}"/>
    <cellStyle name="Вывод 1 23 4" xfId="15046" xr:uid="{9EE8F529-566B-4B2A-8A42-CB3321A96E01}"/>
    <cellStyle name="Вывод 1 23 4 2" xfId="31260" xr:uid="{9A07B053-22E7-4F68-A6CA-6F2DF5E83622}"/>
    <cellStyle name="Вывод 1 23 4 3" xfId="44716" xr:uid="{5BC12F78-91D5-4B7D-A2BA-2EA46D406FC2}"/>
    <cellStyle name="Вывод 1 23 5" xfId="21983" xr:uid="{CCA1E1F8-571C-48BF-AD27-7E84E4F391C6}"/>
    <cellStyle name="Вывод 1 23 6" xfId="35032" xr:uid="{588064F2-6F09-4B99-B218-3F95232395E2}"/>
    <cellStyle name="Вывод 1 24" xfId="2551" xr:uid="{0CFB92A9-90A2-41ED-AFD4-53E57D7A5165}"/>
    <cellStyle name="Вывод 1 24 2" xfId="7849" xr:uid="{2125D974-7CB6-4E98-987A-7881500D3F8B}"/>
    <cellStyle name="Вывод 1 24 2 2" xfId="12322" xr:uid="{A932F2F6-6D98-4B5B-AB1D-0998F386D7A2}"/>
    <cellStyle name="Вывод 1 24 2 2 2" xfId="28990" xr:uid="{2EC3FEE0-BCC6-4CCB-93C8-E340D369D38E}"/>
    <cellStyle name="Вывод 1 24 2 2 3" xfId="42230" xr:uid="{C96E6FBD-1BD4-49AD-AFD1-B0FFF2BF7E16}"/>
    <cellStyle name="Вывод 1 24 2 3" xfId="25368" xr:uid="{CDFD4AD9-93F0-44DE-8A51-48D60360FAB2}"/>
    <cellStyle name="Вывод 1 24 2 4" xfId="38444" xr:uid="{363B70E5-2B16-4CBC-B59B-50E8FB806690}"/>
    <cellStyle name="Вывод 1 24 3" xfId="6216" xr:uid="{C24F5F73-DFE2-4B25-8158-BC002B073A0A}"/>
    <cellStyle name="Вывод 1 24 3 2" xfId="17567" xr:uid="{D3C6747B-EDE6-47E5-877A-3CD763C31F0A}"/>
    <cellStyle name="Вывод 1 24 3 2 2" xfId="33304" xr:uid="{71419A25-AC8D-4198-B960-B78FB7615357}"/>
    <cellStyle name="Вывод 1 24 3 2 3" xfId="47092" xr:uid="{2417BC8A-6927-4DB8-A042-7CACA41C2EAD}"/>
    <cellStyle name="Вывод 1 24 3 3" xfId="23859" xr:uid="{2E94A932-E254-4F69-A2DF-17EBA864EDC6}"/>
    <cellStyle name="Вывод 1 24 3 4" xfId="36940" xr:uid="{632F98EB-4A24-4698-B3D0-9DFDE1F707FF}"/>
    <cellStyle name="Вывод 1 24 4" xfId="11538" xr:uid="{904E2F81-0013-4994-9A13-BE2C36D85855}"/>
    <cellStyle name="Вывод 1 24 4 2" xfId="28295" xr:uid="{AAEFAC33-E7FB-4983-9BE8-BEC364407458}"/>
    <cellStyle name="Вывод 1 24 4 3" xfId="41493" xr:uid="{D994B801-A97E-48C0-A1CB-FEBE0B8D1E12}"/>
    <cellStyle name="Вывод 1 24 5" xfId="20611" xr:uid="{6CB43B69-57CC-490D-A47C-975ECB7C9307}"/>
    <cellStyle name="Вывод 1 24 6" xfId="33634" xr:uid="{2CAAAF0D-7A1D-4BCA-86B8-6E75D76D50EA}"/>
    <cellStyle name="Вывод 1 25" xfId="4072" xr:uid="{3B1A362F-E0EF-403C-A848-F0F45225A6C9}"/>
    <cellStyle name="Вывод 1 25 2" xfId="9124" xr:uid="{C2925060-7213-4148-A04E-A0793CD47EB8}"/>
    <cellStyle name="Вывод 1 25 2 2" xfId="16129" xr:uid="{3D2E1989-A1E3-4C85-99E1-EAF980ED7751}"/>
    <cellStyle name="Вывод 1 25 2 2 2" xfId="32183" xr:uid="{95F6AC53-966C-4633-8041-40F18E150B71}"/>
    <cellStyle name="Вывод 1 25 2 2 3" xfId="45704" xr:uid="{9182C02C-6EB3-40D2-BD32-40F4A95759FF}"/>
    <cellStyle name="Вывод 1 25 2 3" xfId="26605" xr:uid="{E389D07E-DEAB-45DA-9D61-7F76AA208356}"/>
    <cellStyle name="Вывод 1 25 2 4" xfId="39681" xr:uid="{C0334959-C1B6-4A35-9E04-6537F25D2E41}"/>
    <cellStyle name="Вывод 1 25 3" xfId="7636" xr:uid="{3CE58AAB-3FD8-4CEA-AA2C-C719DAF46795}"/>
    <cellStyle name="Вывод 1 25 3 2" xfId="16558" xr:uid="{2E2FC87E-681D-4734-9CF1-F926802D26D0}"/>
    <cellStyle name="Вывод 1 25 3 2 2" xfId="32493" xr:uid="{C4752D02-EA75-4BC4-BFA4-0AD0D04A2AA9}"/>
    <cellStyle name="Вывод 1 25 3 2 3" xfId="46105" xr:uid="{E3FFCA3B-4406-4162-A0E5-91D4A6B50299}"/>
    <cellStyle name="Вывод 1 25 3 3" xfId="25164" xr:uid="{C6F6F189-C4AA-4D2D-99BF-73795EA6EBB9}"/>
    <cellStyle name="Вывод 1 25 3 4" xfId="38240" xr:uid="{2D4B6650-4AEC-4492-88CE-BD40B52E1DF8}"/>
    <cellStyle name="Вывод 1 25 4" xfId="14953" xr:uid="{D405791C-7162-40F9-AB0D-5FA6FE3E88B9}"/>
    <cellStyle name="Вывод 1 25 4 2" xfId="31192" xr:uid="{5C261E68-9327-4806-945B-2078317EBAFB}"/>
    <cellStyle name="Вывод 1 25 4 3" xfId="44639" xr:uid="{9C530433-581C-49F5-BAAE-E09BFD1B7162}"/>
    <cellStyle name="Вывод 1 25 5" xfId="21905" xr:uid="{DB026BF0-A7D4-4929-B303-C19727D75BBD}"/>
    <cellStyle name="Вывод 1 25 6" xfId="34954" xr:uid="{765578F7-D7E1-4132-ADE2-6BB262F384DC}"/>
    <cellStyle name="Вывод 1 26" xfId="4292" xr:uid="{6ED473FA-B740-479B-8D22-5B7843772C12}"/>
    <cellStyle name="Вывод 1 26 2" xfId="6161" xr:uid="{1F93243A-307D-43F7-A1A6-FFE434872D4A}"/>
    <cellStyle name="Вывод 1 26 2 2" xfId="11703" xr:uid="{7419E30D-42CA-4658-AA3F-38604DE75C56}"/>
    <cellStyle name="Вывод 1 26 2 2 2" xfId="28435" xr:uid="{CF249471-1E09-42AB-AB23-ED2ADF8EA313}"/>
    <cellStyle name="Вывод 1 26 2 2 3" xfId="41645" xr:uid="{790A903B-3FA4-44FC-B408-EB460A3E1334}"/>
    <cellStyle name="Вывод 1 26 2 3" xfId="23806" xr:uid="{E5FE131F-82B2-4B6F-8E97-5DD2DC960784}"/>
    <cellStyle name="Вывод 1 26 2 4" xfId="36887" xr:uid="{109B43A8-1C28-4F21-85E5-70915DD6460C}"/>
    <cellStyle name="Вывод 1 26 3" xfId="13961" xr:uid="{685AA9AD-2DAA-408F-BDC4-66EB7C174618}"/>
    <cellStyle name="Вывод 1 26 3 2" xfId="30348" xr:uid="{A04FF8D4-0EDC-4334-BAFD-0399F2A0517E}"/>
    <cellStyle name="Вывод 1 26 3 3" xfId="43725" xr:uid="{5957A622-2386-4D78-9762-5AF6CE5AB69A}"/>
    <cellStyle name="Вывод 1 26 4" xfId="22113" xr:uid="{34BE280A-E5F0-4199-88B9-DB3840C92FE1}"/>
    <cellStyle name="Вывод 1 26 5" xfId="35162" xr:uid="{D724368F-4A44-4FC8-8000-9EDA6C37DDDE}"/>
    <cellStyle name="Вывод 1 27" xfId="5271" xr:uid="{23A24FB9-CC41-4891-8815-4BBE4C524F21}"/>
    <cellStyle name="Вывод 1 27 2" xfId="9704" xr:uid="{31D5062C-C8AF-4930-BE34-9724F1D4B8C0}"/>
    <cellStyle name="Вывод 1 27 2 2" xfId="10897" xr:uid="{07E168BC-F1C4-4579-9C46-59F87AAF786E}"/>
    <cellStyle name="Вывод 1 27 2 2 2" xfId="27718" xr:uid="{FFDA7998-7CF9-4C77-AA9B-334A95B8293F}"/>
    <cellStyle name="Вывод 1 27 2 2 3" xfId="40877" xr:uid="{8C84FF05-B002-4395-875A-59508DD2C404}"/>
    <cellStyle name="Вывод 1 27 2 3" xfId="27004" xr:uid="{E991158B-49EA-45AD-BD21-402D5263C074}"/>
    <cellStyle name="Вывод 1 27 2 4" xfId="40120" xr:uid="{231877E0-8E23-4A4E-9F4A-5C2E25283E04}"/>
    <cellStyle name="Вывод 1 27 3" xfId="11813" xr:uid="{6C8E2342-E37B-44C2-A210-2DF1A47B417B}"/>
    <cellStyle name="Вывод 1 27 3 2" xfId="28534" xr:uid="{967C994C-10D7-479E-A546-D8336A963152}"/>
    <cellStyle name="Вывод 1 27 3 3" xfId="41746" xr:uid="{1D251ACE-3174-4BA3-BB20-39439811A080}"/>
    <cellStyle name="Вывод 1 27 4" xfId="22923" xr:uid="{5D59529B-FF50-49B0-9E1A-AF6997DBCAB7}"/>
    <cellStyle name="Вывод 1 27 5" xfId="36001" xr:uid="{68C5E778-3117-484E-AE4A-EB2D6594C620}"/>
    <cellStyle name="Вывод 1 28" xfId="5352" xr:uid="{800CD3EC-795C-4D7B-89BB-D6BA787819DB}"/>
    <cellStyle name="Вывод 1 28 2" xfId="9783" xr:uid="{1E391F1F-5B29-4DD0-8AD3-3FE9979FDE36}"/>
    <cellStyle name="Вывод 1 28 2 2" xfId="13610" xr:uid="{8D622FDB-F9BA-4AA9-A468-03A1358F1964}"/>
    <cellStyle name="Вывод 1 28 2 2 2" xfId="30049" xr:uid="{B0055076-8A05-477E-B9C6-5D2AA6ECDEC7}"/>
    <cellStyle name="Вывод 1 28 2 2 3" xfId="43401" xr:uid="{E1B93EA0-AB6C-48AC-86D1-B8857EAAEE73}"/>
    <cellStyle name="Вывод 1 28 2 3" xfId="27080" xr:uid="{47914B73-F123-42A9-94F9-D6F524FD19AA}"/>
    <cellStyle name="Вывод 1 28 2 4" xfId="40199" xr:uid="{FD6D27CD-B6A2-4210-918E-3BD9AF8404ED}"/>
    <cellStyle name="Вывод 1 28 3" xfId="16247" xr:uid="{F3373A87-6B9D-470A-A95E-8F8507CAF2A1}"/>
    <cellStyle name="Вывод 1 28 3 2" xfId="32282" xr:uid="{9C902AFB-56CC-4820-AE70-6DAC5DFAD72F}"/>
    <cellStyle name="Вывод 1 28 3 3" xfId="45811" xr:uid="{52170E3B-C24B-4493-B6E9-DC98890D9270}"/>
    <cellStyle name="Вывод 1 28 4" xfId="22999" xr:uid="{28868D6D-009A-49C7-A05F-48188C0CA532}"/>
    <cellStyle name="Вывод 1 28 5" xfId="36080" xr:uid="{0B8A413F-95D0-4670-ADCE-602CD52BADA4}"/>
    <cellStyle name="Вывод 1 29" xfId="10562" xr:uid="{57DF7EC9-735B-4999-8691-7529E7F56B23}"/>
    <cellStyle name="Вывод 1 29 2" xfId="17607" xr:uid="{1F6C7485-B010-439E-A681-71AACAE6B1FA}"/>
    <cellStyle name="Вывод 1 29 2 2" xfId="33342" xr:uid="{1B81A834-7654-41C4-9187-FE16BD304755}"/>
    <cellStyle name="Вывод 1 29 2 3" xfId="47132" xr:uid="{953E756C-FDAE-4EA0-8065-A4E5A2036A46}"/>
    <cellStyle name="Вывод 1 29 3" xfId="27421" xr:uid="{4BB46156-54A8-4450-B061-C2EEC0322371}"/>
    <cellStyle name="Вывод 1 29 4" xfId="40543" xr:uid="{A15FF709-4C99-446B-8338-1E88C7D90A02}"/>
    <cellStyle name="Вывод 1 3" xfId="3341" xr:uid="{FBE36F0B-9ECF-48C3-99A8-F9E924D721DD}"/>
    <cellStyle name="Вывод 1 3 10" xfId="34387" xr:uid="{97AB9101-4420-4B61-9FE8-422ACD6AA9E5}"/>
    <cellStyle name="Вывод 1 3 2" xfId="2703" xr:uid="{9CBC1E18-047C-4A16-BE4D-CF2508AE7572}"/>
    <cellStyle name="Вывод 1 3 2 2" xfId="7999" xr:uid="{EFC89514-42A6-40BA-AD0E-D6500C027AE0}"/>
    <cellStyle name="Вывод 1 3 2 2 2" xfId="11612" xr:uid="{3DF799D5-6503-4CDD-A47D-8CE177A78925}"/>
    <cellStyle name="Вывод 1 3 2 2 2 2" xfId="28359" xr:uid="{3DDF75F2-EFDE-4DB7-A5AC-6164C3920B76}"/>
    <cellStyle name="Вывод 1 3 2 2 2 3" xfId="41561" xr:uid="{666341F5-A504-4891-9FAF-73783B806ACF}"/>
    <cellStyle name="Вывод 1 3 2 2 3" xfId="25514" xr:uid="{384CE21B-5B9E-4A2D-9BD9-7DD79F43E09E}"/>
    <cellStyle name="Вывод 1 3 2 2 4" xfId="38590" xr:uid="{22876A72-E3D8-452F-BD51-E7CD654730E9}"/>
    <cellStyle name="Вывод 1 3 2 3" xfId="6366" xr:uid="{5C4008B3-7DD7-477C-A79D-22C1E3211436}"/>
    <cellStyle name="Вывод 1 3 2 3 2" xfId="15355" xr:uid="{5C16A27C-652F-4E22-AD9F-037C787C8C7E}"/>
    <cellStyle name="Вывод 1 3 2 3 2 2" xfId="31512" xr:uid="{BD24FC49-F45E-4AE9-9B68-873C9D294509}"/>
    <cellStyle name="Вывод 1 3 2 3 2 3" xfId="44998" xr:uid="{820DD25F-DF01-41CB-8400-ABAFB9313656}"/>
    <cellStyle name="Вывод 1 3 2 3 3" xfId="24005" xr:uid="{7C62692D-38DE-4F32-90B4-D7CAA38EC497}"/>
    <cellStyle name="Вывод 1 3 2 3 4" xfId="37086" xr:uid="{FFEFD4D3-EAFA-4528-A32C-E5D6C5818816}"/>
    <cellStyle name="Вывод 1 3 2 4" xfId="14713" xr:uid="{EEAE924C-3FBD-49DF-908F-6F043F8AB3ED}"/>
    <cellStyle name="Вывод 1 3 2 4 2" xfId="31000" xr:uid="{28998A75-157F-4C71-954D-781CE5BE3CBF}"/>
    <cellStyle name="Вывод 1 3 2 4 3" xfId="44423" xr:uid="{84EBFDC2-D92E-4A1D-A608-B7BD40373765}"/>
    <cellStyle name="Вывод 1 3 2 5" xfId="20757" xr:uid="{3EE35306-34A1-4A14-98EA-4CFA33D110AE}"/>
    <cellStyle name="Вывод 1 3 2 6" xfId="33780" xr:uid="{CFE94AFD-F23C-47D4-8B59-22FB77F4DDD2}"/>
    <cellStyle name="Вывод 1 3 3" xfId="4143" xr:uid="{D1E0E4D4-D150-425C-8DF0-2CE2B9ADC415}"/>
    <cellStyle name="Вывод 1 3 3 2" xfId="9195" xr:uid="{E3D7C42B-1E64-4E4F-A167-8F88D9DE5EBE}"/>
    <cellStyle name="Вывод 1 3 3 2 2" xfId="14062" xr:uid="{CBE9A8C3-6064-4D71-9D20-EFB4F45D501F}"/>
    <cellStyle name="Вывод 1 3 3 2 2 2" xfId="30432" xr:uid="{8DEE11A6-514F-4E44-AAAA-1F78677E3AC9}"/>
    <cellStyle name="Вывод 1 3 3 2 2 3" xfId="43815" xr:uid="{6D2CCF36-EDC1-4A59-88D9-199550906995}"/>
    <cellStyle name="Вывод 1 3 3 2 3" xfId="26671" xr:uid="{4B831833-2194-484E-BFF6-96FC09832E73}"/>
    <cellStyle name="Вывод 1 3 3 2 4" xfId="39747" xr:uid="{DCAB72F8-7CDE-4211-8855-6775D9F8AA7E}"/>
    <cellStyle name="Вывод 1 3 3 3" xfId="7707" xr:uid="{1B67FCDF-457D-4375-85CD-6418B8FF0E7C}"/>
    <cellStyle name="Вывод 1 3 3 3 2" xfId="14363" xr:uid="{D0EFAB3C-09A5-49C9-9AA2-4CBF9EC61711}"/>
    <cellStyle name="Вывод 1 3 3 3 2 2" xfId="30696" xr:uid="{9CE3A38C-F682-4ED6-B2F5-8779E3CFD33D}"/>
    <cellStyle name="Вывод 1 3 3 3 2 3" xfId="44093" xr:uid="{15140022-56FA-4B44-850A-9D9C04CB044D}"/>
    <cellStyle name="Вывод 1 3 3 3 3" xfId="25230" xr:uid="{F4D23E56-D165-4624-ABE7-03EB5E22C7A5}"/>
    <cellStyle name="Вывод 1 3 3 3 4" xfId="38306" xr:uid="{91952AB5-B117-4DC5-8849-F3DCB3EBE011}"/>
    <cellStyle name="Вывод 1 3 3 4" xfId="14408" xr:uid="{636FD718-DD40-4C54-B790-4758DCEEC5D8}"/>
    <cellStyle name="Вывод 1 3 3 4 2" xfId="30739" xr:uid="{0142D12E-BD9B-425B-936A-546A50C259E2}"/>
    <cellStyle name="Вывод 1 3 3 4 3" xfId="44138" xr:uid="{4D92BF90-D9B7-4123-AE85-E97E9406E919}"/>
    <cellStyle name="Вывод 1 3 3 5" xfId="21971" xr:uid="{998AFAEC-4825-4CA5-96EC-F83BE5052996}"/>
    <cellStyle name="Вывод 1 3 3 6" xfId="35020" xr:uid="{50594CEF-996C-4D74-9C79-441F3DED3731}"/>
    <cellStyle name="Вывод 1 3 4" xfId="2583" xr:uid="{FA57D611-770A-48FB-BAD5-F6374F616E5D}"/>
    <cellStyle name="Вывод 1 3 4 2" xfId="7880" xr:uid="{EA6B0301-1A14-4E7A-88FB-9B6A2B46F095}"/>
    <cellStyle name="Вывод 1 3 4 2 2" xfId="10683" xr:uid="{F517BBAF-5B2B-4646-A43D-8BA1A636B042}"/>
    <cellStyle name="Вывод 1 3 4 2 2 2" xfId="27532" xr:uid="{7FD956F6-56E6-440F-9009-C9E2F7ABAC1A}"/>
    <cellStyle name="Вывод 1 3 4 2 2 3" xfId="40664" xr:uid="{534725BC-FBC6-4923-A8D5-017F4F686A57}"/>
    <cellStyle name="Вывод 1 3 4 2 3" xfId="25399" xr:uid="{9D804B55-93BE-4347-A333-129AED3F9BF5}"/>
    <cellStyle name="Вывод 1 3 4 2 4" xfId="38475" xr:uid="{2A3A8CA2-A652-4A32-AE52-3BF39837BB8E}"/>
    <cellStyle name="Вывод 1 3 4 3" xfId="6247" xr:uid="{D61D407B-28CB-476D-B35A-DDB7A680B80A}"/>
    <cellStyle name="Вывод 1 3 4 3 2" xfId="11201" xr:uid="{A0CC40C4-3A23-4D8D-A04E-A91264873061}"/>
    <cellStyle name="Вывод 1 3 4 3 2 2" xfId="27995" xr:uid="{EEF29EAA-A547-4902-BF0B-FD0D3C180869}"/>
    <cellStyle name="Вывод 1 3 4 3 2 3" xfId="41177" xr:uid="{3F146E71-93BA-4AEE-B905-A045A26E1BF6}"/>
    <cellStyle name="Вывод 1 3 4 3 3" xfId="23890" xr:uid="{9FC4AF03-21DB-41DE-AC63-B003A267448C}"/>
    <cellStyle name="Вывод 1 3 4 3 4" xfId="36971" xr:uid="{93974619-906B-454E-A3B3-C5FE8FA8F862}"/>
    <cellStyle name="Вывод 1 3 4 4" xfId="15266" xr:uid="{903260B6-A913-44CF-AF50-0CE8466BBD96}"/>
    <cellStyle name="Вывод 1 3 4 4 2" xfId="31441" xr:uid="{24350A2E-6A61-4A9C-A66E-82ED592E2BC2}"/>
    <cellStyle name="Вывод 1 3 4 4 3" xfId="44917" xr:uid="{9B84F7BF-B242-4437-9519-E33EB520113A}"/>
    <cellStyle name="Вывод 1 3 4 5" xfId="20642" xr:uid="{507E0CF1-D009-4605-8CA6-AD0480DCF930}"/>
    <cellStyle name="Вывод 1 3 4 6" xfId="33665" xr:uid="{60FCA92C-C2E1-4DE0-AD10-94D7EF5CD682}"/>
    <cellStyle name="Вывод 1 3 5" xfId="4141" xr:uid="{36EF0A6F-0DF4-4B82-9935-4824CC4D6EFB}"/>
    <cellStyle name="Вывод 1 3 5 2" xfId="9193" xr:uid="{D4167823-0A68-4F94-AB37-CFF6586863CD}"/>
    <cellStyle name="Вывод 1 3 5 2 2" xfId="11283" xr:uid="{0E0CD2D3-37EF-49F7-9A2B-8C70C1A594F5}"/>
    <cellStyle name="Вывод 1 3 5 2 2 2" xfId="28070" xr:uid="{F0DC8C60-22AD-4E95-B952-75BA5C5ED946}"/>
    <cellStyle name="Вывод 1 3 5 2 2 3" xfId="41252" xr:uid="{03D39B7F-0FCC-44B6-8742-99C6DA01EA0E}"/>
    <cellStyle name="Вывод 1 3 5 2 3" xfId="26670" xr:uid="{C79DDA66-97C3-4BB3-AD2C-293B2AC928E9}"/>
    <cellStyle name="Вывод 1 3 5 2 4" xfId="39746" xr:uid="{15D5AD55-12C1-4284-B06B-682F03A72AF4}"/>
    <cellStyle name="Вывод 1 3 5 3" xfId="7705" xr:uid="{4751E2A4-957B-4EE5-9B97-A74A62E0C130}"/>
    <cellStyle name="Вывод 1 3 5 3 2" xfId="17562" xr:uid="{682DD3E6-1F13-4A38-B40D-29CCED843DF8}"/>
    <cellStyle name="Вывод 1 3 5 3 2 2" xfId="33299" xr:uid="{9BEAEEEC-657B-419A-9513-FB0986B45E66}"/>
    <cellStyle name="Вывод 1 3 5 3 2 3" xfId="47087" xr:uid="{3B5C77E5-F529-4018-8739-7EC4DE4FC9E6}"/>
    <cellStyle name="Вывод 1 3 5 3 3" xfId="25229" xr:uid="{871F4E0D-572F-4F9D-8AAF-C8F6F2B09B93}"/>
    <cellStyle name="Вывод 1 3 5 3 4" xfId="38305" xr:uid="{DD0BF351-CB31-43E9-809C-5F2C903E4CD8}"/>
    <cellStyle name="Вывод 1 3 5 4" xfId="12369" xr:uid="{DEBD679B-9F78-4128-9E08-06DD83298A28}"/>
    <cellStyle name="Вывод 1 3 5 4 2" xfId="29035" xr:uid="{F0BAF1EE-9692-4300-AF97-4CDC7128D929}"/>
    <cellStyle name="Вывод 1 3 5 4 3" xfId="42275" xr:uid="{C05930FD-6316-4AE4-9DD4-D004293491B6}"/>
    <cellStyle name="Вывод 1 3 5 5" xfId="21970" xr:uid="{B86761CF-31D0-4599-8224-4515E680B6B3}"/>
    <cellStyle name="Вывод 1 3 5 6" xfId="35019" xr:uid="{25A0AA7F-E6C2-43AC-BAD0-CBB6DA4BD303}"/>
    <cellStyle name="Вывод 1 3 6" xfId="4372" xr:uid="{3D9A1319-5F2F-4840-BCA2-6B7A7DCB809E}"/>
    <cellStyle name="Вывод 1 3 6 2" xfId="6991" xr:uid="{88C5E9DD-9349-48B9-961C-23746F74D3C2}"/>
    <cellStyle name="Вывод 1 3 6 2 2" xfId="10841" xr:uid="{5D8F2AE7-0FAF-4ED1-B5A5-1FEA6134A8D0}"/>
    <cellStyle name="Вывод 1 3 6 2 2 2" xfId="27671" xr:uid="{53787FDB-96D9-4D02-8916-A2DAA7E42E47}"/>
    <cellStyle name="Вывод 1 3 6 2 2 3" xfId="40822" xr:uid="{EBDB45EF-3A36-4DE5-9B23-7117AECF5234}"/>
    <cellStyle name="Вывод 1 3 6 2 3" xfId="24612" xr:uid="{A0310564-E63F-4CA8-8A8D-51FE3A144147}"/>
    <cellStyle name="Вывод 1 3 6 2 4" xfId="37693" xr:uid="{8C37E8A8-D8D7-4EBD-BBF3-F656541F10BD}"/>
    <cellStyle name="Вывод 1 3 6 3" xfId="15477" xr:uid="{4A62E6E9-3009-4D47-8DB4-FA12085C8921}"/>
    <cellStyle name="Вывод 1 3 6 3 2" xfId="31619" xr:uid="{F99B4CEB-7E15-4DC1-855A-E4DC35743173}"/>
    <cellStyle name="Вывод 1 3 6 3 3" xfId="45116" xr:uid="{D98B3F5E-D7A8-418C-BEFB-9F791007ABBE}"/>
    <cellStyle name="Вывод 1 3 6 4" xfId="22191" xr:uid="{4A2677EE-F0BE-4133-8F4A-E8AF8BE6738D}"/>
    <cellStyle name="Вывод 1 3 6 5" xfId="35240" xr:uid="{6F4CD609-5FF8-4786-BCEE-1292A36A52FB}"/>
    <cellStyle name="Вывод 1 3 7" xfId="5426" xr:uid="{8AAE899E-55F8-4C78-9B67-85ADF03187C6}"/>
    <cellStyle name="Вывод 1 3 7 2" xfId="8604" xr:uid="{0D96DEE4-0B58-43F3-9B6F-39EF65ACA4BB}"/>
    <cellStyle name="Вывод 1 3 7 2 2" xfId="17450" xr:uid="{E22F2108-A1AD-42AC-B553-97B645C97CF7}"/>
    <cellStyle name="Вывод 1 3 7 2 2 2" xfId="33197" xr:uid="{28C58AFC-1426-4A98-8EF6-541282CA85F0}"/>
    <cellStyle name="Вывод 1 3 7 2 2 3" xfId="46980" xr:uid="{E7539F95-FA64-4D68-BC84-605531A24056}"/>
    <cellStyle name="Вывод 1 3 7 2 3" xfId="26101" xr:uid="{42902F12-83AC-410D-9C5C-4B07BAE1CA3D}"/>
    <cellStyle name="Вывод 1 3 7 2 4" xfId="39177" xr:uid="{CEC71D0E-9874-47C2-AC3B-11CE061853C9}"/>
    <cellStyle name="Вывод 1 3 7 3" xfId="13958" xr:uid="{5FBA5671-DE72-4433-8A26-F4BBE47BB04E}"/>
    <cellStyle name="Вывод 1 3 7 3 2" xfId="30345" xr:uid="{55C66D02-35C1-49C6-A85F-E464A0D4F8D2}"/>
    <cellStyle name="Вывод 1 3 7 3 3" xfId="43722" xr:uid="{C60ABDEF-6987-410C-8C6C-EB91D05A38A0}"/>
    <cellStyle name="Вывод 1 3 7 4" xfId="23073" xr:uid="{6117486E-7B39-4B6C-8286-7FA8F7B4D196}"/>
    <cellStyle name="Вывод 1 3 7 5" xfId="36154" xr:uid="{90D1D57D-3B81-451F-9A7B-776D16C91723}"/>
    <cellStyle name="Вывод 1 3 8" xfId="15550" xr:uid="{674E33F7-5C2E-48BF-8398-80F7B170F784}"/>
    <cellStyle name="Вывод 1 3 8 2" xfId="31683" xr:uid="{0C236E24-9DBC-4C52-83B2-8244D4208E74}"/>
    <cellStyle name="Вывод 1 3 8 3" xfId="45182" xr:uid="{561572DF-04CF-46ED-ADFF-4F2EC71092C4}"/>
    <cellStyle name="Вывод 1 3 9" xfId="21364" xr:uid="{3A42E950-DFBB-450D-A0AB-8DD9765D6E46}"/>
    <cellStyle name="Вывод 1 30" xfId="11992" xr:uid="{29ADF894-B126-4500-8D5C-B637F48B6A30}"/>
    <cellStyle name="Вывод 1 30 2" xfId="28698" xr:uid="{005C9CF0-F635-457F-8C67-0426CF9310DA}"/>
    <cellStyle name="Вывод 1 30 3" xfId="41916" xr:uid="{8879C48C-33F3-4555-862E-57FB1B3C13BD}"/>
    <cellStyle name="Вывод 1 31" xfId="16439" xr:uid="{3532B8D3-D4B9-485F-BD47-2EFDEAE7938B}"/>
    <cellStyle name="Вывод 1 31 2" xfId="32451" xr:uid="{1E994DEE-EBB9-4C66-92B6-085E8EB48378}"/>
    <cellStyle name="Вывод 1 31 3" xfId="45989" xr:uid="{8EEB7135-F8A3-4A59-A6D6-237070E9A11F}"/>
    <cellStyle name="Вывод 1 32" xfId="11111" xr:uid="{2EAD5547-71D7-4115-B985-5D0232E83406}"/>
    <cellStyle name="Вывод 1 32 2" xfId="27912" xr:uid="{0E269F33-928C-4DD9-954D-48426EDD8F3D}"/>
    <cellStyle name="Вывод 1 32 3" xfId="41090" xr:uid="{7A61C3EB-8CC7-47E3-AF59-8A64880533E8}"/>
    <cellStyle name="Вывод 1 33" xfId="17660" xr:uid="{F469DA74-B0F6-46A0-8DF5-030690FF4751}"/>
    <cellStyle name="Вывод 1 33 2" xfId="33383" xr:uid="{CF50A182-BAA3-4E4E-A0AB-60B0E62CFBA1}"/>
    <cellStyle name="Вывод 1 33 3" xfId="47172" xr:uid="{9A35FD3A-EAEE-456A-9329-FEB8143D2011}"/>
    <cellStyle name="Вывод 1 34" xfId="33561" xr:uid="{734D3AFF-27AC-4ADA-8151-E1402FADABB5}"/>
    <cellStyle name="Вывод 1 4" xfId="3464" xr:uid="{17215BF6-A608-456C-846D-F97526BA4D33}"/>
    <cellStyle name="Вывод 1 4 10" xfId="34480" xr:uid="{CBE4E8C3-DD6F-4D48-A8B5-65ADD82F1567}"/>
    <cellStyle name="Вывод 1 4 2" xfId="2806" xr:uid="{16C098F4-BE26-465E-B9BB-C4C265D9215D}"/>
    <cellStyle name="Вывод 1 4 2 2" xfId="8102" xr:uid="{BF60F847-0138-4350-8A0A-0CE239607124}"/>
    <cellStyle name="Вывод 1 4 2 2 2" xfId="13679" xr:uid="{F8A9D425-5A83-4251-AD8E-9A1F11E4B3D4}"/>
    <cellStyle name="Вывод 1 4 2 2 2 2" xfId="30104" xr:uid="{12004EF6-91CD-4917-BEED-7F0A20A52971}"/>
    <cellStyle name="Вывод 1 4 2 2 2 3" xfId="43463" xr:uid="{0F3D5667-1077-4F4B-8F32-BAEED697F1A7}"/>
    <cellStyle name="Вывод 1 4 2 2 3" xfId="25613" xr:uid="{DF28B454-A267-4600-AE80-5BA04DFAF1C6}"/>
    <cellStyle name="Вывод 1 4 2 2 4" xfId="38689" xr:uid="{EE7971C5-70A1-41C4-85BE-3D9A0085E7CF}"/>
    <cellStyle name="Вывод 1 4 2 3" xfId="6469" xr:uid="{825BA825-B8EE-4E67-B6D2-649F51D8AAF8}"/>
    <cellStyle name="Вывод 1 4 2 3 2" xfId="16314" xr:uid="{A15A256A-5731-4E1A-BAFE-9C68992DE063}"/>
    <cellStyle name="Вывод 1 4 2 3 2 2" xfId="32340" xr:uid="{A8C2A002-09C1-49BB-852C-B184A7B0F502}"/>
    <cellStyle name="Вывод 1 4 2 3 2 3" xfId="45871" xr:uid="{29D0D668-82FB-44C1-8253-9C04513B633D}"/>
    <cellStyle name="Вывод 1 4 2 3 3" xfId="24104" xr:uid="{01D40668-8515-4357-870B-6CD5EE623FDB}"/>
    <cellStyle name="Вывод 1 4 2 3 4" xfId="37185" xr:uid="{4130F305-B4B0-4D44-B652-2D3EBD48A815}"/>
    <cellStyle name="Вывод 1 4 2 4" xfId="14407" xr:uid="{EFF110AA-133D-4CEA-9937-E82946DD2535}"/>
    <cellStyle name="Вывод 1 4 2 4 2" xfId="30738" xr:uid="{7D39EF0F-97D0-4AB1-BB90-0C3329D0A593}"/>
    <cellStyle name="Вывод 1 4 2 4 3" xfId="44137" xr:uid="{DFB2ABEF-EF05-4755-B467-24062AC97BCE}"/>
    <cellStyle name="Вывод 1 4 2 5" xfId="20856" xr:uid="{169F7657-DB88-45D1-B17F-274C8C0726B6}"/>
    <cellStyle name="Вывод 1 4 2 6" xfId="33879" xr:uid="{F4D47EFC-A084-4063-964A-C66D917E976F}"/>
    <cellStyle name="Вывод 1 4 3" xfId="4169" xr:uid="{73AF0BBA-834D-4613-B2E6-42565E56A3B8}"/>
    <cellStyle name="Вывод 1 4 3 2" xfId="9221" xr:uid="{FF602D88-AC00-40EE-AF3B-89E70120569A}"/>
    <cellStyle name="Вывод 1 4 3 2 2" xfId="14286" xr:uid="{CDDDBE56-692D-4A2E-A375-5B0D6A61F8DC}"/>
    <cellStyle name="Вывод 1 4 3 2 2 2" xfId="30626" xr:uid="{A49A935F-D62D-494E-B3A6-B585CAB93A73}"/>
    <cellStyle name="Вывод 1 4 3 2 2 3" xfId="44019" xr:uid="{AF8C4CEF-A4C7-483C-831C-68839687877D}"/>
    <cellStyle name="Вывод 1 4 3 2 3" xfId="26696" xr:uid="{014C9032-CFD9-4389-865B-AFF4389A21A5}"/>
    <cellStyle name="Вывод 1 4 3 2 4" xfId="39772" xr:uid="{C733ACDA-B9AD-402B-8642-3C984EDC60E3}"/>
    <cellStyle name="Вывод 1 4 3 3" xfId="7733" xr:uid="{60AD607D-6432-411B-91FF-AA9C78632316}"/>
    <cellStyle name="Вывод 1 4 3 3 2" xfId="17149" xr:uid="{096D539A-2ADD-44FE-982F-F43E294F3D91}"/>
    <cellStyle name="Вывод 1 4 3 3 2 2" xfId="32912" xr:uid="{9299F03D-FB73-4643-950B-D18935B4A31A}"/>
    <cellStyle name="Вывод 1 4 3 3 2 3" xfId="46684" xr:uid="{61029C98-13BB-46E7-9AFE-EA747EE7129A}"/>
    <cellStyle name="Вывод 1 4 3 3 3" xfId="25255" xr:uid="{8194E151-3344-4F2A-A76B-2286F75CE154}"/>
    <cellStyle name="Вывод 1 4 3 3 4" xfId="38331" xr:uid="{E27A3950-589C-4E8E-A180-A608BE05CAEB}"/>
    <cellStyle name="Вывод 1 4 3 4" xfId="12034" xr:uid="{2E3694A0-C0F6-44E0-B671-C07C68BD7502}"/>
    <cellStyle name="Вывод 1 4 3 4 2" xfId="28736" xr:uid="{E194B3C1-FB19-40C5-BA29-6BC40E813E3F}"/>
    <cellStyle name="Вывод 1 4 3 4 3" xfId="41954" xr:uid="{1F282A61-63A0-40CC-965D-52292CA1F5A4}"/>
    <cellStyle name="Вывод 1 4 3 5" xfId="21996" xr:uid="{AFA44789-0457-46BD-867A-7891FDE5B4A6}"/>
    <cellStyle name="Вывод 1 4 3 6" xfId="35045" xr:uid="{C67EECA6-8C8E-43F4-9D42-0C7FB18A840A}"/>
    <cellStyle name="Вывод 1 4 4" xfId="3203" xr:uid="{82D0EFFD-522B-45B3-AF38-03E6D7872227}"/>
    <cellStyle name="Вывод 1 4 4 2" xfId="8494" xr:uid="{11252D23-42BB-4E56-9998-C87F9305EE69}"/>
    <cellStyle name="Вывод 1 4 4 2 2" xfId="14114" xr:uid="{670DFE49-ED9A-46D8-9FD1-785EDB59CB68}"/>
    <cellStyle name="Вывод 1 4 4 2 2 2" xfId="30479" xr:uid="{D96E9E02-FA4C-4969-AD17-34507CD6AD11}"/>
    <cellStyle name="Вывод 1 4 4 2 2 3" xfId="43862" xr:uid="{AA4E3CC5-4CE5-4D13-82FC-CF94A9A8F291}"/>
    <cellStyle name="Вывод 1 4 4 2 3" xfId="25994" xr:uid="{8FBB5B82-1871-4B0B-BB61-35CC6F46B99E}"/>
    <cellStyle name="Вывод 1 4 4 2 4" xfId="39070" xr:uid="{A4379197-EB76-461F-938D-F2016A434817}"/>
    <cellStyle name="Вывод 1 4 4 3" xfId="6862" xr:uid="{40DC4E4A-29E9-46C3-8016-EC72E915EAC0}"/>
    <cellStyle name="Вывод 1 4 4 3 2" xfId="11400" xr:uid="{3AA5052C-22F8-4999-A20A-EBAB46DDEABE}"/>
    <cellStyle name="Вывод 1 4 4 3 2 2" xfId="28172" xr:uid="{C0915B09-B83A-4814-B827-8F12645FDCCB}"/>
    <cellStyle name="Вывод 1 4 4 3 2 3" xfId="41362" xr:uid="{F87DFDF6-BE64-4120-834F-6037F0AAEACD}"/>
    <cellStyle name="Вывод 1 4 4 3 3" xfId="24486" xr:uid="{C0789C80-978B-4471-9B4A-C256C634FEAD}"/>
    <cellStyle name="Вывод 1 4 4 3 4" xfId="37567" xr:uid="{54B64956-A794-445D-8132-EC97A1E896A1}"/>
    <cellStyle name="Вывод 1 4 4 4" xfId="14833" xr:uid="{B439F68B-868F-4162-8FB3-81BA84B619C2}"/>
    <cellStyle name="Вывод 1 4 4 4 2" xfId="31090" xr:uid="{FBF5046A-6896-408B-9BB3-68C65ADE38AB}"/>
    <cellStyle name="Вывод 1 4 4 4 3" xfId="44528" xr:uid="{F9851A7A-F4CF-41BD-ABDD-995BAA058D90}"/>
    <cellStyle name="Вывод 1 4 4 5" xfId="21238" xr:uid="{1F006542-5DF2-48EE-97EC-340D936525D2}"/>
    <cellStyle name="Вывод 1 4 4 6" xfId="34261" xr:uid="{FF1ED936-D1AA-473D-8045-C68BEDDF18A4}"/>
    <cellStyle name="Вывод 1 4 5" xfId="4235" xr:uid="{A0EC770D-3687-439B-8323-CC02D69DBD36}"/>
    <cellStyle name="Вывод 1 4 5 2" xfId="9287" xr:uid="{F977969E-0572-4003-8A91-839838B7AA41}"/>
    <cellStyle name="Вывод 1 4 5 2 2" xfId="12420" xr:uid="{D98BFC8A-9D33-4D37-8917-0E97CDCC477E}"/>
    <cellStyle name="Вывод 1 4 5 2 2 2" xfId="29077" xr:uid="{6AD76D39-72B0-4CF8-8142-A07742761886}"/>
    <cellStyle name="Вывод 1 4 5 2 2 3" xfId="42322" xr:uid="{7D03B8DE-63FE-49C8-AB07-9D369A678AD6}"/>
    <cellStyle name="Вывод 1 4 5 2 3" xfId="26760" xr:uid="{D4848D0F-B135-4D78-8BEB-8133D3EA47CD}"/>
    <cellStyle name="Вывод 1 4 5 2 4" xfId="39836" xr:uid="{3CB0ECDC-5BBB-418C-B85B-DADE46482310}"/>
    <cellStyle name="Вывод 1 4 5 3" xfId="7799" xr:uid="{B4F9FC8C-C81F-4632-B8F2-A26A8A19152F}"/>
    <cellStyle name="Вывод 1 4 5 3 2" xfId="10896" xr:uid="{19457758-4E55-4C66-8CA4-2086F5F127A0}"/>
    <cellStyle name="Вывод 1 4 5 3 2 2" xfId="27717" xr:uid="{C9950CC2-4DA4-4359-854A-7A3CFDCEB9E2}"/>
    <cellStyle name="Вывод 1 4 5 3 2 3" xfId="40876" xr:uid="{29F2AEC2-94CD-44C0-BC55-5B7C7297A6B2}"/>
    <cellStyle name="Вывод 1 4 5 3 3" xfId="25319" xr:uid="{4062DA49-F96F-4049-9425-D95A1BAB9DF3}"/>
    <cellStyle name="Вывод 1 4 5 3 4" xfId="38395" xr:uid="{B683E7E5-8344-4358-8807-B05ABD6338BE}"/>
    <cellStyle name="Вывод 1 4 5 4" xfId="17110" xr:uid="{65DB7E76-E359-4FD9-BE57-E97B144A41A7}"/>
    <cellStyle name="Вывод 1 4 5 4 2" xfId="32876" xr:uid="{5D927BCD-C9EB-4732-B7F8-ECD4071D6A55}"/>
    <cellStyle name="Вывод 1 4 5 4 3" xfId="46647" xr:uid="{4BFE4316-D821-4B14-9E19-4132BFA0DA15}"/>
    <cellStyle name="Вывод 1 4 5 5" xfId="22060" xr:uid="{7153AC4A-917B-400F-A081-6F6C2C288D96}"/>
    <cellStyle name="Вывод 1 4 5 6" xfId="35109" xr:uid="{17B94EC1-6DA8-42B3-9D75-F995945A8E75}"/>
    <cellStyle name="Вывод 1 4 6" xfId="4466" xr:uid="{AEA043CF-DA3A-42EB-9044-33FA5A74D8CE}"/>
    <cellStyle name="Вывод 1 4 6 2" xfId="7106" xr:uid="{5FBCC74F-120C-45EC-A04C-16FF84B1A32F}"/>
    <cellStyle name="Вывод 1 4 6 2 2" xfId="13561" xr:uid="{8F9FA42E-1E2B-4EA9-A7CF-86F43EE1EB05}"/>
    <cellStyle name="Вывод 1 4 6 2 2 2" xfId="30005" xr:uid="{BC6789CE-D856-4F9E-BDEA-3C38680A31B4}"/>
    <cellStyle name="Вывод 1 4 6 2 2 3" xfId="43354" xr:uid="{04006C6C-5705-4F22-B262-34DB33CB4495}"/>
    <cellStyle name="Вывод 1 4 6 2 3" xfId="24705" xr:uid="{3371459D-86E1-498E-9D27-76C26964870E}"/>
    <cellStyle name="Вывод 1 4 6 2 4" xfId="37786" xr:uid="{1757BF69-04C7-4A3B-AA99-5DC4BED66779}"/>
    <cellStyle name="Вывод 1 4 6 3" xfId="12049" xr:uid="{BBE8910D-5957-4839-8F36-CC555A4E2858}"/>
    <cellStyle name="Вывод 1 4 6 3 2" xfId="28749" xr:uid="{8B4C12A6-4B1D-4031-8F6A-47A7FBD588C8}"/>
    <cellStyle name="Вывод 1 4 6 3 3" xfId="41969" xr:uid="{22B7D0D4-FC45-429E-B8B7-8A8B399866C5}"/>
    <cellStyle name="Вывод 1 4 6 4" xfId="22284" xr:uid="{75909C43-5107-4BAE-B283-4A90D78A6B10}"/>
    <cellStyle name="Вывод 1 4 6 5" xfId="35333" xr:uid="{ABCC9E52-F8A0-479B-9B44-AA2A2DD2B956}"/>
    <cellStyle name="Вывод 1 4 7" xfId="5519" xr:uid="{DB8C1AE2-5C6C-4908-829A-D5ECDF79ED99}"/>
    <cellStyle name="Вывод 1 4 7 2" xfId="8701" xr:uid="{31A7245D-4F47-4101-B013-8BF059974BC4}"/>
    <cellStyle name="Вывод 1 4 7 2 2" xfId="13011" xr:uid="{C5936A21-6886-41C6-A16B-970893CA36D5}"/>
    <cellStyle name="Вывод 1 4 7 2 2 2" xfId="29544" xr:uid="{EB08D251-1ADF-46A3-9D1E-5615B35D3385}"/>
    <cellStyle name="Вывод 1 4 7 2 2 3" xfId="42846" xr:uid="{C8E6AB66-2CAF-4DE1-835F-424D61FCCA47}"/>
    <cellStyle name="Вывод 1 4 7 2 3" xfId="26194" xr:uid="{FB8697E8-F2BD-4C14-B1C6-1268551EDF62}"/>
    <cellStyle name="Вывод 1 4 7 2 4" xfId="39270" xr:uid="{FA45F030-D6E1-4D82-AE28-93E8BF2E280E}"/>
    <cellStyle name="Вывод 1 4 7 3" xfId="11851" xr:uid="{C91C5DB0-DB8B-43B8-A5DF-01504A9EB2A5}"/>
    <cellStyle name="Вывод 1 4 7 3 2" xfId="28568" xr:uid="{73F2D021-B738-4A33-9293-4CF881EE290E}"/>
    <cellStyle name="Вывод 1 4 7 3 3" xfId="41784" xr:uid="{03878346-319A-4B7D-A98B-F6A1AF7C593C}"/>
    <cellStyle name="Вывод 1 4 7 4" xfId="23166" xr:uid="{D361814A-71AE-4559-8719-06F5491CB509}"/>
    <cellStyle name="Вывод 1 4 7 5" xfId="36247" xr:uid="{7B609D53-8C8A-4490-BA3E-F00ACD56E86F}"/>
    <cellStyle name="Вывод 1 4 8" xfId="12071" xr:uid="{B6DE3420-A1E2-43AA-A624-CF351B61FFC0}"/>
    <cellStyle name="Вывод 1 4 8 2" xfId="28771" xr:uid="{8926307F-E225-4FFF-9DAB-AFABBF2DBAE3}"/>
    <cellStyle name="Вывод 1 4 8 3" xfId="41991" xr:uid="{43A94E49-2578-4314-9D8C-7B8C5837FFE5}"/>
    <cellStyle name="Вывод 1 4 9" xfId="21436" xr:uid="{753DD6B9-A55F-4026-BA50-A9BC8D2D9715}"/>
    <cellStyle name="Вывод 1 5" xfId="3441" xr:uid="{4EAE8EE5-CE46-4FDD-B17B-1E324809CF25}"/>
    <cellStyle name="Вывод 1 5 2" xfId="2783" xr:uid="{1233F9B6-3C48-44BE-94DC-BF7169115205}"/>
    <cellStyle name="Вывод 1 5 2 2" xfId="8079" xr:uid="{5A56509A-45F8-48F6-88AB-D61FF1009FCE}"/>
    <cellStyle name="Вывод 1 5 2 2 2" xfId="10599" xr:uid="{73679A2E-D154-41AC-97B7-50A5731B4062}"/>
    <cellStyle name="Вывод 1 5 2 2 2 2" xfId="27458" xr:uid="{E699C2C6-28A8-456F-9CB4-54179EEBF02C}"/>
    <cellStyle name="Вывод 1 5 2 2 2 3" xfId="40580" xr:uid="{57BF9C92-942F-4212-96A4-104DF357BD03}"/>
    <cellStyle name="Вывод 1 5 2 2 3" xfId="25590" xr:uid="{36BAA07E-FF9B-4C98-B531-EF6A9EE9BD8E}"/>
    <cellStyle name="Вывод 1 5 2 2 4" xfId="38666" xr:uid="{4CAFE592-4750-4B35-83AE-02CC46C73CCA}"/>
    <cellStyle name="Вывод 1 5 2 3" xfId="6446" xr:uid="{5DB69226-C0F8-40DB-89F6-95D950F8A4DB}"/>
    <cellStyle name="Вывод 1 5 2 3 2" xfId="13433" xr:uid="{57631789-47C5-4DEB-820D-57E38F675390}"/>
    <cellStyle name="Вывод 1 5 2 3 2 2" xfId="29898" xr:uid="{B88A510C-6F58-46A0-BDC5-37B6E6778E26}"/>
    <cellStyle name="Вывод 1 5 2 3 2 3" xfId="43236" xr:uid="{8AA9DC55-6FBA-430E-9685-F45F48E11ECC}"/>
    <cellStyle name="Вывод 1 5 2 3 3" xfId="24081" xr:uid="{2C25A4FB-6C8B-4771-81EC-76C0DA76037A}"/>
    <cellStyle name="Вывод 1 5 2 3 4" xfId="37162" xr:uid="{9537F94A-4103-49D2-ACE1-520AB3981EBC}"/>
    <cellStyle name="Вывод 1 5 2 4" xfId="17295" xr:uid="{35A73F00-2466-415C-AC75-3942532F431D}"/>
    <cellStyle name="Вывод 1 5 2 4 2" xfId="33053" xr:uid="{01021A11-E1B1-40F4-B916-57BE3A8DE415}"/>
    <cellStyle name="Вывод 1 5 2 4 3" xfId="46829" xr:uid="{638B871B-FC7E-494F-BDE8-DD95AF624FEB}"/>
    <cellStyle name="Вывод 1 5 2 5" xfId="20833" xr:uid="{5E89707E-E81A-43D7-A78D-CF75187FF4BF}"/>
    <cellStyle name="Вывод 1 5 2 6" xfId="33856" xr:uid="{22A53B05-62E7-4B92-8AB4-33099D7335CE}"/>
    <cellStyle name="Вывод 1 5 3" xfId="4443" xr:uid="{038BF500-6014-45F9-AA2A-A443808D4E53}"/>
    <cellStyle name="Вывод 1 5 3 2" xfId="7083" xr:uid="{9EC552EA-E5B4-42AA-86A6-45E6DE44812D}"/>
    <cellStyle name="Вывод 1 5 3 2 2" xfId="11528" xr:uid="{20B22573-0E8C-4D09-8686-83E2171B0F4B}"/>
    <cellStyle name="Вывод 1 5 3 2 2 2" xfId="28286" xr:uid="{9582AA72-B611-4932-983E-4F16BDE3329C}"/>
    <cellStyle name="Вывод 1 5 3 2 2 3" xfId="41483" xr:uid="{D234B4D3-8CCC-4929-9529-DDA8F64DBAA9}"/>
    <cellStyle name="Вывод 1 5 3 2 3" xfId="24682" xr:uid="{E7C6A43E-DAB8-4D42-9D05-8E9794EE627F}"/>
    <cellStyle name="Вывод 1 5 3 2 4" xfId="37763" xr:uid="{B3AFAA13-F571-47E6-B775-92F876EE6966}"/>
    <cellStyle name="Вывод 1 5 3 3" xfId="12435" xr:uid="{614B9322-97CD-4713-A057-D04BB872FEAA}"/>
    <cellStyle name="Вывод 1 5 3 3 2" xfId="29089" xr:uid="{A226180A-8F59-45C0-95F5-0885ECAD196E}"/>
    <cellStyle name="Вывод 1 5 3 3 3" xfId="42334" xr:uid="{C59903A2-7EFC-4853-8E52-E49933311AAF}"/>
    <cellStyle name="Вывод 1 5 3 4" xfId="22261" xr:uid="{5C44EF46-9A7E-426C-A8EC-419CF445BCAB}"/>
    <cellStyle name="Вывод 1 5 3 5" xfId="35310" xr:uid="{01C7A959-52E1-4689-9770-13709B16E286}"/>
    <cellStyle name="Вывод 1 5 4" xfId="5496" xr:uid="{35F11BA9-A21A-4FC5-B0EB-BFDC666A349C}"/>
    <cellStyle name="Вывод 1 5 4 2" xfId="8678" xr:uid="{1095D8E0-DBF6-49C1-8D6B-7652F25B6B15}"/>
    <cellStyle name="Вывод 1 5 4 2 2" xfId="14325" xr:uid="{B20AB2A6-B972-43BA-8794-A459CC7C0A9D}"/>
    <cellStyle name="Вывод 1 5 4 2 2 2" xfId="30661" xr:uid="{7FA7ABAD-585B-446E-9C81-34D6080BF283}"/>
    <cellStyle name="Вывод 1 5 4 2 2 3" xfId="44055" xr:uid="{88F7F278-D8BC-49B9-ABF0-2BA1191E4006}"/>
    <cellStyle name="Вывод 1 5 4 2 3" xfId="26171" xr:uid="{5DC6ED09-0E78-4A76-95DD-B00ABDED6A60}"/>
    <cellStyle name="Вывод 1 5 4 2 4" xfId="39247" xr:uid="{39FF2091-A866-4C99-A8C5-730175F50B38}"/>
    <cellStyle name="Вывод 1 5 4 3" xfId="13384" xr:uid="{ABA95763-DACD-4626-B172-CAAFA600A65C}"/>
    <cellStyle name="Вывод 1 5 4 3 2" xfId="29856" xr:uid="{09305949-502A-481D-AD56-7D84C3A8EC9A}"/>
    <cellStyle name="Вывод 1 5 4 3 3" xfId="43191" xr:uid="{B7BFE1EF-05AA-4617-82EC-7BDB29396F6B}"/>
    <cellStyle name="Вывод 1 5 4 4" xfId="23143" xr:uid="{418A2B24-B1D8-493E-8ED0-F8882869E5B1}"/>
    <cellStyle name="Вывод 1 5 4 5" xfId="36224" xr:uid="{CB6FCD98-AF48-4C85-A0EA-34BDF4DDAE87}"/>
    <cellStyle name="Вывод 1 5 5" xfId="16292" xr:uid="{51A84F0E-C6F6-470C-8B51-EB3D0BD23505}"/>
    <cellStyle name="Вывод 1 5 5 2" xfId="32323" xr:uid="{C2F2ADC8-0ADF-4F76-8B56-348ED4F488B7}"/>
    <cellStyle name="Вывод 1 5 5 3" xfId="45853" xr:uid="{08F3E57E-912B-42B6-B5D9-AE065A6F4D4F}"/>
    <cellStyle name="Вывод 1 5 6" xfId="21421" xr:uid="{A9B94E5F-C244-427C-8583-51C11708A37A}"/>
    <cellStyle name="Вывод 1 5 7" xfId="34457" xr:uid="{E528C167-6C29-420D-B050-6478021BC1D7}"/>
    <cellStyle name="Вывод 1 6" xfId="3319" xr:uid="{C60C4BED-F7E1-4E60-998B-F3D476D504CD}"/>
    <cellStyle name="Вывод 1 6 2" xfId="2681" xr:uid="{40A85D1B-0CF1-4819-AD11-6DBB63746A85}"/>
    <cellStyle name="Вывод 1 6 2 2" xfId="7977" xr:uid="{CA082ED3-A5BA-456E-B65A-94DBA00309EE}"/>
    <cellStyle name="Вывод 1 6 2 2 2" xfId="12013" xr:uid="{B2EE5799-20A8-41DF-90C2-EBE126E7753E}"/>
    <cellStyle name="Вывод 1 6 2 2 2 2" xfId="28716" xr:uid="{19BF529E-255B-476F-B987-68076E704C00}"/>
    <cellStyle name="Вывод 1 6 2 2 2 3" xfId="41934" xr:uid="{FA0AFC8C-F0EA-4496-AEEF-E15E8B8AB9EB}"/>
    <cellStyle name="Вывод 1 6 2 2 3" xfId="25493" xr:uid="{E747DBDC-883A-46B4-98FE-45016F2A3BE5}"/>
    <cellStyle name="Вывод 1 6 2 2 4" xfId="38569" xr:uid="{4FDD0C10-EF3E-41A1-9E60-90F35632075C}"/>
    <cellStyle name="Вывод 1 6 2 3" xfId="6344" xr:uid="{5AF6673A-D699-4FA0-9DDF-EC6EA4F21F1A}"/>
    <cellStyle name="Вывод 1 6 2 3 2" xfId="16432" xr:uid="{8D548354-D881-47AF-B047-5ED946C721ED}"/>
    <cellStyle name="Вывод 1 6 2 3 2 2" xfId="32445" xr:uid="{B74169DB-5614-435C-B368-CB9C989C05F3}"/>
    <cellStyle name="Вывод 1 6 2 3 2 3" xfId="45983" xr:uid="{C4A8AE17-CF16-4D3B-B94E-FDFEAB5F84F6}"/>
    <cellStyle name="Вывод 1 6 2 3 3" xfId="23984" xr:uid="{43BEAA3D-AF80-4A50-8C03-665A40E3D52D}"/>
    <cellStyle name="Вывод 1 6 2 3 4" xfId="37065" xr:uid="{34512922-9B1F-4FAB-9CCA-A82F74C2DF03}"/>
    <cellStyle name="Вывод 1 6 2 4" xfId="15232" xr:uid="{91EC39C4-37F4-4937-8600-D4179F545A97}"/>
    <cellStyle name="Вывод 1 6 2 4 2" xfId="31408" xr:uid="{D4F24A39-743F-4239-8F8D-D299DFBC2B4E}"/>
    <cellStyle name="Вывод 1 6 2 4 3" xfId="44883" xr:uid="{D67B414C-E47E-4B68-8967-708CFCFC9568}"/>
    <cellStyle name="Вывод 1 6 2 5" xfId="20736" xr:uid="{85D5C255-A980-435E-928D-52EF3C43611B}"/>
    <cellStyle name="Вывод 1 6 2 6" xfId="33759" xr:uid="{BDAFE141-B76F-45DA-8667-8E2D88E00875}"/>
    <cellStyle name="Вывод 1 6 3" xfId="4350" xr:uid="{8E064B90-F72A-4906-8679-CD63D09949DD}"/>
    <cellStyle name="Вывод 1 6 3 2" xfId="6969" xr:uid="{A6E20FE9-0381-429F-AFF4-663CE161EA06}"/>
    <cellStyle name="Вывод 1 6 3 2 2" xfId="15487" xr:uid="{661DF5A2-0586-4817-BB6D-1F652F062154}"/>
    <cellStyle name="Вывод 1 6 3 2 2 2" xfId="31626" xr:uid="{39169BDE-57A4-4832-8C42-E48DBACDC549}"/>
    <cellStyle name="Вывод 1 6 3 2 2 3" xfId="45123" xr:uid="{C2EA8208-E8CB-4D81-8CDF-1E193C5B2EAD}"/>
    <cellStyle name="Вывод 1 6 3 2 3" xfId="24591" xr:uid="{2583473F-B10B-4B5B-BB10-76DCC1DDBE7F}"/>
    <cellStyle name="Вывод 1 6 3 2 4" xfId="37672" xr:uid="{9F644C2C-0EE5-4714-9307-818226F710A2}"/>
    <cellStyle name="Вывод 1 6 3 3" xfId="14749" xr:uid="{09FDC98E-8346-44FE-B6B5-B7D63D45115F}"/>
    <cellStyle name="Вывод 1 6 3 3 2" xfId="31026" xr:uid="{57BB9025-8C11-4F17-A655-FD269382E3D8}"/>
    <cellStyle name="Вывод 1 6 3 3 3" xfId="44453" xr:uid="{B10F9B91-1365-4519-9AF2-19DA6F2021EF}"/>
    <cellStyle name="Вывод 1 6 3 4" xfId="22170" xr:uid="{29FA3378-1B59-4829-A6AD-050C0FA61719}"/>
    <cellStyle name="Вывод 1 6 3 5" xfId="35219" xr:uid="{0A658BD8-7204-45C6-88B5-F18035FFB817}"/>
    <cellStyle name="Вывод 1 6 4" xfId="5405" xr:uid="{DE292106-64C9-4393-A00D-4C27D0CB4452}"/>
    <cellStyle name="Вывод 1 6 4 2" xfId="8582" xr:uid="{3782B18F-7237-40CE-9F43-BC340C998843}"/>
    <cellStyle name="Вывод 1 6 4 2 2" xfId="17428" xr:uid="{0DC2442F-F3DB-4F6F-B981-9286D5B410D0}"/>
    <cellStyle name="Вывод 1 6 4 2 2 2" xfId="33182" xr:uid="{93D82CC0-EB34-4248-9814-9CBED5671BB7}"/>
    <cellStyle name="Вывод 1 6 4 2 2 3" xfId="46958" xr:uid="{BCC29E42-EC7B-4F17-BA60-DF96FCCA8F33}"/>
    <cellStyle name="Вывод 1 6 4 2 3" xfId="26080" xr:uid="{FD50A1AF-7676-472C-BD9E-45B5C64CB239}"/>
    <cellStyle name="Вывод 1 6 4 2 4" xfId="39156" xr:uid="{D0627189-E733-4B31-A748-DED82781FC79}"/>
    <cellStyle name="Вывод 1 6 4 3" xfId="15123" xr:uid="{7167B051-B107-40E3-BB58-1A0F3774CB3A}"/>
    <cellStyle name="Вывод 1 6 4 3 2" xfId="31325" xr:uid="{33803D01-79C6-4665-BFF7-154390C99AE1}"/>
    <cellStyle name="Вывод 1 6 4 3 3" xfId="44787" xr:uid="{2959D7A6-5A4A-4086-90E7-64EC1C20706D}"/>
    <cellStyle name="Вывод 1 6 4 4" xfId="23052" xr:uid="{53C3202A-3596-44DD-8F5E-4FF510F8F291}"/>
    <cellStyle name="Вывод 1 6 4 5" xfId="36133" xr:uid="{2F3818BF-E0F8-4D42-BF02-84B8D3BF9235}"/>
    <cellStyle name="Вывод 1 6 5" xfId="12033" xr:uid="{7BCE40B5-9444-4223-8400-95E54573D6C5}"/>
    <cellStyle name="Вывод 1 6 5 2" xfId="28735" xr:uid="{E58FFF02-B14E-4C50-AA00-872CCA922171}"/>
    <cellStyle name="Вывод 1 6 5 3" xfId="41953" xr:uid="{6683D9A2-B8C8-4131-BA88-19E9A45E9B9F}"/>
    <cellStyle name="Вывод 1 6 6" xfId="21343" xr:uid="{4AC6422E-A0D6-4B52-B188-070913E303C3}"/>
    <cellStyle name="Вывод 1 6 7" xfId="34366" xr:uid="{2498C0A7-AAF2-47DB-AF2C-46D2BEA0A37F}"/>
    <cellStyle name="Вывод 1 7" xfId="3472" xr:uid="{CAE23C3B-787A-4925-99E5-3A890AD1783C}"/>
    <cellStyle name="Вывод 1 7 2" xfId="2814" xr:uid="{6EC17A10-D790-4250-A8BE-77F9422EC5C2}"/>
    <cellStyle name="Вывод 1 7 2 2" xfId="8110" xr:uid="{ACF17F2D-BCB0-4BB0-9F14-0342BF55393A}"/>
    <cellStyle name="Вывод 1 7 2 2 2" xfId="17375" xr:uid="{B0A58536-DE74-4BAB-B31C-47DDEA09ECD5}"/>
    <cellStyle name="Вывод 1 7 2 2 2 2" xfId="33129" xr:uid="{CA6B4BCA-1CD3-4E1B-958B-303E8FD971D3}"/>
    <cellStyle name="Вывод 1 7 2 2 2 3" xfId="46905" xr:uid="{A341D3E1-4F5A-4CDE-AB57-4A6AB19E4CF4}"/>
    <cellStyle name="Вывод 1 7 2 2 3" xfId="25621" xr:uid="{1FE61331-D512-43E9-A604-615896B85646}"/>
    <cellStyle name="Вывод 1 7 2 2 4" xfId="38697" xr:uid="{0BDABEFE-6BC9-4B72-B46D-A0A30A491C52}"/>
    <cellStyle name="Вывод 1 7 2 3" xfId="6477" xr:uid="{AE209B0A-E20A-41B3-A384-D279CAFFC31E}"/>
    <cellStyle name="Вывод 1 7 2 3 2" xfId="11796" xr:uid="{DDDA29EF-92A4-432D-89BC-7C22416351E1}"/>
    <cellStyle name="Вывод 1 7 2 3 2 2" xfId="28518" xr:uid="{AD24F6E5-C6E2-4402-A101-6E4D73469493}"/>
    <cellStyle name="Вывод 1 7 2 3 2 3" xfId="41730" xr:uid="{86FD9704-39E7-4929-8AE1-7222A31BA4C3}"/>
    <cellStyle name="Вывод 1 7 2 3 3" xfId="24112" xr:uid="{DE946E35-156D-43AA-8205-03F04D42A18F}"/>
    <cellStyle name="Вывод 1 7 2 3 4" xfId="37193" xr:uid="{E37677FF-28DF-4CDC-90D9-27FB59314F29}"/>
    <cellStyle name="Вывод 1 7 2 4" xfId="11814" xr:uid="{0FCDD97C-02DB-4D7D-AA9B-8A64F1BF641D}"/>
    <cellStyle name="Вывод 1 7 2 4 2" xfId="28535" xr:uid="{A429AACE-2673-47AC-AF02-4E1DA2C7F298}"/>
    <cellStyle name="Вывод 1 7 2 4 3" xfId="41747" xr:uid="{E6EFC202-D35B-4DB6-A349-B6B6EE484023}"/>
    <cellStyle name="Вывод 1 7 2 5" xfId="20864" xr:uid="{177F2893-C097-4EF1-A417-CA6C9EE87361}"/>
    <cellStyle name="Вывод 1 7 2 6" xfId="33887" xr:uid="{75D71033-38FA-448D-9E8C-F7FE11FD8924}"/>
    <cellStyle name="Вывод 1 7 3" xfId="4474" xr:uid="{9945E14E-19AE-41F2-98B9-29946B811697}"/>
    <cellStyle name="Вывод 1 7 3 2" xfId="7114" xr:uid="{A8833EAD-0031-428E-87D0-925B39A97B0F}"/>
    <cellStyle name="Вывод 1 7 3 2 2" xfId="17503" xr:uid="{C99AB1FE-9067-4BB7-AC8F-73C520580FBA}"/>
    <cellStyle name="Вывод 1 7 3 2 2 2" xfId="33242" xr:uid="{7D28DD97-E243-4B2D-97DA-D3D39731F1E0}"/>
    <cellStyle name="Вывод 1 7 3 2 2 3" xfId="47028" xr:uid="{78DEEC25-4046-4AED-9E40-CCF61AD0799D}"/>
    <cellStyle name="Вывод 1 7 3 2 3" xfId="24713" xr:uid="{B9333841-A0A2-4DE7-8E52-B1B8909087FB}"/>
    <cellStyle name="Вывод 1 7 3 2 4" xfId="37794" xr:uid="{1C99B8EF-3813-415E-A494-6AEBC23F7535}"/>
    <cellStyle name="Вывод 1 7 3 3" xfId="13413" xr:uid="{3D331E9D-BD5A-4ECB-880B-7F0D87F0BADB}"/>
    <cellStyle name="Вывод 1 7 3 3 2" xfId="29882" xr:uid="{00FA5518-5034-4861-B529-CA01F485EC58}"/>
    <cellStyle name="Вывод 1 7 3 3 3" xfId="43217" xr:uid="{8316EFF7-653D-41F0-B5FD-80F9E4951BC3}"/>
    <cellStyle name="Вывод 1 7 3 4" xfId="22292" xr:uid="{3ADC89DF-EB50-44C6-B91B-ACAC90FC7D24}"/>
    <cellStyle name="Вывод 1 7 3 5" xfId="35341" xr:uid="{5E8DC09F-4B2A-4EB2-8CA6-1214CF59D34E}"/>
    <cellStyle name="Вывод 1 7 4" xfId="5527" xr:uid="{52D03453-1274-4E7D-A587-368A3E042690}"/>
    <cellStyle name="Вывод 1 7 4 2" xfId="8709" xr:uid="{EDEEB5BE-BA28-4E34-B2AF-258BAB1DE1A4}"/>
    <cellStyle name="Вывод 1 7 4 2 2" xfId="15872" xr:uid="{909B9A5B-9467-428D-951D-5EF7CDF6C8EF}"/>
    <cellStyle name="Вывод 1 7 4 2 2 2" xfId="31961" xr:uid="{E9E443DB-1D6E-4491-A3DB-64BC1FD29BF4}"/>
    <cellStyle name="Вывод 1 7 4 2 2 3" xfId="45475" xr:uid="{B457F214-AC3B-4438-9C13-C0D17D2F1CF2}"/>
    <cellStyle name="Вывод 1 7 4 2 3" xfId="26202" xr:uid="{1C439557-42CA-41F4-AE1B-B583F9AA4BC2}"/>
    <cellStyle name="Вывод 1 7 4 2 4" xfId="39278" xr:uid="{4141EA10-21F5-4445-B928-3B31E9ED3B97}"/>
    <cellStyle name="Вывод 1 7 4 3" xfId="13572" xr:uid="{13EE7006-E908-49FC-95F6-AE6599ABF538}"/>
    <cellStyle name="Вывод 1 7 4 3 2" xfId="30015" xr:uid="{FD59D848-7E9F-4C23-952E-0540C2080E16}"/>
    <cellStyle name="Вывод 1 7 4 3 3" xfId="43365" xr:uid="{404CB3A1-0D25-4571-9626-309C87B6FE0C}"/>
    <cellStyle name="Вывод 1 7 4 4" xfId="23174" xr:uid="{D1D939B0-068B-4F62-9319-70236B08830A}"/>
    <cellStyle name="Вывод 1 7 4 5" xfId="36255" xr:uid="{E9D3A6CE-2BED-4C0A-87B7-3750EC79B246}"/>
    <cellStyle name="Вывод 1 7 5" xfId="11384" xr:uid="{D5D6A3B1-DF9F-4499-B7F2-92340DDEAF36}"/>
    <cellStyle name="Вывод 1 7 5 2" xfId="28156" xr:uid="{8D5E9069-98FC-44CC-B996-8D3BEDA5A7D8}"/>
    <cellStyle name="Вывод 1 7 5 3" xfId="41346" xr:uid="{13A105AE-BE88-4A9A-87D2-C160DF1EC2F3}"/>
    <cellStyle name="Вывод 1 7 6" xfId="21444" xr:uid="{9E422253-0160-4D6F-BC25-796E393519A9}"/>
    <cellStyle name="Вывод 1 7 7" xfId="34488" xr:uid="{42EC56B6-2564-48FF-BE7F-EF752E719EFE}"/>
    <cellStyle name="Вывод 1 8" xfId="3312" xr:uid="{D55ED03E-5155-473B-8AA3-5BFB894D111C}"/>
    <cellStyle name="Вывод 1 8 2" xfId="2674" xr:uid="{2A15801F-D015-4CB3-A89D-4330CEC53FB1}"/>
    <cellStyle name="Вывод 1 8 2 2" xfId="7970" xr:uid="{EEBF367F-9194-4938-8037-EEA120A2417A}"/>
    <cellStyle name="Вывод 1 8 2 2 2" xfId="12584" xr:uid="{E1D1CF33-C495-4220-B041-6DE9228B9490}"/>
    <cellStyle name="Вывод 1 8 2 2 2 2" xfId="29200" xr:uid="{2AA31EEE-B949-4D9A-ADE8-FC178ED792B7}"/>
    <cellStyle name="Вывод 1 8 2 2 2 3" xfId="42463" xr:uid="{3C782C29-8918-4D5E-B11F-1E8F005DACB6}"/>
    <cellStyle name="Вывод 1 8 2 2 3" xfId="25486" xr:uid="{B0AD083A-D0BD-4780-B9B5-856F2B9E05B6}"/>
    <cellStyle name="Вывод 1 8 2 2 4" xfId="38562" xr:uid="{9CED7BCA-8BB4-46C1-80BD-E30CC7A822D1}"/>
    <cellStyle name="Вывод 1 8 2 3" xfId="6337" xr:uid="{3AC0D287-C987-4610-BB96-540012F1C8E1}"/>
    <cellStyle name="Вывод 1 8 2 3 2" xfId="11749" xr:uid="{1067F5EB-84CC-4705-A86C-CC099E044A35}"/>
    <cellStyle name="Вывод 1 8 2 3 2 2" xfId="28476" xr:uid="{F230F70D-D598-4E82-BF3F-73C229D59E3F}"/>
    <cellStyle name="Вывод 1 8 2 3 2 3" xfId="41687" xr:uid="{A37B8280-9B38-4FA3-9100-CB04875AA416}"/>
    <cellStyle name="Вывод 1 8 2 3 3" xfId="23977" xr:uid="{DCF30F5F-BEEC-4C69-AF0D-203C72B099DA}"/>
    <cellStyle name="Вывод 1 8 2 3 4" xfId="37058" xr:uid="{005C5D62-DE66-441C-8586-40EF197B4AC8}"/>
    <cellStyle name="Вывод 1 8 2 4" xfId="10862" xr:uid="{4B4B86A8-61A8-4135-A5C4-720D2CEF6BF2}"/>
    <cellStyle name="Вывод 1 8 2 4 2" xfId="27690" xr:uid="{E4E0C9EC-4C94-420C-8B6F-7D525C12DAFA}"/>
    <cellStyle name="Вывод 1 8 2 4 3" xfId="40843" xr:uid="{404128DC-7983-4CDB-A1FC-23E3FA646134}"/>
    <cellStyle name="Вывод 1 8 2 5" xfId="20729" xr:uid="{528C2EA7-A0CB-4486-A568-2544AC5B9DA2}"/>
    <cellStyle name="Вывод 1 8 2 6" xfId="33752" xr:uid="{19DEE67A-EE87-4AE0-8CE5-244E8056104F}"/>
    <cellStyle name="Вывод 1 8 3" xfId="4343" xr:uid="{EEF520F9-73ED-4E58-9FBE-D8F0EC4BB874}"/>
    <cellStyle name="Вывод 1 8 3 2" xfId="6962" xr:uid="{E946C023-ECD5-4826-9856-2ED5853ADDA6}"/>
    <cellStyle name="Вывод 1 8 3 2 2" xfId="15816" xr:uid="{07CD2641-711B-4EF5-A3A5-6D4DDFAF8A11}"/>
    <cellStyle name="Вывод 1 8 3 2 2 2" xfId="31911" xr:uid="{39583A33-D76B-43AA-8A13-BFDA3F4AD131}"/>
    <cellStyle name="Вывод 1 8 3 2 2 3" xfId="45423" xr:uid="{1BEE35CC-6BB2-476B-BCE3-2D8D22AD7D78}"/>
    <cellStyle name="Вывод 1 8 3 2 3" xfId="24584" xr:uid="{23F6F1E0-B710-48DD-A47E-272FAC3100D7}"/>
    <cellStyle name="Вывод 1 8 3 2 4" xfId="37665" xr:uid="{DAF60EA0-1AE3-4FE6-92D3-3B8A6BD6F7CA}"/>
    <cellStyle name="Вывод 1 8 3 3" xfId="17135" xr:uid="{CE6BBC66-B0BD-4F7C-AC7E-98CDEC9AE1AE}"/>
    <cellStyle name="Вывод 1 8 3 3 2" xfId="32898" xr:uid="{A0E60682-AF4F-401E-A2DE-5D69C434956C}"/>
    <cellStyle name="Вывод 1 8 3 3 3" xfId="46670" xr:uid="{7FF67C29-5A76-4BB7-900F-D780A35785F4}"/>
    <cellStyle name="Вывод 1 8 3 4" xfId="22163" xr:uid="{16C47080-1E71-424D-8D2F-50AE7D21BFBF}"/>
    <cellStyle name="Вывод 1 8 3 5" xfId="35212" xr:uid="{88D659B5-8BDD-4A75-B5B0-604CB4F5B123}"/>
    <cellStyle name="Вывод 1 8 4" xfId="5398" xr:uid="{6B29D0E8-6659-4957-88AD-191C29005482}"/>
    <cellStyle name="Вывод 1 8 4 2" xfId="8575" xr:uid="{9A8F3BB8-F394-4B9B-9074-3CB9CEE863C1}"/>
    <cellStyle name="Вывод 1 8 4 2 2" xfId="15691" xr:uid="{E8B03279-2883-40CB-A937-8A5726DF8EE3}"/>
    <cellStyle name="Вывод 1 8 4 2 2 2" xfId="31803" xr:uid="{2C514897-4C87-49DD-B771-E5566716CB4B}"/>
    <cellStyle name="Вывод 1 8 4 2 2 3" xfId="45311" xr:uid="{0C195159-6F91-48BD-ABBB-36E9678BDA72}"/>
    <cellStyle name="Вывод 1 8 4 2 3" xfId="26073" xr:uid="{3C489F12-F501-4AD1-8A38-3B528A917BD6}"/>
    <cellStyle name="Вывод 1 8 4 2 4" xfId="39149" xr:uid="{9867170A-64FF-43D3-8F99-697AD9C29776}"/>
    <cellStyle name="Вывод 1 8 4 3" xfId="15823" xr:uid="{279532AA-E83F-435A-B2ED-628E26B54EFC}"/>
    <cellStyle name="Вывод 1 8 4 3 2" xfId="31917" xr:uid="{D3EE8CFC-697D-4A9D-B7CF-74A3D35AB30C}"/>
    <cellStyle name="Вывод 1 8 4 3 3" xfId="45429" xr:uid="{C042DE8E-CD96-47AF-9C6A-C17F9602F49F}"/>
    <cellStyle name="Вывод 1 8 4 4" xfId="23045" xr:uid="{068E13AE-C944-4564-841C-F28AB8546823}"/>
    <cellStyle name="Вывод 1 8 4 5" xfId="36126" xr:uid="{82E61001-B139-4A75-ACBB-D4FA49CFDABF}"/>
    <cellStyle name="Вывод 1 8 5" xfId="11476" xr:uid="{BA37751B-3D4A-421D-B4B9-CC9A4718CAD9}"/>
    <cellStyle name="Вывод 1 8 5 2" xfId="28240" xr:uid="{D63C1A6A-5729-4EF3-84D6-F67FB1823799}"/>
    <cellStyle name="Вывод 1 8 5 3" xfId="41435" xr:uid="{8F88C34C-155E-4AF5-B4F0-D926BC29AC98}"/>
    <cellStyle name="Вывод 1 8 6" xfId="21336" xr:uid="{8E296F80-2FB2-4B50-A88D-7122002D9C53}"/>
    <cellStyle name="Вывод 1 8 7" xfId="34359" xr:uid="{DB1B81FF-7FA9-4CC7-AD8A-1818BF87F482}"/>
    <cellStyle name="Вывод 1 9" xfId="3588" xr:uid="{2917A742-0B9F-4C2C-A880-5ED3F7E7B38B}"/>
    <cellStyle name="Вывод 1 9 2" xfId="2923" xr:uid="{17C76438-CDBF-4280-A950-EA88967BCC35}"/>
    <cellStyle name="Вывод 1 9 2 2" xfId="8219" xr:uid="{DA8583EF-C5B0-41BD-A5AF-D457611E3173}"/>
    <cellStyle name="Вывод 1 9 2 2 2" xfId="17385" xr:uid="{558313EC-8971-4020-9AC6-4B32E72CCFFC}"/>
    <cellStyle name="Вывод 1 9 2 2 2 2" xfId="33139" xr:uid="{648D92EC-9A0B-4D68-9051-1C83CCF584C8}"/>
    <cellStyle name="Вывод 1 9 2 2 2 3" xfId="46915" xr:uid="{1283C81F-0F4D-46BE-BF38-7344B34F0266}"/>
    <cellStyle name="Вывод 1 9 2 2 3" xfId="25730" xr:uid="{A6FA9EAD-5C8A-4812-8F54-B78AE14F4AFB}"/>
    <cellStyle name="Вывод 1 9 2 2 4" xfId="38806" xr:uid="{C60C9B42-97D7-4925-A8E0-B651DFCC399D}"/>
    <cellStyle name="Вывод 1 9 2 3" xfId="6586" xr:uid="{89B47D58-D9C1-4DA3-AC42-8A3B8F98448D}"/>
    <cellStyle name="Вывод 1 9 2 3 2" xfId="12484" xr:uid="{E140ADCB-F6C9-461E-A081-D6A5B2D5353C}"/>
    <cellStyle name="Вывод 1 9 2 3 2 2" xfId="29122" xr:uid="{6ECF4E67-2E45-47AF-9738-9A1B5BAD8550}"/>
    <cellStyle name="Вывод 1 9 2 3 2 3" xfId="42375" xr:uid="{89C2FB41-9FEE-47CC-A3B3-A31C69E88362}"/>
    <cellStyle name="Вывод 1 9 2 3 3" xfId="24221" xr:uid="{5F883651-9E21-4A7A-87FB-49F65D12978D}"/>
    <cellStyle name="Вывод 1 9 2 3 4" xfId="37302" xr:uid="{39F289C3-BF52-46D6-AA35-F7CD592AF361}"/>
    <cellStyle name="Вывод 1 9 2 4" xfId="15684" xr:uid="{C58F5F4D-F159-490B-AB97-6000B7355400}"/>
    <cellStyle name="Вывод 1 9 2 4 2" xfId="31797" xr:uid="{86CCCA13-9E37-492B-8297-BF6ECEC8CD0F}"/>
    <cellStyle name="Вывод 1 9 2 4 3" xfId="45305" xr:uid="{394F9E25-FF7E-47A2-82BC-D405B7E52C05}"/>
    <cellStyle name="Вывод 1 9 2 5" xfId="20973" xr:uid="{6244826E-89F2-41CD-808C-7E6626F1467C}"/>
    <cellStyle name="Вывод 1 9 2 6" xfId="33996" xr:uid="{229044CD-F03B-4283-83A8-4690AD913BC0}"/>
    <cellStyle name="Вывод 1 9 3" xfId="4549" xr:uid="{719AE3CE-A674-47AC-BB41-EF9E0606BD6A}"/>
    <cellStyle name="Вывод 1 9 3 2" xfId="7225" xr:uid="{F109A052-F223-427D-8A07-EED69A2E15D6}"/>
    <cellStyle name="Вывод 1 9 3 2 2" xfId="13203" xr:uid="{7DB3C692-F32D-4A8C-A475-6F795B673EC0}"/>
    <cellStyle name="Вывод 1 9 3 2 2 2" xfId="29704" xr:uid="{4E1D1435-DC86-4CC8-AF96-556E4CACCA3A}"/>
    <cellStyle name="Вывод 1 9 3 2 2 3" xfId="43023" xr:uid="{B0295CF6-D7AF-461D-9300-AF3B28F166C5}"/>
    <cellStyle name="Вывод 1 9 3 2 3" xfId="24819" xr:uid="{F27E3350-ED38-4E9A-A7AA-BF22F8743E52}"/>
    <cellStyle name="Вывод 1 9 3 2 4" xfId="37900" xr:uid="{F62F463D-1729-4CF4-8637-FCDD15A9DB32}"/>
    <cellStyle name="Вывод 1 9 3 3" xfId="12414" xr:uid="{B9045E7D-03E5-433E-9597-D8900888A9A3}"/>
    <cellStyle name="Вывод 1 9 3 3 2" xfId="29075" xr:uid="{5751E484-8C34-4BB9-96C2-CEE07FBE512D}"/>
    <cellStyle name="Вывод 1 9 3 3 3" xfId="42317" xr:uid="{E34F4764-857B-48D0-8177-DFFC801A1BC0}"/>
    <cellStyle name="Вывод 1 9 3 4" xfId="22365" xr:uid="{55C19209-5B84-4924-B856-CB1D592BA6FA}"/>
    <cellStyle name="Вывод 1 9 3 5" xfId="35414" xr:uid="{02771EEE-8710-4B8D-B7BF-E885E42EEFE5}"/>
    <cellStyle name="Вывод 1 9 4" xfId="5633" xr:uid="{C604E86F-842E-4354-9CA9-E84EE3271A2E}"/>
    <cellStyle name="Вывод 1 9 4 2" xfId="8815" xr:uid="{9E57A22E-F0C3-4424-A29A-E5519C6F6C96}"/>
    <cellStyle name="Вывод 1 9 4 2 2" xfId="14450" xr:uid="{5196C012-0625-4C0C-9018-BA6703CACAF8}"/>
    <cellStyle name="Вывод 1 9 4 2 2 2" xfId="30778" xr:uid="{3DA64FFA-C75E-4111-9B4C-DF020EADC865}"/>
    <cellStyle name="Вывод 1 9 4 2 2 3" xfId="44179" xr:uid="{BBEDB0FD-2AF8-44E6-87A4-012633D04A72}"/>
    <cellStyle name="Вывод 1 9 4 2 3" xfId="26308" xr:uid="{54282CED-0608-4F1F-BDF8-9B3C49234428}"/>
    <cellStyle name="Вывод 1 9 4 2 4" xfId="39384" xr:uid="{6173D308-9C09-4BD3-8848-8F70AFDA9A63}"/>
    <cellStyle name="Вывод 1 9 4 3" xfId="14215" xr:uid="{8C8367EE-5212-42E2-B043-3FA8D4ACBD80}"/>
    <cellStyle name="Вывод 1 9 4 3 2" xfId="30560" xr:uid="{25674CB3-1095-43DB-8EDF-2B6F89A2EE2F}"/>
    <cellStyle name="Вывод 1 9 4 3 3" xfId="43952" xr:uid="{3710E719-483A-4232-9FCC-4D468CE1D71A}"/>
    <cellStyle name="Вывод 1 9 4 4" xfId="23280" xr:uid="{8D21689B-2D37-4172-B31E-532EC27DFB86}"/>
    <cellStyle name="Вывод 1 9 4 5" xfId="36361" xr:uid="{16B5A5FE-7F49-46B5-80F7-B6D2D0893393}"/>
    <cellStyle name="Вывод 1 9 5" xfId="12370" xr:uid="{6CB07C33-BB2B-4190-86AB-D0ED0D61D96C}"/>
    <cellStyle name="Вывод 1 9 5 2" xfId="29036" xr:uid="{2645D418-E71D-4349-AF0A-0EA7999998D7}"/>
    <cellStyle name="Вывод 1 9 5 3" xfId="42276" xr:uid="{C672074E-9786-4DBD-9F43-F0EB5FD3F10A}"/>
    <cellStyle name="Вывод 1 9 6" xfId="21542" xr:uid="{2CD036AC-4C31-4EFB-8FC9-E55180FE420A}"/>
    <cellStyle name="Вывод 1 9 7" xfId="34595" xr:uid="{4C7F85C7-4D39-4CE7-9FA7-86397207E467}"/>
    <cellStyle name="Вывод 2" xfId="2299" xr:uid="{6F95C4CB-BE97-41A7-AE39-00B59C9DC35C}"/>
    <cellStyle name="Вывод 2 10" xfId="3724" xr:uid="{17AED0E5-B869-4E33-80AD-64E51484965D}"/>
    <cellStyle name="Вывод 2 10 2" xfId="3040" xr:uid="{0945B373-EA32-453C-806C-565843035787}"/>
    <cellStyle name="Вывод 2 10 2 2" xfId="8336" xr:uid="{4BED5F8A-F1F0-4044-B91C-FFF6FF17FA4B}"/>
    <cellStyle name="Вывод 2 10 2 2 2" xfId="17399" xr:uid="{EBC33994-EB08-48FF-8F17-5133A1A9D402}"/>
    <cellStyle name="Вывод 2 10 2 2 2 2" xfId="33153" xr:uid="{3E86E1A0-A8E1-4115-BDDF-636E0DCF90FD}"/>
    <cellStyle name="Вывод 2 10 2 2 2 3" xfId="46929" xr:uid="{83F94BAE-E6D2-4334-8D1B-10337347C3E0}"/>
    <cellStyle name="Вывод 2 10 2 2 3" xfId="25840" xr:uid="{CF7CAA4E-BEF5-42C7-9C7D-187365D43754}"/>
    <cellStyle name="Вывод 2 10 2 2 4" xfId="38916" xr:uid="{83B99DAD-E577-461E-9CF5-FAA8F7794224}"/>
    <cellStyle name="Вывод 2 10 2 3" xfId="6703" xr:uid="{30FF7135-384F-4420-970D-F259DF983A95}"/>
    <cellStyle name="Вывод 2 10 2 3 2" xfId="16324" xr:uid="{8526D5AE-3F57-4D94-92EB-6C69D6F5D2C4}"/>
    <cellStyle name="Вывод 2 10 2 3 2 2" xfId="32349" xr:uid="{5747B4DE-D448-4026-9B33-D3450DC29115}"/>
    <cellStyle name="Вывод 2 10 2 3 2 3" xfId="45880" xr:uid="{4E348BF7-A8F6-4677-9F49-97CAE605B8FC}"/>
    <cellStyle name="Вывод 2 10 2 3 3" xfId="24331" xr:uid="{2BC20A11-C77C-4F5A-B005-782AB7511D00}"/>
    <cellStyle name="Вывод 2 10 2 3 4" xfId="37412" xr:uid="{4571AB68-2780-4DD3-BD3B-57EEA3E964F8}"/>
    <cellStyle name="Вывод 2 10 2 4" xfId="12969" xr:uid="{D5A57A8E-23D3-4A65-B1B9-51912010C25B}"/>
    <cellStyle name="Вывод 2 10 2 4 2" xfId="29507" xr:uid="{29A45223-15C2-44DE-8AAE-CE6AE340024D}"/>
    <cellStyle name="Вывод 2 10 2 4 3" xfId="42806" xr:uid="{E7812984-31FC-4E3E-BA3F-4699F46A5B91}"/>
    <cellStyle name="Вывод 2 10 2 5" xfId="21083" xr:uid="{84D4E9D5-1475-4FFC-A3F6-C09679B8409E}"/>
    <cellStyle name="Вывод 2 10 2 6" xfId="34106" xr:uid="{E455FD9E-326E-4233-A56D-0A3B3E52F199}"/>
    <cellStyle name="Вывод 2 10 3" xfId="4625" xr:uid="{0C2A4CFB-E733-4C75-9657-1CC9B8B5EDB0}"/>
    <cellStyle name="Вывод 2 10 3 2" xfId="7359" xr:uid="{E5B60706-6D8C-4883-AFFA-1D4410220AD1}"/>
    <cellStyle name="Вывод 2 10 3 2 2" xfId="12207" xr:uid="{E456837F-599F-40EB-9E33-2498302CB09B}"/>
    <cellStyle name="Вывод 2 10 3 2 2 2" xfId="28896" xr:uid="{CE3C8604-EC2E-4A1D-A777-43BFB09B23BD}"/>
    <cellStyle name="Вывод 2 10 3 2 2 3" xfId="42125" xr:uid="{E9E9B09D-750A-4C7D-92CE-BF84C2132527}"/>
    <cellStyle name="Вывод 2 10 3 2 3" xfId="24918" xr:uid="{4DD01099-2410-448A-B737-859AFA851ACD}"/>
    <cellStyle name="Вывод 2 10 3 2 4" xfId="37998" xr:uid="{AC48B439-D47A-4572-B774-63E0533809F6}"/>
    <cellStyle name="Вывод 2 10 3 3" xfId="16137" xr:uid="{CC854EAE-4D9C-4811-BE9D-B3847144EE06}"/>
    <cellStyle name="Вывод 2 10 3 3 2" xfId="32191" xr:uid="{AFFA82D7-FD9D-45E4-9D64-AD0971BDF882}"/>
    <cellStyle name="Вывод 2 10 3 3 3" xfId="45712" xr:uid="{10AFA4B3-E88A-417D-9DAD-ABAD8A99E090}"/>
    <cellStyle name="Вывод 2 10 3 4" xfId="22435" xr:uid="{E4B2249F-726D-484B-9F16-FBE940CF8811}"/>
    <cellStyle name="Вывод 2 10 3 5" xfId="35488" xr:uid="{D0B8C9E6-28D3-4117-8A1A-236E676C5373}"/>
    <cellStyle name="Вывод 2 10 4" xfId="5731" xr:uid="{BC7E6971-1492-4BD7-9D55-2A48EC33F835}"/>
    <cellStyle name="Вывод 2 10 4 2" xfId="8920" xr:uid="{21B7FACE-7204-4999-85E0-86980737A6A6}"/>
    <cellStyle name="Вывод 2 10 4 2 2" xfId="12935" xr:uid="{F0F9793E-FB5D-44CE-BB0E-6CF938DB3383}"/>
    <cellStyle name="Вывод 2 10 4 2 2 2" xfId="29478" xr:uid="{67D7211A-E937-48A4-8E4C-C0019261BD70}"/>
    <cellStyle name="Вывод 2 10 4 2 2 3" xfId="42774" xr:uid="{8A4E2383-1AD5-40F4-8D6E-A28DE3FAEEF0}"/>
    <cellStyle name="Вывод 2 10 4 2 3" xfId="26406" xr:uid="{D8B8F201-142D-4E59-A231-9787C7D285BB}"/>
    <cellStyle name="Вывод 2 10 4 2 4" xfId="39482" xr:uid="{A39B335E-6369-46B9-9ADC-B91B1431C0DC}"/>
    <cellStyle name="Вывод 2 10 4 3" xfId="16342" xr:uid="{83877021-A85F-4180-82A2-871B33728172}"/>
    <cellStyle name="Вывод 2 10 4 3 2" xfId="32366" xr:uid="{09FB5EC0-6119-41C0-B46C-4210E772B4A1}"/>
    <cellStyle name="Вывод 2 10 4 3 3" xfId="45897" xr:uid="{98CA253C-EC50-4EE9-BB53-BD38043D20EF}"/>
    <cellStyle name="Вывод 2 10 4 4" xfId="23378" xr:uid="{AE4F9F23-7BDE-484E-8473-A437900DDB77}"/>
    <cellStyle name="Вывод 2 10 4 5" xfId="36459" xr:uid="{A6E84015-AC05-4462-9561-0CE3066630F5}"/>
    <cellStyle name="Вывод 2 10 5" xfId="11734" xr:uid="{542B2C24-B3FF-4561-BE47-9640EB7B0D8C}"/>
    <cellStyle name="Вывод 2 10 5 2" xfId="28461" xr:uid="{94914251-DE20-46F7-81B6-5A0D367D9DAF}"/>
    <cellStyle name="Вывод 2 10 5 3" xfId="41672" xr:uid="{6BCB2473-8ABC-4DF2-BC4F-44000FDA2740}"/>
    <cellStyle name="Вывод 2 10 6" xfId="21640" xr:uid="{BBAF9571-E5F0-4A0E-BDC5-12689E0AF5E6}"/>
    <cellStyle name="Вывод 2 10 7" xfId="34694" xr:uid="{CFE01794-9AC8-46B5-A5C0-EE004EAE02A8}"/>
    <cellStyle name="Вывод 2 11" xfId="3575" xr:uid="{D538E755-A77D-4D20-A784-F7B3B5E82092}"/>
    <cellStyle name="Вывод 2 11 2" xfId="2910" xr:uid="{77E2737F-E5C9-48D9-93B7-FB94766691E6}"/>
    <cellStyle name="Вывод 2 11 2 2" xfId="8206" xr:uid="{DAB5CAF2-2318-4B29-AA90-08BB19F95C97}"/>
    <cellStyle name="Вывод 2 11 2 2 2" xfId="16961" xr:uid="{8CCBE3B2-E365-4A12-A4BD-0762B64ACEA0}"/>
    <cellStyle name="Вывод 2 11 2 2 2 2" xfId="32793" xr:uid="{BF2BE468-4D6B-4F6F-B853-9EBC4D1A8927}"/>
    <cellStyle name="Вывод 2 11 2 2 2 3" xfId="46503" xr:uid="{B441FA5E-952D-409A-A402-122058FDBBCF}"/>
    <cellStyle name="Вывод 2 11 2 2 3" xfId="25717" xr:uid="{F0F6E120-3DCA-4CFA-AC3F-7352FAB4772B}"/>
    <cellStyle name="Вывод 2 11 2 2 4" xfId="38793" xr:uid="{D62D790A-321E-438C-A20E-436DFB2F16BC}"/>
    <cellStyle name="Вывод 2 11 2 3" xfId="6573" xr:uid="{42F8421C-59D9-4911-BB19-90EF479702D9}"/>
    <cellStyle name="Вывод 2 11 2 3 2" xfId="16965" xr:uid="{43DC517B-6150-4921-9055-69370495A86E}"/>
    <cellStyle name="Вывод 2 11 2 3 2 2" xfId="32797" xr:uid="{EB1AD926-EB37-4E4C-A402-38FA1C134C93}"/>
    <cellStyle name="Вывод 2 11 2 3 2 3" xfId="46507" xr:uid="{4B19421B-9BE1-4C0B-9B16-25E9E6DDFD83}"/>
    <cellStyle name="Вывод 2 11 2 3 3" xfId="24208" xr:uid="{26A1DCEE-C5D1-4F04-B4FF-B1C67F2FDFA5}"/>
    <cellStyle name="Вывод 2 11 2 3 4" xfId="37289" xr:uid="{FF30C6E8-378C-4A6B-8A59-CFD9793B9A59}"/>
    <cellStyle name="Вывод 2 11 2 4" xfId="14462" xr:uid="{B71FC8B2-0796-4A3C-83DB-7CDCE6B171C5}"/>
    <cellStyle name="Вывод 2 11 2 4 2" xfId="30788" xr:uid="{1206CAA2-0A7C-4BD7-B96C-94D9DBF80263}"/>
    <cellStyle name="Вывод 2 11 2 4 3" xfId="44191" xr:uid="{E4293E50-214C-4F43-A918-3ECEB2876A0F}"/>
    <cellStyle name="Вывод 2 11 2 5" xfId="20960" xr:uid="{800FD352-0A7D-40BD-82D3-190C1DE1BA1F}"/>
    <cellStyle name="Вывод 2 11 2 6" xfId="33983" xr:uid="{FFCDF2D9-69EF-4503-B455-9355C33C9191}"/>
    <cellStyle name="Вывод 2 11 3" xfId="4666" xr:uid="{52A17435-93DD-4A2A-860A-47310A8F2145}"/>
    <cellStyle name="Вывод 2 11 3 2" xfId="7212" xr:uid="{F010587A-749D-4D33-A417-3565614660B2}"/>
    <cellStyle name="Вывод 2 11 3 2 2" xfId="10903" xr:uid="{E75CE589-EB3B-45B7-B884-7495C9F733B5}"/>
    <cellStyle name="Вывод 2 11 3 2 2 2" xfId="27724" xr:uid="{CEB9B3FD-1E24-4737-8DB3-5AFD56F8CBD6}"/>
    <cellStyle name="Вывод 2 11 3 2 2 3" xfId="40883" xr:uid="{9ED8D77B-1401-4907-888B-01C5DE5309B9}"/>
    <cellStyle name="Вывод 2 11 3 2 3" xfId="24806" xr:uid="{7DE5A426-1112-40DD-B10E-1A07807AFD53}"/>
    <cellStyle name="Вывод 2 11 3 2 4" xfId="37887" xr:uid="{11CBF11B-46E4-434D-8615-503F44254A7D}"/>
    <cellStyle name="Вывод 2 11 3 3" xfId="10998" xr:uid="{D770ECE2-196B-4AA4-97C1-0EEEBC7AA817}"/>
    <cellStyle name="Вывод 2 11 3 3 2" xfId="27805" xr:uid="{9AA1B754-DA3C-4992-AA70-F5E86A8389E5}"/>
    <cellStyle name="Вывод 2 11 3 3 3" xfId="40978" xr:uid="{032583E2-521C-4AC3-83A2-A3A9DF6BDE30}"/>
    <cellStyle name="Вывод 2 11 3 4" xfId="22476" xr:uid="{782212AF-F23D-4FCD-BC44-B35FC7FD60FF}"/>
    <cellStyle name="Вывод 2 11 3 5" xfId="35529" xr:uid="{D85E0432-E45E-465A-9F45-8A5897086AF9}"/>
    <cellStyle name="Вывод 2 11 4" xfId="5620" xr:uid="{C4536200-EF7B-48BA-A33F-ED27620AF910}"/>
    <cellStyle name="Вывод 2 11 4 2" xfId="8802" xr:uid="{B8C0199E-34C5-48D7-ADA9-EBC6DEE0E9E9}"/>
    <cellStyle name="Вывод 2 11 4 2 2" xfId="11144" xr:uid="{DC447923-9F10-47E5-B0FF-1B11490015E1}"/>
    <cellStyle name="Вывод 2 11 4 2 2 2" xfId="27941" xr:uid="{3A5C5146-CB2F-4AC6-989A-A732285F5FD9}"/>
    <cellStyle name="Вывод 2 11 4 2 2 3" xfId="41122" xr:uid="{9F58326F-A0B4-4791-8AE6-82E5749C02C9}"/>
    <cellStyle name="Вывод 2 11 4 2 3" xfId="26295" xr:uid="{F640FECD-821E-440C-AA46-6714EF9337F2}"/>
    <cellStyle name="Вывод 2 11 4 2 4" xfId="39371" xr:uid="{10D76FD7-5EF8-46AD-B608-9B205B299E87}"/>
    <cellStyle name="Вывод 2 11 4 3" xfId="12963" xr:uid="{F1634106-8C2D-4671-B6F9-B48BA0B1C14C}"/>
    <cellStyle name="Вывод 2 11 4 3 2" xfId="29501" xr:uid="{785C495F-7793-4F32-BE69-15D51AFF7EC6}"/>
    <cellStyle name="Вывод 2 11 4 3 3" xfId="42800" xr:uid="{6A037B9F-A9C5-41AC-B38F-F482CC818FF7}"/>
    <cellStyle name="Вывод 2 11 4 4" xfId="23267" xr:uid="{DB88AFEE-FF9E-48BC-AAC4-918E1DF86B9C}"/>
    <cellStyle name="Вывод 2 11 4 5" xfId="36348" xr:uid="{6EE5C0E4-BD62-41E1-8F1E-08BF262350FD}"/>
    <cellStyle name="Вывод 2 11 5" xfId="12798" xr:uid="{76DDF6D9-8DBE-479C-8D02-9CA8F3383555}"/>
    <cellStyle name="Вывод 2 11 5 2" xfId="29373" xr:uid="{1417CD66-A977-4613-96D2-867576B6CDA1}"/>
    <cellStyle name="Вывод 2 11 5 3" xfId="42653" xr:uid="{0D42E136-3EEB-4503-BD51-772284CF4843}"/>
    <cellStyle name="Вывод 2 11 6" xfId="21529" xr:uid="{9E793021-4A22-4B46-BBA2-B280DBC1968C}"/>
    <cellStyle name="Вывод 2 11 7" xfId="34582" xr:uid="{E5A9C9D3-88F4-434B-A233-388C8C5074C3}"/>
    <cellStyle name="Вывод 2 12" xfId="3705" xr:uid="{A9686FC4-4EC7-4051-8C0A-4003F4C86686}"/>
    <cellStyle name="Вывод 2 12 2" xfId="3021" xr:uid="{03F83417-212C-4405-9CC3-2528DFE7A44F}"/>
    <cellStyle name="Вывод 2 12 2 2" xfId="8317" xr:uid="{34220C68-F6A4-40B6-803C-63D0B6E0A5D2}"/>
    <cellStyle name="Вывод 2 12 2 2 2" xfId="15879" xr:uid="{DDD7F879-94F3-4D8B-934A-836AA3C02E10}"/>
    <cellStyle name="Вывод 2 12 2 2 2 2" xfId="31965" xr:uid="{3AFF3ECE-B075-4787-BA24-5E44C47973DD}"/>
    <cellStyle name="Вывод 2 12 2 2 2 3" xfId="45480" xr:uid="{909195F1-226C-4082-919E-29A4D92DDA35}"/>
    <cellStyle name="Вывод 2 12 2 2 3" xfId="25821" xr:uid="{7495EF72-B286-4E72-97B1-78DEA8330120}"/>
    <cellStyle name="Вывод 2 12 2 2 4" xfId="38897" xr:uid="{8639E466-AB49-4EAF-8B14-31FC5BA60AC2}"/>
    <cellStyle name="Вывод 2 12 2 3" xfId="6684" xr:uid="{BC0561D1-1AD2-4D77-89EA-41AED5770029}"/>
    <cellStyle name="Вывод 2 12 2 3 2" xfId="15968" xr:uid="{745BA0DD-9D20-480A-A000-D6890C305B8B}"/>
    <cellStyle name="Вывод 2 12 2 3 2 2" xfId="32043" xr:uid="{8F8523DB-87A1-4FBC-BDA1-AB1019820940}"/>
    <cellStyle name="Вывод 2 12 2 3 2 3" xfId="45561" xr:uid="{9C25F807-D65A-43DF-85CE-DB748CCCECBE}"/>
    <cellStyle name="Вывод 2 12 2 3 3" xfId="24312" xr:uid="{E075A044-6F09-41A5-B519-D5AB716FB7E2}"/>
    <cellStyle name="Вывод 2 12 2 3 4" xfId="37393" xr:uid="{00D69455-E9EC-4BF2-A04F-0F2CFEC303D0}"/>
    <cellStyle name="Вывод 2 12 2 4" xfId="13608" xr:uid="{E0FCC7FE-CB7C-4A68-896D-633577552BCC}"/>
    <cellStyle name="Вывод 2 12 2 4 2" xfId="30047" xr:uid="{F5BCFC3C-464D-4975-990E-26A8BBCBE0EC}"/>
    <cellStyle name="Вывод 2 12 2 4 3" xfId="43399" xr:uid="{67741E03-D516-41ED-B30C-6D6F5E56912F}"/>
    <cellStyle name="Вывод 2 12 2 5" xfId="21064" xr:uid="{05F9C78D-AF80-41FB-A31A-3AB0928033A0}"/>
    <cellStyle name="Вывод 2 12 2 6" xfId="34087" xr:uid="{5FBE70FE-CF89-487C-883D-021B15FF7954}"/>
    <cellStyle name="Вывод 2 12 3" xfId="4735" xr:uid="{062BBFF7-15F3-4504-8266-F2C488540EC6}"/>
    <cellStyle name="Вывод 2 12 3 2" xfId="7340" xr:uid="{78C8058B-0411-48EB-802E-5BE8DABA3048}"/>
    <cellStyle name="Вывод 2 12 3 2 2" xfId="13483" xr:uid="{7D09A9AA-CC80-43E5-8AF5-DAC58C2CD855}"/>
    <cellStyle name="Вывод 2 12 3 2 2 2" xfId="29944" xr:uid="{BE354196-9696-4542-BB99-FF581E006B17}"/>
    <cellStyle name="Вывод 2 12 3 2 2 3" xfId="43284" xr:uid="{BCECE985-E09C-446B-9EF6-443030DEE036}"/>
    <cellStyle name="Вывод 2 12 3 2 3" xfId="24899" xr:uid="{672FB5EE-939D-4F24-8587-18FF7EBABB07}"/>
    <cellStyle name="Вывод 2 12 3 2 4" xfId="37979" xr:uid="{31CA885B-0FBE-40D9-A7B2-5A3FDE442E06}"/>
    <cellStyle name="Вывод 2 12 3 3" xfId="15242" xr:uid="{4F230D53-2144-4090-82E2-554BD434CC2E}"/>
    <cellStyle name="Вывод 2 12 3 3 2" xfId="31418" xr:uid="{B23F6537-453F-4B68-A822-C2C53F51FBD4}"/>
    <cellStyle name="Вывод 2 12 3 3 3" xfId="44893" xr:uid="{43E4F5D6-C054-4110-AB00-55B58704D7A6}"/>
    <cellStyle name="Вывод 2 12 3 4" xfId="22538" xr:uid="{633C28FA-AB23-4358-9754-FBC59FBF076B}"/>
    <cellStyle name="Вывод 2 12 3 5" xfId="35591" xr:uid="{8291F19A-FF82-46ED-A328-FF9C3DF3E163}"/>
    <cellStyle name="Вывод 2 12 4" xfId="5712" xr:uid="{F398F7B3-030C-451E-8716-C76C31472DC0}"/>
    <cellStyle name="Вывод 2 12 4 2" xfId="8901" xr:uid="{287B716B-CD0D-408C-A0CA-81FD3591EA36}"/>
    <cellStyle name="Вывод 2 12 4 2 2" xfId="11816" xr:uid="{7ABCDA97-922E-48E4-AD81-898033072D40}"/>
    <cellStyle name="Вывод 2 12 4 2 2 2" xfId="28537" xr:uid="{F19056C5-611E-4D6A-9007-EAB27722CE71}"/>
    <cellStyle name="Вывод 2 12 4 2 2 3" xfId="41749" xr:uid="{D3804344-B30A-4AB1-82FB-F5CDE2DD2E67}"/>
    <cellStyle name="Вывод 2 12 4 2 3" xfId="26387" xr:uid="{E4C411E3-BDAE-478D-A63C-30144FD71623}"/>
    <cellStyle name="Вывод 2 12 4 2 4" xfId="39463" xr:uid="{E3A26518-FF70-4B65-810C-2DFCC182D370}"/>
    <cellStyle name="Вывод 2 12 4 3" xfId="16141" xr:uid="{649524E4-082E-41F1-95CA-45DD09D347D8}"/>
    <cellStyle name="Вывод 2 12 4 3 2" xfId="32195" xr:uid="{33C5AFFD-1751-4444-B3D9-76CD42BD206B}"/>
    <cellStyle name="Вывод 2 12 4 3 3" xfId="45716" xr:uid="{8E132752-0B2F-435C-B703-CF59FC575C85}"/>
    <cellStyle name="Вывод 2 12 4 4" xfId="23359" xr:uid="{B5F956E8-0B87-4E97-BEEA-E006366C5078}"/>
    <cellStyle name="Вывод 2 12 4 5" xfId="36440" xr:uid="{936DE0DD-058F-4741-9DD3-A6338925F234}"/>
    <cellStyle name="Вывод 2 12 5" xfId="17038" xr:uid="{3CA3815F-71F6-4E87-85CC-250A7152B2A5}"/>
    <cellStyle name="Вывод 2 12 5 2" xfId="32812" xr:uid="{83D327DF-B9EE-43C0-AA26-2941832F7123}"/>
    <cellStyle name="Вывод 2 12 5 3" xfId="46580" xr:uid="{18CCE501-895B-44BA-B8C0-8E254794A9D9}"/>
    <cellStyle name="Вывод 2 12 6" xfId="21621" xr:uid="{F4DFCD9E-2E57-4E38-BBE2-3E1CA068D371}"/>
    <cellStyle name="Вывод 2 12 7" xfId="34675" xr:uid="{5F10C28E-5D6C-4D92-808B-BBC32918E7BF}"/>
    <cellStyle name="Вывод 2 13" xfId="3689" xr:uid="{07AF6650-7669-40A3-A5E3-63318CBE80D9}"/>
    <cellStyle name="Вывод 2 13 2" xfId="3005" xr:uid="{18ABF001-DBE6-4528-BF2B-1C283CF7E706}"/>
    <cellStyle name="Вывод 2 13 2 2" xfId="8301" xr:uid="{047A5B90-D66D-447A-AA35-C3C3998572EC}"/>
    <cellStyle name="Вывод 2 13 2 2 2" xfId="10717" xr:uid="{88020832-2961-400B-AF41-B77828B56026}"/>
    <cellStyle name="Вывод 2 13 2 2 2 2" xfId="27562" xr:uid="{D6F16667-3724-497C-B91B-37FFF3F9D320}"/>
    <cellStyle name="Вывод 2 13 2 2 2 3" xfId="40698" xr:uid="{7C5901B8-D27E-4B56-B8D8-C7A3B739F4EF}"/>
    <cellStyle name="Вывод 2 13 2 2 3" xfId="25806" xr:uid="{C5EB4FE9-E98A-4920-85CA-ECAF14B9B92A}"/>
    <cellStyle name="Вывод 2 13 2 2 4" xfId="38882" xr:uid="{CA33E1C4-DA7B-425E-9F47-39B210ABAFFD}"/>
    <cellStyle name="Вывод 2 13 2 3" xfId="6668" xr:uid="{992DEE32-F7E5-4457-8BA7-9BE53CC47289}"/>
    <cellStyle name="Вывод 2 13 2 3 2" xfId="14949" xr:uid="{2BBE1501-16FC-4EC5-AE6D-62EE14FBF386}"/>
    <cellStyle name="Вывод 2 13 2 3 2 2" xfId="31188" xr:uid="{F26496CB-0396-4602-AE4B-DF253CADBCED}"/>
    <cellStyle name="Вывод 2 13 2 3 2 3" xfId="44635" xr:uid="{B1CD35DD-AA02-4BAB-B851-627198686E04}"/>
    <cellStyle name="Вывод 2 13 2 3 3" xfId="24297" xr:uid="{652E0D2D-FC04-4BC0-A0A7-5EADEB8D5BF6}"/>
    <cellStyle name="Вывод 2 13 2 3 4" xfId="37378" xr:uid="{3B2543D5-E98F-46D3-BDB9-C53413B3A286}"/>
    <cellStyle name="Вывод 2 13 2 4" xfId="12279" xr:uid="{7EA1A914-C217-44E1-8CEE-801B88A4C15B}"/>
    <cellStyle name="Вывод 2 13 2 4 2" xfId="28956" xr:uid="{3D16309E-B5F6-43E6-BDDB-3A4E3A4105FA}"/>
    <cellStyle name="Вывод 2 13 2 4 3" xfId="42191" xr:uid="{4B3E679F-6CED-4C1A-9623-C5040366EF9C}"/>
    <cellStyle name="Вывод 2 13 2 5" xfId="21049" xr:uid="{6160C6A6-6254-4F10-90B7-17786E81FC10}"/>
    <cellStyle name="Вывод 2 13 2 6" xfId="34072" xr:uid="{9DA1B7DA-A246-4FBA-8380-A3995972DA77}"/>
    <cellStyle name="Вывод 2 13 3" xfId="4720" xr:uid="{A85B2F1E-75ED-4556-BF04-516ACA8E2203}"/>
    <cellStyle name="Вывод 2 13 3 2" xfId="7324" xr:uid="{F4CE2756-201B-4A51-A779-2049380344AE}"/>
    <cellStyle name="Вывод 2 13 3 2 2" xfId="13824" xr:uid="{9A6EB6AA-0BDC-4087-B146-E4DB6DD339DC}"/>
    <cellStyle name="Вывод 2 13 3 2 2 2" xfId="30226" xr:uid="{5CB14CB7-3DED-4AA8-A846-92D48A7E6201}"/>
    <cellStyle name="Вывод 2 13 3 2 2 3" xfId="43596" xr:uid="{A92774E4-6F09-4C77-997C-DDE517D1BC46}"/>
    <cellStyle name="Вывод 2 13 3 2 3" xfId="24884" xr:uid="{E3A614B7-4A63-410D-92EE-7DB3CFFF5138}"/>
    <cellStyle name="Вывод 2 13 3 2 4" xfId="37964" xr:uid="{D4D43494-E340-429B-8CEB-8246231DF18B}"/>
    <cellStyle name="Вывод 2 13 3 3" xfId="13489" xr:uid="{E8839B41-5EA4-4FA1-A062-91A3E7EB3ED5}"/>
    <cellStyle name="Вывод 2 13 3 3 2" xfId="29950" xr:uid="{BCD31C28-DDEE-4ECB-8EC4-68721CA076FB}"/>
    <cellStyle name="Вывод 2 13 3 3 3" xfId="43290" xr:uid="{249D6984-643C-4A7F-B6F3-CD773628EFBA}"/>
    <cellStyle name="Вывод 2 13 3 4" xfId="22524" xr:uid="{62B4281F-C026-4AEE-8D41-A07A8FF43ACD}"/>
    <cellStyle name="Вывод 2 13 3 5" xfId="35577" xr:uid="{48736330-71C0-4FB7-ABC3-BD8671ED396E}"/>
    <cellStyle name="Вывод 2 13 4" xfId="5697" xr:uid="{D1B89B64-4333-4DF6-994F-DB8BDD4A3E33}"/>
    <cellStyle name="Вывод 2 13 4 2" xfId="8885" xr:uid="{7A6DB4A5-8924-41DD-A7DC-B9F0E4F10A67}"/>
    <cellStyle name="Вывод 2 13 4 2 2" xfId="11817" xr:uid="{7AE19761-8D5D-4A20-8D0F-8D99C385B36F}"/>
    <cellStyle name="Вывод 2 13 4 2 2 2" xfId="28538" xr:uid="{61DD1983-B23D-407A-84AE-44DEF5EF3C23}"/>
    <cellStyle name="Вывод 2 13 4 2 2 3" xfId="41750" xr:uid="{B9F0DF61-0CC0-481F-89F9-2C0F6B22DE95}"/>
    <cellStyle name="Вывод 2 13 4 2 3" xfId="26372" xr:uid="{DA7BC69E-B847-45C5-B47F-8D162F1651F2}"/>
    <cellStyle name="Вывод 2 13 4 2 4" xfId="39448" xr:uid="{2C34E717-2BED-4E2E-AE08-B8B95FE726C3}"/>
    <cellStyle name="Вывод 2 13 4 3" xfId="12300" xr:uid="{CA0C15F4-C184-401C-96B4-5F7662806D8C}"/>
    <cellStyle name="Вывод 2 13 4 3 2" xfId="28972" xr:uid="{2D8EDFBE-3864-4E09-AB8C-6F0BF17985CB}"/>
    <cellStyle name="Вывод 2 13 4 3 3" xfId="42209" xr:uid="{931C35B9-15D9-4AD8-B7BE-3FF30C0E9F5E}"/>
    <cellStyle name="Вывод 2 13 4 4" xfId="23344" xr:uid="{244E6C7D-4FC8-4E6E-A3BC-C43AD60BD740}"/>
    <cellStyle name="Вывод 2 13 4 5" xfId="36425" xr:uid="{73DBB3AF-CF8B-44AB-9829-B1F44C03E500}"/>
    <cellStyle name="Вывод 2 13 5" xfId="12867" xr:uid="{6417F310-3901-481D-9F05-6056E4532B5C}"/>
    <cellStyle name="Вывод 2 13 5 2" xfId="29429" xr:uid="{BE0F3C25-B0AC-41D9-8C4A-B313FCF63CF1}"/>
    <cellStyle name="Вывод 2 13 5 3" xfId="42716" xr:uid="{6AAF93F6-32CD-45C0-A4BE-88BE2459CBED}"/>
    <cellStyle name="Вывод 2 13 6" xfId="21606" xr:uid="{65A6842A-9AFA-48EF-A633-4AC99D90FCA5}"/>
    <cellStyle name="Вывод 2 13 7" xfId="34660" xr:uid="{5C6F611B-9497-423F-9528-B8D036D41376}"/>
    <cellStyle name="Вывод 2 14" xfId="3822" xr:uid="{45BA6611-9CFB-4867-ABA2-8698AD359850}"/>
    <cellStyle name="Вывод 2 14 2" xfId="3084" xr:uid="{80990A79-7220-4D4B-AB2C-461F2979A084}"/>
    <cellStyle name="Вывод 2 14 2 2" xfId="8376" xr:uid="{71458E13-DCEE-46D1-85B2-071CBA165E36}"/>
    <cellStyle name="Вывод 2 14 2 2 2" xfId="16393" xr:uid="{4BBABE26-C203-4A22-B2E4-F68F4AD7A419}"/>
    <cellStyle name="Вывод 2 14 2 2 2 2" xfId="32411" xr:uid="{DB625ECF-9979-4330-B167-F290AE6FE18C}"/>
    <cellStyle name="Вывод 2 14 2 2 2 3" xfId="45946" xr:uid="{87B2FE26-180A-4DBD-9C04-B7F7E0EF4C7E}"/>
    <cellStyle name="Вывод 2 14 2 2 3" xfId="25880" xr:uid="{29361FC4-0B2B-4D7D-AA2B-BBD3B3337343}"/>
    <cellStyle name="Вывод 2 14 2 2 4" xfId="38956" xr:uid="{5F02B26E-7F27-4EFE-97F1-E408B157E4A6}"/>
    <cellStyle name="Вывод 2 14 2 3" xfId="6743" xr:uid="{B08C9F8A-1261-4A27-A978-49E68E872356}"/>
    <cellStyle name="Вывод 2 14 2 3 2" xfId="13113" xr:uid="{80764BA9-345B-45B7-9338-969A40F10AB7}"/>
    <cellStyle name="Вывод 2 14 2 3 2 2" xfId="29628" xr:uid="{C1B4A65C-0795-42CD-8757-B132ACC92FBF}"/>
    <cellStyle name="Вывод 2 14 2 3 2 3" xfId="42939" xr:uid="{3FA4C890-0F88-4D8D-8CBD-BBA870958F22}"/>
    <cellStyle name="Вывод 2 14 2 3 3" xfId="24371" xr:uid="{028999DC-6BFC-4A51-9FF5-668C413AD8A7}"/>
    <cellStyle name="Вывод 2 14 2 3 4" xfId="37452" xr:uid="{2372FAFD-EA9D-47DD-AEF2-F47460831AAB}"/>
    <cellStyle name="Вывод 2 14 2 4" xfId="13971" xr:uid="{25B5DC52-A464-44AE-BB2D-32744BFB3368}"/>
    <cellStyle name="Вывод 2 14 2 4 2" xfId="30358" xr:uid="{B911769E-D309-4ED7-ADAD-F1DD6E483C0E}"/>
    <cellStyle name="Вывод 2 14 2 4 3" xfId="43735" xr:uid="{23CB5335-9ECC-490B-A23D-45D40AD83A32}"/>
    <cellStyle name="Вывод 2 14 2 5" xfId="21123" xr:uid="{2AA20849-DA53-4F84-918D-ACF7F41FC184}"/>
    <cellStyle name="Вывод 2 14 2 6" xfId="34146" xr:uid="{687F3CC1-7698-4BC4-8EBA-335D16FB844D}"/>
    <cellStyle name="Вывод 2 14 3" xfId="4768" xr:uid="{5D506DAD-5D62-43EA-9F4C-B7CE67C64998}"/>
    <cellStyle name="Вывод 2 14 3 2" xfId="7409" xr:uid="{E9C346BD-3DAB-4F4A-A07B-AA57945BF7FC}"/>
    <cellStyle name="Вывод 2 14 3 2 2" xfId="14352" xr:uid="{122027DD-C823-4475-A5CC-1B1DC0A7FD0A}"/>
    <cellStyle name="Вывод 2 14 3 2 2 2" xfId="30686" xr:uid="{87507F17-982D-4642-ADAC-5E88BABC975F}"/>
    <cellStyle name="Вывод 2 14 3 2 2 3" xfId="44082" xr:uid="{5FDC8B48-C231-4A6C-8C57-464A41D585C0}"/>
    <cellStyle name="Вывод 2 14 3 2 3" xfId="24968" xr:uid="{F6907DBB-4C09-4297-B8E4-BC4A02AEAEA1}"/>
    <cellStyle name="Вывод 2 14 3 2 4" xfId="38044" xr:uid="{8437D277-0CD9-474A-80C2-3B96D7CC61D9}"/>
    <cellStyle name="Вывод 2 14 3 3" xfId="11990" xr:uid="{B6B12A7A-8D4B-47A7-9E2E-598E10BD6719}"/>
    <cellStyle name="Вывод 2 14 3 3 2" xfId="28696" xr:uid="{5CFA9C79-F518-443B-BB26-954254F1510A}"/>
    <cellStyle name="Вывод 2 14 3 3 3" xfId="41914" xr:uid="{F87CBE40-0308-4C58-A8C1-D9F5F7BB8051}"/>
    <cellStyle name="Вывод 2 14 3 4" xfId="22571" xr:uid="{5FF010DE-FE1B-4266-B7D3-5164CB8E2755}"/>
    <cellStyle name="Вывод 2 14 3 5" xfId="35624" xr:uid="{A435C555-252B-4CFC-98D0-00692B351973}"/>
    <cellStyle name="Вывод 2 14 4" xfId="5794" xr:uid="{787BE25E-C07B-4970-8346-71DC38722DE9}"/>
    <cellStyle name="Вывод 2 14 4 2" xfId="8954" xr:uid="{88E1FB63-7C0E-4B04-80B8-9710C3CC17F0}"/>
    <cellStyle name="Вывод 2 14 4 2 2" xfId="15305" xr:uid="{6D22C432-1E49-48F6-B208-3E4848973013}"/>
    <cellStyle name="Вывод 2 14 4 2 2 2" xfId="31471" xr:uid="{FC83CDD2-23DF-4C76-9310-E44ACC5487D1}"/>
    <cellStyle name="Вывод 2 14 4 2 2 3" xfId="44952" xr:uid="{CE56133A-88A8-43C3-91CE-643E22B496A2}"/>
    <cellStyle name="Вывод 2 14 4 2 3" xfId="26440" xr:uid="{D04A9D42-92C4-44E9-A1CB-833B990DE85B}"/>
    <cellStyle name="Вывод 2 14 4 2 4" xfId="39516" xr:uid="{FD822D40-DA12-4232-A747-5A7DD5030CCD}"/>
    <cellStyle name="Вывод 2 14 4 3" xfId="15340" xr:uid="{C35BF9EC-42DB-4D52-85A3-216AF66463F6}"/>
    <cellStyle name="Вывод 2 14 4 3 2" xfId="31497" xr:uid="{2701FF7E-BB9E-4D3D-B5A9-6738A9EE8CCD}"/>
    <cellStyle name="Вывод 2 14 4 3 3" xfId="44983" xr:uid="{BF8287D0-391D-4B21-9502-74AAAD691F33}"/>
    <cellStyle name="Вывод 2 14 4 4" xfId="23441" xr:uid="{5079A23C-2AAA-496B-8DBD-493F08FF44B3}"/>
    <cellStyle name="Вывод 2 14 4 5" xfId="36522" xr:uid="{8E0CD092-32A7-47F2-9ED1-2114250C31D4}"/>
    <cellStyle name="Вывод 2 14 5" xfId="17276" xr:uid="{DFC15BC5-2FBC-42F4-86A2-77D39F703F2E}"/>
    <cellStyle name="Вывод 2 14 5 2" xfId="33035" xr:uid="{1DF08757-310A-447D-8902-A4D6E0E00C5D}"/>
    <cellStyle name="Вывод 2 14 5 3" xfId="46810" xr:uid="{38E2F5C2-69CE-46C9-BBDD-59B8D1BA5B66}"/>
    <cellStyle name="Вывод 2 14 6" xfId="21703" xr:uid="{AB9E2ED5-A910-4839-8196-B9E1214BFA69}"/>
    <cellStyle name="Вывод 2 14 7" xfId="34757" xr:uid="{BE931A05-06B8-47FE-AB1B-9AFE575D9CBF}"/>
    <cellStyle name="Вывод 2 15" xfId="3713" xr:uid="{0D8A59AC-0328-4BCC-9DAE-74124708979A}"/>
    <cellStyle name="Вывод 2 15 2" xfId="3029" xr:uid="{0EA19EF2-9871-493E-BDAA-168D604D2FD4}"/>
    <cellStyle name="Вывод 2 15 2 2" xfId="8325" xr:uid="{0FDAC5B9-65F4-44AE-A137-BB894FD22411}"/>
    <cellStyle name="Вывод 2 15 2 2 2" xfId="16856" xr:uid="{C2BB7728-8F86-4F43-960F-14789E856812}"/>
    <cellStyle name="Вывод 2 15 2 2 2 2" xfId="32733" xr:uid="{0025D502-6E56-45A2-A933-97D263316AB0}"/>
    <cellStyle name="Вывод 2 15 2 2 2 3" xfId="46398" xr:uid="{99B6C481-12E6-4CC2-886B-795AE5333505}"/>
    <cellStyle name="Вывод 2 15 2 2 3" xfId="25829" xr:uid="{6D579AF3-C28D-491B-8D6E-AD45562FF4D5}"/>
    <cellStyle name="Вывод 2 15 2 2 4" xfId="38905" xr:uid="{32486036-80F8-4B9A-BE32-1588251761C8}"/>
    <cellStyle name="Вывод 2 15 2 3" xfId="6692" xr:uid="{00A0A314-DA2D-4677-98F0-01854847ABA6}"/>
    <cellStyle name="Вывод 2 15 2 3 2" xfId="16082" xr:uid="{E6BA033C-9766-4A63-A2C4-17968CF34316}"/>
    <cellStyle name="Вывод 2 15 2 3 2 2" xfId="32142" xr:uid="{49562ADD-B799-49CF-AF95-9C205F701011}"/>
    <cellStyle name="Вывод 2 15 2 3 2 3" xfId="45662" xr:uid="{A96E9F67-DB81-487F-B2AF-CDED2419DEB6}"/>
    <cellStyle name="Вывод 2 15 2 3 3" xfId="24320" xr:uid="{D6E01E39-A63B-4982-85D9-E7821EB276D8}"/>
    <cellStyle name="Вывод 2 15 2 3 4" xfId="37401" xr:uid="{47FB3F6B-581A-4490-A7BA-F3BB5D3CD65E}"/>
    <cellStyle name="Вывод 2 15 2 4" xfId="11892" xr:uid="{3954A273-873E-44CC-9608-C0D5AF629983}"/>
    <cellStyle name="Вывод 2 15 2 4 2" xfId="28607" xr:uid="{B11BE443-02B5-45FF-B87F-008B885A3A5F}"/>
    <cellStyle name="Вывод 2 15 2 4 3" xfId="41823" xr:uid="{480CF138-E036-480B-BCD9-4BAB6CDBB295}"/>
    <cellStyle name="Вывод 2 15 2 5" xfId="21072" xr:uid="{F06436C1-1DB7-411E-B52F-811A125E2D68}"/>
    <cellStyle name="Вывод 2 15 2 6" xfId="34095" xr:uid="{47D29863-27EF-4A97-8B93-FEF715333190}"/>
    <cellStyle name="Вывод 2 15 3" xfId="4743" xr:uid="{8746636C-D255-4C78-A76C-74BD1A810B4B}"/>
    <cellStyle name="Вывод 2 15 3 2" xfId="7348" xr:uid="{1777A065-FB09-4AEE-AD59-5334D6195F88}"/>
    <cellStyle name="Вывод 2 15 3 2 2" xfId="11895" xr:uid="{3DE3D2E9-35F9-4BF5-8AD5-57B628309B72}"/>
    <cellStyle name="Вывод 2 15 3 2 2 2" xfId="28610" xr:uid="{D3102E78-A331-418E-BBCD-896883DC253F}"/>
    <cellStyle name="Вывод 2 15 3 2 2 3" xfId="41826" xr:uid="{5E8C8B0A-A376-48A9-8722-883E83269F25}"/>
    <cellStyle name="Вывод 2 15 3 2 3" xfId="24907" xr:uid="{E1FC34E8-FA24-4C0D-AB33-C52D38D7E77E}"/>
    <cellStyle name="Вывод 2 15 3 2 4" xfId="37987" xr:uid="{CC1C7F0E-7F6A-4284-B466-FBD9943E30F5}"/>
    <cellStyle name="Вывод 2 15 3 3" xfId="16969" xr:uid="{C9008563-61DD-4859-B0BC-FC2657C5DC8C}"/>
    <cellStyle name="Вывод 2 15 3 3 2" xfId="32800" xr:uid="{8454D885-B3D8-4616-BA16-18AADDC361BF}"/>
    <cellStyle name="Вывод 2 15 3 3 3" xfId="46511" xr:uid="{314B3DB9-7C23-4BE0-AF7D-22B02743909B}"/>
    <cellStyle name="Вывод 2 15 3 4" xfId="22546" xr:uid="{7AC47478-9D53-4E5A-9187-39CF890C5CB4}"/>
    <cellStyle name="Вывод 2 15 3 5" xfId="35599" xr:uid="{F775AA24-243A-4C2E-9149-E1E16A86242D}"/>
    <cellStyle name="Вывод 2 15 4" xfId="5720" xr:uid="{F62CB62B-5AE1-47C6-B18C-1F813427427B}"/>
    <cellStyle name="Вывод 2 15 4 2" xfId="8909" xr:uid="{C544D6C6-AAF8-4233-9BF8-1CB66D86EA6C}"/>
    <cellStyle name="Вывод 2 15 4 2 2" xfId="12652" xr:uid="{E95DD759-08F7-4D9A-9401-36FC1DDFA434}"/>
    <cellStyle name="Вывод 2 15 4 2 2 2" xfId="29254" xr:uid="{D0873C37-B698-47AF-8A45-7CC1CC2D2108}"/>
    <cellStyle name="Вывод 2 15 4 2 2 3" xfId="42523" xr:uid="{B65BA27B-8DBB-44CA-9651-9F53799D5C3C}"/>
    <cellStyle name="Вывод 2 15 4 2 3" xfId="26395" xr:uid="{FA8C04AD-DD5A-4DF6-9355-014DF8F65969}"/>
    <cellStyle name="Вывод 2 15 4 2 4" xfId="39471" xr:uid="{89A11260-2920-475C-857C-5B102974B800}"/>
    <cellStyle name="Вывод 2 15 4 3" xfId="15548" xr:uid="{F22107F8-5CEF-4046-9131-5D5288E25DB5}"/>
    <cellStyle name="Вывод 2 15 4 3 2" xfId="31681" xr:uid="{21A27F6C-AEA8-4B22-A69B-D07E7FB6112C}"/>
    <cellStyle name="Вывод 2 15 4 3 3" xfId="45180" xr:uid="{4E84F3E0-113E-4CD4-9AA1-616832AFEEF9}"/>
    <cellStyle name="Вывод 2 15 4 4" xfId="23367" xr:uid="{D99ACA24-F766-4AED-A1B2-8BE395281424}"/>
    <cellStyle name="Вывод 2 15 4 5" xfId="36448" xr:uid="{B277D546-0A5D-4F56-AE57-5A410DF95383}"/>
    <cellStyle name="Вывод 2 15 5" xfId="16523" xr:uid="{AC4F6948-03CB-41F4-9413-4342BD03E957}"/>
    <cellStyle name="Вывод 2 15 5 2" xfId="32481" xr:uid="{AC17252F-2F1C-4123-BE20-F781E424E6CF}"/>
    <cellStyle name="Вывод 2 15 5 3" xfId="46070" xr:uid="{D6FEED3F-BF39-46ED-8927-DAEFA0D75BA5}"/>
    <cellStyle name="Вывод 2 15 6" xfId="21629" xr:uid="{468F78FB-7740-4582-89BE-2FD0CC934879}"/>
    <cellStyle name="Вывод 2 15 7" xfId="34683" xr:uid="{6EE2A23C-A4EC-45F3-9264-C1AE2EB43D34}"/>
    <cellStyle name="Вывод 2 16" xfId="3892" xr:uid="{04E78CF0-1A12-4AD9-A96A-43CF0BBF77D4}"/>
    <cellStyle name="Вывод 2 16 2" xfId="3161" xr:uid="{2146A22C-62F0-4BA5-A400-E20409EB2B51}"/>
    <cellStyle name="Вывод 2 16 2 2" xfId="8453" xr:uid="{75C8092D-A7EB-4074-8BA6-BFAF7FF87FD4}"/>
    <cellStyle name="Вывод 2 16 2 2 2" xfId="10885" xr:uid="{1195348D-D47D-4778-AAA5-AF33155D76D2}"/>
    <cellStyle name="Вывод 2 16 2 2 2 2" xfId="27709" xr:uid="{11E7C1F0-9A35-43D0-B831-F2BFCC8FE02F}"/>
    <cellStyle name="Вывод 2 16 2 2 2 3" xfId="40865" xr:uid="{85AE7FEF-4D3B-46B9-B191-D60A7A79A5F9}"/>
    <cellStyle name="Вывод 2 16 2 2 3" xfId="25955" xr:uid="{A1EC5F29-39D0-46C2-A712-9DB0140E22AB}"/>
    <cellStyle name="Вывод 2 16 2 2 4" xfId="39031" xr:uid="{746B9715-863D-4304-B03A-E0E3FBE8DBB2}"/>
    <cellStyle name="Вывод 2 16 2 3" xfId="6820" xr:uid="{A4D91EF4-4191-48D6-A2CC-B3B150406F1E}"/>
    <cellStyle name="Вывод 2 16 2 3 2" xfId="12142" xr:uid="{CFE19572-AF2F-4333-B101-4EBD01559FCF}"/>
    <cellStyle name="Вывод 2 16 2 3 2 2" xfId="28842" xr:uid="{E059E698-41EA-4DFD-B650-5C53C178BD32}"/>
    <cellStyle name="Вывод 2 16 2 3 2 3" xfId="42062" xr:uid="{05872AB9-AB5A-438C-AD19-BF06E402A5F4}"/>
    <cellStyle name="Вывод 2 16 2 3 3" xfId="24446" xr:uid="{E2646A5E-77B0-43C8-8F91-1DD2EDED61D6}"/>
    <cellStyle name="Вывод 2 16 2 3 4" xfId="37527" xr:uid="{09EA323E-7F22-447A-B8B5-C5F1BE5FD3F0}"/>
    <cellStyle name="Вывод 2 16 2 4" xfId="15148" xr:uid="{F12A9A6A-0208-4C92-846D-B3441E8C7A1F}"/>
    <cellStyle name="Вывод 2 16 2 4 2" xfId="31347" xr:uid="{B551E20B-8011-42D7-8333-0E48359C1CDE}"/>
    <cellStyle name="Вывод 2 16 2 4 3" xfId="44811" xr:uid="{D241E252-B68F-4A14-9C8F-513D8684C6C0}"/>
    <cellStyle name="Вывод 2 16 2 5" xfId="21198" xr:uid="{B6BB5CF1-A310-4A64-9AA2-875EA2ACE795}"/>
    <cellStyle name="Вывод 2 16 2 6" xfId="34221" xr:uid="{E79C39B7-FF7D-4B07-A976-05CC36F5C163}"/>
    <cellStyle name="Вывод 2 16 3" xfId="4829" xr:uid="{8D72F130-4D7B-48A7-AEA3-E221FCC37EE1}"/>
    <cellStyle name="Вывод 2 16 3 2" xfId="7473" xr:uid="{92754D45-48A6-49A5-BB58-46C6EAEB205A}"/>
    <cellStyle name="Вывод 2 16 3 2 2" xfId="11744" xr:uid="{EDEC3748-257F-454C-8130-8B1295C0F0B9}"/>
    <cellStyle name="Вывод 2 16 3 2 2 2" xfId="28471" xr:uid="{EE6CAE28-F4F7-4404-952B-4CF5A26F59C2}"/>
    <cellStyle name="Вывод 2 16 3 2 2 3" xfId="41682" xr:uid="{A03F006D-4CB4-471D-BF00-4F8A76CEE297}"/>
    <cellStyle name="Вывод 2 16 3 2 3" xfId="25030" xr:uid="{03843037-327D-4DF0-B482-4523928A0831}"/>
    <cellStyle name="Вывод 2 16 3 2 4" xfId="38106" xr:uid="{1ABD1C02-4175-4D90-A6C6-EA3C4E93ABA5}"/>
    <cellStyle name="Вывод 2 16 3 3" xfId="12290" xr:uid="{82DFED01-C0A2-4E27-A0EC-81144C53B119}"/>
    <cellStyle name="Вывод 2 16 3 3 2" xfId="28964" xr:uid="{CE3F80DF-E245-45CB-BC39-13A04FC03BCD}"/>
    <cellStyle name="Вывод 2 16 3 3 3" xfId="42201" xr:uid="{4DCAE7E5-A280-4A1F-AFCE-715ACE0EA448}"/>
    <cellStyle name="Вывод 2 16 3 4" xfId="22631" xr:uid="{B833855D-F0D2-450D-BAF9-DCCF41F252AD}"/>
    <cellStyle name="Вывод 2 16 3 5" xfId="35684" xr:uid="{778BFEC2-F9B0-4E92-94EF-8E0D356963E0}"/>
    <cellStyle name="Вывод 2 16 4" xfId="5856" xr:uid="{32196A53-9A97-457D-8B69-32B88A53C13B}"/>
    <cellStyle name="Вывод 2 16 4 2" xfId="9014" xr:uid="{FB0C6C7A-E18E-4374-A925-62F87B1127B4}"/>
    <cellStyle name="Вывод 2 16 4 2 2" xfId="15297" xr:uid="{61EE6409-4B44-4988-87DF-E3E1F26AE5B8}"/>
    <cellStyle name="Вывод 2 16 4 2 2 2" xfId="31465" xr:uid="{6110D0FE-144B-4A2C-8023-809ED70FC1FC}"/>
    <cellStyle name="Вывод 2 16 4 2 2 3" xfId="44945" xr:uid="{02B75AE7-3F37-4843-AC51-8CD64DD2F5B9}"/>
    <cellStyle name="Вывод 2 16 4 2 3" xfId="26499" xr:uid="{9E2C1DC7-B62E-49CD-A814-85841F1BD6F6}"/>
    <cellStyle name="Вывод 2 16 4 2 4" xfId="39575" xr:uid="{9368D254-E4ED-42F0-AE7B-12371D6E401C}"/>
    <cellStyle name="Вывод 2 16 4 3" xfId="10637" xr:uid="{AE6F7EE9-B9DD-43AF-A3E7-0ECE9A46EE5C}"/>
    <cellStyle name="Вывод 2 16 4 3 2" xfId="27491" xr:uid="{9E462DCA-7646-415C-AF6E-374427D83F44}"/>
    <cellStyle name="Вывод 2 16 4 3 3" xfId="40618" xr:uid="{326CBA12-F949-4D7C-8385-F0F5352D9BCB}"/>
    <cellStyle name="Вывод 2 16 4 4" xfId="23503" xr:uid="{38A823C6-2145-415C-AAEA-5E8AC5D29C71}"/>
    <cellStyle name="Вывод 2 16 4 5" xfId="36584" xr:uid="{8503C801-A69D-4240-A785-CCA9A15E109F}"/>
    <cellStyle name="Вывод 2 16 5" xfId="17195" xr:uid="{F0912005-C874-4848-B641-3747CA7E15F5}"/>
    <cellStyle name="Вывод 2 16 5 2" xfId="32958" xr:uid="{928A015A-AFBB-42AC-A284-E4C2AEDC0445}"/>
    <cellStyle name="Вывод 2 16 5 3" xfId="46730" xr:uid="{DAFA78D3-93D6-45CD-879F-DCFA1D35B512}"/>
    <cellStyle name="Вывод 2 16 6" xfId="21768" xr:uid="{2FC9020C-4E31-4939-A148-00F174B049D4}"/>
    <cellStyle name="Вывод 2 16 7" xfId="34819" xr:uid="{70944188-29A0-41B4-AEDB-ABA8200DB32F}"/>
    <cellStyle name="Вывод 2 17" xfId="3971" xr:uid="{8AB63FB7-4948-4232-93D1-DB6294CFE38F}"/>
    <cellStyle name="Вывод 2 17 2" xfId="3216" xr:uid="{A2B4A33C-0B5C-405C-87A5-DDA0BAEABAAB}"/>
    <cellStyle name="Вывод 2 17 2 2" xfId="8507" xr:uid="{E4C38B25-81BE-480C-BA6B-7D62357F2086}"/>
    <cellStyle name="Вывод 2 17 2 2 2" xfId="16188" xr:uid="{1DCC0A5C-5AED-4467-A4D2-8EBA4D327FE3}"/>
    <cellStyle name="Вывод 2 17 2 2 2 2" xfId="32233" xr:uid="{2633C6F2-5068-4648-881D-C97606AE443E}"/>
    <cellStyle name="Вывод 2 17 2 2 2 3" xfId="45756" xr:uid="{BD942540-A810-4B76-A1FA-E8D864877E7C}"/>
    <cellStyle name="Вывод 2 17 2 2 3" xfId="26006" xr:uid="{E29B08B7-51DE-4D82-9B19-13C9586255D2}"/>
    <cellStyle name="Вывод 2 17 2 2 4" xfId="39082" xr:uid="{41F8378A-AE45-4F2A-BFC8-92E08B6EA3C3}"/>
    <cellStyle name="Вывод 2 17 2 3" xfId="6875" xr:uid="{AE4BCDCA-7575-4293-9665-4689DB20691C}"/>
    <cellStyle name="Вывод 2 17 2 3 2" xfId="11765" xr:uid="{A309045D-6AC6-463A-B624-D65CA7060588}"/>
    <cellStyle name="Вывод 2 17 2 3 2 2" xfId="28490" xr:uid="{E1AFD88B-1A24-4170-A11F-D95DB2667269}"/>
    <cellStyle name="Вывод 2 17 2 3 2 3" xfId="41701" xr:uid="{E0D0B9DD-4198-4636-9D00-C75A35BA7532}"/>
    <cellStyle name="Вывод 2 17 2 3 3" xfId="24498" xr:uid="{4827AE39-CB9D-4CC6-AE15-8CB1705F274A}"/>
    <cellStyle name="Вывод 2 17 2 3 4" xfId="37579" xr:uid="{599676CE-2B7B-492E-B9A3-23F6B41BC459}"/>
    <cellStyle name="Вывод 2 17 2 4" xfId="17550" xr:uid="{EBB7E25B-DD23-491F-8BD7-5F7476882C05}"/>
    <cellStyle name="Вывод 2 17 2 4 2" xfId="33288" xr:uid="{8BEE070C-4439-402D-BA4E-2685AC9934AB}"/>
    <cellStyle name="Вывод 2 17 2 4 3" xfId="47075" xr:uid="{A8092D80-57B4-48C6-9DEF-F00D20BE5DDC}"/>
    <cellStyle name="Вывод 2 17 2 5" xfId="21250" xr:uid="{2BA7AD24-2780-4881-9CBE-720C70CF5E4E}"/>
    <cellStyle name="Вывод 2 17 2 6" xfId="34273" xr:uid="{B1CB7B12-DEA3-4A63-AFFA-CABDFBDCC09A}"/>
    <cellStyle name="Вывод 2 17 3" xfId="4883" xr:uid="{DCAB5F9E-9565-4700-821E-9F2972677A52}"/>
    <cellStyle name="Вывод 2 17 3 2" xfId="7551" xr:uid="{60B2ACF7-35B6-46B7-ADFF-68528C789093}"/>
    <cellStyle name="Вывод 2 17 3 2 2" xfId="17235" xr:uid="{A87CCBE7-E2EE-4629-8D22-3AD95E0EC11C}"/>
    <cellStyle name="Вывод 2 17 3 2 2 2" xfId="32994" xr:uid="{F61F4B12-FEA7-4553-86F5-121BF3A8C7F9}"/>
    <cellStyle name="Вывод 2 17 3 2 2 3" xfId="46769" xr:uid="{EFAE6219-A207-4070-AF5A-51826787D3BB}"/>
    <cellStyle name="Вывод 2 17 3 2 3" xfId="25079" xr:uid="{50996F04-4E59-404E-9DC9-4C9F6E4F6848}"/>
    <cellStyle name="Вывод 2 17 3 2 4" xfId="38155" xr:uid="{B8B7DB40-DC1B-4131-992D-E5D0E1EE1DD7}"/>
    <cellStyle name="Вывод 2 17 3 3" xfId="15361" xr:uid="{DF96F01A-54DF-4873-B5B8-CB0E604B501F}"/>
    <cellStyle name="Вывод 2 17 3 3 2" xfId="31518" xr:uid="{AAB8DCF0-536C-4091-AEED-8BC1352FAF69}"/>
    <cellStyle name="Вывод 2 17 3 3 3" xfId="45004" xr:uid="{15FFA730-3237-43C2-A6B5-7BD95D342F22}"/>
    <cellStyle name="Вывод 2 17 3 4" xfId="22680" xr:uid="{9448DD61-58E7-4458-87FF-B19D5A804240}"/>
    <cellStyle name="Вывод 2 17 3 5" xfId="35733" xr:uid="{16D989D4-C9AD-4A92-8875-E15CC602FE69}"/>
    <cellStyle name="Вывод 2 17 4" xfId="5905" xr:uid="{04DD74E0-A534-40C4-A515-C6A4AB073C96}"/>
    <cellStyle name="Вывод 2 17 4 2" xfId="9065" xr:uid="{2F9DD841-6177-49B7-989A-9CE4B3CF3461}"/>
    <cellStyle name="Вывод 2 17 4 2 2" xfId="13543" xr:uid="{AAC9972F-881A-4473-936E-14E7630C3947}"/>
    <cellStyle name="Вывод 2 17 4 2 2 2" xfId="29989" xr:uid="{EE38E905-86BB-4A71-AAC1-2FF39DF3AAE8}"/>
    <cellStyle name="Вывод 2 17 4 2 2 3" xfId="43338" xr:uid="{3A0BE0C2-70E7-49EE-819F-195C50492770}"/>
    <cellStyle name="Вывод 2 17 4 2 3" xfId="26546" xr:uid="{EE733C3A-2F73-424E-8F82-A50398AB6F19}"/>
    <cellStyle name="Вывод 2 17 4 2 4" xfId="39622" xr:uid="{25BF6113-B50F-4A78-812C-53F9EA5742B3}"/>
    <cellStyle name="Вывод 2 17 4 3" xfId="15323" xr:uid="{D642C6ED-34D7-4208-B4B1-444688428C5A}"/>
    <cellStyle name="Вывод 2 17 4 3 2" xfId="31484" xr:uid="{91481C71-5DCB-4B17-A5A3-04B7A90B9939}"/>
    <cellStyle name="Вывод 2 17 4 3 3" xfId="44969" xr:uid="{A384D354-4FF6-4977-A398-5248472A11DC}"/>
    <cellStyle name="Вывод 2 17 4 4" xfId="23552" xr:uid="{D389C37E-E7CE-4246-B4DE-434C0423E279}"/>
    <cellStyle name="Вывод 2 17 4 5" xfId="36633" xr:uid="{19EBFE78-A707-4CCB-A803-5E0BA6F37F39}"/>
    <cellStyle name="Вывод 2 17 5" xfId="15864" xr:uid="{0D705B16-757D-4FC4-AE0E-D5C386F37BB4}"/>
    <cellStyle name="Вывод 2 17 5 2" xfId="31953" xr:uid="{CA426FDC-A035-4AAD-AC8F-0F56841F580F}"/>
    <cellStyle name="Вывод 2 17 5 3" xfId="45467" xr:uid="{515FC9C6-1FC8-4CE1-9398-9FF029793355}"/>
    <cellStyle name="Вывод 2 17 6" xfId="21818" xr:uid="{C94AA542-004D-4C12-86E9-1FAFCBA3DB7D}"/>
    <cellStyle name="Вывод 2 17 7" xfId="34868" xr:uid="{6774C35B-A6D3-4D80-9A6E-AFA9084EFF11}"/>
    <cellStyle name="Вывод 2 18" xfId="3882" xr:uid="{B400BEAD-D5D7-4F30-8633-9575B7FA43C9}"/>
    <cellStyle name="Вывод 2 18 2" xfId="3139" xr:uid="{8F353095-4042-452B-86AA-C5BAC9872818}"/>
    <cellStyle name="Вывод 2 18 2 2" xfId="8431" xr:uid="{353D6165-39DE-44CA-9572-163E01AFAED2}"/>
    <cellStyle name="Вывод 2 18 2 2 2" xfId="13314" xr:uid="{A9169E66-F409-423E-82EC-359DE9479AEA}"/>
    <cellStyle name="Вывод 2 18 2 2 2 2" xfId="29799" xr:uid="{705BFF55-9707-453D-8173-4D5AED663C75}"/>
    <cellStyle name="Вывод 2 18 2 2 2 3" xfId="43129" xr:uid="{BB25DEDC-4FC1-4E85-8543-984A6E9EAFF5}"/>
    <cellStyle name="Вывод 2 18 2 2 3" xfId="25933" xr:uid="{14AD17ED-096D-47F3-B3FE-25161179EECE}"/>
    <cellStyle name="Вывод 2 18 2 2 4" xfId="39009" xr:uid="{EDDBEA17-A7EE-4D88-AC3E-2109A21A2DCF}"/>
    <cellStyle name="Вывод 2 18 2 3" xfId="6798" xr:uid="{8E3305C2-F01D-4518-93E8-C8FDF9DE8360}"/>
    <cellStyle name="Вывод 2 18 2 3 2" xfId="15633" xr:uid="{357E5AE4-DB0C-4EF7-8D71-928B0A8A6967}"/>
    <cellStyle name="Вывод 2 18 2 3 2 2" xfId="31753" xr:uid="{4C5371C8-095C-43BD-8EC1-557CC0A0A1EC}"/>
    <cellStyle name="Вывод 2 18 2 3 2 3" xfId="45257" xr:uid="{6B07B13A-AE10-4AB4-B499-11141D876BE5}"/>
    <cellStyle name="Вывод 2 18 2 3 3" xfId="24424" xr:uid="{C2A15C06-5F2D-4544-BBAE-1781D21A24D9}"/>
    <cellStyle name="Вывод 2 18 2 3 4" xfId="37505" xr:uid="{1EE284D0-64F1-4D46-8C7F-9B3A99931CCA}"/>
    <cellStyle name="Вывод 2 18 2 4" xfId="17559" xr:uid="{515EBDAA-F443-4330-B142-981740D961CB}"/>
    <cellStyle name="Вывод 2 18 2 4 2" xfId="33296" xr:uid="{6730FE74-DBD0-4C86-8CF7-3F57EE326AC9}"/>
    <cellStyle name="Вывод 2 18 2 4 3" xfId="47084" xr:uid="{A3A54A97-B9E7-428A-ADBC-533B3E31EE02}"/>
    <cellStyle name="Вывод 2 18 2 5" xfId="21176" xr:uid="{9ECA2DAE-D1E3-44D6-817E-D973CE9C65C6}"/>
    <cellStyle name="Вывод 2 18 2 6" xfId="34199" xr:uid="{8ED71A58-9C94-45BE-BB98-89D80B18C435}"/>
    <cellStyle name="Вывод 2 18 3" xfId="4819" xr:uid="{995CB3E6-5B3C-41A5-9F1C-56A4F3715A05}"/>
    <cellStyle name="Вывод 2 18 3 2" xfId="7463" xr:uid="{F2336507-867E-40BB-8B44-05AC4DEDC555}"/>
    <cellStyle name="Вывод 2 18 3 2 2" xfId="14093" xr:uid="{1CC47932-46C3-4FE2-AAA2-55E7F3F191D3}"/>
    <cellStyle name="Вывод 2 18 3 2 2 2" xfId="30460" xr:uid="{2BB9AF5D-6141-4137-8036-0145877DBDAE}"/>
    <cellStyle name="Вывод 2 18 3 2 2 3" xfId="43843" xr:uid="{0A4B52BC-8121-4CB6-B935-288EA46F4382}"/>
    <cellStyle name="Вывод 2 18 3 2 3" xfId="25020" xr:uid="{28A53415-54E9-495B-8102-CF4D7FD834AA}"/>
    <cellStyle name="Вывод 2 18 3 2 4" xfId="38096" xr:uid="{8F148EDE-7FED-472B-99C9-AD9F38F24B36}"/>
    <cellStyle name="Вывод 2 18 3 3" xfId="14378" xr:uid="{A2AE7E68-DAB8-4EDA-8621-0775B877ED0F}"/>
    <cellStyle name="Вывод 2 18 3 3 2" xfId="30710" xr:uid="{62C3DDCB-4309-4899-AD04-71A7D2FF5F9D}"/>
    <cellStyle name="Вывод 2 18 3 3 3" xfId="44108" xr:uid="{CD27EA45-7805-49DC-8DEB-779AFDE40BF1}"/>
    <cellStyle name="Вывод 2 18 3 4" xfId="22621" xr:uid="{0DCFEB63-9D71-402E-8062-0815818E0AE6}"/>
    <cellStyle name="Вывод 2 18 3 5" xfId="35674" xr:uid="{D36BE55C-EE70-4307-BD9D-D26D4E6226B2}"/>
    <cellStyle name="Вывод 2 18 4" xfId="5846" xr:uid="{6E563EFB-0564-438B-B1AE-46E09644AA14}"/>
    <cellStyle name="Вывод 2 18 4 2" xfId="9004" xr:uid="{3FA72A16-3193-4D3C-8EC4-DA59BE70A734}"/>
    <cellStyle name="Вывод 2 18 4 2 2" xfId="15799" xr:uid="{3D4AC6F6-F6B0-4262-8C6C-B499C2468ABC}"/>
    <cellStyle name="Вывод 2 18 4 2 2 2" xfId="31898" xr:uid="{5A83AD0B-2352-40AB-BC9E-0F7C611B4069}"/>
    <cellStyle name="Вывод 2 18 4 2 2 3" xfId="45410" xr:uid="{34828AC3-A5CC-41DD-A0A4-131EA79DDF6D}"/>
    <cellStyle name="Вывод 2 18 4 2 3" xfId="26489" xr:uid="{C2920FE5-B283-41D0-959E-7D4D4EAA2DC1}"/>
    <cellStyle name="Вывод 2 18 4 2 4" xfId="39565" xr:uid="{D479F8C7-2453-4A59-8EE1-695D832C20EA}"/>
    <cellStyle name="Вывод 2 18 4 3" xfId="11116" xr:uid="{4BCC4FF8-8314-4576-A50E-7640264F3933}"/>
    <cellStyle name="Вывод 2 18 4 3 2" xfId="27917" xr:uid="{D57C1705-3D94-4859-8870-ED1C361684AD}"/>
    <cellStyle name="Вывод 2 18 4 3 3" xfId="41095" xr:uid="{E9BEC4FD-7A02-4FE7-95A2-85C37D6528D2}"/>
    <cellStyle name="Вывод 2 18 4 4" xfId="23493" xr:uid="{6034831B-BC67-466E-9F52-A608A4919E52}"/>
    <cellStyle name="Вывод 2 18 4 5" xfId="36574" xr:uid="{8CED33B1-CD50-4EFF-886E-1B50FDE1E17A}"/>
    <cellStyle name="Вывод 2 18 5" xfId="12960" xr:uid="{37088687-B1E0-4BFD-A999-967396522005}"/>
    <cellStyle name="Вывод 2 18 5 2" xfId="29498" xr:uid="{F23B8326-D395-4D29-B670-38A53F289618}"/>
    <cellStyle name="Вывод 2 18 5 3" xfId="42797" xr:uid="{E3BAEB9D-2365-471D-B11C-7D36B00534E9}"/>
    <cellStyle name="Вывод 2 18 6" xfId="21758" xr:uid="{1071AEE9-C862-478A-879E-7094BAF7D2D2}"/>
    <cellStyle name="Вывод 2 18 7" xfId="34809" xr:uid="{2D002951-6FBE-41A8-AAA9-35907977B061}"/>
    <cellStyle name="Вывод 2 19" xfId="3983" xr:uid="{359A41A8-0EBB-4762-8C27-C61DEE1722C7}"/>
    <cellStyle name="Вывод 2 19 2" xfId="3223" xr:uid="{B1B5AD74-1164-4889-871E-9BEBC206F553}"/>
    <cellStyle name="Вывод 2 19 2 2" xfId="8514" xr:uid="{12A95CAD-DBDD-49A3-A647-A002F66C49DD}"/>
    <cellStyle name="Вывод 2 19 2 2 2" xfId="12282" xr:uid="{AA64991A-1F7B-41B7-9303-F9461FAAB4EB}"/>
    <cellStyle name="Вывод 2 19 2 2 2 2" xfId="28958" xr:uid="{9445A3EE-D418-4280-94B1-FBD5418C984C}"/>
    <cellStyle name="Вывод 2 19 2 2 2 3" xfId="42194" xr:uid="{23B17D3C-38D6-4622-897D-6E3D18B7DEC5}"/>
    <cellStyle name="Вывод 2 19 2 2 3" xfId="26013" xr:uid="{D96A7843-895C-4C56-81FA-A8C47BD7C42B}"/>
    <cellStyle name="Вывод 2 19 2 2 4" xfId="39089" xr:uid="{E4368CEB-D6D4-4841-AD43-F68D32689B7D}"/>
    <cellStyle name="Вывод 2 19 2 3" xfId="6882" xr:uid="{C29D9C29-4ABD-441D-AC73-B5A0137E7A03}"/>
    <cellStyle name="Вывод 2 19 2 3 2" xfId="16755" xr:uid="{E9DC8609-89DB-4169-9480-6515AAC31F96}"/>
    <cellStyle name="Вывод 2 19 2 3 2 2" xfId="32637" xr:uid="{26FEF51A-3CF4-4E57-8244-35536C2187B3}"/>
    <cellStyle name="Вывод 2 19 2 3 2 3" xfId="46298" xr:uid="{C979DD60-3AF7-49EC-BAEB-F0ED3C5E3D1D}"/>
    <cellStyle name="Вывод 2 19 2 3 3" xfId="24505" xr:uid="{2FC1EDBD-A477-4F39-B744-A3C295AF4091}"/>
    <cellStyle name="Вывод 2 19 2 3 4" xfId="37586" xr:uid="{11ADC596-D948-4A53-8CC2-972047D26E92}"/>
    <cellStyle name="Вывод 2 19 2 4" xfId="13944" xr:uid="{15A4F954-D2A4-4C88-9610-59B4D540517B}"/>
    <cellStyle name="Вывод 2 19 2 4 2" xfId="30332" xr:uid="{D6AAE436-28F1-4135-854B-3DC62D94BAAD}"/>
    <cellStyle name="Вывод 2 19 2 4 3" xfId="43709" xr:uid="{6A45940D-FF40-4C4D-9046-5E12774BC11D}"/>
    <cellStyle name="Вывод 2 19 2 5" xfId="21257" xr:uid="{1EC9FFD4-23CD-4EB3-8CC2-4F290EA2CEDA}"/>
    <cellStyle name="Вывод 2 19 2 6" xfId="34280" xr:uid="{EC5CE6B3-F9BE-465D-A7A3-21DB0CDFA4F3}"/>
    <cellStyle name="Вывод 2 19 3" xfId="4895" xr:uid="{97707745-AA27-47BB-9561-EA2455A59CDE}"/>
    <cellStyle name="Вывод 2 19 3 2" xfId="7563" xr:uid="{94DA1EB4-D47C-465B-9E7E-C1C0062C7828}"/>
    <cellStyle name="Вывод 2 19 3 2 2" xfId="13141" xr:uid="{312BAA00-7B9D-4BC7-9BE9-A2B9C3DFB6F1}"/>
    <cellStyle name="Вывод 2 19 3 2 2 2" xfId="29655" xr:uid="{21C98A90-48B5-454D-93DC-69781C004270}"/>
    <cellStyle name="Вывод 2 19 3 2 2 3" xfId="42967" xr:uid="{FB06098C-DE38-486F-A534-4C0DF12C531F}"/>
    <cellStyle name="Вывод 2 19 3 2 3" xfId="25091" xr:uid="{1FB6A126-FAF1-4D95-AC4C-851C94489957}"/>
    <cellStyle name="Вывод 2 19 3 2 4" xfId="38167" xr:uid="{8E2F4DBD-6B3B-41C4-ABB1-E586D7832EA0}"/>
    <cellStyle name="Вывод 2 19 3 3" xfId="11896" xr:uid="{62854C1F-A9B0-431C-8FB9-1AAD173BB7DE}"/>
    <cellStyle name="Вывод 2 19 3 3 2" xfId="28611" xr:uid="{E8412DF6-98DC-4DB4-B8A5-D798482F2D79}"/>
    <cellStyle name="Вывод 2 19 3 3 3" xfId="41827" xr:uid="{D8A8B6CD-717C-461F-B3EB-F6AC173869F7}"/>
    <cellStyle name="Вывод 2 19 3 4" xfId="22692" xr:uid="{3000862F-9BCF-4625-950A-8AE4B35CBCF2}"/>
    <cellStyle name="Вывод 2 19 3 5" xfId="35745" xr:uid="{94DC708A-98DD-4243-8DEA-FE39520FFD38}"/>
    <cellStyle name="Вывод 2 19 4" xfId="5917" xr:uid="{6EAF4902-BBEC-4188-9333-3BA24C064B4B}"/>
    <cellStyle name="Вывод 2 19 4 2" xfId="9077" xr:uid="{0E20A99B-A5C9-47A7-A35E-867DB4487AB1}"/>
    <cellStyle name="Вывод 2 19 4 2 2" xfId="11450" xr:uid="{FF1D3CBB-BC16-4C40-88CA-181F75690011}"/>
    <cellStyle name="Вывод 2 19 4 2 2 2" xfId="28215" xr:uid="{9B8A3403-42EA-49C9-BCAB-296BFAA0658B}"/>
    <cellStyle name="Вывод 2 19 4 2 2 3" xfId="41409" xr:uid="{39B9BBCD-80B0-4319-B650-B9A07D42CA77}"/>
    <cellStyle name="Вывод 2 19 4 2 3" xfId="26558" xr:uid="{174548C1-0296-472B-845C-BDADD51F42E6}"/>
    <cellStyle name="Вывод 2 19 4 2 4" xfId="39634" xr:uid="{7BF86771-EF31-4A5A-AF62-901D0A86C4C4}"/>
    <cellStyle name="Вывод 2 19 4 3" xfId="11716" xr:uid="{D6376E51-F4B1-4BBA-AB1B-BCBDF595F19B}"/>
    <cellStyle name="Вывод 2 19 4 3 2" xfId="28447" xr:uid="{7365EA12-B614-4AE0-A8F8-6E9AA1800DBD}"/>
    <cellStyle name="Вывод 2 19 4 3 3" xfId="41657" xr:uid="{36EE9400-7AD2-45E1-BE24-57BF8BAC4F4E}"/>
    <cellStyle name="Вывод 2 19 4 4" xfId="23564" xr:uid="{163B0643-F26D-491E-B819-56049D10C99F}"/>
    <cellStyle name="Вывод 2 19 4 5" xfId="36645" xr:uid="{D3CBF4A1-D817-45D0-905B-A18A9C3A0D7B}"/>
    <cellStyle name="Вывод 2 19 5" xfId="14158" xr:uid="{01FACF23-6B9D-4773-ADA7-2384B048F5C3}"/>
    <cellStyle name="Вывод 2 19 5 2" xfId="30515" xr:uid="{B3176DB6-8A0F-409F-B350-A3B2283F4402}"/>
    <cellStyle name="Вывод 2 19 5 3" xfId="43901" xr:uid="{EEE204BC-D41A-434A-A88A-A381FF31B875}"/>
    <cellStyle name="Вывод 2 19 6" xfId="21830" xr:uid="{E05BFFFC-A0DF-4BB1-B993-3088768D768E}"/>
    <cellStyle name="Вывод 2 19 7" xfId="34880" xr:uid="{91927016-4CCA-4639-BAE0-BAE3C7439653}"/>
    <cellStyle name="Вывод 2 2" xfId="3443" xr:uid="{BF4EACFB-48CB-42E3-BF27-707656B4BBAD}"/>
    <cellStyle name="Вывод 2 2 10" xfId="17742" xr:uid="{84A3B690-ECE7-460E-9C4C-782AE7265D8B}"/>
    <cellStyle name="Вывод 2 2 10 2" xfId="33464" xr:uid="{9F508B36-BA9E-4995-B457-F91B2C902FBE}"/>
    <cellStyle name="Вывод 2 2 10 3" xfId="47247" xr:uid="{493319DD-1692-45A4-841E-7134BA68C6A8}"/>
    <cellStyle name="Вывод 2 2 11" xfId="20495" xr:uid="{625BD8D2-6073-427C-8FAC-09E0BB3FA898}"/>
    <cellStyle name="Вывод 2 2 12" xfId="34459" xr:uid="{331277F9-E8A2-4879-820C-C8006A9EF9EF}"/>
    <cellStyle name="Вывод 2 2 2" xfId="2785" xr:uid="{6D567DFD-7C69-48EB-906C-3ED60209DF48}"/>
    <cellStyle name="Вывод 2 2 2 2" xfId="5108" xr:uid="{E0001117-6082-42A1-B6E4-655C44410090}"/>
    <cellStyle name="Вывод 2 2 2 2 2" xfId="8081" xr:uid="{09F96A54-DC85-4189-9F41-828AEB7623BB}"/>
    <cellStyle name="Вывод 2 2 2 2 2 2" xfId="11478" xr:uid="{4FB65FD3-432C-4AED-AD6F-70C697ADD1A1}"/>
    <cellStyle name="Вывод 2 2 2 2 2 2 2" xfId="28242" xr:uid="{447D2C05-0B59-4C4B-92F8-2D395A43BB09}"/>
    <cellStyle name="Вывод 2 2 2 2 2 2 3" xfId="41437" xr:uid="{CEECF59C-30E9-4E9B-BCEF-1C97E54F58D4}"/>
    <cellStyle name="Вывод 2 2 2 2 2 3" xfId="25592" xr:uid="{65E0DEAD-C9EA-4A5F-8755-60F589B0B75C}"/>
    <cellStyle name="Вывод 2 2 2 2 2 4" xfId="38668" xr:uid="{7CB1991D-866C-42A4-8D25-E98D9CA5349D}"/>
    <cellStyle name="Вывод 2 2 2 2 3" xfId="14120" xr:uid="{74376402-CF50-4492-82F5-BC0B08E21218}"/>
    <cellStyle name="Вывод 2 2 2 2 3 2" xfId="30485" xr:uid="{5C7C339A-A40E-43AA-BCD9-1C0E0450C628}"/>
    <cellStyle name="Вывод 2 2 2 2 3 3" xfId="43868" xr:uid="{975B1E0E-8B36-4365-977D-F6EE96BEE3C7}"/>
    <cellStyle name="Вывод 2 2 2 2 4" xfId="22832" xr:uid="{B68B9875-5EE8-4B26-A895-ED06D06B9DCB}"/>
    <cellStyle name="Вывод 2 2 2 2 5" xfId="35901" xr:uid="{F7A38B16-48C9-4DF1-BDA9-8A722231A6BF}"/>
    <cellStyle name="Вывод 2 2 2 3" xfId="6448" xr:uid="{2CC3D6A8-4940-4AB3-A925-D9DD4A455423}"/>
    <cellStyle name="Вывод 2 2 2 3 2" xfId="12078" xr:uid="{99B4B171-8F6E-4D63-A792-A5A1187A10A9}"/>
    <cellStyle name="Вывод 2 2 2 3 2 2" xfId="28778" xr:uid="{E6F30516-BA9D-47B1-9244-26244118A349}"/>
    <cellStyle name="Вывод 2 2 2 3 2 3" xfId="41998" xr:uid="{5301CAA5-B49A-411B-A664-F6E0780FE535}"/>
    <cellStyle name="Вывод 2 2 2 3 3" xfId="24083" xr:uid="{23030F30-4933-460D-9B25-5C5C76529DB8}"/>
    <cellStyle name="Вывод 2 2 2 3 4" xfId="37164" xr:uid="{2DAE0861-6B17-483D-8121-1011504A9BD0}"/>
    <cellStyle name="Вывод 2 2 2 4" xfId="11647" xr:uid="{6F1D56D6-62C8-445D-94A7-B76E14B853A3}"/>
    <cellStyle name="Вывод 2 2 2 4 2" xfId="28388" xr:uid="{C72376C6-1857-4FCA-A794-2E3392E0D8FB}"/>
    <cellStyle name="Вывод 2 2 2 4 3" xfId="41592" xr:uid="{54345A5C-34E9-44B7-8F07-B0006DC3FC85}"/>
    <cellStyle name="Вывод 2 2 2 5" xfId="20835" xr:uid="{8745361E-C473-42EA-8213-E3EA1B422A63}"/>
    <cellStyle name="Вывод 2 2 2 6" xfId="33858" xr:uid="{AF3BB48F-8F3D-40EA-9480-BC88047BD2F0}"/>
    <cellStyle name="Вывод 2 2 3" xfId="4125" xr:uid="{A0B4A18B-089A-45F0-B936-033C99E1AD5D}"/>
    <cellStyle name="Вывод 2 2 3 2" xfId="5203" xr:uid="{62DC07F0-9E48-427D-B78A-A9C428A3FCB4}"/>
    <cellStyle name="Вывод 2 2 3 2 2" xfId="9177" xr:uid="{A9BED196-F7CC-47A4-A24E-4C9E8C6A0070}"/>
    <cellStyle name="Вывод 2 2 3 2 2 2" xfId="12250" xr:uid="{19700D57-E62A-40B0-8140-714A1ECB4326}"/>
    <cellStyle name="Вывод 2 2 3 2 2 2 2" xfId="28931" xr:uid="{214B22AC-25A0-4110-BF63-1645A90730E0}"/>
    <cellStyle name="Вывод 2 2 3 2 2 2 3" xfId="42164" xr:uid="{4FF04DE4-043D-4462-B1D6-5C8F7A3AC70E}"/>
    <cellStyle name="Вывод 2 2 3 2 2 3" xfId="26656" xr:uid="{91CFE5BC-4251-4343-83F6-62DE0A8823B7}"/>
    <cellStyle name="Вывод 2 2 3 2 2 4" xfId="39732" xr:uid="{CCC85919-0D7B-4B0B-964C-60DAE2DEB805}"/>
    <cellStyle name="Вывод 2 2 3 2 3" xfId="17172" xr:uid="{0E8A1250-6E11-4923-BC2A-B5ED401524BF}"/>
    <cellStyle name="Вывод 2 2 3 2 3 2" xfId="32935" xr:uid="{07056940-4F42-4E74-A38D-3A06CE1152C2}"/>
    <cellStyle name="Вывод 2 2 3 2 3 3" xfId="46707" xr:uid="{E1B5C1E4-4209-48E5-AE69-9EEA923CDF76}"/>
    <cellStyle name="Вывод 2 2 3 2 4" xfId="22878" xr:uid="{2AA96147-51A6-479D-AC93-945406CC42C9}"/>
    <cellStyle name="Вывод 2 2 3 2 5" xfId="35947" xr:uid="{68B0915E-72E7-4C8B-99C1-0B07B1E88F4A}"/>
    <cellStyle name="Вывод 2 2 3 3" xfId="7689" xr:uid="{BA6F62E1-94A9-4C74-AA97-3DE4A92E209E}"/>
    <cellStyle name="Вывод 2 2 3 3 2" xfId="13310" xr:uid="{2882D212-1046-49B0-B841-3E4816C27C95}"/>
    <cellStyle name="Вывод 2 2 3 3 2 2" xfId="29796" xr:uid="{987D8BC4-F499-4285-8019-0568967C3097}"/>
    <cellStyle name="Вывод 2 2 3 3 2 3" xfId="43125" xr:uid="{FF97E118-50F8-4847-A945-038A7942C2C4}"/>
    <cellStyle name="Вывод 2 2 3 3 3" xfId="25215" xr:uid="{FD10F544-69D8-4777-98CD-B8968226962F}"/>
    <cellStyle name="Вывод 2 2 3 3 4" xfId="38291" xr:uid="{2F155DDB-1FA8-4079-BD39-53F3E07CA03B}"/>
    <cellStyle name="Вывод 2 2 3 4" xfId="16340" xr:uid="{44165C4B-CFD2-4718-A0CE-84EE4750F99B}"/>
    <cellStyle name="Вывод 2 2 3 4 2" xfId="32364" xr:uid="{73AC7D4B-41ED-4F03-A74B-35EDAB335B18}"/>
    <cellStyle name="Вывод 2 2 3 4 3" xfId="45895" xr:uid="{BD06C822-809A-4DDA-BF96-53D32A8D5DC2}"/>
    <cellStyle name="Вывод 2 2 3 5" xfId="21956" xr:uid="{D79D17E3-7DD5-401B-901B-8C7998BB7503}"/>
    <cellStyle name="Вывод 2 2 3 6" xfId="35005" xr:uid="{0C09F198-FCFD-4386-9752-64BAFEDDF244}"/>
    <cellStyle name="Вывод 2 2 4" xfId="2624" xr:uid="{DEC833E9-21AF-4594-945E-69024C6D7FE6}"/>
    <cellStyle name="Вывод 2 2 4 2" xfId="5041" xr:uid="{A846A9F1-A1D8-4447-A49C-0635DD38CA33}"/>
    <cellStyle name="Вывод 2 2 4 2 2" xfId="7921" xr:uid="{367C1B0C-D957-40C8-8EF8-6DCF8DFEC092}"/>
    <cellStyle name="Вывод 2 2 4 2 2 2" xfId="15618" xr:uid="{D13E7FAD-27A5-4A71-8271-FFCAC06BF74A}"/>
    <cellStyle name="Вывод 2 2 4 2 2 2 2" xfId="31739" xr:uid="{EB486A53-5962-422C-BFBC-41C20F624AB6}"/>
    <cellStyle name="Вывод 2 2 4 2 2 2 3" xfId="45243" xr:uid="{986D4887-1BF7-473C-B7F5-54387348BCCA}"/>
    <cellStyle name="Вывод 2 2 4 2 2 3" xfId="25437" xr:uid="{970B2078-6ACE-486F-A4B2-8097C6D2FB2B}"/>
    <cellStyle name="Вывод 2 2 4 2 2 4" xfId="38513" xr:uid="{EFB63C40-5EB1-41D4-9CFB-FC4E1BB778E8}"/>
    <cellStyle name="Вывод 2 2 4 2 3" xfId="11705" xr:uid="{40E13DC2-92FE-4090-A48E-261E5CF2E6BA}"/>
    <cellStyle name="Вывод 2 2 4 2 3 2" xfId="28437" xr:uid="{BD5FB1C1-C16C-423A-B785-B52F3218C6D0}"/>
    <cellStyle name="Вывод 2 2 4 2 3 3" xfId="41647" xr:uid="{FF0CB53F-7091-4307-A85F-2F259F781F70}"/>
    <cellStyle name="Вывод 2 2 4 2 4" xfId="22792" xr:uid="{A55D30CD-6FA0-48D2-9776-224B953A8234}"/>
    <cellStyle name="Вывод 2 2 4 2 5" xfId="35856" xr:uid="{5DD1B41D-92AF-4F8A-8C92-9EE138582C20}"/>
    <cellStyle name="Вывод 2 2 4 3" xfId="6288" xr:uid="{43A87729-1D7C-431B-B9D0-CE16542A081E}"/>
    <cellStyle name="Вывод 2 2 4 3 2" xfId="15117" xr:uid="{F34A9F1E-58DC-48B9-9928-BBA375D6FDBF}"/>
    <cellStyle name="Вывод 2 2 4 3 2 2" xfId="31320" xr:uid="{4F310EA0-9EF0-44DA-8314-404D66FDB004}"/>
    <cellStyle name="Вывод 2 2 4 3 2 3" xfId="44782" xr:uid="{C9D47A6D-DDD2-4DA4-9DA7-D0BBB6754002}"/>
    <cellStyle name="Вывод 2 2 4 3 3" xfId="23928" xr:uid="{DCE760AB-9D96-4F87-AE2C-3744376D74AC}"/>
    <cellStyle name="Вывод 2 2 4 3 4" xfId="37009" xr:uid="{C4C54E5D-A6BD-45AE-A77E-6FDA41AFC592}"/>
    <cellStyle name="Вывод 2 2 4 4" xfId="16620" xr:uid="{1D40F2DF-B6BF-4DEA-8C24-64AB24B61BF0}"/>
    <cellStyle name="Вывод 2 2 4 4 2" xfId="32528" xr:uid="{FA1C300B-135E-4CB5-B209-2FF47C835697}"/>
    <cellStyle name="Вывод 2 2 4 4 3" xfId="46167" xr:uid="{321633D8-B9D5-4EE9-94AE-2520E54E5648}"/>
    <cellStyle name="Вывод 2 2 4 5" xfId="20680" xr:uid="{E1971582-81D2-4DA6-A7C1-93BED302931D}"/>
    <cellStyle name="Вывод 2 2 4 6" xfId="33703" xr:uid="{08E1C962-D545-4CD3-9FCA-DDAA52057C6C}"/>
    <cellStyle name="Вывод 2 2 5" xfId="4208" xr:uid="{FCEC43E8-4EE7-4E95-AFD2-C39265AA9319}"/>
    <cellStyle name="Вывод 2 2 5 2" xfId="5011" xr:uid="{AA870574-7252-4386-8F9C-B6E4D1263646}"/>
    <cellStyle name="Вывод 2 2 5 2 2" xfId="9260" xr:uid="{DEDE2A61-1729-4986-946B-109089880C06}"/>
    <cellStyle name="Вывод 2 2 5 2 2 2" xfId="11099" xr:uid="{DD5A70D7-23DF-46BB-8E3A-03C2DCD50E65}"/>
    <cellStyle name="Вывод 2 2 5 2 2 2 2" xfId="27900" xr:uid="{985D9AB5-3E74-42A2-A24B-C884E494957D}"/>
    <cellStyle name="Вывод 2 2 5 2 2 2 3" xfId="41078" xr:uid="{CC09437C-DC71-4EF1-8647-92CCC426639D}"/>
    <cellStyle name="Вывод 2 2 5 2 2 3" xfId="26735" xr:uid="{F3423D3E-9D73-4D6F-9246-6E3C97FCC1B8}"/>
    <cellStyle name="Вывод 2 2 5 2 2 4" xfId="39811" xr:uid="{9B1345B8-965C-44A5-8359-6E1CBA6CBB67}"/>
    <cellStyle name="Вывод 2 2 5 2 3" xfId="13085" xr:uid="{D23159CF-4BFE-4C59-8D97-04C485503087}"/>
    <cellStyle name="Вывод 2 2 5 2 3 2" xfId="29602" xr:uid="{631FC5D2-9530-49C4-9D76-B5F5E83DD469}"/>
    <cellStyle name="Вывод 2 2 5 2 3 3" xfId="42912" xr:uid="{EE43771D-D18C-43D1-9BA1-5FB59F20ADB5}"/>
    <cellStyle name="Вывод 2 2 5 2 4" xfId="22775" xr:uid="{19D94F09-26AF-4673-A926-E6285F05389F}"/>
    <cellStyle name="Вывод 2 2 5 2 5" xfId="35835" xr:uid="{647419B1-4250-472F-8AEF-BF642065CA21}"/>
    <cellStyle name="Вывод 2 2 5 3" xfId="7772" xr:uid="{C83BBBF6-94CD-483A-AAFE-E3C9FC1992CB}"/>
    <cellStyle name="Вывод 2 2 5 3 2" xfId="15660" xr:uid="{714096AD-C447-4A43-9F2B-7F40B980C51C}"/>
    <cellStyle name="Вывод 2 2 5 3 2 2" xfId="31778" xr:uid="{0DEAE7CD-7462-4CE0-A7F3-3823742571CB}"/>
    <cellStyle name="Вывод 2 2 5 3 2 3" xfId="45283" xr:uid="{7C06AA40-AFC9-4F6E-9B5F-6D3A3D0BF5FC}"/>
    <cellStyle name="Вывод 2 2 5 3 3" xfId="25294" xr:uid="{DFD2AC27-566E-4CF8-8262-342F2F885617}"/>
    <cellStyle name="Вывод 2 2 5 3 4" xfId="38370" xr:uid="{B1CA8001-37FA-4AC6-AB59-E8FD05798CD3}"/>
    <cellStyle name="Вывод 2 2 5 4" xfId="14725" xr:uid="{04BC1863-885F-4083-A295-823764FB3307}"/>
    <cellStyle name="Вывод 2 2 5 4 2" xfId="31009" xr:uid="{E98D020C-EC8C-4E9C-8BC6-DA6EA2206A01}"/>
    <cellStyle name="Вывод 2 2 5 4 3" xfId="44434" xr:uid="{CC6701BC-D089-493C-8D8D-46C6EF3F4242}"/>
    <cellStyle name="Вывод 2 2 5 5" xfId="22035" xr:uid="{A5E389B8-7739-4547-B114-58DF1AE79D22}"/>
    <cellStyle name="Вывод 2 2 5 6" xfId="35084" xr:uid="{583F0CC4-5908-417A-90D7-489368E22012}"/>
    <cellStyle name="Вывод 2 2 6" xfId="4445" xr:uid="{441A234E-FFF4-4055-96D8-120060D8497C}"/>
    <cellStyle name="Вывод 2 2 6 2" xfId="7085" xr:uid="{D6B34D73-0D3C-453B-B0E6-13FD6FD94118}"/>
    <cellStyle name="Вывод 2 2 6 2 2" xfId="15268" xr:uid="{730A9F41-07FB-4331-8ABD-2BA9057913C3}"/>
    <cellStyle name="Вывод 2 2 6 2 2 2" xfId="31443" xr:uid="{63B7D948-2E47-4AC8-A829-8018F39379D1}"/>
    <cellStyle name="Вывод 2 2 6 2 2 3" xfId="44919" xr:uid="{1F98D429-35C6-4DA0-B42E-0A73E55B9807}"/>
    <cellStyle name="Вывод 2 2 6 2 3" xfId="24684" xr:uid="{6B355664-8CB3-4292-8CCC-8EA54C6C8BBA}"/>
    <cellStyle name="Вывод 2 2 6 2 4" xfId="37765" xr:uid="{F42C53F7-A21A-4204-BBD6-ADC0EA6F2406}"/>
    <cellStyle name="Вывод 2 2 6 3" xfId="14806" xr:uid="{A8DF4FE7-804E-4CE1-8C68-9A0AC0C9B287}"/>
    <cellStyle name="Вывод 2 2 6 3 2" xfId="31069" xr:uid="{7A257827-12C8-44B1-89BD-7600A0C1A956}"/>
    <cellStyle name="Вывод 2 2 6 3 3" xfId="44503" xr:uid="{5253FFD9-C977-4DF3-8E74-2AE775A6EC90}"/>
    <cellStyle name="Вывод 2 2 6 4" xfId="22263" xr:uid="{6289F304-7F5E-4886-8A2E-C608CE7879F7}"/>
    <cellStyle name="Вывод 2 2 6 5" xfId="35312" xr:uid="{04E66616-ADFB-4EE5-BF20-F25EF80999AA}"/>
    <cellStyle name="Вывод 2 2 7" xfId="5176" xr:uid="{A4ECF44E-21A4-4CA5-A74E-E4652B5AFB01}"/>
    <cellStyle name="Вывод 2 2 7 2" xfId="8680" xr:uid="{BB40421A-2D59-4949-AD30-95A9E23ED7AE}"/>
    <cellStyle name="Вывод 2 2 7 2 2" xfId="15022" xr:uid="{8853CE27-1AD8-4B5B-92C7-985F37F1AC89}"/>
    <cellStyle name="Вывод 2 2 7 2 2 2" xfId="31246" xr:uid="{1FC555AC-E348-4E8E-9A6F-39C7B48F7316}"/>
    <cellStyle name="Вывод 2 2 7 2 2 3" xfId="44697" xr:uid="{A2ACDA06-2ADF-4FAF-A50C-88B1AD177066}"/>
    <cellStyle name="Вывод 2 2 7 2 3" xfId="26173" xr:uid="{32442C02-0D0E-427F-A2EE-875D0BCFBD08}"/>
    <cellStyle name="Вывод 2 2 7 2 4" xfId="39249" xr:uid="{A6C1A27E-8C92-4F2D-8FBF-AF5A9967FD27}"/>
    <cellStyle name="Вывод 2 2 7 3" xfId="12714" xr:uid="{755BA207-7D02-4DD0-8903-5F3EB8DF13F5}"/>
    <cellStyle name="Вывод 2 2 7 3 2" xfId="29297" xr:uid="{55A04873-1CD4-44F3-B24A-DEFBB74FC307}"/>
    <cellStyle name="Вывод 2 2 7 3 3" xfId="42574" xr:uid="{62C2A260-1D7F-4863-8F48-8F74AFC3B0F8}"/>
    <cellStyle name="Вывод 2 2 7 4" xfId="22863" xr:uid="{B5705E77-CF9A-4936-BC83-08B9317C4CA8}"/>
    <cellStyle name="Вывод 2 2 7 5" xfId="35929" xr:uid="{37524693-2D36-48B1-A189-075382AA58E5}"/>
    <cellStyle name="Вывод 2 2 8" xfId="5498" xr:uid="{01FAD85A-F5F3-4FCF-A70E-6B60D2F6D6CC}"/>
    <cellStyle name="Вывод 2 2 8 2" xfId="9819" xr:uid="{1CD69D3E-E2DA-42BB-B459-C33B0907742F}"/>
    <cellStyle name="Вывод 2 2 8 2 2" xfId="10924" xr:uid="{2012F777-1021-46C0-8CFE-9E14F409451C}"/>
    <cellStyle name="Вывод 2 2 8 2 2 2" xfId="27742" xr:uid="{82D70064-4A2F-4D5D-A458-C5A9CE56CEDA}"/>
    <cellStyle name="Вывод 2 2 8 2 2 3" xfId="40904" xr:uid="{7AE360A5-0A8C-4F0E-8567-4CA33E07E8DA}"/>
    <cellStyle name="Вывод 2 2 8 2 3" xfId="27115" xr:uid="{9951AD62-E804-443E-99B6-6FB296F0EA0F}"/>
    <cellStyle name="Вывод 2 2 8 2 4" xfId="40234" xr:uid="{2E24A620-BBE5-4B3C-855E-5103E6DA6FF0}"/>
    <cellStyle name="Вывод 2 2 8 3" xfId="14099" xr:uid="{9C615AAE-7619-43F6-B1B6-4459440031DA}"/>
    <cellStyle name="Вывод 2 2 8 3 2" xfId="30466" xr:uid="{E5D95D94-43FE-4A0E-9BA9-C2D71EA8CF83}"/>
    <cellStyle name="Вывод 2 2 8 3 3" xfId="43849" xr:uid="{2365A3D7-57DE-4AA8-914C-C5723FD55963}"/>
    <cellStyle name="Вывод 2 2 8 4" xfId="23145" xr:uid="{42D89B4A-2F11-4FEF-95F3-C16361CFC413}"/>
    <cellStyle name="Вывод 2 2 8 5" xfId="36226" xr:uid="{C936090A-5C4A-40C4-8A18-F562B55006AB}"/>
    <cellStyle name="Вывод 2 2 9" xfId="11850" xr:uid="{7EBC1C8A-046D-416D-BE5E-398B9B88C3EA}"/>
    <cellStyle name="Вывод 2 2 9 2" xfId="28567" xr:uid="{84DBE579-EE92-4E2F-B317-F43633193503}"/>
    <cellStyle name="Вывод 2 2 9 3" xfId="41783" xr:uid="{68D35F57-7935-4F38-A391-1076629BEE06}"/>
    <cellStyle name="Вывод 2 20" xfId="3994" xr:uid="{C63ECC33-52F5-43E0-A04D-34470B796326}"/>
    <cellStyle name="Вывод 2 20 2" xfId="3232" xr:uid="{0B7BDF08-B5C3-4C60-90FF-E7D23F073ABD}"/>
    <cellStyle name="Вывод 2 20 2 2" xfId="8523" xr:uid="{8CDAD7D9-A3EE-45CC-BA68-9683FC5D73B3}"/>
    <cellStyle name="Вывод 2 20 2 2 2" xfId="13129" xr:uid="{78E2E8A7-B7EA-4530-88D1-494B6E5352AD}"/>
    <cellStyle name="Вывод 2 20 2 2 2 2" xfId="29643" xr:uid="{3BCC96EF-F472-4A09-B95D-4AD73A328001}"/>
    <cellStyle name="Вывод 2 20 2 2 2 3" xfId="42955" xr:uid="{92AA7796-D4CB-481B-B8C7-7905402E5FD5}"/>
    <cellStyle name="Вывод 2 20 2 2 3" xfId="26022" xr:uid="{DA8F4EA8-C44C-4B48-992C-39A9D615CCB3}"/>
    <cellStyle name="Вывод 2 20 2 2 4" xfId="39098" xr:uid="{B5B672DB-BEF2-4AE4-BE5C-92F60412F7E5}"/>
    <cellStyle name="Вывод 2 20 2 3" xfId="6891" xr:uid="{68018736-D7CE-4993-A41E-F346AEC6EEFF}"/>
    <cellStyle name="Вывод 2 20 2 3 2" xfId="13694" xr:uid="{AE2B8FD3-4BB9-4304-9506-D06220527063}"/>
    <cellStyle name="Вывод 2 20 2 3 2 2" xfId="30116" xr:uid="{62D1DA0F-5A6C-48AF-93BB-A93CE77B078D}"/>
    <cellStyle name="Вывод 2 20 2 3 2 3" xfId="43475" xr:uid="{8FED2008-BBC8-44F7-848B-FBB12CDB0677}"/>
    <cellStyle name="Вывод 2 20 2 3 3" xfId="24514" xr:uid="{DED576D8-C10E-4A7A-8D1F-6C83EEBCE216}"/>
    <cellStyle name="Вывод 2 20 2 3 4" xfId="37595" xr:uid="{3CFD02E3-9D3E-453A-9176-BD8BEE70CCC8}"/>
    <cellStyle name="Вывод 2 20 2 4" xfId="16195" xr:uid="{E7E79C11-942B-4D63-A696-B9375C5392CC}"/>
    <cellStyle name="Вывод 2 20 2 4 2" xfId="32239" xr:uid="{890B94B8-3F2E-4090-9FAC-48C3BE3F8A07}"/>
    <cellStyle name="Вывод 2 20 2 4 3" xfId="45763" xr:uid="{D189147C-958A-4821-AE68-FA4E7CF606C5}"/>
    <cellStyle name="Вывод 2 20 2 5" xfId="21266" xr:uid="{B3327F4C-45D2-4178-82F0-A73BA85420CD}"/>
    <cellStyle name="Вывод 2 20 2 6" xfId="34289" xr:uid="{06A6DAC0-1195-4D07-84F9-997071431340}"/>
    <cellStyle name="Вывод 2 20 3" xfId="4906" xr:uid="{F173CDB0-F1F7-495C-9438-D0FB25356757}"/>
    <cellStyle name="Вывод 2 20 3 2" xfId="7574" xr:uid="{70A62231-963A-4FF4-979F-CB12C6719271}"/>
    <cellStyle name="Вывод 2 20 3 2 2" xfId="11554" xr:uid="{D425A4E3-FAED-4EE3-8473-7B3E8C529ACA}"/>
    <cellStyle name="Вывод 2 20 3 2 2 2" xfId="28311" xr:uid="{1E5067E5-B484-498F-B013-65D606100754}"/>
    <cellStyle name="Вывод 2 20 3 2 2 3" xfId="41509" xr:uid="{CBA86AEA-A973-4F24-8A03-C4FC952CF598}"/>
    <cellStyle name="Вывод 2 20 3 2 3" xfId="25102" xr:uid="{DBEC5233-D6AF-45F3-95A9-0FCAB34BF58F}"/>
    <cellStyle name="Вывод 2 20 3 2 4" xfId="38178" xr:uid="{9530CC28-6CDE-4B91-8D71-B0E5B8D16477}"/>
    <cellStyle name="Вывод 2 20 3 3" xfId="10792" xr:uid="{D23CB321-A22B-46BD-A68E-F97B36F7713A}"/>
    <cellStyle name="Вывод 2 20 3 3 2" xfId="27626" xr:uid="{931FBD11-4022-4463-A491-FC088493917E}"/>
    <cellStyle name="Вывод 2 20 3 3 3" xfId="40773" xr:uid="{C2719EF8-2C7C-4338-864C-BA584827987A}"/>
    <cellStyle name="Вывод 2 20 3 4" xfId="22703" xr:uid="{3CA082FF-6B48-41AA-B6B0-55824670F14D}"/>
    <cellStyle name="Вывод 2 20 3 5" xfId="35756" xr:uid="{3F5261F4-4C1A-452D-A1CC-301E51E8D605}"/>
    <cellStyle name="Вывод 2 20 4" xfId="5928" xr:uid="{1AFA1B31-E920-444F-96F7-875D42290D85}"/>
    <cellStyle name="Вывод 2 20 4 2" xfId="9861" xr:uid="{BE69D7D5-C43C-4AE8-91D8-836A55B90951}"/>
    <cellStyle name="Вывод 2 20 4 2 2" xfId="10642" xr:uid="{F43ED81E-E4CD-434E-AF3C-9D256E7A80F3}"/>
    <cellStyle name="Вывод 2 20 4 2 2 2" xfId="27496" xr:uid="{7CA6583C-8942-4EE4-8116-D194D7770725}"/>
    <cellStyle name="Вывод 2 20 4 2 2 3" xfId="40623" xr:uid="{4FFB30FE-E70A-40F7-A94A-9C25E99F3689}"/>
    <cellStyle name="Вывод 2 20 4 2 3" xfId="27157" xr:uid="{2A7CE63F-D89D-4614-AB79-D02E3887F9A9}"/>
    <cellStyle name="Вывод 2 20 4 2 4" xfId="40276" xr:uid="{3FC6CADF-FB63-4E8D-930D-D066E70B3D5A}"/>
    <cellStyle name="Вывод 2 20 4 3" xfId="17523" xr:uid="{3307B0E1-1E56-4AA3-9CB5-FC0F7490A2B7}"/>
    <cellStyle name="Вывод 2 20 4 3 2" xfId="33261" xr:uid="{D59563D1-E90E-4CF3-92EF-B84308FC14BD}"/>
    <cellStyle name="Вывод 2 20 4 3 3" xfId="47048" xr:uid="{CA8BEF05-2AD1-420E-B7BE-1D4BCEEE7CA0}"/>
    <cellStyle name="Вывод 2 20 4 4" xfId="23575" xr:uid="{5FAF62E4-A7C3-468A-A187-28939BEF1272}"/>
    <cellStyle name="Вывод 2 20 4 5" xfId="36656" xr:uid="{C3FDAB58-9EE3-4F76-B713-A8C44284B9AF}"/>
    <cellStyle name="Вывод 2 20 5" xfId="6102" xr:uid="{0117B75C-CE14-4679-AFE9-3187DB732926}"/>
    <cellStyle name="Вывод 2 20 5 2" xfId="14836" xr:uid="{5200A4C1-1A78-458B-A9FA-E34D81A66BFB}"/>
    <cellStyle name="Вывод 2 20 5 2 2" xfId="31093" xr:uid="{14408F52-F67D-4A5C-9B7F-4240FC763F51}"/>
    <cellStyle name="Вывод 2 20 5 2 3" xfId="44531" xr:uid="{06272175-F553-427B-808C-6F37A3506CF9}"/>
    <cellStyle name="Вывод 2 20 5 3" xfId="23748" xr:uid="{4AC67364-6C35-4065-A0CA-06DAD47DC01F}"/>
    <cellStyle name="Вывод 2 20 5 4" xfId="36829" xr:uid="{C481400C-49CD-4EBB-BD16-83725DCC6539}"/>
    <cellStyle name="Вывод 2 20 6" xfId="12115" xr:uid="{9280DB20-E2EF-4B40-909C-744573A89F6C}"/>
    <cellStyle name="Вывод 2 20 6 2" xfId="28815" xr:uid="{ABFD6AD1-2EB9-47C4-BB71-F42956317FBB}"/>
    <cellStyle name="Вывод 2 20 6 3" xfId="42035" xr:uid="{D5C2E9A7-6C8E-4089-A25B-9246D2283D3D}"/>
    <cellStyle name="Вывод 2 20 7" xfId="21841" xr:uid="{7037F754-E4BF-41AA-823B-9C04BE8B578A}"/>
    <cellStyle name="Вывод 2 20 8" xfId="34891" xr:uid="{447D3A39-18B4-41E0-AEF9-B467F65C4F66}"/>
    <cellStyle name="Вывод 2 21" xfId="3151" xr:uid="{FF440E91-9B13-45CA-AA8C-BF31132552C8}"/>
    <cellStyle name="Вывод 2 21 2" xfId="8443" xr:uid="{2C485085-351B-4C50-ABAD-F8B3F4C7350D}"/>
    <cellStyle name="Вывод 2 21 2 2" xfId="15657" xr:uid="{8F59F549-DAF8-4498-A6BC-2400C043730C}"/>
    <cellStyle name="Вывод 2 21 2 2 2" xfId="31775" xr:uid="{99C8DADA-F7AA-47AE-BAF4-41C1B6C5D68C}"/>
    <cellStyle name="Вывод 2 21 2 2 3" xfId="45280" xr:uid="{6806A28C-7883-4C48-96B9-1FB616E535DD}"/>
    <cellStyle name="Вывод 2 21 2 3" xfId="25945" xr:uid="{17DCF91F-B1FF-491F-85C8-36EA0CE2E019}"/>
    <cellStyle name="Вывод 2 21 2 4" xfId="39021" xr:uid="{6FD8446A-6B34-4CF1-BB26-7B8B885E0246}"/>
    <cellStyle name="Вывод 2 21 3" xfId="6810" xr:uid="{E83A7103-84EE-428A-B831-AF178BA7EC36}"/>
    <cellStyle name="Вывод 2 21 3 2" xfId="17361" xr:uid="{20EE9CE5-30C6-4D2F-9998-0AB32FBAB4DE}"/>
    <cellStyle name="Вывод 2 21 3 2 2" xfId="33115" xr:uid="{6F2EE0E7-BBC9-4A1B-BD5E-F255CDDA2567}"/>
    <cellStyle name="Вывод 2 21 3 2 3" xfId="46891" xr:uid="{92945780-F6E1-4515-8068-285A3E8B20E8}"/>
    <cellStyle name="Вывод 2 21 3 3" xfId="24436" xr:uid="{C5A5B495-C5F6-4053-9ABC-505D7E19EA44}"/>
    <cellStyle name="Вывод 2 21 3 4" xfId="37517" xr:uid="{EEBD5D19-300E-4022-B2B7-BEF37B7C7B7D}"/>
    <cellStyle name="Вывод 2 21 4" xfId="13969" xr:uid="{B46A4475-B258-4E1C-85DA-BAA0EFA9532A}"/>
    <cellStyle name="Вывод 2 21 4 2" xfId="30356" xr:uid="{56EBB736-369F-4AF7-8751-BD0CE78EAA5F}"/>
    <cellStyle name="Вывод 2 21 4 3" xfId="43733" xr:uid="{6DF45C48-5210-42B1-8A6C-67CD03B46CA7}"/>
    <cellStyle name="Вывод 2 21 5" xfId="21188" xr:uid="{0BB2E135-803B-4B1F-9A20-5ADD7B92929F}"/>
    <cellStyle name="Вывод 2 21 6" xfId="34211" xr:uid="{5A846A72-A2EA-43AE-AAD5-E0C4019CDAEF}"/>
    <cellStyle name="Вывод 2 22" xfId="2643" xr:uid="{75EAF9E4-4A07-487F-A30F-3ECC61E49BE0}"/>
    <cellStyle name="Вывод 2 22 2" xfId="7940" xr:uid="{4E1000FD-36CF-42E2-90BF-147648F80298}"/>
    <cellStyle name="Вывод 2 22 2 2" xfId="13813" xr:uid="{2BD13E84-E712-4D2B-95E8-AA89DEB215B9}"/>
    <cellStyle name="Вывод 2 22 2 2 2" xfId="30216" xr:uid="{4DD211DF-B8A5-414F-A182-5F5DFF6E93B4}"/>
    <cellStyle name="Вывод 2 22 2 2 3" xfId="43585" xr:uid="{27BE92F6-3D18-4CAF-8B28-25E42447EC53}"/>
    <cellStyle name="Вывод 2 22 2 3" xfId="25456" xr:uid="{CE309729-F563-4035-B331-27450B707350}"/>
    <cellStyle name="Вывод 2 22 2 4" xfId="38532" xr:uid="{08C5172C-76E1-4C5A-8A39-328D9C2293AF}"/>
    <cellStyle name="Вывод 2 22 3" xfId="6307" xr:uid="{8C0CE2C5-B524-4202-B671-7A38CD84CCCB}"/>
    <cellStyle name="Вывод 2 22 3 2" xfId="12875" xr:uid="{3DF75570-0612-4C67-B42B-7B60ED39BFE5}"/>
    <cellStyle name="Вывод 2 22 3 2 2" xfId="29435" xr:uid="{C20D475A-3EF1-478C-9A3C-D66C5657CA3C}"/>
    <cellStyle name="Вывод 2 22 3 2 3" xfId="42723" xr:uid="{2268DE28-F69E-465D-AAD8-09CDBE407DC5}"/>
    <cellStyle name="Вывод 2 22 3 3" xfId="23947" xr:uid="{BE8896D8-0D72-442E-A407-3054F3B22996}"/>
    <cellStyle name="Вывод 2 22 3 4" xfId="37028" xr:uid="{0F03F469-801F-4CBC-9BEB-F7806C3DFEC4}"/>
    <cellStyle name="Вывод 2 22 4" xfId="16312" xr:uid="{1B4C1D34-64B8-4C35-BCD7-47F4A16DF0A5}"/>
    <cellStyle name="Вывод 2 22 4 2" xfId="32338" xr:uid="{F261E69D-0390-48DE-822A-B0E64C6A7984}"/>
    <cellStyle name="Вывод 2 22 4 3" xfId="45869" xr:uid="{CF706EFB-FD70-48DF-A0D3-AA4F42B48806}"/>
    <cellStyle name="Вывод 2 22 5" xfId="20699" xr:uid="{7F79A6ED-5364-43B1-A72A-1A0A808EE79E}"/>
    <cellStyle name="Вывод 2 22 6" xfId="33722" xr:uid="{77A52A13-0FE5-491F-83D5-AD594E3A2482}"/>
    <cellStyle name="Вывод 2 23" xfId="4077" xr:uid="{A384C04D-D2CE-42CF-9D04-F689E94E3885}"/>
    <cellStyle name="Вывод 2 23 2" xfId="9129" xr:uid="{DC4D8BB3-0710-4538-8EAE-FC8525414839}"/>
    <cellStyle name="Вывод 2 23 2 2" xfId="15967" xr:uid="{40B514CE-4881-4A84-AA8A-1FB1E1EAC5AE}"/>
    <cellStyle name="Вывод 2 23 2 2 2" xfId="32042" xr:uid="{96AA0F68-6A18-49D1-96B3-4052EDE715D2}"/>
    <cellStyle name="Вывод 2 23 2 2 3" xfId="45560" xr:uid="{28880A5E-4758-44A7-9531-F6F3F00E72EE}"/>
    <cellStyle name="Вывод 2 23 2 3" xfId="26610" xr:uid="{E7131022-D95A-4449-97A4-2374D03F30EB}"/>
    <cellStyle name="Вывод 2 23 2 4" xfId="39686" xr:uid="{D4155F7F-60B7-4AF0-BC04-8DDFD14EE974}"/>
    <cellStyle name="Вывод 2 23 3" xfId="7641" xr:uid="{7250D6BD-B3DB-4ED7-B3BE-F72F07692DDE}"/>
    <cellStyle name="Вывод 2 23 3 2" xfId="11978" xr:uid="{4BE97A1C-C04C-4E76-8D30-A89E6DC84471}"/>
    <cellStyle name="Вывод 2 23 3 2 2" xfId="28685" xr:uid="{73C7E58A-C61A-4EF6-B552-01F98B79C212}"/>
    <cellStyle name="Вывод 2 23 3 2 3" xfId="41903" xr:uid="{CA7D1DC5-72A2-4E29-958A-982346CAC218}"/>
    <cellStyle name="Вывод 2 23 3 3" xfId="25169" xr:uid="{76427C12-0DF7-4A71-81C9-61F72A598DE9}"/>
    <cellStyle name="Вывод 2 23 3 4" xfId="38245" xr:uid="{4A40548A-7DF4-4CC4-B9C7-C4C44E40809F}"/>
    <cellStyle name="Вывод 2 23 4" xfId="15173" xr:uid="{CD752A40-73CB-455C-B181-E23DA454F61E}"/>
    <cellStyle name="Вывод 2 23 4 2" xfId="31362" xr:uid="{63354E97-6131-472A-8626-E72266BA9F64}"/>
    <cellStyle name="Вывод 2 23 4 3" xfId="44830" xr:uid="{91738890-E187-4248-848C-B41309E78D9A}"/>
    <cellStyle name="Вывод 2 23 5" xfId="21910" xr:uid="{C6899D10-8998-41DA-8F60-0313EF7AE3C6}"/>
    <cellStyle name="Вывод 2 23 6" xfId="34959" xr:uid="{6277106A-4B4C-4938-BE2E-35F9C0955851}"/>
    <cellStyle name="Вывод 2 24" xfId="2552" xr:uid="{BF5607B3-A4D0-45E4-95E0-620FDD1199C1}"/>
    <cellStyle name="Вывод 2 24 2" xfId="7850" xr:uid="{11823BB2-A5B3-4508-B31D-16D01BBFF422}"/>
    <cellStyle name="Вывод 2 24 2 2" xfId="10856" xr:uid="{F3A1D797-701D-4ACA-805D-970328E2BF08}"/>
    <cellStyle name="Вывод 2 24 2 2 2" xfId="27684" xr:uid="{A81B85FD-6B98-419D-84D0-2BA29631D937}"/>
    <cellStyle name="Вывод 2 24 2 2 3" xfId="40837" xr:uid="{78BD921B-E4DE-4961-8B3A-60944C4D8B85}"/>
    <cellStyle name="Вывод 2 24 2 3" xfId="25369" xr:uid="{1182D0D8-269E-4265-8D2D-322E13B78329}"/>
    <cellStyle name="Вывод 2 24 2 4" xfId="38445" xr:uid="{0094DD49-8E0B-4FA3-86BF-C72EEEF18578}"/>
    <cellStyle name="Вывод 2 24 3" xfId="6217" xr:uid="{A15B46E5-EB57-46C8-A94A-A5E63D8A827F}"/>
    <cellStyle name="Вывод 2 24 3 2" xfId="17520" xr:uid="{33CA65FD-4ED1-4DC5-9084-8EBF6373AA28}"/>
    <cellStyle name="Вывод 2 24 3 2 2" xfId="33258" xr:uid="{5846000D-DA99-4CF1-AC33-A2E2B01F3E43}"/>
    <cellStyle name="Вывод 2 24 3 2 3" xfId="47045" xr:uid="{B4AABF3A-7590-4517-AF04-36484B692B52}"/>
    <cellStyle name="Вывод 2 24 3 3" xfId="23860" xr:uid="{B712C680-A679-4335-921A-650C0B2B2E36}"/>
    <cellStyle name="Вывод 2 24 3 4" xfId="36941" xr:uid="{659FAAC6-260B-4FFF-952C-CDA4D5D142B6}"/>
    <cellStyle name="Вывод 2 24 4" xfId="16724" xr:uid="{EDAFBB75-5A54-4FF7-91EB-E92E590BB679}"/>
    <cellStyle name="Вывод 2 24 4 2" xfId="32608" xr:uid="{12F6DB57-664C-4B15-AD91-39F67F096654}"/>
    <cellStyle name="Вывод 2 24 4 3" xfId="46268" xr:uid="{CAB15176-4669-4305-A04C-A1341F451001}"/>
    <cellStyle name="Вывод 2 24 5" xfId="20612" xr:uid="{D0CF177C-E649-43FB-9935-B1098FE4A82C}"/>
    <cellStyle name="Вывод 2 24 6" xfId="33635" xr:uid="{98B81C4E-8562-4C04-A963-2D1CA6E54C4D}"/>
    <cellStyle name="Вывод 2 25" xfId="4149" xr:uid="{973EEA1F-3284-4A38-A2C6-677C6080060D}"/>
    <cellStyle name="Вывод 2 25 2" xfId="9201" xr:uid="{6BD96994-C199-44F7-953A-47BCD4E21FC5}"/>
    <cellStyle name="Вывод 2 25 2 2" xfId="11223" xr:uid="{3E47E476-26B7-427F-9B16-D27B9E33C9B2}"/>
    <cellStyle name="Вывод 2 25 2 2 2" xfId="28017" xr:uid="{9B479A71-01EB-453F-9108-DCDA126B86DC}"/>
    <cellStyle name="Вывод 2 25 2 2 3" xfId="41199" xr:uid="{3C62E87B-00B9-41F6-8501-A115DDC0F685}"/>
    <cellStyle name="Вывод 2 25 2 3" xfId="26677" xr:uid="{5F68E101-538E-4D43-8854-300033EE80FD}"/>
    <cellStyle name="Вывод 2 25 2 4" xfId="39753" xr:uid="{ECD4CD13-EE8F-4457-A82E-6702A9D9C29E}"/>
    <cellStyle name="Вывод 2 25 3" xfId="7713" xr:uid="{56CDCD05-E82B-4D25-A54D-BF32F183E301}"/>
    <cellStyle name="Вывод 2 25 3 2" xfId="16180" xr:uid="{3D9E4CA3-8889-426F-BC75-00321826DC36}"/>
    <cellStyle name="Вывод 2 25 3 2 2" xfId="32226" xr:uid="{EC8A7F10-A714-4DCE-9160-77425B83497E}"/>
    <cellStyle name="Вывод 2 25 3 2 3" xfId="45749" xr:uid="{DE938EAE-7C59-41AE-997C-09AA98236EC2}"/>
    <cellStyle name="Вывод 2 25 3 3" xfId="25236" xr:uid="{2EDE9846-8AB5-4EB9-B13E-C8A29BDBEBEE}"/>
    <cellStyle name="Вывод 2 25 3 4" xfId="38312" xr:uid="{62EC4A30-459E-499D-A8CD-01E027D7B366}"/>
    <cellStyle name="Вывод 2 25 4" xfId="13213" xr:uid="{F3E176C3-F51B-45BC-B14D-B07F5B2035D4}"/>
    <cellStyle name="Вывод 2 25 4 2" xfId="29714" xr:uid="{3A4B3771-527D-4F82-84C1-58868A613BCC}"/>
    <cellStyle name="Вывод 2 25 4 3" xfId="43033" xr:uid="{9A2AFFFD-8FBC-4F32-899F-525F7626F165}"/>
    <cellStyle name="Вывод 2 25 5" xfId="21977" xr:uid="{9C394038-4B8A-4DB8-9A9D-8054FBFBA1F4}"/>
    <cellStyle name="Вывод 2 25 6" xfId="35026" xr:uid="{AE174C9B-FB92-432E-AFED-AAB172E45965}"/>
    <cellStyle name="Вывод 2 26" xfId="4293" xr:uid="{B841099F-D27F-4A31-A479-2E0D2A6D8182}"/>
    <cellStyle name="Вывод 2 26 2" xfId="6162" xr:uid="{BF690BB1-AEA2-47CC-8A3C-5F7D7DFBDE02}"/>
    <cellStyle name="Вывод 2 26 2 2" xfId="11001" xr:uid="{B1A168AE-01E7-41CD-8796-E0580CAF5500}"/>
    <cellStyle name="Вывод 2 26 2 2 2" xfId="27808" xr:uid="{36A3762C-4376-4323-9204-4ED4341FAD94}"/>
    <cellStyle name="Вывод 2 26 2 2 3" xfId="40981" xr:uid="{71EEA206-374B-4556-A8F8-A65A2684FBD9}"/>
    <cellStyle name="Вывод 2 26 2 3" xfId="23807" xr:uid="{F8D1DDF4-6903-4E52-B826-5F9C2EC754C4}"/>
    <cellStyle name="Вывод 2 26 2 4" xfId="36888" xr:uid="{9EFC8630-DCD3-41CB-B52E-8B32654ED2FF}"/>
    <cellStyle name="Вывод 2 26 3" xfId="16313" xr:uid="{1CF16F83-4FA2-47F8-8093-030CD041E1E7}"/>
    <cellStyle name="Вывод 2 26 3 2" xfId="32339" xr:uid="{C0AFA07E-8FA7-4ECC-B5D1-9A83BFBCF602}"/>
    <cellStyle name="Вывод 2 26 3 3" xfId="45870" xr:uid="{6DFC0B86-E8D8-4FF6-8E16-1DE84046EB5F}"/>
    <cellStyle name="Вывод 2 26 4" xfId="22114" xr:uid="{762F1F70-486F-4483-BA95-478192D6C845}"/>
    <cellStyle name="Вывод 2 26 5" xfId="35163" xr:uid="{69E5831D-DA18-46D3-9BA7-0F58D4B3BE15}"/>
    <cellStyle name="Вывод 2 27" xfId="5272" xr:uid="{A9A35F91-0EF3-4722-848E-4FFFC819868A}"/>
    <cellStyle name="Вывод 2 27 2" xfId="9705" xr:uid="{1036A009-A81E-424D-833F-2CC5073D5DC8}"/>
    <cellStyle name="Вывод 2 27 2 2" xfId="17442" xr:uid="{78EB7C03-3F21-45DE-9736-A4AD955D6876}"/>
    <cellStyle name="Вывод 2 27 2 2 2" xfId="33193" xr:uid="{22C01252-85BD-4594-87F2-B4187E67A96E}"/>
    <cellStyle name="Вывод 2 27 2 2 3" xfId="46972" xr:uid="{D2E6FDD1-B0BA-4184-B5DB-9A02C2CADACE}"/>
    <cellStyle name="Вывод 2 27 2 3" xfId="27005" xr:uid="{340E9CFE-5663-4DC0-B7E0-E52DAB853C69}"/>
    <cellStyle name="Вывод 2 27 2 4" xfId="40121" xr:uid="{23F81ACC-D0A4-437D-A883-DE1E31D5C269}"/>
    <cellStyle name="Вывод 2 27 3" xfId="16746" xr:uid="{CF2E638D-F18E-40BE-A274-430ACB38DBF0}"/>
    <cellStyle name="Вывод 2 27 3 2" xfId="32628" xr:uid="{3C0EA7ED-8407-45D1-AF25-1BCF7E474E82}"/>
    <cellStyle name="Вывод 2 27 3 3" xfId="46289" xr:uid="{4E821AD1-AA63-497A-8E09-1FD407A1A54C}"/>
    <cellStyle name="Вывод 2 27 4" xfId="22924" xr:uid="{5C6D59F8-1046-4E1B-96D7-8E2D5BBEFCE4}"/>
    <cellStyle name="Вывод 2 27 5" xfId="36002" xr:uid="{94CFB717-1136-4686-B728-27C1E60472B3}"/>
    <cellStyle name="Вывод 2 28" xfId="5353" xr:uid="{7EC242B2-C34D-4E72-AB1F-CDF8498DF53C}"/>
    <cellStyle name="Вывод 2 28 2" xfId="9784" xr:uid="{4AC8528A-C39D-41FA-BAA4-00F0E233D372}"/>
    <cellStyle name="Вывод 2 28 2 2" xfId="15322" xr:uid="{739D08C8-731B-455A-8ECF-A3907AE4BCC1}"/>
    <cellStyle name="Вывод 2 28 2 2 2" xfId="31483" xr:uid="{569454BC-D105-485A-9F11-C0272819AE65}"/>
    <cellStyle name="Вывод 2 28 2 2 3" xfId="44968" xr:uid="{CFE41D37-5DFC-4806-8F5D-7EEA0761F493}"/>
    <cellStyle name="Вывод 2 28 2 3" xfId="27081" xr:uid="{8226D566-0AD3-4DD3-AC6B-CFDDC3A3A9C2}"/>
    <cellStyle name="Вывод 2 28 2 4" xfId="40200" xr:uid="{C01FE2DD-E94B-4997-855C-D74D9FB73E6F}"/>
    <cellStyle name="Вывод 2 28 3" xfId="13043" xr:uid="{49F252E3-6554-406D-9997-7FB042A64AF6}"/>
    <cellStyle name="Вывод 2 28 3 2" xfId="29570" xr:uid="{2D4F837F-871D-47AD-8BBA-AA43A235BB5D}"/>
    <cellStyle name="Вывод 2 28 3 3" xfId="42873" xr:uid="{5585718C-5FCE-4F75-B339-476D9123B651}"/>
    <cellStyle name="Вывод 2 28 4" xfId="23000" xr:uid="{37F37E73-4FC5-4526-BB22-C2C947967862}"/>
    <cellStyle name="Вывод 2 28 5" xfId="36081" xr:uid="{398D519C-27A0-4993-8D78-687DDA06D2FE}"/>
    <cellStyle name="Вывод 2 29" xfId="10385" xr:uid="{A84069D5-F9B4-49E6-B911-559BFFB94EC8}"/>
    <cellStyle name="Вывод 2 29 2" xfId="17591" xr:uid="{817A9E0F-77E4-4A57-84DE-5E90883BB360}"/>
    <cellStyle name="Вывод 2 29 2 2" xfId="33327" xr:uid="{C62A0BB3-458B-416E-AEC0-FA008B5806B2}"/>
    <cellStyle name="Вывод 2 29 2 3" xfId="47116" xr:uid="{59C928DE-BD19-4AA4-98AC-B3CA0CFA8C00}"/>
    <cellStyle name="Вывод 2 29 3" xfId="27401" xr:uid="{1FD4922C-622F-4EBB-B766-D02D75569D03}"/>
    <cellStyle name="Вывод 2 29 4" xfId="40523" xr:uid="{C0EF7D6B-64D9-4E9C-95AE-F5180D22210E}"/>
    <cellStyle name="Вывод 2 3" xfId="3340" xr:uid="{D676B172-66DC-42B2-97C4-24CD1C0E1E51}"/>
    <cellStyle name="Вывод 2 3 10" xfId="34386" xr:uid="{81848EE8-07AD-46DA-9273-D42363EC2BA2}"/>
    <cellStyle name="Вывод 2 3 2" xfId="2702" xr:uid="{AA5D8EBC-A5AC-4D07-A182-5D59642111C9}"/>
    <cellStyle name="Вывод 2 3 2 2" xfId="7998" xr:uid="{9F833B18-1B57-4B8A-AEC9-7CC6329E80EB}"/>
    <cellStyle name="Вывод 2 3 2 2 2" xfId="10960" xr:uid="{FCEE64EF-F675-4E8C-A476-1178C84BCEE0}"/>
    <cellStyle name="Вывод 2 3 2 2 2 2" xfId="27773" xr:uid="{108AB192-DCCD-4F96-9397-5CA5AF61ACC3}"/>
    <cellStyle name="Вывод 2 3 2 2 2 3" xfId="40940" xr:uid="{D825FC54-9450-4F7A-8D55-4A11FF498E81}"/>
    <cellStyle name="Вывод 2 3 2 2 3" xfId="25513" xr:uid="{F3B385FA-4F6D-44CB-8FBC-909BD18849F3}"/>
    <cellStyle name="Вывод 2 3 2 2 4" xfId="38589" xr:uid="{AB168C3F-3136-416F-9E74-025803BDA04A}"/>
    <cellStyle name="Вывод 2 3 2 3" xfId="6365" xr:uid="{FF58F3E9-3985-4AA7-8F12-748997E4F03B}"/>
    <cellStyle name="Вывод 2 3 2 3 2" xfId="12130" xr:uid="{98519367-5514-4183-98A8-85C7F78864CC}"/>
    <cellStyle name="Вывод 2 3 2 3 2 2" xfId="28830" xr:uid="{17EA5967-438E-4AB8-8CC8-1F9ED09BC811}"/>
    <cellStyle name="Вывод 2 3 2 3 2 3" xfId="42050" xr:uid="{71500D34-2BC7-4316-A010-384B67594B82}"/>
    <cellStyle name="Вывод 2 3 2 3 3" xfId="24004" xr:uid="{A3C96779-A376-4CE7-8003-395DFB86DD3F}"/>
    <cellStyle name="Вывод 2 3 2 3 4" xfId="37085" xr:uid="{ED5EE919-DA70-4281-8A38-98906050D8E9}"/>
    <cellStyle name="Вывод 2 3 2 4" xfId="12596" xr:uid="{9BCF2963-7F99-4419-8521-55D7FC5AC025}"/>
    <cellStyle name="Вывод 2 3 2 4 2" xfId="29211" xr:uid="{996F162A-61D1-4D32-B9BF-CAC68C523D42}"/>
    <cellStyle name="Вывод 2 3 2 4 3" xfId="42475" xr:uid="{F2B5CA2E-7EA5-445E-8AD8-0A8CADFADC90}"/>
    <cellStyle name="Вывод 2 3 2 5" xfId="20756" xr:uid="{60B770AF-42AC-4FD9-937D-0AD03F2A8851}"/>
    <cellStyle name="Вывод 2 3 2 6" xfId="33779" xr:uid="{242B3D34-6F1B-4486-86A2-903D982A0F63}"/>
    <cellStyle name="Вывод 2 3 3" xfId="4128" xr:uid="{B5773C03-A210-4FAE-9C06-C09F93CCDE85}"/>
    <cellStyle name="Вывод 2 3 3 2" xfId="9180" xr:uid="{0D525F60-A22A-4DDB-9496-6AEC5820F4F9}"/>
    <cellStyle name="Вывод 2 3 3 2 2" xfId="15963" xr:uid="{D2347B51-A389-46E3-98F5-430FE6A31863}"/>
    <cellStyle name="Вывод 2 3 3 2 2 2" xfId="32038" xr:uid="{A54603CD-49B4-4706-B58B-1950B9B5505F}"/>
    <cellStyle name="Вывод 2 3 3 2 2 3" xfId="45556" xr:uid="{26624DCC-98D7-41E3-B7A2-F4E401DF1E91}"/>
    <cellStyle name="Вывод 2 3 3 2 3" xfId="26659" xr:uid="{EB43AFC8-F477-48EC-9BEF-0699C206D0B7}"/>
    <cellStyle name="Вывод 2 3 3 2 4" xfId="39735" xr:uid="{1423F38C-8810-497D-A2A1-06A6B503E6B6}"/>
    <cellStyle name="Вывод 2 3 3 3" xfId="7692" xr:uid="{27621536-734F-4EB2-BF12-A61BD794F9D5}"/>
    <cellStyle name="Вывод 2 3 3 3 2" xfId="12256" xr:uid="{82653DC4-78A0-438F-A223-0344B1898F8B}"/>
    <cellStyle name="Вывод 2 3 3 3 2 2" xfId="28937" xr:uid="{A7AA6B97-816C-4F27-94E0-7118885D255D}"/>
    <cellStyle name="Вывод 2 3 3 3 2 3" xfId="42170" xr:uid="{CD2C6ED1-FA6C-459E-83DF-EE54355D21D7}"/>
    <cellStyle name="Вывод 2 3 3 3 3" xfId="25218" xr:uid="{3A17ABAD-EF7F-4FD4-A797-BF503F0EA269}"/>
    <cellStyle name="Вывод 2 3 3 3 4" xfId="38294" xr:uid="{48076A34-9F1F-414D-86FC-59D784B2AA28}"/>
    <cellStyle name="Вывод 2 3 3 4" xfId="11624" xr:uid="{556BBE41-3D75-4D2B-8868-9DAB9F91175E}"/>
    <cellStyle name="Вывод 2 3 3 4 2" xfId="28370" xr:uid="{B7E9D63A-EF59-4226-BCD1-93F67AAC3038}"/>
    <cellStyle name="Вывод 2 3 3 4 3" xfId="41573" xr:uid="{5EE9351F-4144-4F83-90F3-362EDCB7689E}"/>
    <cellStyle name="Вывод 2 3 3 5" xfId="21959" xr:uid="{8A6C56FC-B78C-45A5-93D0-19781ABABCB2}"/>
    <cellStyle name="Вывод 2 3 3 6" xfId="35008" xr:uid="{9539C751-D919-4E8E-8B04-A3698BFC0A66}"/>
    <cellStyle name="Вывод 2 3 4" xfId="2582" xr:uid="{E03D73F4-B365-4FB1-ABE9-30B3DF41915A}"/>
    <cellStyle name="Вывод 2 3 4 2" xfId="7879" xr:uid="{99D66F35-C079-4543-BE94-3FC099D9FF16}"/>
    <cellStyle name="Вывод 2 3 4 2 2" xfId="13351" xr:uid="{55A76ED3-12C4-476B-A053-BBBD2E057AC9}"/>
    <cellStyle name="Вывод 2 3 4 2 2 2" xfId="29830" xr:uid="{C75AF6F5-73BA-438A-AC6D-0EAD8942545A}"/>
    <cellStyle name="Вывод 2 3 4 2 2 3" xfId="43164" xr:uid="{DE9DA878-0A05-4F3D-B66C-C8B8EC10EAC1}"/>
    <cellStyle name="Вывод 2 3 4 2 3" xfId="25398" xr:uid="{C0F74032-15D9-48D9-938B-D010D1263E02}"/>
    <cellStyle name="Вывод 2 3 4 2 4" xfId="38474" xr:uid="{100E12B2-D72D-4386-90DC-9F9ED7595416}"/>
    <cellStyle name="Вывод 2 3 4 3" xfId="6246" xr:uid="{E8DA497E-AA5D-4079-BB0E-E7D67675E8CF}"/>
    <cellStyle name="Вывод 2 3 4 3 2" xfId="11403" xr:uid="{284DE287-5E37-4CF3-8A22-9B6CB336744B}"/>
    <cellStyle name="Вывод 2 3 4 3 2 2" xfId="28174" xr:uid="{99ACD890-E55C-4FC9-9413-C3C6118CCF5D}"/>
    <cellStyle name="Вывод 2 3 4 3 2 3" xfId="41365" xr:uid="{3FAD26A5-0A84-4FD5-B1CE-81EBA626EE71}"/>
    <cellStyle name="Вывод 2 3 4 3 3" xfId="23889" xr:uid="{C39E1FF6-49F2-4DF4-9EFD-E0DEB1A0F053}"/>
    <cellStyle name="Вывод 2 3 4 3 4" xfId="36970" xr:uid="{A708E3F0-9E08-498E-9FFB-ADD201FEC2DB}"/>
    <cellStyle name="Вывод 2 3 4 4" xfId="12535" xr:uid="{247ADEBD-B6C9-4C11-A7AF-61A280866828}"/>
    <cellStyle name="Вывод 2 3 4 4 2" xfId="29160" xr:uid="{78E4E7B7-7C9D-455E-BA3E-23DD66B9A9ED}"/>
    <cellStyle name="Вывод 2 3 4 4 3" xfId="42419" xr:uid="{AA0DD70B-490D-4092-920A-A93E87DB0369}"/>
    <cellStyle name="Вывод 2 3 4 5" xfId="20641" xr:uid="{23717DF5-01AC-49D4-A122-A7608093BF36}"/>
    <cellStyle name="Вывод 2 3 4 6" xfId="33664" xr:uid="{481BAA5D-552C-4E93-90F9-3210A476A7B5}"/>
    <cellStyle name="Вывод 2 3 5" xfId="4266" xr:uid="{EF051B80-C370-4E6D-9B26-A7D2B501F733}"/>
    <cellStyle name="Вывод 2 3 5 2" xfId="9318" xr:uid="{053833CB-9CD3-46B9-890C-4B19954BAF75}"/>
    <cellStyle name="Вывод 2 3 5 2 2" xfId="11811" xr:uid="{830F6BA9-D0B4-42E5-B075-83170CB20B12}"/>
    <cellStyle name="Вывод 2 3 5 2 2 2" xfId="28532" xr:uid="{29671D18-124C-4C5B-A0E2-A055BB3E9C86}"/>
    <cellStyle name="Вывод 2 3 5 2 2 3" xfId="41744" xr:uid="{CC6C6B3F-0754-44F0-B7AF-1A50F75AA83B}"/>
    <cellStyle name="Вывод 2 3 5 2 3" xfId="26791" xr:uid="{83EC9741-C00F-4F45-983D-BFE552675F72}"/>
    <cellStyle name="Вывод 2 3 5 2 4" xfId="39867" xr:uid="{30B06F30-D864-48D0-B7BA-F37DFF4F47BA}"/>
    <cellStyle name="Вывод 2 3 5 3" xfId="7830" xr:uid="{AF2C7240-7425-4E6E-B103-963B339BD2C9}"/>
    <cellStyle name="Вывод 2 3 5 3 2" xfId="16435" xr:uid="{61D50FFF-51A6-4FD9-802F-360E8ABD29D2}"/>
    <cellStyle name="Вывод 2 3 5 3 2 2" xfId="32447" xr:uid="{D0598391-7218-4903-9049-D9089B0B82E7}"/>
    <cellStyle name="Вывод 2 3 5 3 2 3" xfId="45985" xr:uid="{5B34F19B-7AC7-4815-A2A2-4F59AB18034C}"/>
    <cellStyle name="Вывод 2 3 5 3 3" xfId="25350" xr:uid="{63129DE1-B95F-4A19-A8D0-49B7D07A3145}"/>
    <cellStyle name="Вывод 2 3 5 3 4" xfId="38426" xr:uid="{546182DC-A667-462F-9C2E-E4EBB8BBF3CD}"/>
    <cellStyle name="Вывод 2 3 5 4" xfId="12810" xr:uid="{D22D7CBF-E376-45A9-9FF4-791AF0967288}"/>
    <cellStyle name="Вывод 2 3 5 4 2" xfId="29384" xr:uid="{52220E1C-A014-4671-987C-E7A3D895570C}"/>
    <cellStyle name="Вывод 2 3 5 4 3" xfId="42665" xr:uid="{91602B49-DDF6-44BF-8DB0-FB7D7300FC74}"/>
    <cellStyle name="Вывод 2 3 5 5" xfId="22091" xr:uid="{54E7FC98-611A-4DE6-A5D6-B7885DAEE596}"/>
    <cellStyle name="Вывод 2 3 5 6" xfId="35140" xr:uid="{635B01F4-826D-4238-B17C-9B9C801CCBE5}"/>
    <cellStyle name="Вывод 2 3 6" xfId="4371" xr:uid="{0027E0A2-2FE3-45C6-8623-376027E0EF34}"/>
    <cellStyle name="Вывод 2 3 6 2" xfId="6990" xr:uid="{129015F4-8C60-46B1-A8DC-7082ADF9457A}"/>
    <cellStyle name="Вывод 2 3 6 2 2" xfId="12187" xr:uid="{07DDC112-D85F-4C81-BA06-51F69EC64217}"/>
    <cellStyle name="Вывод 2 3 6 2 2 2" xfId="28880" xr:uid="{D2FA23C9-F36E-40EC-A1ED-DA953A28805E}"/>
    <cellStyle name="Вывод 2 3 6 2 2 3" xfId="42107" xr:uid="{4E1E4AD7-CF27-45A8-BCDE-AF7F5A0B26E7}"/>
    <cellStyle name="Вывод 2 3 6 2 3" xfId="24611" xr:uid="{CC96EF75-09E6-4B87-8B14-3BC73C9F8339}"/>
    <cellStyle name="Вывод 2 3 6 2 4" xfId="37692" xr:uid="{1154B753-55A6-4DE0-AB42-3D815222453E}"/>
    <cellStyle name="Вывод 2 3 6 3" xfId="15980" xr:uid="{8C5593E0-CA96-4623-8510-2FB9A3463401}"/>
    <cellStyle name="Вывод 2 3 6 3 2" xfId="32054" xr:uid="{0EC511F2-6FF5-4716-BFDB-1FD27B2163F5}"/>
    <cellStyle name="Вывод 2 3 6 3 3" xfId="45573" xr:uid="{83CE8C77-7B3D-4294-86F8-3746EF0E82EA}"/>
    <cellStyle name="Вывод 2 3 6 4" xfId="22190" xr:uid="{8F98E686-CC10-4D76-823E-E2B87877A820}"/>
    <cellStyle name="Вывод 2 3 6 5" xfId="35239" xr:uid="{C5C1A086-58FB-4590-87B6-3AC84759ED6A}"/>
    <cellStyle name="Вывод 2 3 7" xfId="5425" xr:uid="{090F072B-F52A-4030-AF6D-A71608992C45}"/>
    <cellStyle name="Вывод 2 3 7 2" xfId="8603" xr:uid="{682F8F5C-4862-450F-962C-5D82D2F92578}"/>
    <cellStyle name="Вывод 2 3 7 2 2" xfId="10964" xr:uid="{9C84EDD8-2E13-4FBA-8050-F1C8A165874F}"/>
    <cellStyle name="Вывод 2 3 7 2 2 2" xfId="27777" xr:uid="{00A05339-5B42-4D55-9A02-376E788B1FCC}"/>
    <cellStyle name="Вывод 2 3 7 2 2 3" xfId="40944" xr:uid="{B30FD874-462C-4725-A9A0-0A0C46100CE1}"/>
    <cellStyle name="Вывод 2 3 7 2 3" xfId="26100" xr:uid="{F89C5B9D-6AB3-4CE4-97C9-5B4AD24F27E3}"/>
    <cellStyle name="Вывод 2 3 7 2 4" xfId="39176" xr:uid="{D3FC9532-B2CB-4172-881A-C9A101620B3D}"/>
    <cellStyle name="Вывод 2 3 7 3" xfId="15906" xr:uid="{903B821D-BD5C-4FC7-8F4A-02C63967E088}"/>
    <cellStyle name="Вывод 2 3 7 3 2" xfId="31988" xr:uid="{EF2577F6-B2E8-415B-A15E-1236227DE83E}"/>
    <cellStyle name="Вывод 2 3 7 3 3" xfId="45504" xr:uid="{5E7D3347-5140-403A-BCF3-C3A65952AC5A}"/>
    <cellStyle name="Вывод 2 3 7 4" xfId="23072" xr:uid="{0981406B-DAD4-47F6-999E-F1A9932CD4BD}"/>
    <cellStyle name="Вывод 2 3 7 5" xfId="36153" xr:uid="{E3BFC043-CC23-4A74-8F0B-503B030FF4EC}"/>
    <cellStyle name="Вывод 2 3 8" xfId="14373" xr:uid="{9144BD03-ACB7-49FF-92E6-9C230B052DA3}"/>
    <cellStyle name="Вывод 2 3 8 2" xfId="30705" xr:uid="{644B7810-DF5B-485A-8A28-C9D93B942565}"/>
    <cellStyle name="Вывод 2 3 8 3" xfId="44103" xr:uid="{6CB7AEF8-D0C3-4D24-90A7-A3EBA5AB4853}"/>
    <cellStyle name="Вывод 2 3 9" xfId="21363" xr:uid="{794B1B48-65FC-4AFF-A61A-9DD5FD76C48F}"/>
    <cellStyle name="Вывод 2 30" xfId="10563" xr:uid="{26BA22E1-0959-4284-904F-54A50E21CCB6}"/>
    <cellStyle name="Вывод 2 30 2" xfId="17608" xr:uid="{0E915130-071D-4C43-A053-C34521FAE692}"/>
    <cellStyle name="Вывод 2 30 2 2" xfId="33343" xr:uid="{970FC62B-FF27-4A2E-877A-6D106031C516}"/>
    <cellStyle name="Вывод 2 30 2 3" xfId="47133" xr:uid="{19118880-A5E3-41A0-9060-135A957E691B}"/>
    <cellStyle name="Вывод 2 30 3" xfId="27422" xr:uid="{C4A32DB7-4F7B-481C-A3C5-B2D4A870D1D4}"/>
    <cellStyle name="Вывод 2 30 4" xfId="40544" xr:uid="{9BE8934C-79F0-419C-A321-E4A674AD46AA}"/>
    <cellStyle name="Вывод 2 31" xfId="11993" xr:uid="{F1793164-3916-4364-9FC1-4CB33413D61F}"/>
    <cellStyle name="Вывод 2 31 2" xfId="28699" xr:uid="{D0D55207-287C-4061-BB1A-D0884829DFC0}"/>
    <cellStyle name="Вывод 2 31 3" xfId="41917" xr:uid="{366E0DE8-7337-4D27-939C-E85169204887}"/>
    <cellStyle name="Вывод 2 32" xfId="13245" xr:uid="{C3624F21-AD56-4596-89BD-E9F931E75C75}"/>
    <cellStyle name="Вывод 2 32 2" xfId="29739" xr:uid="{0623A22D-FABE-4D3D-9EEF-30A16A886ABA}"/>
    <cellStyle name="Вывод 2 32 3" xfId="43063" xr:uid="{681129CE-BE12-4758-884A-96ED0354B3EF}"/>
    <cellStyle name="Вывод 2 33" xfId="14648" xr:uid="{26D491A8-E1E3-4F3F-949D-1AE14E1A854B}"/>
    <cellStyle name="Вывод 2 33 2" xfId="30944" xr:uid="{46252BEF-7E58-4C01-9FF9-2B854EEC4822}"/>
    <cellStyle name="Вывод 2 33 3" xfId="44365" xr:uid="{39F04FD4-8E8C-4663-90B9-38759CAFFDF2}"/>
    <cellStyle name="Вывод 2 34" xfId="17661" xr:uid="{B7663CB0-CF01-40FC-964E-EB7CD910ED8D}"/>
    <cellStyle name="Вывод 2 34 2" xfId="33384" xr:uid="{D6739A3A-69B8-4407-A4C8-28028AAAFE14}"/>
    <cellStyle name="Вывод 2 34 3" xfId="47173" xr:uid="{F8463C28-0D91-42F0-8F28-24E21225F77A}"/>
    <cellStyle name="Вывод 2 35" xfId="33562" xr:uid="{4501BA0A-5F70-4637-9502-78E54E392E74}"/>
    <cellStyle name="Вывод 2 4" xfId="3465" xr:uid="{E16ACEE5-6504-43AD-BE0D-C543ECC7D6D3}"/>
    <cellStyle name="Вывод 2 4 10" xfId="34481" xr:uid="{A16B7728-0F8F-413C-8065-D6FB51F32E3B}"/>
    <cellStyle name="Вывод 2 4 2" xfId="2807" xr:uid="{4BA9A5B8-7CBB-4268-BF37-48D2A5500704}"/>
    <cellStyle name="Вывод 2 4 2 2" xfId="8103" xr:uid="{B097676F-CEA2-4BA0-B7FB-09D8F9E95FE6}"/>
    <cellStyle name="Вывод 2 4 2 2 2" xfId="15769" xr:uid="{88B5792D-0E2F-45EC-927A-4BF274C987EA}"/>
    <cellStyle name="Вывод 2 4 2 2 2 2" xfId="31872" xr:uid="{84459F68-8B15-4D9E-BA92-39D215394C79}"/>
    <cellStyle name="Вывод 2 4 2 2 2 3" xfId="45383" xr:uid="{1A4F8BC0-0A93-4128-B920-924C85FC21CE}"/>
    <cellStyle name="Вывод 2 4 2 2 3" xfId="25614" xr:uid="{7B9BFBDA-B1CA-49AB-9F9B-50AFECFAA85D}"/>
    <cellStyle name="Вывод 2 4 2 2 4" xfId="38690" xr:uid="{854C1503-3DFF-467A-AC02-CCD589C5B18E}"/>
    <cellStyle name="Вывод 2 4 2 3" xfId="6470" xr:uid="{1EC802A6-8679-4D0D-8502-ACD4703A5849}"/>
    <cellStyle name="Вывод 2 4 2 3 2" xfId="15432" xr:uid="{F90718F7-821C-4DFF-B159-B8B4784D0ECB}"/>
    <cellStyle name="Вывод 2 4 2 3 2 2" xfId="31579" xr:uid="{6AEE49A4-07EE-4AA6-8B18-0A4A142EB966}"/>
    <cellStyle name="Вывод 2 4 2 3 2 3" xfId="45074" xr:uid="{EFFDB4DC-2ADF-44AE-A3AB-DBFF52E008F0}"/>
    <cellStyle name="Вывод 2 4 2 3 3" xfId="24105" xr:uid="{B28980F5-B027-488E-9084-273478063572}"/>
    <cellStyle name="Вывод 2 4 2 3 4" xfId="37186" xr:uid="{EEC5F7F6-34E1-471B-83D4-041197CE9BED}"/>
    <cellStyle name="Вывод 2 4 2 4" xfId="16355" xr:uid="{8DB6CBF6-B4EC-4FBB-A1D4-0E37ECFCA742}"/>
    <cellStyle name="Вывод 2 4 2 4 2" xfId="32376" xr:uid="{002EF3ED-D391-4BBB-9C53-17655A4D6BB5}"/>
    <cellStyle name="Вывод 2 4 2 4 3" xfId="45909" xr:uid="{8585036E-9631-463A-85E8-E347A3CC5D16}"/>
    <cellStyle name="Вывод 2 4 2 5" xfId="20857" xr:uid="{E5EA057E-99A0-4ADC-B84D-A8D13D112609}"/>
    <cellStyle name="Вывод 2 4 2 6" xfId="33880" xr:uid="{9559E228-8883-4BA5-9B99-427124EBED3F}"/>
    <cellStyle name="Вывод 2 4 3" xfId="4060" xr:uid="{4697A6A6-FCD0-4CA2-9758-C336FAB49A96}"/>
    <cellStyle name="Вывод 2 4 3 2" xfId="9113" xr:uid="{1D942E68-1583-4CD9-9D6F-5D38B6467E83}"/>
    <cellStyle name="Вывод 2 4 3 2 2" xfId="12248" xr:uid="{8A1B04A4-8B2A-4F61-A279-A650E4D37F0E}"/>
    <cellStyle name="Вывод 2 4 3 2 2 2" xfId="28929" xr:uid="{5CB9AA4B-FD40-4BA5-BCAE-A5B57AEA7A12}"/>
    <cellStyle name="Вывод 2 4 3 2 2 3" xfId="42162" xr:uid="{C03D3DFC-19A4-49E4-AFA5-C754E899723E}"/>
    <cellStyle name="Вывод 2 4 3 2 3" xfId="26594" xr:uid="{58323CE2-7E12-4632-85B9-E69CE9019DCB}"/>
    <cellStyle name="Вывод 2 4 3 2 4" xfId="39670" xr:uid="{B2212BC1-6890-49DB-8102-E932606BAFFC}"/>
    <cellStyle name="Вывод 2 4 3 3" xfId="7625" xr:uid="{688EC6AD-E638-4617-AB6F-4902CEE68D6A}"/>
    <cellStyle name="Вывод 2 4 3 3 2" xfId="12197" xr:uid="{2CF787C1-C9BE-4997-AD55-85BFEBBE6ABA}"/>
    <cellStyle name="Вывод 2 4 3 3 2 2" xfId="28888" xr:uid="{90A8A26F-BC51-4505-8CEC-25C433CE5128}"/>
    <cellStyle name="Вывод 2 4 3 3 2 3" xfId="42115" xr:uid="{959C1BCE-A95B-4F44-83AD-6338895EE00A}"/>
    <cellStyle name="Вывод 2 4 3 3 3" xfId="25153" xr:uid="{55DFCD2C-7432-47E7-875A-A9BCBE65EDD1}"/>
    <cellStyle name="Вывод 2 4 3 3 4" xfId="38229" xr:uid="{586E99AB-D296-42FE-80AB-9EECB35A8E2E}"/>
    <cellStyle name="Вывод 2 4 3 4" xfId="10606" xr:uid="{E3CC0860-EA69-4B56-AE52-A2F964F47A9E}"/>
    <cellStyle name="Вывод 2 4 3 4 2" xfId="27465" xr:uid="{67298932-8115-48F1-8B21-7805F03E364C}"/>
    <cellStyle name="Вывод 2 4 3 4 3" xfId="40587" xr:uid="{E8D71A2D-905F-4C6B-AE81-7C84C8AE4FB8}"/>
    <cellStyle name="Вывод 2 4 3 5" xfId="21894" xr:uid="{F53583CC-4F93-46DA-9864-3E4A4FC762B9}"/>
    <cellStyle name="Вывод 2 4 3 6" xfId="34943" xr:uid="{12374AA4-A88F-4D62-BCF5-D1B48C63EE82}"/>
    <cellStyle name="Вывод 2 4 4" xfId="3190" xr:uid="{8E2BBA9C-888A-4B87-A54E-7561B397C5AC}"/>
    <cellStyle name="Вывод 2 4 4 2" xfId="8482" xr:uid="{F67D8F60-A3E2-4576-B4A8-DA3CDE170FB4}"/>
    <cellStyle name="Вывод 2 4 4 2 2" xfId="10797" xr:uid="{03775DE5-411C-428F-9935-ED4A0DD7BE7A}"/>
    <cellStyle name="Вывод 2 4 4 2 2 2" xfId="27631" xr:uid="{EED38D51-6DBB-4B25-863E-149AE1400F08}"/>
    <cellStyle name="Вывод 2 4 4 2 2 3" xfId="40778" xr:uid="{7294EDEC-EA1B-4D18-9154-2CB6A12D3AF0}"/>
    <cellStyle name="Вывод 2 4 4 2 3" xfId="25982" xr:uid="{BBE91469-49B8-4AC5-8440-A5197D79CEF0}"/>
    <cellStyle name="Вывод 2 4 4 2 4" xfId="39058" xr:uid="{A28206D0-A95D-4E0D-BA01-8D3557ED6E60}"/>
    <cellStyle name="Вывод 2 4 4 3" xfId="6849" xr:uid="{E34261E5-491B-4F55-80E3-9ECB5235130B}"/>
    <cellStyle name="Вывод 2 4 4 3 2" xfId="14219" xr:uid="{5C0229C5-8F9C-4A8B-880A-FD1B6B65EB48}"/>
    <cellStyle name="Вывод 2 4 4 3 2 2" xfId="30564" xr:uid="{91B7BCE3-A86C-4DE9-8EB9-95A9973070F4}"/>
    <cellStyle name="Вывод 2 4 4 3 2 3" xfId="43956" xr:uid="{BC5C8D2C-E658-4571-91C5-78E739164D14}"/>
    <cellStyle name="Вывод 2 4 4 3 3" xfId="24473" xr:uid="{3672CB9D-5290-4D6C-8101-EDF880A45D4C}"/>
    <cellStyle name="Вывод 2 4 4 3 4" xfId="37554" xr:uid="{9F59E3DF-DF2B-4999-8AB6-3203A915C862}"/>
    <cellStyle name="Вывод 2 4 4 4" xfId="12895" xr:uid="{F93D127D-817B-4E79-A132-BD9241C8A27B}"/>
    <cellStyle name="Вывод 2 4 4 4 2" xfId="29449" xr:uid="{080A1FDB-80F0-458B-84E5-9DA7D60D9C1F}"/>
    <cellStyle name="Вывод 2 4 4 4 3" xfId="42740" xr:uid="{D133B8EB-EB70-4CF3-8499-8A91203C7AD2}"/>
    <cellStyle name="Вывод 2 4 4 5" xfId="21225" xr:uid="{5E8A1586-741D-4B3A-A41A-2A243C0B61CF}"/>
    <cellStyle name="Вывод 2 4 4 6" xfId="34248" xr:uid="{B968A5A0-7976-4525-8DAC-7FAC239C30F3}"/>
    <cellStyle name="Вывод 2 4 5" xfId="4252" xr:uid="{255B9781-602D-404D-89E6-99F95CB9A60F}"/>
    <cellStyle name="Вывод 2 4 5 2" xfId="9304" xr:uid="{00F366CC-25F9-4CD9-98A2-346870AD7BB5}"/>
    <cellStyle name="Вывод 2 4 5 2 2" xfId="16378" xr:uid="{501E78A4-9072-4470-846C-3371D221B681}"/>
    <cellStyle name="Вывод 2 4 5 2 2 2" xfId="32398" xr:uid="{AE1201B5-B433-48A1-9A72-48CE486265EE}"/>
    <cellStyle name="Вывод 2 4 5 2 2 3" xfId="45932" xr:uid="{A6A8CFD2-6692-410F-89EA-D6A5501630A2}"/>
    <cellStyle name="Вывод 2 4 5 2 3" xfId="26777" xr:uid="{18E7BA2F-C932-4458-AB35-E83EC2C10B18}"/>
    <cellStyle name="Вывод 2 4 5 2 4" xfId="39853" xr:uid="{AB482A0C-927B-4487-BA85-A7254876B78C}"/>
    <cellStyle name="Вывод 2 4 5 3" xfId="7816" xr:uid="{C39B7C95-E1DA-4FFD-8FBE-490D1165AF18}"/>
    <cellStyle name="Вывод 2 4 5 3 2" xfId="11622" xr:uid="{44635519-C6DE-4FB2-8CBF-4312E70BFD1B}"/>
    <cellStyle name="Вывод 2 4 5 3 2 2" xfId="28368" xr:uid="{0B8EBBBE-7AF2-498B-A34B-93D2BA75FBBF}"/>
    <cellStyle name="Вывод 2 4 5 3 2 3" xfId="41571" xr:uid="{B25B669F-237B-4263-9715-8B56A894EABE}"/>
    <cellStyle name="Вывод 2 4 5 3 3" xfId="25336" xr:uid="{E9019F87-853F-45FB-8080-72FEEDE6C44A}"/>
    <cellStyle name="Вывод 2 4 5 3 4" xfId="38412" xr:uid="{8137A7C3-0431-42E7-9253-4F6D27F116EA}"/>
    <cellStyle name="Вывод 2 4 5 4" xfId="16723" xr:uid="{10935605-682E-4F32-AD42-7AE0AFFB790A}"/>
    <cellStyle name="Вывод 2 4 5 4 2" xfId="32607" xr:uid="{BBB322EF-0C75-4D96-81EA-4CF1BBE82950}"/>
    <cellStyle name="Вывод 2 4 5 4 3" xfId="46267" xr:uid="{6AFA193A-BCD3-401B-9A9B-294E528B411A}"/>
    <cellStyle name="Вывод 2 4 5 5" xfId="22077" xr:uid="{E2975B20-A4DD-433B-A17E-987540C49325}"/>
    <cellStyle name="Вывод 2 4 5 6" xfId="35126" xr:uid="{979C4143-CA0B-486F-BED1-004F2ACE927A}"/>
    <cellStyle name="Вывод 2 4 6" xfId="4467" xr:uid="{FE3652C7-0707-483F-9AD6-BE4B116779A9}"/>
    <cellStyle name="Вывод 2 4 6 2" xfId="7107" xr:uid="{651E7561-AD70-4774-AF17-20CAA0AB3C0E}"/>
    <cellStyle name="Вывод 2 4 6 2 2" xfId="14671" xr:uid="{E102CC28-DAB2-4CCD-B46C-CE8B0E5D7B48}"/>
    <cellStyle name="Вывод 2 4 6 2 2 2" xfId="30965" xr:uid="{D74E885F-FB8B-44EB-80C3-9BF7C2E908A4}"/>
    <cellStyle name="Вывод 2 4 6 2 2 3" xfId="44386" xr:uid="{850298CA-2EFB-4D40-A965-FF2810E20D92}"/>
    <cellStyle name="Вывод 2 4 6 2 3" xfId="24706" xr:uid="{1EA61D51-FB45-45F1-8011-8EAF8C2E1CCB}"/>
    <cellStyle name="Вывод 2 4 6 2 4" xfId="37787" xr:uid="{B9C99FF9-5761-45C4-B5AD-678656CEBB1D}"/>
    <cellStyle name="Вывод 2 4 6 3" xfId="11696" xr:uid="{913B6B2B-5664-4B99-A021-494A799A9FEA}"/>
    <cellStyle name="Вывод 2 4 6 3 2" xfId="28429" xr:uid="{800999C7-E347-498D-AC8A-4FF96C7FD291}"/>
    <cellStyle name="Вывод 2 4 6 3 3" xfId="41639" xr:uid="{2E39542F-0DA0-4AA2-9BD1-9E9ED29ADDC6}"/>
    <cellStyle name="Вывод 2 4 6 4" xfId="22285" xr:uid="{3F2A9A88-43F5-4403-B2A8-37E4E802BE16}"/>
    <cellStyle name="Вывод 2 4 6 5" xfId="35334" xr:uid="{A9C807D9-324B-4AD8-B4B2-46B515007005}"/>
    <cellStyle name="Вывод 2 4 7" xfId="5520" xr:uid="{5049C533-2925-43AF-BEBA-8AA4503C69DC}"/>
    <cellStyle name="Вывод 2 4 7 2" xfId="8702" xr:uid="{06885E58-9072-4CBD-9021-99ADEABDACBC}"/>
    <cellStyle name="Вывод 2 4 7 2 2" xfId="16244" xr:uid="{4499F95E-C3EC-43F2-8F10-62F6814DEFDC}"/>
    <cellStyle name="Вывод 2 4 7 2 2 2" xfId="32280" xr:uid="{A0B991DD-FDEA-4154-B649-6275DF3AAC72}"/>
    <cellStyle name="Вывод 2 4 7 2 2 3" xfId="45808" xr:uid="{0F22848F-1773-4931-A006-23836DCBFB3A}"/>
    <cellStyle name="Вывод 2 4 7 2 3" xfId="26195" xr:uid="{24616DF3-4220-4118-85CA-7C490F455E0C}"/>
    <cellStyle name="Вывод 2 4 7 2 4" xfId="39271" xr:uid="{F7828711-85A8-4512-B142-EBF6F0C56288}"/>
    <cellStyle name="Вывод 2 4 7 3" xfId="13891" xr:uid="{C5261051-E249-402A-B73C-F9AE5270C0C0}"/>
    <cellStyle name="Вывод 2 4 7 3 2" xfId="30285" xr:uid="{E0A0122C-E369-4782-A910-FD0F4727A75D}"/>
    <cellStyle name="Вывод 2 4 7 3 3" xfId="43657" xr:uid="{656868B9-555D-4759-91DE-A1902F3286CE}"/>
    <cellStyle name="Вывод 2 4 7 4" xfId="23167" xr:uid="{5E26D226-580D-4A59-956C-B7327F3E220C}"/>
    <cellStyle name="Вывод 2 4 7 5" xfId="36248" xr:uid="{36886126-15EC-4771-B143-242CDBA18CB1}"/>
    <cellStyle name="Вывод 2 4 8" xfId="14582" xr:uid="{4ABF1F67-B3A9-4109-BA2C-2F70223F4833}"/>
    <cellStyle name="Вывод 2 4 8 2" xfId="30884" xr:uid="{4ED0FB2F-B79B-4ABC-A00F-382407E89C28}"/>
    <cellStyle name="Вывод 2 4 8 3" xfId="44302" xr:uid="{5B3CE1F2-C5A9-431F-BE16-0BF034301363}"/>
    <cellStyle name="Вывод 2 4 9" xfId="21437" xr:uid="{DA572833-0FDD-4CA3-96FF-D092693FFC73}"/>
    <cellStyle name="Вывод 2 5" xfId="3507" xr:uid="{A19D5DB3-DC58-4CDA-BC7E-AF86ED419FFF}"/>
    <cellStyle name="Вывод 2 5 2" xfId="2848" xr:uid="{BF69A567-F53C-4229-AE3C-EE31AD5D4795}"/>
    <cellStyle name="Вывод 2 5 2 2" xfId="8144" xr:uid="{3C555211-34E1-483F-973B-99F6408BC45B}"/>
    <cellStyle name="Вывод 2 5 2 2 2" xfId="16398" xr:uid="{7590D50E-FC07-4009-B0FA-5B4275F0779C}"/>
    <cellStyle name="Вывод 2 5 2 2 2 2" xfId="32415" xr:uid="{4F9CCDEE-07C3-4EB2-81B3-CA9AE9FF3A22}"/>
    <cellStyle name="Вывод 2 5 2 2 2 3" xfId="45950" xr:uid="{B55D968D-2602-4A47-B20C-1DB76B50718F}"/>
    <cellStyle name="Вывод 2 5 2 2 3" xfId="25655" xr:uid="{4778DBA1-4FA7-4F3B-9AFA-5023EE32B6E0}"/>
    <cellStyle name="Вывод 2 5 2 2 4" xfId="38731" xr:uid="{56D7E385-AAC7-4341-ADE7-84210999AE6C}"/>
    <cellStyle name="Вывод 2 5 2 3" xfId="6511" xr:uid="{A9BAAADA-A6A2-4720-B110-BFE09F58C39A}"/>
    <cellStyle name="Вывод 2 5 2 3 2" xfId="13108" xr:uid="{91C07159-2F56-4190-826B-A5AC334BCF6D}"/>
    <cellStyle name="Вывод 2 5 2 3 2 2" xfId="29623" xr:uid="{F2439A16-BE4E-4B98-8B3E-133D5E497778}"/>
    <cellStyle name="Вывод 2 5 2 3 2 3" xfId="42934" xr:uid="{65AE8A3D-D996-49AF-B234-3457839BD4EE}"/>
    <cellStyle name="Вывод 2 5 2 3 3" xfId="24146" xr:uid="{9120DFE5-6FDE-4530-97A8-157AC487CEFF}"/>
    <cellStyle name="Вывод 2 5 2 3 4" xfId="37227" xr:uid="{0BEC6662-806A-4E2A-B42E-EB269D42E35B}"/>
    <cellStyle name="Вывод 2 5 2 4" xfId="13837" xr:uid="{D72D40C2-A737-4362-8486-512E029C1BB0}"/>
    <cellStyle name="Вывод 2 5 2 4 2" xfId="30239" xr:uid="{149A08A9-76CF-4842-9EF3-AD4159F17C98}"/>
    <cellStyle name="Вывод 2 5 2 4 3" xfId="43609" xr:uid="{130ED791-5E66-43FC-B489-78B92C1E5AE0}"/>
    <cellStyle name="Вывод 2 5 2 5" xfId="20898" xr:uid="{564D86D4-8385-41A0-93D9-B0BE152FC566}"/>
    <cellStyle name="Вывод 2 5 2 6" xfId="33921" xr:uid="{244C38C3-60C5-495D-8ABC-982179ABECF1}"/>
    <cellStyle name="Вывод 2 5 3" xfId="4508" xr:uid="{1A635DCB-1DDD-4154-B313-37950F0B07A4}"/>
    <cellStyle name="Вывод 2 5 3 2" xfId="7149" xr:uid="{1BD8075B-9A03-4CAF-98E9-916E91BF9476}"/>
    <cellStyle name="Вывод 2 5 3 2 2" xfId="14479" xr:uid="{E18CDB29-E223-4CD0-B6EB-CD43D70C5A49}"/>
    <cellStyle name="Вывод 2 5 3 2 2 2" xfId="30803" xr:uid="{AE3AB045-359C-42A1-8492-E5E4EF4641E3}"/>
    <cellStyle name="Вывод 2 5 3 2 2 3" xfId="44208" xr:uid="{11A51723-1EAF-4122-9609-0309CD5E88A3}"/>
    <cellStyle name="Вывод 2 5 3 2 3" xfId="24747" xr:uid="{0B522FD1-E89A-49FB-A0E6-4106DE8752A0}"/>
    <cellStyle name="Вывод 2 5 3 2 4" xfId="37828" xr:uid="{19FDDB55-89E1-4D43-ABC9-D56756E200F9}"/>
    <cellStyle name="Вывод 2 5 3 3" xfId="12855" xr:uid="{D611B0BB-64EA-4C0C-A860-9C2B7CC3BE80}"/>
    <cellStyle name="Вывод 2 5 3 3 2" xfId="29421" xr:uid="{CD6B95D0-59EB-46F8-919D-A8FCBF24ECB4}"/>
    <cellStyle name="Вывод 2 5 3 3 3" xfId="42707" xr:uid="{F3E1F4FD-E007-4CEA-8684-1B31E47B7FBD}"/>
    <cellStyle name="Вывод 2 5 3 4" xfId="22326" xr:uid="{48F2AACD-9AA9-47EB-857E-9DE09D3781B7}"/>
    <cellStyle name="Вывод 2 5 3 5" xfId="35375" xr:uid="{66074501-4291-4ACE-845B-25F589823693}"/>
    <cellStyle name="Вывод 2 5 4" xfId="5561" xr:uid="{A4EA9236-B58D-4C9C-AD8D-B65A233B671F}"/>
    <cellStyle name="Вывод 2 5 4 2" xfId="8743" xr:uid="{3373C3CB-8210-43A0-908D-81113A3E2A97}"/>
    <cellStyle name="Вывод 2 5 4 2 2" xfId="11320" xr:uid="{B3AB59F8-6CD2-4A67-85BE-B54618A8DF86}"/>
    <cellStyle name="Вывод 2 5 4 2 2 2" xfId="28099" xr:uid="{B9343208-609F-4393-A326-1619AE518E65}"/>
    <cellStyle name="Вывод 2 5 4 2 2 3" xfId="41287" xr:uid="{07269C48-2413-4B73-B7DA-4A0D61CA65DA}"/>
    <cellStyle name="Вывод 2 5 4 2 3" xfId="26236" xr:uid="{B568BA46-7C01-4EB6-A89F-87BBF99BA577}"/>
    <cellStyle name="Вывод 2 5 4 2 4" xfId="39312" xr:uid="{45B5818A-863B-446D-AD9A-D0A8A8620C5D}"/>
    <cellStyle name="Вывод 2 5 4 3" xfId="16250" xr:uid="{4F507BE7-414A-4041-88FE-9A59F8535175}"/>
    <cellStyle name="Вывод 2 5 4 3 2" xfId="32285" xr:uid="{EEE973BD-1218-4A1C-B419-F54877467F6B}"/>
    <cellStyle name="Вывод 2 5 4 3 3" xfId="45814" xr:uid="{9270B69D-546A-42B9-9C20-7AB8A2D3215B}"/>
    <cellStyle name="Вывод 2 5 4 4" xfId="23208" xr:uid="{DBF23DC1-9884-41D9-BD7D-698BDEEC043E}"/>
    <cellStyle name="Вывод 2 5 4 5" xfId="36289" xr:uid="{87DD4EDD-7020-4099-91F7-16D801E958CD}"/>
    <cellStyle name="Вывод 2 5 5" xfId="17306" xr:uid="{148553EA-7917-49D9-A232-2E0FAB1A61AF}"/>
    <cellStyle name="Вывод 2 5 5 2" xfId="33064" xr:uid="{67374261-3F3F-4783-A738-DE3612511067}"/>
    <cellStyle name="Вывод 2 5 5 3" xfId="46840" xr:uid="{EB695741-35C5-4CBC-A5D5-4DF43ED2DBC6}"/>
    <cellStyle name="Вывод 2 5 6" xfId="21470" xr:uid="{3C1E8ED1-67CC-473E-B015-7C21921D7286}"/>
    <cellStyle name="Вывод 2 5 7" xfId="34522" xr:uid="{9006A3A1-2317-42CC-A746-A2BA628B7007}"/>
    <cellStyle name="Вывод 2 6" xfId="3318" xr:uid="{92BF1594-E9DF-405A-B259-E04B70D96CFE}"/>
    <cellStyle name="Вывод 2 6 2" xfId="2680" xr:uid="{3B4C393C-BAC6-467B-BA0A-4FA5C9BEF620}"/>
    <cellStyle name="Вывод 2 6 2 2" xfId="7976" xr:uid="{A1E751F1-324A-4E5C-AC85-59CEF49C8793}"/>
    <cellStyle name="Вывод 2 6 2 2 2" xfId="15756" xr:uid="{73EB990A-A9C2-40FE-BFEB-D9B2A6B76C7D}"/>
    <cellStyle name="Вывод 2 6 2 2 2 2" xfId="31862" xr:uid="{62214DE7-7687-42E0-8CB2-D904B9E784A0}"/>
    <cellStyle name="Вывод 2 6 2 2 2 3" xfId="45373" xr:uid="{04EB1BB0-21F3-494C-9C91-5D825925EC31}"/>
    <cellStyle name="Вывод 2 6 2 2 3" xfId="25492" xr:uid="{5EE016B4-5876-48FE-B360-1D25FF71FBE9}"/>
    <cellStyle name="Вывод 2 6 2 2 4" xfId="38568" xr:uid="{F029120C-F0CA-4B9E-AF82-1E084243BD37}"/>
    <cellStyle name="Вывод 2 6 2 3" xfId="6343" xr:uid="{DE7DB9CC-0778-4C7F-A0FC-71B79C04EE7F}"/>
    <cellStyle name="Вывод 2 6 2 3 2" xfId="14882" xr:uid="{4A2C517D-5E9F-436E-8BA7-95EED0CDBBBB}"/>
    <cellStyle name="Вывод 2 6 2 3 2 2" xfId="31132" xr:uid="{F390E288-D9BA-4A02-9E9F-95E86747B9A6}"/>
    <cellStyle name="Вывод 2 6 2 3 2 3" xfId="44573" xr:uid="{622582E0-A66E-4F5B-BDBC-14D7C77C0D19}"/>
    <cellStyle name="Вывод 2 6 2 3 3" xfId="23983" xr:uid="{A1507A59-96B8-4913-A95F-4B10405DD9D9}"/>
    <cellStyle name="Вывод 2 6 2 3 4" xfId="37064" xr:uid="{74E98F32-F483-4AC6-81B4-5EEE48A33B78}"/>
    <cellStyle name="Вывод 2 6 2 4" xfId="14347" xr:uid="{7E422366-8A6B-4963-8BFE-CA2A9909AE0B}"/>
    <cellStyle name="Вывод 2 6 2 4 2" xfId="30681" xr:uid="{53F50277-6252-43CA-843A-A86313954CFB}"/>
    <cellStyle name="Вывод 2 6 2 4 3" xfId="44077" xr:uid="{162B2885-C56F-4D4D-9698-03377CE96794}"/>
    <cellStyle name="Вывод 2 6 2 5" xfId="20735" xr:uid="{084FF82F-612F-416C-80CA-B720526A17FC}"/>
    <cellStyle name="Вывод 2 6 2 6" xfId="33758" xr:uid="{FCE253B9-F307-4E7A-91C9-4C5D4D6AF94A}"/>
    <cellStyle name="Вывод 2 6 3" xfId="4349" xr:uid="{5CDC83FD-2DC9-4DF3-BADD-EEFCE4F278D9}"/>
    <cellStyle name="Вывод 2 6 3 2" xfId="6968" xr:uid="{088A4F24-4B45-4681-8787-38C7255CC6C4}"/>
    <cellStyle name="Вывод 2 6 3 2 2" xfId="11606" xr:uid="{9E4C59F3-9C94-4D24-BE89-82DF3812C4B0}"/>
    <cellStyle name="Вывод 2 6 3 2 2 2" xfId="28354" xr:uid="{B4808DC6-E991-4E03-86F8-5186388865B9}"/>
    <cellStyle name="Вывод 2 6 3 2 2 3" xfId="41555" xr:uid="{3C4F38D9-F0A5-4E5F-B40E-DC6016585828}"/>
    <cellStyle name="Вывод 2 6 3 2 3" xfId="24590" xr:uid="{81486F9B-B36B-47F4-809E-86B2C1E6353C}"/>
    <cellStyle name="Вывод 2 6 3 2 4" xfId="37671" xr:uid="{84395778-AEFA-439D-99B8-23A5AF72BB7B}"/>
    <cellStyle name="Вывод 2 6 3 3" xfId="12796" xr:uid="{6BE82FBF-68CE-45B4-A84E-7F474549B4EA}"/>
    <cellStyle name="Вывод 2 6 3 3 2" xfId="29371" xr:uid="{7754EBB9-9DD8-482C-9570-C7A4C8E809D7}"/>
    <cellStyle name="Вывод 2 6 3 3 3" xfId="42651" xr:uid="{FC37D63E-F604-4FB2-B964-07C125FEDF7C}"/>
    <cellStyle name="Вывод 2 6 3 4" xfId="22169" xr:uid="{711B7DAA-00AB-4CB5-BB7B-F27D79542CD5}"/>
    <cellStyle name="Вывод 2 6 3 5" xfId="35218" xr:uid="{CB7B824E-28E5-4A1F-BC9E-712A0457D5E0}"/>
    <cellStyle name="Вывод 2 6 4" xfId="5404" xr:uid="{B4F98A0A-4FAB-484A-8607-5EAA7BB583AB}"/>
    <cellStyle name="Вывод 2 6 4 2" xfId="8581" xr:uid="{E6A3B90F-2F26-4CFB-A797-92A2334F3A65}"/>
    <cellStyle name="Вывод 2 6 4 2 2" xfId="15828" xr:uid="{6E972718-27D4-4BE0-85B9-A4BB0935E956}"/>
    <cellStyle name="Вывод 2 6 4 2 2 2" xfId="31922" xr:uid="{CB9D8A5A-ABE7-4796-95EC-FF634E04C8EC}"/>
    <cellStyle name="Вывод 2 6 4 2 2 3" xfId="45434" xr:uid="{3573287A-D384-484B-A4C6-BE016567F4BF}"/>
    <cellStyle name="Вывод 2 6 4 2 3" xfId="26079" xr:uid="{98B0C7D5-A319-4295-8F9D-FB757B1B93F6}"/>
    <cellStyle name="Вывод 2 6 4 2 4" xfId="39155" xr:uid="{6B4B67D9-1464-4519-A04E-1BC981563506}"/>
    <cellStyle name="Вывод 2 6 4 3" xfId="16695" xr:uid="{7F580B99-1311-46FF-B31F-772C15244CB6}"/>
    <cellStyle name="Вывод 2 6 4 3 2" xfId="32581" xr:uid="{926729E8-667D-4226-9485-FC269BFE48B6}"/>
    <cellStyle name="Вывод 2 6 4 3 3" xfId="46240" xr:uid="{A47F28CB-4562-4B03-9B35-EABF34A46231}"/>
    <cellStyle name="Вывод 2 6 4 4" xfId="23051" xr:uid="{4513D0CC-87D1-4CD6-934C-AA9F1FDCCD0E}"/>
    <cellStyle name="Вывод 2 6 4 5" xfId="36132" xr:uid="{0623259F-ED08-434B-A20E-EEAB1571CA41}"/>
    <cellStyle name="Вывод 2 6 5" xfId="12656" xr:uid="{AE68912B-2EB4-405B-953B-1FBD68EE5DAF}"/>
    <cellStyle name="Вывод 2 6 5 2" xfId="29257" xr:uid="{C9B6C369-D60C-480A-8BBA-D5EC7E826B72}"/>
    <cellStyle name="Вывод 2 6 5 3" xfId="42527" xr:uid="{8EB8615B-81D4-45A1-86AA-B929C1C37AD3}"/>
    <cellStyle name="Вывод 2 6 6" xfId="21342" xr:uid="{601A0A74-005B-4553-95C1-24AA324C04F1}"/>
    <cellStyle name="Вывод 2 6 7" xfId="34365" xr:uid="{A5F97AF8-97D8-43DC-BC73-A13EA84E00C1}"/>
    <cellStyle name="Вывод 2 7" xfId="3477" xr:uid="{B5995B95-6A46-4444-9B26-9AFBE6B94C3F}"/>
    <cellStyle name="Вывод 2 7 2" xfId="2819" xr:uid="{C2CB4459-DDDA-4641-8989-D3DD9C2EABDA}"/>
    <cellStyle name="Вывод 2 7 2 2" xfId="8115" xr:uid="{AB4C85CF-2C8F-4139-90DB-209D2325AA40}"/>
    <cellStyle name="Вывод 2 7 2 2 2" xfId="17376" xr:uid="{578836AD-5D28-4F8B-A621-E1CA15ED2C87}"/>
    <cellStyle name="Вывод 2 7 2 2 2 2" xfId="33130" xr:uid="{6B1D8FBE-FB3C-43EC-9970-DC318D2C84AE}"/>
    <cellStyle name="Вывод 2 7 2 2 2 3" xfId="46906" xr:uid="{2EF8ABC5-899F-4A42-B86C-C035886A3DEA}"/>
    <cellStyle name="Вывод 2 7 2 2 3" xfId="25626" xr:uid="{7DBD3FC0-1510-4C95-BCD0-D045100CDBE2}"/>
    <cellStyle name="Вывод 2 7 2 2 4" xfId="38702" xr:uid="{BAA20A8D-D4F3-4398-9046-CD0C7AF9291E}"/>
    <cellStyle name="Вывод 2 7 2 3" xfId="6482" xr:uid="{3D453C41-6B1A-4D97-9421-B239D1E83F3B}"/>
    <cellStyle name="Вывод 2 7 2 3 2" xfId="13102" xr:uid="{64D09966-D57C-4AA9-A25E-70E71BC65301}"/>
    <cellStyle name="Вывод 2 7 2 3 2 2" xfId="29617" xr:uid="{86EBE589-3E73-4907-910D-8A92C7788037}"/>
    <cellStyle name="Вывод 2 7 2 3 2 3" xfId="42928" xr:uid="{F633B69C-A70F-4FFC-A44C-168E6B7248CD}"/>
    <cellStyle name="Вывод 2 7 2 3 3" xfId="24117" xr:uid="{9F17E939-555A-4685-AD2E-8BDB46B3E741}"/>
    <cellStyle name="Вывод 2 7 2 3 4" xfId="37198" xr:uid="{766EA045-37EC-4F0D-825A-A666F3693352}"/>
    <cellStyle name="Вывод 2 7 2 4" xfId="16224" xr:uid="{AD4B7ABD-264F-48CD-ACDA-02E9380E5358}"/>
    <cellStyle name="Вывод 2 7 2 4 2" xfId="32262" xr:uid="{FF3B101B-1D79-4792-A199-85A5E67B31F9}"/>
    <cellStyle name="Вывод 2 7 2 4 3" xfId="45790" xr:uid="{28A15B77-3519-4224-B67A-09210C9364E2}"/>
    <cellStyle name="Вывод 2 7 2 5" xfId="20869" xr:uid="{8F8DBCCE-831A-4076-807F-92E0302B4026}"/>
    <cellStyle name="Вывод 2 7 2 6" xfId="33892" xr:uid="{31D29BC4-FEF8-43E5-BAFE-05258E242083}"/>
    <cellStyle name="Вывод 2 7 3" xfId="4479" xr:uid="{AD3FE06E-8A48-4BC3-A58E-253ABAE8D260}"/>
    <cellStyle name="Вывод 2 7 3 2" xfId="7119" xr:uid="{BA5D0C98-E1F9-4655-999C-E6F069646B61}"/>
    <cellStyle name="Вывод 2 7 3 2 2" xfId="11065" xr:uid="{984AAC94-6E23-43F2-A278-1BFBB664E8E3}"/>
    <cellStyle name="Вывод 2 7 3 2 2 2" xfId="27868" xr:uid="{7367C59C-0897-4262-825F-7E1BFB7C48E1}"/>
    <cellStyle name="Вывод 2 7 3 2 2 3" xfId="41044" xr:uid="{9CF47443-FFCC-43D4-8415-D65F59FCFA53}"/>
    <cellStyle name="Вывод 2 7 3 2 3" xfId="24718" xr:uid="{C751B47B-4C00-4FE9-BF1B-74C8B29DE185}"/>
    <cellStyle name="Вывод 2 7 3 2 4" xfId="37799" xr:uid="{B321D4EC-5A7C-4372-BACF-88FA3213DB62}"/>
    <cellStyle name="Вывод 2 7 3 3" xfId="13710" xr:uid="{543E56EF-D189-4F82-B83A-B031E88C37E8}"/>
    <cellStyle name="Вывод 2 7 3 3 2" xfId="30129" xr:uid="{6EB9CBD7-5A2E-4A8E-8F95-4602BEBC8E9E}"/>
    <cellStyle name="Вывод 2 7 3 3 3" xfId="43489" xr:uid="{02B2B74F-0E88-4760-B0F9-7B3B1FEE21E1}"/>
    <cellStyle name="Вывод 2 7 3 4" xfId="22297" xr:uid="{FDC63F93-E8E5-4686-91D4-7CD12C5378D0}"/>
    <cellStyle name="Вывод 2 7 3 5" xfId="35346" xr:uid="{1E2E329F-BF06-43A8-A31C-5B981B211145}"/>
    <cellStyle name="Вывод 2 7 4" xfId="5532" xr:uid="{F3AD7C09-FEE2-4579-B1C9-AADA0097D5A1}"/>
    <cellStyle name="Вывод 2 7 4 2" xfId="8714" xr:uid="{BEDB05EF-3E9E-4235-9F41-F331AE816B0A}"/>
    <cellStyle name="Вывод 2 7 4 2 2" xfId="13345" xr:uid="{0FB23028-886E-4319-859D-220EBAFF9E4D}"/>
    <cellStyle name="Вывод 2 7 4 2 2 2" xfId="29826" xr:uid="{D018868B-5D1C-4E1B-9E34-0E965ACF5AF8}"/>
    <cellStyle name="Вывод 2 7 4 2 2 3" xfId="43158" xr:uid="{1A9E1A4A-60DC-4BB2-BFDA-18021F65C95E}"/>
    <cellStyle name="Вывод 2 7 4 2 3" xfId="26207" xr:uid="{07FF5DED-499F-4F34-8478-E89B611DCAE2}"/>
    <cellStyle name="Вывод 2 7 4 2 4" xfId="39283" xr:uid="{46080C08-05DE-45BE-940D-5CF38AE968AD}"/>
    <cellStyle name="Вывод 2 7 4 3" xfId="15941" xr:uid="{E48B288C-7245-4310-ADE9-65F247CF49F5}"/>
    <cellStyle name="Вывод 2 7 4 3 2" xfId="32018" xr:uid="{6F6F15C3-B697-4E2B-AF4B-354552FD3363}"/>
    <cellStyle name="Вывод 2 7 4 3 3" xfId="45536" xr:uid="{A69D8197-E47A-400A-A0B6-3CB2B00DF682}"/>
    <cellStyle name="Вывод 2 7 4 4" xfId="23179" xr:uid="{2C726293-2617-48F0-A3B3-DB24B2BF1FB0}"/>
    <cellStyle name="Вывод 2 7 4 5" xfId="36260" xr:uid="{73632A24-2F48-4BC7-ABD3-F28B56B34DC1}"/>
    <cellStyle name="Вывод 2 7 5" xfId="11057" xr:uid="{754DEDF9-6AD8-41F9-B2EA-37DB9D1B2EC8}"/>
    <cellStyle name="Вывод 2 7 5 2" xfId="27860" xr:uid="{4DACC903-644E-4FEE-930E-D78BC4CC337B}"/>
    <cellStyle name="Вывод 2 7 5 3" xfId="41036" xr:uid="{7D3C0439-9E90-463B-A230-8C0A4CA84D03}"/>
    <cellStyle name="Вывод 2 7 6" xfId="21445" xr:uid="{23922210-901E-4255-B3A1-C9EF0DDF5A6B}"/>
    <cellStyle name="Вывод 2 7 7" xfId="34493" xr:uid="{2FADED88-929F-40FA-99BC-201A4392DA96}"/>
    <cellStyle name="Вывод 2 8" xfId="3512" xr:uid="{BCBA8793-AD1D-4B8B-A796-060CAF9E9064}"/>
    <cellStyle name="Вывод 2 8 2" xfId="2853" xr:uid="{3D267770-DFE4-4BFE-B9EB-F194B9649EA2}"/>
    <cellStyle name="Вывод 2 8 2 2" xfId="8149" xr:uid="{93448FAE-9A2B-412C-A564-D288B8BE4FED}"/>
    <cellStyle name="Вывод 2 8 2 2 2" xfId="13231" xr:uid="{726A667B-FF22-4C40-A48D-97AF2651F037}"/>
    <cellStyle name="Вывод 2 8 2 2 2 2" xfId="29728" xr:uid="{A1399A7C-849F-4606-BE6B-E12F36132418}"/>
    <cellStyle name="Вывод 2 8 2 2 2 3" xfId="43050" xr:uid="{FD4D0487-FB08-4C46-BA7D-1E0279D5E368}"/>
    <cellStyle name="Вывод 2 8 2 2 3" xfId="25660" xr:uid="{FC002C73-B30A-4D17-9582-9A48CACCF6D3}"/>
    <cellStyle name="Вывод 2 8 2 2 4" xfId="38736" xr:uid="{0AB665EA-3A25-4FFD-B899-2510A5B63DAA}"/>
    <cellStyle name="Вывод 2 8 2 3" xfId="6516" xr:uid="{825908E0-C5F9-4137-8A82-A8ABAD7D4C6E}"/>
    <cellStyle name="Вывод 2 8 2 3 2" xfId="14211" xr:uid="{F0F7007F-A8FB-4096-A3EA-9C2A70534B7C}"/>
    <cellStyle name="Вывод 2 8 2 3 2 2" xfId="30556" xr:uid="{72F6B96C-6902-46F8-BD37-A456A822139A}"/>
    <cellStyle name="Вывод 2 8 2 3 2 3" xfId="43948" xr:uid="{0BDD73CF-A65A-417C-B7F4-54CF53BE5F1D}"/>
    <cellStyle name="Вывод 2 8 2 3 3" xfId="24151" xr:uid="{FEC3C528-0233-4D6E-8EF0-93BB27F0F08C}"/>
    <cellStyle name="Вывод 2 8 2 3 4" xfId="37232" xr:uid="{C878A1FA-249D-462A-91BA-2169BCAF4484}"/>
    <cellStyle name="Вывод 2 8 2 4" xfId="13768" xr:uid="{74018A40-099F-4D89-98B7-434849185C38}"/>
    <cellStyle name="Вывод 2 8 2 4 2" xfId="30177" xr:uid="{F39ED494-2E52-42BF-BB0E-6D309BDA5FA4}"/>
    <cellStyle name="Вывод 2 8 2 4 3" xfId="43541" xr:uid="{8830744A-B864-4EB9-9BF9-F11331ED2BB5}"/>
    <cellStyle name="Вывод 2 8 2 5" xfId="20903" xr:uid="{AF06EDF4-58F5-488F-B94A-3DD29A7EBEA7}"/>
    <cellStyle name="Вывод 2 8 2 6" xfId="33926" xr:uid="{D423AF84-50B3-472A-8153-7F03699A693A}"/>
    <cellStyle name="Вывод 2 8 3" xfId="4513" xr:uid="{D77B7BAB-E49B-476E-9EE0-637A03E1F930}"/>
    <cellStyle name="Вывод 2 8 3 2" xfId="7154" xr:uid="{0FFD172A-5840-4D8F-B399-E6149A140FF5}"/>
    <cellStyle name="Вывод 2 8 3 2 2" xfId="15005" xr:uid="{7E4C46DA-5BB1-4BB6-A83B-0A99AC74B229}"/>
    <cellStyle name="Вывод 2 8 3 2 2 2" xfId="31233" xr:uid="{765A82BB-70A3-410D-8BAE-30570E0570F5}"/>
    <cellStyle name="Вывод 2 8 3 2 2 3" xfId="44683" xr:uid="{BC0DAE0D-1967-4EA3-89DB-085DF711D022}"/>
    <cellStyle name="Вывод 2 8 3 2 3" xfId="24752" xr:uid="{AD3C887B-0301-4A29-956C-336351E09040}"/>
    <cellStyle name="Вывод 2 8 3 2 4" xfId="37833" xr:uid="{166C8109-28E6-427A-A0C1-E410E805D3AD}"/>
    <cellStyle name="Вывод 2 8 3 3" xfId="11273" xr:uid="{7C0F392C-FE45-4D63-A4F0-F1E2F01531B7}"/>
    <cellStyle name="Вывод 2 8 3 3 2" xfId="28060" xr:uid="{37D4C5D2-6229-45FD-80EE-13FD67706B5C}"/>
    <cellStyle name="Вывод 2 8 3 3 3" xfId="41242" xr:uid="{ECEBDFCB-9795-4D3C-A7CF-EA842FA3EFF8}"/>
    <cellStyle name="Вывод 2 8 3 4" xfId="22331" xr:uid="{DFCDD4DD-A864-4AE1-A037-4C5EACEB4EFF}"/>
    <cellStyle name="Вывод 2 8 3 5" xfId="35380" xr:uid="{2A2FDC7C-0466-4C51-AF8F-8505BE329573}"/>
    <cellStyle name="Вывод 2 8 4" xfId="5566" xr:uid="{171005D6-8859-41B5-BAA6-A573B1F98747}"/>
    <cellStyle name="Вывод 2 8 4 2" xfId="8748" xr:uid="{63A1D4DB-3BF7-405F-87EE-56E7D8146ED7}"/>
    <cellStyle name="Вывод 2 8 4 2 2" xfId="14269" xr:uid="{019E2D9F-B00F-4FFB-B9D7-BD2661F6DD65}"/>
    <cellStyle name="Вывод 2 8 4 2 2 2" xfId="30611" xr:uid="{DAC51292-AD93-4479-8A5B-33C349207D7B}"/>
    <cellStyle name="Вывод 2 8 4 2 2 3" xfId="44004" xr:uid="{75CAD448-C0A3-4EC0-8917-CE467AC42727}"/>
    <cellStyle name="Вывод 2 8 4 2 3" xfId="26241" xr:uid="{DC32F603-3E51-41A2-957F-AE0C6E82B05C}"/>
    <cellStyle name="Вывод 2 8 4 2 4" xfId="39317" xr:uid="{52310557-32B5-409B-9F10-D3100CE25246}"/>
    <cellStyle name="Вывод 2 8 4 3" xfId="11674" xr:uid="{717093ED-445F-4710-AFF3-F3C8A6CA7002}"/>
    <cellStyle name="Вывод 2 8 4 3 2" xfId="28411" xr:uid="{F4AEBECE-A84E-4180-B121-9475B1F92ED0}"/>
    <cellStyle name="Вывод 2 8 4 3 3" xfId="41617" xr:uid="{0C7AD3F4-EDA1-492B-A687-D3A45882E7A6}"/>
    <cellStyle name="Вывод 2 8 4 4" xfId="23213" xr:uid="{0493A22D-B49C-4971-8B09-C155358165E7}"/>
    <cellStyle name="Вывод 2 8 4 5" xfId="36294" xr:uid="{0BF48E01-D200-43FF-BAF0-04EFA8DDBC41}"/>
    <cellStyle name="Вывод 2 8 5" xfId="14493" xr:uid="{D7EEC4C2-3D45-432D-BFE1-C17AEEC43069}"/>
    <cellStyle name="Вывод 2 8 5 2" xfId="30816" xr:uid="{1759CB09-812C-4FB6-B079-133A426A21F1}"/>
    <cellStyle name="Вывод 2 8 5 3" xfId="44222" xr:uid="{14AA1530-9AB9-4780-9364-E6CEA7F8E813}"/>
    <cellStyle name="Вывод 2 8 6" xfId="21475" xr:uid="{296144F3-6A05-47FB-9468-194000BBDBB5}"/>
    <cellStyle name="Вывод 2 8 7" xfId="34527" xr:uid="{41E8E42A-B083-4AD2-A1D2-10AF92D73C4F}"/>
    <cellStyle name="Вывод 2 9" xfId="3587" xr:uid="{2159170F-72F5-4452-A0F5-AA5EAE0564B7}"/>
    <cellStyle name="Вывод 2 9 2" xfId="2922" xr:uid="{BCC22E13-0953-47B0-909A-E20BBA9BE66B}"/>
    <cellStyle name="Вывод 2 9 2 2" xfId="8218" xr:uid="{A0510616-4A2B-41F6-90EE-55A3B77224BD}"/>
    <cellStyle name="Вывод 2 9 2 2 2" xfId="16353" xr:uid="{E2A2DAC2-F88A-4F3E-8B53-5D479AB72275}"/>
    <cellStyle name="Вывод 2 9 2 2 2 2" xfId="32374" xr:uid="{8219616A-9962-4FA4-AB84-158EDCC788AC}"/>
    <cellStyle name="Вывод 2 9 2 2 2 3" xfId="45907" xr:uid="{C4BE871C-3AFF-4F78-A5ED-A5311AAF045B}"/>
    <cellStyle name="Вывод 2 9 2 2 3" xfId="25729" xr:uid="{BEE86799-3DD6-44C0-BE39-395D74A443F7}"/>
    <cellStyle name="Вывод 2 9 2 2 4" xfId="38805" xr:uid="{2489CC15-F57C-401B-8543-7720F8A1E017}"/>
    <cellStyle name="Вывод 2 9 2 3" xfId="6585" xr:uid="{55761A6A-85D9-47D3-A894-7B3BD4A1E47D}"/>
    <cellStyle name="Вывод 2 9 2 3 2" xfId="16782" xr:uid="{0EE964EC-2371-4CA1-BF1E-1BFFBC2E24D2}"/>
    <cellStyle name="Вывод 2 9 2 3 2 2" xfId="32663" xr:uid="{465DCE49-17F0-4EE9-A471-774F77F94398}"/>
    <cellStyle name="Вывод 2 9 2 3 2 3" xfId="46325" xr:uid="{D26E1FAB-6CF9-4F67-81C6-CD690721DFEE}"/>
    <cellStyle name="Вывод 2 9 2 3 3" xfId="24220" xr:uid="{DCF75AAC-6D77-4B5A-9017-1495692DA4E7}"/>
    <cellStyle name="Вывод 2 9 2 3 4" xfId="37301" xr:uid="{514128AD-1FD1-4902-96F0-31E6A4C84127}"/>
    <cellStyle name="Вывод 2 9 2 4" xfId="15287" xr:uid="{8BAD1559-48F3-4F9C-B546-276C0756D6A7}"/>
    <cellStyle name="Вывод 2 9 2 4 2" xfId="31457" xr:uid="{5242FFA9-E94F-41F4-A31C-4736F6FFD369}"/>
    <cellStyle name="Вывод 2 9 2 4 3" xfId="44936" xr:uid="{DE065C9E-CBFF-4BE3-84E9-08DE75D99C40}"/>
    <cellStyle name="Вывод 2 9 2 5" xfId="20972" xr:uid="{CF43F13C-5840-4F2A-8497-76926009CA27}"/>
    <cellStyle name="Вывод 2 9 2 6" xfId="33995" xr:uid="{C7F51E4D-791C-41BD-AE06-6201A50CF099}"/>
    <cellStyle name="Вывод 2 9 3" xfId="4550" xr:uid="{07412771-60F8-4910-A4C9-16B2D65E5CF6}"/>
    <cellStyle name="Вывод 2 9 3 2" xfId="7224" xr:uid="{88E99448-B792-4AAC-9EE4-2CCA9100B845}"/>
    <cellStyle name="Вывод 2 9 3 2 2" xfId="14616" xr:uid="{50F044CF-B145-4938-AA39-2DA21CB716AF}"/>
    <cellStyle name="Вывод 2 9 3 2 2 2" xfId="30914" xr:uid="{B239FEDD-F1D9-4D26-A437-3F4BB6ED92EC}"/>
    <cellStyle name="Вывод 2 9 3 2 2 3" xfId="44335" xr:uid="{D8E4D2AA-C755-4BA4-9E1B-79BAFCBF341C}"/>
    <cellStyle name="Вывод 2 9 3 2 3" xfId="24818" xr:uid="{D49B1488-A4B1-432D-98FA-72047EC2CDBF}"/>
    <cellStyle name="Вывод 2 9 3 2 4" xfId="37899" xr:uid="{10E16864-C421-473F-B2CD-DFC1E2404E75}"/>
    <cellStyle name="Вывод 2 9 3 3" xfId="13107" xr:uid="{466AE2A9-1D39-482A-AE24-EB085A4782A2}"/>
    <cellStyle name="Вывод 2 9 3 3 2" xfId="29622" xr:uid="{6602DCCA-9642-416A-8E05-4F9B2E8B340D}"/>
    <cellStyle name="Вывод 2 9 3 3 3" xfId="42933" xr:uid="{8CB9754A-A36E-437B-B6CE-AB6EF77ED997}"/>
    <cellStyle name="Вывод 2 9 3 4" xfId="22366" xr:uid="{213029BD-3401-4BF0-8C92-AABC77117609}"/>
    <cellStyle name="Вывод 2 9 3 5" xfId="35415" xr:uid="{99C5A0B6-21C3-4E83-851B-CCB4FCC05A04}"/>
    <cellStyle name="Вывод 2 9 4" xfId="5632" xr:uid="{D81C98EA-E6C9-40E9-9228-3B378F9E3B14}"/>
    <cellStyle name="Вывод 2 9 4 2" xfId="8814" xr:uid="{8140367A-764A-4F49-B468-FDE88B3AAA49}"/>
    <cellStyle name="Вывод 2 9 4 2 2" xfId="12728" xr:uid="{D14E0CD6-5E75-4BD9-B07B-8C3C040F9A51}"/>
    <cellStyle name="Вывод 2 9 4 2 2 2" xfId="29310" xr:uid="{34075FFC-A2F9-4700-8B8F-94AC4B5C1B0D}"/>
    <cellStyle name="Вывод 2 9 4 2 2 3" xfId="42587" xr:uid="{B7BD3113-94AC-4AB1-A3DC-2E7FBC1FC792}"/>
    <cellStyle name="Вывод 2 9 4 2 3" xfId="26307" xr:uid="{A0ECB377-E07C-4D36-933D-3EF32BDEDD50}"/>
    <cellStyle name="Вывод 2 9 4 2 4" xfId="39383" xr:uid="{7D318672-51EE-4C96-93F4-053DACB24FA9}"/>
    <cellStyle name="Вывод 2 9 4 3" xfId="11444" xr:uid="{09A40271-70AD-44A5-992E-027ABCBBF866}"/>
    <cellStyle name="Вывод 2 9 4 3 2" xfId="28209" xr:uid="{40B66D1C-2DDD-4C38-80E8-86A6C4DA9985}"/>
    <cellStyle name="Вывод 2 9 4 3 3" xfId="41403" xr:uid="{EB29877A-762D-4318-9FD5-1056954B032A}"/>
    <cellStyle name="Вывод 2 9 4 4" xfId="23279" xr:uid="{D936D05A-AE81-4814-9673-37856022B9B3}"/>
    <cellStyle name="Вывод 2 9 4 5" xfId="36360" xr:uid="{07483C83-AAC1-4785-9178-820F703FF523}"/>
    <cellStyle name="Вывод 2 9 5" xfId="12548" xr:uid="{5A7D81A8-0A73-4571-875C-A1EFDD0C003D}"/>
    <cellStyle name="Вывод 2 9 5 2" xfId="29171" xr:uid="{DF8231C0-C6B5-4AA8-8E62-091508011454}"/>
    <cellStyle name="Вывод 2 9 5 3" xfId="42430" xr:uid="{6FD1390D-21B1-45AE-95FF-4B4FBF1EF5CB}"/>
    <cellStyle name="Вывод 2 9 6" xfId="21541" xr:uid="{481C275E-F3C6-45B2-AEA4-CA19812C0505}"/>
    <cellStyle name="Вывод 2 9 7" xfId="34594" xr:uid="{8E28EEFB-0188-4ADF-9A7C-0667BE7FFB98}"/>
    <cellStyle name="Вывод 3" xfId="2300" xr:uid="{E3CF6E2A-9F8A-4514-9FB8-B61ED3A2EF4B}"/>
    <cellStyle name="Вывод 3 10" xfId="3725" xr:uid="{E5C4905F-D66F-48B6-A45A-8AE93B86375E}"/>
    <cellStyle name="Вывод 3 10 2" xfId="3041" xr:uid="{B993107D-B584-4806-A925-F0D79B142124}"/>
    <cellStyle name="Вывод 3 10 2 2" xfId="8337" xr:uid="{88B541AC-3B29-4BC9-A7FB-32B8585D7BB0}"/>
    <cellStyle name="Вывод 3 10 2 2 2" xfId="16240" xr:uid="{C6A93BDE-102D-4446-AD42-4A3B3856F89B}"/>
    <cellStyle name="Вывод 3 10 2 2 2 2" xfId="32276" xr:uid="{9F4C1076-C3CC-442A-81EF-97DCE34C824A}"/>
    <cellStyle name="Вывод 3 10 2 2 2 3" xfId="45804" xr:uid="{6D29C209-AD4F-474D-9687-BFC5EEA96949}"/>
    <cellStyle name="Вывод 3 10 2 2 3" xfId="25841" xr:uid="{66BF819F-E989-4AC3-ADAC-9188E818B7D8}"/>
    <cellStyle name="Вывод 3 10 2 2 4" xfId="38917" xr:uid="{7BCFAFD8-97DA-4528-A000-ECBE0A01C806}"/>
    <cellStyle name="Вывод 3 10 2 3" xfId="6704" xr:uid="{626A05FA-35EB-4171-A9F4-21D4134C691A}"/>
    <cellStyle name="Вывод 3 10 2 3 2" xfId="12082" xr:uid="{4A562490-E3D9-41B3-8A33-B3C047336F75}"/>
    <cellStyle name="Вывод 3 10 2 3 2 2" xfId="28782" xr:uid="{4F15F75A-EB45-43A4-8CFB-06DBE0EA2ACF}"/>
    <cellStyle name="Вывод 3 10 2 3 2 3" xfId="42002" xr:uid="{D1AF80EE-1D9C-442F-9C8D-E88C06218776}"/>
    <cellStyle name="Вывод 3 10 2 3 3" xfId="24332" xr:uid="{C7673243-5D9C-432D-A6C5-21E36CA52370}"/>
    <cellStyle name="Вывод 3 10 2 3 4" xfId="37413" xr:uid="{A6101989-8FB1-4C71-958D-63F03999169F}"/>
    <cellStyle name="Вывод 3 10 2 4" xfId="13916" xr:uid="{A2288AA0-A2B5-46C1-8892-2BCFD843E2F7}"/>
    <cellStyle name="Вывод 3 10 2 4 2" xfId="30307" xr:uid="{E4CCD28B-869B-4CC1-BB8F-B0DA7651FC52}"/>
    <cellStyle name="Вывод 3 10 2 4 3" xfId="43681" xr:uid="{2204E6F9-479F-40FB-B562-92FCBFC9E5AC}"/>
    <cellStyle name="Вывод 3 10 2 5" xfId="21084" xr:uid="{50E70A3B-6278-4125-9335-1705BFD9F12E}"/>
    <cellStyle name="Вывод 3 10 2 6" xfId="34107" xr:uid="{09E21615-0E3A-4378-8A42-9908D9120AEF}"/>
    <cellStyle name="Вывод 3 10 3" xfId="4626" xr:uid="{F10076DD-62FE-4C16-B047-EBE16A236692}"/>
    <cellStyle name="Вывод 3 10 3 2" xfId="7360" xr:uid="{D5CFCD9F-7A16-47DF-A9C2-746CAF9AF735}"/>
    <cellStyle name="Вывод 3 10 3 2 2" xfId="13936" xr:uid="{F3F79449-5C0E-4994-AF42-296A713E8C46}"/>
    <cellStyle name="Вывод 3 10 3 2 2 2" xfId="30325" xr:uid="{23361A4B-2986-4A05-A70C-A23314C59410}"/>
    <cellStyle name="Вывод 3 10 3 2 2 3" xfId="43701" xr:uid="{B5C62EFE-CF8D-462C-BE40-921B2650ACF6}"/>
    <cellStyle name="Вывод 3 10 3 2 3" xfId="24919" xr:uid="{195876B0-B68E-4AA6-B66D-67385857E665}"/>
    <cellStyle name="Вывод 3 10 3 2 4" xfId="37999" xr:uid="{83B17D3F-A4BE-4EB5-9046-EB353F004650}"/>
    <cellStyle name="Вывод 3 10 3 3" xfId="10598" xr:uid="{3C760B2A-FFF5-410F-A786-48569E336076}"/>
    <cellStyle name="Вывод 3 10 3 3 2" xfId="27457" xr:uid="{C548BC5E-D42E-4912-83E3-5F912EF62F7D}"/>
    <cellStyle name="Вывод 3 10 3 3 3" xfId="40579" xr:uid="{0A57A4C7-96B5-4072-86EB-096CEFBF6954}"/>
    <cellStyle name="Вывод 3 10 3 4" xfId="22436" xr:uid="{804B8A3D-5F94-411F-B5FF-783EC50585FC}"/>
    <cellStyle name="Вывод 3 10 3 5" xfId="35489" xr:uid="{84D4F94C-7216-4AF4-B064-7C229DE7302C}"/>
    <cellStyle name="Вывод 3 10 4" xfId="5732" xr:uid="{B21CA436-EAD3-4439-B790-CA2FAD1DD1AC}"/>
    <cellStyle name="Вывод 3 10 4 2" xfId="8921" xr:uid="{41FA990D-F554-404C-A027-2B959A2FFB8B}"/>
    <cellStyle name="Вывод 3 10 4 2 2" xfId="16335" xr:uid="{25D13572-A00C-4E5C-8B43-5BFDC618C8DE}"/>
    <cellStyle name="Вывод 3 10 4 2 2 2" xfId="32359" xr:uid="{BBE6CD76-C6B6-4A4E-887A-06B307E5281B}"/>
    <cellStyle name="Вывод 3 10 4 2 2 3" xfId="45890" xr:uid="{29F6666D-5EC7-4E0A-8EB6-08B24F46B5EE}"/>
    <cellStyle name="Вывод 3 10 4 2 3" xfId="26407" xr:uid="{573CF4C6-BC18-4CC3-AD72-3E1A62A17CB5}"/>
    <cellStyle name="Вывод 3 10 4 2 4" xfId="39483" xr:uid="{7E4B706A-BD50-4138-AC6C-870DC5DE8402}"/>
    <cellStyle name="Вывод 3 10 4 3" xfId="16981" xr:uid="{90C60950-5607-434F-B19C-BC814F2C65F5}"/>
    <cellStyle name="Вывод 3 10 4 3 2" xfId="32804" xr:uid="{C3144CBC-922F-4163-8CF5-376F5C74A97D}"/>
    <cellStyle name="Вывод 3 10 4 3 3" xfId="46523" xr:uid="{BD9F3B0B-8BA2-44AA-93F0-E051F627EA2C}"/>
    <cellStyle name="Вывод 3 10 4 4" xfId="23379" xr:uid="{D27E9AD7-BCCF-4CD0-A246-483E57B4697A}"/>
    <cellStyle name="Вывод 3 10 4 5" xfId="36460" xr:uid="{E6CF0447-A9C1-4D67-80A1-289023A69827}"/>
    <cellStyle name="Вывод 3 10 5" xfId="14676" xr:uid="{EA153CDF-22BE-4A71-A65B-84A4C0BA864E}"/>
    <cellStyle name="Вывод 3 10 5 2" xfId="30969" xr:uid="{CB060F84-DA1B-4B32-8F1B-8BB99A6B73EE}"/>
    <cellStyle name="Вывод 3 10 5 3" xfId="44390" xr:uid="{671BC4B1-247C-4839-B5A3-2DBA8CE60FC0}"/>
    <cellStyle name="Вывод 3 10 6" xfId="21641" xr:uid="{DE797C66-F521-45FE-AD35-D85441EB0A5B}"/>
    <cellStyle name="Вывод 3 10 7" xfId="34695" xr:uid="{3FF24CA2-9E96-4DBA-8F68-D6FFFEA86919}"/>
    <cellStyle name="Вывод 3 11" xfId="3574" xr:uid="{2051F355-4DC9-4D05-B20D-945B7A538B9F}"/>
    <cellStyle name="Вывод 3 11 2" xfId="2909" xr:uid="{52E9B611-5F6A-4995-8D07-CCE140C86E6F}"/>
    <cellStyle name="Вывод 3 11 2 2" xfId="8205" xr:uid="{A50DA7F2-7E4E-431B-AA3C-552110DA787B}"/>
    <cellStyle name="Вывод 3 11 2 2 2" xfId="13761" xr:uid="{377F395A-BD07-41F3-BBB2-C65F99BCE5D2}"/>
    <cellStyle name="Вывод 3 11 2 2 2 2" xfId="30171" xr:uid="{AB90CEA4-2CF7-4469-AC51-270548B1814B}"/>
    <cellStyle name="Вывод 3 11 2 2 2 3" xfId="43534" xr:uid="{09D94254-1DE8-4677-ADC8-A8B7AEBD2196}"/>
    <cellStyle name="Вывод 3 11 2 2 3" xfId="25716" xr:uid="{55B185B6-00D1-4896-878A-8C24D5B00BC6}"/>
    <cellStyle name="Вывод 3 11 2 2 4" xfId="38792" xr:uid="{9F645409-2B31-4526-BEA2-668BC020D106}"/>
    <cellStyle name="Вывод 3 11 2 3" xfId="6572" xr:uid="{1530963F-758F-445D-8DB1-170DDA79B434}"/>
    <cellStyle name="Вывод 3 11 2 3 2" xfId="16098" xr:uid="{9EA7175F-CF15-4F9A-BC57-27104C3C2ED8}"/>
    <cellStyle name="Вывод 3 11 2 3 2 2" xfId="32156" xr:uid="{B051308F-2DE7-43FA-AD2C-4E1B572BF31B}"/>
    <cellStyle name="Вывод 3 11 2 3 2 3" xfId="45677" xr:uid="{E8D412F3-B664-4BF2-B105-1CF20E14A89E}"/>
    <cellStyle name="Вывод 3 11 2 3 3" xfId="24207" xr:uid="{E9002186-53A9-4DBC-878C-EB80D9025A72}"/>
    <cellStyle name="Вывод 3 11 2 3 4" xfId="37288" xr:uid="{A5B8D0CD-4A15-4B62-BA8C-AC2383062DA2}"/>
    <cellStyle name="Вывод 3 11 2 4" xfId="15447" xr:uid="{BA3840AB-998B-4772-8273-7D30F0323586}"/>
    <cellStyle name="Вывод 3 11 2 4 2" xfId="31592" xr:uid="{4EBC2ACF-8A08-45A3-B590-3E2908B2EB3D}"/>
    <cellStyle name="Вывод 3 11 2 4 3" xfId="45087" xr:uid="{566AC170-642F-4758-9B83-A8EF496D6F8F}"/>
    <cellStyle name="Вывод 3 11 2 5" xfId="20959" xr:uid="{C1E03FCC-4CAA-471E-8319-788B870B381F}"/>
    <cellStyle name="Вывод 3 11 2 6" xfId="33982" xr:uid="{17AF0A7A-AE0D-4C1E-8D9A-8298FD135549}"/>
    <cellStyle name="Вывод 3 11 3" xfId="4665" xr:uid="{E86CC15B-DF5A-4FE4-AD13-B7EBA32B7653}"/>
    <cellStyle name="Вывод 3 11 3 2" xfId="7211" xr:uid="{C57BF3E7-8895-4722-B277-B604E1D33BD0}"/>
    <cellStyle name="Вывод 3 11 3 2 2" xfId="14172" xr:uid="{DF5C02AA-FEB1-4CDD-A8A7-76A46816CBB7}"/>
    <cellStyle name="Вывод 3 11 3 2 2 2" xfId="30526" xr:uid="{BA13D0A1-4062-44B5-BD91-57130F6CC949}"/>
    <cellStyle name="Вывод 3 11 3 2 2 3" xfId="43912" xr:uid="{1D5EC577-85A2-4169-8DF0-647E69403279}"/>
    <cellStyle name="Вывод 3 11 3 2 3" xfId="24805" xr:uid="{92E20A53-5570-4306-9E00-9487F32F6A3C}"/>
    <cellStyle name="Вывод 3 11 3 2 4" xfId="37886" xr:uid="{391A0A9B-A858-4FB8-BE11-F0F916BC3E16}"/>
    <cellStyle name="Вывод 3 11 3 3" xfId="14766" xr:uid="{3965B2B5-A9DD-42EC-AB1E-1CF7322E02BA}"/>
    <cellStyle name="Вывод 3 11 3 3 2" xfId="31038" xr:uid="{9E751749-A969-424B-9BD5-F5489E03FC6B}"/>
    <cellStyle name="Вывод 3 11 3 3 3" xfId="44468" xr:uid="{EB649030-1B0F-4A94-AF5C-0729C7A2F8D8}"/>
    <cellStyle name="Вывод 3 11 3 4" xfId="22475" xr:uid="{6F588F0C-9D71-4BC4-BFB9-469097AD6F10}"/>
    <cellStyle name="Вывод 3 11 3 5" xfId="35528" xr:uid="{278E1A7E-56A6-463A-B2F6-142C2955C345}"/>
    <cellStyle name="Вывод 3 11 4" xfId="5619" xr:uid="{FDFE5A12-2CAA-4664-9C5D-ECC7AB499430}"/>
    <cellStyle name="Вывод 3 11 4 2" xfId="8801" xr:uid="{D812152C-5A05-4EDE-8380-39D2E19AA29A}"/>
    <cellStyle name="Вывод 3 11 4 2 2" xfId="14761" xr:uid="{D07008A6-622B-434E-832C-CB5466B1B74C}"/>
    <cellStyle name="Вывод 3 11 4 2 2 2" xfId="31033" xr:uid="{7DABE7A4-A78D-46E4-95AD-F88FDA123C2C}"/>
    <cellStyle name="Вывод 3 11 4 2 2 3" xfId="44463" xr:uid="{6AA1762F-DFBC-4441-9826-327F8B67E3CF}"/>
    <cellStyle name="Вывод 3 11 4 2 3" xfId="26294" xr:uid="{50CB5E88-D52D-4E16-A004-3E53DAD1005A}"/>
    <cellStyle name="Вывод 3 11 4 2 4" xfId="39370" xr:uid="{69C7E78A-69FD-4A59-936B-4E6C341C04AB}"/>
    <cellStyle name="Вывод 3 11 4 3" xfId="10670" xr:uid="{4E051970-0471-451F-8904-B51356BA31E5}"/>
    <cellStyle name="Вывод 3 11 4 3 2" xfId="27520" xr:uid="{8179A61A-4925-4CAB-9C41-03853B5CAA12}"/>
    <cellStyle name="Вывод 3 11 4 3 3" xfId="40651" xr:uid="{337A6994-0EB8-4599-8703-3AFF408B5861}"/>
    <cellStyle name="Вывод 3 11 4 4" xfId="23266" xr:uid="{D7839D86-47A3-492A-91FD-329AB223E871}"/>
    <cellStyle name="Вывод 3 11 4 5" xfId="36347" xr:uid="{B0FADCD4-2F1F-43A0-A9CC-A102BE54E79F}"/>
    <cellStyle name="Вывод 3 11 5" xfId="11767" xr:uid="{452E4082-6A04-4E48-910A-A782452B3727}"/>
    <cellStyle name="Вывод 3 11 5 2" xfId="28492" xr:uid="{6871E429-C990-4531-8FF9-429BDC56716D}"/>
    <cellStyle name="Вывод 3 11 5 3" xfId="41703" xr:uid="{335912BA-FA9B-43CE-88AB-0E810959100A}"/>
    <cellStyle name="Вывод 3 11 6" xfId="21528" xr:uid="{A7F6536C-6984-42C6-BF5B-A13A06D04F71}"/>
    <cellStyle name="Вывод 3 11 7" xfId="34581" xr:uid="{3252D7DD-C3A0-4DB3-81E2-39F22FFF4B56}"/>
    <cellStyle name="Вывод 3 12" xfId="3706" xr:uid="{9678F8D2-3AA6-43D2-9603-AAD877DD2ADC}"/>
    <cellStyle name="Вывод 3 12 2" xfId="3022" xr:uid="{A48934BE-A218-40CE-8F68-2D1D856A5DAE}"/>
    <cellStyle name="Вывод 3 12 2 2" xfId="8318" xr:uid="{A6DCAD8F-3A33-44A6-9328-E92CAD6E6A3C}"/>
    <cellStyle name="Вывод 3 12 2 2 2" xfId="17395" xr:uid="{A698F114-AD1D-4D52-B3AB-CA680F4E022E}"/>
    <cellStyle name="Вывод 3 12 2 2 2 2" xfId="33149" xr:uid="{91B4BCFA-F3DF-4696-B36B-6D51A6DD6DD1}"/>
    <cellStyle name="Вывод 3 12 2 2 2 3" xfId="46925" xr:uid="{467EA92B-D6D2-499F-BF66-2114E67083B2}"/>
    <cellStyle name="Вывод 3 12 2 2 3" xfId="25822" xr:uid="{0713535A-8E42-4E69-8343-A16F97FE13D9}"/>
    <cellStyle name="Вывод 3 12 2 2 4" xfId="38898" xr:uid="{B1761636-E7CD-4BF3-AC34-96D378E1EDD6}"/>
    <cellStyle name="Вывод 3 12 2 3" xfId="6685" xr:uid="{185A4FEA-671E-43E9-980E-48E2C0981118}"/>
    <cellStyle name="Вывод 3 12 2 3 2" xfId="13850" xr:uid="{B92D26CA-DD64-4897-8808-82FBEA359906}"/>
    <cellStyle name="Вывод 3 12 2 3 2 2" xfId="30251" xr:uid="{CF0AA463-C3B3-4488-97BF-70BE76646F16}"/>
    <cellStyle name="Вывод 3 12 2 3 2 3" xfId="43622" xr:uid="{BACB5989-01C5-4CEF-96DD-986DA0B62DBD}"/>
    <cellStyle name="Вывод 3 12 2 3 3" xfId="24313" xr:uid="{80E4D4E0-7D94-424C-A9CB-641670473AE9}"/>
    <cellStyle name="Вывод 3 12 2 3 4" xfId="37394" xr:uid="{1D9E033C-4F34-4665-A2C8-C61BCE944EB4}"/>
    <cellStyle name="Вывод 3 12 2 4" xfId="13973" xr:uid="{5E984972-006F-4DEB-AF87-8C1032DBF2D6}"/>
    <cellStyle name="Вывод 3 12 2 4 2" xfId="30360" xr:uid="{5B957099-0E3F-4AB1-832D-A322EA62921B}"/>
    <cellStyle name="Вывод 3 12 2 4 3" xfId="43737" xr:uid="{6394A4A4-06C5-4984-A474-5C4594BE73F7}"/>
    <cellStyle name="Вывод 3 12 2 5" xfId="21065" xr:uid="{303959B1-B145-4360-B351-7D63400B107E}"/>
    <cellStyle name="Вывод 3 12 2 6" xfId="34088" xr:uid="{8674E004-1197-41BB-A62C-413C1433F5E4}"/>
    <cellStyle name="Вывод 3 12 3" xfId="4736" xr:uid="{846E01B0-64D3-454A-989D-F6F05EEB4BBE}"/>
    <cellStyle name="Вывод 3 12 3 2" xfId="7341" xr:uid="{DFB334CE-4423-494D-BAD6-D1F9A7500055}"/>
    <cellStyle name="Вывод 3 12 3 2 2" xfId="13771" xr:uid="{DC479669-92F0-4B17-B1B9-5A78E0CE072C}"/>
    <cellStyle name="Вывод 3 12 3 2 2 2" xfId="30180" xr:uid="{21A61E30-0877-4C29-97D1-5BAFF83FF6CA}"/>
    <cellStyle name="Вывод 3 12 3 2 2 3" xfId="43544" xr:uid="{C7B3970A-CD40-4F93-A08D-594C77817F80}"/>
    <cellStyle name="Вывод 3 12 3 2 3" xfId="24900" xr:uid="{805E8B3E-E8B2-4AC8-B6E7-FD0807FB6445}"/>
    <cellStyle name="Вывод 3 12 3 2 4" xfId="37980" xr:uid="{C0835121-DAD2-4753-9885-E46F26A0C462}"/>
    <cellStyle name="Вывод 3 12 3 3" xfId="12024" xr:uid="{41F0E416-70AF-4951-8D4F-1B461DFFBB91}"/>
    <cellStyle name="Вывод 3 12 3 3 2" xfId="28726" xr:uid="{DECD0611-9B54-4866-9672-A95C3C73E321}"/>
    <cellStyle name="Вывод 3 12 3 3 3" xfId="41944" xr:uid="{613809DD-695F-47E1-9449-D7326C685C92}"/>
    <cellStyle name="Вывод 3 12 3 4" xfId="22539" xr:uid="{4EF117E8-B8C6-4FC3-BEB9-03460471DA82}"/>
    <cellStyle name="Вывод 3 12 3 5" xfId="35592" xr:uid="{F5C8C56A-872D-4258-9270-DAA2F69BAE65}"/>
    <cellStyle name="Вывод 3 12 4" xfId="5713" xr:uid="{AC7CF34B-C475-4416-AA56-B451256B47DD}"/>
    <cellStyle name="Вывод 3 12 4 2" xfId="8902" xr:uid="{3B45127E-7997-4F9C-9E32-0F8B337FE7A1}"/>
    <cellStyle name="Вывод 3 12 4 2 2" xfId="15021" xr:uid="{F1A92CCE-4BDB-40DC-9766-4F3C559212BE}"/>
    <cellStyle name="Вывод 3 12 4 2 2 2" xfId="31245" xr:uid="{E449B745-A7C7-4815-BD09-EA12275CE07D}"/>
    <cellStyle name="Вывод 3 12 4 2 2 3" xfId="44696" xr:uid="{61AABEB4-B3BC-40A7-87BC-62069A5DC71D}"/>
    <cellStyle name="Вывод 3 12 4 2 3" xfId="26388" xr:uid="{19307D7D-BC91-4594-B15D-1D6B43420F94}"/>
    <cellStyle name="Вывод 3 12 4 2 4" xfId="39464" xr:uid="{FF1B6D3A-A964-4C94-8E0D-529709C287E1}"/>
    <cellStyle name="Вывод 3 12 4 3" xfId="13538" xr:uid="{E3AA5AFE-CEE5-40BE-9D60-C30019BC84A3}"/>
    <cellStyle name="Вывод 3 12 4 3 2" xfId="29985" xr:uid="{BA1530BA-9763-430C-97A4-7D8F6FEBB45B}"/>
    <cellStyle name="Вывод 3 12 4 3 3" xfId="43333" xr:uid="{5B27D2F2-230F-49E5-946D-D3C86B558CF7}"/>
    <cellStyle name="Вывод 3 12 4 4" xfId="23360" xr:uid="{C6ADCF59-2253-4C57-8AF0-10EE219A6E66}"/>
    <cellStyle name="Вывод 3 12 4 5" xfId="36441" xr:uid="{8309D92D-4146-4E02-9A1D-E98A559876E2}"/>
    <cellStyle name="Вывод 3 12 5" xfId="12720" xr:uid="{8DEBDF2C-7ABB-4D9E-B783-B3446F495962}"/>
    <cellStyle name="Вывод 3 12 5 2" xfId="29303" xr:uid="{2245D186-8F9D-4C73-A2EF-B9216C4B03EA}"/>
    <cellStyle name="Вывод 3 12 5 3" xfId="42580" xr:uid="{1A3BF5BD-4D0F-445E-82A6-1BBE7EC2479F}"/>
    <cellStyle name="Вывод 3 12 6" xfId="21622" xr:uid="{2BB60457-CF5C-43E8-84C1-178DEAB5D2D7}"/>
    <cellStyle name="Вывод 3 12 7" xfId="34676" xr:uid="{930A5347-DA50-4428-8AD3-C50A4AFB9B74}"/>
    <cellStyle name="Вывод 3 13" xfId="3692" xr:uid="{225D0019-175E-488D-9E02-C3CCED8E9855}"/>
    <cellStyle name="Вывод 3 13 2" xfId="3008" xr:uid="{25D80CAA-E2F5-4FEA-AF2D-B1B40C5F5B7A}"/>
    <cellStyle name="Вывод 3 13 2 2" xfId="8304" xr:uid="{FB35CC28-776E-4C86-A478-4A61A3A1E892}"/>
    <cellStyle name="Вывод 3 13 2 2 2" xfId="15564" xr:uid="{D73E9B35-6888-47BE-ABF9-6C09139BD574}"/>
    <cellStyle name="Вывод 3 13 2 2 2 2" xfId="31694" xr:uid="{F2F9C7BA-E63C-44D3-99AA-E659AC5C8017}"/>
    <cellStyle name="Вывод 3 13 2 2 2 3" xfId="45196" xr:uid="{39844712-9524-4BF8-ABE9-33508F95574C}"/>
    <cellStyle name="Вывод 3 13 2 2 3" xfId="25808" xr:uid="{FEB70BE7-6695-4D72-989B-700840296AC2}"/>
    <cellStyle name="Вывод 3 13 2 2 4" xfId="38884" xr:uid="{89E19FEC-E94F-4563-9506-C841709FFD42}"/>
    <cellStyle name="Вывод 3 13 2 3" xfId="6671" xr:uid="{8541B14D-ED94-415E-9F7F-6EEE842DC7CF}"/>
    <cellStyle name="Вывод 3 13 2 3 2" xfId="14731" xr:uid="{5DEBD233-99FC-43A0-A4C2-F6171100D427}"/>
    <cellStyle name="Вывод 3 13 2 3 2 2" xfId="31013" xr:uid="{8A283D3F-F0E1-42DF-88F2-7A2C341AE5AE}"/>
    <cellStyle name="Вывод 3 13 2 3 2 3" xfId="44438" xr:uid="{96B5FC39-B02A-4F9A-B59A-3529BBDEB1A8}"/>
    <cellStyle name="Вывод 3 13 2 3 3" xfId="24299" xr:uid="{3D8204B2-D30C-4F04-967D-DCEAFE4AB9BD}"/>
    <cellStyle name="Вывод 3 13 2 3 4" xfId="37380" xr:uid="{F7A04741-7E0F-43FA-B34F-3C2219DF7C40}"/>
    <cellStyle name="Вывод 3 13 2 4" xfId="13968" xr:uid="{7F542380-84AF-4F78-B123-F224B778EFFC}"/>
    <cellStyle name="Вывод 3 13 2 4 2" xfId="30355" xr:uid="{9672B48E-C313-49CC-B130-061637652199}"/>
    <cellStyle name="Вывод 3 13 2 4 3" xfId="43732" xr:uid="{59AD2AF3-B7AD-4E77-A35F-6A47A35A1065}"/>
    <cellStyle name="Вывод 3 13 2 5" xfId="21051" xr:uid="{D4FD8CE0-5063-4160-811C-16F342EAE990}"/>
    <cellStyle name="Вывод 3 13 2 6" xfId="34074" xr:uid="{E0A15744-9841-4A07-A616-4E7992C6C49A}"/>
    <cellStyle name="Вывод 3 13 3" xfId="4722" xr:uid="{67A7A296-C73A-489B-939D-FA12A00BE513}"/>
    <cellStyle name="Вывод 3 13 3 2" xfId="7327" xr:uid="{5FCBE1DA-B562-470E-8FF3-CA9E1B52A0FD}"/>
    <cellStyle name="Вывод 3 13 3 2 2" xfId="13842" xr:uid="{D231B4CC-4B0E-4C92-8ADD-60B93F481981}"/>
    <cellStyle name="Вывод 3 13 3 2 2 2" xfId="30244" xr:uid="{174428E0-C298-4853-B25C-EDB8D18EA05B}"/>
    <cellStyle name="Вывод 3 13 3 2 2 3" xfId="43614" xr:uid="{7FBA6479-70B3-4536-AA3C-107E5FDC2E9A}"/>
    <cellStyle name="Вывод 3 13 3 2 3" xfId="24886" xr:uid="{0FBD7C51-1526-4C64-9581-C8844D46BCC8}"/>
    <cellStyle name="Вывод 3 13 3 2 4" xfId="37966" xr:uid="{8F389156-14E8-4985-A030-9C72FFCD9AFE}"/>
    <cellStyle name="Вывод 3 13 3 3" xfId="17467" xr:uid="{6976618A-11BC-4D99-8858-B9E71571A1F5}"/>
    <cellStyle name="Вывод 3 13 3 3 2" xfId="33210" xr:uid="{B50DD8D7-B1C8-43BA-992D-84563A8BB1F5}"/>
    <cellStyle name="Вывод 3 13 3 3 3" xfId="46996" xr:uid="{50F549B0-EC02-45C6-9435-2D47CDFD7BF3}"/>
    <cellStyle name="Вывод 3 13 3 4" xfId="22525" xr:uid="{CC155967-4AEF-4034-8D03-87E02E9EB840}"/>
    <cellStyle name="Вывод 3 13 3 5" xfId="35578" xr:uid="{99A8A1AB-99F3-4637-8946-F6500F008EB8}"/>
    <cellStyle name="Вывод 3 13 4" xfId="5699" xr:uid="{BDA6B4BA-6A9C-4C9D-8BC7-AC8DD4675665}"/>
    <cellStyle name="Вывод 3 13 4 2" xfId="8888" xr:uid="{68C9CA15-95CA-4385-B1C8-88B228E1A9F2}"/>
    <cellStyle name="Вывод 3 13 4 2 2" xfId="16154" xr:uid="{633AD800-902E-42C6-9B24-1D9542F0C844}"/>
    <cellStyle name="Вывод 3 13 4 2 2 2" xfId="32205" xr:uid="{29875CCB-E5D2-481E-80C5-AE483EAF574A}"/>
    <cellStyle name="Вывод 3 13 4 2 2 3" xfId="45727" xr:uid="{95AAA467-F035-475F-A577-13A0AE9CE404}"/>
    <cellStyle name="Вывод 3 13 4 2 3" xfId="26374" xr:uid="{1BD3FFC2-BE3C-4C70-AEF7-3938EC469000}"/>
    <cellStyle name="Вывод 3 13 4 2 4" xfId="39450" xr:uid="{A44E796E-0867-451D-8806-5535B3781154}"/>
    <cellStyle name="Вывод 3 13 4 3" xfId="12575" xr:uid="{C75C2676-2235-4611-94B2-4170D60EEDC6}"/>
    <cellStyle name="Вывод 3 13 4 3 2" xfId="29192" xr:uid="{0E6B93D8-8D7C-4F15-A5ED-E09516A20C71}"/>
    <cellStyle name="Вывод 3 13 4 3 3" xfId="42454" xr:uid="{560A81A2-8A22-4A3C-B126-9DA4591B7EAA}"/>
    <cellStyle name="Вывод 3 13 4 4" xfId="23346" xr:uid="{3A4E13C3-BA9A-44EA-A60B-3E6F047710C7}"/>
    <cellStyle name="Вывод 3 13 4 5" xfId="36427" xr:uid="{FC513FC2-A8F8-49A9-8394-BFD3263825C9}"/>
    <cellStyle name="Вывод 3 13 5" xfId="15488" xr:uid="{FA0F5CD7-5F8E-43D6-92A0-3C1526F55D10}"/>
    <cellStyle name="Вывод 3 13 5 2" xfId="31627" xr:uid="{7891424E-EDE4-43BF-84A0-90FC243936C7}"/>
    <cellStyle name="Вывод 3 13 5 3" xfId="45124" xr:uid="{AF789BA4-3E22-4A05-82D8-7A52815D4303}"/>
    <cellStyle name="Вывод 3 13 6" xfId="21608" xr:uid="{A2089B9D-C764-494D-8029-D9456C90F1F5}"/>
    <cellStyle name="Вывод 3 13 7" xfId="34662" xr:uid="{6346E887-E9FC-4B61-AD0F-6A29FC8C9C03}"/>
    <cellStyle name="Вывод 3 14" xfId="3841" xr:uid="{C1DE7478-5D8C-4FD1-A99C-39F5DB1E940B}"/>
    <cellStyle name="Вывод 3 14 2" xfId="3104" xr:uid="{45848001-E52B-4CE2-8410-BB23BBF84AC3}"/>
    <cellStyle name="Вывод 3 14 2 2" xfId="8396" xr:uid="{A5ABA8DF-CEB8-4B43-A259-E096C8AE3641}"/>
    <cellStyle name="Вывод 3 14 2 2 2" xfId="15610" xr:uid="{2AB6A96E-B141-4A93-845D-E76C0E50AF93}"/>
    <cellStyle name="Вывод 3 14 2 2 2 2" xfId="31733" xr:uid="{D63550E1-6F89-4285-8181-13897A44E41C}"/>
    <cellStyle name="Вывод 3 14 2 2 2 3" xfId="45237" xr:uid="{3F33A18D-EAE3-4EAA-84A0-E6C7B9A2DC5C}"/>
    <cellStyle name="Вывод 3 14 2 2 3" xfId="25898" xr:uid="{42B79315-415C-428A-A13F-AD7B1FE4A5C5}"/>
    <cellStyle name="Вывод 3 14 2 2 4" xfId="38974" xr:uid="{2657172A-3734-4BCB-86DA-31A93C4D8116}"/>
    <cellStyle name="Вывод 3 14 2 3" xfId="6763" xr:uid="{2E297630-71C9-401A-AE7D-7F05AE0F6461}"/>
    <cellStyle name="Вывод 3 14 2 3 2" xfId="16236" xr:uid="{A59650B9-8FF2-4E38-9F69-30B443EBF9DC}"/>
    <cellStyle name="Вывод 3 14 2 3 2 2" xfId="32272" xr:uid="{37501869-3E72-45C8-9D52-9DBDE8BC37AF}"/>
    <cellStyle name="Вывод 3 14 2 3 2 3" xfId="45800" xr:uid="{FA3162F7-BC5E-427D-846A-DB7EE2283F21}"/>
    <cellStyle name="Вывод 3 14 2 3 3" xfId="24389" xr:uid="{4EEAB90E-7725-4083-A567-AFEAB5F55D97}"/>
    <cellStyle name="Вывод 3 14 2 3 4" xfId="37470" xr:uid="{1AF8F58C-9D43-46A2-8D69-6245200A1C50}"/>
    <cellStyle name="Вывод 3 14 2 4" xfId="11269" xr:uid="{43308DB4-5A83-47F5-B522-D92791110FB0}"/>
    <cellStyle name="Вывод 3 14 2 4 2" xfId="28056" xr:uid="{76E96F75-EADE-4D0A-A0BB-55639EEEBE7B}"/>
    <cellStyle name="Вывод 3 14 2 4 3" xfId="41238" xr:uid="{B3036A1B-0FB7-4A46-BF70-B71A1D84953C}"/>
    <cellStyle name="Вывод 3 14 2 5" xfId="21141" xr:uid="{78F1EC7D-0B0D-495D-B980-9A2B806F9BC1}"/>
    <cellStyle name="Вывод 3 14 2 6" xfId="34164" xr:uid="{B14B1B4C-F356-4C13-84D7-CE8D717DC2FD}"/>
    <cellStyle name="Вывод 3 14 3" xfId="4786" xr:uid="{CBC14E55-0D82-4664-A79E-538CDA4B32DC}"/>
    <cellStyle name="Вывод 3 14 3 2" xfId="7428" xr:uid="{CC9848D1-48BC-4001-A4F8-11CE15EA0EB1}"/>
    <cellStyle name="Вывод 3 14 3 2 2" xfId="16852" xr:uid="{6E805893-6622-4078-ABDF-1CBA8067F80B}"/>
    <cellStyle name="Вывод 3 14 3 2 2 2" xfId="32729" xr:uid="{FE75BB7B-06A7-4BEA-AC7D-EF41E9A77402}"/>
    <cellStyle name="Вывод 3 14 3 2 2 3" xfId="46394" xr:uid="{20B78E57-0DB2-4508-875F-F2DC3E70AC24}"/>
    <cellStyle name="Вывод 3 14 3 2 3" xfId="24985" xr:uid="{AFF61B1C-DFE7-4AD4-91B0-E8E2F86D5CCB}"/>
    <cellStyle name="Вывод 3 14 3 2 4" xfId="38061" xr:uid="{92BDAECD-F5E9-4162-B8B7-D39B470FAA7D}"/>
    <cellStyle name="Вывод 3 14 3 3" xfId="16225" xr:uid="{C9528251-98D8-42F4-86B7-0F825CDE319B}"/>
    <cellStyle name="Вывод 3 14 3 3 2" xfId="32263" xr:uid="{B0100A8D-8719-408D-8CED-2F026A3DC5C4}"/>
    <cellStyle name="Вывод 3 14 3 3 3" xfId="45791" xr:uid="{70371F27-8382-4469-9BD6-041F41E072EB}"/>
    <cellStyle name="Вывод 3 14 3 4" xfId="22588" xr:uid="{0597E61B-69D1-4292-A205-98474513FB3D}"/>
    <cellStyle name="Вывод 3 14 3 5" xfId="35641" xr:uid="{4570E3F4-932E-44BB-A1EA-693A32B3C602}"/>
    <cellStyle name="Вывод 3 14 4" xfId="5811" xr:uid="{0934E2A2-02C1-4D08-A205-32A52153C588}"/>
    <cellStyle name="Вывод 3 14 4 2" xfId="8972" xr:uid="{A52099A1-04CF-4252-BA4C-D14A1119F90B}"/>
    <cellStyle name="Вывод 3 14 4 2 2" xfId="11285" xr:uid="{E231CB83-E21D-4344-8E8E-589DC453D9D0}"/>
    <cellStyle name="Вывод 3 14 4 2 2 2" xfId="28072" xr:uid="{50ECDF95-318B-4C77-A996-A78781A86FDD}"/>
    <cellStyle name="Вывод 3 14 4 2 2 3" xfId="41254" xr:uid="{DE8BEFC2-3733-47A6-A110-593EA97F89AF}"/>
    <cellStyle name="Вывод 3 14 4 2 3" xfId="26457" xr:uid="{6B1DA61B-A71E-4EF4-9061-13B17FC6A8DB}"/>
    <cellStyle name="Вывод 3 14 4 2 4" xfId="39533" xr:uid="{65087B07-4682-43E8-AFB7-B048D540C51A}"/>
    <cellStyle name="Вывод 3 14 4 3" xfId="13466" xr:uid="{6201CC88-3FA2-4967-8CFF-97127AB4F9AD}"/>
    <cellStyle name="Вывод 3 14 4 3 2" xfId="29929" xr:uid="{470C7A4B-68FC-4C79-9C56-0A31F4A65093}"/>
    <cellStyle name="Вывод 3 14 4 3 3" xfId="43268" xr:uid="{FD06AAEA-57D2-4F39-A1AA-BAA4085B15AC}"/>
    <cellStyle name="Вывод 3 14 4 4" xfId="23458" xr:uid="{6AE00CFC-68EA-440D-9EFC-8952D4943495}"/>
    <cellStyle name="Вывод 3 14 4 5" xfId="36539" xr:uid="{584DCBD5-B648-427F-AAC1-F224B5F267F5}"/>
    <cellStyle name="Вывод 3 14 5" xfId="14803" xr:uid="{18757954-10CD-4588-8256-ECA9D6FF376D}"/>
    <cellStyle name="Вывод 3 14 5 2" xfId="31066" xr:uid="{33BF350F-3A7D-4209-BDC9-39A84A1CD9B6}"/>
    <cellStyle name="Вывод 3 14 5 3" xfId="44500" xr:uid="{B259115E-E47E-4293-B85E-06D28038F0B3}"/>
    <cellStyle name="Вывод 3 14 6" xfId="21720" xr:uid="{F1B94115-0889-4787-93E5-FCDC1BB2C00E}"/>
    <cellStyle name="Вывод 3 14 7" xfId="34774" xr:uid="{F6CE8334-C97C-41FD-A5D4-65BFFC751484}"/>
    <cellStyle name="Вывод 3 15" xfId="3714" xr:uid="{EEA607FC-3E0E-41B0-A06D-D448B50D805D}"/>
    <cellStyle name="Вывод 3 15 2" xfId="3030" xr:uid="{A4B57D95-EA09-4EF6-A51F-0638AD8C53F2}"/>
    <cellStyle name="Вывод 3 15 2 2" xfId="8326" xr:uid="{9C1D3C78-DC05-47C8-ACA8-10F232E4B2F9}"/>
    <cellStyle name="Вывод 3 15 2 2 2" xfId="12356" xr:uid="{68160AB0-862B-44E6-9F84-368A6F0D8E4B}"/>
    <cellStyle name="Вывод 3 15 2 2 2 2" xfId="29022" xr:uid="{621A64BE-E415-486E-974F-95CD943E12E0}"/>
    <cellStyle name="Вывод 3 15 2 2 2 3" xfId="42262" xr:uid="{D59FC624-211A-45D7-8B7B-1B7A6749F56E}"/>
    <cellStyle name="Вывод 3 15 2 2 3" xfId="25830" xr:uid="{BEBDD777-E518-45A2-964C-DA8FBF8A5CD5}"/>
    <cellStyle name="Вывод 3 15 2 2 4" xfId="38906" xr:uid="{2BA41E27-008B-4CD9-ACA9-DA2CF52B6FD6}"/>
    <cellStyle name="Вывод 3 15 2 3" xfId="6693" xr:uid="{215320E3-4F56-4286-8CDC-6D3DAA0307E1}"/>
    <cellStyle name="Вывод 3 15 2 3 2" xfId="10584" xr:uid="{C14498C8-032B-4D3B-A543-73427AF3F64F}"/>
    <cellStyle name="Вывод 3 15 2 3 2 2" xfId="27443" xr:uid="{4438C216-F61C-4D46-95DB-18A201202BE8}"/>
    <cellStyle name="Вывод 3 15 2 3 2 3" xfId="40565" xr:uid="{521848C3-3A9F-4BA2-8390-0DE0976E1B98}"/>
    <cellStyle name="Вывод 3 15 2 3 3" xfId="24321" xr:uid="{EB197E13-8EBE-4DDB-8500-C57F77F9512B}"/>
    <cellStyle name="Вывод 3 15 2 3 4" xfId="37402" xr:uid="{68B4FBDA-F78B-477B-B6DE-392D129E1A43}"/>
    <cellStyle name="Вывод 3 15 2 4" xfId="11209" xr:uid="{5A5D1D4C-4621-4ED1-96EA-6ACFCBA52578}"/>
    <cellStyle name="Вывод 3 15 2 4 2" xfId="28003" xr:uid="{D611DAF6-248A-403E-A776-6DD8ED6DD2FC}"/>
    <cellStyle name="Вывод 3 15 2 4 3" xfId="41185" xr:uid="{4FE385F0-D16B-49E1-868D-813C93B9778F}"/>
    <cellStyle name="Вывод 3 15 2 5" xfId="21073" xr:uid="{338CAF22-A62A-4CEC-A734-052E8BBBE93A}"/>
    <cellStyle name="Вывод 3 15 2 6" xfId="34096" xr:uid="{9173397B-E2A5-4C6F-8CC8-3C9A4F19428E}"/>
    <cellStyle name="Вывод 3 15 3" xfId="4744" xr:uid="{0ED261F3-10A3-41BC-A593-60FC810A5AA3}"/>
    <cellStyle name="Вывод 3 15 3 2" xfId="7349" xr:uid="{3392A321-19FA-4E17-8DB0-F972EBABE310}"/>
    <cellStyle name="Вывод 3 15 3 2 2" xfId="12640" xr:uid="{132D14FE-97F6-41C0-85EE-2EF93AE12CB5}"/>
    <cellStyle name="Вывод 3 15 3 2 2 2" xfId="29243" xr:uid="{5873BA74-2E46-4B0F-ACA6-046C5F0EEE8E}"/>
    <cellStyle name="Вывод 3 15 3 2 2 3" xfId="42511" xr:uid="{3BEFC0A8-60B5-4DCF-805C-320D11E943DF}"/>
    <cellStyle name="Вывод 3 15 3 2 3" xfId="24908" xr:uid="{1ECBEC68-962E-4871-90B4-F50C18D91DEC}"/>
    <cellStyle name="Вывод 3 15 3 2 4" xfId="37988" xr:uid="{C7AA4223-5590-4362-BF3C-9FE002F8DB45}"/>
    <cellStyle name="Вывод 3 15 3 3" xfId="17079" xr:uid="{522BBBE5-82BE-45D8-9E25-9C7F657BC267}"/>
    <cellStyle name="Вывод 3 15 3 3 2" xfId="32849" xr:uid="{0AAFC237-E9F7-4A14-944C-DC9747E26190}"/>
    <cellStyle name="Вывод 3 15 3 3 3" xfId="46619" xr:uid="{F1374A6F-B8FF-4403-8944-8238585DAF4C}"/>
    <cellStyle name="Вывод 3 15 3 4" xfId="22547" xr:uid="{E76E65EC-90B5-4D1F-A5BD-0B4E71C2C3BC}"/>
    <cellStyle name="Вывод 3 15 3 5" xfId="35600" xr:uid="{A88B90FB-72E8-496D-97CF-44DC3D0E3E36}"/>
    <cellStyle name="Вывод 3 15 4" xfId="5721" xr:uid="{6BFB77DF-86D1-47C1-B871-E2253037BB28}"/>
    <cellStyle name="Вывод 3 15 4 2" xfId="8910" xr:uid="{7B9ABF5D-B9D0-4263-939D-45DC23D6C409}"/>
    <cellStyle name="Вывод 3 15 4 2 2" xfId="17063" xr:uid="{3BFBB6B1-18AF-4FF6-95ED-74E9C349401C}"/>
    <cellStyle name="Вывод 3 15 4 2 2 2" xfId="32834" xr:uid="{69ADD2FB-EA7F-40FB-BF50-D43A6A140055}"/>
    <cellStyle name="Вывод 3 15 4 2 2 3" xfId="46604" xr:uid="{BA0799E0-0E03-4032-95AF-DD3DC323E70F}"/>
    <cellStyle name="Вывод 3 15 4 2 3" xfId="26396" xr:uid="{5D9B4B45-E1EB-446F-8EE3-2AC3689D6AB8}"/>
    <cellStyle name="Вывод 3 15 4 2 4" xfId="39472" xr:uid="{EEC44C99-2482-4B85-99A1-A54D6614421E}"/>
    <cellStyle name="Вывод 3 15 4 3" xfId="14510" xr:uid="{DE24B2D3-800D-4329-842A-5F24B17B4193}"/>
    <cellStyle name="Вывод 3 15 4 3 2" xfId="30828" xr:uid="{C5F1BE1C-AB74-4E05-A0CB-8B005889C327}"/>
    <cellStyle name="Вывод 3 15 4 3 3" xfId="44238" xr:uid="{60256635-5AE6-4A5F-A742-D6899AE4FACB}"/>
    <cellStyle name="Вывод 3 15 4 4" xfId="23368" xr:uid="{AF39D088-B3B6-4182-9A1B-7A650AA1A268}"/>
    <cellStyle name="Вывод 3 15 4 5" xfId="36449" xr:uid="{85FD718B-DB53-458D-BA36-B8AA83152EDF}"/>
    <cellStyle name="Вывод 3 15 5" xfId="14788" xr:uid="{511C9689-4EAC-4337-9E30-D3C3432AA68B}"/>
    <cellStyle name="Вывод 3 15 5 2" xfId="31054" xr:uid="{27319654-9DED-4C03-A145-3947DEE4FBED}"/>
    <cellStyle name="Вывод 3 15 5 3" xfId="44486" xr:uid="{D725F151-E070-4703-AF23-D6C4E161482C}"/>
    <cellStyle name="Вывод 3 15 6" xfId="21630" xr:uid="{C070F280-24A4-4703-ABB8-31AAAB08DD21}"/>
    <cellStyle name="Вывод 3 15 7" xfId="34684" xr:uid="{CC5E3E30-4EA3-4E29-8DAF-99FB01CBF511}"/>
    <cellStyle name="Вывод 3 16" xfId="3891" xr:uid="{D920D2B9-E58D-4EF9-B0A2-3FCCEA175C16}"/>
    <cellStyle name="Вывод 3 16 2" xfId="3160" xr:uid="{61C2879D-508F-4DB4-A599-01CF6A229E5D}"/>
    <cellStyle name="Вывод 3 16 2 2" xfId="8452" xr:uid="{06678F71-B1E9-4B82-AC11-48E22B60059F}"/>
    <cellStyle name="Вывод 3 16 2 2 2" xfId="12599" xr:uid="{BA2B6C79-5869-4B3B-A687-7584CBF471EF}"/>
    <cellStyle name="Вывод 3 16 2 2 2 2" xfId="29214" xr:uid="{E3279CD8-D6BC-43AA-A6E2-42A4C7B61922}"/>
    <cellStyle name="Вывод 3 16 2 2 2 3" xfId="42478" xr:uid="{0CF2814D-0F4A-443B-B5BB-D27D959802CE}"/>
    <cellStyle name="Вывод 3 16 2 2 3" xfId="25954" xr:uid="{1E45DD6B-EEFD-4462-A1AB-9D9BF9A6D568}"/>
    <cellStyle name="Вывод 3 16 2 2 4" xfId="39030" xr:uid="{6DB6D4C5-B668-4228-B652-9C3010C7C021}"/>
    <cellStyle name="Вывод 3 16 2 3" xfId="6819" xr:uid="{A631480F-8C94-4BB7-BE0D-C9805DCF3715}"/>
    <cellStyle name="Вывод 3 16 2 3 2" xfId="17363" xr:uid="{00570644-E626-4644-A0F1-831152EB78EE}"/>
    <cellStyle name="Вывод 3 16 2 3 2 2" xfId="33117" xr:uid="{417D25CA-EAE4-4442-839E-58EDC4E8E04E}"/>
    <cellStyle name="Вывод 3 16 2 3 2 3" xfId="46893" xr:uid="{5FA41678-D95C-4623-984B-3990E6094C61}"/>
    <cellStyle name="Вывод 3 16 2 3 3" xfId="24445" xr:uid="{1CC18937-70E5-4EA5-A6CF-D059C75F6B56}"/>
    <cellStyle name="Вывод 3 16 2 3 4" xfId="37526" xr:uid="{B2F69C79-A7DE-419D-8E61-86124E25BA5A}"/>
    <cellStyle name="Вывод 3 16 2 4" xfId="12099" xr:uid="{303DAC5E-E429-4443-8898-EB9C6AE013FF}"/>
    <cellStyle name="Вывод 3 16 2 4 2" xfId="28799" xr:uid="{8B94F414-29E8-4DCB-8617-D1C3F7ACC7A5}"/>
    <cellStyle name="Вывод 3 16 2 4 3" xfId="42019" xr:uid="{05ECE7F9-E76A-4306-8828-78D705DA471F}"/>
    <cellStyle name="Вывод 3 16 2 5" xfId="21197" xr:uid="{5789D7CC-ECAA-4222-A0DA-E33A16677730}"/>
    <cellStyle name="Вывод 3 16 2 6" xfId="34220" xr:uid="{31A6A959-9518-4FB7-8C70-4FA91BB840FE}"/>
    <cellStyle name="Вывод 3 16 3" xfId="4828" xr:uid="{FF6B2B23-A1DA-4B8B-B0DE-5CA774139368}"/>
    <cellStyle name="Вывод 3 16 3 2" xfId="7472" xr:uid="{A269AF2B-8376-4633-BDFE-C83EC31B9B42}"/>
    <cellStyle name="Вывод 3 16 3 2 2" xfId="12637" xr:uid="{ECCF91BB-5F1D-4C35-A2C1-10E18AB3F395}"/>
    <cellStyle name="Вывод 3 16 3 2 2 2" xfId="29241" xr:uid="{6767C158-B5BD-4FD2-9072-F562A3D517AF}"/>
    <cellStyle name="Вывод 3 16 3 2 2 3" xfId="42509" xr:uid="{564372AB-7E28-45B6-92C4-8159305B7795}"/>
    <cellStyle name="Вывод 3 16 3 2 3" xfId="25029" xr:uid="{B241F059-5BEF-4AC0-8C4F-17F9D459A233}"/>
    <cellStyle name="Вывод 3 16 3 2 4" xfId="38105" xr:uid="{1C6099D0-AA11-4CC7-BA50-900E21F4F250}"/>
    <cellStyle name="Вывод 3 16 3 3" xfId="13805" xr:uid="{CB56E22D-8361-46CA-B887-52917FCE5A3D}"/>
    <cellStyle name="Вывод 3 16 3 3 2" xfId="30209" xr:uid="{73469A0A-C572-4F4B-80C3-7DBCE17BB4E2}"/>
    <cellStyle name="Вывод 3 16 3 3 3" xfId="43577" xr:uid="{3F4FD472-6FC3-4264-B7DD-8C2E367331C7}"/>
    <cellStyle name="Вывод 3 16 3 4" xfId="22630" xr:uid="{51212049-D4B4-4771-8FF0-E9B7D76EDD50}"/>
    <cellStyle name="Вывод 3 16 3 5" xfId="35683" xr:uid="{CE9D1D3A-89DC-4C3D-BA38-83AA5D66685E}"/>
    <cellStyle name="Вывод 3 16 4" xfId="5855" xr:uid="{8CAEA140-7556-413A-8010-A1DF7E71D05D}"/>
    <cellStyle name="Вывод 3 16 4 2" xfId="9013" xr:uid="{2BFA6E06-4A04-4FDD-BAD8-223A97935DDC}"/>
    <cellStyle name="Вывод 3 16 4 2 2" xfId="11174" xr:uid="{8492D45A-10F2-485B-8DDB-E86691885661}"/>
    <cellStyle name="Вывод 3 16 4 2 2 2" xfId="27968" xr:uid="{AB40195D-7053-48F7-8523-A24F58ED2F61}"/>
    <cellStyle name="Вывод 3 16 4 2 2 3" xfId="41150" xr:uid="{6EB50995-A0A3-489C-B97E-1DA026BB2281}"/>
    <cellStyle name="Вывод 3 16 4 2 3" xfId="26498" xr:uid="{14AC7E88-EEE9-4D3A-9634-3652DB299703}"/>
    <cellStyle name="Вывод 3 16 4 2 4" xfId="39574" xr:uid="{E840CD6C-6636-4238-9BF3-BA33564C0E29}"/>
    <cellStyle name="Вывод 3 16 4 3" xfId="13926" xr:uid="{ED09F3A4-1FD2-44B0-AA78-AE862072DCA1}"/>
    <cellStyle name="Вывод 3 16 4 3 2" xfId="30316" xr:uid="{3A73B87A-1505-4116-A4F3-32565C0A237C}"/>
    <cellStyle name="Вывод 3 16 4 3 3" xfId="43691" xr:uid="{F86A2C03-F47C-4AA8-959E-D1450B12274B}"/>
    <cellStyle name="Вывод 3 16 4 4" xfId="23502" xr:uid="{801ED66B-CC45-44E1-9E33-69B128C7EF6E}"/>
    <cellStyle name="Вывод 3 16 4 5" xfId="36583" xr:uid="{A3BEBE99-E604-4870-B91E-A3A91E8B7C5B}"/>
    <cellStyle name="Вывод 3 16 5" xfId="17574" xr:uid="{E1B2E973-0840-42EB-B1C9-9F770BD878B5}"/>
    <cellStyle name="Вывод 3 16 5 2" xfId="33311" xr:uid="{C103B359-8154-4FE9-9453-6AAD64BFCE5E}"/>
    <cellStyle name="Вывод 3 16 5 3" xfId="47099" xr:uid="{94738CFC-0581-414E-B796-0DC5126E87E8}"/>
    <cellStyle name="Вывод 3 16 6" xfId="21767" xr:uid="{8481AE0C-77B1-4039-AE67-05D99D2AFD70}"/>
    <cellStyle name="Вывод 3 16 7" xfId="34818" xr:uid="{79A1F91D-DA80-48B4-9E9E-A3F3517E42C6}"/>
    <cellStyle name="Вывод 3 17" xfId="3972" xr:uid="{A3F5C1AE-5CF6-4B29-B337-26B9E5537C90}"/>
    <cellStyle name="Вывод 3 17 2" xfId="3217" xr:uid="{DE691BF9-0FEF-45DC-A246-475682AFC298}"/>
    <cellStyle name="Вывод 3 17 2 2" xfId="8508" xr:uid="{12F80AD5-3EA1-4FDD-8444-F8E9984A8DAD}"/>
    <cellStyle name="Вывод 3 17 2 2 2" xfId="10934" xr:uid="{43442E72-0DB4-4AAC-BE53-12CB3C77D0A0}"/>
    <cellStyle name="Вывод 3 17 2 2 2 2" xfId="27751" xr:uid="{E0085405-96AA-4C21-A6EC-E939620DEA86}"/>
    <cellStyle name="Вывод 3 17 2 2 2 3" xfId="40914" xr:uid="{9145584F-AB6A-4C9D-95CD-6D26F30FD2D6}"/>
    <cellStyle name="Вывод 3 17 2 2 3" xfId="26007" xr:uid="{02FB68EC-3EC0-4F74-B184-AD583C86A455}"/>
    <cellStyle name="Вывод 3 17 2 2 4" xfId="39083" xr:uid="{AE502D95-F1EE-41A3-B531-F017DDCEADCE}"/>
    <cellStyle name="Вывод 3 17 2 3" xfId="6876" xr:uid="{3859A6DC-AF2D-42A9-8494-AAF26757FFEA}"/>
    <cellStyle name="Вывод 3 17 2 3 2" xfId="15096" xr:uid="{6E765B41-3CFC-4883-B25C-D20F8893226B}"/>
    <cellStyle name="Вывод 3 17 2 3 2 2" xfId="31302" xr:uid="{51E5910D-6211-42CB-8521-A1A2A222CC85}"/>
    <cellStyle name="Вывод 3 17 2 3 2 3" xfId="44763" xr:uid="{00A5E6D2-FD17-4C0B-9DF4-A0D7E1E60175}"/>
    <cellStyle name="Вывод 3 17 2 3 3" xfId="24499" xr:uid="{5B05025E-FF7B-45EE-B495-740AA5504D0C}"/>
    <cellStyle name="Вывод 3 17 2 3 4" xfId="37580" xr:uid="{BB6E2401-3D8B-4EFE-87A5-9636D8AAB3FB}"/>
    <cellStyle name="Вывод 3 17 2 4" xfId="11550" xr:uid="{90F21AB5-8085-4B65-86B8-8356AFAA5175}"/>
    <cellStyle name="Вывод 3 17 2 4 2" xfId="28307" xr:uid="{6FBB5AA9-A9D4-4C06-9358-75E1E31DEBC7}"/>
    <cellStyle name="Вывод 3 17 2 4 3" xfId="41505" xr:uid="{2416FF87-80E9-4AA2-90F6-D475BACCA40F}"/>
    <cellStyle name="Вывод 3 17 2 5" xfId="21251" xr:uid="{C2F4F4C9-4F2E-4B36-8A02-5F70666E6D86}"/>
    <cellStyle name="Вывод 3 17 2 6" xfId="34274" xr:uid="{2B4D157B-865F-4DEF-8294-23AA1C66C48F}"/>
    <cellStyle name="Вывод 3 17 3" xfId="4884" xr:uid="{A87CACF5-5277-4AAA-B60B-2686D0420E13}"/>
    <cellStyle name="Вывод 3 17 3 2" xfId="7552" xr:uid="{4FF8105D-C373-4FDF-ABF8-ED7CC3315193}"/>
    <cellStyle name="Вывод 3 17 3 2 2" xfId="11426" xr:uid="{CA3C70DF-968F-4A8E-AE5C-90B51FA1C159}"/>
    <cellStyle name="Вывод 3 17 3 2 2 2" xfId="28194" xr:uid="{BA2184F3-B0D2-4D8C-93EB-09DDA1CA2C5E}"/>
    <cellStyle name="Вывод 3 17 3 2 2 3" xfId="41385" xr:uid="{90D8C405-B1AD-4FAB-B17A-46679057AB15}"/>
    <cellStyle name="Вывод 3 17 3 2 3" xfId="25080" xr:uid="{971E93F3-22B1-474F-BA70-55F10313183D}"/>
    <cellStyle name="Вывод 3 17 3 2 4" xfId="38156" xr:uid="{6CD94A7D-ADCF-4D48-A8A9-81C4F490057E}"/>
    <cellStyle name="Вывод 3 17 3 3" xfId="15405" xr:uid="{DE88FCCA-D581-42C0-92EF-8AE799BA8677}"/>
    <cellStyle name="Вывод 3 17 3 3 2" xfId="31559" xr:uid="{E4FF1B2E-8407-4430-BFFE-A55768759CA6}"/>
    <cellStyle name="Вывод 3 17 3 3 3" xfId="45047" xr:uid="{AC844281-EC64-401E-BECA-F6E5B01CEC60}"/>
    <cellStyle name="Вывод 3 17 3 4" xfId="22681" xr:uid="{F4EA472F-3E60-4019-9729-3E34A7689492}"/>
    <cellStyle name="Вывод 3 17 3 5" xfId="35734" xr:uid="{E6F12D95-83D8-484B-978A-48D603F16C1D}"/>
    <cellStyle name="Вывод 3 17 4" xfId="5906" xr:uid="{0BC10DC7-D4F5-4183-8462-4F3A8968F07A}"/>
    <cellStyle name="Вывод 3 17 4 2" xfId="9066" xr:uid="{A1AC2565-C649-416A-9F65-9EC7F46961EB}"/>
    <cellStyle name="Вывод 3 17 4 2 2" xfId="11138" xr:uid="{7130E2D3-A848-4A1A-807A-69127301B99A}"/>
    <cellStyle name="Вывод 3 17 4 2 2 2" xfId="27936" xr:uid="{DAC58489-431C-4801-BD84-D8EC287BCB3E}"/>
    <cellStyle name="Вывод 3 17 4 2 2 3" xfId="41116" xr:uid="{12248375-1A79-41CC-BD5D-B1A58522445B}"/>
    <cellStyle name="Вывод 3 17 4 2 3" xfId="26547" xr:uid="{3D41F593-38A4-4834-95AA-6894FB0FD73F}"/>
    <cellStyle name="Вывод 3 17 4 2 4" xfId="39623" xr:uid="{F5200068-8EAB-411C-876A-3754C9FFA059}"/>
    <cellStyle name="Вывод 3 17 4 3" xfId="12245" xr:uid="{198422C8-5DAF-47DF-B885-2B778E27D5C1}"/>
    <cellStyle name="Вывод 3 17 4 3 2" xfId="28926" xr:uid="{854E7CD1-02FC-4412-B934-08C14A88A00A}"/>
    <cellStyle name="Вывод 3 17 4 3 3" xfId="42159" xr:uid="{61DD6206-A7AA-4C25-97F6-9F775C5352D9}"/>
    <cellStyle name="Вывод 3 17 4 4" xfId="23553" xr:uid="{9B59A615-5609-433E-ADAE-482C1EC3F49B}"/>
    <cellStyle name="Вывод 3 17 4 5" xfId="36634" xr:uid="{96598EBE-FB35-4D56-AB14-3AF053259AF7}"/>
    <cellStyle name="Вывод 3 17 5" xfId="16000" xr:uid="{AE3014F8-A6D0-4C66-87C2-78BCE9224F1C}"/>
    <cellStyle name="Вывод 3 17 5 2" xfId="32071" xr:uid="{F4C0CE08-F233-47F2-9EE9-0567F24270D2}"/>
    <cellStyle name="Вывод 3 17 5 3" xfId="45590" xr:uid="{C1339DDD-1B12-4EAC-8EE2-FA1F1386C5DA}"/>
    <cellStyle name="Вывод 3 17 6" xfId="21819" xr:uid="{7BE277EC-C071-4EAF-A176-F0679671E5F1}"/>
    <cellStyle name="Вывод 3 17 7" xfId="34869" xr:uid="{1BFA89B3-C8B1-4278-AE09-3BFB5CBF7BA2}"/>
    <cellStyle name="Вывод 3 18" xfId="3881" xr:uid="{209F2A31-D5A6-4D94-95DD-FB6957F460DE}"/>
    <cellStyle name="Вывод 3 18 2" xfId="3138" xr:uid="{51B1DF2A-347E-4F3E-A18E-83F13AD5C2AE}"/>
    <cellStyle name="Вывод 3 18 2 2" xfId="8430" xr:uid="{257BA6E9-CA74-45E1-8650-CB1DF471600D}"/>
    <cellStyle name="Вывод 3 18 2 2 2" xfId="15070" xr:uid="{37CB5C4C-7F3C-4431-9A72-A675DB0F3BE7}"/>
    <cellStyle name="Вывод 3 18 2 2 2 2" xfId="31280" xr:uid="{FD594F0B-05E6-4506-8D7F-933456DA7ED4}"/>
    <cellStyle name="Вывод 3 18 2 2 2 3" xfId="44737" xr:uid="{357B46AD-10DC-4542-89FC-5D9F6630D81A}"/>
    <cellStyle name="Вывод 3 18 2 2 3" xfId="25932" xr:uid="{6CADBBBF-94C2-457A-B8FF-F270C176FE03}"/>
    <cellStyle name="Вывод 3 18 2 2 4" xfId="39008" xr:uid="{75689332-9215-4972-B4B3-CB724B1A5A3D}"/>
    <cellStyle name="Вывод 3 18 2 3" xfId="6797" xr:uid="{38760450-A2D4-48E6-AF36-277D14BA5382}"/>
    <cellStyle name="Вывод 3 18 2 3 2" xfId="16951" xr:uid="{3D537259-A684-4219-8E73-7EF15D91387C}"/>
    <cellStyle name="Вывод 3 18 2 3 2 2" xfId="32790" xr:uid="{F824E390-2B37-45CF-9E8E-7B612F003331}"/>
    <cellStyle name="Вывод 3 18 2 3 2 3" xfId="46493" xr:uid="{1239443C-86A8-42C4-9501-A6C606CDD033}"/>
    <cellStyle name="Вывод 3 18 2 3 3" xfId="24423" xr:uid="{3174B9F0-8A0F-489E-A0B9-157159A935A3}"/>
    <cellStyle name="Вывод 3 18 2 3 4" xfId="37504" xr:uid="{ED8F55D7-8EC3-45A0-A7CC-9A211346D218}"/>
    <cellStyle name="Вывод 3 18 2 4" xfId="17560" xr:uid="{F5665B1E-1A35-4810-B161-8AD0A669557D}"/>
    <cellStyle name="Вывод 3 18 2 4 2" xfId="33297" xr:uid="{075B7AE4-40EF-4746-9CDC-021DBA7149C6}"/>
    <cellStyle name="Вывод 3 18 2 4 3" xfId="47085" xr:uid="{F2A5646E-C1E8-4D7E-9FFB-DAC556B2FF1F}"/>
    <cellStyle name="Вывод 3 18 2 5" xfId="21175" xr:uid="{E01571B9-AD17-4E97-892B-86AF1CB858C4}"/>
    <cellStyle name="Вывод 3 18 2 6" xfId="34198" xr:uid="{1D023A5D-3481-4E82-88D3-0EEBABA245BC}"/>
    <cellStyle name="Вывод 3 18 3" xfId="4818" xr:uid="{F775D6E0-7C4D-4C51-8420-D94948E03638}"/>
    <cellStyle name="Вывод 3 18 3 2" xfId="7462" xr:uid="{9D41843D-5D6D-48BE-9A07-8FECA68894F9}"/>
    <cellStyle name="Вывод 3 18 3 2 2" xfId="13876" xr:uid="{5225AFB8-16D6-460A-AA8B-2B8FA2C353C8}"/>
    <cellStyle name="Вывод 3 18 3 2 2 2" xfId="30273" xr:uid="{2F46F0D7-9B09-48AD-B31E-C321325D1095}"/>
    <cellStyle name="Вывод 3 18 3 2 2 3" xfId="43645" xr:uid="{6F0A1CF7-3058-4F9A-BE50-C42ADC92355C}"/>
    <cellStyle name="Вывод 3 18 3 2 3" xfId="25019" xr:uid="{4C4629A0-CA87-4EE2-AAC0-CF709B7166E3}"/>
    <cellStyle name="Вывод 3 18 3 2 4" xfId="38095" xr:uid="{9F9BD235-37E5-4659-9500-5EC22D6FB23F}"/>
    <cellStyle name="Вывод 3 18 3 3" xfId="15591" xr:uid="{A81BB667-678A-4B3D-963E-65384B655BD5}"/>
    <cellStyle name="Вывод 3 18 3 3 2" xfId="31717" xr:uid="{40266429-F3E4-494F-B66F-95BB5C483F0D}"/>
    <cellStyle name="Вывод 3 18 3 3 3" xfId="45219" xr:uid="{64150DD8-F86B-45EB-BC8C-8E98455BD34F}"/>
    <cellStyle name="Вывод 3 18 3 4" xfId="22620" xr:uid="{C0C43E84-4D78-413A-A031-F1193B143DBB}"/>
    <cellStyle name="Вывод 3 18 3 5" xfId="35673" xr:uid="{912891A9-7EB6-4A6F-B5A9-610F387D566F}"/>
    <cellStyle name="Вывод 3 18 4" xfId="5845" xr:uid="{C3FC12B3-0CBB-4B90-ACE9-E5618DFCD786}"/>
    <cellStyle name="Вывод 3 18 4 2" xfId="9003" xr:uid="{F764916C-EE21-4504-A15A-879FCC2E1CB1}"/>
    <cellStyle name="Вывод 3 18 4 2 2" xfId="16588" xr:uid="{45919C47-B181-4411-AA5D-B0AC09E5A56B}"/>
    <cellStyle name="Вывод 3 18 4 2 2 2" xfId="32510" xr:uid="{720DF65A-FCF5-4F58-96F0-E6C0A1DF4F54}"/>
    <cellStyle name="Вывод 3 18 4 2 2 3" xfId="46135" xr:uid="{A594F72D-CB0E-410A-87A7-1DA78E007553}"/>
    <cellStyle name="Вывод 3 18 4 2 3" xfId="26488" xr:uid="{B735FE6E-7927-4377-AF50-694737B47691}"/>
    <cellStyle name="Вывод 3 18 4 2 4" xfId="39564" xr:uid="{7BEA5484-4401-41E5-9A5D-91CBA36BFDB8}"/>
    <cellStyle name="Вывод 3 18 4 3" xfId="15338" xr:uid="{59850496-766D-4730-B0E2-EB06D51F2197}"/>
    <cellStyle name="Вывод 3 18 4 3 2" xfId="31495" xr:uid="{3C1E4587-1B04-49B7-8924-9224A16D76C9}"/>
    <cellStyle name="Вывод 3 18 4 3 3" xfId="44981" xr:uid="{33245945-BADE-467C-BB09-B84B5D8CADB4}"/>
    <cellStyle name="Вывод 3 18 4 4" xfId="23492" xr:uid="{DF152A0E-5908-437A-8FB4-4588D63DA3C8}"/>
    <cellStyle name="Вывод 3 18 4 5" xfId="36573" xr:uid="{F736F50E-12A7-4E0F-9BC9-A489D9908BC2}"/>
    <cellStyle name="Вывод 3 18 5" xfId="12936" xr:uid="{377517EE-16A4-4C53-B6DF-B638C4C5377F}"/>
    <cellStyle name="Вывод 3 18 5 2" xfId="29479" xr:uid="{C032F7CE-22C7-4E85-A5FC-2D4102B239A0}"/>
    <cellStyle name="Вывод 3 18 5 3" xfId="42775" xr:uid="{AF6049D1-449B-4140-8F7B-2B2070B3DDE5}"/>
    <cellStyle name="Вывод 3 18 6" xfId="21757" xr:uid="{AFE607CB-A8AA-4264-9DF3-9BBC8A1D8AA7}"/>
    <cellStyle name="Вывод 3 18 7" xfId="34808" xr:uid="{38060EB6-096D-4085-B5B3-FACDA512CD88}"/>
    <cellStyle name="Вывод 3 19" xfId="3984" xr:uid="{C524BAAF-6551-44CC-94E6-D32F878531AC}"/>
    <cellStyle name="Вывод 3 19 2" xfId="3224" xr:uid="{8D71E1E2-FF43-4A8C-AEE9-4859E71A019D}"/>
    <cellStyle name="Вывод 3 19 2 2" xfId="8515" xr:uid="{19F7FA99-40F6-49B7-A015-FA9E31161519}"/>
    <cellStyle name="Вывод 3 19 2 2 2" xfId="10739" xr:uid="{86C619CF-96B1-4064-A18F-2E681D154EDB}"/>
    <cellStyle name="Вывод 3 19 2 2 2 2" xfId="27579" xr:uid="{24786436-3A9D-47B2-B99F-5AB5B4B21E6D}"/>
    <cellStyle name="Вывод 3 19 2 2 2 3" xfId="40720" xr:uid="{FAD581AA-2491-4D63-9E2E-FBFD72360DE0}"/>
    <cellStyle name="Вывод 3 19 2 2 3" xfId="26014" xr:uid="{D3AD8881-24C2-40E0-A13B-2898FDC2A017}"/>
    <cellStyle name="Вывод 3 19 2 2 4" xfId="39090" xr:uid="{E28D0ECB-359D-4002-843F-8155F480445E}"/>
    <cellStyle name="Вывод 3 19 2 3" xfId="6883" xr:uid="{BA1271AD-E0C5-4575-B6DD-7851E7EE5C03}"/>
    <cellStyle name="Вывод 3 19 2 3 2" xfId="13631" xr:uid="{21763F0B-4D1D-407B-8F32-103F32AF15F0}"/>
    <cellStyle name="Вывод 3 19 2 3 2 2" xfId="30066" xr:uid="{FCD425AE-8CFA-46E5-9CF9-156DAD7B1DB9}"/>
    <cellStyle name="Вывод 3 19 2 3 2 3" xfId="43421" xr:uid="{C6AADAA9-8A68-4BEE-AD08-FE2B853B1826}"/>
    <cellStyle name="Вывод 3 19 2 3 3" xfId="24506" xr:uid="{BF6B0346-22F5-473F-ACB5-10CD391D32D1}"/>
    <cellStyle name="Вывод 3 19 2 3 4" xfId="37587" xr:uid="{8F55AC79-B2F6-4BB5-9453-C2D87D4EE8A4}"/>
    <cellStyle name="Вывод 3 19 2 4" xfId="17546" xr:uid="{3CC78D95-CB95-49CD-BAC0-A5C400FFC26A}"/>
    <cellStyle name="Вывод 3 19 2 4 2" xfId="33284" xr:uid="{5C01881A-0B32-4130-93CB-A42DAEC63F38}"/>
    <cellStyle name="Вывод 3 19 2 4 3" xfId="47071" xr:uid="{C637EC72-A2D1-4560-95A4-C9A6C5E9342D}"/>
    <cellStyle name="Вывод 3 19 2 5" xfId="21258" xr:uid="{1F0BE580-771B-4B85-A739-49615BBC2932}"/>
    <cellStyle name="Вывод 3 19 2 6" xfId="34281" xr:uid="{436DA029-383B-4C43-815F-3C35178CD642}"/>
    <cellStyle name="Вывод 3 19 3" xfId="4896" xr:uid="{989CFD24-8DEA-4084-94B3-4C75CA22DB66}"/>
    <cellStyle name="Вывод 3 19 3 2" xfId="7564" xr:uid="{DDC9B510-3BEF-439E-B81B-0E0021FBD77B}"/>
    <cellStyle name="Вывод 3 19 3 2 2" xfId="16736" xr:uid="{6DC92DA4-663F-4ADB-9A99-2C8C1E5EF870}"/>
    <cellStyle name="Вывод 3 19 3 2 2 2" xfId="32619" xr:uid="{5DEDEA70-E4D8-4B29-ABCC-943E426FD186}"/>
    <cellStyle name="Вывод 3 19 3 2 2 3" xfId="46279" xr:uid="{7514E389-391F-48B2-846F-A9FBDC70C4D1}"/>
    <cellStyle name="Вывод 3 19 3 2 3" xfId="25092" xr:uid="{446BD6B9-BC8C-4D34-AD26-88CF4B846D72}"/>
    <cellStyle name="Вывод 3 19 3 2 4" xfId="38168" xr:uid="{B5CD3C4D-7E91-4540-8BBE-955306DB624C}"/>
    <cellStyle name="Вывод 3 19 3 3" xfId="12712" xr:uid="{23C05601-7C63-4792-98AB-8CB393216E95}"/>
    <cellStyle name="Вывод 3 19 3 3 2" xfId="29295" xr:uid="{BC963480-5592-4ABF-AFD9-3566E3E3AE2E}"/>
    <cellStyle name="Вывод 3 19 3 3 3" xfId="42572" xr:uid="{72DAB794-E606-4BE6-AC0A-E4BD55E50CEC}"/>
    <cellStyle name="Вывод 3 19 3 4" xfId="22693" xr:uid="{BB14AEEA-3E99-4ABC-8072-D90605CAF509}"/>
    <cellStyle name="Вывод 3 19 3 5" xfId="35746" xr:uid="{4DF20FEC-FE10-4A0F-8E58-4CD31C7A209B}"/>
    <cellStyle name="Вывод 3 19 4" xfId="5918" xr:uid="{29CCE302-0559-4F6D-B86F-C4BED34BFB3D}"/>
    <cellStyle name="Вывод 3 19 4 2" xfId="9078" xr:uid="{195186AA-3C7C-4E42-A1D7-E9CDEA9609D4}"/>
    <cellStyle name="Вывод 3 19 4 2 2" xfId="12177" xr:uid="{DB777814-10F6-48BA-8434-EEC47EEDEB80}"/>
    <cellStyle name="Вывод 3 19 4 2 2 2" xfId="28872" xr:uid="{FC32128D-FD17-4DC2-9FF3-C605DFC6F064}"/>
    <cellStyle name="Вывод 3 19 4 2 2 3" xfId="42097" xr:uid="{4F6C48B2-9B78-4BE7-8D36-4BACBAC0737C}"/>
    <cellStyle name="Вывод 3 19 4 2 3" xfId="26559" xr:uid="{5065197B-000D-467F-B161-2EC0A6803DB0}"/>
    <cellStyle name="Вывод 3 19 4 2 4" xfId="39635" xr:uid="{754B412E-28B7-4049-A645-EAA5FA5CEBCA}"/>
    <cellStyle name="Вывод 3 19 4 3" xfId="10601" xr:uid="{4D368722-7A8C-49E6-9AFF-1842085D65D9}"/>
    <cellStyle name="Вывод 3 19 4 3 2" xfId="27460" xr:uid="{B378B42B-3259-4434-A132-82F19FE024AF}"/>
    <cellStyle name="Вывод 3 19 4 3 3" xfId="40582" xr:uid="{4149ABBF-8A33-4866-AFCB-9052260B0A78}"/>
    <cellStyle name="Вывод 3 19 4 4" xfId="23565" xr:uid="{FF60FBD2-BA52-4DF9-8DC8-AA6B798F5616}"/>
    <cellStyle name="Вывод 3 19 4 5" xfId="36646" xr:uid="{3611490B-D77D-42E5-ABFB-FF23977B314A}"/>
    <cellStyle name="Вывод 3 19 5" xfId="13673" xr:uid="{F274F133-C5E0-462E-B3A6-A79D5CB5C993}"/>
    <cellStyle name="Вывод 3 19 5 2" xfId="30098" xr:uid="{821C73E2-ED0B-432B-B52B-500C537B8842}"/>
    <cellStyle name="Вывод 3 19 5 3" xfId="43457" xr:uid="{797C2AD4-7DC0-4E84-9CAD-F2634313C3D5}"/>
    <cellStyle name="Вывод 3 19 6" xfId="21831" xr:uid="{1529AAF0-7C6B-47E1-97FA-DAAA970D3C84}"/>
    <cellStyle name="Вывод 3 19 7" xfId="34881" xr:uid="{6300E92E-CD21-472B-BAAF-6C5AE5D965E6}"/>
    <cellStyle name="Вывод 3 2" xfId="3444" xr:uid="{73C9A6D1-6ABC-4F91-BA46-247510BA66B0}"/>
    <cellStyle name="Вывод 3 2 10" xfId="17743" xr:uid="{CE08169F-297B-4E90-B4B9-0AA5D28B78CD}"/>
    <cellStyle name="Вывод 3 2 10 2" xfId="33465" xr:uid="{74412A79-BCCD-48BD-9A09-430BC415233B}"/>
    <cellStyle name="Вывод 3 2 10 3" xfId="47248" xr:uid="{41BD393A-3446-4AD3-B1C0-89182129F93A}"/>
    <cellStyle name="Вывод 3 2 11" xfId="20496" xr:uid="{92868086-0507-4FDF-9552-731A1C3D3BB0}"/>
    <cellStyle name="Вывод 3 2 12" xfId="34460" xr:uid="{9D95B6DB-FB3F-421F-A703-21BBCD4D6C37}"/>
    <cellStyle name="Вывод 3 2 2" xfId="2786" xr:uid="{9A5168BE-850E-4139-B587-B5505265877D}"/>
    <cellStyle name="Вывод 3 2 2 2" xfId="5109" xr:uid="{03CA73BF-BB60-4D31-B44C-E08919C41998}"/>
    <cellStyle name="Вывод 3 2 2 2 2" xfId="8082" xr:uid="{259584CA-B854-46F1-AAB8-6022DFA82AC0}"/>
    <cellStyle name="Вывод 3 2 2 2 2 2" xfId="16767" xr:uid="{8BA19AB5-F29A-4A0D-8803-88C73F5598A9}"/>
    <cellStyle name="Вывод 3 2 2 2 2 2 2" xfId="32649" xr:uid="{436C2347-2AEA-4E3B-BFA3-8CA10BB6C137}"/>
    <cellStyle name="Вывод 3 2 2 2 2 2 3" xfId="46310" xr:uid="{D61FAC77-B930-409B-9E16-3EC4FB3CDAF5}"/>
    <cellStyle name="Вывод 3 2 2 2 2 3" xfId="25593" xr:uid="{472D5B91-F38D-4333-AC7D-D383EC45EADA}"/>
    <cellStyle name="Вывод 3 2 2 2 2 4" xfId="38669" xr:uid="{E19413CC-EFE5-402B-A31E-81044E2F26F1}"/>
    <cellStyle name="Вывод 3 2 2 2 3" xfId="14639" xr:uid="{C92DD892-E285-41B9-B47E-4E082AF17763}"/>
    <cellStyle name="Вывод 3 2 2 2 3 2" xfId="30935" xr:uid="{90400044-C7B8-4F0D-90F3-D30A852A38AE}"/>
    <cellStyle name="Вывод 3 2 2 2 3 3" xfId="44356" xr:uid="{86058517-11DF-40EE-93E9-D0427CBC90DD}"/>
    <cellStyle name="Вывод 3 2 2 2 4" xfId="22833" xr:uid="{B5D78692-31E0-4D20-AC7A-422BA30E9825}"/>
    <cellStyle name="Вывод 3 2 2 2 5" xfId="35902" xr:uid="{21EF129E-AC75-4BC1-8C39-564A61BBBB3A}"/>
    <cellStyle name="Вывод 3 2 2 3" xfId="6449" xr:uid="{38D3B4A2-6425-40C8-8C08-BD6ADB794FDF}"/>
    <cellStyle name="Вывод 3 2 2 3 2" xfId="16600" xr:uid="{02C020A2-5C6F-4C16-BEB9-56F626271E93}"/>
    <cellStyle name="Вывод 3 2 2 3 2 2" xfId="32516" xr:uid="{3A8D7450-83CC-4358-BA8A-17F228BA78C9}"/>
    <cellStyle name="Вывод 3 2 2 3 2 3" xfId="46147" xr:uid="{DA9A06FC-A860-4116-A138-60F98714BA89}"/>
    <cellStyle name="Вывод 3 2 2 3 3" xfId="24084" xr:uid="{93121A7C-B6D8-4F2E-AC2B-F776ADCA8E60}"/>
    <cellStyle name="Вывод 3 2 2 3 4" xfId="37165" xr:uid="{7FC71BC6-CEE8-418D-AA4C-E92F6315F4DD}"/>
    <cellStyle name="Вывод 3 2 2 4" xfId="17106" xr:uid="{C840BF1E-910C-47DA-9EE4-393D7580CD46}"/>
    <cellStyle name="Вывод 3 2 2 4 2" xfId="32873" xr:uid="{495DE3D9-11E7-4F13-A27C-A93CBF0AA481}"/>
    <cellStyle name="Вывод 3 2 2 4 3" xfId="46644" xr:uid="{2E594F99-897C-4917-BC31-C68C6B1BC3E3}"/>
    <cellStyle name="Вывод 3 2 2 5" xfId="20836" xr:uid="{0B06F119-9077-482D-8019-9BDD7C4B8D35}"/>
    <cellStyle name="Вывод 3 2 2 6" xfId="33859" xr:uid="{20D7AD94-B3B8-4A62-8312-790DB78C56FD}"/>
    <cellStyle name="Вывод 3 2 3" xfId="4163" xr:uid="{EB1BAC1F-3910-4EE7-BC41-76D2BE498D56}"/>
    <cellStyle name="Вывод 3 2 3 2" xfId="5204" xr:uid="{9B93BC48-BBE7-4092-8597-18794B8D9335}"/>
    <cellStyle name="Вывод 3 2 3 2 2" xfId="9215" xr:uid="{2D6F5C27-ADF8-419D-B3AC-DE59D101B182}"/>
    <cellStyle name="Вывод 3 2 3 2 2 2" xfId="12603" xr:uid="{A9ACDE3A-11B3-451C-9AF4-F083E34E1E46}"/>
    <cellStyle name="Вывод 3 2 3 2 2 2 2" xfId="29217" xr:uid="{F59B4A64-D7B6-481E-9155-75D813ADB31E}"/>
    <cellStyle name="Вывод 3 2 3 2 2 2 3" xfId="42481" xr:uid="{03B28F16-9DA0-4DB7-87A8-D3B913261289}"/>
    <cellStyle name="Вывод 3 2 3 2 2 3" xfId="26690" xr:uid="{332477C0-5789-4517-A7BC-C1BA904BA5D9}"/>
    <cellStyle name="Вывод 3 2 3 2 2 4" xfId="39766" xr:uid="{F29D6D37-F00B-409C-84EA-53DE4F49CBCE}"/>
    <cellStyle name="Вывод 3 2 3 2 3" xfId="15467" xr:uid="{FBC555CC-A8EB-4E01-9BF1-45BA0B7CF1E8}"/>
    <cellStyle name="Вывод 3 2 3 2 3 2" xfId="31609" xr:uid="{E07DF007-736E-447F-BA26-272F1A2D2938}"/>
    <cellStyle name="Вывод 3 2 3 2 3 3" xfId="45106" xr:uid="{66122BF2-2B32-46F1-9AF9-5D137FA0ACC8}"/>
    <cellStyle name="Вывод 3 2 3 2 4" xfId="22879" xr:uid="{C2070B64-1BAA-4ED0-BEEA-0CCC2F4FD2DF}"/>
    <cellStyle name="Вывод 3 2 3 2 5" xfId="35948" xr:uid="{B626E4A7-5BFB-48E9-B5F0-58E7161066D1}"/>
    <cellStyle name="Вывод 3 2 3 3" xfId="7727" xr:uid="{1877F808-DA26-4C3C-9CC0-7763275C2A45}"/>
    <cellStyle name="Вывод 3 2 3 3 2" xfId="16066" xr:uid="{3FEADEC5-269B-4F82-971A-127005E346FE}"/>
    <cellStyle name="Вывод 3 2 3 3 2 2" xfId="32126" xr:uid="{B3CDADFC-29A5-4C7E-87EF-BA863347FDF9}"/>
    <cellStyle name="Вывод 3 2 3 3 2 3" xfId="45646" xr:uid="{32FAFA47-A562-4D2D-888D-7786CA11399F}"/>
    <cellStyle name="Вывод 3 2 3 3 3" xfId="25249" xr:uid="{3857030C-9E83-4E94-A949-C227924A0BB8}"/>
    <cellStyle name="Вывод 3 2 3 3 4" xfId="38325" xr:uid="{36FCC60A-B9F0-47AC-9675-0E80A08F6671}"/>
    <cellStyle name="Вывод 3 2 3 4" xfId="17348" xr:uid="{7406A391-443F-45F8-9FBD-91F479059094}"/>
    <cellStyle name="Вывод 3 2 3 4 2" xfId="33102" xr:uid="{E4A1019A-5A5B-496E-8E2A-4AD79227FDA2}"/>
    <cellStyle name="Вывод 3 2 3 4 3" xfId="46878" xr:uid="{99F2BA6F-5B90-4F51-B5B6-1A631378319B}"/>
    <cellStyle name="Вывод 3 2 3 5" xfId="21990" xr:uid="{CCCA9A57-3D8D-421C-96F7-74235BCB26A4}"/>
    <cellStyle name="Вывод 3 2 3 6" xfId="35039" xr:uid="{D8C26787-57C7-436C-86D1-F6023748CD04}"/>
    <cellStyle name="Вывод 3 2 4" xfId="2625" xr:uid="{184DB614-1417-4EA8-A22C-8DF56FC558E2}"/>
    <cellStyle name="Вывод 3 2 4 2" xfId="5042" xr:uid="{298328BE-51CE-4F71-8109-0668B7ED14CD}"/>
    <cellStyle name="Вывод 3 2 4 2 2" xfId="7922" xr:uid="{84BC2C77-9C27-4220-9A95-9D7906374C7F}"/>
    <cellStyle name="Вывод 3 2 4 2 2 2" xfId="10655" xr:uid="{1CF83611-685D-4738-B46B-65DF39855B7E}"/>
    <cellStyle name="Вывод 3 2 4 2 2 2 2" xfId="27506" xr:uid="{7A668F7A-A047-4E8C-8816-DA96CC227E2B}"/>
    <cellStyle name="Вывод 3 2 4 2 2 2 3" xfId="40636" xr:uid="{9775DABF-19F7-427B-965D-E0D25750AA94}"/>
    <cellStyle name="Вывод 3 2 4 2 2 3" xfId="25438" xr:uid="{870FBCC1-823A-463B-B3CB-B9DF43BF7BCF}"/>
    <cellStyle name="Вывод 3 2 4 2 2 4" xfId="38514" xr:uid="{A74E4933-5DCF-42AD-B4CF-03FCE24A5790}"/>
    <cellStyle name="Вывод 3 2 4 2 3" xfId="14103" xr:uid="{EFD548A9-54FE-4E1D-BE5E-C7F9520F0561}"/>
    <cellStyle name="Вывод 3 2 4 2 3 2" xfId="30470" xr:uid="{F0BEC2F7-5F70-4325-BF5C-8218C404A42A}"/>
    <cellStyle name="Вывод 3 2 4 2 3 3" xfId="43853" xr:uid="{7EB9D420-DDF8-47FF-8745-EA25072C25D9}"/>
    <cellStyle name="Вывод 3 2 4 2 4" xfId="22793" xr:uid="{890EF93C-03F1-43F5-9248-EED034706799}"/>
    <cellStyle name="Вывод 3 2 4 2 5" xfId="35857" xr:uid="{6EC50483-5696-47C9-A2C9-B8CD50441CEF}"/>
    <cellStyle name="Вывод 3 2 4 3" xfId="6289" xr:uid="{F31ACD3E-3E8F-48FE-ACF4-FBE35C0AF12D}"/>
    <cellStyle name="Вывод 3 2 4 3 2" xfId="14703" xr:uid="{0C7134C1-604D-434D-80A4-39A64F877121}"/>
    <cellStyle name="Вывод 3 2 4 3 2 2" xfId="30992" xr:uid="{AE4C20C2-B161-4A59-AD05-E2F7D5843AD2}"/>
    <cellStyle name="Вывод 3 2 4 3 2 3" xfId="44414" xr:uid="{11CDF029-E149-439E-BE54-B608AC18F021}"/>
    <cellStyle name="Вывод 3 2 4 3 3" xfId="23929" xr:uid="{BD9BB3E2-F2BA-48CB-9E43-E89FF15396F0}"/>
    <cellStyle name="Вывод 3 2 4 3 4" xfId="37010" xr:uid="{10417EBF-4E56-4481-9A78-C25CD067799D}"/>
    <cellStyle name="Вывод 3 2 4 4" xfId="15041" xr:uid="{178B315A-6446-4B61-B873-1938EC42F992}"/>
    <cellStyle name="Вывод 3 2 4 4 2" xfId="31257" xr:uid="{90E5D5F0-CB5B-44A9-B6B6-E5B861F30D14}"/>
    <cellStyle name="Вывод 3 2 4 4 3" xfId="44713" xr:uid="{4CE2DADE-F3A4-4B10-9777-928115BCC0A2}"/>
    <cellStyle name="Вывод 3 2 4 5" xfId="20681" xr:uid="{F978B2EC-8FF9-408F-BF9F-E1B51EC56BFD}"/>
    <cellStyle name="Вывод 3 2 4 6" xfId="33704" xr:uid="{3D06BCAF-5E19-4901-B734-AC45C08ABF69}"/>
    <cellStyle name="Вывод 3 2 5" xfId="4237" xr:uid="{A8348202-88FB-4EE8-AB54-B892CA7D2476}"/>
    <cellStyle name="Вывод 3 2 5 2" xfId="5027" xr:uid="{973916A8-0713-4535-8FB0-E1F7C9B2F8CC}"/>
    <cellStyle name="Вывод 3 2 5 2 2" xfId="9289" xr:uid="{D9F7F979-F6E0-4D18-8B50-F331521236AD}"/>
    <cellStyle name="Вывод 3 2 5 2 2 2" xfId="13799" xr:uid="{5739BA67-6234-4F73-8451-16B7E0297069}"/>
    <cellStyle name="Вывод 3 2 5 2 2 2 2" xfId="30204" xr:uid="{2C6782BD-218E-4F89-AAAB-A09ABBB1B47C}"/>
    <cellStyle name="Вывод 3 2 5 2 2 2 3" xfId="43571" xr:uid="{7819099C-45D7-4C64-BDCF-D16BC3C08572}"/>
    <cellStyle name="Вывод 3 2 5 2 2 3" xfId="26762" xr:uid="{F1A033BD-E1E6-40BC-8996-DC0EB6371DF3}"/>
    <cellStyle name="Вывод 3 2 5 2 2 4" xfId="39838" xr:uid="{6E48D032-9E0B-41C5-990D-6FE636C70937}"/>
    <cellStyle name="Вывод 3 2 5 2 3" xfId="14699" xr:uid="{349818C9-7FC3-4DDF-AC5D-04661C27459F}"/>
    <cellStyle name="Вывод 3 2 5 2 3 2" xfId="30989" xr:uid="{8CF64570-6E37-4782-897B-54A654B408AB}"/>
    <cellStyle name="Вывод 3 2 5 2 3 3" xfId="44411" xr:uid="{A2B20CFE-D20A-4306-87D0-C378858A2FA6}"/>
    <cellStyle name="Вывод 3 2 5 2 4" xfId="22785" xr:uid="{625E6760-ABBC-42FC-831B-380A791005E0}"/>
    <cellStyle name="Вывод 3 2 5 2 5" xfId="35847" xr:uid="{B3DB216E-2284-4198-AEC7-88D52A4C909C}"/>
    <cellStyle name="Вывод 3 2 5 3" xfId="7801" xr:uid="{F006CAA2-7055-48B7-BA5A-994DF46E807C}"/>
    <cellStyle name="Вывод 3 2 5 3 2" xfId="12007" xr:uid="{12BF5B54-541C-484B-8A8C-15069F195E0F}"/>
    <cellStyle name="Вывод 3 2 5 3 2 2" xfId="28711" xr:uid="{11AD85FF-B0B5-40D7-A265-B6D6DC482D51}"/>
    <cellStyle name="Вывод 3 2 5 3 2 3" xfId="41929" xr:uid="{B05AD796-A18E-414E-AE54-F5BE92599347}"/>
    <cellStyle name="Вывод 3 2 5 3 3" xfId="25321" xr:uid="{3646E65A-2A26-44F5-95F4-E26D4743C319}"/>
    <cellStyle name="Вывод 3 2 5 3 4" xfId="38397" xr:uid="{DE43D44D-0C8D-4EE8-A574-6FC9C18A0C0F}"/>
    <cellStyle name="Вывод 3 2 5 4" xfId="17255" xr:uid="{6538E9FD-ED76-4B7F-A1AD-1E5BB9E92F3C}"/>
    <cellStyle name="Вывод 3 2 5 4 2" xfId="33014" xr:uid="{CD83D98A-E559-4FEF-B8AA-2DBE955EA841}"/>
    <cellStyle name="Вывод 3 2 5 4 3" xfId="46789" xr:uid="{B73088F7-6B46-4030-BAC3-B157EF5C06E1}"/>
    <cellStyle name="Вывод 3 2 5 5" xfId="22062" xr:uid="{B0104130-AF88-4147-8EE6-8CF8DE74B82F}"/>
    <cellStyle name="Вывод 3 2 5 6" xfId="35111" xr:uid="{CE47A0BF-D0F2-491D-BAF0-4D24C7033D50}"/>
    <cellStyle name="Вывод 3 2 6" xfId="4446" xr:uid="{88325609-6B65-4DA7-B6F6-AAEA97A7F526}"/>
    <cellStyle name="Вывод 3 2 6 2" xfId="7086" xr:uid="{675592AA-71EF-4635-9F7F-7F16BD807E44}"/>
    <cellStyle name="Вывод 3 2 6 2 2" xfId="15224" xr:uid="{108EDB87-0CCB-4505-9C8A-919532532348}"/>
    <cellStyle name="Вывод 3 2 6 2 2 2" xfId="31400" xr:uid="{C3F37294-54E6-495C-89DB-F0DC1E11B285}"/>
    <cellStyle name="Вывод 3 2 6 2 2 3" xfId="44875" xr:uid="{4F5869B4-127F-4975-8B36-DA5DF1199BDF}"/>
    <cellStyle name="Вывод 3 2 6 2 3" xfId="24685" xr:uid="{E08AC63E-D6DE-4642-AD2C-CD6020295790}"/>
    <cellStyle name="Вывод 3 2 6 2 4" xfId="37766" xr:uid="{3F6AAB79-8657-4C27-BE19-EF95DFF05656}"/>
    <cellStyle name="Вывод 3 2 6 3" xfId="14734" xr:uid="{FE3EA0AE-A43F-479D-8229-1E0654A81129}"/>
    <cellStyle name="Вывод 3 2 6 3 2" xfId="31016" xr:uid="{10CF383D-603D-4D43-AB8D-34BB1BE10D15}"/>
    <cellStyle name="Вывод 3 2 6 3 3" xfId="44441" xr:uid="{C47E0197-9B4D-4AEF-AD23-F21893A21E89}"/>
    <cellStyle name="Вывод 3 2 6 4" xfId="22264" xr:uid="{441F481D-B064-4471-90EE-D330F2CFC8C6}"/>
    <cellStyle name="Вывод 3 2 6 5" xfId="35313" xr:uid="{20FC6E88-DF60-43B4-9CC3-925F01543AE7}"/>
    <cellStyle name="Вывод 3 2 7" xfId="5217" xr:uid="{9999E1DA-7795-4EE2-8915-0ABEAB9D7BE9}"/>
    <cellStyle name="Вывод 3 2 7 2" xfId="8681" xr:uid="{B9DEA389-A69C-4983-A384-F303482D7731}"/>
    <cellStyle name="Вывод 3 2 7 2 2" xfId="10758" xr:uid="{689DAD9C-C3CF-474D-B165-6D6026B3D773}"/>
    <cellStyle name="Вывод 3 2 7 2 2 2" xfId="27596" xr:uid="{8B849A82-74E0-4F06-8142-4EBA8E9C6346}"/>
    <cellStyle name="Вывод 3 2 7 2 2 3" xfId="40739" xr:uid="{ECFDD06A-CA5F-41A0-A194-C8EC437268AD}"/>
    <cellStyle name="Вывод 3 2 7 2 3" xfId="26174" xr:uid="{75D16649-46DD-4E38-BDA0-7DC6FA03B296}"/>
    <cellStyle name="Вывод 3 2 7 2 4" xfId="39250" xr:uid="{FA748CE3-050F-4CBD-A519-A0ED3FB732E7}"/>
    <cellStyle name="Вывод 3 2 7 3" xfId="13349" xr:uid="{15152660-4DA4-47C5-87AA-457DF2C6B5B2}"/>
    <cellStyle name="Вывод 3 2 7 3 2" xfId="29829" xr:uid="{1FFDDE74-BA8F-4CA3-85BB-14A9B952FBFF}"/>
    <cellStyle name="Вывод 3 2 7 3 3" xfId="43162" xr:uid="{162B2C94-4D71-4824-A6F8-6C05C1ED1B10}"/>
    <cellStyle name="Вывод 3 2 7 4" xfId="22889" xr:uid="{2DAD0C45-3046-4A50-830A-1830888A4D31}"/>
    <cellStyle name="Вывод 3 2 7 5" xfId="35960" xr:uid="{BDC2EBDC-EEEA-4619-9921-E816EDC095B7}"/>
    <cellStyle name="Вывод 3 2 8" xfId="5499" xr:uid="{8C549B05-4482-417C-94D2-A308A124CFB0}"/>
    <cellStyle name="Вывод 3 2 8 2" xfId="9820" xr:uid="{7A0BA6A2-0604-4AC3-BEFB-E9329E2B3BEF}"/>
    <cellStyle name="Вывод 3 2 8 2 2" xfId="16025" xr:uid="{0FC96E5A-C615-4429-93AE-8AE946CA2F2B}"/>
    <cellStyle name="Вывод 3 2 8 2 2 2" xfId="32091" xr:uid="{B22751A7-8AD5-4B07-AEFC-DB6EF941212D}"/>
    <cellStyle name="Вывод 3 2 8 2 2 3" xfId="45610" xr:uid="{7B1C24EC-0F05-43F1-968E-A37C5CBDA788}"/>
    <cellStyle name="Вывод 3 2 8 2 3" xfId="27116" xr:uid="{EE9EBD67-F1E8-4D9C-BD4B-DFC37B2B4238}"/>
    <cellStyle name="Вывод 3 2 8 2 4" xfId="40235" xr:uid="{C40B64C0-2729-4CAE-87EB-E14E268ED00C}"/>
    <cellStyle name="Вывод 3 2 8 3" xfId="11490" xr:uid="{C30C9855-151F-4A7A-B120-52F165620E2C}"/>
    <cellStyle name="Вывод 3 2 8 3 2" xfId="28252" xr:uid="{36446A95-48D6-4959-872B-F4935CFDCB0B}"/>
    <cellStyle name="Вывод 3 2 8 3 3" xfId="41448" xr:uid="{97FE8A68-7420-47E4-BDCF-0E661AB44DB1}"/>
    <cellStyle name="Вывод 3 2 8 4" xfId="23146" xr:uid="{47C37772-1E41-4F61-BFFE-14431F0E98F2}"/>
    <cellStyle name="Вывод 3 2 8 5" xfId="36227" xr:uid="{DEFD68BF-82D7-46DB-B155-7543B5902B2A}"/>
    <cellStyle name="Вывод 3 2 9" xfId="15870" xr:uid="{409B899B-AF4B-45F6-B5C6-0F9C785C6771}"/>
    <cellStyle name="Вывод 3 2 9 2" xfId="31959" xr:uid="{289CAD7D-D354-4FDD-9BA0-0185E64E8956}"/>
    <cellStyle name="Вывод 3 2 9 3" xfId="45473" xr:uid="{1658B760-14B4-47B0-9317-64219187DDFD}"/>
    <cellStyle name="Вывод 3 20" xfId="3995" xr:uid="{FE8AF505-A7C3-4CE6-A2BD-56D8530D535E}"/>
    <cellStyle name="Вывод 3 20 2" xfId="3295" xr:uid="{5F9F2994-8D5D-4DBA-96BF-5DE15A6106BF}"/>
    <cellStyle name="Вывод 3 20 2 2" xfId="8560" xr:uid="{586E3987-8A97-49D8-9361-802CDB636315}"/>
    <cellStyle name="Вывод 3 20 2 2 2" xfId="15890" xr:uid="{58CE7CA4-524D-43C3-93C0-7C2465A8175E}"/>
    <cellStyle name="Вывод 3 20 2 2 2 2" xfId="31975" xr:uid="{78A61AFB-48A4-4135-880D-DCEDF189F192}"/>
    <cellStyle name="Вывод 3 20 2 2 2 3" xfId="45490" xr:uid="{41785DD5-6DE5-43B5-85BC-9E8945F48EE4}"/>
    <cellStyle name="Вывод 3 20 2 2 3" xfId="26058" xr:uid="{77C7A71C-B412-4307-B2C9-DB0F2AF39D0D}"/>
    <cellStyle name="Вывод 3 20 2 2 4" xfId="39134" xr:uid="{B09DEC46-EB97-4529-B654-FCA760975107}"/>
    <cellStyle name="Вывод 3 20 2 3" xfId="6946" xr:uid="{C1546119-3942-465B-99C0-18CE00B3A16E}"/>
    <cellStyle name="Вывод 3 20 2 3 2" xfId="12941" xr:uid="{F1493A94-58CD-42BF-AFAA-C2AE9D4D3E72}"/>
    <cellStyle name="Вывод 3 20 2 3 2 2" xfId="29482" xr:uid="{673450EC-323A-4C6C-A8EE-BC4773051358}"/>
    <cellStyle name="Вывод 3 20 2 3 2 3" xfId="42779" xr:uid="{ADE552E2-3506-4576-BCB3-60D4542883E8}"/>
    <cellStyle name="Вывод 3 20 2 3 3" xfId="24568" xr:uid="{2A5AE29A-831F-4337-8349-F3B7420143D2}"/>
    <cellStyle name="Вывод 3 20 2 3 4" xfId="37649" xr:uid="{C1677792-2308-43C2-AFF1-55C35A765109}"/>
    <cellStyle name="Вывод 3 20 2 4" xfId="11864" xr:uid="{C9073A48-B578-44B4-8966-44177E3D3ACF}"/>
    <cellStyle name="Вывод 3 20 2 4 2" xfId="28580" xr:uid="{4202F13E-7C0B-4D1B-8582-24C46EEB1840}"/>
    <cellStyle name="Вывод 3 20 2 4 3" xfId="41796" xr:uid="{4FF19D33-AB4A-43D0-BD00-FEBCFCBC71C7}"/>
    <cellStyle name="Вывод 3 20 2 5" xfId="21320" xr:uid="{EBD92097-5637-4660-9E8E-513B7CEDAF4D}"/>
    <cellStyle name="Вывод 3 20 2 6" xfId="34343" xr:uid="{79B7F06E-44D6-43E7-90B4-B904AA0FF85D}"/>
    <cellStyle name="Вывод 3 20 3" xfId="4907" xr:uid="{DEBD591B-6610-4EA0-99AA-60B8BEEAB659}"/>
    <cellStyle name="Вывод 3 20 3 2" xfId="7575" xr:uid="{DBE9333F-1607-4C44-AA9A-BC5C8D23C97D}"/>
    <cellStyle name="Вывод 3 20 3 2 2" xfId="15354" xr:uid="{E94B3868-D97B-401F-B990-77FDFDC8AA68}"/>
    <cellStyle name="Вывод 3 20 3 2 2 2" xfId="31511" xr:uid="{109FB3C3-408F-4FE3-931F-E9F8585D5897}"/>
    <cellStyle name="Вывод 3 20 3 2 2 3" xfId="44997" xr:uid="{9FF9A130-C797-4CC7-8109-C63080CAB620}"/>
    <cellStyle name="Вывод 3 20 3 2 3" xfId="25103" xr:uid="{A7C676EC-256F-4B4C-8479-E03FB329E195}"/>
    <cellStyle name="Вывод 3 20 3 2 4" xfId="38179" xr:uid="{9ADC1D88-3D75-4C9E-A4F6-BB8A4FB85876}"/>
    <cellStyle name="Вывод 3 20 3 3" xfId="10605" xr:uid="{3E93B98D-508B-4071-9DCB-F3043F3FEE59}"/>
    <cellStyle name="Вывод 3 20 3 3 2" xfId="27464" xr:uid="{217A2047-8213-41DA-B67B-AED6C226AAA7}"/>
    <cellStyle name="Вывод 3 20 3 3 3" xfId="40586" xr:uid="{7640658D-9A59-42B8-9D52-D2AF46A6CCF4}"/>
    <cellStyle name="Вывод 3 20 3 4" xfId="22704" xr:uid="{A287FF12-F00F-4C3F-B5EC-D31A44F624B5}"/>
    <cellStyle name="Вывод 3 20 3 5" xfId="35757" xr:uid="{888A1BFC-016D-44E2-B2D4-1D750095B8E2}"/>
    <cellStyle name="Вывод 3 20 4" xfId="5929" xr:uid="{93974FBD-A08D-4983-835B-F51A37965BEA}"/>
    <cellStyle name="Вывод 3 20 4 2" xfId="9862" xr:uid="{44BD6481-DC23-462A-9CB0-6E248ECE0D18}"/>
    <cellStyle name="Вывод 3 20 4 2 2" xfId="10925" xr:uid="{A756BAC2-09CB-4CE4-AEE4-892C90FA5F79}"/>
    <cellStyle name="Вывод 3 20 4 2 2 2" xfId="27743" xr:uid="{F1865911-2217-4667-8DB8-2EFA17C10DDC}"/>
    <cellStyle name="Вывод 3 20 4 2 2 3" xfId="40905" xr:uid="{99DFA2B0-2EC7-4D3B-A6AD-985098847FBE}"/>
    <cellStyle name="Вывод 3 20 4 2 3" xfId="27158" xr:uid="{ABFA9944-3D6E-44AE-A829-24419509A7C8}"/>
    <cellStyle name="Вывод 3 20 4 2 4" xfId="40277" xr:uid="{80F6CEFE-99CC-4D82-AE12-24420684E4CC}"/>
    <cellStyle name="Вывод 3 20 4 3" xfId="17354" xr:uid="{3A9F6E24-18CF-43B0-8939-CD0FF76A5479}"/>
    <cellStyle name="Вывод 3 20 4 3 2" xfId="33108" xr:uid="{E4C0B149-A218-4C17-99B8-05BCFE6AC14A}"/>
    <cellStyle name="Вывод 3 20 4 3 3" xfId="46884" xr:uid="{F9BB1D82-612B-4FFC-932F-27E1F6081461}"/>
    <cellStyle name="Вывод 3 20 4 4" xfId="23576" xr:uid="{2640565C-AC6B-47F4-9285-CCFED22D4084}"/>
    <cellStyle name="Вывод 3 20 4 5" xfId="36657" xr:uid="{01F8FEC4-3E5B-4D74-A6CF-AD45736FEE45}"/>
    <cellStyle name="Вывод 3 20 5" xfId="6103" xr:uid="{B08AD194-CBD8-4942-87DD-12AC562B7673}"/>
    <cellStyle name="Вывод 3 20 5 2" xfId="13375" xr:uid="{D53E5A32-2E08-4E10-AE99-5BE29A4F2E7E}"/>
    <cellStyle name="Вывод 3 20 5 2 2" xfId="29848" xr:uid="{395E7589-8FB7-413B-BB3A-A6EE4DD5560A}"/>
    <cellStyle name="Вывод 3 20 5 2 3" xfId="43183" xr:uid="{23593638-94D5-4C91-AA8E-627D9F485F7C}"/>
    <cellStyle name="Вывод 3 20 5 3" xfId="23749" xr:uid="{0ECC417B-F151-4E7F-9189-2B35880AEA13}"/>
    <cellStyle name="Вывод 3 20 5 4" xfId="36830" xr:uid="{9EEE95B2-C329-4921-B493-F33BBFE8BCA8}"/>
    <cellStyle name="Вывод 3 20 6" xfId="11646" xr:uid="{05D16B95-E8AF-4897-8A8D-AC30AF7E3A54}"/>
    <cellStyle name="Вывод 3 20 6 2" xfId="28387" xr:uid="{EA5C0C45-6FE1-4953-9D8B-33775A20B75A}"/>
    <cellStyle name="Вывод 3 20 6 3" xfId="41591" xr:uid="{2DA70654-2F9B-4150-A09B-E7FB0535C9F9}"/>
    <cellStyle name="Вывод 3 20 7" xfId="21842" xr:uid="{5A1CC4E4-BA0B-43CA-8B73-B7A56C93DE4F}"/>
    <cellStyle name="Вывод 3 20 8" xfId="34892" xr:uid="{0DF5D666-2DD9-44D7-9E87-EF9B6D7E8C4E}"/>
    <cellStyle name="Вывод 3 21" xfId="3152" xr:uid="{D67B1028-0595-4C42-A74B-9AC14F23276A}"/>
    <cellStyle name="Вывод 3 21 2" xfId="8444" xr:uid="{A0FBC42A-77AE-480B-80DF-9F877EA07A11}"/>
    <cellStyle name="Вывод 3 21 2 2" xfId="10748" xr:uid="{723441F3-62DD-4DB0-A247-904EE557EB92}"/>
    <cellStyle name="Вывод 3 21 2 2 2" xfId="27588" xr:uid="{B98D412B-ED03-4CCD-91CB-8E6767B9EDAA}"/>
    <cellStyle name="Вывод 3 21 2 2 3" xfId="40729" xr:uid="{92B54CDC-FDD1-4A03-ADC0-D38A28F5B5FF}"/>
    <cellStyle name="Вывод 3 21 2 3" xfId="25946" xr:uid="{916BEDE2-D63F-4E09-9F5E-9B25C91EDD41}"/>
    <cellStyle name="Вывод 3 21 2 4" xfId="39022" xr:uid="{C675AFD7-9196-452A-9260-8D3107657135}"/>
    <cellStyle name="Вывод 3 21 3" xfId="6811" xr:uid="{F5E5CEDF-0FEE-4CAD-8CDF-D6C3A3C5B593}"/>
    <cellStyle name="Вывод 3 21 3 2" xfId="13674" xr:uid="{F38B7481-D4F0-4E58-A568-234456EC46E5}"/>
    <cellStyle name="Вывод 3 21 3 2 2" xfId="30099" xr:uid="{E2819AF4-E0A1-4A9D-92ED-A22899C9B94D}"/>
    <cellStyle name="Вывод 3 21 3 2 3" xfId="43458" xr:uid="{37027E9B-531C-4640-B42F-030CE42F0EFF}"/>
    <cellStyle name="Вывод 3 21 3 3" xfId="24437" xr:uid="{7D902FF2-4318-4EF2-9385-53F4313F761C}"/>
    <cellStyle name="Вывод 3 21 3 4" xfId="37518" xr:uid="{669B5A87-9BBC-4147-BEFA-D2D7E334960A}"/>
    <cellStyle name="Вывод 3 21 4" xfId="11156" xr:uid="{8E4DC148-19B2-452A-9F3F-7800CA675352}"/>
    <cellStyle name="Вывод 3 21 4 2" xfId="27951" xr:uid="{2203F586-0913-4205-8FF3-8A3AF8B67559}"/>
    <cellStyle name="Вывод 3 21 4 3" xfId="41132" xr:uid="{583628D9-CC38-4C7E-9812-FF16823E1FF5}"/>
    <cellStyle name="Вывод 3 21 5" xfId="21189" xr:uid="{8B7F93AB-A8F7-40F5-83DE-24F9105231F6}"/>
    <cellStyle name="Вывод 3 21 6" xfId="34212" xr:uid="{724F1377-907B-4793-8E4B-3758E782209B}"/>
    <cellStyle name="Вывод 3 22" xfId="2644" xr:uid="{5FEFD59E-3DB4-4C40-A34E-33C9D6B4E794}"/>
    <cellStyle name="Вывод 3 22 2" xfId="7941" xr:uid="{A2CF869B-5B2E-4D43-BF9F-B9447B16E386}"/>
    <cellStyle name="Вывод 3 22 2 2" xfId="14568" xr:uid="{B4ECBBD7-785E-4D59-AFE0-54C0D5A16719}"/>
    <cellStyle name="Вывод 3 22 2 2 2" xfId="30874" xr:uid="{09250B28-C0E1-41FD-8B3D-866B1A52A584}"/>
    <cellStyle name="Вывод 3 22 2 2 3" xfId="44289" xr:uid="{BCD0D5FC-E620-4F9C-A26A-BA3D4C03C3EE}"/>
    <cellStyle name="Вывод 3 22 2 3" xfId="25457" xr:uid="{A8999970-B3AC-429F-8C6A-9C7674DD05E1}"/>
    <cellStyle name="Вывод 3 22 2 4" xfId="38533" xr:uid="{D9B5BEBE-BA4F-461B-A554-0188CDFA8E49}"/>
    <cellStyle name="Вывод 3 22 3" xfId="6308" xr:uid="{E2CB7D3B-CB47-4038-BF80-F303C54AD315}"/>
    <cellStyle name="Вывод 3 22 3 2" xfId="12914" xr:uid="{6F322A4D-E623-4108-A45E-8AD280883697}"/>
    <cellStyle name="Вывод 3 22 3 2 2" xfId="29460" xr:uid="{62A4D481-EC92-4E87-9DDA-98250395BCC2}"/>
    <cellStyle name="Вывод 3 22 3 2 3" xfId="42755" xr:uid="{5F3F7CF6-48A3-4409-B16C-5AC6CE7FDA75}"/>
    <cellStyle name="Вывод 3 22 3 3" xfId="23948" xr:uid="{1AE013F2-372E-4DA2-8B96-5FE02AA2C3C5}"/>
    <cellStyle name="Вывод 3 22 3 4" xfId="37029" xr:uid="{DFFC5433-8E64-4CC7-A592-EC5E7C90EE09}"/>
    <cellStyle name="Вывод 3 22 4" xfId="14954" xr:uid="{646E4CFC-F44E-49C6-B754-944871EDAFCA}"/>
    <cellStyle name="Вывод 3 22 4 2" xfId="31193" xr:uid="{DCDF371B-D4B4-4EA5-A7F0-2DA1BE63953F}"/>
    <cellStyle name="Вывод 3 22 4 3" xfId="44640" xr:uid="{EFA6AB29-5E5D-4676-8535-ACF7B12A8F1E}"/>
    <cellStyle name="Вывод 3 22 5" xfId="20700" xr:uid="{02B924F5-11DE-43E1-B30B-D9200D9C3EE2}"/>
    <cellStyle name="Вывод 3 22 6" xfId="33723" xr:uid="{3A6D0F10-2165-49A2-AF0D-A0C88B633562}"/>
    <cellStyle name="Вывод 3 23" xfId="4084" xr:uid="{071A7769-FB0D-4409-8E8E-3C3E57D84A1F}"/>
    <cellStyle name="Вывод 3 23 2" xfId="9136" xr:uid="{C0EDDDE5-6F34-4C66-AE0A-72B90ABE7142}"/>
    <cellStyle name="Вывод 3 23 2 2" xfId="12800" xr:uid="{B4D340B8-8551-40B2-A6FC-ECD563A29E14}"/>
    <cellStyle name="Вывод 3 23 2 2 2" xfId="29375" xr:uid="{5F182547-0EB8-43F7-B42E-024D8311F716}"/>
    <cellStyle name="Вывод 3 23 2 2 3" xfId="42655" xr:uid="{04526394-9E95-4920-AFCA-DBFD2C499104}"/>
    <cellStyle name="Вывод 3 23 2 3" xfId="26617" xr:uid="{BA0DBAE5-E690-4DA3-8174-7587A2AD6156}"/>
    <cellStyle name="Вывод 3 23 2 4" xfId="39693" xr:uid="{5D2831D2-9EEC-4585-80BF-170AA28EAF18}"/>
    <cellStyle name="Вывод 3 23 3" xfId="7648" xr:uid="{AFD6CB04-BE6D-42A9-B446-624DDFA8BC60}"/>
    <cellStyle name="Вывод 3 23 3 2" xfId="16369" xr:uid="{4DBFCEAE-CA8A-46FF-8784-4A7C88A1335E}"/>
    <cellStyle name="Вывод 3 23 3 2 2" xfId="32390" xr:uid="{39D7EEFB-2A15-4CA9-8D84-BB00F5432FFF}"/>
    <cellStyle name="Вывод 3 23 3 2 3" xfId="45923" xr:uid="{6FC193DE-02F7-4B78-AB42-F5EE5CA19B52}"/>
    <cellStyle name="Вывод 3 23 3 3" xfId="25176" xr:uid="{C52C31F4-E2B6-41E5-8887-0A824125BCA6}"/>
    <cellStyle name="Вывод 3 23 3 4" xfId="38252" xr:uid="{B844A912-61D6-4823-A6C8-015C3F2A7080}"/>
    <cellStyle name="Вывод 3 23 4" xfId="15321" xr:uid="{220DDBE0-191B-452A-945C-FB4EE4395C6E}"/>
    <cellStyle name="Вывод 3 23 4 2" xfId="31482" xr:uid="{216AAC9F-3F7F-4F6A-AC0F-0AE1B417D239}"/>
    <cellStyle name="Вывод 3 23 4 3" xfId="44967" xr:uid="{1EAD99C0-99CD-45E6-B47D-04BC36D150BD}"/>
    <cellStyle name="Вывод 3 23 5" xfId="21917" xr:uid="{96E1B76F-54B2-4A90-8EF3-E3A9F50CA453}"/>
    <cellStyle name="Вывод 3 23 6" xfId="34966" xr:uid="{7598F9D5-F6E4-4EB9-9A1C-5FB4610BD810}"/>
    <cellStyle name="Вывод 3 24" xfId="2553" xr:uid="{75A432C4-5DBD-4555-AB15-B456D8DD9C17}"/>
    <cellStyle name="Вывод 3 24 2" xfId="7851" xr:uid="{809542A0-FA85-497B-95CD-DA6A9B22D08B}"/>
    <cellStyle name="Вывод 3 24 2 2" xfId="13807" xr:uid="{2B9FD5E5-DFFE-4FB9-A8C8-5AE6E7091718}"/>
    <cellStyle name="Вывод 3 24 2 2 2" xfId="30211" xr:uid="{93959152-0724-416C-B5D8-146E0E021031}"/>
    <cellStyle name="Вывод 3 24 2 2 3" xfId="43579" xr:uid="{5685E4CE-8B9C-4307-A9BE-E7D38BAD98B3}"/>
    <cellStyle name="Вывод 3 24 2 3" xfId="25370" xr:uid="{9827FFF3-85F8-44FD-A2AF-7B29B1791925}"/>
    <cellStyle name="Вывод 3 24 2 4" xfId="38446" xr:uid="{F7EE8A74-468E-4CB6-88D9-F2D575F5DD52}"/>
    <cellStyle name="Вывод 3 24 3" xfId="6218" xr:uid="{68A3475F-F21A-4E71-8D86-6DC610BDBE11}"/>
    <cellStyle name="Вывод 3 24 3 2" xfId="16891" xr:uid="{BFBC1809-940F-483B-B2CC-C520E3DFF446}"/>
    <cellStyle name="Вывод 3 24 3 2 2" xfId="32767" xr:uid="{6A00DFCE-7FC2-4728-A35D-16F7518F5714}"/>
    <cellStyle name="Вывод 3 24 3 2 3" xfId="46433" xr:uid="{D4F7D568-DFD0-427D-9530-3AE40A967A95}"/>
    <cellStyle name="Вывод 3 24 3 3" xfId="23861" xr:uid="{6BB97AB8-F0BE-4602-A9DE-A484C33DA493}"/>
    <cellStyle name="Вывод 3 24 3 4" xfId="36942" xr:uid="{F7C6A661-F125-4991-A793-98E02BD27AA0}"/>
    <cellStyle name="Вывод 3 24 4" xfId="16798" xr:uid="{299E5B08-974D-4806-807A-A795BF05EDDC}"/>
    <cellStyle name="Вывод 3 24 4 2" xfId="32679" xr:uid="{C88F5504-A0BE-49FE-990A-A8A609D97940}"/>
    <cellStyle name="Вывод 3 24 4 3" xfId="46341" xr:uid="{B94A62CE-CBD5-4277-ADF4-96477EF5BDB9}"/>
    <cellStyle name="Вывод 3 24 5" xfId="20613" xr:uid="{CD6AA943-4CB4-471B-90E8-F856E32A8E04}"/>
    <cellStyle name="Вывод 3 24 6" xfId="33636" xr:uid="{6D4E4840-7690-44EC-A890-42866163E5E6}"/>
    <cellStyle name="Вывод 3 25" xfId="4221" xr:uid="{1A65F2CD-8D24-4BBA-A7AB-B1CAC942C60E}"/>
    <cellStyle name="Вывод 3 25 2" xfId="9273" xr:uid="{D6F16142-1C6F-414E-9ACE-599B866C9C26}"/>
    <cellStyle name="Вывод 3 25 2 2" xfId="13879" xr:uid="{5DD0988B-5AA9-4317-A9F9-9B0CF99E2BA4}"/>
    <cellStyle name="Вывод 3 25 2 2 2" xfId="30276" xr:uid="{238E4C80-F0DD-4D41-8B4F-1C39AA397990}"/>
    <cellStyle name="Вывод 3 25 2 2 3" xfId="43648" xr:uid="{4902D3E3-362B-4681-A38D-522DC9BE09CF}"/>
    <cellStyle name="Вывод 3 25 2 3" xfId="26746" xr:uid="{EE98461A-AABB-4954-BC6B-3A46542E15DD}"/>
    <cellStyle name="Вывод 3 25 2 4" xfId="39822" xr:uid="{CBE9CABF-838A-4170-A834-1DBB08CE723D}"/>
    <cellStyle name="Вывод 3 25 3" xfId="7785" xr:uid="{08A184F1-561E-49A3-9998-74A68F38962A}"/>
    <cellStyle name="Вывод 3 25 3 2" xfId="13667" xr:uid="{B7B64CDF-AFEE-4E1D-9425-D6146E150873}"/>
    <cellStyle name="Вывод 3 25 3 2 2" xfId="30092" xr:uid="{A2E65624-E856-4577-8894-71F7ADD4E409}"/>
    <cellStyle name="Вывод 3 25 3 2 3" xfId="43451" xr:uid="{B812CCE5-5383-44E6-8BCB-9FB30740A3D4}"/>
    <cellStyle name="Вывод 3 25 3 3" xfId="25305" xr:uid="{D8A02ADD-3515-424D-BEA4-613A55BE3376}"/>
    <cellStyle name="Вывод 3 25 3 4" xfId="38381" xr:uid="{B92D2482-7E8C-40E6-A600-F75CF1CE000B}"/>
    <cellStyle name="Вывод 3 25 4" xfId="13401" xr:uid="{392DD357-7B3F-4A04-92B5-4D8913739008}"/>
    <cellStyle name="Вывод 3 25 4 2" xfId="29870" xr:uid="{249A05D1-341B-4090-A9CC-5F23218EEF6A}"/>
    <cellStyle name="Вывод 3 25 4 3" xfId="43205" xr:uid="{FFB8AD96-6866-46A7-B53F-5C166661B7FD}"/>
    <cellStyle name="Вывод 3 25 5" xfId="22046" xr:uid="{ED7B4842-87C8-483E-81A5-C650651B5751}"/>
    <cellStyle name="Вывод 3 25 6" xfId="35095" xr:uid="{D6796922-CB92-41D1-91ED-685D026BEA55}"/>
    <cellStyle name="Вывод 3 26" xfId="4294" xr:uid="{356F9E83-D4BE-453E-8CFD-C5E01D7D8BFB}"/>
    <cellStyle name="Вывод 3 26 2" xfId="6163" xr:uid="{BA1C56E9-2A95-441B-AEA0-31BB93E03793}"/>
    <cellStyle name="Вывод 3 26 2 2" xfId="15767" xr:uid="{AE2EAA6A-EB7E-4285-9ACD-488BC6DEA7A3}"/>
    <cellStyle name="Вывод 3 26 2 2 2" xfId="31870" xr:uid="{E1161566-0A9E-428D-97E9-237C7F5C22FF}"/>
    <cellStyle name="Вывод 3 26 2 2 3" xfId="45381" xr:uid="{D22DD97E-2517-427A-957B-2A37ABA9929F}"/>
    <cellStyle name="Вывод 3 26 2 3" xfId="23808" xr:uid="{E120D982-5662-4EB3-AF4F-921CB3C9EA93}"/>
    <cellStyle name="Вывод 3 26 2 4" xfId="36889" xr:uid="{D395BA69-FE0D-42CC-BDCD-1F6D957D2A03}"/>
    <cellStyle name="Вывод 3 26 3" xfId="13699" xr:uid="{33DAC7F7-B0B5-49F6-860F-C77FC437259B}"/>
    <cellStyle name="Вывод 3 26 3 2" xfId="30120" xr:uid="{C75EE5B5-B24B-43EB-8688-BE9D3055C692}"/>
    <cellStyle name="Вывод 3 26 3 3" xfId="43479" xr:uid="{DECF9C9B-7D8F-45B5-A842-86138C51C7D7}"/>
    <cellStyle name="Вывод 3 26 4" xfId="22115" xr:uid="{0CC89EB8-9AEE-449C-ABA0-E08D905B3DB5}"/>
    <cellStyle name="Вывод 3 26 5" xfId="35164" xr:uid="{D6A500B4-D4F3-4271-AF07-D1E28CCF43F0}"/>
    <cellStyle name="Вывод 3 27" xfId="5273" xr:uid="{367B09A4-DA85-43B6-91A8-E2479954F773}"/>
    <cellStyle name="Вывод 3 27 2" xfId="9706" xr:uid="{3B464AB9-95CE-4A76-B8FF-B653171FD580}"/>
    <cellStyle name="Вывод 3 27 2 2" xfId="14540" xr:uid="{B5D1CB21-F3E4-4DA1-9765-65389ABF8342}"/>
    <cellStyle name="Вывод 3 27 2 2 2" xfId="30852" xr:uid="{EA013F5D-05DE-4227-86C3-01B782A0ECA6}"/>
    <cellStyle name="Вывод 3 27 2 2 3" xfId="44264" xr:uid="{47DFAFC3-79AF-4495-A6A8-A13A31F0ABDE}"/>
    <cellStyle name="Вывод 3 27 2 3" xfId="27006" xr:uid="{B391CA12-752E-4024-B0EA-83870A235DB2}"/>
    <cellStyle name="Вывод 3 27 2 4" xfId="40122" xr:uid="{1A05C676-F2CE-4065-AC80-CF906923C0BD}"/>
    <cellStyle name="Вывод 3 27 3" xfId="13343" xr:uid="{E55EC02A-F7E1-4AC3-8A83-BDF9DDD32615}"/>
    <cellStyle name="Вывод 3 27 3 2" xfId="29824" xr:uid="{8D640BC0-3CEB-41C6-A5F6-59A68E98BAEA}"/>
    <cellStyle name="Вывод 3 27 3 3" xfId="43156" xr:uid="{6A391D23-0B1F-45EE-AD3C-C9F50BC2A1F6}"/>
    <cellStyle name="Вывод 3 27 4" xfId="22925" xr:uid="{3B4B9991-87F6-405B-86A9-378C9039FB08}"/>
    <cellStyle name="Вывод 3 27 5" xfId="36003" xr:uid="{42185319-EAA3-41F2-B5FD-AE85849F4B26}"/>
    <cellStyle name="Вывод 3 28" xfId="5354" xr:uid="{8D948143-3F19-4395-84EE-1AAC31A3F9FA}"/>
    <cellStyle name="Вывод 3 28 2" xfId="9785" xr:uid="{1E156F87-EFC4-4934-9D2B-0D3BE5BF9B08}"/>
    <cellStyle name="Вывод 3 28 2 2" xfId="17040" xr:uid="{7214615B-FD32-4D5D-8041-6C882A9A9F67}"/>
    <cellStyle name="Вывод 3 28 2 2 2" xfId="32814" xr:uid="{4205B72D-A59E-4C64-9CBE-AD0AB49A382C}"/>
    <cellStyle name="Вывод 3 28 2 2 3" xfId="46582" xr:uid="{0FA5B7C2-E419-4946-876D-852EBA1D152E}"/>
    <cellStyle name="Вывод 3 28 2 3" xfId="27082" xr:uid="{A57624C5-DFD2-4DB2-8B3D-003FD8D18C41}"/>
    <cellStyle name="Вывод 3 28 2 4" xfId="40201" xr:uid="{18388E50-ADEC-4135-90EA-74E3578522A4}"/>
    <cellStyle name="Вывод 3 28 3" xfId="14995" xr:uid="{A6758FC9-6BFD-48D9-A3A7-0D68CF9E9F25}"/>
    <cellStyle name="Вывод 3 28 3 2" xfId="31226" xr:uid="{C64F9A97-4BB7-4D0D-B223-B92991476FDE}"/>
    <cellStyle name="Вывод 3 28 3 3" xfId="44676" xr:uid="{295BC906-1228-44AB-AD83-37760D5DC46B}"/>
    <cellStyle name="Вывод 3 28 4" xfId="23001" xr:uid="{F79A0BC0-7D0F-402A-BA0A-2289CA172209}"/>
    <cellStyle name="Вывод 3 28 5" xfId="36082" xr:uid="{AC8D7E82-3DBF-4ED0-8A8F-4014E47DC7D8}"/>
    <cellStyle name="Вывод 3 29" xfId="10564" xr:uid="{4713234F-F37C-4466-ACB7-7D68781B7F72}"/>
    <cellStyle name="Вывод 3 29 2" xfId="17609" xr:uid="{A4F67450-D67D-4FBF-98B9-7D616F976E85}"/>
    <cellStyle name="Вывод 3 29 2 2" xfId="33344" xr:uid="{E412B7A5-9091-4077-9C6A-9F57C6E84FDA}"/>
    <cellStyle name="Вывод 3 29 2 3" xfId="47134" xr:uid="{D3920F30-DEE0-4334-BAFF-AC538C11D11E}"/>
    <cellStyle name="Вывод 3 29 3" xfId="27423" xr:uid="{F77D01B9-E19F-4CA0-A917-4DEF01B670F4}"/>
    <cellStyle name="Вывод 3 29 4" xfId="40545" xr:uid="{ABF0D40D-F1F3-4731-BE74-170EF6BB3CDC}"/>
    <cellStyle name="Вывод 3 3" xfId="3339" xr:uid="{418C0252-A165-4242-B5E1-A9566FEFBBFF}"/>
    <cellStyle name="Вывод 3 3 10" xfId="34385" xr:uid="{3E8B4551-DAB3-4D7F-AE98-B25707B9FA86}"/>
    <cellStyle name="Вывод 3 3 2" xfId="2701" xr:uid="{0AFB3510-85D9-4AA9-AA05-B7707EE27D77}"/>
    <cellStyle name="Вывод 3 3 2 2" xfId="7997" xr:uid="{FD4F7003-4552-496B-89BA-7A79B5AFB907}"/>
    <cellStyle name="Вывод 3 3 2 2 2" xfId="14623" xr:uid="{BE4C5815-A795-4939-8C9C-722066805CB5}"/>
    <cellStyle name="Вывод 3 3 2 2 2 2" xfId="30920" xr:uid="{F45A9B20-8CCA-42A3-B85F-5EA8EDD43ABC}"/>
    <cellStyle name="Вывод 3 3 2 2 2 3" xfId="44341" xr:uid="{7F8C2BBE-13A3-4263-A346-2F5465217FCB}"/>
    <cellStyle name="Вывод 3 3 2 2 3" xfId="25512" xr:uid="{2A117509-2CD4-414B-923C-76848D234777}"/>
    <cellStyle name="Вывод 3 3 2 2 4" xfId="38588" xr:uid="{B6B10808-3689-4B1C-A02B-27259913965A}"/>
    <cellStyle name="Вывод 3 3 2 3" xfId="6364" xr:uid="{9E730629-94E6-4F16-B28B-2F787D585FB3}"/>
    <cellStyle name="Вывод 3 3 2 3 2" xfId="16589" xr:uid="{D75EE55F-903F-4893-9EB6-22001F7D0785}"/>
    <cellStyle name="Вывод 3 3 2 3 2 2" xfId="32511" xr:uid="{9E158F68-70FE-4A99-AD51-75C350D2CA75}"/>
    <cellStyle name="Вывод 3 3 2 3 2 3" xfId="46136" xr:uid="{C387FDD8-EDC9-4B28-873B-ECA6982B5D66}"/>
    <cellStyle name="Вывод 3 3 2 3 3" xfId="24003" xr:uid="{F7A21F24-1D6D-4FE0-8A25-756DE01A5FCE}"/>
    <cellStyle name="Вывод 3 3 2 3 4" xfId="37084" xr:uid="{14CE803F-0F9D-4BF6-9154-3C9E19B961D8}"/>
    <cellStyle name="Вывод 3 3 2 4" xfId="13665" xr:uid="{EC3876D7-D215-4607-85E8-D6C2E89177F7}"/>
    <cellStyle name="Вывод 3 3 2 4 2" xfId="30090" xr:uid="{61CC2499-9BD2-4D48-B09D-9008501AA944}"/>
    <cellStyle name="Вывод 3 3 2 4 3" xfId="43449" xr:uid="{3C269598-7339-4588-B950-E2CE99748DBD}"/>
    <cellStyle name="Вывод 3 3 2 5" xfId="20755" xr:uid="{93DE7F92-B092-4E5D-A0A1-11C0E3B6ED57}"/>
    <cellStyle name="Вывод 3 3 2 6" xfId="33778" xr:uid="{BAB165AE-4621-4EFE-ACBF-BB2040709155}"/>
    <cellStyle name="Вывод 3 3 3" xfId="4137" xr:uid="{FE6321AD-F96E-450F-A9B1-9B7FD351197B}"/>
    <cellStyle name="Вывод 3 3 3 2" xfId="9189" xr:uid="{493E9406-731F-4F1F-9122-4B35C9BA5FDF}"/>
    <cellStyle name="Вывод 3 3 3 2 2" xfId="16143" xr:uid="{BB869509-1F42-4A55-AB4D-375CF0E09E94}"/>
    <cellStyle name="Вывод 3 3 3 2 2 2" xfId="32197" xr:uid="{B1A10955-1A90-45CF-A6D5-8A6535720AA9}"/>
    <cellStyle name="Вывод 3 3 3 2 2 3" xfId="45718" xr:uid="{E497910E-B975-4A2E-B07A-B51F95841635}"/>
    <cellStyle name="Вывод 3 3 3 2 3" xfId="26667" xr:uid="{5978B12C-D20D-4A06-974A-045A5D05A717}"/>
    <cellStyle name="Вывод 3 3 3 2 4" xfId="39743" xr:uid="{1779C32E-CAD4-41DF-8C12-9856BC6F6082}"/>
    <cellStyle name="Вывод 3 3 3 3" xfId="7701" xr:uid="{A93CBAF8-427B-48BB-AD07-D2950325442D}"/>
    <cellStyle name="Вывод 3 3 3 3 2" xfId="13747" xr:uid="{B2A71E06-5CD8-4528-9347-EAC77CA14262}"/>
    <cellStyle name="Вывод 3 3 3 3 2 2" xfId="30160" xr:uid="{56FE3DB0-E9EF-4CA8-9F94-C5F62C2028FB}"/>
    <cellStyle name="Вывод 3 3 3 3 2 3" xfId="43522" xr:uid="{7F92CA46-D284-4733-A719-EBD3BED6C881}"/>
    <cellStyle name="Вывод 3 3 3 3 3" xfId="25226" xr:uid="{3D48CB15-304B-4BBA-A8DD-A4F7B90B2AD0}"/>
    <cellStyle name="Вывод 3 3 3 3 4" xfId="38302" xr:uid="{E968564E-E3EF-4715-BA2C-050CD7B63552}"/>
    <cellStyle name="Вывод 3 3 3 4" xfId="13950" xr:uid="{64B8A9D1-322C-4EC7-9132-7A07463BB2D3}"/>
    <cellStyle name="Вывод 3 3 3 4 2" xfId="30338" xr:uid="{2B991595-9F1D-4DB4-95A4-960AEA9F6D42}"/>
    <cellStyle name="Вывод 3 3 3 4 3" xfId="43715" xr:uid="{4529BAB5-BB42-469E-A1CC-13CA661A7B3C}"/>
    <cellStyle name="Вывод 3 3 3 5" xfId="21967" xr:uid="{5D64545A-DEE3-46C7-AFE1-ABAB9ECFEA75}"/>
    <cellStyle name="Вывод 3 3 3 6" xfId="35016" xr:uid="{B205A9F4-4A6F-4503-AB68-7315CC41D53E}"/>
    <cellStyle name="Вывод 3 3 4" xfId="2581" xr:uid="{5C258469-1884-4792-BCC2-4C97B3BB65A0}"/>
    <cellStyle name="Вывод 3 3 4 2" xfId="7878" xr:uid="{12415B83-7405-4888-BB44-0C07A56BB8EA}"/>
    <cellStyle name="Вывод 3 3 4 2 2" xfId="16385" xr:uid="{932BA1F4-39ED-42B0-B90E-AC1005DF4DC0}"/>
    <cellStyle name="Вывод 3 3 4 2 2 2" xfId="32405" xr:uid="{9FBD6486-B8CE-4381-BADC-B3BA5339B8B7}"/>
    <cellStyle name="Вывод 3 3 4 2 2 3" xfId="45939" xr:uid="{07298C25-3542-4CF5-B92E-B3147E43D697}"/>
    <cellStyle name="Вывод 3 3 4 2 3" xfId="25397" xr:uid="{425EF431-9F49-42FB-88C0-123D34CE2960}"/>
    <cellStyle name="Вывод 3 3 4 2 4" xfId="38473" xr:uid="{9AD03CA2-6CAE-4AFC-BEB4-3FCDBF1DE2A3}"/>
    <cellStyle name="Вывод 3 3 4 3" xfId="6245" xr:uid="{F7919991-8633-4842-A295-9F2BDD4A32AC}"/>
    <cellStyle name="Вывод 3 3 4 3 2" xfId="13010" xr:uid="{51A836A8-0076-4D95-B5B4-BDCD239B79A1}"/>
    <cellStyle name="Вывод 3 3 4 3 2 2" xfId="29543" xr:uid="{FF5E6D23-93C4-40AA-80D8-90EEE4D9B819}"/>
    <cellStyle name="Вывод 3 3 4 3 2 3" xfId="42845" xr:uid="{A7440D35-99F7-4CCA-A364-AFE21BE9CAA0}"/>
    <cellStyle name="Вывод 3 3 4 3 3" xfId="23888" xr:uid="{CF2457EE-A01C-419A-A70C-A112BA9B8F64}"/>
    <cellStyle name="Вывод 3 3 4 3 4" xfId="36969" xr:uid="{9E4F2201-64D7-4B20-9F73-10B5D4054F3A}"/>
    <cellStyle name="Вывод 3 3 4 4" xfId="15784" xr:uid="{731B2494-9BC8-4149-AB85-4F025D207EB4}"/>
    <cellStyle name="Вывод 3 3 4 4 2" xfId="31885" xr:uid="{0CF03857-C2D0-4B35-BA73-8D5EC9786312}"/>
    <cellStyle name="Вывод 3 3 4 4 3" xfId="45396" xr:uid="{0DD3B2EC-7F24-4FBA-8CD2-8623A5D3B409}"/>
    <cellStyle name="Вывод 3 3 4 5" xfId="20640" xr:uid="{3EB5E624-6B2D-47AE-8D2B-1F2CB2B79601}"/>
    <cellStyle name="Вывод 3 3 4 6" xfId="33663" xr:uid="{3FE198D8-8A36-4ED8-9088-3FB93E4683D0}"/>
    <cellStyle name="Вывод 3 3 5" xfId="4246" xr:uid="{174E0C1E-1D6A-4869-8343-0516F2197373}"/>
    <cellStyle name="Вывод 3 3 5 2" xfId="9298" xr:uid="{52CDC0D3-0882-4052-AAEB-189010FF6867}"/>
    <cellStyle name="Вывод 3 3 5 2 2" xfId="15927" xr:uid="{5DBD37F6-A511-4BEF-A93B-AA7C70E7349C}"/>
    <cellStyle name="Вывод 3 3 5 2 2 2" xfId="32008" xr:uid="{A32ADAC4-3C06-49C9-955A-9E4869482047}"/>
    <cellStyle name="Вывод 3 3 5 2 2 3" xfId="45524" xr:uid="{65C70987-F29C-42B5-B366-9BFDFB2E0077}"/>
    <cellStyle name="Вывод 3 3 5 2 3" xfId="26771" xr:uid="{C6E85872-8291-4130-A85E-265EBDC587E9}"/>
    <cellStyle name="Вывод 3 3 5 2 4" xfId="39847" xr:uid="{02BB2464-DA78-42D6-A437-5D4ACDA36518}"/>
    <cellStyle name="Вывод 3 3 5 3" xfId="7810" xr:uid="{D5DA9E6A-2B83-4083-9176-6D01BCF50D59}"/>
    <cellStyle name="Вывод 3 3 5 3 2" xfId="11309" xr:uid="{4FF46FC5-B7E1-47EC-8043-E1FB2ED9D4FF}"/>
    <cellStyle name="Вывод 3 3 5 3 2 2" xfId="28091" xr:uid="{EFA0B9AE-B2CF-439C-B7F4-CDB2B45A903F}"/>
    <cellStyle name="Вывод 3 3 5 3 2 3" xfId="41276" xr:uid="{ED9CCF3D-4A1D-4EFF-ABB9-5FFE4B6A8475}"/>
    <cellStyle name="Вывод 3 3 5 3 3" xfId="25330" xr:uid="{5EE08092-C019-4AD4-B64A-1598252FA8A4}"/>
    <cellStyle name="Вывод 3 3 5 3 4" xfId="38406" xr:uid="{76EDF8E1-7FDC-49C4-8219-336D73BEB119}"/>
    <cellStyle name="Вывод 3 3 5 4" xfId="14636" xr:uid="{547FCCD5-E6CB-41D9-9386-6AEDD63A1F5F}"/>
    <cellStyle name="Вывод 3 3 5 4 2" xfId="30932" xr:uid="{3394504D-6DE5-4179-B9F8-3F6D46D463F1}"/>
    <cellStyle name="Вывод 3 3 5 4 3" xfId="44353" xr:uid="{9B21A1FF-7652-49E2-943D-3B618C862CC3}"/>
    <cellStyle name="Вывод 3 3 5 5" xfId="22071" xr:uid="{33354406-0B67-4AD0-A6CE-C39BF1194015}"/>
    <cellStyle name="Вывод 3 3 5 6" xfId="35120" xr:uid="{6CE73435-66DF-4871-AE6B-D83394CD0274}"/>
    <cellStyle name="Вывод 3 3 6" xfId="4370" xr:uid="{52915323-5D60-443C-9735-51BBC7CD8E8B}"/>
    <cellStyle name="Вывод 3 3 6 2" xfId="6989" xr:uid="{F516125C-C73C-4036-8C1A-646967ADC449}"/>
    <cellStyle name="Вывод 3 3 6 2 2" xfId="13319" xr:uid="{697AFA2A-7ADE-442E-BF15-C92B46BDEDFC}"/>
    <cellStyle name="Вывод 3 3 6 2 2 2" xfId="29803" xr:uid="{988DD7D9-7FBA-4EBF-B9EF-95740340976E}"/>
    <cellStyle name="Вывод 3 3 6 2 2 3" xfId="43134" xr:uid="{E4028412-795E-4083-B337-18F61C3E6627}"/>
    <cellStyle name="Вывод 3 3 6 2 3" xfId="24610" xr:uid="{29AFC518-BDBA-45FD-8518-F6482D653722}"/>
    <cellStyle name="Вывод 3 3 6 2 4" xfId="37691" xr:uid="{04478CD8-76D4-4D84-8BE5-E0E2FDF9765D}"/>
    <cellStyle name="Вывод 3 3 6 3" xfId="16639" xr:uid="{D41212F3-7BEC-4906-84D2-1079F68E1421}"/>
    <cellStyle name="Вывод 3 3 6 3 2" xfId="32545" xr:uid="{FBAD014A-D52F-48F6-8CC7-786AF7DEF586}"/>
    <cellStyle name="Вывод 3 3 6 3 3" xfId="46186" xr:uid="{40A0DA64-C06F-4983-973C-8069D37420C2}"/>
    <cellStyle name="Вывод 3 3 6 4" xfId="22189" xr:uid="{F35CFA0B-AF7D-4ED9-87DF-ED5A2839E106}"/>
    <cellStyle name="Вывод 3 3 6 5" xfId="35238" xr:uid="{D6181CD4-D3E0-4DF8-8547-24B06B69F01A}"/>
    <cellStyle name="Вывод 3 3 7" xfId="5424" xr:uid="{ED480474-6A84-49A8-A7CE-D7ECDD75EF45}"/>
    <cellStyle name="Вывод 3 3 7 2" xfId="8602" xr:uid="{2F3908B1-3C87-4528-9786-5F0B0CAD5CBB}"/>
    <cellStyle name="Вывод 3 3 7 2 2" xfId="10685" xr:uid="{9CBF728D-211E-4B0F-BBE6-6733861A6EBD}"/>
    <cellStyle name="Вывод 3 3 7 2 2 2" xfId="27534" xr:uid="{5325AD33-A98B-49F0-AC52-AA3B05B352CC}"/>
    <cellStyle name="Вывод 3 3 7 2 2 3" xfId="40666" xr:uid="{9CCCB19E-68BE-4034-9025-9902F6201309}"/>
    <cellStyle name="Вывод 3 3 7 2 3" xfId="26099" xr:uid="{2AD435A5-73B5-4433-93E3-132B91CC1308}"/>
    <cellStyle name="Вывод 3 3 7 2 4" xfId="39175" xr:uid="{064C507C-914E-435D-B321-DF51F966BA2A}"/>
    <cellStyle name="Вывод 3 3 7 3" xfId="12633" xr:uid="{EABB1C65-D79F-428F-ABB9-65C5A7EE262E}"/>
    <cellStyle name="Вывод 3 3 7 3 2" xfId="29239" xr:uid="{C46B5F19-9551-430B-9258-CA8F764F7502}"/>
    <cellStyle name="Вывод 3 3 7 3 3" xfId="42506" xr:uid="{F5C609B5-9C17-4A0D-87F0-9AD44FBDA809}"/>
    <cellStyle name="Вывод 3 3 7 4" xfId="23071" xr:uid="{CDEF86A2-7A4E-4E94-AF65-8C3F215ABF69}"/>
    <cellStyle name="Вывод 3 3 7 5" xfId="36152" xr:uid="{F468BC8E-69AF-4C95-8C32-AB32C4BA3DE9}"/>
    <cellStyle name="Вывод 3 3 8" xfId="15460" xr:uid="{783BBD49-742D-4887-8A38-EAC49660385E}"/>
    <cellStyle name="Вывод 3 3 8 2" xfId="31604" xr:uid="{BFDB8235-7327-4EA7-AE95-3E422015CE46}"/>
    <cellStyle name="Вывод 3 3 8 3" xfId="45099" xr:uid="{5D2BF6FC-5E8F-47B6-97C6-220886607500}"/>
    <cellStyle name="Вывод 3 3 9" xfId="21362" xr:uid="{4C259A1A-371E-4301-9C1F-6DBF1E39FEFE}"/>
    <cellStyle name="Вывод 3 30" xfId="11994" xr:uid="{312A69D3-D6E6-45EE-BE35-FCFCEE6504E5}"/>
    <cellStyle name="Вывод 3 30 2" xfId="28700" xr:uid="{E336F670-F6CC-480F-BC1E-74EF4688CCA7}"/>
    <cellStyle name="Вывод 3 30 3" xfId="41918" xr:uid="{A33DEFE7-CFF4-474D-801B-5C0F38CFF509}"/>
    <cellStyle name="Вывод 3 31" xfId="14698" xr:uid="{FC7A2F7C-6454-4944-8366-869CA8F400EB}"/>
    <cellStyle name="Вывод 3 31 2" xfId="30988" xr:uid="{316A1B13-7423-416D-B56B-77E3AC9C6E94}"/>
    <cellStyle name="Вывод 3 31 3" xfId="44410" xr:uid="{5F06AA0F-FEA4-4094-9663-8E19612ED58D}"/>
    <cellStyle name="Вывод 3 32" xfId="14585" xr:uid="{FEBE8301-2F17-42D9-8016-60874722B400}"/>
    <cellStyle name="Вывод 3 32 2" xfId="30885" xr:uid="{9F3E54A7-981C-4F68-9E6B-EFF255A66343}"/>
    <cellStyle name="Вывод 3 32 3" xfId="44304" xr:uid="{86EC7828-F2AC-4747-B636-64EDB6E47916}"/>
    <cellStyle name="Вывод 3 33" xfId="17662" xr:uid="{36F19995-1197-4B72-8F98-4A703E68421A}"/>
    <cellStyle name="Вывод 3 33 2" xfId="33385" xr:uid="{E02C7405-C1F8-4AEB-A4D4-552076A38799}"/>
    <cellStyle name="Вывод 3 33 3" xfId="47174" xr:uid="{5F0267E4-6272-4186-BE86-6645CC5D123A}"/>
    <cellStyle name="Вывод 3 34" xfId="33563" xr:uid="{C72EBD3B-0EC8-46E8-9C6D-9791BD4673E8}"/>
    <cellStyle name="Вывод 3 4" xfId="3466" xr:uid="{22BAE235-477D-46BD-AB39-585F0FB7C4AD}"/>
    <cellStyle name="Вывод 3 4 10" xfId="34482" xr:uid="{B6DA2966-7A8C-4FA2-8EC2-303FD752D946}"/>
    <cellStyle name="Вывод 3 4 2" xfId="2808" xr:uid="{41C013F9-E031-4945-BC31-3B96A5821073}"/>
    <cellStyle name="Вывод 3 4 2 2" xfId="8104" xr:uid="{810C0412-DFA7-4C4E-BA97-571BBC696E84}"/>
    <cellStyle name="Вывод 3 4 2 2 2" xfId="13204" xr:uid="{F31B2B58-CEC7-4A9A-B3CA-7D9B593FAD9D}"/>
    <cellStyle name="Вывод 3 4 2 2 2 2" xfId="29705" xr:uid="{B8494E1B-F3D1-4381-81C3-304D3290D6FE}"/>
    <cellStyle name="Вывод 3 4 2 2 2 3" xfId="43024" xr:uid="{40851C0A-E6E3-414F-AC7B-437AC224C791}"/>
    <cellStyle name="Вывод 3 4 2 2 3" xfId="25615" xr:uid="{514FD4F9-D3AD-4DE6-97B6-D239C8E0DF2E}"/>
    <cellStyle name="Вывод 3 4 2 2 4" xfId="38691" xr:uid="{456DFBC0-249B-4810-B24D-08E38A74C1FD}"/>
    <cellStyle name="Вывод 3 4 2 3" xfId="6471" xr:uid="{AC324FEA-ECA1-4720-B4A4-A8E309D3A655}"/>
    <cellStyle name="Вывод 3 4 2 3 2" xfId="13111" xr:uid="{273AD817-D170-456A-BFE8-950DCF1EE5D7}"/>
    <cellStyle name="Вывод 3 4 2 3 2 2" xfId="29626" xr:uid="{DBE67689-6A9C-4424-8C44-1A0E1CA68B55}"/>
    <cellStyle name="Вывод 3 4 2 3 2 3" xfId="42937" xr:uid="{726A6729-F716-4FF1-ABA8-133012A1EFF3}"/>
    <cellStyle name="Вывод 3 4 2 3 3" xfId="24106" xr:uid="{D2DFB607-4E21-4CBB-92ED-4C6E7D0A0ACB}"/>
    <cellStyle name="Вывод 3 4 2 3 4" xfId="37187" xr:uid="{506F0A64-DCCA-4683-8D07-BC80E396D5E7}"/>
    <cellStyle name="Вывод 3 4 2 4" xfId="12980" xr:uid="{1DEDD7C8-DDA4-4379-B25E-2D85CBA55F92}"/>
    <cellStyle name="Вывод 3 4 2 4 2" xfId="29518" xr:uid="{7AE8CC90-90F9-413E-893F-202D2BD25B2C}"/>
    <cellStyle name="Вывод 3 4 2 4 3" xfId="42817" xr:uid="{2C38D4A0-AC85-4731-8095-D83A2ABC2E01}"/>
    <cellStyle name="Вывод 3 4 2 5" xfId="20858" xr:uid="{B60F4407-FD9A-4844-BAF0-819376174BC2}"/>
    <cellStyle name="Вывод 3 4 2 6" xfId="33881" xr:uid="{DE24157A-66C3-4B52-B549-C51C97496FEF}"/>
    <cellStyle name="Вывод 3 4 3" xfId="4121" xr:uid="{7E6D6D60-C673-4489-98A6-37BAFDA5569C}"/>
    <cellStyle name="Вывод 3 4 3 2" xfId="9173" xr:uid="{64ED8422-1975-4F3A-9219-1AF5AFDAA943}"/>
    <cellStyle name="Вывод 3 4 3 2 2" xfId="15202" xr:uid="{E8A97D51-494F-4508-A541-DCAA5BF476D1}"/>
    <cellStyle name="Вывод 3 4 3 2 2 2" xfId="31384" xr:uid="{ABBF84E8-F18E-46EA-A836-BCBA23C1E298}"/>
    <cellStyle name="Вывод 3 4 3 2 2 3" xfId="44856" xr:uid="{1AD4C1E9-064A-49F6-BBE0-9D4850A59CD7}"/>
    <cellStyle name="Вывод 3 4 3 2 3" xfId="26653" xr:uid="{53969C7B-5353-473A-BE8A-68255A4E36F6}"/>
    <cellStyle name="Вывод 3 4 3 2 4" xfId="39729" xr:uid="{864B9683-1404-498B-9525-2A40BC81A585}"/>
    <cellStyle name="Вывод 3 4 3 3" xfId="7685" xr:uid="{6926C17E-C3E7-45F0-A2E7-43DDCA1ACDCE}"/>
    <cellStyle name="Вывод 3 4 3 3 2" xfId="15783" xr:uid="{01263842-44FF-49EF-BB49-EB6676D506D2}"/>
    <cellStyle name="Вывод 3 4 3 3 2 2" xfId="31884" xr:uid="{0BE92421-5C90-4298-806B-1835B10AF127}"/>
    <cellStyle name="Вывод 3 4 3 3 2 3" xfId="45395" xr:uid="{AC5E2998-9305-4CAA-A2DE-AEF8A5F2F960}"/>
    <cellStyle name="Вывод 3 4 3 3 3" xfId="25212" xr:uid="{AE97227C-FE4E-4AF6-908D-D506ECA3AA31}"/>
    <cellStyle name="Вывод 3 4 3 3 4" xfId="38288" xr:uid="{AC4294AE-3192-49C8-BCDB-95D80633F38A}"/>
    <cellStyle name="Вывод 3 4 3 4" xfId="15029" xr:uid="{A335CDE9-3D70-4063-BC04-64E00D487ED0}"/>
    <cellStyle name="Вывод 3 4 3 4 2" xfId="31250" xr:uid="{006FB66E-DC95-43B1-9BB3-6A86F1ACCB5C}"/>
    <cellStyle name="Вывод 3 4 3 4 3" xfId="44704" xr:uid="{1782ADCC-9E6F-4A50-84A4-0901D240FDEB}"/>
    <cellStyle name="Вывод 3 4 3 5" xfId="21953" xr:uid="{7A92809C-385B-4E84-B875-0159007983F6}"/>
    <cellStyle name="Вывод 3 4 3 6" xfId="35002" xr:uid="{B36B0AB1-7318-45C6-9694-30178825DEA0}"/>
    <cellStyle name="Вывод 3 4 4" xfId="3195" xr:uid="{64A19BD2-B523-45D7-B4EE-60D6CC0C5A29}"/>
    <cellStyle name="Вывод 3 4 4 2" xfId="8487" xr:uid="{B784CA26-15B2-4553-A16E-DDFB7CF15D09}"/>
    <cellStyle name="Вывод 3 4 4 2 2" xfId="11040" xr:uid="{05B72FCB-C9BE-499B-AC1F-CB56B10E7A19}"/>
    <cellStyle name="Вывод 3 4 4 2 2 2" xfId="27846" xr:uid="{E102F4A6-5518-434D-B0FA-725256310A81}"/>
    <cellStyle name="Вывод 3 4 4 2 2 3" xfId="41020" xr:uid="{005B2421-52C4-4FD5-A2ED-AD29ACF2749B}"/>
    <cellStyle name="Вывод 3 4 4 2 3" xfId="25987" xr:uid="{B5116156-78E9-4306-9F6C-8448A0272B92}"/>
    <cellStyle name="Вывод 3 4 4 2 4" xfId="39063" xr:uid="{2B1D4DF5-F097-41CE-9461-D5B3008B669A}"/>
    <cellStyle name="Вывод 3 4 4 3" xfId="6854" xr:uid="{2A7911F0-6D71-4ECF-ABAF-CE7CA529735B}"/>
    <cellStyle name="Вывод 3 4 4 3 2" xfId="11610" xr:uid="{A0AB8116-0579-47EE-9881-997EBA9878B5}"/>
    <cellStyle name="Вывод 3 4 4 3 2 2" xfId="28357" xr:uid="{F578F8B9-6883-428F-9DF1-2EB4D53FB044}"/>
    <cellStyle name="Вывод 3 4 4 3 2 3" xfId="41559" xr:uid="{DD3B5BA5-92D9-472D-9529-9007B11BA817}"/>
    <cellStyle name="Вывод 3 4 4 3 3" xfId="24478" xr:uid="{2E0F46FC-E207-40FA-A785-266AC9ADB48E}"/>
    <cellStyle name="Вывод 3 4 4 3 4" xfId="37559" xr:uid="{B541F307-AE1D-43BC-9C65-A579FCAB8E6D}"/>
    <cellStyle name="Вывод 3 4 4 4" xfId="16927" xr:uid="{23CDA473-A415-4AEF-B68F-54B898CC722E}"/>
    <cellStyle name="Вывод 3 4 4 4 2" xfId="32780" xr:uid="{8F3809BF-9946-4176-B81C-A8A70DE99EB3}"/>
    <cellStyle name="Вывод 3 4 4 4 3" xfId="46469" xr:uid="{5AC21ACC-CE4A-4455-B6AE-E1F8623C1310}"/>
    <cellStyle name="Вывод 3 4 4 5" xfId="21230" xr:uid="{0B9F44B9-19BA-43E3-A7D9-0D7311FB2E70}"/>
    <cellStyle name="Вывод 3 4 4 6" xfId="34253" xr:uid="{B986060D-BF4B-4C5D-8E90-1F8F45C270BA}"/>
    <cellStyle name="Вывод 3 4 5" xfId="4264" xr:uid="{C6523C21-C9B8-4B24-8ACC-CC4E8BD845FB}"/>
    <cellStyle name="Вывод 3 4 5 2" xfId="9316" xr:uid="{FAFCFEB4-3CAB-43AA-92D3-BCF2FE71773B}"/>
    <cellStyle name="Вывод 3 4 5 2 2" xfId="12753" xr:uid="{9F7D43BA-C2E2-490C-8585-BCE5D03AABD4}"/>
    <cellStyle name="Вывод 3 4 5 2 2 2" xfId="29330" xr:uid="{3368550E-C9D5-45A0-8E1F-EAE8C2B9A072}"/>
    <cellStyle name="Вывод 3 4 5 2 2 3" xfId="42610" xr:uid="{192CD0CB-D7FB-4410-AA81-5ABFE1594090}"/>
    <cellStyle name="Вывод 3 4 5 2 3" xfId="26789" xr:uid="{6FF7BB5C-288F-4E59-ADAA-8D1FDBBE25C9}"/>
    <cellStyle name="Вывод 3 4 5 2 4" xfId="39865" xr:uid="{A0B25ED7-708E-47A5-8C09-09A4F2AECB1B}"/>
    <cellStyle name="Вывод 3 4 5 3" xfId="7828" xr:uid="{0E09602B-EBE8-41C3-BB6B-C77E006B6DB6}"/>
    <cellStyle name="Вывод 3 4 5 3 2" xfId="15205" xr:uid="{9C4706CB-9E70-4B0D-888F-6C81ADE2B684}"/>
    <cellStyle name="Вывод 3 4 5 3 2 2" xfId="31386" xr:uid="{45816E2A-B8E1-4BD7-A3A3-0AF455C84447}"/>
    <cellStyle name="Вывод 3 4 5 3 2 3" xfId="44858" xr:uid="{0D145FF8-C99B-4B27-8CC8-CDC1D42ABFC5}"/>
    <cellStyle name="Вывод 3 4 5 3 3" xfId="25348" xr:uid="{D0D172D8-4602-439A-B83C-7B0055A86BA3}"/>
    <cellStyle name="Вывод 3 4 5 3 4" xfId="38424" xr:uid="{76948B76-9D7C-4D41-AFF2-F9565DD67754}"/>
    <cellStyle name="Вывод 3 4 5 4" xfId="15518" xr:uid="{0B83C676-2795-40A4-88E8-D46A9F3E2EDB}"/>
    <cellStyle name="Вывод 3 4 5 4 2" xfId="31655" xr:uid="{9D8D40EF-22E1-407B-B292-BADEC53EA6E6}"/>
    <cellStyle name="Вывод 3 4 5 4 3" xfId="45153" xr:uid="{9E9B11E0-D228-4F9B-9F95-7843BB522008}"/>
    <cellStyle name="Вывод 3 4 5 5" xfId="22089" xr:uid="{F94BC1F3-9E7C-4F87-A269-E0425EAF6732}"/>
    <cellStyle name="Вывод 3 4 5 6" xfId="35138" xr:uid="{2534058B-5EB5-4A86-B43C-85DB87F43A34}"/>
    <cellStyle name="Вывод 3 4 6" xfId="4468" xr:uid="{1E466B71-D0D9-44F0-8C96-A4D48B3BD360}"/>
    <cellStyle name="Вывод 3 4 6 2" xfId="7108" xr:uid="{0D2D31F8-BC8D-46FF-B2ED-270DBB4E17E2}"/>
    <cellStyle name="Вывод 3 4 6 2 2" xfId="10963" xr:uid="{5794078D-7284-4142-913F-E761C7927D3D}"/>
    <cellStyle name="Вывод 3 4 6 2 2 2" xfId="27776" xr:uid="{6C1E81BA-38C1-4748-AFB7-AFA0030B37CB}"/>
    <cellStyle name="Вывод 3 4 6 2 2 3" xfId="40943" xr:uid="{A54E5150-18CD-410F-838F-36EDF75B3C6A}"/>
    <cellStyle name="Вывод 3 4 6 2 3" xfId="24707" xr:uid="{2E7C07B1-BE4C-4F11-AC22-0EB385499E10}"/>
    <cellStyle name="Вывод 3 4 6 2 4" xfId="37788" xr:uid="{47438A92-AEB0-4B43-B973-915C903404F4}"/>
    <cellStyle name="Вывод 3 4 6 3" xfId="12704" xr:uid="{D88C31E5-8669-4927-B9B5-137AC13DE27F}"/>
    <cellStyle name="Вывод 3 4 6 3 2" xfId="29290" xr:uid="{11979FAA-BA0F-45D5-9141-FB299CB3DA24}"/>
    <cellStyle name="Вывод 3 4 6 3 3" xfId="42567" xr:uid="{31E45146-C4AD-4D60-B12C-C4A17ED57C2B}"/>
    <cellStyle name="Вывод 3 4 6 4" xfId="22286" xr:uid="{E0E4C741-6D0E-4E03-9CEA-80B681F3AC09}"/>
    <cellStyle name="Вывод 3 4 6 5" xfId="35335" xr:uid="{80D2AA75-26FA-4611-A7D6-A8928B0E0BBB}"/>
    <cellStyle name="Вывод 3 4 7" xfId="5521" xr:uid="{F10F70ED-A0A8-4818-A221-5D9FD7D753EA}"/>
    <cellStyle name="Вывод 3 4 7 2" xfId="8703" xr:uid="{260A69B8-E1D7-4F48-9250-96632B1C2D04}"/>
    <cellStyle name="Вывод 3 4 7 2 2" xfId="17437" xr:uid="{916722C3-372F-422D-82A9-98BF5B415116}"/>
    <cellStyle name="Вывод 3 4 7 2 2 2" xfId="33191" xr:uid="{95B1E82F-4CC2-472F-B653-A6865F31F071}"/>
    <cellStyle name="Вывод 3 4 7 2 2 3" xfId="46967" xr:uid="{A8A2D7F3-DCC5-47FB-8BC3-F75D1784CED7}"/>
    <cellStyle name="Вывод 3 4 7 2 3" xfId="26196" xr:uid="{E56DA511-52CB-454C-994C-7A8C6DD4F142}"/>
    <cellStyle name="Вывод 3 4 7 2 4" xfId="39272" xr:uid="{DDF8969A-1B5D-48A0-AAD3-72F7FE1A304D}"/>
    <cellStyle name="Вывод 3 4 7 3" xfId="13690" xr:uid="{66FA7281-F438-4622-A7F4-BF1A0DA43F13}"/>
    <cellStyle name="Вывод 3 4 7 3 2" xfId="30114" xr:uid="{76C3ECF3-C460-42BA-98F8-D08091FC42FF}"/>
    <cellStyle name="Вывод 3 4 7 3 3" xfId="43473" xr:uid="{26C4EE50-EE25-4C54-9BEF-DEE141107C38}"/>
    <cellStyle name="Вывод 3 4 7 4" xfId="23168" xr:uid="{AF92E4FC-4896-4DCC-9612-853E8F47CC33}"/>
    <cellStyle name="Вывод 3 4 7 5" xfId="36249" xr:uid="{847329F5-2CA9-4884-A38E-A7AFEC872473}"/>
    <cellStyle name="Вывод 3 4 8" xfId="15819" xr:uid="{60EEAEB9-9C96-4DC7-8D2E-F4BF5D45E061}"/>
    <cellStyle name="Вывод 3 4 8 2" xfId="31914" xr:uid="{220299A9-5926-4348-8B75-72CDE5467350}"/>
    <cellStyle name="Вывод 3 4 8 3" xfId="45426" xr:uid="{9C6DE2FF-D9E3-4447-AA2C-5F3CC7218263}"/>
    <cellStyle name="Вывод 3 4 9" xfId="21438" xr:uid="{D3961D91-BEB7-49FD-9257-7475E9F89EE0}"/>
    <cellStyle name="Вывод 3 5" xfId="3450" xr:uid="{25537A7A-1C36-42FC-B944-27FAC93817BB}"/>
    <cellStyle name="Вывод 3 5 2" xfId="2792" xr:uid="{D40C177D-AEC2-4A7A-A539-F3976B548BE3}"/>
    <cellStyle name="Вывод 3 5 2 2" xfId="8088" xr:uid="{3AE8C665-493F-42DB-B86B-A25C01185757}"/>
    <cellStyle name="Вывод 3 5 2 2 2" xfId="10721" xr:uid="{69C14BF7-7A48-418B-ACBF-036ADAE7E66E}"/>
    <cellStyle name="Вывод 3 5 2 2 2 2" xfId="27565" xr:uid="{FE0D7E5D-B15E-4135-88AC-8E6B083B53B5}"/>
    <cellStyle name="Вывод 3 5 2 2 2 3" xfId="40702" xr:uid="{EB47EDA0-6980-4C48-B4A1-BBA5537D4357}"/>
    <cellStyle name="Вывод 3 5 2 2 3" xfId="25599" xr:uid="{CAA363F4-058F-4782-83D5-2A2CB51D8523}"/>
    <cellStyle name="Вывод 3 5 2 2 4" xfId="38675" xr:uid="{DA9A9D03-BE29-462D-BC09-2A8A64E76D4B}"/>
    <cellStyle name="Вывод 3 5 2 3" xfId="6455" xr:uid="{1F326A3A-7FFE-4764-91C9-557A2ED77DB6}"/>
    <cellStyle name="Вывод 3 5 2 3 2" xfId="13192" xr:uid="{5DA49711-C925-4574-86D1-C064CE262E72}"/>
    <cellStyle name="Вывод 3 5 2 3 2 2" xfId="29696" xr:uid="{E6099E6B-13D7-453B-B353-AC28C96FC621}"/>
    <cellStyle name="Вывод 3 5 2 3 2 3" xfId="43014" xr:uid="{1524D7D2-9B5E-4A97-9F4A-C8BC88780B8B}"/>
    <cellStyle name="Вывод 3 5 2 3 3" xfId="24090" xr:uid="{540D9ACE-3D7C-4F43-92AC-072D317A06F9}"/>
    <cellStyle name="Вывод 3 5 2 3 4" xfId="37171" xr:uid="{B5379765-613B-4A8F-94EB-C2E4135E1B71}"/>
    <cellStyle name="Вывод 3 5 2 4" xfId="14356" xr:uid="{4C9C7093-C5EE-42A2-9D5D-77376A183202}"/>
    <cellStyle name="Вывод 3 5 2 4 2" xfId="30690" xr:uid="{7460DCEB-4E13-4739-886E-9D58EC34069D}"/>
    <cellStyle name="Вывод 3 5 2 4 3" xfId="44086" xr:uid="{801147B6-40A5-4C27-9589-3187E5AD23DF}"/>
    <cellStyle name="Вывод 3 5 2 5" xfId="20842" xr:uid="{DF9D4E83-3B07-47E7-BD7B-2276EE958082}"/>
    <cellStyle name="Вывод 3 5 2 6" xfId="33865" xr:uid="{C28EE2A0-F263-4EAD-93AD-51B7E1B03330}"/>
    <cellStyle name="Вывод 3 5 3" xfId="4452" xr:uid="{40EEAE8C-85A3-4BF7-A944-FEAE46263329}"/>
    <cellStyle name="Вывод 3 5 3 2" xfId="7092" xr:uid="{3881DE2A-11DD-41FA-AF62-3FCE9B09237B}"/>
    <cellStyle name="Вывод 3 5 3 2 2" xfId="17182" xr:uid="{EA79139C-7612-4164-B22C-32A36E1AF1E2}"/>
    <cellStyle name="Вывод 3 5 3 2 2 2" xfId="32945" xr:uid="{B6922299-2648-4A79-B6B5-13846FF4B782}"/>
    <cellStyle name="Вывод 3 5 3 2 2 3" xfId="46717" xr:uid="{AC9C8E57-B711-4DB8-AC1F-A14C489BD41C}"/>
    <cellStyle name="Вывод 3 5 3 2 3" xfId="24691" xr:uid="{288082ED-B0A4-44D1-B4C4-79D533BB34E8}"/>
    <cellStyle name="Вывод 3 5 3 2 4" xfId="37772" xr:uid="{F678B5BD-0D43-4572-9746-6258D662B5B3}"/>
    <cellStyle name="Вывод 3 5 3 3" xfId="17116" xr:uid="{FBA1D4EE-7127-461A-8CD0-48097A16CBC2}"/>
    <cellStyle name="Вывод 3 5 3 3 2" xfId="32881" xr:uid="{0CD2C7A0-2DD3-4963-8B04-EF09C367EBB3}"/>
    <cellStyle name="Вывод 3 5 3 3 3" xfId="46652" xr:uid="{72F65BFD-338F-481D-9EAA-6FA4361E8923}"/>
    <cellStyle name="Вывод 3 5 3 4" xfId="22270" xr:uid="{68D1C369-7129-49C1-B166-CFEE7D6290B6}"/>
    <cellStyle name="Вывод 3 5 3 5" xfId="35319" xr:uid="{1C8F7510-EF5B-4760-8C74-92A8809B2149}"/>
    <cellStyle name="Вывод 3 5 4" xfId="5505" xr:uid="{A842D4CB-E84B-4BA8-9F56-FBBCFA6621DC}"/>
    <cellStyle name="Вывод 3 5 4 2" xfId="8687" xr:uid="{48DB956C-72D8-4E15-B8BF-47D9E9F183F0}"/>
    <cellStyle name="Вывод 3 5 4 2 2" xfId="15865" xr:uid="{1AC56E1A-CAC8-455B-BF30-5621D9FB8B5A}"/>
    <cellStyle name="Вывод 3 5 4 2 2 2" xfId="31954" xr:uid="{A25CE218-C503-4373-8865-57C23F05DA2F}"/>
    <cellStyle name="Вывод 3 5 4 2 2 3" xfId="45468" xr:uid="{A0F30EDB-F9A4-4CE1-A634-107265683C82}"/>
    <cellStyle name="Вывод 3 5 4 2 3" xfId="26180" xr:uid="{1A13CCD1-2448-4C76-BAFF-4BFDE1B5EB80}"/>
    <cellStyle name="Вывод 3 5 4 2 4" xfId="39256" xr:uid="{0DBA4DFD-4C83-42F1-A19A-1AE13735FA89}"/>
    <cellStyle name="Вывод 3 5 4 3" xfId="14950" xr:uid="{07AB5194-39C9-4125-9DE9-8CBC9F768611}"/>
    <cellStyle name="Вывод 3 5 4 3 2" xfId="31189" xr:uid="{47896130-BE25-46EB-BDBA-7D0BD0902181}"/>
    <cellStyle name="Вывод 3 5 4 3 3" xfId="44636" xr:uid="{850C7969-7CAF-402E-8138-304919F5205E}"/>
    <cellStyle name="Вывод 3 5 4 4" xfId="23152" xr:uid="{2955C603-0D26-4BBE-99FB-D362D28A650A}"/>
    <cellStyle name="Вывод 3 5 4 5" xfId="36233" xr:uid="{C39E0E9B-EB65-4880-AEBF-4E25F3E273B2}"/>
    <cellStyle name="Вывод 3 5 5" xfId="11109" xr:uid="{ACF57931-60AE-4EC2-974D-EC1400A1AA5F}"/>
    <cellStyle name="Вывод 3 5 5 2" xfId="27910" xr:uid="{36AE197C-0A5A-4565-A68C-F546645954E7}"/>
    <cellStyle name="Вывод 3 5 5 3" xfId="41088" xr:uid="{93B3970B-4682-4A7B-A696-E3B44F59FF77}"/>
    <cellStyle name="Вывод 3 5 6" xfId="21422" xr:uid="{C78E44A0-1C9F-43A8-8E49-A3C819FA8B39}"/>
    <cellStyle name="Вывод 3 5 7" xfId="34466" xr:uid="{EB6FD777-3E34-4015-AA84-628F4B25EA21}"/>
    <cellStyle name="Вывод 3 6" xfId="3502" xr:uid="{CBA81BC5-DBF7-4C73-8178-C05FB493A34E}"/>
    <cellStyle name="Вывод 3 6 2" xfId="2843" xr:uid="{66BE36A3-C775-4729-A9A3-58E8CFCEEEDD}"/>
    <cellStyle name="Вывод 3 6 2 2" xfId="8139" xr:uid="{93A11FEF-0EEB-499F-9E2B-9CBD477E88D7}"/>
    <cellStyle name="Вывод 3 6 2 2 2" xfId="17457" xr:uid="{B064BA1A-A379-474C-8694-94E6A32810E9}"/>
    <cellStyle name="Вывод 3 6 2 2 2 2" xfId="33202" xr:uid="{C586C64C-BDC7-4AEE-8025-DDD29C728190}"/>
    <cellStyle name="Вывод 3 6 2 2 2 3" xfId="46986" xr:uid="{1DB7983E-B62A-4916-A83A-6F6E685EE6C2}"/>
    <cellStyle name="Вывод 3 6 2 2 3" xfId="25650" xr:uid="{2C9DF28E-B2DC-4C83-8EB1-91BD1532266F}"/>
    <cellStyle name="Вывод 3 6 2 2 4" xfId="38726" xr:uid="{28C2643A-4290-4A84-B992-8A4AFB8E014F}"/>
    <cellStyle name="Вывод 3 6 2 3" xfId="6506" xr:uid="{3EC45F1E-8C74-4E75-A8C4-B5186462247A}"/>
    <cellStyle name="Вывод 3 6 2 3 2" xfId="11237" xr:uid="{EDE42707-47AC-4218-A704-37CD29EFF865}"/>
    <cellStyle name="Вывод 3 6 2 3 2 2" xfId="28029" xr:uid="{C71D27F8-B9BF-4250-93AB-F9E93E4C8A4C}"/>
    <cellStyle name="Вывод 3 6 2 3 2 3" xfId="41211" xr:uid="{41AB56CE-4FB1-4E01-BE59-496B6FF9A533}"/>
    <cellStyle name="Вывод 3 6 2 3 3" xfId="24141" xr:uid="{EFC9CF31-6A40-4F84-98CB-3E30FFFE4BF8}"/>
    <cellStyle name="Вывод 3 6 2 3 4" xfId="37222" xr:uid="{C8C13FEA-2960-4E47-B1C1-F860195ECF9F}"/>
    <cellStyle name="Вывод 3 6 2 4" xfId="13001" xr:uid="{87454DD2-4EDD-4DF5-9DE7-CF9A19942A3D}"/>
    <cellStyle name="Вывод 3 6 2 4 2" xfId="29537" xr:uid="{3EEA6072-9FB9-45C2-AE3D-004E0906F170}"/>
    <cellStyle name="Вывод 3 6 2 4 3" xfId="42838" xr:uid="{A41233FD-7338-45B9-A45E-CD4935ABC862}"/>
    <cellStyle name="Вывод 3 6 2 5" xfId="20893" xr:uid="{F6B89018-B4E3-415A-8A98-9BCE5AF29D39}"/>
    <cellStyle name="Вывод 3 6 2 6" xfId="33916" xr:uid="{B3A72AE0-631E-45CB-A61F-5E09B9F28177}"/>
    <cellStyle name="Вывод 3 6 3" xfId="4503" xr:uid="{2304D0B7-1248-470C-81BD-8DDE6EB68685}"/>
    <cellStyle name="Вывод 3 6 3 2" xfId="7144" xr:uid="{D32F7D2F-9441-4AC4-94B7-758BF27E1DAF}"/>
    <cellStyle name="Вывод 3 6 3 2 2" xfId="12752" xr:uid="{D8C3147E-C5DF-492A-8D3C-071EBC9275AD}"/>
    <cellStyle name="Вывод 3 6 3 2 2 2" xfId="29329" xr:uid="{5CB4A2F4-72D9-40A0-B331-F8CDD7A3135D}"/>
    <cellStyle name="Вывод 3 6 3 2 2 3" xfId="42609" xr:uid="{6EA75713-15E1-4EA6-A180-9AA75C6BD3E1}"/>
    <cellStyle name="Вывод 3 6 3 2 3" xfId="24742" xr:uid="{E66CFF7B-E3C9-4D9B-80B2-C94A9DDE3694}"/>
    <cellStyle name="Вывод 3 6 3 2 4" xfId="37823" xr:uid="{14F361F0-400F-4F7D-82D9-4B531D353094}"/>
    <cellStyle name="Вывод 3 6 3 3" xfId="11856" xr:uid="{7DF76697-EB96-4721-8525-E33EF19BEFAF}"/>
    <cellStyle name="Вывод 3 6 3 3 2" xfId="28573" xr:uid="{CE83CE39-3276-4878-A227-BD823442E8BC}"/>
    <cellStyle name="Вывод 3 6 3 3 3" xfId="41789" xr:uid="{FD67F6A3-9AA9-4B3F-8F27-C361B135752D}"/>
    <cellStyle name="Вывод 3 6 3 4" xfId="22321" xr:uid="{E7706E8C-9F95-4529-A8D9-FE87A27BA094}"/>
    <cellStyle name="Вывод 3 6 3 5" xfId="35370" xr:uid="{51D3949F-C29E-41D3-8988-43FD9AE215B1}"/>
    <cellStyle name="Вывод 3 6 4" xfId="5556" xr:uid="{5C87D2FA-0546-4CD1-9C67-A64C802DBE1A}"/>
    <cellStyle name="Вывод 3 6 4 2" xfId="8738" xr:uid="{822F0E36-21B8-49AB-8142-0C896ECC66E8}"/>
    <cellStyle name="Вывод 3 6 4 2 2" xfId="11691" xr:uid="{3EF7EEC4-96E6-4CAF-98C4-6EA0236B8DBE}"/>
    <cellStyle name="Вывод 3 6 4 2 2 2" xfId="28424" xr:uid="{60A8671E-FBD4-42F4-AD90-8AF918330B62}"/>
    <cellStyle name="Вывод 3 6 4 2 2 3" xfId="41634" xr:uid="{FC16F940-26F6-4E9E-A803-CECD59834DE3}"/>
    <cellStyle name="Вывод 3 6 4 2 3" xfId="26231" xr:uid="{5DD9C73D-F217-48B1-A579-5DEC33643F31}"/>
    <cellStyle name="Вывод 3 6 4 2 4" xfId="39307" xr:uid="{E9BC5D44-62D2-4901-8F6A-01B16F310D16}"/>
    <cellStyle name="Вывод 3 6 4 3" xfId="16649" xr:uid="{D83A9361-F91C-45D1-86BF-F4363E3F7EDD}"/>
    <cellStyle name="Вывод 3 6 4 3 2" xfId="32555" xr:uid="{23BB2DCD-6E81-4219-BFB1-FDAA9894DAAE}"/>
    <cellStyle name="Вывод 3 6 4 3 3" xfId="46196" xr:uid="{D2F2D60A-784F-44F1-BF4D-3C21081A42FD}"/>
    <cellStyle name="Вывод 3 6 4 4" xfId="23203" xr:uid="{4A4B130D-3A7F-4182-86E7-B22A0F2BEA91}"/>
    <cellStyle name="Вывод 3 6 4 5" xfId="36284" xr:uid="{7F055687-080C-4A67-B8D3-939FEEA9B3D7}"/>
    <cellStyle name="Вывод 3 6 5" xfId="10866" xr:uid="{9529F429-DE95-4F0E-A272-EB52737453F8}"/>
    <cellStyle name="Вывод 3 6 5 2" xfId="27693" xr:uid="{CD9CA475-BB63-4114-88E9-BFB3BAAA9ADA}"/>
    <cellStyle name="Вывод 3 6 5 3" xfId="40846" xr:uid="{B1FE725D-89CE-484C-A2FA-92DD106D484E}"/>
    <cellStyle name="Вывод 3 6 6" xfId="21465" xr:uid="{B950FB5C-DBF4-43A1-A014-39933C9B66EB}"/>
    <cellStyle name="Вывод 3 6 7" xfId="34517" xr:uid="{2B30E433-2B13-4AED-8AAA-948C159677FA}"/>
    <cellStyle name="Вывод 3 7" xfId="3478" xr:uid="{1BAA7F83-FE71-44EA-9878-5914EDE778A2}"/>
    <cellStyle name="Вывод 3 7 2" xfId="2820" xr:uid="{88A62238-5231-4FFB-879F-E780AC2B456A}"/>
    <cellStyle name="Вывод 3 7 2 2" xfId="8116" xr:uid="{398F43F3-F683-4F2C-A29C-29C4A864086B}"/>
    <cellStyle name="Вывод 3 7 2 2 2" xfId="14388" xr:uid="{D5392B65-3B61-4215-820A-F9953969279A}"/>
    <cellStyle name="Вывод 3 7 2 2 2 2" xfId="30720" xr:uid="{7778706F-E148-43BF-9EA2-A6B990B41520}"/>
    <cellStyle name="Вывод 3 7 2 2 2 3" xfId="44118" xr:uid="{E7D376A1-AAC7-4731-8054-81BC9C591289}"/>
    <cellStyle name="Вывод 3 7 2 2 3" xfId="25627" xr:uid="{5AC31CE8-D7D9-4B8E-987E-284BC90CA63A}"/>
    <cellStyle name="Вывод 3 7 2 2 4" xfId="38703" xr:uid="{4AA0E4BF-7CC0-414E-92D2-5A5FFC76ADDA}"/>
    <cellStyle name="Вывод 3 7 2 3" xfId="6483" xr:uid="{6A8D192D-71C6-45F2-A92F-B23E0874F326}"/>
    <cellStyle name="Вывод 3 7 2 3 2" xfId="14809" xr:uid="{768EFB3A-333C-4814-B31E-D7CC9167FA5C}"/>
    <cellStyle name="Вывод 3 7 2 3 2 2" xfId="31071" xr:uid="{A3502A7C-C0CB-407D-B854-0B9ED197A1E4}"/>
    <cellStyle name="Вывод 3 7 2 3 2 3" xfId="44506" xr:uid="{012650C9-39B3-49FE-A2D8-E6F2E4E9A447}"/>
    <cellStyle name="Вывод 3 7 2 3 3" xfId="24118" xr:uid="{72CF7D86-E6B4-468F-8CE7-1FAD77D1465B}"/>
    <cellStyle name="Вывод 3 7 2 3 4" xfId="37199" xr:uid="{311C3207-7590-4800-947E-3DB51C16D628}"/>
    <cellStyle name="Вывод 3 7 2 4" xfId="13752" xr:uid="{5B0FDCEB-1C6D-44C2-9768-FD247501EC9A}"/>
    <cellStyle name="Вывод 3 7 2 4 2" xfId="30165" xr:uid="{4BA9E7BB-9EED-4609-90B8-FE92CA8A85F8}"/>
    <cellStyle name="Вывод 3 7 2 4 3" xfId="43527" xr:uid="{0223AB68-7A0C-4671-9940-8FFBC1CE639D}"/>
    <cellStyle name="Вывод 3 7 2 5" xfId="20870" xr:uid="{51C9D2F8-5C05-4647-BEAE-36A476D83818}"/>
    <cellStyle name="Вывод 3 7 2 6" xfId="33893" xr:uid="{5F1A4C51-6BC9-4190-9227-11643297767D}"/>
    <cellStyle name="Вывод 3 7 3" xfId="4480" xr:uid="{BEAF3194-6F17-4B83-93D1-EBD4D712AB75}"/>
    <cellStyle name="Вывод 3 7 3 2" xfId="7120" xr:uid="{91BCEDE8-0C0A-4530-9308-24A1D4EFF877}"/>
    <cellStyle name="Вывод 3 7 3 2 2" xfId="16930" xr:uid="{3627ADE1-B055-41DF-BC6F-EEB9F76A4AB3}"/>
    <cellStyle name="Вывод 3 7 3 2 2 2" xfId="32782" xr:uid="{78153C6B-987B-4F2F-8083-2C10256F80D5}"/>
    <cellStyle name="Вывод 3 7 3 2 2 3" xfId="46472" xr:uid="{0E4EC5E6-30A5-45F8-9AA2-3B1964261484}"/>
    <cellStyle name="Вывод 3 7 3 2 3" xfId="24719" xr:uid="{3954FA0F-4E6F-4823-B8EE-5EFA490D9D03}"/>
    <cellStyle name="Вывод 3 7 3 2 4" xfId="37800" xr:uid="{EDB9DB41-35FE-459F-9D9F-02B0ECFF03AD}"/>
    <cellStyle name="Вывод 3 7 3 3" xfId="12390" xr:uid="{B02EB44F-4B7B-4F2D-B136-3DAD31BF8C0E}"/>
    <cellStyle name="Вывод 3 7 3 3 2" xfId="29055" xr:uid="{4275C263-A4AD-43D6-9C53-7EC1726648DC}"/>
    <cellStyle name="Вывод 3 7 3 3 3" xfId="42296" xr:uid="{EF7ED307-7491-4203-8B06-2B6C19C5C407}"/>
    <cellStyle name="Вывод 3 7 3 4" xfId="22298" xr:uid="{2979E632-5FE2-435C-AFC3-C90C26DE1CF0}"/>
    <cellStyle name="Вывод 3 7 3 5" xfId="35347" xr:uid="{839571FB-6357-4F63-B23F-A69BF71E04B3}"/>
    <cellStyle name="Вывод 3 7 4" xfId="5533" xr:uid="{A13E99F4-9B43-4DE1-A0BE-C45C31823DBD}"/>
    <cellStyle name="Вывод 3 7 4 2" xfId="8715" xr:uid="{DA290863-9389-444E-A3F8-FE3FEC43CFDE}"/>
    <cellStyle name="Вывод 3 7 4 2 2" xfId="16626" xr:uid="{45618014-F942-41FA-967B-BAC9D165E5A9}"/>
    <cellStyle name="Вывод 3 7 4 2 2 2" xfId="32532" xr:uid="{3ABC3AD2-0B06-49E0-8F43-979D2E3D401C}"/>
    <cellStyle name="Вывод 3 7 4 2 2 3" xfId="46173" xr:uid="{AC98FE4E-3767-419E-9591-9F11B79BF777}"/>
    <cellStyle name="Вывод 3 7 4 2 3" xfId="26208" xr:uid="{28528805-D8E1-4883-9A88-E1FC0444EC36}"/>
    <cellStyle name="Вывод 3 7 4 2 4" xfId="39284" xr:uid="{D1960D50-7F93-4A27-BDF9-A0201F5EFB41}"/>
    <cellStyle name="Вывод 3 7 4 3" xfId="13782" xr:uid="{BBCD752F-87F0-43E4-91BE-FE68AE02665F}"/>
    <cellStyle name="Вывод 3 7 4 3 2" xfId="30189" xr:uid="{9AA4E3A8-C70E-471D-90B3-43449B072F7D}"/>
    <cellStyle name="Вывод 3 7 4 3 3" xfId="43555" xr:uid="{DDC3D05C-CD1B-4ED7-A4A6-C27CB67234BE}"/>
    <cellStyle name="Вывод 3 7 4 4" xfId="23180" xr:uid="{B2CCF2B6-7EC0-4049-A787-9372CD587584}"/>
    <cellStyle name="Вывод 3 7 4 5" xfId="36261" xr:uid="{272F454F-778F-48AF-858B-8C9ADE100FF7}"/>
    <cellStyle name="Вывод 3 7 5" xfId="12048" xr:uid="{1BB494E3-D96D-4C32-B6E7-5C1148978348}"/>
    <cellStyle name="Вывод 3 7 5 2" xfId="28748" xr:uid="{CD9665E8-7D7A-4F66-B236-6AAEB61702AC}"/>
    <cellStyle name="Вывод 3 7 5 3" xfId="41968" xr:uid="{1F145D42-1BC9-4093-AAAC-2B6E7FF417AD}"/>
    <cellStyle name="Вывод 3 7 6" xfId="21446" xr:uid="{99513E7D-4A75-49C7-81EF-567D33DA2B80}"/>
    <cellStyle name="Вывод 3 7 7" xfId="34494" xr:uid="{482A6214-456C-4FB1-AEF3-B9E7D293B4F5}"/>
    <cellStyle name="Вывод 3 8" xfId="3504" xr:uid="{8B51AF3C-52C6-49DC-B23D-2241FF735A48}"/>
    <cellStyle name="Вывод 3 8 2" xfId="2845" xr:uid="{44C605FE-E144-4D68-A623-121F9636F198}"/>
    <cellStyle name="Вывод 3 8 2 2" xfId="8141" xr:uid="{A2940E8B-E357-42BD-8519-02564DB1A158}"/>
    <cellStyle name="Вывод 3 8 2 2 2" xfId="16634" xr:uid="{43CFC716-1FED-40CF-B6BF-462179D295E0}"/>
    <cellStyle name="Вывод 3 8 2 2 2 2" xfId="32540" xr:uid="{C7122E4F-3A64-4762-838B-2259FAD087B6}"/>
    <cellStyle name="Вывод 3 8 2 2 2 3" xfId="46181" xr:uid="{5F84E2EB-181C-41C6-8138-CE5FF74D610A}"/>
    <cellStyle name="Вывод 3 8 2 2 3" xfId="25652" xr:uid="{FE8AC089-1821-4A29-BAEF-545DDACF8648}"/>
    <cellStyle name="Вывод 3 8 2 2 4" xfId="38728" xr:uid="{26024171-6A35-4C1A-9DAB-1DDE6BEF3868}"/>
    <cellStyle name="Вывод 3 8 2 3" xfId="6508" xr:uid="{0D77E978-DCB8-461C-8F8B-AFFBA854D9B5}"/>
    <cellStyle name="Вывод 3 8 2 3 2" xfId="17357" xr:uid="{CD910BC8-8BCA-45F6-BD36-79C8F77919F7}"/>
    <cellStyle name="Вывод 3 8 2 3 2 2" xfId="33111" xr:uid="{2068DB14-76BA-48F4-A142-ACE19DD22AEC}"/>
    <cellStyle name="Вывод 3 8 2 3 2 3" xfId="46887" xr:uid="{66F41E96-7587-40C2-A6CD-E2FBC608575B}"/>
    <cellStyle name="Вывод 3 8 2 3 3" xfId="24143" xr:uid="{DC989DAA-B378-40E6-BD9C-B7A6121CB8BD}"/>
    <cellStyle name="Вывод 3 8 2 3 4" xfId="37224" xr:uid="{5D12F07B-1BF5-4A6E-BAC1-4BCDB1A03E91}"/>
    <cellStyle name="Вывод 3 8 2 4" xfId="11875" xr:uid="{6F8DC7AF-29DB-4E54-965C-82939D173A07}"/>
    <cellStyle name="Вывод 3 8 2 4 2" xfId="28591" xr:uid="{B1F728B0-9423-45B4-908B-71A6C5493DE9}"/>
    <cellStyle name="Вывод 3 8 2 4 3" xfId="41807" xr:uid="{33655B74-F717-4E37-874E-3DD637278EEE}"/>
    <cellStyle name="Вывод 3 8 2 5" xfId="20895" xr:uid="{6159033B-F693-4219-A149-C857FC042619}"/>
    <cellStyle name="Вывод 3 8 2 6" xfId="33918" xr:uid="{AB718DC7-983B-4AB1-B659-2A514F0DE9EA}"/>
    <cellStyle name="Вывод 3 8 3" xfId="4505" xr:uid="{0B168D8E-75D6-4D7B-94E5-89E2A4AEC0C6}"/>
    <cellStyle name="Вывод 3 8 3 2" xfId="7146" xr:uid="{1BF4669F-0778-43BC-BA4A-644139113236}"/>
    <cellStyle name="Вывод 3 8 3 2 2" xfId="11276" xr:uid="{F97037E4-F3AA-4FD7-9738-466408E8723D}"/>
    <cellStyle name="Вывод 3 8 3 2 2 2" xfId="28063" xr:uid="{E0713CED-E88B-462B-9536-8F6870E95ECA}"/>
    <cellStyle name="Вывод 3 8 3 2 2 3" xfId="41245" xr:uid="{DA986552-7D7D-43E0-ACAF-030B26674CB7}"/>
    <cellStyle name="Вывод 3 8 3 2 3" xfId="24744" xr:uid="{95948093-9C3C-4BB8-BCE9-F0BD318767D5}"/>
    <cellStyle name="Вывод 3 8 3 2 4" xfId="37825" xr:uid="{FC96ADFA-DB79-4525-A903-A9C3D10F424C}"/>
    <cellStyle name="Вывод 3 8 3 3" xfId="13448" xr:uid="{0EFC9E6B-EE7D-4BD4-B34A-DD549CAFA2E0}"/>
    <cellStyle name="Вывод 3 8 3 3 2" xfId="29912" xr:uid="{EDBC0B36-8C1A-4A2A-8498-F4AEA8803CDE}"/>
    <cellStyle name="Вывод 3 8 3 3 3" xfId="43250" xr:uid="{BC886A1C-9572-4AFD-97E6-7A703619085C}"/>
    <cellStyle name="Вывод 3 8 3 4" xfId="22323" xr:uid="{02FBD846-ADE3-4CC0-934C-4F4F4C05798A}"/>
    <cellStyle name="Вывод 3 8 3 5" xfId="35372" xr:uid="{D0834DFF-C281-4FE8-B3DD-5C9E7C8023FA}"/>
    <cellStyle name="Вывод 3 8 4" xfId="5558" xr:uid="{B34C47F6-758E-4832-9B75-BB4D69CE30B1}"/>
    <cellStyle name="Вывод 3 8 4 2" xfId="8740" xr:uid="{6281D52F-C3C0-4FC0-8A0D-F0D8CBA7CB98}"/>
    <cellStyle name="Вывод 3 8 4 2 2" xfId="13871" xr:uid="{7A6B2564-C42F-4BB0-A695-B15970D60C72}"/>
    <cellStyle name="Вывод 3 8 4 2 2 2" xfId="30269" xr:uid="{8758A6AF-136F-47A0-B5E1-FA187B16F283}"/>
    <cellStyle name="Вывод 3 8 4 2 2 3" xfId="43641" xr:uid="{60C325A4-580D-4646-9BBB-7F5A742292C6}"/>
    <cellStyle name="Вывод 3 8 4 2 3" xfId="26233" xr:uid="{122D6B29-E4A9-4812-8FED-A98D75EF8CF7}"/>
    <cellStyle name="Вывод 3 8 4 2 4" xfId="39309" xr:uid="{7E9CF84F-6897-4695-9D99-16370C2E2CFF}"/>
    <cellStyle name="Вывод 3 8 4 3" xfId="12430" xr:uid="{E9BE5213-B08F-403F-B4B8-177681C39EC6}"/>
    <cellStyle name="Вывод 3 8 4 3 2" xfId="29084" xr:uid="{FBF023C9-AED3-4182-897E-D23D600A059E}"/>
    <cellStyle name="Вывод 3 8 4 3 3" xfId="42329" xr:uid="{50089E40-569C-4513-8B56-17F82F4E095C}"/>
    <cellStyle name="Вывод 3 8 4 4" xfId="23205" xr:uid="{13137C87-42BB-48A6-AFEE-98329068D08F}"/>
    <cellStyle name="Вывод 3 8 4 5" xfId="36286" xr:uid="{9FC3935F-F85A-40E2-97E2-3A92B10FDE2D}"/>
    <cellStyle name="Вывод 3 8 5" xfId="15583" xr:uid="{AAF4BB97-D751-4ACB-97DB-21C41D109BFB}"/>
    <cellStyle name="Вывод 3 8 5 2" xfId="31711" xr:uid="{E2E62DA5-4398-4CF0-922E-5639CCC21437}"/>
    <cellStyle name="Вывод 3 8 5 3" xfId="45213" xr:uid="{296C23AC-CEDF-4B23-8D5B-13A3D5A5127E}"/>
    <cellStyle name="Вывод 3 8 6" xfId="21467" xr:uid="{89052937-8FC7-48C9-B774-AB80351EA9C1}"/>
    <cellStyle name="Вывод 3 8 7" xfId="34519" xr:uid="{847D079D-AE11-4697-9EF7-8A040E5EDF07}"/>
    <cellStyle name="Вывод 3 9" xfId="3586" xr:uid="{CB40D8BC-A91C-4C0E-A1FA-E53D9A1CC78C}"/>
    <cellStyle name="Вывод 3 9 2" xfId="2921" xr:uid="{640550F5-BE0B-4B52-A7F9-B1F66955F247}"/>
    <cellStyle name="Вывод 3 9 2 2" xfId="8217" xr:uid="{EDD661B0-44C9-4882-BB4D-9DB9AB14A11D}"/>
    <cellStyle name="Вывод 3 9 2 2 2" xfId="12345" xr:uid="{D633A3E0-6CDF-4B10-BBA1-A8E92B034AF5}"/>
    <cellStyle name="Вывод 3 9 2 2 2 2" xfId="29012" xr:uid="{B04DAF44-D1B5-4A35-AE7F-B9588E72061A}"/>
    <cellStyle name="Вывод 3 9 2 2 2 3" xfId="42252" xr:uid="{F8DE7BC4-9E90-47E7-9D84-31702CF28CD7}"/>
    <cellStyle name="Вывод 3 9 2 2 3" xfId="25728" xr:uid="{37CDE944-4200-43AA-B30D-CA47D3253DAC}"/>
    <cellStyle name="Вывод 3 9 2 2 4" xfId="38804" xr:uid="{9DA8C9B6-5FE7-48D4-B7A2-31BAE7F48E64}"/>
    <cellStyle name="Вывод 3 9 2 3" xfId="6584" xr:uid="{487776EA-0E10-423E-A8DD-10CC3A3643B7}"/>
    <cellStyle name="Вывод 3 9 2 3 2" xfId="15840" xr:uid="{540193C9-0557-4729-B38D-2116C52D9991}"/>
    <cellStyle name="Вывод 3 9 2 3 2 2" xfId="31933" xr:uid="{96496C95-44CD-4FC9-9063-774CD2A4E815}"/>
    <cellStyle name="Вывод 3 9 2 3 2 3" xfId="45445" xr:uid="{8C5907F2-24F5-4AB7-87B6-27954611FC7C}"/>
    <cellStyle name="Вывод 3 9 2 3 3" xfId="24219" xr:uid="{B8913FC0-2DDD-4009-A073-869CB78C498E}"/>
    <cellStyle name="Вывод 3 9 2 3 4" xfId="37300" xr:uid="{792F2FB7-517B-4D5E-888A-FFA0C2D1E6D7}"/>
    <cellStyle name="Вывод 3 9 2 4" xfId="16750" xr:uid="{634371B9-E2FE-4D8A-8293-F3138E76C884}"/>
    <cellStyle name="Вывод 3 9 2 4 2" xfId="32632" xr:uid="{2C8D64CF-1B11-4CAC-BE95-1558E282E885}"/>
    <cellStyle name="Вывод 3 9 2 4 3" xfId="46293" xr:uid="{AB3820BD-4542-4910-89FB-F9C1BEADED54}"/>
    <cellStyle name="Вывод 3 9 2 5" xfId="20971" xr:uid="{30C9ABF6-F93D-40F8-97CB-971508C83004}"/>
    <cellStyle name="Вывод 3 9 2 6" xfId="33994" xr:uid="{B63086D5-D96F-47E9-A46E-F4E5F46ED4AD}"/>
    <cellStyle name="Вывод 3 9 3" xfId="4551" xr:uid="{A02E7E10-E1CC-41EF-8B85-CBBEC026B0A7}"/>
    <cellStyle name="Вывод 3 9 3 2" xfId="7223" xr:uid="{D7BEDA84-63E9-4B1E-9045-0EC857F130FC}"/>
    <cellStyle name="Вывод 3 9 3 2 2" xfId="12891" xr:uid="{7DE70AF5-38CF-45A5-9A7D-6B7FDCFE5F26}"/>
    <cellStyle name="Вывод 3 9 3 2 2 2" xfId="29446" xr:uid="{7526BE71-F355-49A2-8010-E4EF5D88AEE5}"/>
    <cellStyle name="Вывод 3 9 3 2 2 3" xfId="42736" xr:uid="{98D9FA5D-6AEA-4323-832D-87179577DBDC}"/>
    <cellStyle name="Вывод 3 9 3 2 3" xfId="24817" xr:uid="{81DB2975-F78D-4D18-B004-F986827A0EBF}"/>
    <cellStyle name="Вывод 3 9 3 2 4" xfId="37898" xr:uid="{FEDF1E53-5CC3-419E-A067-8584D018F795}"/>
    <cellStyle name="Вывод 3 9 3 3" xfId="11664" xr:uid="{73DC3EE5-F03C-4055-9BFB-6875DCE8B551}"/>
    <cellStyle name="Вывод 3 9 3 3 2" xfId="28403" xr:uid="{5BEA6A2B-EF61-438E-89B4-12E1E8CD5911}"/>
    <cellStyle name="Вывод 3 9 3 3 3" xfId="41607" xr:uid="{825A8BAC-BD67-44B3-936A-A021B13E7BDF}"/>
    <cellStyle name="Вывод 3 9 3 4" xfId="22367" xr:uid="{B0BF13C2-91A7-4F14-A527-ED0BAA7CA614}"/>
    <cellStyle name="Вывод 3 9 3 5" xfId="35416" xr:uid="{DF45163C-9061-4005-BF85-1DAD44AD5BB6}"/>
    <cellStyle name="Вывод 3 9 4" xfId="5631" xr:uid="{328E1365-955F-4D03-838F-1AF16BFFE2CB}"/>
    <cellStyle name="Вывод 3 9 4 2" xfId="8813" xr:uid="{F0BE0EC4-5AB0-4452-9C66-394389279843}"/>
    <cellStyle name="Вывод 3 9 4 2 2" xfId="15412" xr:uid="{52FFBD11-F107-4AF9-83C8-B7574AD11838}"/>
    <cellStyle name="Вывод 3 9 4 2 2 2" xfId="31564" xr:uid="{C8171295-D05C-495C-AC24-B27036F783A2}"/>
    <cellStyle name="Вывод 3 9 4 2 2 3" xfId="45054" xr:uid="{6294838D-C2EC-4647-858F-E90051305332}"/>
    <cellStyle name="Вывод 3 9 4 2 3" xfId="26306" xr:uid="{593560B7-8307-4837-A639-4852159EA2D8}"/>
    <cellStyle name="Вывод 3 9 4 2 4" xfId="39382" xr:uid="{CDA88D91-6917-4774-966E-05B927B23A10}"/>
    <cellStyle name="Вывод 3 9 4 3" xfId="14685" xr:uid="{879ADB0B-D6C9-4422-BE1E-21A8FBD21B5B}"/>
    <cellStyle name="Вывод 3 9 4 3 2" xfId="30978" xr:uid="{98C17726-69C4-479F-BFCE-5B44DA41B70F}"/>
    <cellStyle name="Вывод 3 9 4 3 3" xfId="44399" xr:uid="{8D22FBCB-84E1-4FD8-8EA3-F4A8668E9F35}"/>
    <cellStyle name="Вывод 3 9 4 4" xfId="23278" xr:uid="{561ACBBE-1072-4BE1-87A5-6ECADB0C7342}"/>
    <cellStyle name="Вывод 3 9 4 5" xfId="36359" xr:uid="{5DCA5DC4-7925-4EE6-AD51-B285B91EA791}"/>
    <cellStyle name="Вывод 3 9 5" xfId="10842" xr:uid="{0E815802-9C17-4EA5-BABC-B13B9356AE2D}"/>
    <cellStyle name="Вывод 3 9 5 2" xfId="27672" xr:uid="{6FD89A3C-2CE2-4614-90E6-84DF1DD70B18}"/>
    <cellStyle name="Вывод 3 9 5 3" xfId="40823" xr:uid="{42E76516-C3BD-4E2C-A2D8-DD8AA1284F70}"/>
    <cellStyle name="Вывод 3 9 6" xfId="21540" xr:uid="{645A465F-6A61-417D-A000-200AFCB59D9E}"/>
    <cellStyle name="Вывод 3 9 7" xfId="34593" xr:uid="{4CF25551-3835-4718-8A8A-5A8E6B980F0D}"/>
    <cellStyle name="Вывод 4" xfId="2301" xr:uid="{576B07F2-0031-4C00-ACCA-EF8CEC0F5EA6}"/>
    <cellStyle name="Вывод 4 10" xfId="3726" xr:uid="{858D3A5C-0527-4590-B94C-FBB62854ABAD}"/>
    <cellStyle name="Вывод 4 10 2" xfId="3042" xr:uid="{8137A4C1-5D4B-490B-9B58-4F1F32E45C09}"/>
    <cellStyle name="Вывод 4 10 2 2" xfId="8338" xr:uid="{9B289F42-B952-442F-B6B6-C6F428690BD9}"/>
    <cellStyle name="Вывод 4 10 2 2 2" xfId="16036" xr:uid="{7D066155-ED95-4F27-8133-19F32DB24E7D}"/>
    <cellStyle name="Вывод 4 10 2 2 2 2" xfId="32101" xr:uid="{EC6A431B-A2E3-4F18-BC78-2F70C54E4C9A}"/>
    <cellStyle name="Вывод 4 10 2 2 2 3" xfId="45620" xr:uid="{667AADF6-6E5C-458F-B0CC-885D7463F908}"/>
    <cellStyle name="Вывод 4 10 2 2 3" xfId="25842" xr:uid="{69E1A279-1911-420F-A8B7-D93DA56E3CC6}"/>
    <cellStyle name="Вывод 4 10 2 2 4" xfId="38918" xr:uid="{8CFA67E8-E933-479D-9416-6234A843B08F}"/>
    <cellStyle name="Вывод 4 10 2 3" xfId="6705" xr:uid="{85AC890F-9BE6-4C81-8373-19D01FC98A19}"/>
    <cellStyle name="Вывод 4 10 2 3 2" xfId="16624" xr:uid="{C5FCBDB9-709A-418E-8D78-5164915814F6}"/>
    <cellStyle name="Вывод 4 10 2 3 2 2" xfId="32530" xr:uid="{03D557EA-9488-40FD-8353-D76C475E77E4}"/>
    <cellStyle name="Вывод 4 10 2 3 2 3" xfId="46171" xr:uid="{50EA1D6D-67D3-4000-A3F0-F95DCFCE7E19}"/>
    <cellStyle name="Вывод 4 10 2 3 3" xfId="24333" xr:uid="{EC594101-ABD1-4725-88A3-96D52DB19344}"/>
    <cellStyle name="Вывод 4 10 2 3 4" xfId="37414" xr:uid="{5820898A-0E6C-4A00-8159-8B74999B4911}"/>
    <cellStyle name="Вывод 4 10 2 4" xfId="11842" xr:uid="{10AF626C-38D5-40E4-B56E-7E8927D0D529}"/>
    <cellStyle name="Вывод 4 10 2 4 2" xfId="28561" xr:uid="{42883575-8A01-4C38-A3D9-F67C03DBD445}"/>
    <cellStyle name="Вывод 4 10 2 4 3" xfId="41775" xr:uid="{67340ADD-8B67-4969-9355-5BBB11F47867}"/>
    <cellStyle name="Вывод 4 10 2 5" xfId="21085" xr:uid="{58594B34-B0C3-4E69-8F29-7D9C5D365643}"/>
    <cellStyle name="Вывод 4 10 2 6" xfId="34108" xr:uid="{C83F4AF9-5839-4CB7-892A-14C614722B46}"/>
    <cellStyle name="Вывод 4 10 3" xfId="4627" xr:uid="{57A50D02-7703-4E57-A081-19791FB97DE9}"/>
    <cellStyle name="Вывод 4 10 3 2" xfId="7361" xr:uid="{DC6EFC16-9B25-4547-81CA-EBB0883B8725}"/>
    <cellStyle name="Вывод 4 10 3 2 2" xfId="14723" xr:uid="{D5320A6A-D959-4CF2-95C3-62532F9BA23A}"/>
    <cellStyle name="Вывод 4 10 3 2 2 2" xfId="31007" xr:uid="{07BCD2AC-CC8D-4266-9C5A-31069C2CC46D}"/>
    <cellStyle name="Вывод 4 10 3 2 2 3" xfId="44432" xr:uid="{D4E5FAF4-680A-4225-B403-53160FD06021}"/>
    <cellStyle name="Вывод 4 10 3 2 3" xfId="24920" xr:uid="{B6FABA64-5FC2-46C5-A353-A25EF7D919BB}"/>
    <cellStyle name="Вывод 4 10 3 2 4" xfId="38000" xr:uid="{873E1C08-2B57-477A-A58A-E8B3D814D9DA}"/>
    <cellStyle name="Вывод 4 10 3 3" xfId="17278" xr:uid="{71081FA3-D5F8-4A99-811D-21AD7A231D1C}"/>
    <cellStyle name="Вывод 4 10 3 3 2" xfId="33037" xr:uid="{16816412-6B4B-4D8D-A5FD-99FC46F20484}"/>
    <cellStyle name="Вывод 4 10 3 3 3" xfId="46812" xr:uid="{72640687-D67A-470F-ABD1-26727266CECB}"/>
    <cellStyle name="Вывод 4 10 3 4" xfId="22437" xr:uid="{FD60F88B-21C3-43E5-86D3-2E2AF7203DE5}"/>
    <cellStyle name="Вывод 4 10 3 5" xfId="35490" xr:uid="{F781EFE3-BFE0-480F-90AC-30F1F38556CB}"/>
    <cellStyle name="Вывод 4 10 4" xfId="5733" xr:uid="{C4FD4D1F-DAD4-4CC0-B6B5-D86F5F539194}"/>
    <cellStyle name="Вывод 4 10 4 2" xfId="8922" xr:uid="{4563536A-799B-47E2-816B-BC9EB7428505}"/>
    <cellStyle name="Вывод 4 10 4 2 2" xfId="13353" xr:uid="{877CDB5E-3235-4377-AB83-BA32AA3C890D}"/>
    <cellStyle name="Вывод 4 10 4 2 2 2" xfId="29832" xr:uid="{8886E115-2FF3-441F-B027-8454097A1D56}"/>
    <cellStyle name="Вывод 4 10 4 2 2 3" xfId="43166" xr:uid="{F8EC4F09-CE20-4BA4-83F0-21EC74AC763B}"/>
    <cellStyle name="Вывод 4 10 4 2 3" xfId="26408" xr:uid="{7C8F406E-667A-4936-B6A6-8EE4F72CE70C}"/>
    <cellStyle name="Вывод 4 10 4 2 4" xfId="39484" xr:uid="{F36A6760-91E4-4AB3-ADDC-830C06D502D5}"/>
    <cellStyle name="Вывод 4 10 4 3" xfId="12580" xr:uid="{4A7E3008-2699-4EB3-B8F8-F5D7896D6518}"/>
    <cellStyle name="Вывод 4 10 4 3 2" xfId="29196" xr:uid="{F4057D40-CA74-4D13-BA29-495D83670E46}"/>
    <cellStyle name="Вывод 4 10 4 3 3" xfId="42459" xr:uid="{FE6C9DC9-FA52-4F3B-902B-2CF683DEA4AB}"/>
    <cellStyle name="Вывод 4 10 4 4" xfId="23380" xr:uid="{111C2432-7B47-4682-B437-CB8B738C0149}"/>
    <cellStyle name="Вывод 4 10 4 5" xfId="36461" xr:uid="{EDF05153-CAFF-416B-B6D9-7B10F5AFFE71}"/>
    <cellStyle name="Вывод 4 10 5" xfId="12734" xr:uid="{57DA3651-D53E-4AD0-BE16-8068114C4331}"/>
    <cellStyle name="Вывод 4 10 5 2" xfId="29315" xr:uid="{C080FEE0-68F7-4538-BF40-0E7BDAF80AAA}"/>
    <cellStyle name="Вывод 4 10 5 3" xfId="42592" xr:uid="{A6A4A45C-4336-4B41-9951-94AAAB40916B}"/>
    <cellStyle name="Вывод 4 10 6" xfId="21642" xr:uid="{638695D8-3D48-4060-B158-2E06F27FE13B}"/>
    <cellStyle name="Вывод 4 10 7" xfId="34696" xr:uid="{4B1CC2E0-C6B3-4718-B883-3B198AB647A9}"/>
    <cellStyle name="Вывод 4 11" xfId="3573" xr:uid="{D4E0695F-EC3C-4678-9A78-8AEAC993E94E}"/>
    <cellStyle name="Вывод 4 11 2" xfId="2908" xr:uid="{FC8D73A4-1F88-4DA6-A960-46D2D2EB9995}"/>
    <cellStyle name="Вывод 4 11 2 2" xfId="8204" xr:uid="{D221638E-8780-4F63-B71C-CA04C0E040C2}"/>
    <cellStyle name="Вывод 4 11 2 2 2" xfId="16666" xr:uid="{58D6A82D-0FB9-4B0F-97BF-DB7F27498D97}"/>
    <cellStyle name="Вывод 4 11 2 2 2 2" xfId="32559" xr:uid="{CC0A9C79-20DB-4D04-B43B-5BB197FCA0CD}"/>
    <cellStyle name="Вывод 4 11 2 2 2 3" xfId="46213" xr:uid="{249269BD-00C4-440B-A5BF-9832C823851B}"/>
    <cellStyle name="Вывод 4 11 2 2 3" xfId="25715" xr:uid="{2951A3D6-520B-44D8-9992-B25F0A9884F7}"/>
    <cellStyle name="Вывод 4 11 2 2 4" xfId="38791" xr:uid="{E4C670A7-478C-40D0-80DC-BC68275A55D2}"/>
    <cellStyle name="Вывод 4 11 2 3" xfId="6571" xr:uid="{B0BFA3FC-A7A5-4E84-861F-194DA081970C}"/>
    <cellStyle name="Вывод 4 11 2 3 2" xfId="15909" xr:uid="{938580D4-896D-41E8-99AF-F23D50A66086}"/>
    <cellStyle name="Вывод 4 11 2 3 2 2" xfId="31991" xr:uid="{F0B9BE81-39BC-4CB5-976B-60C1C6BBB417}"/>
    <cellStyle name="Вывод 4 11 2 3 2 3" xfId="45507" xr:uid="{AC972466-AA91-4EDB-A9EE-C634B4FC25C6}"/>
    <cellStyle name="Вывод 4 11 2 3 3" xfId="24206" xr:uid="{6D2322A7-C682-417E-84F8-5276A6D33212}"/>
    <cellStyle name="Вывод 4 11 2 3 4" xfId="37287" xr:uid="{46218443-F853-4226-BD23-F93EB2551C61}"/>
    <cellStyle name="Вывод 4 11 2 4" xfId="12697" xr:uid="{AA3B46F5-6E6F-49E0-8C40-512CB2E639A2}"/>
    <cellStyle name="Вывод 4 11 2 4 2" xfId="29286" xr:uid="{B2CA0DF6-7967-4A69-A1E8-FE77FBA7AE5C}"/>
    <cellStyle name="Вывод 4 11 2 4 3" xfId="42562" xr:uid="{0934988E-EF0E-40EA-818E-7DC28A11BBA1}"/>
    <cellStyle name="Вывод 4 11 2 5" xfId="20958" xr:uid="{6869C40D-7275-4BFB-9D2C-6D1761D71DB6}"/>
    <cellStyle name="Вывод 4 11 2 6" xfId="33981" xr:uid="{F3C08CDF-F5FB-48A6-B011-5F84891C1D37}"/>
    <cellStyle name="Вывод 4 11 3" xfId="4664" xr:uid="{1BFB915D-6BE6-4839-8C07-1892B7486E72}"/>
    <cellStyle name="Вывод 4 11 3 2" xfId="7210" xr:uid="{F591F858-E351-4315-B5E9-8ACBF6E17596}"/>
    <cellStyle name="Вывод 4 11 3 2 2" xfId="13931" xr:uid="{657F36C4-9001-4EC3-BB66-0DD1DCA34E96}"/>
    <cellStyle name="Вывод 4 11 3 2 2 2" xfId="30320" xr:uid="{EBF82D2E-FEC4-4692-AD5F-3C98D34B1FCF}"/>
    <cellStyle name="Вывод 4 11 3 2 2 3" xfId="43696" xr:uid="{E7839B96-9CD2-4BBF-B27C-D1B7D62E571A}"/>
    <cellStyle name="Вывод 4 11 3 2 3" xfId="24804" xr:uid="{A02A30C3-96BF-44E8-A7DD-877453D0FF2B}"/>
    <cellStyle name="Вывод 4 11 3 2 4" xfId="37885" xr:uid="{6D9779A8-ECFB-478D-97DF-56E9C560CE11}"/>
    <cellStyle name="Вывод 4 11 3 3" xfId="11991" xr:uid="{CD97AFED-31B6-4FEC-AD33-918E677E1631}"/>
    <cellStyle name="Вывод 4 11 3 3 2" xfId="28697" xr:uid="{E06EA20F-F795-42B0-A2B9-9FA787F47608}"/>
    <cellStyle name="Вывод 4 11 3 3 3" xfId="41915" xr:uid="{F6E6B99B-79C6-4ED2-B8B4-198181EF7AA3}"/>
    <cellStyle name="Вывод 4 11 3 4" xfId="22474" xr:uid="{CF2FB634-4E14-42CA-B3EB-545C5DC2580C}"/>
    <cellStyle name="Вывод 4 11 3 5" xfId="35527" xr:uid="{B5F26718-D4E7-4479-9B71-393FE13C80F9}"/>
    <cellStyle name="Вывод 4 11 4" xfId="5618" xr:uid="{DCA59A6A-A315-4D31-B133-693E46603AE5}"/>
    <cellStyle name="Вывод 4 11 4 2" xfId="8800" xr:uid="{37E3BC0E-F64F-44BD-866B-7D9B1A04F40D}"/>
    <cellStyle name="Вывод 4 11 4 2 2" xfId="15847" xr:uid="{4752AAC9-4DD9-438F-81F8-65E91B38B10A}"/>
    <cellStyle name="Вывод 4 11 4 2 2 2" xfId="31940" xr:uid="{D460F0F2-DBAA-4B1D-B008-D98669D9F108}"/>
    <cellStyle name="Вывод 4 11 4 2 2 3" xfId="45452" xr:uid="{99E9036E-EDD1-4389-BC07-BE718116FCD9}"/>
    <cellStyle name="Вывод 4 11 4 2 3" xfId="26293" xr:uid="{9CC36C6B-0541-40EE-A9B9-145465262832}"/>
    <cellStyle name="Вывод 4 11 4 2 4" xfId="39369" xr:uid="{7849CF99-A7F8-4529-804B-CCA5734E9BC9}"/>
    <cellStyle name="Вывод 4 11 4 3" xfId="15729" xr:uid="{DF94452F-B21A-48BC-8B18-85C65214D70F}"/>
    <cellStyle name="Вывод 4 11 4 3 2" xfId="31839" xr:uid="{A5A3E0F1-2B32-4F1F-8CC4-281891255F8F}"/>
    <cellStyle name="Вывод 4 11 4 3 3" xfId="45348" xr:uid="{F92C5964-025C-4885-8DAB-620A4A5BF49E}"/>
    <cellStyle name="Вывод 4 11 4 4" xfId="23265" xr:uid="{7BE4E853-8678-4085-970F-C5C2096DD6A3}"/>
    <cellStyle name="Вывод 4 11 4 5" xfId="36346" xr:uid="{7EA25E3C-02F5-4D11-8918-CF1A47493757}"/>
    <cellStyle name="Вывод 4 11 5" xfId="13368" xr:uid="{34D2D2FA-78BD-4E14-996B-753D7A0DEA59}"/>
    <cellStyle name="Вывод 4 11 5 2" xfId="29842" xr:uid="{923B560B-BABC-4A4B-B1B0-C7DA588F1E39}"/>
    <cellStyle name="Вывод 4 11 5 3" xfId="43177" xr:uid="{4AA2A26F-CC28-46DA-85EB-5F47C5250D11}"/>
    <cellStyle name="Вывод 4 11 6" xfId="21527" xr:uid="{E71B0D83-BB26-4AFE-BA46-9F7F8DC3A839}"/>
    <cellStyle name="Вывод 4 11 7" xfId="34580" xr:uid="{D71C8540-F6E5-4FEF-847D-3FE9382BB8A4}"/>
    <cellStyle name="Вывод 4 12" xfId="3707" xr:uid="{89F2A71D-96EB-484B-B27E-E57B7B262DF8}"/>
    <cellStyle name="Вывод 4 12 2" xfId="3023" xr:uid="{C8AD2330-EFE8-482D-A078-93D61CA35873}"/>
    <cellStyle name="Вывод 4 12 2 2" xfId="8319" xr:uid="{310CDE0E-5729-4980-9B6C-BA2CC7BB9466}"/>
    <cellStyle name="Вывод 4 12 2 2 2" xfId="16551" xr:uid="{86F768EC-DE86-40BB-B183-5830727894BD}"/>
    <cellStyle name="Вывод 4 12 2 2 2 2" xfId="32487" xr:uid="{479B220C-9396-4C04-89EF-764D5950AEB3}"/>
    <cellStyle name="Вывод 4 12 2 2 2 3" xfId="46098" xr:uid="{840F4591-2A50-4971-A22A-8B5786D4D6E5}"/>
    <cellStyle name="Вывод 4 12 2 2 3" xfId="25823" xr:uid="{19B4B3D7-B8D1-47D3-9B9C-1C6DA228FC3A}"/>
    <cellStyle name="Вывод 4 12 2 2 4" xfId="38899" xr:uid="{173AD5A4-DED5-4FF8-A97A-AF7F010DAA53}"/>
    <cellStyle name="Вывод 4 12 2 3" xfId="6686" xr:uid="{2E8C0131-7EB5-464D-AF91-89978C303144}"/>
    <cellStyle name="Вывод 4 12 2 3 2" xfId="12513" xr:uid="{4E99710F-99AD-46FB-9E2C-440A4AAD580B}"/>
    <cellStyle name="Вывод 4 12 2 3 2 2" xfId="29145" xr:uid="{2B989FDE-6380-4418-974C-F04FA3DE64E7}"/>
    <cellStyle name="Вывод 4 12 2 3 2 3" xfId="42400" xr:uid="{7311EC90-673F-4D9B-9576-9173BD8CA490}"/>
    <cellStyle name="Вывод 4 12 2 3 3" xfId="24314" xr:uid="{AE7BB9AA-08A7-4369-AF4A-2AE59F9964D0}"/>
    <cellStyle name="Вывод 4 12 2 3 4" xfId="37395" xr:uid="{DAD33638-E0A1-43DF-B72C-94E5C2BE7FEA}"/>
    <cellStyle name="Вывод 4 12 2 4" xfId="17142" xr:uid="{73AB6849-85A3-4676-996A-C920DE35D899}"/>
    <cellStyle name="Вывод 4 12 2 4 2" xfId="32905" xr:uid="{D88ADBF6-AA40-470F-B2E1-68A9354B7AD5}"/>
    <cellStyle name="Вывод 4 12 2 4 3" xfId="46677" xr:uid="{ECD574E7-2845-4C90-9051-CF49A169E937}"/>
    <cellStyle name="Вывод 4 12 2 5" xfId="21066" xr:uid="{C4EA0AF8-FF66-472A-AF40-9A3DC6D6F6C7}"/>
    <cellStyle name="Вывод 4 12 2 6" xfId="34089" xr:uid="{7F1C86F1-EA4F-4ABB-974B-686569612C39}"/>
    <cellStyle name="Вывод 4 12 3" xfId="4737" xr:uid="{0E68629E-EAE3-4CF2-95AD-233E7E0DFF78}"/>
    <cellStyle name="Вывод 4 12 3 2" xfId="7342" xr:uid="{1DDB68F8-B61F-4303-890A-DBCE4F97C5D4}"/>
    <cellStyle name="Вывод 4 12 3 2 2" xfId="14505" xr:uid="{1C5249BF-1CDD-4BE1-AA1A-04FAF70953B2}"/>
    <cellStyle name="Вывод 4 12 3 2 2 2" xfId="30824" xr:uid="{19A58EE5-6AAC-48E5-89B1-C1827A0E12FC}"/>
    <cellStyle name="Вывод 4 12 3 2 2 3" xfId="44233" xr:uid="{851268F3-7494-4676-B29F-A3B10A6F16A3}"/>
    <cellStyle name="Вывод 4 12 3 2 3" xfId="24901" xr:uid="{FA191F26-A3A6-4BC5-9E0E-F523AEDB53C2}"/>
    <cellStyle name="Вывод 4 12 3 2 4" xfId="37981" xr:uid="{B2DEAB4E-AA39-4F7B-9C02-EF359E61D37A}"/>
    <cellStyle name="Вывод 4 12 3 3" xfId="14318" xr:uid="{C8CCE214-453D-4460-A97D-6B88A9BE2687}"/>
    <cellStyle name="Вывод 4 12 3 3 2" xfId="30655" xr:uid="{608CFFB3-E984-41B0-BFAC-F5792911C1AD}"/>
    <cellStyle name="Вывод 4 12 3 3 3" xfId="44049" xr:uid="{C737D392-22A2-41DE-A267-CDBC7C1DF165}"/>
    <cellStyle name="Вывод 4 12 3 4" xfId="22540" xr:uid="{A9F89793-ED0A-4053-BDB6-1CA9532C0D44}"/>
    <cellStyle name="Вывод 4 12 3 5" xfId="35593" xr:uid="{DB31FE43-508E-4B78-BF3C-317200048906}"/>
    <cellStyle name="Вывод 4 12 4" xfId="5714" xr:uid="{EEE443E7-6ADD-44EA-998D-1ADB74CABBA4}"/>
    <cellStyle name="Вывод 4 12 4 2" xfId="8903" xr:uid="{5E6BFB01-282A-4CF7-AB50-3C474031B043}"/>
    <cellStyle name="Вывод 4 12 4 2 2" xfId="13669" xr:uid="{495BFF25-045C-408F-932A-A44E8352AD7B}"/>
    <cellStyle name="Вывод 4 12 4 2 2 2" xfId="30094" xr:uid="{428F79CF-3C08-4853-816D-366DDC820AEC}"/>
    <cellStyle name="Вывод 4 12 4 2 2 3" xfId="43453" xr:uid="{A8F9CC2A-DB09-4FA3-8909-88A48F8B15ED}"/>
    <cellStyle name="Вывод 4 12 4 2 3" xfId="26389" xr:uid="{A561FE14-4FBE-4781-A490-59905230A489}"/>
    <cellStyle name="Вывод 4 12 4 2 4" xfId="39465" xr:uid="{F7530DA6-1759-4DB1-BF6E-FC91215E591F}"/>
    <cellStyle name="Вывод 4 12 4 3" xfId="13130" xr:uid="{FF333364-C8F7-4A6A-8239-BE5C16C37452}"/>
    <cellStyle name="Вывод 4 12 4 3 2" xfId="29644" xr:uid="{4C3FCDE9-EA87-462E-9992-FE561A0B4DD9}"/>
    <cellStyle name="Вывод 4 12 4 3 3" xfId="42956" xr:uid="{94DA1CE3-2D45-4039-A160-C07B1BD9276B}"/>
    <cellStyle name="Вывод 4 12 4 4" xfId="23361" xr:uid="{10611F29-ABC7-4E8E-ADC5-2D6C3B1951F3}"/>
    <cellStyle name="Вывод 4 12 4 5" xfId="36442" xr:uid="{672AD194-DA77-4BAF-A3C2-7DBC436C268B}"/>
    <cellStyle name="Вывод 4 12 5" xfId="12514" xr:uid="{552C16B5-0E65-44D9-8DA8-7B5F99CCA682}"/>
    <cellStyle name="Вывод 4 12 5 2" xfId="29146" xr:uid="{6B4A7205-0D93-47AD-B3B6-3B71DBF76B66}"/>
    <cellStyle name="Вывод 4 12 5 3" xfId="42401" xr:uid="{20734DAD-2FA8-4B01-BE3E-A754A5B361FE}"/>
    <cellStyle name="Вывод 4 12 6" xfId="21623" xr:uid="{A8AE6FEA-A5E4-4F88-90E6-3E87355791A0}"/>
    <cellStyle name="Вывод 4 12 7" xfId="34677" xr:uid="{231B0292-BA5C-44F9-BFC1-91102B07131B}"/>
    <cellStyle name="Вывод 4 13" xfId="3693" xr:uid="{73217907-5A7E-47E3-ACFC-DC0E729DE5FF}"/>
    <cellStyle name="Вывод 4 13 2" xfId="3009" xr:uid="{78C215FE-294A-4A1D-BF69-75B32BAAF832}"/>
    <cellStyle name="Вывод 4 13 2 2" xfId="8305" xr:uid="{8CB93703-F884-4C71-A802-AE6F990C5A10}"/>
    <cellStyle name="Вывод 4 13 2 2 2" xfId="17391" xr:uid="{9156C382-2BC1-46F3-9ACA-AC726CC1A17C}"/>
    <cellStyle name="Вывод 4 13 2 2 2 2" xfId="33145" xr:uid="{A71A96CB-6256-43ED-86E6-EF35FD9C143A}"/>
    <cellStyle name="Вывод 4 13 2 2 2 3" xfId="46921" xr:uid="{A4D13B57-053D-4159-BF53-3B06C97DDBD3}"/>
    <cellStyle name="Вывод 4 13 2 2 3" xfId="25809" xr:uid="{AC61E14B-9F2B-4AF7-8CFD-E6AF96F8FC6D}"/>
    <cellStyle name="Вывод 4 13 2 2 4" xfId="38885" xr:uid="{4534FF7E-AC32-4FCD-A6EB-2651F42BADAC}"/>
    <cellStyle name="Вывод 4 13 2 3" xfId="6672" xr:uid="{9E7D67B0-8A07-4E6D-A416-E95E041DCC81}"/>
    <cellStyle name="Вывод 4 13 2 3 2" xfId="12086" xr:uid="{7BC723F1-7850-49C8-9AA2-158EDD4F4011}"/>
    <cellStyle name="Вывод 4 13 2 3 2 2" xfId="28786" xr:uid="{47EA9502-4D91-4AA6-88F7-0FD18F23976B}"/>
    <cellStyle name="Вывод 4 13 2 3 2 3" xfId="42006" xr:uid="{05FDD9F6-43ED-4361-89B6-EA28F8E2596B}"/>
    <cellStyle name="Вывод 4 13 2 3 3" xfId="24300" xr:uid="{31AE4B17-58D0-4BC0-A279-4B046B75F623}"/>
    <cellStyle name="Вывод 4 13 2 3 4" xfId="37381" xr:uid="{67F6E592-AE8A-47DC-839A-B126A64B5436}"/>
    <cellStyle name="Вывод 4 13 2 4" xfId="14859" xr:uid="{0AD21F84-7C28-461F-BD5B-1160B0B3107C}"/>
    <cellStyle name="Вывод 4 13 2 4 2" xfId="31114" xr:uid="{779EB17E-6B44-4C14-9547-122E1EBE9D5D}"/>
    <cellStyle name="Вывод 4 13 2 4 3" xfId="44553" xr:uid="{40483BDD-278E-4EC2-8BBF-B5813DC07A58}"/>
    <cellStyle name="Вывод 4 13 2 5" xfId="21052" xr:uid="{D0D86C7A-2D11-461E-8534-C3F95C8CA74A}"/>
    <cellStyle name="Вывод 4 13 2 6" xfId="34075" xr:uid="{1D1C951F-159C-43D0-B162-EF5DE9767C44}"/>
    <cellStyle name="Вывод 4 13 3" xfId="4723" xr:uid="{5B682251-303D-4044-8BD1-E1F3E41B95F7}"/>
    <cellStyle name="Вывод 4 13 3 2" xfId="7328" xr:uid="{5AF926E9-2944-4538-8A67-3B77B38CEB91}"/>
    <cellStyle name="Вывод 4 13 3 2 2" xfId="13540" xr:uid="{6EA0FCAD-7E72-4360-964C-9ACE378458FF}"/>
    <cellStyle name="Вывод 4 13 3 2 2 2" xfId="29987" xr:uid="{A3DDA05F-BE08-425E-84C3-A53C97E94316}"/>
    <cellStyle name="Вывод 4 13 3 2 2 3" xfId="43335" xr:uid="{E6CE23CE-033E-48B8-95E3-5DF42D387A07}"/>
    <cellStyle name="Вывод 4 13 3 2 3" xfId="24887" xr:uid="{BF14B469-A4E9-4264-8634-15C7E3733870}"/>
    <cellStyle name="Вывод 4 13 3 2 4" xfId="37967" xr:uid="{92427751-0CEB-495B-872F-5B28B459918D}"/>
    <cellStyle name="Вывод 4 13 3 3" xfId="13917" xr:uid="{93E13FED-E6D5-4724-9868-EFBADE73DA3F}"/>
    <cellStyle name="Вывод 4 13 3 3 2" xfId="30308" xr:uid="{54F1A97B-04A1-43C6-87D5-09E0210B6DD3}"/>
    <cellStyle name="Вывод 4 13 3 3 3" xfId="43682" xr:uid="{07719703-1A51-460E-8C4A-EAFC7CF8930D}"/>
    <cellStyle name="Вывод 4 13 3 4" xfId="22526" xr:uid="{7624B4B5-63AC-4BDE-BEA4-4E9DB2380785}"/>
    <cellStyle name="Вывод 4 13 3 5" xfId="35579" xr:uid="{91EAB175-3D5E-4797-B839-993BC02BFFB8}"/>
    <cellStyle name="Вывод 4 13 4" xfId="5700" xr:uid="{BED9D198-921E-499E-8C53-141D495C73F2}"/>
    <cellStyle name="Вывод 4 13 4 2" xfId="8889" xr:uid="{3586A811-76BF-484F-B3F7-735185D73CEE}"/>
    <cellStyle name="Вывод 4 13 4 2 2" xfId="12593" xr:uid="{CBF184E3-BC94-4BCD-A7D9-064364423B4F}"/>
    <cellStyle name="Вывод 4 13 4 2 2 2" xfId="29208" xr:uid="{787A8963-A137-47A8-8E6D-6DD1FB3A2BFD}"/>
    <cellStyle name="Вывод 4 13 4 2 2 3" xfId="42472" xr:uid="{4FE99399-2804-4B4B-AB0C-B54D966AE994}"/>
    <cellStyle name="Вывод 4 13 4 2 3" xfId="26375" xr:uid="{C9006D18-C921-4B2B-A739-095FE9D75056}"/>
    <cellStyle name="Вывод 4 13 4 2 4" xfId="39451" xr:uid="{EAE7A6C9-F0DB-4280-A822-783BA15404A5}"/>
    <cellStyle name="Вывод 4 13 4 3" xfId="14895" xr:uid="{D80EF1EE-F35C-4A9C-A39E-6420D32B7008}"/>
    <cellStyle name="Вывод 4 13 4 3 2" xfId="31143" xr:uid="{769844A8-47B4-4125-B415-D2348169A5BD}"/>
    <cellStyle name="Вывод 4 13 4 3 3" xfId="44586" xr:uid="{5B645618-3B7E-482D-946C-F43D33D375A1}"/>
    <cellStyle name="Вывод 4 13 4 4" xfId="23347" xr:uid="{B6461812-918E-4722-8209-7137A29731CE}"/>
    <cellStyle name="Вывод 4 13 4 5" xfId="36428" xr:uid="{C8AF1D1F-AA78-4088-9F45-94564299BB49}"/>
    <cellStyle name="Вывод 4 13 5" xfId="11213" xr:uid="{4656257C-199A-47D5-BAA6-947E2C92F513}"/>
    <cellStyle name="Вывод 4 13 5 2" xfId="28007" xr:uid="{13C58697-D855-4C34-8310-9C77AF49B568}"/>
    <cellStyle name="Вывод 4 13 5 3" xfId="41189" xr:uid="{F84705E7-93A9-4E45-B5CE-399F52BE21D5}"/>
    <cellStyle name="Вывод 4 13 6" xfId="21609" xr:uid="{E103E6D1-1493-44DF-BEF8-04B9DFF77FC1}"/>
    <cellStyle name="Вывод 4 13 7" xfId="34663" xr:uid="{5587FB88-4F09-4DBF-AD6A-053B0F407AF3}"/>
    <cellStyle name="Вывод 4 14" xfId="3824" xr:uid="{7EC6AE56-FD76-4116-A308-038E91DD03FB}"/>
    <cellStyle name="Вывод 4 14 2" xfId="3086" xr:uid="{E15D001D-CFF2-480A-A3F9-EEA7AEC217BA}"/>
    <cellStyle name="Вывод 4 14 2 2" xfId="8378" xr:uid="{5AFC410B-CD20-46EA-9C6B-F0C53A063825}"/>
    <cellStyle name="Вывод 4 14 2 2 2" xfId="14273" xr:uid="{61F1036C-A1E4-4E37-9410-4A889F004027}"/>
    <cellStyle name="Вывод 4 14 2 2 2 2" xfId="30615" xr:uid="{6B3520F6-439E-4233-ACCA-93DA9A0D1877}"/>
    <cellStyle name="Вывод 4 14 2 2 2 3" xfId="44008" xr:uid="{DCABCE10-C9C4-482D-BBBC-C46338CB4AA3}"/>
    <cellStyle name="Вывод 4 14 2 2 3" xfId="25881" xr:uid="{8BA10D51-3F61-4513-9F2A-50B0B175D2B3}"/>
    <cellStyle name="Вывод 4 14 2 2 4" xfId="38957" xr:uid="{CE96CB5C-BAE8-4587-AE7F-604DF1500403}"/>
    <cellStyle name="Вывод 4 14 2 3" xfId="6745" xr:uid="{BDF1DCB7-50E1-4CF1-8FD1-8B89FC69490E}"/>
    <cellStyle name="Вывод 4 14 2 3 2" xfId="11502" xr:uid="{A90424C8-372B-4015-8CE3-FA0EBA61C00B}"/>
    <cellStyle name="Вывод 4 14 2 3 2 2" xfId="28262" xr:uid="{BEF05810-9281-4DA5-9E20-5A58704D16BE}"/>
    <cellStyle name="Вывод 4 14 2 3 2 3" xfId="41458" xr:uid="{06823730-2133-4BFB-944F-578018D17E9F}"/>
    <cellStyle name="Вывод 4 14 2 3 3" xfId="24372" xr:uid="{3B4274EF-1D29-40E5-BC72-FABF4681AC26}"/>
    <cellStyle name="Вывод 4 14 2 3 4" xfId="37453" xr:uid="{5BCC80A1-3135-47CF-BF92-083A997E5490}"/>
    <cellStyle name="Вывод 4 14 2 4" xfId="12421" xr:uid="{17C7066B-0C67-454C-AAB3-1701F4D14AFE}"/>
    <cellStyle name="Вывод 4 14 2 4 2" xfId="29078" xr:uid="{839236DE-B934-489D-8292-8012B29A08DF}"/>
    <cellStyle name="Вывод 4 14 2 4 3" xfId="42323" xr:uid="{7B5C38AE-066A-464B-84EC-6B56E97EBBA9}"/>
    <cellStyle name="Вывод 4 14 2 5" xfId="21124" xr:uid="{F4D29180-EA84-4F0D-B70D-C23A3259D7E2}"/>
    <cellStyle name="Вывод 4 14 2 6" xfId="34147" xr:uid="{4E9B4D6E-8357-49E2-ACEA-9536F4A9347D}"/>
    <cellStyle name="Вывод 4 14 3" xfId="4770" xr:uid="{FAE4B2B8-FF64-403B-AA11-E57AF162DE99}"/>
    <cellStyle name="Вывод 4 14 3 2" xfId="7411" xr:uid="{554B102D-4AD4-46EF-8B96-7284EB1E65C4}"/>
    <cellStyle name="Вывод 4 14 3 2 2" xfId="11733" xr:uid="{D8FCE739-5F91-4D9E-BB06-CE704DF64EFE}"/>
    <cellStyle name="Вывод 4 14 3 2 2 2" xfId="28460" xr:uid="{AC5FCD5B-C4E4-415E-9933-77AB7068EE94}"/>
    <cellStyle name="Вывод 4 14 3 2 2 3" xfId="41671" xr:uid="{6316DDB4-DF61-4F74-BC80-9F48B0B339E5}"/>
    <cellStyle name="Вывод 4 14 3 2 3" xfId="24969" xr:uid="{44A5F171-86FD-45EF-9614-94F6EC996E8D}"/>
    <cellStyle name="Вывод 4 14 3 2 4" xfId="38045" xr:uid="{B2798A7B-F6B6-417F-A968-707EF85A0910}"/>
    <cellStyle name="Вывод 4 14 3 3" xfId="15212" xr:uid="{14CBEA53-D268-437D-98CF-F18B8688AEBD}"/>
    <cellStyle name="Вывод 4 14 3 3 2" xfId="31393" xr:uid="{4354CC02-8185-49C8-A01A-70ABCDAC603C}"/>
    <cellStyle name="Вывод 4 14 3 3 3" xfId="44865" xr:uid="{7F99A81D-E153-4BBE-A9FF-DA911470BC61}"/>
    <cellStyle name="Вывод 4 14 3 4" xfId="22572" xr:uid="{EF6B08D9-0582-4175-9A09-235B58A9F997}"/>
    <cellStyle name="Вывод 4 14 3 5" xfId="35625" xr:uid="{B1B3248B-7EB5-4FCE-96D2-9A71B57F7BB8}"/>
    <cellStyle name="Вывод 4 14 4" xfId="5795" xr:uid="{B9B03336-4C64-46AF-84B8-A821F5414D6D}"/>
    <cellStyle name="Вывод 4 14 4 2" xfId="8956" xr:uid="{5F223818-17BB-4FC5-B30A-CC449A59BD65}"/>
    <cellStyle name="Вывод 4 14 4 2 2" xfId="11288" xr:uid="{CF7FA30A-6F8E-422E-9B4B-5F8FAF0F14B8}"/>
    <cellStyle name="Вывод 4 14 4 2 2 2" xfId="28073" xr:uid="{D9856906-B0C1-44F8-85B5-39FA1F34AA39}"/>
    <cellStyle name="Вывод 4 14 4 2 2 3" xfId="41256" xr:uid="{A6C5645A-B927-4D20-9627-9B471B2A0A82}"/>
    <cellStyle name="Вывод 4 14 4 2 3" xfId="26441" xr:uid="{9D761778-E0D7-4AEC-B773-F15FD0A031D3}"/>
    <cellStyle name="Вывод 4 14 4 2 4" xfId="39517" xr:uid="{E09CAE44-0DF0-4811-954B-9C0E61FB184B}"/>
    <cellStyle name="Вывод 4 14 4 3" xfId="11975" xr:uid="{A96DF2BF-2439-480C-BF48-FED5D90EB0DE}"/>
    <cellStyle name="Вывод 4 14 4 3 2" xfId="28682" xr:uid="{A004E829-B72D-4C2B-97C7-2BD9E6CDE30C}"/>
    <cellStyle name="Вывод 4 14 4 3 3" xfId="41900" xr:uid="{A89F6469-22D5-474B-8B1D-5EF37D966ADE}"/>
    <cellStyle name="Вывод 4 14 4 4" xfId="23442" xr:uid="{14A34C6F-E292-4614-A936-29BC53DC9381}"/>
    <cellStyle name="Вывод 4 14 4 5" xfId="36523" xr:uid="{A62A8F16-F888-4A74-A7F1-5E258AD83A61}"/>
    <cellStyle name="Вывод 4 14 5" xfId="16445" xr:uid="{7C47F75D-203D-4AE2-8C67-FEB44F499F8A}"/>
    <cellStyle name="Вывод 4 14 5 2" xfId="32455" xr:uid="{63F64F3E-141A-4C44-A54C-97E6800AC069}"/>
    <cellStyle name="Вывод 4 14 5 3" xfId="45994" xr:uid="{A02E18AB-781A-432B-A8B5-47045F453BB4}"/>
    <cellStyle name="Вывод 4 14 6" xfId="21704" xr:uid="{4B9FA02D-436F-4BA2-B7DF-3681AFAB1C74}"/>
    <cellStyle name="Вывод 4 14 7" xfId="34758" xr:uid="{C30F9E2A-DC65-425F-8FEA-A172B5C6F805}"/>
    <cellStyle name="Вывод 4 15" xfId="3719" xr:uid="{26C32FF6-9A10-4864-8C19-80DB34BC7FDE}"/>
    <cellStyle name="Вывод 4 15 2" xfId="3035" xr:uid="{6C5ACC83-4029-45FF-8691-9B7C14EE09AE}"/>
    <cellStyle name="Вывод 4 15 2 2" xfId="8331" xr:uid="{DE6C1695-F3F0-428B-A8A1-AFFAA743C8DE}"/>
    <cellStyle name="Вывод 4 15 2 2 2" xfId="14656" xr:uid="{2AB71BDC-3DAD-4587-8278-BE8177754A98}"/>
    <cellStyle name="Вывод 4 15 2 2 2 2" xfId="30950" xr:uid="{F260A41A-FFE1-4BDE-94A4-3B18270BE66F}"/>
    <cellStyle name="Вывод 4 15 2 2 2 3" xfId="44371" xr:uid="{0DBA1112-8B6C-4621-8CD9-16D1FD25D8AE}"/>
    <cellStyle name="Вывод 4 15 2 2 3" xfId="25835" xr:uid="{0F17E5EA-B918-4DA5-889D-5EC22E6B9DE9}"/>
    <cellStyle name="Вывод 4 15 2 2 4" xfId="38911" xr:uid="{917195AC-3DC6-4B54-B59B-23A29D1C45AD}"/>
    <cellStyle name="Вывод 4 15 2 3" xfId="6698" xr:uid="{8043CA35-2F7D-413A-8C9C-8814EBC83242}"/>
    <cellStyle name="Вывод 4 15 2 3 2" xfId="15762" xr:uid="{2A13890D-B1E9-4DC0-A28E-D5046A42FE95}"/>
    <cellStyle name="Вывод 4 15 2 3 2 2" xfId="31867" xr:uid="{E90532ED-102F-4789-A9C4-FC662E7AD1B8}"/>
    <cellStyle name="Вывод 4 15 2 3 2 3" xfId="45378" xr:uid="{B538A2B7-7F1C-4A10-92C1-7B67911A9641}"/>
    <cellStyle name="Вывод 4 15 2 3 3" xfId="24326" xr:uid="{DFF63CDC-FBEF-4686-83A9-C3431BD4523E}"/>
    <cellStyle name="Вывод 4 15 2 3 4" xfId="37407" xr:uid="{D314EBDF-A8DD-4364-8E92-CA0A55DB21DF}"/>
    <cellStyle name="Вывод 4 15 2 4" xfId="13596" xr:uid="{4E93A2A6-E948-49B0-9EF1-A1DE80D2D2E3}"/>
    <cellStyle name="Вывод 4 15 2 4 2" xfId="30036" xr:uid="{D02B03B8-AA3F-4838-96A7-150155702DC2}"/>
    <cellStyle name="Вывод 4 15 2 4 3" xfId="43388" xr:uid="{48E0B94A-9FAE-4AD4-8F2D-CE18D583FF7C}"/>
    <cellStyle name="Вывод 4 15 2 5" xfId="21078" xr:uid="{46471496-CCE4-44F4-AD8C-A02A4A7FBD6F}"/>
    <cellStyle name="Вывод 4 15 2 6" xfId="34101" xr:uid="{CFD1BBDF-82AD-4B39-949D-140C896D34A0}"/>
    <cellStyle name="Вывод 4 15 3" xfId="4745" xr:uid="{98E57219-5F07-4D52-9DB7-A63305D50609}"/>
    <cellStyle name="Вывод 4 15 3 2" xfId="7354" xr:uid="{C362085A-48CD-49E6-B9EB-1ABC7C8BEB45}"/>
    <cellStyle name="Вывод 4 15 3 2 2" xfId="14864" xr:uid="{F7C82C23-08F9-4721-BDC1-6902C7F40AF7}"/>
    <cellStyle name="Вывод 4 15 3 2 2 2" xfId="31118" xr:uid="{CE7CAFC1-FED5-45D4-8867-C4FAA484909D}"/>
    <cellStyle name="Вывод 4 15 3 2 2 3" xfId="44557" xr:uid="{B936F78B-AFB3-4C75-B0CB-BEEF6C440497}"/>
    <cellStyle name="Вывод 4 15 3 2 3" xfId="24913" xr:uid="{69C47595-7A5F-4FF6-88EB-4D73E11C3D2B}"/>
    <cellStyle name="Вывод 4 15 3 2 4" xfId="37993" xr:uid="{3B52F640-EF76-4BEC-B9D9-3EDB3E2FE6B3}"/>
    <cellStyle name="Вывод 4 15 3 3" xfId="17217" xr:uid="{3DF8F541-A65D-4943-AA76-8B0B35144103}"/>
    <cellStyle name="Вывод 4 15 3 3 2" xfId="32977" xr:uid="{C1BEBA11-15B8-4DFA-B280-D5B6CB93741C}"/>
    <cellStyle name="Вывод 4 15 3 3 3" xfId="46751" xr:uid="{EC336B89-2626-413C-A0B4-7D4557D22C03}"/>
    <cellStyle name="Вывод 4 15 3 4" xfId="22548" xr:uid="{0E6AF234-A558-4F46-A96A-9847E35FE456}"/>
    <cellStyle name="Вывод 4 15 3 5" xfId="35601" xr:uid="{2AA17219-EF83-4642-8FCB-2497881E2DAA}"/>
    <cellStyle name="Вывод 4 15 4" xfId="5726" xr:uid="{2540BF6A-8EB6-4382-BCB9-7CA11D663E64}"/>
    <cellStyle name="Вывод 4 15 4 2" xfId="8915" xr:uid="{D8DA2018-4913-4985-B575-C3B7548D0D5A}"/>
    <cellStyle name="Вывод 4 15 4 2 2" xfId="11430" xr:uid="{43506390-C382-47FF-8582-9B9F2459C67C}"/>
    <cellStyle name="Вывод 4 15 4 2 2 2" xfId="28198" xr:uid="{2BD0F883-0785-450C-8EDB-0FE179996AD8}"/>
    <cellStyle name="Вывод 4 15 4 2 2 3" xfId="41389" xr:uid="{18A5B5F8-880F-496C-B71A-E2F53EA8964D}"/>
    <cellStyle name="Вывод 4 15 4 2 3" xfId="26401" xr:uid="{C4126E05-CB7B-4CE2-92DB-B44A9E5992C8}"/>
    <cellStyle name="Вывод 4 15 4 2 4" xfId="39477" xr:uid="{797A779C-6D5A-4F65-8D20-BDDC9104F390}"/>
    <cellStyle name="Вывод 4 15 4 3" xfId="11030" xr:uid="{B08D1353-C554-4380-AEB2-4C4327467B3C}"/>
    <cellStyle name="Вывод 4 15 4 3 2" xfId="27837" xr:uid="{B7B28EEB-2B51-42DC-B43A-8170F56568A6}"/>
    <cellStyle name="Вывод 4 15 4 3 3" xfId="41010" xr:uid="{6EE4C990-2B1F-4F10-BAF4-54DC332D7ECF}"/>
    <cellStyle name="Вывод 4 15 4 4" xfId="23373" xr:uid="{BA44B9C4-B211-43F2-9F19-5F4654F75F23}"/>
    <cellStyle name="Вывод 4 15 4 5" xfId="36454" xr:uid="{B460B92A-8486-42B4-AC6A-493271FB7646}"/>
    <cellStyle name="Вывод 4 15 5" xfId="17114" xr:uid="{2D1D156A-1C79-4C01-87F5-B19D470839C4}"/>
    <cellStyle name="Вывод 4 15 5 2" xfId="32879" xr:uid="{53632F83-3549-417F-978C-296F11FDF00E}"/>
    <cellStyle name="Вывод 4 15 5 3" xfId="46650" xr:uid="{D2C6036A-45FF-4208-B37A-B6208D75ABD5}"/>
    <cellStyle name="Вывод 4 15 6" xfId="21635" xr:uid="{608092D0-57A5-427D-9C6B-2DCFAF284BDC}"/>
    <cellStyle name="Вывод 4 15 7" xfId="34689" xr:uid="{1141E62A-7406-4130-9626-64BA0F65D163}"/>
    <cellStyle name="Вывод 4 16" xfId="3890" xr:uid="{C329C8D7-AF05-4AD7-ABEA-B3B797C9996B}"/>
    <cellStyle name="Вывод 4 16 2" xfId="3159" xr:uid="{8E1FB4B5-2AE9-4DC3-A36E-5DD1A815797B}"/>
    <cellStyle name="Вывод 4 16 2 2" xfId="8451" xr:uid="{6CD3B8EE-B84E-4ACC-80E4-6A589D1E2CF6}"/>
    <cellStyle name="Вывод 4 16 2 2 2" xfId="15532" xr:uid="{C67ABEB5-CEA4-4F03-B89A-FDE303412B29}"/>
    <cellStyle name="Вывод 4 16 2 2 2 2" xfId="31668" xr:uid="{7F95F0CB-9723-41B2-AEE8-45CB97DEBB05}"/>
    <cellStyle name="Вывод 4 16 2 2 2 3" xfId="45167" xr:uid="{B9D24C01-D989-4DF7-A0FD-17114E29F0CC}"/>
    <cellStyle name="Вывод 4 16 2 2 3" xfId="25953" xr:uid="{F9E377E8-A327-4286-ABD6-1A406FD00C7D}"/>
    <cellStyle name="Вывод 4 16 2 2 4" xfId="39029" xr:uid="{060A9A4D-E6C4-4062-A0DE-DE048141F57D}"/>
    <cellStyle name="Вывод 4 16 2 3" xfId="6818" xr:uid="{B4F118C5-5B32-496E-8409-3F1612DE9544}"/>
    <cellStyle name="Вывод 4 16 2 3 2" xfId="14425" xr:uid="{8FE1C611-349A-4AE4-94EB-054CE9425974}"/>
    <cellStyle name="Вывод 4 16 2 3 2 2" xfId="30755" xr:uid="{F8EF1517-72B7-4302-B2EE-B8A0307D44BF}"/>
    <cellStyle name="Вывод 4 16 2 3 2 3" xfId="44155" xr:uid="{B52CC694-D649-4522-AC08-21A72E6E179E}"/>
    <cellStyle name="Вывод 4 16 2 3 3" xfId="24444" xr:uid="{B84B3321-6C68-41D4-98BD-CFC032F771E5}"/>
    <cellStyle name="Вывод 4 16 2 3 4" xfId="37525" xr:uid="{E6732887-09B8-405E-AE10-1A4143559E18}"/>
    <cellStyle name="Вывод 4 16 2 4" xfId="11368" xr:uid="{7ECE81DB-101E-4803-83A0-5D463B0A5172}"/>
    <cellStyle name="Вывод 4 16 2 4 2" xfId="28145" xr:uid="{4EB427B7-4CEB-4ABA-9683-BF1330EA2245}"/>
    <cellStyle name="Вывод 4 16 2 4 3" xfId="41334" xr:uid="{91309345-533A-447C-AC1A-27404886117A}"/>
    <cellStyle name="Вывод 4 16 2 5" xfId="21196" xr:uid="{83CC9519-C68E-43BB-B8E5-D453C53D168F}"/>
    <cellStyle name="Вывод 4 16 2 6" xfId="34219" xr:uid="{FA8BB0AD-984B-4524-B419-33D76F33B8F0}"/>
    <cellStyle name="Вывод 4 16 3" xfId="4827" xr:uid="{A146E107-1820-4EF7-9B74-B202DCF2438E}"/>
    <cellStyle name="Вывод 4 16 3 2" xfId="7471" xr:uid="{C35FAD95-7ABE-48D8-87B6-E317B359F2A6}"/>
    <cellStyle name="Вывод 4 16 3 2 2" xfId="15376" xr:uid="{B0942D1A-90C2-488A-B2B0-CC0EF7F51DC7}"/>
    <cellStyle name="Вывод 4 16 3 2 2 2" xfId="31532" xr:uid="{6ACD7520-E206-43B7-A3CE-C46C153A5572}"/>
    <cellStyle name="Вывод 4 16 3 2 2 3" xfId="45019" xr:uid="{16269C9E-9DA2-4B68-8D2E-49EA9B6596D6}"/>
    <cellStyle name="Вывод 4 16 3 2 3" xfId="25028" xr:uid="{6EA898BB-BDA0-4200-9C58-580BF84267D5}"/>
    <cellStyle name="Вывод 4 16 3 2 4" xfId="38104" xr:uid="{D6B50B9C-E3BD-4D1D-AC6D-CA9949AE24E2}"/>
    <cellStyle name="Вывод 4 16 3 3" xfId="12059" xr:uid="{5841B49F-BAB1-4500-BDF5-496BA5394E23}"/>
    <cellStyle name="Вывод 4 16 3 3 2" xfId="28759" xr:uid="{AA16D84C-4789-47BD-B963-0CC031A50832}"/>
    <cellStyle name="Вывод 4 16 3 3 3" xfId="41979" xr:uid="{48FF2539-C0CA-47DD-901D-79921717F518}"/>
    <cellStyle name="Вывод 4 16 3 4" xfId="22629" xr:uid="{FDE830AD-E081-403C-B080-42C27FB8C79F}"/>
    <cellStyle name="Вывод 4 16 3 5" xfId="35682" xr:uid="{625F6497-81DC-4DD9-A94C-7848CC722698}"/>
    <cellStyle name="Вывод 4 16 4" xfId="5854" xr:uid="{79B2DE77-4C9F-4E7B-8DD9-A2BDFC3B46A2}"/>
    <cellStyle name="Вывод 4 16 4 2" xfId="9012" xr:uid="{771456E5-0D88-44C6-B206-E350A3A8AD5C}"/>
    <cellStyle name="Вывод 4 16 4 2 2" xfId="16124" xr:uid="{E9785C1A-845F-4DDD-B1E0-BE1EB4F5D581}"/>
    <cellStyle name="Вывод 4 16 4 2 2 2" xfId="32179" xr:uid="{868A240F-7CE9-4F51-A4C7-1E0B88F1260C}"/>
    <cellStyle name="Вывод 4 16 4 2 2 3" xfId="45700" xr:uid="{01306B96-6038-4D5B-9220-7A1E8551A8C6}"/>
    <cellStyle name="Вывод 4 16 4 2 3" xfId="26497" xr:uid="{C7346461-853D-4646-895B-E9C9B2293526}"/>
    <cellStyle name="Вывод 4 16 4 2 4" xfId="39573" xr:uid="{348E8F3D-9589-4C8C-949E-7BB65F760DD7}"/>
    <cellStyle name="Вывод 4 16 4 3" xfId="13785" xr:uid="{0CAE9F8A-4FD3-4007-9BD8-A3D3D081CE80}"/>
    <cellStyle name="Вывод 4 16 4 3 2" xfId="30192" xr:uid="{4433A076-B47F-425E-B642-D8A17D246E64}"/>
    <cellStyle name="Вывод 4 16 4 3 3" xfId="43558" xr:uid="{D72147AB-83F0-4454-9473-E6D4F6800D88}"/>
    <cellStyle name="Вывод 4 16 4 4" xfId="23501" xr:uid="{56F1089D-7FA0-43CC-878A-54AF0D3B873D}"/>
    <cellStyle name="Вывод 4 16 4 5" xfId="36582" xr:uid="{9E4AE624-54D3-479C-A898-01A0A4D3511F}"/>
    <cellStyle name="Вывод 4 16 5" xfId="13573" xr:uid="{2DF40937-3548-45AC-B11C-9B76B497B355}"/>
    <cellStyle name="Вывод 4 16 5 2" xfId="30016" xr:uid="{57B5BA31-F5CF-4E75-A064-70F01C9D6B66}"/>
    <cellStyle name="Вывод 4 16 5 3" xfId="43366" xr:uid="{2895B950-05BA-4175-B527-08A86A8D1EA6}"/>
    <cellStyle name="Вывод 4 16 6" xfId="21766" xr:uid="{BCAE35FF-E945-4B0C-9033-8218DA910B54}"/>
    <cellStyle name="Вывод 4 16 7" xfId="34817" xr:uid="{E230456A-E341-41F3-8784-C39B1ED4C349}"/>
    <cellStyle name="Вывод 4 17" xfId="3973" xr:uid="{03482099-7847-4A49-825D-761C499D45A3}"/>
    <cellStyle name="Вывод 4 17 2" xfId="3218" xr:uid="{28142C7C-EF53-4E88-AC28-6D748B3C896A}"/>
    <cellStyle name="Вывод 4 17 2 2" xfId="8509" xr:uid="{8CA59656-46CA-4C78-B7F4-9198E88B95C8}"/>
    <cellStyle name="Вывод 4 17 2 2 2" xfId="13270" xr:uid="{60B18EFB-3A67-43BB-85DC-B99737CB89A5}"/>
    <cellStyle name="Вывод 4 17 2 2 2 2" xfId="29761" xr:uid="{AA1B6791-0EC8-4E52-8FBF-72EBF1AEA22F}"/>
    <cellStyle name="Вывод 4 17 2 2 2 3" xfId="43087" xr:uid="{793D55BE-8801-4AAD-ABB1-3780450C553F}"/>
    <cellStyle name="Вывод 4 17 2 2 3" xfId="26008" xr:uid="{07291979-05A2-4302-9803-B98F88E88372}"/>
    <cellStyle name="Вывод 4 17 2 2 4" xfId="39084" xr:uid="{4BDA1FD7-43A9-4562-A4D6-D505FD8BE736}"/>
    <cellStyle name="Вывод 4 17 2 3" xfId="6877" xr:uid="{78DE352E-CB8A-4B20-A19F-7F3EDB1E3F88}"/>
    <cellStyle name="Вывод 4 17 2 3 2" xfId="13139" xr:uid="{92C1C52D-260D-4469-B408-5967BBAE7700}"/>
    <cellStyle name="Вывод 4 17 2 3 2 2" xfId="29653" xr:uid="{3D2664E1-669C-42C1-A303-8B7853F69C68}"/>
    <cellStyle name="Вывод 4 17 2 3 2 3" xfId="42965" xr:uid="{C5BE94AC-9388-4D0F-961D-E615A077C607}"/>
    <cellStyle name="Вывод 4 17 2 3 3" xfId="24500" xr:uid="{A944EBE9-C0D1-4555-A855-66A30C8C456B}"/>
    <cellStyle name="Вывод 4 17 2 3 4" xfId="37581" xr:uid="{0105B546-6BA9-4740-9E19-8A7D11CB28DA}"/>
    <cellStyle name="Вывод 4 17 2 4" xfId="17549" xr:uid="{1786AFF4-92AF-40EC-AF29-AA5A062FB0C9}"/>
    <cellStyle name="Вывод 4 17 2 4 2" xfId="33287" xr:uid="{C4F69C74-DD20-4656-BBF5-4B136055EEA0}"/>
    <cellStyle name="Вывод 4 17 2 4 3" xfId="47074" xr:uid="{EA0000A1-A2B9-402F-9CB0-A79ECA95C59C}"/>
    <cellStyle name="Вывод 4 17 2 5" xfId="21252" xr:uid="{FB2EF749-B107-4E5C-88DB-067534E9E04F}"/>
    <cellStyle name="Вывод 4 17 2 6" xfId="34275" xr:uid="{E4D63F53-ECB8-478F-A77A-299FAE7E5D2C}"/>
    <cellStyle name="Вывод 4 17 3" xfId="4885" xr:uid="{1BBB2373-58F9-4427-AFAD-3B751EAF448B}"/>
    <cellStyle name="Вывод 4 17 3 2" xfId="7553" xr:uid="{5033266D-6E5C-40D7-AF02-A507BD24DBC5}"/>
    <cellStyle name="Вывод 4 17 3 2 2" xfId="12427" xr:uid="{80902FDB-77A2-464B-BA8E-E7B0F7563E5B}"/>
    <cellStyle name="Вывод 4 17 3 2 2 2" xfId="29081" xr:uid="{FAF56AA7-AF0B-46DE-8613-8F8049DC44DF}"/>
    <cellStyle name="Вывод 4 17 3 2 2 3" xfId="42326" xr:uid="{166CA1B4-1CB7-4018-84C0-0B2F9EFB598E}"/>
    <cellStyle name="Вывод 4 17 3 2 3" xfId="25081" xr:uid="{D08BDADE-08C7-493C-B7F0-A9F9813DBA77}"/>
    <cellStyle name="Вывод 4 17 3 2 4" xfId="38157" xr:uid="{A1C015EE-BB3D-4E63-9B55-94918F20CD43}"/>
    <cellStyle name="Вывод 4 17 3 3" xfId="11633" xr:uid="{0F1FFA0F-700E-4A31-B628-CB5D367E50E2}"/>
    <cellStyle name="Вывод 4 17 3 3 2" xfId="28378" xr:uid="{3871EDB6-8123-4384-A9E4-38ACFA49C2F2}"/>
    <cellStyle name="Вывод 4 17 3 3 3" xfId="41581" xr:uid="{E49EE570-EF2A-4C82-8488-3FBC77FAFA95}"/>
    <cellStyle name="Вывод 4 17 3 4" xfId="22682" xr:uid="{4840F546-FF8F-47B9-9EDA-A49B04CDF9E6}"/>
    <cellStyle name="Вывод 4 17 3 5" xfId="35735" xr:uid="{C80255A6-D752-41A1-AD31-386E1DD31E85}"/>
    <cellStyle name="Вывод 4 17 4" xfId="5907" xr:uid="{F79154C0-BDAB-4774-9674-468ADE207C98}"/>
    <cellStyle name="Вывод 4 17 4 2" xfId="9067" xr:uid="{84BACA2F-6AD3-4811-AF64-6EF75A4185FB}"/>
    <cellStyle name="Вывод 4 17 4 2 2" xfId="17101" xr:uid="{3EC06BFC-93B3-47C7-BC1E-DD6DBDD9DFC7}"/>
    <cellStyle name="Вывод 4 17 4 2 2 2" xfId="32869" xr:uid="{E2FAC9F6-9D43-41B6-9FCB-FF47053EC826}"/>
    <cellStyle name="Вывод 4 17 4 2 2 3" xfId="46640" xr:uid="{FAB73643-9ACF-46B9-892A-4F0B39843AC8}"/>
    <cellStyle name="Вывод 4 17 4 2 3" xfId="26548" xr:uid="{AC6EC3B9-99E3-4FC7-9068-8618B0C98381}"/>
    <cellStyle name="Вывод 4 17 4 2 4" xfId="39624" xr:uid="{2D195678-0CD2-4F01-A2E3-8BB6DE7E82C2}"/>
    <cellStyle name="Вывод 4 17 4 3" xfId="14654" xr:uid="{7AD54679-1C5A-497B-AA52-EE5C9223E8FA}"/>
    <cellStyle name="Вывод 4 17 4 3 2" xfId="30948" xr:uid="{4B381A47-AE53-4070-A53B-716656754EA9}"/>
    <cellStyle name="Вывод 4 17 4 3 3" xfId="44369" xr:uid="{245B9773-BD5D-434C-B637-5811398AEE19}"/>
    <cellStyle name="Вывод 4 17 4 4" xfId="23554" xr:uid="{2B238393-1C24-4B4E-8E2A-BB425B8E3E6E}"/>
    <cellStyle name="Вывод 4 17 4 5" xfId="36635" xr:uid="{E76DDADB-D0C4-4801-90C6-D2CE9F6648A9}"/>
    <cellStyle name="Вывод 4 17 5" xfId="13009" xr:uid="{1CEDFAB8-9707-4F48-BA07-6E35436ED2CC}"/>
    <cellStyle name="Вывод 4 17 5 2" xfId="29542" xr:uid="{ED4B286C-43C8-449D-A0FC-4F606BF1C173}"/>
    <cellStyle name="Вывод 4 17 5 3" xfId="42844" xr:uid="{60103992-B4BD-4931-8B8C-63BFD20C40C3}"/>
    <cellStyle name="Вывод 4 17 6" xfId="21820" xr:uid="{672B6D81-E918-4CF9-8178-9B98F05E7F7B}"/>
    <cellStyle name="Вывод 4 17 7" xfId="34870" xr:uid="{C6872F97-46DC-40FB-8D9D-0E852BBAB7BA}"/>
    <cellStyle name="Вывод 4 18" xfId="3880" xr:uid="{6A940B92-5CCC-4DA3-BEC3-BD0995769AA3}"/>
    <cellStyle name="Вывод 4 18 2" xfId="3137" xr:uid="{4D7B22B0-CA4C-43E4-9F93-B0AB3A67EFC1}"/>
    <cellStyle name="Вывод 4 18 2 2" xfId="8429" xr:uid="{BD39EF32-6F19-430A-BC80-B143BDCC7991}"/>
    <cellStyle name="Вывод 4 18 2 2 2" xfId="14969" xr:uid="{FCB233F9-4005-4E3F-AEA2-FFAA8B4FA4BF}"/>
    <cellStyle name="Вывод 4 18 2 2 2 2" xfId="31205" xr:uid="{A99258F7-EEE1-42CE-B837-DE001E7575F5}"/>
    <cellStyle name="Вывод 4 18 2 2 2 3" xfId="44653" xr:uid="{314511D8-91CB-4D75-92B5-11D89F1D8710}"/>
    <cellStyle name="Вывод 4 18 2 2 3" xfId="25931" xr:uid="{8C2B52BA-2F90-461F-BD94-5729975FAC11}"/>
    <cellStyle name="Вывод 4 18 2 2 4" xfId="39007" xr:uid="{924945A8-E4B2-4936-A79A-3E609D0E4C03}"/>
    <cellStyle name="Вывод 4 18 2 3" xfId="6796" xr:uid="{12B248E2-1854-4041-8CD4-0428476D1141}"/>
    <cellStyle name="Вывод 4 18 2 3 2" xfId="13114" xr:uid="{F771216E-5152-4B95-87B1-480E165ED8AB}"/>
    <cellStyle name="Вывод 4 18 2 3 2 2" xfId="29629" xr:uid="{3DB7D548-58DB-470E-BDCB-D97C7579B44D}"/>
    <cellStyle name="Вывод 4 18 2 3 2 3" xfId="42940" xr:uid="{17110A0D-1279-4CE1-980D-8C1C8B30E825}"/>
    <cellStyle name="Вывод 4 18 2 3 3" xfId="24422" xr:uid="{921B0844-D69F-44C7-8C16-96BC326DC807}"/>
    <cellStyle name="Вывод 4 18 2 3 4" xfId="37503" xr:uid="{216202B4-D21F-4A82-A7BA-D919897BC3B6}"/>
    <cellStyle name="Вывод 4 18 2 4" xfId="13877" xr:uid="{2F68E25D-CCDF-4CC8-90CA-835FD86F5CCD}"/>
    <cellStyle name="Вывод 4 18 2 4 2" xfId="30274" xr:uid="{8B568922-0A51-4A88-B9CF-4D3237300D33}"/>
    <cellStyle name="Вывод 4 18 2 4 3" xfId="43646" xr:uid="{8AA80033-5963-47A1-8FF8-C8EFD0E1C509}"/>
    <cellStyle name="Вывод 4 18 2 5" xfId="21174" xr:uid="{8D8D0A29-9F4F-4E55-B27C-F8BE93F3CD83}"/>
    <cellStyle name="Вывод 4 18 2 6" xfId="34197" xr:uid="{C3906747-F38D-4FC6-BFB5-088F26F685F1}"/>
    <cellStyle name="Вывод 4 18 3" xfId="4817" xr:uid="{2F2D51CC-2E98-4263-9614-E6E84C169F78}"/>
    <cellStyle name="Вывод 4 18 3 2" xfId="7461" xr:uid="{69A5CCF7-38AD-4E8C-ACCE-2228335AEBD9}"/>
    <cellStyle name="Вывод 4 18 3 2 2" xfId="11278" xr:uid="{FBEB9EAE-0B59-49C3-8456-976DD9F8DBD2}"/>
    <cellStyle name="Вывод 4 18 3 2 2 2" xfId="28065" xr:uid="{9BBC749C-A4AD-442E-B2B3-0E55718E036A}"/>
    <cellStyle name="Вывод 4 18 3 2 2 3" xfId="41247" xr:uid="{7EA62C13-1C88-41EB-9E7B-132999078DEA}"/>
    <cellStyle name="Вывод 4 18 3 2 3" xfId="25018" xr:uid="{9A37A2FB-EC82-4724-8832-DB42F3412C36}"/>
    <cellStyle name="Вывод 4 18 3 2 4" xfId="38094" xr:uid="{40D0AD47-B7B0-4E1F-9D90-2CF022B59269}"/>
    <cellStyle name="Вывод 4 18 3 3" xfId="15155" xr:uid="{57C966DB-BE9C-4AB8-B0D3-5804F48DFFED}"/>
    <cellStyle name="Вывод 4 18 3 3 2" xfId="31351" xr:uid="{D9B415E7-DE10-4F24-A96F-6CB96B0EE552}"/>
    <cellStyle name="Вывод 4 18 3 3 3" xfId="44816" xr:uid="{FDA3301D-7CF9-469B-82FB-5C47A67DD823}"/>
    <cellStyle name="Вывод 4 18 3 4" xfId="22619" xr:uid="{EE68C19B-3C1F-41BF-9DD5-D1BB37DEE398}"/>
    <cellStyle name="Вывод 4 18 3 5" xfId="35672" xr:uid="{A99F4030-9052-4875-ABC1-9A115FC1E6BA}"/>
    <cellStyle name="Вывод 4 18 4" xfId="5844" xr:uid="{67669DA3-8333-48BF-A82B-FB861959FAE4}"/>
    <cellStyle name="Вывод 4 18 4 2" xfId="9002" xr:uid="{8C9E5427-AAF3-46AA-AFAD-4115A6AE59EC}"/>
    <cellStyle name="Вывод 4 18 4 2 2" xfId="12508" xr:uid="{52A727FA-1AE8-41EB-B32C-C9394E07A1FF}"/>
    <cellStyle name="Вывод 4 18 4 2 2 2" xfId="29140" xr:uid="{90B590FA-0622-45C4-B997-1E42EB1BD4E5}"/>
    <cellStyle name="Вывод 4 18 4 2 2 3" xfId="42395" xr:uid="{3C71C958-1E0C-442F-B445-41FC91810FA4}"/>
    <cellStyle name="Вывод 4 18 4 2 3" xfId="26487" xr:uid="{51917B90-D348-4897-BCE2-57DD22D26D3A}"/>
    <cellStyle name="Вывод 4 18 4 2 4" xfId="39563" xr:uid="{311B83E8-C060-4213-839F-EC175B03C5A8}"/>
    <cellStyle name="Вывод 4 18 4 3" xfId="11974" xr:uid="{3AA1CC27-068B-4D4F-837A-B53AC59907A8}"/>
    <cellStyle name="Вывод 4 18 4 3 2" xfId="28681" xr:uid="{E623974D-6B55-4161-997A-4654ED863E16}"/>
    <cellStyle name="Вывод 4 18 4 3 3" xfId="41899" xr:uid="{545C956F-BA27-495F-BBD6-7C2835B378D9}"/>
    <cellStyle name="Вывод 4 18 4 4" xfId="23491" xr:uid="{BE738827-A589-4039-9D33-B60060EB44A5}"/>
    <cellStyle name="Вывод 4 18 4 5" xfId="36572" xr:uid="{C1B13705-F116-4A03-8833-E783D0BAC268}"/>
    <cellStyle name="Вывод 4 18 5" xfId="12699" xr:uid="{4EEBFC93-6417-4F50-B31B-72D7AE3B082D}"/>
    <cellStyle name="Вывод 4 18 5 2" xfId="29287" xr:uid="{611684C6-B85D-40D9-A615-48DC245A6E40}"/>
    <cellStyle name="Вывод 4 18 5 3" xfId="42564" xr:uid="{C486C805-C12D-46C3-A5C5-C9425046F386}"/>
    <cellStyle name="Вывод 4 18 6" xfId="21756" xr:uid="{C912C650-BF9F-43E8-869F-E04218D0F4E8}"/>
    <cellStyle name="Вывод 4 18 7" xfId="34807" xr:uid="{714DB87C-C918-4397-9EB8-BF79C52CA72D}"/>
    <cellStyle name="Вывод 4 19" xfId="3985" xr:uid="{0B3E0F93-7DAC-4C73-8037-B5EE7E0F25C6}"/>
    <cellStyle name="Вывод 4 19 2" xfId="3225" xr:uid="{71601D1B-3E82-47BB-A57B-1669C17EC759}"/>
    <cellStyle name="Вывод 4 19 2 2" xfId="8516" xr:uid="{397FFF1B-861B-40F2-99C4-D1870DCBF5E2}"/>
    <cellStyle name="Вывод 4 19 2 2 2" xfId="13642" xr:uid="{61FC83FF-06D1-4165-8793-7B826ED0D412}"/>
    <cellStyle name="Вывод 4 19 2 2 2 2" xfId="30074" xr:uid="{388200A8-467B-4724-B636-B81983622F2F}"/>
    <cellStyle name="Вывод 4 19 2 2 2 3" xfId="43430" xr:uid="{887F5632-EBCE-4C97-A2B4-80D7ADCECC9D}"/>
    <cellStyle name="Вывод 4 19 2 2 3" xfId="26015" xr:uid="{D7FBB49E-207B-4A18-83C4-574DC9EFCD36}"/>
    <cellStyle name="Вывод 4 19 2 2 4" xfId="39091" xr:uid="{B1E22086-4D38-402A-93F0-0197DBC86507}"/>
    <cellStyle name="Вывод 4 19 2 3" xfId="6884" xr:uid="{780EAB9A-9088-4169-A2EF-941C09E56E06}"/>
    <cellStyle name="Вывод 4 19 2 3 2" xfId="11360" xr:uid="{84530B36-3685-4AD4-BE84-FBE22D14654D}"/>
    <cellStyle name="Вывод 4 19 2 3 2 2" xfId="28139" xr:uid="{C42CCAEA-E9D4-4A42-B5ED-9862664848CA}"/>
    <cellStyle name="Вывод 4 19 2 3 2 3" xfId="41327" xr:uid="{A9DE6FE2-05E7-4E2D-BBFF-6AA23A8397E1}"/>
    <cellStyle name="Вывод 4 19 2 3 3" xfId="24507" xr:uid="{7E118F6E-A450-4CCF-8CD4-79FA5B1B3B16}"/>
    <cellStyle name="Вывод 4 19 2 3 4" xfId="37588" xr:uid="{D6434327-A33C-4615-9ECA-37926DE6E89B}"/>
    <cellStyle name="Вывод 4 19 2 4" xfId="11414" xr:uid="{8461C255-88A5-4454-B4B7-57CBBB8645F7}"/>
    <cellStyle name="Вывод 4 19 2 4 2" xfId="28184" xr:uid="{44C2F9F5-EF93-4447-AB03-A82B6F4CF838}"/>
    <cellStyle name="Вывод 4 19 2 4 3" xfId="41375" xr:uid="{5E4920A8-E24C-40AD-A305-0F55B3E03B56}"/>
    <cellStyle name="Вывод 4 19 2 5" xfId="21259" xr:uid="{87E12979-2357-4F56-8175-52906519D34E}"/>
    <cellStyle name="Вывод 4 19 2 6" xfId="34282" xr:uid="{EAE72327-5B9E-47E0-977B-AF778F0DA6C5}"/>
    <cellStyle name="Вывод 4 19 3" xfId="4897" xr:uid="{84E42E4E-1BB4-4A27-AD5D-21642EF943A1}"/>
    <cellStyle name="Вывод 4 19 3 2" xfId="7565" xr:uid="{49C577D1-E891-423E-88E5-6F77DB00FD88}"/>
    <cellStyle name="Вывод 4 19 3 2 2" xfId="12993" xr:uid="{7C553554-C9A2-4E56-AC9F-8D41D6DE9E75}"/>
    <cellStyle name="Вывод 4 19 3 2 2 2" xfId="29530" xr:uid="{105C3F94-A968-4B26-B3A9-7239D9D14A0C}"/>
    <cellStyle name="Вывод 4 19 3 2 2 3" xfId="42830" xr:uid="{BF7A2315-06D1-49FC-BF75-271C698672C5}"/>
    <cellStyle name="Вывод 4 19 3 2 3" xfId="25093" xr:uid="{E10FD479-3488-420E-9757-746FEA8E2426}"/>
    <cellStyle name="Вывод 4 19 3 2 4" xfId="38169" xr:uid="{F4554083-3A56-4478-B754-E0D86725C5A3}"/>
    <cellStyle name="Вывод 4 19 3 3" xfId="11456" xr:uid="{FDA6F292-E640-43B6-83D0-EA0A06B536C5}"/>
    <cellStyle name="Вывод 4 19 3 3 2" xfId="28221" xr:uid="{A6B08017-F6CD-470E-9D6A-78E799970461}"/>
    <cellStyle name="Вывод 4 19 3 3 3" xfId="41415" xr:uid="{831F0789-236A-43F3-9810-C04BD244BAD9}"/>
    <cellStyle name="Вывод 4 19 3 4" xfId="22694" xr:uid="{4D2ACF2D-B71F-4DEF-A20C-4AEB195A607F}"/>
    <cellStyle name="Вывод 4 19 3 5" xfId="35747" xr:uid="{5B4B021F-AC7A-47B6-B286-06AD6D865C82}"/>
    <cellStyle name="Вывод 4 19 4" xfId="5919" xr:uid="{FEF9193C-6A60-46E3-9EBF-0744B5ADD148}"/>
    <cellStyle name="Вывод 4 19 4 2" xfId="9079" xr:uid="{E691C1F9-895D-4894-B143-D9783ED64FD9}"/>
    <cellStyle name="Вывод 4 19 4 2 2" xfId="12489" xr:uid="{F20CE315-E60A-4CBD-BB04-692375D746E8}"/>
    <cellStyle name="Вывод 4 19 4 2 2 2" xfId="29125" xr:uid="{276785D1-4262-44F0-81DD-8E505D301077}"/>
    <cellStyle name="Вывод 4 19 4 2 2 3" xfId="42379" xr:uid="{BAA3AEC3-EB1D-4014-8331-68FD12DD53F5}"/>
    <cellStyle name="Вывод 4 19 4 2 3" xfId="26560" xr:uid="{3CFF7847-2B35-4536-87C5-94AE90B4D977}"/>
    <cellStyle name="Вывод 4 19 4 2 4" xfId="39636" xr:uid="{1FAEB2FE-138F-4E33-88AA-2ECC4E3D3938}"/>
    <cellStyle name="Вывод 4 19 4 3" xfId="16519" xr:uid="{454A07B7-C2EA-4179-AE8E-09AC5222EF30}"/>
    <cellStyle name="Вывод 4 19 4 3 2" xfId="32477" xr:uid="{E1E26084-38D8-49E6-A3E2-0F461C1F67D6}"/>
    <cellStyle name="Вывод 4 19 4 3 3" xfId="46066" xr:uid="{03F9C50C-1C39-406D-80D0-1FA120980D6A}"/>
    <cellStyle name="Вывод 4 19 4 4" xfId="23566" xr:uid="{5BF1ACE4-CF3E-4147-83ED-B665AFB7879B}"/>
    <cellStyle name="Вывод 4 19 4 5" xfId="36647" xr:uid="{1D86762B-1C34-49E1-B033-82BF7A5415B4}"/>
    <cellStyle name="Вывод 4 19 5" xfId="10649" xr:uid="{682518F9-599D-49B2-8482-DF93960995BB}"/>
    <cellStyle name="Вывод 4 19 5 2" xfId="27500" xr:uid="{855FF4E9-67F9-4C58-9D8F-73436158CFBC}"/>
    <cellStyle name="Вывод 4 19 5 3" xfId="40630" xr:uid="{EA4E5276-159A-4F4E-BAD4-248DB9C5BD3A}"/>
    <cellStyle name="Вывод 4 19 6" xfId="21832" xr:uid="{9B9F4749-5227-4CBF-87D3-BBAF685480E9}"/>
    <cellStyle name="Вывод 4 19 7" xfId="34882" xr:uid="{8D2ED558-3E42-496D-823D-E5A143A393A2}"/>
    <cellStyle name="Вывод 4 2" xfId="3445" xr:uid="{B50A7B3C-11DA-495A-A916-88BC3E6AC308}"/>
    <cellStyle name="Вывод 4 2 10" xfId="17744" xr:uid="{20896554-CB36-4CF0-A6C0-251E8F7FE164}"/>
    <cellStyle name="Вывод 4 2 10 2" xfId="33466" xr:uid="{A7E7247F-CD0D-476D-8ABD-3FB72D00B9F1}"/>
    <cellStyle name="Вывод 4 2 10 3" xfId="47249" xr:uid="{CC4626E2-D633-40FE-A4A8-9AB314F9C74F}"/>
    <cellStyle name="Вывод 4 2 11" xfId="20497" xr:uid="{7A15CB6A-5A11-4A4D-ABF2-39459309A127}"/>
    <cellStyle name="Вывод 4 2 12" xfId="34461" xr:uid="{7849B73E-8A2D-4592-8795-4E6AFD00281C}"/>
    <cellStyle name="Вывод 4 2 2" xfId="2787" xr:uid="{98366F42-B9D9-484F-A489-159FFAA05B76}"/>
    <cellStyle name="Вывод 4 2 2 2" xfId="5110" xr:uid="{B25350B3-C289-4D2F-95C0-404B88FCB858}"/>
    <cellStyle name="Вывод 4 2 2 2 2" xfId="8083" xr:uid="{DC5A046B-CAF7-4017-BC4D-8A6421F51B4C}"/>
    <cellStyle name="Вывод 4 2 2 2 2 2" xfId="14032" xr:uid="{BE4572F9-0226-4944-BF66-710F8E41FE48}"/>
    <cellStyle name="Вывод 4 2 2 2 2 2 2" xfId="30409" xr:uid="{B0562B8D-E3D9-4D31-9D69-F4A983DF461E}"/>
    <cellStyle name="Вывод 4 2 2 2 2 2 3" xfId="43790" xr:uid="{88C9F6BC-079E-4D1A-9EAA-6CD911AFCC99}"/>
    <cellStyle name="Вывод 4 2 2 2 2 3" xfId="25594" xr:uid="{3EFB47BC-51D6-40EA-8A3A-98D67A28DE40}"/>
    <cellStyle name="Вывод 4 2 2 2 2 4" xfId="38670" xr:uid="{19087427-FC6B-4F0F-8001-A6346717E6F1}"/>
    <cellStyle name="Вывод 4 2 2 2 3" xfId="15894" xr:uid="{6D61FFFA-8F95-4DAF-84D1-8EA6342B1780}"/>
    <cellStyle name="Вывод 4 2 2 2 3 2" xfId="31977" xr:uid="{D61A9992-E468-4819-B452-4E4728423199}"/>
    <cellStyle name="Вывод 4 2 2 2 3 3" xfId="45493" xr:uid="{D7C0E1B5-8415-4A3F-BB03-F085F33A4138}"/>
    <cellStyle name="Вывод 4 2 2 2 4" xfId="22834" xr:uid="{BDF07FC1-B2C5-49F4-A090-D29F1D6B2914}"/>
    <cellStyle name="Вывод 4 2 2 2 5" xfId="35903" xr:uid="{86AF29AB-E855-4E3A-81EB-968B8B7EA456}"/>
    <cellStyle name="Вывод 4 2 2 3" xfId="6450" xr:uid="{6BEB6DF0-A791-4E56-AF76-91102A373417}"/>
    <cellStyle name="Вывод 4 2 2 3 2" xfId="11526" xr:uid="{57AFEEBD-BFA2-46D9-9C50-4C3A85639ACA}"/>
    <cellStyle name="Вывод 4 2 2 3 2 2" xfId="28284" xr:uid="{A2D5024D-6E5E-4BFA-A618-332C13F1A9FE}"/>
    <cellStyle name="Вывод 4 2 2 3 2 3" xfId="41481" xr:uid="{AA3CF246-ECC8-43F1-849E-FC279660C711}"/>
    <cellStyle name="Вывод 4 2 2 3 3" xfId="24085" xr:uid="{243C4DF6-F73E-4FEE-A2CE-572C0A9ADEFB}"/>
    <cellStyle name="Вывод 4 2 2 3 4" xfId="37166" xr:uid="{D042540A-82F8-42FC-8040-375AE5CB106E}"/>
    <cellStyle name="Вывод 4 2 2 4" xfId="14545" xr:uid="{59CC1828-65C6-4A9B-9911-573C78ACD59D}"/>
    <cellStyle name="Вывод 4 2 2 4 2" xfId="30856" xr:uid="{800ECA3B-4C6C-41FA-B273-44C78F99DAEE}"/>
    <cellStyle name="Вывод 4 2 2 4 3" xfId="44268" xr:uid="{3E26C06C-44E4-4D3B-9D39-40E29EB9BED8}"/>
    <cellStyle name="Вывод 4 2 2 5" xfId="20837" xr:uid="{674FE5E1-7D5F-4450-A1EE-BCE28B5056BF}"/>
    <cellStyle name="Вывод 4 2 2 6" xfId="33860" xr:uid="{2B573B17-72BE-4D9F-A271-F09C0584F4A9}"/>
    <cellStyle name="Вывод 4 2 3" xfId="4067" xr:uid="{0F6A6C1E-7646-45AD-82DC-CDFAE254410D}"/>
    <cellStyle name="Вывод 4 2 3 2" xfId="5205" xr:uid="{31EB2F97-00AE-42AB-B601-F4510CA8FCBD}"/>
    <cellStyle name="Вывод 4 2 3 2 2" xfId="9119" xr:uid="{15F17144-E4A3-492F-88AB-FA88FF25A320}"/>
    <cellStyle name="Вывод 4 2 3 2 2 2" xfId="11431" xr:uid="{DFC6BBEF-7B32-4FA7-9BDA-8CD0337171C6}"/>
    <cellStyle name="Вывод 4 2 3 2 2 2 2" xfId="28199" xr:uid="{0F3F1057-E3C1-478A-B885-E05B6DD7AA76}"/>
    <cellStyle name="Вывод 4 2 3 2 2 2 3" xfId="41390" xr:uid="{3FE5FD89-737A-4CCF-A8FA-F9D6B99B0433}"/>
    <cellStyle name="Вывод 4 2 3 2 2 3" xfId="26600" xr:uid="{1D58C80E-0BD5-448A-83B2-8FFF23CF92F6}"/>
    <cellStyle name="Вывод 4 2 3 2 2 4" xfId="39676" xr:uid="{D9B357FF-3F62-4B7A-9537-EFCC38B3A9A5}"/>
    <cellStyle name="Вывод 4 2 3 2 3" xfId="14640" xr:uid="{22C0CEFC-7FD3-4113-A2A0-B4351725842E}"/>
    <cellStyle name="Вывод 4 2 3 2 3 2" xfId="30936" xr:uid="{CB858A78-BD19-4097-AB38-9CFA3FFC2BA7}"/>
    <cellStyle name="Вывод 4 2 3 2 3 3" xfId="44357" xr:uid="{F02DA098-8EFA-44F8-AC01-2C1EC7B692DA}"/>
    <cellStyle name="Вывод 4 2 3 2 4" xfId="22880" xr:uid="{C688396C-3904-4B0C-B966-F7BBC1780457}"/>
    <cellStyle name="Вывод 4 2 3 2 5" xfId="35949" xr:uid="{F35E54D8-37D8-498C-836C-D854327B1663}"/>
    <cellStyle name="Вывод 4 2 3 3" xfId="7631" xr:uid="{81B4F2ED-0222-42EE-B7FE-3D0BB081D321}"/>
    <cellStyle name="Вывод 4 2 3 3 2" xfId="16732" xr:uid="{305913BB-2E85-4C90-9BEE-7A038DFCDC29}"/>
    <cellStyle name="Вывод 4 2 3 3 2 2" xfId="32615" xr:uid="{D99CB38F-E4A1-4EFE-A22B-404C9FB13C52}"/>
    <cellStyle name="Вывод 4 2 3 3 2 3" xfId="46275" xr:uid="{C1E55C8A-FB7D-4959-8C7A-0E9A490B731B}"/>
    <cellStyle name="Вывод 4 2 3 3 3" xfId="25159" xr:uid="{4604CD6B-2F6C-4F14-9B53-447701EA2307}"/>
    <cellStyle name="Вывод 4 2 3 3 4" xfId="38235" xr:uid="{381A6039-8B6A-4CF4-9D87-45C542332E1D}"/>
    <cellStyle name="Вывод 4 2 3 4" xfId="17296" xr:uid="{F4F96BEE-CE01-4F0F-A7F2-2F38B84C1F3C}"/>
    <cellStyle name="Вывод 4 2 3 4 2" xfId="33054" xr:uid="{24C7D820-7EA2-4D6C-829D-00A38F747DE5}"/>
    <cellStyle name="Вывод 4 2 3 4 3" xfId="46830" xr:uid="{D3BF396B-A53B-4847-B016-0D2456931E66}"/>
    <cellStyle name="Вывод 4 2 3 5" xfId="21900" xr:uid="{21D0FF4D-76AB-4D89-AA49-0D659F89062B}"/>
    <cellStyle name="Вывод 4 2 3 6" xfId="34949" xr:uid="{CAC56EA0-B229-4B83-8888-A45E55C2D9FC}"/>
    <cellStyle name="Вывод 4 2 4" xfId="2626" xr:uid="{69AA9008-3A2D-450C-9998-F3D039758FE8}"/>
    <cellStyle name="Вывод 4 2 4 2" xfId="5043" xr:uid="{06BC3CFD-F893-4D15-8ED4-E37C257454D1}"/>
    <cellStyle name="Вывод 4 2 4 2 2" xfId="7923" xr:uid="{0D3D0604-FC44-43AA-82CE-D4CDD7C1D873}"/>
    <cellStyle name="Вывод 4 2 4 2 2 2" xfId="16130" xr:uid="{208AEA7E-971E-40AC-B1BA-20916C473FB2}"/>
    <cellStyle name="Вывод 4 2 4 2 2 2 2" xfId="32184" xr:uid="{59B1A36B-F7FF-4D4D-8550-8D722B771064}"/>
    <cellStyle name="Вывод 4 2 4 2 2 2 3" xfId="45705" xr:uid="{A7655362-4C4D-4F6E-98F4-AFD0FF897CA7}"/>
    <cellStyle name="Вывод 4 2 4 2 2 3" xfId="25439" xr:uid="{2D2D88FE-FEDD-417A-950C-F4692EEF91B3}"/>
    <cellStyle name="Вывод 4 2 4 2 2 4" xfId="38515" xr:uid="{98536B53-4016-4473-8902-7C368F1AB653}"/>
    <cellStyle name="Вывод 4 2 4 2 3" xfId="14862" xr:uid="{C65F18F6-C646-4335-9DCB-CB28C80AD355}"/>
    <cellStyle name="Вывод 4 2 4 2 3 2" xfId="31116" xr:uid="{AC5208CA-F181-4DCF-A4DE-122CCCEEEA1B}"/>
    <cellStyle name="Вывод 4 2 4 2 3 3" xfId="44555" xr:uid="{BE0ECBB0-0D72-45EE-9F6B-40571B46925D}"/>
    <cellStyle name="Вывод 4 2 4 2 4" xfId="22794" xr:uid="{7C053C3C-65E5-4C41-83B3-F55521B8DB6E}"/>
    <cellStyle name="Вывод 4 2 4 2 5" xfId="35858" xr:uid="{9D93E6D9-35A3-4A12-8089-6AD8385E25AC}"/>
    <cellStyle name="Вывод 4 2 4 3" xfId="6290" xr:uid="{09CD7A2D-9FFB-425E-BC7C-90D4EE7F3462}"/>
    <cellStyle name="Вывод 4 2 4 3 2" xfId="14384" xr:uid="{CB6E4DAC-8AF4-4689-9079-010C72B56DA7}"/>
    <cellStyle name="Вывод 4 2 4 3 2 2" xfId="30716" xr:uid="{08A1060F-DEE2-4135-9EAB-31A40D1D07D0}"/>
    <cellStyle name="Вывод 4 2 4 3 2 3" xfId="44114" xr:uid="{B1CCDA22-10D7-488C-8123-89495FD82EE7}"/>
    <cellStyle name="Вывод 4 2 4 3 3" xfId="23930" xr:uid="{794465ED-75CB-4AF8-9C1B-8710AE617D8B}"/>
    <cellStyle name="Вывод 4 2 4 3 4" xfId="37011" xr:uid="{A9C93798-30AC-4F5B-830A-AFD99513714E}"/>
    <cellStyle name="Вывод 4 2 4 4" xfId="13127" xr:uid="{5AAB86D0-556D-4ACC-8C95-09AA459AB45C}"/>
    <cellStyle name="Вывод 4 2 4 4 2" xfId="29641" xr:uid="{A8626C07-5B1E-46E9-9505-F3E607357353}"/>
    <cellStyle name="Вывод 4 2 4 4 3" xfId="42953" xr:uid="{D7CF946C-627E-4BB3-A0B7-D7776CF88A0D}"/>
    <cellStyle name="Вывод 4 2 4 5" xfId="20682" xr:uid="{4526123C-D9FF-4688-B567-07CBAEAEF8C9}"/>
    <cellStyle name="Вывод 4 2 4 6" xfId="33705" xr:uid="{55FC9E77-9333-4CC0-B3BA-A8562050ABB0}"/>
    <cellStyle name="Вывод 4 2 5" xfId="4202" xr:uid="{EBB72B48-2F12-44C2-A382-3E3189ECC505}"/>
    <cellStyle name="Вывод 4 2 5 2" xfId="5012" xr:uid="{235C158A-8532-49D5-B9AC-072EC889AB9A}"/>
    <cellStyle name="Вывод 4 2 5 2 2" xfId="9254" xr:uid="{EA571063-5BA2-4E72-9415-181C61C837C2}"/>
    <cellStyle name="Вывод 4 2 5 2 2 2" xfId="11200" xr:uid="{E9FFA0E2-3D68-4AC7-90B6-35E95406B2B1}"/>
    <cellStyle name="Вывод 4 2 5 2 2 2 2" xfId="27994" xr:uid="{126185AE-8661-4748-8F52-BE6D9D6C2100}"/>
    <cellStyle name="Вывод 4 2 5 2 2 2 3" xfId="41176" xr:uid="{67A36A9C-C8BE-4DBD-BE9B-520C6A9CED44}"/>
    <cellStyle name="Вывод 4 2 5 2 2 3" xfId="26729" xr:uid="{90DB6E8C-903C-4B92-A07E-7F46D11F2513}"/>
    <cellStyle name="Вывод 4 2 5 2 2 4" xfId="39805" xr:uid="{25F6634F-A26D-4920-AED4-89338240E160}"/>
    <cellStyle name="Вывод 4 2 5 2 3" xfId="11887" xr:uid="{F9EDAAC3-A555-4F22-83A9-FC711286ED51}"/>
    <cellStyle name="Вывод 4 2 5 2 3 2" xfId="28603" xr:uid="{C9FCC2E6-E799-46D1-8212-5A727E4E95AA}"/>
    <cellStyle name="Вывод 4 2 5 2 3 3" xfId="41819" xr:uid="{B4C3C389-B69F-4D96-8A2F-22996E70029C}"/>
    <cellStyle name="Вывод 4 2 5 2 4" xfId="22776" xr:uid="{337FB8BB-E6D8-4505-8BB4-7CD85DD7E9A9}"/>
    <cellStyle name="Вывод 4 2 5 2 5" xfId="35836" xr:uid="{7265CA4B-FF5E-433B-8690-BD3371FC93B3}"/>
    <cellStyle name="Вывод 4 2 5 3" xfId="7766" xr:uid="{4455E4B1-D5B6-4AD2-B8C2-A53C1D8B29FB}"/>
    <cellStyle name="Вывод 4 2 5 3 2" xfId="12659" xr:uid="{F8BC48FA-22BF-4A48-B884-12E080A6C6F9}"/>
    <cellStyle name="Вывод 4 2 5 3 2 2" xfId="29260" xr:uid="{5873EB8E-03A1-46B4-955E-FA434B88477F}"/>
    <cellStyle name="Вывод 4 2 5 3 2 3" xfId="42530" xr:uid="{B65F2E7C-2F89-48E2-AAC4-7DE1C0B8E0B6}"/>
    <cellStyle name="Вывод 4 2 5 3 3" xfId="25288" xr:uid="{D174A93A-0CCD-4A9B-8F14-CE821D03ABDC}"/>
    <cellStyle name="Вывод 4 2 5 3 4" xfId="38364" xr:uid="{ED8E533D-2184-4E54-82D1-7D8AD1B9C48A}"/>
    <cellStyle name="Вывод 4 2 5 4" xfId="17260" xr:uid="{B1C1DFA9-1E79-4025-948C-B5DD94282A60}"/>
    <cellStyle name="Вывод 4 2 5 4 2" xfId="33019" xr:uid="{ED64B3DC-8417-4655-82F9-EDD4C87616F4}"/>
    <cellStyle name="Вывод 4 2 5 4 3" xfId="46794" xr:uid="{79521983-CD93-407C-85DB-F802C3053FF3}"/>
    <cellStyle name="Вывод 4 2 5 5" xfId="22029" xr:uid="{AB91115E-34B5-4F48-8ED5-89B0061270D4}"/>
    <cellStyle name="Вывод 4 2 5 6" xfId="35078" xr:uid="{36CAACCD-8F58-4F82-B006-68CBE649900F}"/>
    <cellStyle name="Вывод 4 2 6" xfId="4447" xr:uid="{39EBD5CD-3435-4D49-B0C9-482B28700655}"/>
    <cellStyle name="Вывод 4 2 6 2" xfId="7087" xr:uid="{1FE9F376-16CE-4DC4-A369-A7807A5D4634}"/>
    <cellStyle name="Вывод 4 2 6 2 2" xfId="14591" xr:uid="{039ED9CC-D685-45D4-8899-25B681C723AB}"/>
    <cellStyle name="Вывод 4 2 6 2 2 2" xfId="30891" xr:uid="{2D279B25-F175-4AB5-991D-3BC71487748F}"/>
    <cellStyle name="Вывод 4 2 6 2 2 3" xfId="44310" xr:uid="{B4C0952C-BCCB-462B-90A7-0EADE658A720}"/>
    <cellStyle name="Вывод 4 2 6 2 3" xfId="24686" xr:uid="{DA4436CF-AEAD-4840-862E-CADF5C00A5D7}"/>
    <cellStyle name="Вывод 4 2 6 2 4" xfId="37767" xr:uid="{4D145095-AD9A-44AB-A6A5-67D64FB354CB}"/>
    <cellStyle name="Вывод 4 2 6 3" xfId="13801" xr:uid="{CC28D2A7-17B8-4104-A327-A53ADB64D824}"/>
    <cellStyle name="Вывод 4 2 6 3 2" xfId="30206" xr:uid="{246C9149-396A-476A-8E79-316182AF53C1}"/>
    <cellStyle name="Вывод 4 2 6 3 3" xfId="43573" xr:uid="{E9564A11-DE07-47F2-A21E-01AB581E2077}"/>
    <cellStyle name="Вывод 4 2 6 4" xfId="22265" xr:uid="{EAA0F8C1-9857-4448-BEDE-F2D1755AB8B6}"/>
    <cellStyle name="Вывод 4 2 6 5" xfId="35314" xr:uid="{7FD8E4E7-088F-4024-A09C-C2F806B4C535}"/>
    <cellStyle name="Вывод 4 2 7" xfId="4961" xr:uid="{44DC458A-4492-4074-AEA3-64DD7DCCBB65}"/>
    <cellStyle name="Вывод 4 2 7 2" xfId="8682" xr:uid="{0BFA4E75-E41C-41FD-B552-FE5661650568}"/>
    <cellStyle name="Вывод 4 2 7 2 2" xfId="15027" xr:uid="{D887AAC6-1B63-49D7-BE0D-8788442DEC94}"/>
    <cellStyle name="Вывод 4 2 7 2 2 2" xfId="31249" xr:uid="{31605DF0-EE77-4916-99F8-EA84B49D6714}"/>
    <cellStyle name="Вывод 4 2 7 2 2 3" xfId="44702" xr:uid="{88A245B3-B55C-46BB-9DB1-8FA07D73B722}"/>
    <cellStyle name="Вывод 4 2 7 2 3" xfId="26175" xr:uid="{96218A0E-CC29-464C-AF95-2BAAFCC8C12F}"/>
    <cellStyle name="Вывод 4 2 7 2 4" xfId="39251" xr:uid="{30F6D875-C166-47E9-B3A3-DB115CD9D632}"/>
    <cellStyle name="Вывод 4 2 7 3" xfId="14608" xr:uid="{9085A01F-41E8-4AAE-A0D3-C8B8A290CD2A}"/>
    <cellStyle name="Вывод 4 2 7 3 2" xfId="30908" xr:uid="{D8F57B58-C280-4165-A4E6-9D5CB0038676}"/>
    <cellStyle name="Вывод 4 2 7 3 3" xfId="44327" xr:uid="{D83EB031-84B8-4AEA-A1CA-E15C9E0C65A6}"/>
    <cellStyle name="Вывод 4 2 7 4" xfId="22741" xr:uid="{702DCC0E-CFB7-4F50-A3A1-81AC0B6BB650}"/>
    <cellStyle name="Вывод 4 2 7 5" xfId="35796" xr:uid="{904127E3-FB62-4DBF-BD1B-42D21464CB6F}"/>
    <cellStyle name="Вывод 4 2 8" xfId="5500" xr:uid="{4CECBC8B-EDCE-4A85-A66D-FB003D83E692}"/>
    <cellStyle name="Вывод 4 2 8 2" xfId="9821" xr:uid="{31A93A1A-E919-45DB-BA48-C17A72597004}"/>
    <cellStyle name="Вывод 4 2 8 2 2" xfId="10760" xr:uid="{03C14F49-8F66-4F64-B341-606726085BB9}"/>
    <cellStyle name="Вывод 4 2 8 2 2 2" xfId="27598" xr:uid="{3020B8B4-8C81-41F5-B9BD-B7E6ED53265B}"/>
    <cellStyle name="Вывод 4 2 8 2 2 3" xfId="40741" xr:uid="{C2ABA3B3-C985-4C35-B30F-0EC9EAD92401}"/>
    <cellStyle name="Вывод 4 2 8 2 3" xfId="27117" xr:uid="{822CFECA-9FA3-4019-A155-3134CED6235C}"/>
    <cellStyle name="Вывод 4 2 8 2 4" xfId="40236" xr:uid="{00652318-F30A-4C24-8234-4DC974A70C4E}"/>
    <cellStyle name="Вывод 4 2 8 3" xfId="12975" xr:uid="{F7DF7070-90A4-4B4B-AA84-1590055A7310}"/>
    <cellStyle name="Вывод 4 2 8 3 2" xfId="29513" xr:uid="{A3361BE2-42D8-4DEC-8B1D-E485CBF82C0F}"/>
    <cellStyle name="Вывод 4 2 8 3 3" xfId="42812" xr:uid="{97F05189-29ED-4BF7-9952-0B9058E669A7}"/>
    <cellStyle name="Вывод 4 2 8 4" xfId="23147" xr:uid="{7E36BC7E-13E0-4E13-BCF8-C083746D2CC8}"/>
    <cellStyle name="Вывод 4 2 8 5" xfId="36228" xr:uid="{DE7EB17B-CBF2-4EC0-8776-DB2C1DB34606}"/>
    <cellStyle name="Вывод 4 2 9" xfId="12973" xr:uid="{76C381CF-CAAC-44A0-BB60-53B62A07DBD5}"/>
    <cellStyle name="Вывод 4 2 9 2" xfId="29511" xr:uid="{CB34D30B-AC27-485B-A440-8B0D97FB65C1}"/>
    <cellStyle name="Вывод 4 2 9 3" xfId="42810" xr:uid="{E4ABA857-27D6-43D1-8488-C23DA7252CFD}"/>
    <cellStyle name="Вывод 4 20" xfId="3996" xr:uid="{D538FA0E-F8E6-4B63-9B1E-9D4615CFC3C9}"/>
    <cellStyle name="Вывод 4 20 2" xfId="3233" xr:uid="{666446ED-0F25-4D01-AF4B-1C3329FD5419}"/>
    <cellStyle name="Вывод 4 20 2 2" xfId="8524" xr:uid="{D0B6FC6F-7E41-4E0F-AA5A-9E38C1218AFD}"/>
    <cellStyle name="Вывод 4 20 2 2 2" xfId="10826" xr:uid="{44BAA0A3-4725-4A93-8BF1-10250B17444A}"/>
    <cellStyle name="Вывод 4 20 2 2 2 2" xfId="27658" xr:uid="{0BC4EA18-C4A3-4A14-ADE6-3AEE3C1CF302}"/>
    <cellStyle name="Вывод 4 20 2 2 2 3" xfId="40807" xr:uid="{C6AC7D5A-A9D2-47D6-A5CF-4AB1477CA75D}"/>
    <cellStyle name="Вывод 4 20 2 2 3" xfId="26023" xr:uid="{5D37F0F4-6C7D-44AC-983E-3577A54B84FC}"/>
    <cellStyle name="Вывод 4 20 2 2 4" xfId="39099" xr:uid="{0F553106-205B-4395-AFCB-C25941FA761B}"/>
    <cellStyle name="Вывод 4 20 2 3" xfId="6892" xr:uid="{878935DD-E5E1-4FAF-98EF-0B19E14A6D54}"/>
    <cellStyle name="Вывод 4 20 2 3 2" xfId="14770" xr:uid="{C71BB777-3B7B-4B11-878E-64D1CD1E8E0D}"/>
    <cellStyle name="Вывод 4 20 2 3 2 2" xfId="31040" xr:uid="{E197616F-49B4-4286-BFBC-C70B372A2428}"/>
    <cellStyle name="Вывод 4 20 2 3 2 3" xfId="44471" xr:uid="{7BB6A328-C31A-47C3-BB3F-A0A512BDBC33}"/>
    <cellStyle name="Вывод 4 20 2 3 3" xfId="24515" xr:uid="{BDEBC670-6B86-4619-8616-4CF8A015AA11}"/>
    <cellStyle name="Вывод 4 20 2 3 4" xfId="37596" xr:uid="{F8F870FB-23F8-4FDE-9418-60758E8F4904}"/>
    <cellStyle name="Вывод 4 20 2 4" xfId="17156" xr:uid="{196BD5B2-39B0-4D00-ADCE-9BD1D1C502F8}"/>
    <cellStyle name="Вывод 4 20 2 4 2" xfId="32919" xr:uid="{680ABB2C-43E6-4842-B2B0-C2107DAD0CCC}"/>
    <cellStyle name="Вывод 4 20 2 4 3" xfId="46691" xr:uid="{E9924278-5E58-4C9F-8695-5196BA25B52C}"/>
    <cellStyle name="Вывод 4 20 2 5" xfId="21267" xr:uid="{34FDF9FA-4645-4AB4-97B2-A6E945DDED29}"/>
    <cellStyle name="Вывод 4 20 2 6" xfId="34290" xr:uid="{4C4C0C92-9CAB-4FBB-A191-4FF140CE7038}"/>
    <cellStyle name="Вывод 4 20 3" xfId="4908" xr:uid="{86059804-316E-4EA8-A7C0-34D922849E4A}"/>
    <cellStyle name="Вывод 4 20 3 2" xfId="7576" xr:uid="{EFD8CF05-8029-42E9-A7D8-8964B8941945}"/>
    <cellStyle name="Вывод 4 20 3 2 2" xfId="13338" xr:uid="{E87F4C4A-8FE7-47A7-8AA1-DCC959E3DD42}"/>
    <cellStyle name="Вывод 4 20 3 2 2 2" xfId="29820" xr:uid="{0FD06831-428F-4477-B881-F885E2817A36}"/>
    <cellStyle name="Вывод 4 20 3 2 2 3" xfId="43151" xr:uid="{7B83E6CE-47F1-4BCB-874D-43938A0442B4}"/>
    <cellStyle name="Вывод 4 20 3 2 3" xfId="25104" xr:uid="{07EDDD6F-6BBE-4564-BB01-0D27E23FAB10}"/>
    <cellStyle name="Вывод 4 20 3 2 4" xfId="38180" xr:uid="{623F2FEB-73F0-4341-8842-BBD426F10742}"/>
    <cellStyle name="Вывод 4 20 3 3" xfId="10581" xr:uid="{864D34DF-3E57-4CD3-B83B-674A77C2B918}"/>
    <cellStyle name="Вывод 4 20 3 3 2" xfId="27440" xr:uid="{FDA9E5BB-7188-41BC-B990-B14742B2C921}"/>
    <cellStyle name="Вывод 4 20 3 3 3" xfId="40562" xr:uid="{0CCE9E71-414D-47ED-8A11-CDF62E3C4D3D}"/>
    <cellStyle name="Вывод 4 20 3 4" xfId="22705" xr:uid="{8F4325A8-47E7-48FC-8F5E-33CA0511B5E5}"/>
    <cellStyle name="Вывод 4 20 3 5" xfId="35758" xr:uid="{21FA5EBC-CE9C-4184-B71B-CEB9C8979FD7}"/>
    <cellStyle name="Вывод 4 20 4" xfId="5930" xr:uid="{1635C568-303D-44BC-9E78-9CD4B90937CA}"/>
    <cellStyle name="Вывод 4 20 4 2" xfId="9863" xr:uid="{85BD8900-1B94-4713-B772-CA8DC9799557}"/>
    <cellStyle name="Вывод 4 20 4 2 2" xfId="14855" xr:uid="{188FAD7E-A758-4495-B4A0-0FAA7E62C5A8}"/>
    <cellStyle name="Вывод 4 20 4 2 2 2" xfId="31111" xr:uid="{5C1DC751-9D9D-4029-8686-687D044538C7}"/>
    <cellStyle name="Вывод 4 20 4 2 2 3" xfId="44550" xr:uid="{EB75BF3F-19D5-4D58-9C59-F7F1B8152312}"/>
    <cellStyle name="Вывод 4 20 4 2 3" xfId="27159" xr:uid="{65018F7F-92D9-48A4-88C2-20D3260690F4}"/>
    <cellStyle name="Вывод 4 20 4 2 4" xfId="40278" xr:uid="{63202723-A923-435B-BE3B-0566120E8137}"/>
    <cellStyle name="Вывод 4 20 4 3" xfId="17522" xr:uid="{1A408BBE-444E-4230-B540-2ED2B87744D7}"/>
    <cellStyle name="Вывод 4 20 4 3 2" xfId="33260" xr:uid="{EA59E864-8C32-4E70-838C-49B135E6BE2C}"/>
    <cellStyle name="Вывод 4 20 4 3 3" xfId="47047" xr:uid="{F8F4F265-050B-4881-A75E-4AE7CEC9B4AB}"/>
    <cellStyle name="Вывод 4 20 4 4" xfId="23577" xr:uid="{8ABC2F1A-F206-4800-B160-68CB824FFC1F}"/>
    <cellStyle name="Вывод 4 20 4 5" xfId="36658" xr:uid="{2301B970-FAE4-4327-9B2D-A6A855B3DBA3}"/>
    <cellStyle name="Вывод 4 20 5" xfId="6104" xr:uid="{632B7725-024A-4C43-B247-A759AED0C823}"/>
    <cellStyle name="Вывод 4 20 5 2" xfId="15344" xr:uid="{7E7621BF-4889-4774-A9EB-25C520B195D4}"/>
    <cellStyle name="Вывод 4 20 5 2 2" xfId="31501" xr:uid="{9B7ED05B-F565-4D8A-AF1D-EF23FCDFB23D}"/>
    <cellStyle name="Вывод 4 20 5 2 3" xfId="44987" xr:uid="{34CCE8A8-7400-4EAB-A812-A02F2DC0B589}"/>
    <cellStyle name="Вывод 4 20 5 3" xfId="23750" xr:uid="{B336C317-B527-4076-BC00-2788E0B2C5A3}"/>
    <cellStyle name="Вывод 4 20 5 4" xfId="36831" xr:uid="{A0180907-5770-4BD4-AFE8-DF859A4FC928}"/>
    <cellStyle name="Вывод 4 20 6" xfId="12273" xr:uid="{BF1860C7-D9E5-4284-B614-5480844C3B21}"/>
    <cellStyle name="Вывод 4 20 6 2" xfId="28951" xr:uid="{32E99A75-4A1F-4714-BCA0-AC6AD62806F1}"/>
    <cellStyle name="Вывод 4 20 6 3" xfId="42185" xr:uid="{7A4F0394-80A8-48AE-A7D1-5553D9CAEA07}"/>
    <cellStyle name="Вывод 4 20 7" xfId="21843" xr:uid="{F3214EFE-BFC3-4175-BF6E-03CED10940A1}"/>
    <cellStyle name="Вывод 4 20 8" xfId="34893" xr:uid="{A1E6C8C8-84FA-4A5A-9F86-6FE762C101B0}"/>
    <cellStyle name="Вывод 4 21" xfId="3153" xr:uid="{F2EE6029-AEB1-4B68-B800-7B1996AD52FD}"/>
    <cellStyle name="Вывод 4 21 2" xfId="8445" xr:uid="{74871ABB-E456-49EE-B373-F982ACACB13C}"/>
    <cellStyle name="Вывод 4 21 2 2" xfId="16288" xr:uid="{227FC844-B416-4BBB-BA29-6A057D9715C3}"/>
    <cellStyle name="Вывод 4 21 2 2 2" xfId="32320" xr:uid="{2FFA9EA4-00F2-43C1-A104-BADA15D1CB30}"/>
    <cellStyle name="Вывод 4 21 2 2 3" xfId="45850" xr:uid="{82FE2960-3B2C-4D26-8A90-59167055AE8D}"/>
    <cellStyle name="Вывод 4 21 2 3" xfId="25947" xr:uid="{6CC1A7D7-12F6-4701-B84C-E1BA3F2E6CC1}"/>
    <cellStyle name="Вывод 4 21 2 4" xfId="39023" xr:uid="{ACF77858-C3D0-4713-870E-69935298ED25}"/>
    <cellStyle name="Вывод 4 21 3" xfId="6812" xr:uid="{3819A7A7-A6C0-4B89-A73A-A0BDC4016D3B}"/>
    <cellStyle name="Вывод 4 21 3 2" xfId="17508" xr:uid="{61E708F5-CB40-469B-9230-C5AD06B9DFEF}"/>
    <cellStyle name="Вывод 4 21 3 2 2" xfId="33246" xr:uid="{822E3E5D-06CF-4C43-9ED7-9CD0C7324ADB}"/>
    <cellStyle name="Вывод 4 21 3 2 3" xfId="47033" xr:uid="{62AD3010-93D5-4A92-AAA9-64D4C593A54F}"/>
    <cellStyle name="Вывод 4 21 3 3" xfId="24438" xr:uid="{741235D1-B5C9-443E-9625-57B2BA24771B}"/>
    <cellStyle name="Вывод 4 21 3 4" xfId="37519" xr:uid="{3F10DDE8-AE7E-4B7E-BE3E-DFD85096DE53}"/>
    <cellStyle name="Вывод 4 21 4" xfId="16748" xr:uid="{9E4241FB-E950-4AE6-AC0F-D5B4AB54C536}"/>
    <cellStyle name="Вывод 4 21 4 2" xfId="32630" xr:uid="{2CE97E1F-1943-4D2F-9899-59DA88E9A942}"/>
    <cellStyle name="Вывод 4 21 4 3" xfId="46291" xr:uid="{99F7970F-4BF9-4A25-92A8-8E3E9B9316D3}"/>
    <cellStyle name="Вывод 4 21 5" xfId="21190" xr:uid="{B70DE3C2-DD47-4CE7-B40D-B0FC8F5FC544}"/>
    <cellStyle name="Вывод 4 21 6" xfId="34213" xr:uid="{A217DADC-BD55-4849-8002-679DD90594AD}"/>
    <cellStyle name="Вывод 4 22" xfId="2645" xr:uid="{00535A74-930B-4BE7-BF2C-9DEC0DE3A88A}"/>
    <cellStyle name="Вывод 4 22 2" xfId="7942" xr:uid="{06E6ADF0-1025-4B6C-A378-252FA0E40D93}"/>
    <cellStyle name="Вывод 4 22 2 2" xfId="15929" xr:uid="{F4EC704F-F609-4124-A4E9-A6CB284619FE}"/>
    <cellStyle name="Вывод 4 22 2 2 2" xfId="32010" xr:uid="{8E93BB88-AF44-4D15-9989-8552D3EA0B2E}"/>
    <cellStyle name="Вывод 4 22 2 2 3" xfId="45526" xr:uid="{36C944E9-0898-47A2-B926-E0BDBDC353C4}"/>
    <cellStyle name="Вывод 4 22 2 3" xfId="25458" xr:uid="{CCB51289-1F6C-45C2-BBB4-5E0A55323CE4}"/>
    <cellStyle name="Вывод 4 22 2 4" xfId="38534" xr:uid="{F4740749-3916-4D91-9DD4-AA8D55BA62E1}"/>
    <cellStyle name="Вывод 4 22 3" xfId="6309" xr:uid="{C753A039-6B29-4CE7-A29A-F52D159C627D}"/>
    <cellStyle name="Вывод 4 22 3 2" xfId="15707" xr:uid="{01D19262-96D9-467E-BF52-1156FF0C92A8}"/>
    <cellStyle name="Вывод 4 22 3 2 2" xfId="31818" xr:uid="{78005864-1F79-4719-83DA-6CD6B041126A}"/>
    <cellStyle name="Вывод 4 22 3 2 3" xfId="45326" xr:uid="{BF24148C-4896-4B89-A5EA-C39E7CA6267B}"/>
    <cellStyle name="Вывод 4 22 3 3" xfId="23949" xr:uid="{7C86B9DF-FFEC-402A-B7FF-67754C41292F}"/>
    <cellStyle name="Вывод 4 22 3 4" xfId="37030" xr:uid="{05499D62-C0F2-44F3-9644-25BAF53CFCDB}"/>
    <cellStyle name="Вывод 4 22 4" xfId="10814" xr:uid="{ED2347C0-0281-4B85-A09B-80568A0CD364}"/>
    <cellStyle name="Вывод 4 22 4 2" xfId="27647" xr:uid="{2E906B28-B963-4020-A182-9CACA6C16B1F}"/>
    <cellStyle name="Вывод 4 22 4 3" xfId="40795" xr:uid="{E44D1558-79D3-4948-B714-7C839209563B}"/>
    <cellStyle name="Вывод 4 22 5" xfId="20701" xr:uid="{2C9B0427-F1EE-48FE-8382-A050D835BFDE}"/>
    <cellStyle name="Вывод 4 22 6" xfId="33724" xr:uid="{9639D20B-4F28-493E-8373-15E60EF0D4E0}"/>
    <cellStyle name="Вывод 4 23" xfId="4083" xr:uid="{4C9501F8-9B91-4CBC-AC71-78229B174462}"/>
    <cellStyle name="Вывод 4 23 2" xfId="9135" xr:uid="{60AE0F6B-70E6-4EE6-BE39-D4C68AE3CDC9}"/>
    <cellStyle name="Вывод 4 23 2 2" xfId="11429" xr:uid="{402195E4-ECB6-49FC-AA59-981BA3121E83}"/>
    <cellStyle name="Вывод 4 23 2 2 2" xfId="28197" xr:uid="{4B8DEF8B-088B-44B0-9EE2-80776FDBC310}"/>
    <cellStyle name="Вывод 4 23 2 2 3" xfId="41388" xr:uid="{AF8B472D-32E7-42DC-B636-B70150B6F6F2}"/>
    <cellStyle name="Вывод 4 23 2 3" xfId="26616" xr:uid="{B34EC6AF-FBE3-4275-B151-0A3026E6B6E7}"/>
    <cellStyle name="Вывод 4 23 2 4" xfId="39692" xr:uid="{E986D889-9115-4897-BB52-2BE0EBB82EA7}"/>
    <cellStyle name="Вывод 4 23 3" xfId="7647" xr:uid="{0E5DBD65-2767-4EE4-92AA-8D5C63C90EA8}"/>
    <cellStyle name="Вывод 4 23 3 2" xfId="14355" xr:uid="{600223C8-BD05-43CD-A605-8163D0AE1E76}"/>
    <cellStyle name="Вывод 4 23 3 2 2" xfId="30689" xr:uid="{7480C687-698C-4B02-9C94-29C0DC57756C}"/>
    <cellStyle name="Вывод 4 23 3 2 3" xfId="44085" xr:uid="{C35178B5-4775-46FA-B115-E875B4445EC7}"/>
    <cellStyle name="Вывод 4 23 3 3" xfId="25175" xr:uid="{D02439B3-A550-47A5-B0DE-906929F549DA}"/>
    <cellStyle name="Вывод 4 23 3 4" xfId="38251" xr:uid="{67BDC5B3-8591-42C4-9FD9-3AB985C36899}"/>
    <cellStyle name="Вывод 4 23 4" xfId="11075" xr:uid="{797C6897-189F-4D73-B372-B616EFF77758}"/>
    <cellStyle name="Вывод 4 23 4 2" xfId="27876" xr:uid="{A216D556-5DA0-4B67-B698-C55AA6582805}"/>
    <cellStyle name="Вывод 4 23 4 3" xfId="41054" xr:uid="{B6DA9CFF-215F-473A-9E11-E475B69A1CB6}"/>
    <cellStyle name="Вывод 4 23 5" xfId="21916" xr:uid="{C9F20296-EC24-4DA2-B848-694BE3D20F34}"/>
    <cellStyle name="Вывод 4 23 6" xfId="34965" xr:uid="{4AE3758F-FB48-477E-8E53-1E2051336D6C}"/>
    <cellStyle name="Вывод 4 24" xfId="2554" xr:uid="{38159BD6-4FA8-4AAA-87F0-F258BFFCDE5D}"/>
    <cellStyle name="Вывод 4 24 2" xfId="7852" xr:uid="{6636D16C-E0E2-4810-80D0-82BC89D11E48}"/>
    <cellStyle name="Вывод 4 24 2 2" xfId="10804" xr:uid="{99274B96-950E-412E-8088-4B4BC736A8B4}"/>
    <cellStyle name="Вывод 4 24 2 2 2" xfId="27637" xr:uid="{8A818285-2BEE-444E-BB3B-DF01825A517E}"/>
    <cellStyle name="Вывод 4 24 2 2 3" xfId="40785" xr:uid="{01525BFA-6FCE-49C4-AD7A-A699BDF4E3D2}"/>
    <cellStyle name="Вывод 4 24 2 3" xfId="25371" xr:uid="{0927E8BC-B47F-42A2-B982-7FCA571C2C0A}"/>
    <cellStyle name="Вывод 4 24 2 4" xfId="38447" xr:uid="{48875E76-19EE-4088-9E16-71DCDF127975}"/>
    <cellStyle name="Вывод 4 24 3" xfId="6219" xr:uid="{6F5BA369-0FDD-4683-A297-E70E3CA887D1}"/>
    <cellStyle name="Вывод 4 24 3 2" xfId="14889" xr:uid="{3D6DD702-7A7F-4EFC-B836-F6B8CA56E4F9}"/>
    <cellStyle name="Вывод 4 24 3 2 2" xfId="31139" xr:uid="{D0D25DAF-EA71-4982-84D7-62741A3E1E7D}"/>
    <cellStyle name="Вывод 4 24 3 2 3" xfId="44580" xr:uid="{51C8C368-3C12-4FB8-B3F8-A098A29D5C04}"/>
    <cellStyle name="Вывод 4 24 3 3" xfId="23862" xr:uid="{27E42071-4C53-4D25-9C49-279F020AE767}"/>
    <cellStyle name="Вывод 4 24 3 4" xfId="36943" xr:uid="{86A93529-03A0-4993-BA7A-D37798E24B3E}"/>
    <cellStyle name="Вывод 4 24 4" xfId="14232" xr:uid="{CDBF987A-6F32-4635-9707-36A494E6B9ED}"/>
    <cellStyle name="Вывод 4 24 4 2" xfId="30577" xr:uid="{68673C26-12F4-4043-A5E6-206A7149F6EC}"/>
    <cellStyle name="Вывод 4 24 4 3" xfId="43969" xr:uid="{71082D27-4986-491C-BCFF-7BC09BD5687A}"/>
    <cellStyle name="Вывод 4 24 5" xfId="20614" xr:uid="{DB9FB091-9438-4DA1-B33D-CE9C873B9968}"/>
    <cellStyle name="Вывод 4 24 6" xfId="33637" xr:uid="{E4E5F151-7A9B-44A1-A831-095FDB977B03}"/>
    <cellStyle name="Вывод 4 25" xfId="4213" xr:uid="{DF54027F-8D3D-4253-9E87-5C4A65D83146}"/>
    <cellStyle name="Вывод 4 25 2" xfId="9265" xr:uid="{58B9D8BC-6D00-46EA-ADFA-84C6C8254C9D}"/>
    <cellStyle name="Вывод 4 25 2 2" xfId="11560" xr:uid="{080D8A8D-032D-4A7F-B8DD-25DAC6DE3318}"/>
    <cellStyle name="Вывод 4 25 2 2 2" xfId="28317" xr:uid="{BABF8206-7C2A-42BA-969D-8FE4BFFD005A}"/>
    <cellStyle name="Вывод 4 25 2 2 3" xfId="41515" xr:uid="{1821FD3E-8BBE-4A5C-A794-F3F271BFCCCB}"/>
    <cellStyle name="Вывод 4 25 2 3" xfId="26738" xr:uid="{A33A3B4E-EAF3-4091-AF36-AB274D237AE4}"/>
    <cellStyle name="Вывод 4 25 2 4" xfId="39814" xr:uid="{A3852274-CDD5-4640-AC97-D48625F0B1A4}"/>
    <cellStyle name="Вывод 4 25 3" xfId="7777" xr:uid="{21CBFEFA-1CBE-40DD-B8F5-7E8F85ACAEC9}"/>
    <cellStyle name="Вывод 4 25 3 2" xfId="17342" xr:uid="{9F743D5C-B20F-4666-98AA-AD0F7E2A7092}"/>
    <cellStyle name="Вывод 4 25 3 2 2" xfId="33096" xr:uid="{25FD4405-DE23-4D2E-92E3-DDCAABCA1A50}"/>
    <cellStyle name="Вывод 4 25 3 2 3" xfId="46872" xr:uid="{375F5D63-0D7F-4758-8C0A-242880413EDE}"/>
    <cellStyle name="Вывод 4 25 3 3" xfId="25297" xr:uid="{C8409275-0F51-4FC4-8395-930E7840FC07}"/>
    <cellStyle name="Вывод 4 25 3 4" xfId="38373" xr:uid="{8EC1943F-8B13-498C-908F-9EC5CA4806EE}"/>
    <cellStyle name="Вывод 4 25 4" xfId="14208" xr:uid="{13DC6B11-DF31-41C0-8608-C0ABB6D750D3}"/>
    <cellStyle name="Вывод 4 25 4 2" xfId="30553" xr:uid="{A201CE52-9214-4197-BDB6-469287E4A631}"/>
    <cellStyle name="Вывод 4 25 4 3" xfId="43945" xr:uid="{2D2BF7E4-BC4A-41BA-81EB-55408E884097}"/>
    <cellStyle name="Вывод 4 25 5" xfId="22038" xr:uid="{F8A885CA-6925-4D96-9A21-31A44F46435D}"/>
    <cellStyle name="Вывод 4 25 6" xfId="35087" xr:uid="{A2B747FB-5EDA-4B3A-AE6A-1113D7E9175B}"/>
    <cellStyle name="Вывод 4 26" xfId="4295" xr:uid="{C8429581-A9F9-4F67-8EB6-A5557CB9A048}"/>
    <cellStyle name="Вывод 4 26 2" xfId="6164" xr:uid="{F5FD0CB0-05DD-433C-B00B-C0457424FB9E}"/>
    <cellStyle name="Вывод 4 26 2 2" xfId="16351" xr:uid="{D255809C-8105-45AF-AD61-117C66EA3A42}"/>
    <cellStyle name="Вывод 4 26 2 2 2" xfId="32372" xr:uid="{2740192C-D44A-48E5-841B-BD4DCCE58D6E}"/>
    <cellStyle name="Вывод 4 26 2 2 3" xfId="45905" xr:uid="{CC99A77D-7EF8-4856-AE43-2FB0DE687C2B}"/>
    <cellStyle name="Вывод 4 26 2 3" xfId="23809" xr:uid="{3D5E83B1-2B9C-4961-AE63-AF524B108206}"/>
    <cellStyle name="Вывод 4 26 2 4" xfId="36890" xr:uid="{6E2E54D3-4518-4129-B8A6-6677A79CEC56}"/>
    <cellStyle name="Вывод 4 26 3" xfId="17572" xr:uid="{8C0E2C51-AEAD-4BF2-A280-BFD34B51E2E1}"/>
    <cellStyle name="Вывод 4 26 3 2" xfId="33309" xr:uid="{C5731298-CC9A-47A1-996B-410C4B37A00E}"/>
    <cellStyle name="Вывод 4 26 3 3" xfId="47097" xr:uid="{FF11141B-EEE4-4E88-82B1-D654083A007C}"/>
    <cellStyle name="Вывод 4 26 4" xfId="22116" xr:uid="{6F5AFB51-CD84-411E-BF46-A3DA6D5E1966}"/>
    <cellStyle name="Вывод 4 26 5" xfId="35165" xr:uid="{E1B2C18A-D8DB-43BF-90E3-595F40314A16}"/>
    <cellStyle name="Вывод 4 27" xfId="5274" xr:uid="{E44152F5-5B3A-427D-8C60-62DDAC6F43C5}"/>
    <cellStyle name="Вывод 4 27 2" xfId="9707" xr:uid="{C00C4814-757D-4C95-A5AC-250BBC3DD1C6}"/>
    <cellStyle name="Вывод 4 27 2 2" xfId="11038" xr:uid="{07D2F0AB-54B3-409D-87E8-9D950579F9D4}"/>
    <cellStyle name="Вывод 4 27 2 2 2" xfId="27844" xr:uid="{1BCB2CC6-066C-44E1-B0CE-D10A94EA63B3}"/>
    <cellStyle name="Вывод 4 27 2 2 3" xfId="41018" xr:uid="{CE0F341F-C6BD-4F59-A492-8634638079F1}"/>
    <cellStyle name="Вывод 4 27 2 3" xfId="27007" xr:uid="{D9D78B97-9E35-47F9-8966-E739D52BF295}"/>
    <cellStyle name="Вывод 4 27 2 4" xfId="40123" xr:uid="{3CC6E585-05B3-45CB-AF52-762D602EC701}"/>
    <cellStyle name="Вывод 4 27 3" xfId="11072" xr:uid="{C76755E8-AFB6-498A-A6B5-17985205CC25}"/>
    <cellStyle name="Вывод 4 27 3 2" xfId="27875" xr:uid="{C482AEAC-B738-4D79-A9CB-EBB2A215306B}"/>
    <cellStyle name="Вывод 4 27 3 3" xfId="41051" xr:uid="{866550A9-F2B2-4D69-A750-376EE7B474E0}"/>
    <cellStyle name="Вывод 4 27 4" xfId="22926" xr:uid="{EC786225-0099-461A-9F0B-C36C240BC6BB}"/>
    <cellStyle name="Вывод 4 27 5" xfId="36004" xr:uid="{07DBB223-F8F3-42A2-90A1-7028F2415556}"/>
    <cellStyle name="Вывод 4 28" xfId="5355" xr:uid="{7E1E7AA3-A7EA-46FF-A844-22A684BB9F5A}"/>
    <cellStyle name="Вывод 4 28 2" xfId="9786" xr:uid="{CB3EBBED-92D9-46C3-BB09-F0B64945EF94}"/>
    <cellStyle name="Вывод 4 28 2 2" xfId="15535" xr:uid="{41F2B396-2E14-4FA4-88A9-A1DAC1C003CF}"/>
    <cellStyle name="Вывод 4 28 2 2 2" xfId="31670" xr:uid="{036A2231-769E-48DC-B1DE-ADEAD8F38A6F}"/>
    <cellStyle name="Вывод 4 28 2 2 3" xfId="45169" xr:uid="{226139E6-2A19-4E48-A35B-BFF276B00E85}"/>
    <cellStyle name="Вывод 4 28 2 3" xfId="27083" xr:uid="{01834807-4B40-4D09-B3E5-DE1BFDD80325}"/>
    <cellStyle name="Вывод 4 28 2 4" xfId="40202" xr:uid="{E99ACAD1-A60A-493B-BEE9-C756EF5407AC}"/>
    <cellStyle name="Вывод 4 28 3" xfId="13945" xr:uid="{585E39A9-17D2-45BA-A34B-63F505713C7A}"/>
    <cellStyle name="Вывод 4 28 3 2" xfId="30333" xr:uid="{0AA28246-96F5-45D0-A807-BBB3D8C56A22}"/>
    <cellStyle name="Вывод 4 28 3 3" xfId="43710" xr:uid="{E97B6407-3AFD-45A8-B42D-EF0EC74A0CDA}"/>
    <cellStyle name="Вывод 4 28 4" xfId="23002" xr:uid="{5BE66B15-713A-46D0-B310-72B32E57DE7D}"/>
    <cellStyle name="Вывод 4 28 5" xfId="36083" xr:uid="{CFC6DFD9-BC4D-45C0-BCC3-43A7464831A3}"/>
    <cellStyle name="Вывод 4 29" xfId="10565" xr:uid="{DC8D2091-03F5-4E39-8D86-652446E919F0}"/>
    <cellStyle name="Вывод 4 29 2" xfId="17610" xr:uid="{78E0DEC0-B86D-4086-9E38-7AE4C54D89BD}"/>
    <cellStyle name="Вывод 4 29 2 2" xfId="33345" xr:uid="{DEB2C8FF-8614-49F2-A970-38C726AAF202}"/>
    <cellStyle name="Вывод 4 29 2 3" xfId="47135" xr:uid="{ED3DD4F3-907A-40A0-83DC-89D6D5242C32}"/>
    <cellStyle name="Вывод 4 29 3" xfId="27424" xr:uid="{EEE7C8BD-13AF-4EE2-8E93-2C5025D01989}"/>
    <cellStyle name="Вывод 4 29 4" xfId="40546" xr:uid="{A1B839B0-0D20-4E8E-85C8-235FDC2FA39D}"/>
    <cellStyle name="Вывод 4 3" xfId="3338" xr:uid="{526B92F9-486C-4267-9641-0E27CA8F47A6}"/>
    <cellStyle name="Вывод 4 3 10" xfId="34384" xr:uid="{F2B703F1-8BE7-4EEE-8917-282F6201F57B}"/>
    <cellStyle name="Вывод 4 3 2" xfId="2700" xr:uid="{DBAAF0F0-56E4-4CB0-BD31-51824621149B}"/>
    <cellStyle name="Вывод 4 3 2 2" xfId="7996" xr:uid="{7558C7D8-08F3-44EB-9873-5AB6308381F8}"/>
    <cellStyle name="Вывод 4 3 2 2 2" xfId="13055" xr:uid="{8CFF42D6-95C4-473A-9BF5-728ECCE20E69}"/>
    <cellStyle name="Вывод 4 3 2 2 2 2" xfId="29580" xr:uid="{C76611B0-8C3F-4C37-AFA9-3C63A61CD54E}"/>
    <cellStyle name="Вывод 4 3 2 2 2 3" xfId="42885" xr:uid="{CDCDF927-C406-4021-B6B9-7F66BA979C0C}"/>
    <cellStyle name="Вывод 4 3 2 2 3" xfId="25511" xr:uid="{7C62DA46-B170-4DD1-8B75-673A09653818}"/>
    <cellStyle name="Вывод 4 3 2 2 4" xfId="38587" xr:uid="{59357FE8-E853-480E-A90D-90A568871A21}"/>
    <cellStyle name="Вывод 4 3 2 3" xfId="6363" xr:uid="{F90BD1E7-011A-4A36-A832-0654C5CF0F85}"/>
    <cellStyle name="Вывод 4 3 2 3 2" xfId="12496" xr:uid="{1EF10D7F-08E2-4286-9C30-B3B250F9B462}"/>
    <cellStyle name="Вывод 4 3 2 3 2 2" xfId="29130" xr:uid="{A91AEA05-60E7-4FF5-9BB3-9C05DF63A47B}"/>
    <cellStyle name="Вывод 4 3 2 3 2 3" xfId="42384" xr:uid="{6FD728EA-D073-4E28-BAEF-4024004AD4A6}"/>
    <cellStyle name="Вывод 4 3 2 3 3" xfId="24002" xr:uid="{66341645-B331-4696-9523-194A19C87060}"/>
    <cellStyle name="Вывод 4 3 2 3 4" xfId="37083" xr:uid="{B9F59D10-9332-4AD6-879B-8B6F819ABB35}"/>
    <cellStyle name="Вывод 4 3 2 4" xfId="11104" xr:uid="{2A02117D-90E8-4A8A-94FD-2FEB74533B46}"/>
    <cellStyle name="Вывод 4 3 2 4 2" xfId="27905" xr:uid="{3F8AC727-C872-413C-8C49-1F7C13ADAECA}"/>
    <cellStyle name="Вывод 4 3 2 4 3" xfId="41083" xr:uid="{9D5F18A5-F2DC-4672-B4B3-9920729A5EC6}"/>
    <cellStyle name="Вывод 4 3 2 5" xfId="20754" xr:uid="{37EC11AF-CD30-4FBE-996B-752A496F4D17}"/>
    <cellStyle name="Вывод 4 3 2 6" xfId="33777" xr:uid="{2C9BD74D-4D88-4F69-862C-7054C5146993}"/>
    <cellStyle name="Вывод 4 3 3" xfId="4113" xr:uid="{55DC5FF4-3032-46CD-9338-E44BE202D4DF}"/>
    <cellStyle name="Вывод 4 3 3 2" xfId="9165" xr:uid="{D97470F1-4BF7-4708-AAAB-7BF6D0AFF8F6}"/>
    <cellStyle name="Вывод 4 3 3 2 2" xfId="15271" xr:uid="{76548533-361A-4A23-8CC0-6EC5C9032827}"/>
    <cellStyle name="Вывод 4 3 3 2 2 2" xfId="31445" xr:uid="{65BA7658-37CA-4952-91A8-90CC143B15BC}"/>
    <cellStyle name="Вывод 4 3 3 2 2 3" xfId="44921" xr:uid="{A9A17844-FA7E-43D8-AB21-174822C20336}"/>
    <cellStyle name="Вывод 4 3 3 2 3" xfId="26646" xr:uid="{36006D25-9A7F-45CB-A581-4168CE370709}"/>
    <cellStyle name="Вывод 4 3 3 2 4" xfId="39722" xr:uid="{7F2A88DE-6C1C-42CE-BD4C-D8454E2514B4}"/>
    <cellStyle name="Вывод 4 3 3 3" xfId="7677" xr:uid="{7115D4B5-EC19-4514-87B3-C87D88BB2CA3}"/>
    <cellStyle name="Вывод 4 3 3 3 2" xfId="12509" xr:uid="{75555413-4020-4CE8-87EA-52E1F508BC43}"/>
    <cellStyle name="Вывод 4 3 3 3 2 2" xfId="29141" xr:uid="{55C99D90-D812-4386-AAA4-A45B6BDEBC3E}"/>
    <cellStyle name="Вывод 4 3 3 3 2 3" xfId="42396" xr:uid="{7BC8E733-D917-4B17-BB5F-C31542371683}"/>
    <cellStyle name="Вывод 4 3 3 3 3" xfId="25205" xr:uid="{19A16BFA-631C-465B-9404-85FC295169BB}"/>
    <cellStyle name="Вывод 4 3 3 3 4" xfId="38281" xr:uid="{4501739D-1937-472F-A559-011333C4336A}"/>
    <cellStyle name="Вывод 4 3 3 4" xfId="11852" xr:uid="{9E512C02-7733-4E9B-A3A5-4A08540E23E0}"/>
    <cellStyle name="Вывод 4 3 3 4 2" xfId="28569" xr:uid="{F4882BD5-8125-4D52-8C0A-B16D39369125}"/>
    <cellStyle name="Вывод 4 3 3 4 3" xfId="41785" xr:uid="{4159135A-0F4B-4A37-8319-75D3C419915B}"/>
    <cellStyle name="Вывод 4 3 3 5" xfId="21946" xr:uid="{0CA302B8-1B38-4F53-A181-D2BAB931999A}"/>
    <cellStyle name="Вывод 4 3 3 6" xfId="34995" xr:uid="{B2ADEEF1-7E0A-4C79-9800-3E4D37B5D336}"/>
    <cellStyle name="Вывод 4 3 4" xfId="2580" xr:uid="{5D22BD8B-057D-4ED2-B303-863E2C668F28}"/>
    <cellStyle name="Вывод 4 3 4 2" xfId="7877" xr:uid="{81C0E28B-02AD-4F72-8034-9B75E44F6C68}"/>
    <cellStyle name="Вывод 4 3 4 2 2" xfId="17484" xr:uid="{634D85ED-5FEC-41AC-8CD7-5214C0C078B0}"/>
    <cellStyle name="Вывод 4 3 4 2 2 2" xfId="33227" xr:uid="{3B05A6BE-A566-48E5-8E14-52716745C550}"/>
    <cellStyle name="Вывод 4 3 4 2 2 3" xfId="47013" xr:uid="{A50EF2D0-6672-4908-8C18-6DC2BC8E8559}"/>
    <cellStyle name="Вывод 4 3 4 2 3" xfId="25396" xr:uid="{EA3BA426-0D9D-45BE-A074-2E7B30779B71}"/>
    <cellStyle name="Вывод 4 3 4 2 4" xfId="38472" xr:uid="{5D43C98F-CB13-4F93-984C-28C18587FB5E}"/>
    <cellStyle name="Вывод 4 3 4 3" xfId="6244" xr:uid="{17FDB3E9-7F01-4AB8-98E2-931C83EE6CCB}"/>
    <cellStyle name="Вывод 4 3 4 3 2" xfId="13339" xr:uid="{5EF30DA3-9792-4961-9966-76EF938C8015}"/>
    <cellStyle name="Вывод 4 3 4 3 2 2" xfId="29821" xr:uid="{DC3CABCB-EDA6-4240-A097-F2039005AA0D}"/>
    <cellStyle name="Вывод 4 3 4 3 2 3" xfId="43152" xr:uid="{62248C97-A8B4-4431-B1C7-A3F818AB9400}"/>
    <cellStyle name="Вывод 4 3 4 3 3" xfId="23887" xr:uid="{9386E52A-AD61-4C60-BBC1-845A24B97B69}"/>
    <cellStyle name="Вывод 4 3 4 3 4" xfId="36968" xr:uid="{A946C63A-DC82-4472-8DDD-63B0C78B7742}"/>
    <cellStyle name="Вывод 4 3 4 4" xfId="12025" xr:uid="{3998F007-DA8B-4B92-A5C2-565659196F0B}"/>
    <cellStyle name="Вывод 4 3 4 4 2" xfId="28727" xr:uid="{22A0F21E-A2C3-4ED0-9F77-370DCC45A94F}"/>
    <cellStyle name="Вывод 4 3 4 4 3" xfId="41945" xr:uid="{2DF5E297-7C2E-4E4A-ACA4-F8797DECE8CE}"/>
    <cellStyle name="Вывод 4 3 4 5" xfId="20639" xr:uid="{4DF4943B-A656-4D14-B5B0-DE7FDF9EE819}"/>
    <cellStyle name="Вывод 4 3 4 6" xfId="33662" xr:uid="{D1747875-FC32-4A63-B414-3C9C3F960C52}"/>
    <cellStyle name="Вывод 4 3 5" xfId="4263" xr:uid="{148F2DC8-2A1A-4172-A7FA-19950F453D38}"/>
    <cellStyle name="Вывод 4 3 5 2" xfId="9315" xr:uid="{8B9E2C27-7485-4B75-AC9E-3508A6CD0740}"/>
    <cellStyle name="Вывод 4 3 5 2 2" xfId="11436" xr:uid="{F6456BA9-43E7-487C-86C9-4BF6EA6112E3}"/>
    <cellStyle name="Вывод 4 3 5 2 2 2" xfId="28202" xr:uid="{1D645B8B-ECF4-4C2C-8F4E-46A6A419B4B4}"/>
    <cellStyle name="Вывод 4 3 5 2 2 3" xfId="41395" xr:uid="{049A9E5E-6F71-4F6D-ACCB-A16F86F0916A}"/>
    <cellStyle name="Вывод 4 3 5 2 3" xfId="26788" xr:uid="{E50B5175-E2FB-4F7F-8B85-62AF24BA0FEE}"/>
    <cellStyle name="Вывод 4 3 5 2 4" xfId="39864" xr:uid="{B585AA89-C90C-448D-AEB4-40E73C3F04BF}"/>
    <cellStyle name="Вывод 4 3 5 3" xfId="7827" xr:uid="{EE0E7B0D-81A3-40E6-9C1A-448C33BDC7AA}"/>
    <cellStyle name="Вывод 4 3 5 3 2" xfId="12113" xr:uid="{A9BC298E-438E-4118-9978-6EF7C509A7E9}"/>
    <cellStyle name="Вывод 4 3 5 3 2 2" xfId="28813" xr:uid="{26372876-9635-45B4-BC04-7A1236AA6B58}"/>
    <cellStyle name="Вывод 4 3 5 3 2 3" xfId="42033" xr:uid="{21DADC6F-F016-4170-AEB9-C63F35C4077A}"/>
    <cellStyle name="Вывод 4 3 5 3 3" xfId="25347" xr:uid="{EC8B63E1-1D66-4568-8095-6D6159E0F28C}"/>
    <cellStyle name="Вывод 4 3 5 3 4" xfId="38423" xr:uid="{387A72E9-72CD-431D-A48A-C02FF18FA158}"/>
    <cellStyle name="Вывод 4 3 5 4" xfId="16978" xr:uid="{B28B1B03-5ADD-4C86-AB7C-305FD651DEAD}"/>
    <cellStyle name="Вывод 4 3 5 4 2" xfId="32801" xr:uid="{676335E8-C24C-4A81-88DD-736BF0B3CDC1}"/>
    <cellStyle name="Вывод 4 3 5 4 3" xfId="46520" xr:uid="{9585FB08-AC0C-4FA3-8E2B-AF7B3F5FD520}"/>
    <cellStyle name="Вывод 4 3 5 5" xfId="22088" xr:uid="{6C550219-B0A0-472B-BA1C-78DC934D55FD}"/>
    <cellStyle name="Вывод 4 3 5 6" xfId="35137" xr:uid="{1C24F7A0-6F4E-4CEB-AF34-0B92FA6C84DC}"/>
    <cellStyle name="Вывод 4 3 6" xfId="4369" xr:uid="{4126F394-CA84-4810-A478-CA7FE4903211}"/>
    <cellStyle name="Вывод 4 3 6 2" xfId="6988" xr:uid="{A6B29066-E4EE-4DA1-8B97-7195F8F9A4B8}"/>
    <cellStyle name="Вывод 4 3 6 2 2" xfId="13531" xr:uid="{CEB7AE1C-485C-420D-8DAF-0C3B42155EDD}"/>
    <cellStyle name="Вывод 4 3 6 2 2 2" xfId="29981" xr:uid="{401CDBE6-3B91-4594-AF45-8F57063C9B42}"/>
    <cellStyle name="Вывод 4 3 6 2 2 3" xfId="43326" xr:uid="{39F5F0FB-2B9A-4B73-8A14-6AEA1F0724EB}"/>
    <cellStyle name="Вывод 4 3 6 2 3" xfId="24609" xr:uid="{A319E0CE-C207-4EF0-88C7-1D018998C41B}"/>
    <cellStyle name="Вывод 4 3 6 2 4" xfId="37690" xr:uid="{A06A43A6-A11B-4CD6-BA25-D6F217F51E9D}"/>
    <cellStyle name="Вывод 4 3 6 3" xfId="11214" xr:uid="{B3E24D4B-E900-48EC-8F7D-C213F5E2660C}"/>
    <cellStyle name="Вывод 4 3 6 3 2" xfId="28008" xr:uid="{E960EEAC-4644-4578-8110-49E98577AAAA}"/>
    <cellStyle name="Вывод 4 3 6 3 3" xfId="41190" xr:uid="{86E8E14D-224D-48FB-A722-1473318233E3}"/>
    <cellStyle name="Вывод 4 3 6 4" xfId="22188" xr:uid="{59C90399-6BB2-4DDA-89B7-BD9E86F25AAA}"/>
    <cellStyle name="Вывод 4 3 6 5" xfId="35237" xr:uid="{0FC570CC-D295-4310-8F70-0CD1E1F558FC}"/>
    <cellStyle name="Вывод 4 3 7" xfId="5423" xr:uid="{D277A1E1-9988-4689-BF1C-F179671E8435}"/>
    <cellStyle name="Вывод 4 3 7 2" xfId="8601" xr:uid="{7D88365D-1775-48C1-9ACD-2D61E37C48C9}"/>
    <cellStyle name="Вывод 4 3 7 2 2" xfId="14131" xr:uid="{F6911050-9869-43C8-8C70-8E6B761A6D4C}"/>
    <cellStyle name="Вывод 4 3 7 2 2 2" xfId="30495" xr:uid="{C70E8136-4561-4BA6-B98A-E7C9A37ACC9E}"/>
    <cellStyle name="Вывод 4 3 7 2 2 3" xfId="43879" xr:uid="{EC2F8E78-8CA9-4C97-84C1-2777BA6FC7E6}"/>
    <cellStyle name="Вывод 4 3 7 2 3" xfId="26098" xr:uid="{B476FB28-2305-4437-92B0-8BF953DDB9C1}"/>
    <cellStyle name="Вывод 4 3 7 2 4" xfId="39174" xr:uid="{641378FD-F7E1-4B06-970C-07D4E426D4D7}"/>
    <cellStyle name="Вывод 4 3 7 3" xfId="16112" xr:uid="{4851C574-0A61-4E28-BE37-C7137755B447}"/>
    <cellStyle name="Вывод 4 3 7 3 2" xfId="32169" xr:uid="{C73C1B52-0662-4D29-9C0D-7D8BE5A17375}"/>
    <cellStyle name="Вывод 4 3 7 3 3" xfId="45690" xr:uid="{4048FF51-67EF-4F90-8AD8-75F632C8BD67}"/>
    <cellStyle name="Вывод 4 3 7 4" xfId="23070" xr:uid="{9C702FB7-D4E6-431F-955F-293EE1496452}"/>
    <cellStyle name="Вывод 4 3 7 5" xfId="36151" xr:uid="{548E9BE1-5FEC-4591-B2D9-81AF0620CE10}"/>
    <cellStyle name="Вывод 4 3 8" xfId="12286" xr:uid="{7340208B-DDBB-42FE-87FA-14E3E5E3A70E}"/>
    <cellStyle name="Вывод 4 3 8 2" xfId="28960" xr:uid="{AC860EF3-AD8B-4611-B42F-8C6D97AA3A62}"/>
    <cellStyle name="Вывод 4 3 8 3" xfId="42197" xr:uid="{5F36154E-54AD-4407-AFF0-B00C1AAF8A88}"/>
    <cellStyle name="Вывод 4 3 9" xfId="21361" xr:uid="{5E06B5DC-F23B-4509-BD7A-3D7FEDBC4629}"/>
    <cellStyle name="Вывод 4 30" xfId="11995" xr:uid="{A20FDCBA-BF8A-4E51-AE52-4EB759A5ED4B}"/>
    <cellStyle name="Вывод 4 30 2" xfId="28701" xr:uid="{DB58925F-B3C5-401B-9128-29BA2EE900AB}"/>
    <cellStyle name="Вывод 4 30 3" xfId="41919" xr:uid="{9BAB5EB8-7D0E-446B-9894-1EAA592D5FB2}"/>
    <cellStyle name="Вывод 4 31" xfId="15737" xr:uid="{B6A9CD37-E69C-4E32-8F48-1C079C175D2A}"/>
    <cellStyle name="Вывод 4 31 2" xfId="31846" xr:uid="{E7BF6295-894C-4DFE-8582-64879EBFD093}"/>
    <cellStyle name="Вывод 4 31 3" xfId="45356" xr:uid="{9F4AF61E-BB69-44E3-BDA2-808C4DC83D7E}"/>
    <cellStyle name="Вывод 4 32" xfId="11799" xr:uid="{C1D09648-6A8C-4B82-8456-B62868F5E92E}"/>
    <cellStyle name="Вывод 4 32 2" xfId="28521" xr:uid="{EAF0BA4F-54FF-469E-80D4-72EF9F5802AD}"/>
    <cellStyle name="Вывод 4 32 3" xfId="41733" xr:uid="{D3078019-2B8E-4329-9D24-3F854C5C645E}"/>
    <cellStyle name="Вывод 4 33" xfId="17663" xr:uid="{3AFE0D83-380E-4B8C-B401-192997EE5B8E}"/>
    <cellStyle name="Вывод 4 33 2" xfId="33386" xr:uid="{24D72885-702E-40CC-B463-262252642A08}"/>
    <cellStyle name="Вывод 4 33 3" xfId="47175" xr:uid="{29C8ED8E-F613-4AE7-BEE2-8EC09CD64AA3}"/>
    <cellStyle name="Вывод 4 34" xfId="33564" xr:uid="{288E69E1-4F3B-4A21-A0B3-70AEC6CC2072}"/>
    <cellStyle name="Вывод 4 4" xfId="3467" xr:uid="{65C51490-3ADB-4317-B29E-CD4E655035B5}"/>
    <cellStyle name="Вывод 4 4 10" xfId="34483" xr:uid="{7A50175F-E197-4DA5-9DDE-BB74A4F60E75}"/>
    <cellStyle name="Вывод 4 4 2" xfId="2809" xr:uid="{48DDB587-A394-4687-83EB-F3361C899091}"/>
    <cellStyle name="Вывод 4 4 2 2" xfId="8105" xr:uid="{845661AA-78A1-46CF-8BDE-12FE48427F2E}"/>
    <cellStyle name="Вывод 4 4 2 2 2" xfId="13101" xr:uid="{FE024A41-AC83-45FC-A9DA-5D09CB35C754}"/>
    <cellStyle name="Вывод 4 4 2 2 2 2" xfId="29616" xr:uid="{505B2C01-049C-494D-99BC-E72CE90E98FC}"/>
    <cellStyle name="Вывод 4 4 2 2 2 3" xfId="42927" xr:uid="{CD035B35-5ED6-4401-A6E9-8FA5B307337C}"/>
    <cellStyle name="Вывод 4 4 2 2 3" xfId="25616" xr:uid="{1EF9CB7B-F941-4174-824C-147702840180}"/>
    <cellStyle name="Вывод 4 4 2 2 4" xfId="38692" xr:uid="{BE66805A-F78E-4696-929B-6DA1F30B96B8}"/>
    <cellStyle name="Вывод 4 4 2 3" xfId="6472" xr:uid="{A664C955-93EA-49C5-94BA-99A4E72B6F76}"/>
    <cellStyle name="Вывод 4 4 2 3 2" xfId="13938" xr:uid="{EDE88851-D830-4B48-BC35-223CFB83B6DE}"/>
    <cellStyle name="Вывод 4 4 2 3 2 2" xfId="30327" xr:uid="{3294BFE2-11A9-48D9-8BA1-C66453657EFC}"/>
    <cellStyle name="Вывод 4 4 2 3 2 3" xfId="43703" xr:uid="{C27C815E-27FF-4B58-862C-CA93E80EB030}"/>
    <cellStyle name="Вывод 4 4 2 3 3" xfId="24107" xr:uid="{04B926B9-3ACF-4E2D-B864-09986E9CA501}"/>
    <cellStyle name="Вывод 4 4 2 3 4" xfId="37188" xr:uid="{0977332D-1C30-45D3-8476-E1F326BD6BC1}"/>
    <cellStyle name="Вывод 4 4 2 4" xfId="13513" xr:uid="{2FF725BB-2D5C-46CE-9521-F9D36D3406CF}"/>
    <cellStyle name="Вывод 4 4 2 4 2" xfId="29968" xr:uid="{81CC8A3C-314B-4134-A71F-1BA9CB91E13E}"/>
    <cellStyle name="Вывод 4 4 2 4 3" xfId="43310" xr:uid="{9C4881B0-CAE1-4019-9EF5-3B8C18B743C4}"/>
    <cellStyle name="Вывод 4 4 2 5" xfId="20859" xr:uid="{C1177F68-7796-408D-8C7F-4FEA35C12A5F}"/>
    <cellStyle name="Вывод 4 4 2 6" xfId="33882" xr:uid="{A85516D0-EAC5-4373-BAD2-409D0A0FC69D}"/>
    <cellStyle name="Вывод 4 4 3" xfId="4158" xr:uid="{B158C4C7-844C-4A7A-A066-732542571EA6}"/>
    <cellStyle name="Вывод 4 4 3 2" xfId="9210" xr:uid="{79F81187-4BF7-4D79-8188-204312F5E586}"/>
    <cellStyle name="Вывод 4 4 3 2 2" xfId="17103" xr:uid="{7B5F8C8B-57A3-4AC8-9F59-29ED7D180993}"/>
    <cellStyle name="Вывод 4 4 3 2 2 2" xfId="32871" xr:uid="{71C522B5-0118-4382-88E7-1D769971E7A9}"/>
    <cellStyle name="Вывод 4 4 3 2 2 3" xfId="46642" xr:uid="{FEC705EB-65BE-4299-B5E4-3C8E61D4DE55}"/>
    <cellStyle name="Вывод 4 4 3 2 3" xfId="26685" xr:uid="{A4EBBD24-945A-4BEA-9C8E-D3B2E3B0549E}"/>
    <cellStyle name="Вывод 4 4 3 2 4" xfId="39761" xr:uid="{6A9C9547-1215-4A2E-BC61-395B8D933917}"/>
    <cellStyle name="Вывод 4 4 3 3" xfId="7722" xr:uid="{3866C045-CF37-484B-8135-3BEB700CA537}"/>
    <cellStyle name="Вывод 4 4 3 3 2" xfId="15137" xr:uid="{65BCDB91-1FA2-4883-A313-DBDB5B7335B3}"/>
    <cellStyle name="Вывод 4 4 3 3 2 2" xfId="31337" xr:uid="{548B7ED0-9DFA-4A22-9826-7BC900C045A2}"/>
    <cellStyle name="Вывод 4 4 3 3 2 3" xfId="44801" xr:uid="{1BE3FE63-4709-4855-B11E-46E9D0A44E47}"/>
    <cellStyle name="Вывод 4 4 3 3 3" xfId="25244" xr:uid="{E279FE25-B21B-4C44-AE31-49D3491C1AC2}"/>
    <cellStyle name="Вывод 4 4 3 3 4" xfId="38320" xr:uid="{934A0F66-8AB9-407B-827E-D96139BF3018}"/>
    <cellStyle name="Вывод 4 4 3 4" xfId="11984" xr:uid="{0EA3098F-FA95-4570-9B09-AB95E7BE2A32}"/>
    <cellStyle name="Вывод 4 4 3 4 2" xfId="28690" xr:uid="{BD0816AD-F199-452B-8329-302F5E71BD91}"/>
    <cellStyle name="Вывод 4 4 3 4 3" xfId="41908" xr:uid="{94C88B7A-7CF2-43DE-9AD0-CC92CAFCCB1D}"/>
    <cellStyle name="Вывод 4 4 3 5" xfId="21985" xr:uid="{EAC8E884-0F59-4152-B9FE-9B3ADBD791FD}"/>
    <cellStyle name="Вывод 4 4 3 6" xfId="35034" xr:uid="{ADBEA09B-85EF-4BA4-A9DE-FD4D58C58F9D}"/>
    <cellStyle name="Вывод 4 4 4" xfId="2731" xr:uid="{7AAB44B3-B767-48D9-92EF-3BFD294B7F80}"/>
    <cellStyle name="Вывод 4 4 4 2" xfId="8027" xr:uid="{3D5FA8B9-C258-430A-9E14-DACE636F7F7C}"/>
    <cellStyle name="Вывод 4 4 4 2 2" xfId="13964" xr:uid="{16CD34F0-B3A9-4300-A917-A1756BFBFA9D}"/>
    <cellStyle name="Вывод 4 4 4 2 2 2" xfId="30351" xr:uid="{862255CC-5A12-4C5E-90DB-4E12925CDDE0}"/>
    <cellStyle name="Вывод 4 4 4 2 2 3" xfId="43728" xr:uid="{01FB299C-CECF-4DCC-868D-B42F50728EEF}"/>
    <cellStyle name="Вывод 4 4 4 2 3" xfId="25540" xr:uid="{6D085DBB-D92F-4CE3-BAA1-0E3C72C36340}"/>
    <cellStyle name="Вывод 4 4 4 2 4" xfId="38616" xr:uid="{1BB7BB10-51FB-4997-9B22-BC01CDC3B4F2}"/>
    <cellStyle name="Вывод 4 4 4 3" xfId="6394" xr:uid="{FC3014E4-7994-474E-A6D5-3279C29CDCFE}"/>
    <cellStyle name="Вывод 4 4 4 3 2" xfId="14223" xr:uid="{036214E3-E96E-4B1A-9B14-09918EE27F7C}"/>
    <cellStyle name="Вывод 4 4 4 3 2 2" xfId="30568" xr:uid="{BE03164A-C3BB-49D7-AA6B-2C0BCD42DB83}"/>
    <cellStyle name="Вывод 4 4 4 3 2 3" xfId="43960" xr:uid="{350318C5-8155-408E-B662-0CB872C9E1DA}"/>
    <cellStyle name="Вывод 4 4 4 3 3" xfId="24031" xr:uid="{DFB8F474-3030-4914-AD2E-657CA3010992}"/>
    <cellStyle name="Вывод 4 4 4 3 4" xfId="37112" xr:uid="{160717F2-517D-43E8-A4C2-CBFA055E0EA5}"/>
    <cellStyle name="Вывод 4 4 4 4" xfId="17067" xr:uid="{24F0B797-B796-4132-8AED-73ACCCBB94BC}"/>
    <cellStyle name="Вывод 4 4 4 4 2" xfId="32838" xr:uid="{23EC38AC-E984-4B2A-8E76-3585D789DB2C}"/>
    <cellStyle name="Вывод 4 4 4 4 3" xfId="46608" xr:uid="{9AA58698-56B1-4955-ADD8-4B84623E144E}"/>
    <cellStyle name="Вывод 4 4 4 5" xfId="20783" xr:uid="{BB28B4CC-F8C3-42AB-9C38-84A755820849}"/>
    <cellStyle name="Вывод 4 4 4 6" xfId="33806" xr:uid="{8E5C0526-6BC7-41D9-82AC-78818D4F1BED}"/>
    <cellStyle name="Вывод 4 4 5" xfId="4248" xr:uid="{8F9A2A2E-AE23-44A5-B187-B10F1BE80ADF}"/>
    <cellStyle name="Вывод 4 4 5 2" xfId="9300" xr:uid="{DF521E2C-808D-4A9B-90C9-6F687EEAB231}"/>
    <cellStyle name="Вывод 4 4 5 2 2" xfId="13135" xr:uid="{C1462BB5-1B27-47CB-82FE-6B8C314633D8}"/>
    <cellStyle name="Вывод 4 4 5 2 2 2" xfId="29649" xr:uid="{D4C5537F-E7A6-4A01-8459-07E9EF868F76}"/>
    <cellStyle name="Вывод 4 4 5 2 2 3" xfId="42961" xr:uid="{17539588-98B9-4F11-B335-8B7F6F3D18C4}"/>
    <cellStyle name="Вывод 4 4 5 2 3" xfId="26773" xr:uid="{C342AABB-0C99-431C-81F3-77853758B777}"/>
    <cellStyle name="Вывод 4 4 5 2 4" xfId="39849" xr:uid="{32A219B3-DD2C-4C6E-923D-CD1953990128}"/>
    <cellStyle name="Вывод 4 4 5 3" xfId="7812" xr:uid="{0991393D-DFA1-464A-A66B-7C32C15540E1}"/>
    <cellStyle name="Вывод 4 4 5 3 2" xfId="13712" xr:uid="{DBA6BF14-FC3C-4274-883D-0C7311FE4BB2}"/>
    <cellStyle name="Вывод 4 4 5 3 2 2" xfId="30130" xr:uid="{A8651A7D-02E4-4C0E-9434-B995D31F3F16}"/>
    <cellStyle name="Вывод 4 4 5 3 2 3" xfId="43491" xr:uid="{EC07FEEB-21AA-4911-9C55-37A0810443CD}"/>
    <cellStyle name="Вывод 4 4 5 3 3" xfId="25332" xr:uid="{BD4ED3E5-4B3A-48CF-A344-2CAB0639C7AB}"/>
    <cellStyle name="Вывод 4 4 5 3 4" xfId="38408" xr:uid="{AF131BD6-CA01-4A18-A2DA-783BF7F1CDAE}"/>
    <cellStyle name="Вывод 4 4 5 4" xfId="15667" xr:uid="{7BE7476C-4391-4064-B9CF-BCB353B40808}"/>
    <cellStyle name="Вывод 4 4 5 4 2" xfId="31782" xr:uid="{09F513BC-C4A5-4F44-97C2-CAF98F732C0D}"/>
    <cellStyle name="Вывод 4 4 5 4 3" xfId="45288" xr:uid="{87EF6AF3-9823-4683-9C3D-E6AB0DECFB4A}"/>
    <cellStyle name="Вывод 4 4 5 5" xfId="22073" xr:uid="{64EC3002-37CE-4BFA-832A-F209F5C3F0AE}"/>
    <cellStyle name="Вывод 4 4 5 6" xfId="35122" xr:uid="{D3354308-47A3-496E-A85E-32F427EF836A}"/>
    <cellStyle name="Вывод 4 4 6" xfId="4469" xr:uid="{C06833DF-B4C0-47B2-B1EB-BAD7FED85685}"/>
    <cellStyle name="Вывод 4 4 6 2" xfId="7109" xr:uid="{95AF6BF5-0B20-4CF5-A9F6-D8E614747D20}"/>
    <cellStyle name="Вывод 4 4 6 2 2" xfId="15039" xr:uid="{11269852-2CB1-48C9-90DC-CF16F37927F1}"/>
    <cellStyle name="Вывод 4 4 6 2 2 2" xfId="31255" xr:uid="{70FD44E1-1510-4313-BD31-8AC8A4993236}"/>
    <cellStyle name="Вывод 4 4 6 2 2 3" xfId="44711" xr:uid="{2C8F24E9-E103-4D34-88DF-D4FB290CA350}"/>
    <cellStyle name="Вывод 4 4 6 2 3" xfId="24708" xr:uid="{77279869-A904-4040-9F19-D94A69554A5E}"/>
    <cellStyle name="Вывод 4 4 6 2 4" xfId="37789" xr:uid="{937CE85A-ABA6-4A75-8ED1-2E100BBE3123}"/>
    <cellStyle name="Вывод 4 4 6 3" xfId="12069" xr:uid="{763F8676-17F7-4D37-AA5E-72E62ED20B7F}"/>
    <cellStyle name="Вывод 4 4 6 3 2" xfId="28769" xr:uid="{5AD9D69D-96A4-498F-A4B9-C70B725AE998}"/>
    <cellStyle name="Вывод 4 4 6 3 3" xfId="41989" xr:uid="{57700271-92A2-4CCA-AC2A-22258E202C7E}"/>
    <cellStyle name="Вывод 4 4 6 4" xfId="22287" xr:uid="{B38632B5-D456-4E2B-8C4B-6E84DE4A2194}"/>
    <cellStyle name="Вывод 4 4 6 5" xfId="35336" xr:uid="{E60573A8-FF00-4597-84E1-3AC4B2BD9545}"/>
    <cellStyle name="Вывод 4 4 7" xfId="5522" xr:uid="{D1B3E172-22FD-4100-AE5A-097ED5398F1A}"/>
    <cellStyle name="Вывод 4 4 7 2" xfId="8704" xr:uid="{1BA0E4BB-5FAE-46FC-BD8E-935CDA495337}"/>
    <cellStyle name="Вывод 4 4 7 2 2" xfId="14255" xr:uid="{96E97D38-6BCC-4097-B827-8623B2677CCC}"/>
    <cellStyle name="Вывод 4 4 7 2 2 2" xfId="30599" xr:uid="{36139F98-8783-4A81-B5D1-99C92B9423DF}"/>
    <cellStyle name="Вывод 4 4 7 2 2 3" xfId="43991" xr:uid="{244BF4C1-730C-4AD9-9D57-A8106DBB1D72}"/>
    <cellStyle name="Вывод 4 4 7 2 3" xfId="26197" xr:uid="{D805F7B6-3FA0-417F-9912-34EBEA64F8AE}"/>
    <cellStyle name="Вывод 4 4 7 2 4" xfId="39273" xr:uid="{B8D839C2-7C12-47EE-8584-0D985F75E7FC}"/>
    <cellStyle name="Вывод 4 4 7 3" xfId="13740" xr:uid="{316ED97C-C248-49EE-81A0-9911F08F6A00}"/>
    <cellStyle name="Вывод 4 4 7 3 2" xfId="30154" xr:uid="{6F38BF80-2817-41A9-9782-E6AA9FF253F1}"/>
    <cellStyle name="Вывод 4 4 7 3 3" xfId="43516" xr:uid="{5EB0E512-F49C-4D33-8E14-1276E14FA3B1}"/>
    <cellStyle name="Вывод 4 4 7 4" xfId="23169" xr:uid="{3D6FEC7C-6D13-4A81-9321-60A5FA441F57}"/>
    <cellStyle name="Вывод 4 4 7 5" xfId="36250" xr:uid="{05A35CA7-5658-4EEA-90CF-EBBD1B2FD979}"/>
    <cellStyle name="Вывод 4 4 8" xfId="12368" xr:uid="{8FD579BD-7406-46C4-BECD-F19F8E0C5239}"/>
    <cellStyle name="Вывод 4 4 8 2" xfId="29034" xr:uid="{F8DE6E03-146F-4BB0-AABE-CBBD2D99A370}"/>
    <cellStyle name="Вывод 4 4 8 3" xfId="42274" xr:uid="{DA5FC339-A5E2-4126-A6F9-38F3EC616658}"/>
    <cellStyle name="Вывод 4 4 9" xfId="21439" xr:uid="{0F52E770-D409-44DB-92CC-A2A5F3607849}"/>
    <cellStyle name="Вывод 4 5" xfId="3451" xr:uid="{9A7D850F-02F3-43AB-88BC-94F28A67658A}"/>
    <cellStyle name="Вывод 4 5 2" xfId="2793" xr:uid="{C502C283-3550-4273-957E-C5886C9B45BF}"/>
    <cellStyle name="Вывод 4 5 2 2" xfId="8089" xr:uid="{5E00325E-9331-4E20-B9C0-38D3419EA804}"/>
    <cellStyle name="Вывод 4 5 2 2 2" xfId="16667" xr:uid="{8E9C45F1-ADA1-40C4-A829-37733CD06E1A}"/>
    <cellStyle name="Вывод 4 5 2 2 2 2" xfId="32560" xr:uid="{446769C4-5635-4EAF-826F-99747F25645F}"/>
    <cellStyle name="Вывод 4 5 2 2 2 3" xfId="46214" xr:uid="{BC3DB26B-D931-44E2-9A38-29486066C594}"/>
    <cellStyle name="Вывод 4 5 2 2 3" xfId="25600" xr:uid="{1FC56653-D493-47CC-81C6-3D66047007EC}"/>
    <cellStyle name="Вывод 4 5 2 2 4" xfId="38676" xr:uid="{57DEF391-73D2-405E-B983-9C6974F9FA76}"/>
    <cellStyle name="Вывод 4 5 2 3" xfId="6456" xr:uid="{89511462-3AF5-471F-A5E6-97D143A74FE5}"/>
    <cellStyle name="Вывод 4 5 2 3 2" xfId="14334" xr:uid="{F0D8FEFC-0E39-469D-8AA0-336D535677CB}"/>
    <cellStyle name="Вывод 4 5 2 3 2 2" xfId="30668" xr:uid="{48F33731-A9EF-4637-AC07-A2321D8ADA18}"/>
    <cellStyle name="Вывод 4 5 2 3 2 3" xfId="44064" xr:uid="{68B12885-1449-4651-BC6F-A87CECBBCD18}"/>
    <cellStyle name="Вывод 4 5 2 3 3" xfId="24091" xr:uid="{D03E5AFA-A295-4F4D-9F60-8695A3B83DF0}"/>
    <cellStyle name="Вывод 4 5 2 3 4" xfId="37172" xr:uid="{8EC0C323-4E39-481B-9A15-88130AA066D6}"/>
    <cellStyle name="Вывод 4 5 2 4" xfId="11563" xr:uid="{1F4E1071-0F85-419F-A5F2-313D190AF45B}"/>
    <cellStyle name="Вывод 4 5 2 4 2" xfId="28319" xr:uid="{4E30CB43-7AF7-4E1A-83D5-9B7DED214AE2}"/>
    <cellStyle name="Вывод 4 5 2 4 3" xfId="41518" xr:uid="{43ABF8DC-29E5-4107-A4B7-5343B24D09F9}"/>
    <cellStyle name="Вывод 4 5 2 5" xfId="20843" xr:uid="{FBA5C50A-AEE0-45C9-956B-F2C502FA94B5}"/>
    <cellStyle name="Вывод 4 5 2 6" xfId="33866" xr:uid="{1D3E8BC5-01B9-42A2-907C-22CF7B5E6FB6}"/>
    <cellStyle name="Вывод 4 5 3" xfId="4453" xr:uid="{4C786A5B-7275-41A4-9D74-864AD989BB5B}"/>
    <cellStyle name="Вывод 4 5 3 2" xfId="7093" xr:uid="{EADE8CDF-9E0D-400F-BB28-F180C9731351}"/>
    <cellStyle name="Вывод 4 5 3 2 2" xfId="14633" xr:uid="{F57F5F63-4D1B-4C32-829A-8E94658D0AD9}"/>
    <cellStyle name="Вывод 4 5 3 2 2 2" xfId="30929" xr:uid="{F974241E-FBD8-4949-BE66-FD12D947AC10}"/>
    <cellStyle name="Вывод 4 5 3 2 2 3" xfId="44350" xr:uid="{D101DC52-AEF1-478D-A1EC-0C2DE6461A68}"/>
    <cellStyle name="Вывод 4 5 3 2 3" xfId="24692" xr:uid="{72F8723C-2F4E-4804-A97C-F45A14F62DB1}"/>
    <cellStyle name="Вывод 4 5 3 2 4" xfId="37773" xr:uid="{1107FF0D-F7AF-4F12-A36D-527C303A064C}"/>
    <cellStyle name="Вывод 4 5 3 3" xfId="12990" xr:uid="{4CEC5758-98A6-48CB-B6F9-8A6212A1DEEC}"/>
    <cellStyle name="Вывод 4 5 3 3 2" xfId="29527" xr:uid="{D4756729-78CA-4C45-8E34-5533C98B587E}"/>
    <cellStyle name="Вывод 4 5 3 3 3" xfId="42827" xr:uid="{EC0F89BD-BBF8-4E8D-807C-9E337F78E474}"/>
    <cellStyle name="Вывод 4 5 3 4" xfId="22271" xr:uid="{87343464-70F6-4C01-9F42-770337724D1E}"/>
    <cellStyle name="Вывод 4 5 3 5" xfId="35320" xr:uid="{BD8ED2E8-E328-4918-A6E0-D7E76F5C8D28}"/>
    <cellStyle name="Вывод 4 5 4" xfId="5506" xr:uid="{2A0261DC-08FB-4D83-A608-AD18E3971666}"/>
    <cellStyle name="Вывод 4 5 4 2" xfId="8688" xr:uid="{75AF2949-1473-43B8-8D34-2F97C53E44DD}"/>
    <cellStyle name="Вывод 4 5 4 2 2" xfId="12223" xr:uid="{5C8B6CDA-4604-4D6D-ABB5-7B5686C6DB72}"/>
    <cellStyle name="Вывод 4 5 4 2 2 2" xfId="28907" xr:uid="{568DDC45-DA03-4999-8288-5F695EC9F63B}"/>
    <cellStyle name="Вывод 4 5 4 2 2 3" xfId="42140" xr:uid="{BF352438-CA5A-499E-A85A-41854E4EE4A3}"/>
    <cellStyle name="Вывод 4 5 4 2 3" xfId="26181" xr:uid="{D6C81438-5B56-46E1-81CB-44EBCA15B699}"/>
    <cellStyle name="Вывод 4 5 4 2 4" xfId="39257" xr:uid="{5F700837-B53D-4099-971B-CC03712758EB}"/>
    <cellStyle name="Вывод 4 5 4 3" xfId="14067" xr:uid="{7E63419D-FA46-4C89-A571-550BA2641D5F}"/>
    <cellStyle name="Вывод 4 5 4 3 2" xfId="30436" xr:uid="{6E29298A-1DB7-45CB-AA29-AD3179A2970F}"/>
    <cellStyle name="Вывод 4 5 4 3 3" xfId="43819" xr:uid="{733550DA-E383-4BFA-AD3D-5B6BC7B85972}"/>
    <cellStyle name="Вывод 4 5 4 4" xfId="23153" xr:uid="{F5AE4165-3DC5-4521-932C-CBCF1875C1D2}"/>
    <cellStyle name="Вывод 4 5 4 5" xfId="36234" xr:uid="{D089FB40-1652-4905-9CDB-74C2BD390E9E}"/>
    <cellStyle name="Вывод 4 5 5" xfId="14491" xr:uid="{D202169C-533D-49E1-8348-411E7AB154AC}"/>
    <cellStyle name="Вывод 4 5 5 2" xfId="30814" xr:uid="{024B8825-58BA-4A4B-B75B-F87AB57E8B5E}"/>
    <cellStyle name="Вывод 4 5 5 3" xfId="44220" xr:uid="{67B0CB17-1240-4675-B4FB-82E9BF68B167}"/>
    <cellStyle name="Вывод 4 5 6" xfId="21423" xr:uid="{80E14FA7-AF47-476C-9534-0CEA303A6F5D}"/>
    <cellStyle name="Вывод 4 5 7" xfId="34467" xr:uid="{7BE09459-E85D-4FBE-B5E7-BC3D7A70C7AC}"/>
    <cellStyle name="Вывод 4 6" xfId="3317" xr:uid="{9B0681BA-576A-49EF-A788-A60047388086}"/>
    <cellStyle name="Вывод 4 6 2" xfId="2679" xr:uid="{6F88649C-ECB6-4737-87C8-4A8E3C2FBACD}"/>
    <cellStyle name="Вывод 4 6 2 2" xfId="7975" xr:uid="{07F096CE-E297-4BC4-9798-66B437F0D6FF}"/>
    <cellStyle name="Вывод 4 6 2 2 2" xfId="13248" xr:uid="{F1581512-2BBE-48CE-936A-2739A6B45AE9}"/>
    <cellStyle name="Вывод 4 6 2 2 2 2" xfId="29742" xr:uid="{146B327B-1448-476B-BECA-18DBCB019BBC}"/>
    <cellStyle name="Вывод 4 6 2 2 2 3" xfId="43066" xr:uid="{FEC0306C-19DE-4650-A932-2E63434488A6}"/>
    <cellStyle name="Вывод 4 6 2 2 3" xfId="25491" xr:uid="{061637C6-C05D-4C26-92D0-1AAEC7FCD0FC}"/>
    <cellStyle name="Вывод 4 6 2 2 4" xfId="38567" xr:uid="{DA2AF671-7864-4510-85C7-3CC6293C1ED7}"/>
    <cellStyle name="Вывод 4 6 2 3" xfId="6342" xr:uid="{E50B8A13-4F02-40CA-A551-10432D8192AF}"/>
    <cellStyle name="Вывод 4 6 2 3 2" xfId="17356" xr:uid="{B300517E-4F2A-43E2-871C-D6A0392C8EB9}"/>
    <cellStyle name="Вывод 4 6 2 3 2 2" xfId="33110" xr:uid="{62E8CC52-7921-4171-9CB3-8898A9BB2D4D}"/>
    <cellStyle name="Вывод 4 6 2 3 2 3" xfId="46886" xr:uid="{9C4E73D7-083A-4EB0-A87A-CA92FF95255B}"/>
    <cellStyle name="Вывод 4 6 2 3 3" xfId="23982" xr:uid="{B93FDB4D-3FAE-4530-8667-8EF30AAC6F21}"/>
    <cellStyle name="Вывод 4 6 2 3 4" xfId="37063" xr:uid="{9FCA5B7D-67B2-4388-A8DB-35EDA49337B3}"/>
    <cellStyle name="Вывод 4 6 2 4" xfId="11024" xr:uid="{FB202753-CDE6-4261-8046-BC2F7CD63F34}"/>
    <cellStyle name="Вывод 4 6 2 4 2" xfId="27831" xr:uid="{5C47F09E-A04A-45B9-B5D3-DE1D2ED94369}"/>
    <cellStyle name="Вывод 4 6 2 4 3" xfId="41004" xr:uid="{CE3A832E-DF19-498E-BE42-D7AAD62C7193}"/>
    <cellStyle name="Вывод 4 6 2 5" xfId="20734" xr:uid="{B4CE2F8F-1E8F-4662-92EF-7D7D1BE7D1D7}"/>
    <cellStyle name="Вывод 4 6 2 6" xfId="33757" xr:uid="{04607369-4F0B-4755-A51C-2715E7E87523}"/>
    <cellStyle name="Вывод 4 6 3" xfId="4348" xr:uid="{4E61D36E-289B-489D-8CE6-56EBC838BF64}"/>
    <cellStyle name="Вывод 4 6 3 2" xfId="6967" xr:uid="{E7FD8695-6498-4505-993B-8A5EEB59BF3E}"/>
    <cellStyle name="Вывод 4 6 3 2 2" xfId="15387" xr:uid="{ED8E4324-AF93-45AD-A5B1-7EBEF788CDBF}"/>
    <cellStyle name="Вывод 4 6 3 2 2 2" xfId="31542" xr:uid="{817FFDCC-A1AE-418B-8F5C-F20F95E03011}"/>
    <cellStyle name="Вывод 4 6 3 2 2 3" xfId="45029" xr:uid="{7F956800-E9C1-41EB-87F7-C84DF28775D8}"/>
    <cellStyle name="Вывод 4 6 3 2 3" xfId="24589" xr:uid="{4A5523A6-9630-443B-8BC4-A0BFA0827E05}"/>
    <cellStyle name="Вывод 4 6 3 2 4" xfId="37670" xr:uid="{B583964D-BEF9-48A0-B20C-F0AA06BEF073}"/>
    <cellStyle name="Вывод 4 6 3 3" xfId="11942" xr:uid="{7001F0F3-1B7E-4695-ADFB-7ECC131FF035}"/>
    <cellStyle name="Вывод 4 6 3 3 2" xfId="28652" xr:uid="{1C8FDF4A-AFAE-4591-A8CE-B25145E08962}"/>
    <cellStyle name="Вывод 4 6 3 3 3" xfId="41870" xr:uid="{8206D875-C02C-4CAE-808A-112260C13329}"/>
    <cellStyle name="Вывод 4 6 3 4" xfId="22168" xr:uid="{960D42A0-8528-4C6C-8FDD-0CD3CA881B79}"/>
    <cellStyle name="Вывод 4 6 3 5" xfId="35217" xr:uid="{2A5B7CFE-37AC-462D-847B-085D52914876}"/>
    <cellStyle name="Вывод 4 6 4" xfId="5403" xr:uid="{C062CA5D-8444-4306-A3D5-C5BC6F676B91}"/>
    <cellStyle name="Вывод 4 6 4 2" xfId="8580" xr:uid="{C75EF261-63A8-44C0-887C-5B22B154F296}"/>
    <cellStyle name="Вывод 4 6 4 2 2" xfId="17427" xr:uid="{186D4145-21CE-48C2-889C-FEEBEAB84700}"/>
    <cellStyle name="Вывод 4 6 4 2 2 2" xfId="33181" xr:uid="{047EF085-0226-4521-836D-1CD87B3CF68C}"/>
    <cellStyle name="Вывод 4 6 4 2 2 3" xfId="46957" xr:uid="{AC70A834-D2D2-44AF-A881-FB154884B423}"/>
    <cellStyle name="Вывод 4 6 4 2 3" xfId="26078" xr:uid="{4C588A2F-8B3C-4D29-841F-9FDB3455966C}"/>
    <cellStyle name="Вывод 4 6 4 2 4" xfId="39154" xr:uid="{7C7318E6-06D0-4D4E-AF40-B53EDC5E89D7}"/>
    <cellStyle name="Вывод 4 6 4 3" xfId="15950" xr:uid="{9EBDFAB3-BE4A-4DCC-94C6-C06028A60A20}"/>
    <cellStyle name="Вывод 4 6 4 3 2" xfId="32027" xr:uid="{DC530598-C891-4664-9E5C-92F78CAC282E}"/>
    <cellStyle name="Вывод 4 6 4 3 3" xfId="45545" xr:uid="{16E4684F-687A-43B3-9AC1-051121ADBEB5}"/>
    <cellStyle name="Вывод 4 6 4 4" xfId="23050" xr:uid="{FAABE2C2-8C93-494E-AE32-3A0DA5F3402E}"/>
    <cellStyle name="Вывод 4 6 4 5" xfId="36131" xr:uid="{C9A30283-379F-4950-9BB5-3081A024DA1C}"/>
    <cellStyle name="Вывод 4 6 5" xfId="16177" xr:uid="{A9A8F334-1881-4BE4-90C8-66766A3B9ABA}"/>
    <cellStyle name="Вывод 4 6 5 2" xfId="32225" xr:uid="{01F530A2-F842-47E7-B191-89D6352C6126}"/>
    <cellStyle name="Вывод 4 6 5 3" xfId="45747" xr:uid="{B2511E6E-4D2E-4184-BB57-92EF12FE5CD8}"/>
    <cellStyle name="Вывод 4 6 6" xfId="21341" xr:uid="{7A1DAF7C-593A-42AC-A496-43B7C0BBCE8C}"/>
    <cellStyle name="Вывод 4 6 7" xfId="34364" xr:uid="{016011C0-B87A-42F1-B315-CAFD31C48164}"/>
    <cellStyle name="Вывод 4 7" xfId="3479" xr:uid="{1CF97531-98D6-41C9-8AFB-83DE06E34927}"/>
    <cellStyle name="Вывод 4 7 2" xfId="2821" xr:uid="{01925E2F-E126-4CF5-B5E2-E2792C2FE1E1}"/>
    <cellStyle name="Вывод 4 7 2 2" xfId="8117" xr:uid="{0B0D6997-1251-400D-BC29-D60A59EB3850}"/>
    <cellStyle name="Вывод 4 7 2 2 2" xfId="15700" xr:uid="{84C7C8ED-D3C8-416F-998F-5E4980A7F1FB}"/>
    <cellStyle name="Вывод 4 7 2 2 2 2" xfId="31812" xr:uid="{59D868EA-65AD-40B9-9CF9-FEC3ED681B6F}"/>
    <cellStyle name="Вывод 4 7 2 2 2 3" xfId="45320" xr:uid="{867FCA9F-76BC-4478-9B5C-71415476512F}"/>
    <cellStyle name="Вывод 4 7 2 2 3" xfId="25628" xr:uid="{64CCC498-0412-4789-BE4A-6FC939E0ACDD}"/>
    <cellStyle name="Вывод 4 7 2 2 4" xfId="38704" xr:uid="{A7BFD82B-4883-495A-86E8-0E76C75BDF2C}"/>
    <cellStyle name="Вывод 4 7 2 3" xfId="6484" xr:uid="{41143670-43F7-4460-9410-1FF159B30BD5}"/>
    <cellStyle name="Вывод 4 7 2 3 2" xfId="14037" xr:uid="{39E161D4-CDE9-42FC-8743-262F34B88F62}"/>
    <cellStyle name="Вывод 4 7 2 3 2 2" xfId="30413" xr:uid="{FA4BABDB-918E-4378-9756-BFC820340E25}"/>
    <cellStyle name="Вывод 4 7 2 3 2 3" xfId="43794" xr:uid="{5328B5D8-A9EC-4226-97D6-D489BA742366}"/>
    <cellStyle name="Вывод 4 7 2 3 3" xfId="24119" xr:uid="{22D71EB5-3431-4C9C-B8C2-6DDB321B8D68}"/>
    <cellStyle name="Вывод 4 7 2 3 4" xfId="37200" xr:uid="{D6AE2849-BA04-44FF-AD5A-62E24688E3CC}"/>
    <cellStyle name="Вывод 4 7 2 4" xfId="11951" xr:uid="{3513DDFC-05D3-4DB5-B699-C3B4AF723514}"/>
    <cellStyle name="Вывод 4 7 2 4 2" xfId="28660" xr:uid="{07ACF039-99FE-4EB7-8F5F-728E05CB84A1}"/>
    <cellStyle name="Вывод 4 7 2 4 3" xfId="41878" xr:uid="{AA3518AD-3BD8-45D7-8902-3183F8970394}"/>
    <cellStyle name="Вывод 4 7 2 5" xfId="20871" xr:uid="{53888E80-1F88-45DB-8577-25FFC4CC3769}"/>
    <cellStyle name="Вывод 4 7 2 6" xfId="33894" xr:uid="{7E4EE525-4E34-4CB4-B394-224DDDD5A79B}"/>
    <cellStyle name="Вывод 4 7 3" xfId="4481" xr:uid="{2B67476A-A159-49E3-A202-E7642B76A035}"/>
    <cellStyle name="Вывод 4 7 3 2" xfId="7121" xr:uid="{760E9DB2-EE25-441D-B92C-0BD66FB5FE12}"/>
    <cellStyle name="Вывод 4 7 3 2 2" xfId="13869" xr:uid="{467F5813-585E-4277-86C6-D47704C5FBE1}"/>
    <cellStyle name="Вывод 4 7 3 2 2 2" xfId="30267" xr:uid="{5695D5FF-5B11-44CC-8633-459336908EEA}"/>
    <cellStyle name="Вывод 4 7 3 2 2 3" xfId="43639" xr:uid="{A6712304-7CB4-43AC-B73E-19B9C1E84363}"/>
    <cellStyle name="Вывод 4 7 3 2 3" xfId="24720" xr:uid="{442C1AEC-7078-4CCC-8B86-3A07E2EB3F37}"/>
    <cellStyle name="Вывод 4 7 3 2 4" xfId="37801" xr:uid="{E498D1FC-CFAA-4D56-9A9C-C8F09B36825C}"/>
    <cellStyle name="Вывод 4 7 3 3" xfId="15804" xr:uid="{24CCB28A-EB39-4CFD-84FA-C5CE5D1DE149}"/>
    <cellStyle name="Вывод 4 7 3 3 2" xfId="31902" xr:uid="{BFD93F9E-3E08-46A5-91E3-141B77644612}"/>
    <cellStyle name="Вывод 4 7 3 3 3" xfId="45414" xr:uid="{8B74519A-79FE-4F90-8C7E-A5C4EFEED04C}"/>
    <cellStyle name="Вывод 4 7 3 4" xfId="22299" xr:uid="{AF10278C-2938-4185-AE22-064045B73365}"/>
    <cellStyle name="Вывод 4 7 3 5" xfId="35348" xr:uid="{BA4F4E2C-FB68-4F41-8ADA-600C08E83A66}"/>
    <cellStyle name="Вывод 4 7 4" xfId="5534" xr:uid="{AFFB96B6-71B1-4D64-A3B6-1066E6C096CB}"/>
    <cellStyle name="Вывод 4 7 4 2" xfId="8716" xr:uid="{17AB50BB-ADE6-4301-B124-6845B0810E4F}"/>
    <cellStyle name="Вывод 4 7 4 2 2" xfId="12482" xr:uid="{B8804163-B6BB-4302-A687-FA81058E519D}"/>
    <cellStyle name="Вывод 4 7 4 2 2 2" xfId="29120" xr:uid="{D37CC2B1-FD3D-4998-9D3E-4E01A9C3A408}"/>
    <cellStyle name="Вывод 4 7 4 2 2 3" xfId="42373" xr:uid="{8F06DE57-5F25-4942-8E4A-2AA18E982F9B}"/>
    <cellStyle name="Вывод 4 7 4 2 3" xfId="26209" xr:uid="{583529D3-F4CD-44A6-926F-F4CE014BD7CC}"/>
    <cellStyle name="Вывод 4 7 4 2 4" xfId="39285" xr:uid="{302682C4-7CCB-4FD0-81FC-B54C23CFA55D}"/>
    <cellStyle name="Вывод 4 7 4 3" xfId="10905" xr:uid="{92CBA1EB-A4E4-424C-BE43-A44A0D80CF38}"/>
    <cellStyle name="Вывод 4 7 4 3 2" xfId="27726" xr:uid="{0B503197-85A2-4ADF-ABCD-4437AB16EBF4}"/>
    <cellStyle name="Вывод 4 7 4 3 3" xfId="40885" xr:uid="{3A0BBA62-C2BD-4FAA-BB09-2E1651169554}"/>
    <cellStyle name="Вывод 4 7 4 4" xfId="23181" xr:uid="{25BD7390-A2DD-4DEB-946F-8B31A2BFCEA0}"/>
    <cellStyle name="Вывод 4 7 4 5" xfId="36262" xr:uid="{8BF917D9-732D-4766-8FC1-5064F3A52527}"/>
    <cellStyle name="Вывод 4 7 5" xfId="15656" xr:uid="{5D697BA5-FBBA-4298-9FEB-87329EDF43AC}"/>
    <cellStyle name="Вывод 4 7 5 2" xfId="31774" xr:uid="{D59CCBDB-5FD2-40D5-90EF-B5E7C74C6EAE}"/>
    <cellStyle name="Вывод 4 7 5 3" xfId="45279" xr:uid="{7C2D4E4D-274B-4C06-9C2B-474D00B8BBA0}"/>
    <cellStyle name="Вывод 4 7 6" xfId="21447" xr:uid="{8B15156C-5FB6-4CAB-B602-569E272B451C}"/>
    <cellStyle name="Вывод 4 7 7" xfId="34495" xr:uid="{26E6A177-30F4-4EC4-AD48-17D6BE0F9750}"/>
    <cellStyle name="Вывод 4 8" xfId="3302" xr:uid="{EC6B3FEF-987D-4725-8D36-2F623CD258B6}"/>
    <cellStyle name="Вывод 4 8 2" xfId="2664" xr:uid="{7D7A3B90-6D70-4EF1-83A5-71AD9D94CD64}"/>
    <cellStyle name="Вывод 4 8 2 2" xfId="7960" xr:uid="{23BAE1E5-3247-4986-8CE0-FE8155677667}"/>
    <cellStyle name="Вывод 4 8 2 2 2" xfId="16759" xr:uid="{76AAACDB-DBBF-4C6B-A3AF-6ABEEEBE6907}"/>
    <cellStyle name="Вывод 4 8 2 2 2 2" xfId="32641" xr:uid="{65E3A30D-7611-41C2-8839-697872AA9D81}"/>
    <cellStyle name="Вывод 4 8 2 2 2 3" xfId="46302" xr:uid="{3BDB1561-41EC-4DD5-A865-D74DA60E06F6}"/>
    <cellStyle name="Вывод 4 8 2 2 3" xfId="25476" xr:uid="{28C2724A-6205-4B5C-8199-16E55C720B47}"/>
    <cellStyle name="Вывод 4 8 2 2 4" xfId="38552" xr:uid="{CC2F8AB5-7691-451E-9ACD-B67288F0E089}"/>
    <cellStyle name="Вывод 4 8 2 3" xfId="6327" xr:uid="{CF2EB2F9-0FE0-4CCC-A0B6-B71113C992B1}"/>
    <cellStyle name="Вывод 4 8 2 3 2" xfId="16118" xr:uid="{294BB461-0684-4141-9BA1-01AD2F2AFAC5}"/>
    <cellStyle name="Вывод 4 8 2 3 2 2" xfId="32174" xr:uid="{16C1BD5C-49C2-4899-AE1E-B4D10D9580CE}"/>
    <cellStyle name="Вывод 4 8 2 3 2 3" xfId="45695" xr:uid="{ED76036D-7F90-4231-82FA-27EEF62B4EE1}"/>
    <cellStyle name="Вывод 4 8 2 3 3" xfId="23967" xr:uid="{D9F9976C-5B7F-40FE-884B-71BB2F3EC513}"/>
    <cellStyle name="Вывод 4 8 2 3 4" xfId="37048" xr:uid="{ECF0658D-881D-4B57-AEC4-781876F9EA77}"/>
    <cellStyle name="Вывод 4 8 2 4" xfId="17281" xr:uid="{8D9948E1-1975-42D4-ADDD-21FA43457395}"/>
    <cellStyle name="Вывод 4 8 2 4 2" xfId="33039" xr:uid="{2ECC3E3B-7371-4857-AC6E-B50C0692CF49}"/>
    <cellStyle name="Вывод 4 8 2 4 3" xfId="46815" xr:uid="{2A9E28C7-3659-45BB-BC09-731CAA40CC7E}"/>
    <cellStyle name="Вывод 4 8 2 5" xfId="20719" xr:uid="{0A6E1975-AF4F-4070-8204-F5BA966E15CF}"/>
    <cellStyle name="Вывод 4 8 2 6" xfId="33742" xr:uid="{18300F61-A9FF-4567-8023-A493FB01F3EC}"/>
    <cellStyle name="Вывод 4 8 3" xfId="4333" xr:uid="{28A9A856-E88A-4C73-899F-EC03C6BBC272}"/>
    <cellStyle name="Вывод 4 8 3 2" xfId="6952" xr:uid="{405E5DE9-2BE7-4152-8B2D-D7098B309DC0}"/>
    <cellStyle name="Вывод 4 8 3 2 2" xfId="11249" xr:uid="{DC147D7F-F879-41FC-97CE-107EC396D288}"/>
    <cellStyle name="Вывод 4 8 3 2 2 2" xfId="28039" xr:uid="{7B33A40C-17C6-4DFD-9D19-44AA6F4893F3}"/>
    <cellStyle name="Вывод 4 8 3 2 2 3" xfId="41221" xr:uid="{53078AB5-E107-499B-ADB3-DA7A2815E594}"/>
    <cellStyle name="Вывод 4 8 3 2 3" xfId="24574" xr:uid="{C821D417-9AD3-41D4-B1AE-107AD289E771}"/>
    <cellStyle name="Вывод 4 8 3 2 4" xfId="37655" xr:uid="{0D3D2935-5B3F-43CB-B042-B04134CE8238}"/>
    <cellStyle name="Вывод 4 8 3 3" xfId="15074" xr:uid="{37A8F3A3-08B9-4935-BE09-1F4DCCE0EDB5}"/>
    <cellStyle name="Вывод 4 8 3 3 2" xfId="31283" xr:uid="{B5D9DBD2-1A39-4414-B63C-53B8F1C5E779}"/>
    <cellStyle name="Вывод 4 8 3 3 3" xfId="44741" xr:uid="{79F1A48C-371D-4334-8C20-5F3C1DEA8774}"/>
    <cellStyle name="Вывод 4 8 3 4" xfId="22153" xr:uid="{526EA10B-31EA-4432-A2D4-D16DCF5A9E5C}"/>
    <cellStyle name="Вывод 4 8 3 5" xfId="35202" xr:uid="{64416608-463A-492A-9587-478C444033D1}"/>
    <cellStyle name="Вывод 4 8 4" xfId="5388" xr:uid="{6F19A74F-2364-40EB-A8BA-1AFA4A367579}"/>
    <cellStyle name="Вывод 4 8 4 2" xfId="8565" xr:uid="{8C669ABF-C3A2-4CF9-9370-989D1307299A}"/>
    <cellStyle name="Вывод 4 8 4 2 2" xfId="10783" xr:uid="{B44E6A43-0E6E-48E6-ADAE-88A95FE77959}"/>
    <cellStyle name="Вывод 4 8 4 2 2 2" xfId="27617" xr:uid="{47F61F1F-73D4-49AC-A555-3D89F4825DBA}"/>
    <cellStyle name="Вывод 4 8 4 2 2 3" xfId="40764" xr:uid="{4AF2A197-ECE6-4A52-95A6-1F1AB5449449}"/>
    <cellStyle name="Вывод 4 8 4 2 3" xfId="26063" xr:uid="{F905CA37-18AD-4E04-AE86-95611387071F}"/>
    <cellStyle name="Вывод 4 8 4 2 4" xfId="39139" xr:uid="{DE1004E6-705A-4B0C-BB14-EF965FCC806C}"/>
    <cellStyle name="Вывод 4 8 4 3" xfId="13750" xr:uid="{9130A0B4-9561-4AD4-AD29-7B9478B54453}"/>
    <cellStyle name="Вывод 4 8 4 3 2" xfId="30163" xr:uid="{150E6832-A0A2-4A3F-85C8-F6BA85DF33B9}"/>
    <cellStyle name="Вывод 4 8 4 3 3" xfId="43525" xr:uid="{4D287CC2-1663-4030-BC70-5EA63E883261}"/>
    <cellStyle name="Вывод 4 8 4 4" xfId="23035" xr:uid="{7DBDD62D-B4FA-4E1C-9F9E-AE376CE21554}"/>
    <cellStyle name="Вывод 4 8 4 5" xfId="36116" xr:uid="{14849028-3B4E-42F6-984C-FC36D8F372BB}"/>
    <cellStyle name="Вывод 4 8 5" xfId="17577" xr:uid="{08E8B986-3F74-4223-A86F-0D96E49C9E11}"/>
    <cellStyle name="Вывод 4 8 5 2" xfId="33314" xr:uid="{762F4B71-5D0E-467C-8C90-B4566728A181}"/>
    <cellStyle name="Вывод 4 8 5 3" xfId="47102" xr:uid="{AD2A21F1-512E-4998-9808-939C3CAD56CD}"/>
    <cellStyle name="Вывод 4 8 6" xfId="21326" xr:uid="{4F5BCFA6-4E3A-4787-8EA6-704C05C1D816}"/>
    <cellStyle name="Вывод 4 8 7" xfId="34349" xr:uid="{873DC54E-8743-4AE9-BE0D-2CEDF71FCD44}"/>
    <cellStyle name="Вывод 4 9" xfId="3585" xr:uid="{261BDF42-A23D-4968-9FD1-81D8604C5AA5}"/>
    <cellStyle name="Вывод 4 9 2" xfId="2920" xr:uid="{D6F1F731-F96C-42ED-8D0C-77E6263C7B4B}"/>
    <cellStyle name="Вывод 4 9 2 2" xfId="8216" xr:uid="{D3679C76-22ED-4B45-9D5F-ACE7A30881FF}"/>
    <cellStyle name="Вывод 4 9 2 2 2" xfId="17384" xr:uid="{0857D213-0200-45CF-8282-8C8907F36618}"/>
    <cellStyle name="Вывод 4 9 2 2 2 2" xfId="33138" xr:uid="{E4BFAE06-BC27-4F2D-9276-F13985B8DD0C}"/>
    <cellStyle name="Вывод 4 9 2 2 2 3" xfId="46914" xr:uid="{D565D891-841F-4C6F-843F-18B6B4600E74}"/>
    <cellStyle name="Вывод 4 9 2 2 3" xfId="25727" xr:uid="{9F3D7F0F-6765-45D9-B808-E2A7E7CA8264}"/>
    <cellStyle name="Вывод 4 9 2 2 4" xfId="38803" xr:uid="{D5582938-82A4-4066-8C7C-32EA6862A7EF}"/>
    <cellStyle name="Вывод 4 9 2 3" xfId="6583" xr:uid="{70DC635A-148E-4489-B0C9-0980922F84EC}"/>
    <cellStyle name="Вывод 4 9 2 3 2" xfId="15239" xr:uid="{B3766887-BB7F-4E68-9633-AA86323170E1}"/>
    <cellStyle name="Вывод 4 9 2 3 2 2" xfId="31415" xr:uid="{B3CB2CB7-4510-4104-B128-98837AC84EA3}"/>
    <cellStyle name="Вывод 4 9 2 3 2 3" xfId="44890" xr:uid="{AB8E310D-6B13-4047-810F-89445AF10E5A}"/>
    <cellStyle name="Вывод 4 9 2 3 3" xfId="24218" xr:uid="{FFCC037E-EC2A-4E58-961D-F1822D43CDEA}"/>
    <cellStyle name="Вывод 4 9 2 3 4" xfId="37299" xr:uid="{9DC8F13F-7DE9-4EBB-8233-491FFA8E6D40}"/>
    <cellStyle name="Вывод 4 9 2 4" xfId="11059" xr:uid="{8A366939-45DB-45E6-A43C-BF56AEC1D1F6}"/>
    <cellStyle name="Вывод 4 9 2 4 2" xfId="27862" xr:uid="{B2677200-2969-4E62-AC80-876ABA4384AA}"/>
    <cellStyle name="Вывод 4 9 2 4 3" xfId="41038" xr:uid="{13D4F54A-44B2-418A-AF8F-CCE793D3CC1C}"/>
    <cellStyle name="Вывод 4 9 2 5" xfId="20970" xr:uid="{4CCFA422-B538-4637-865F-16E07A4EA9EC}"/>
    <cellStyle name="Вывод 4 9 2 6" xfId="33993" xr:uid="{EF5CC6F1-7112-4519-B2CD-5B039D32AA0C}"/>
    <cellStyle name="Вывод 4 9 3" xfId="4552" xr:uid="{753BBBCE-3CA1-43C8-A032-A1EA81B99752}"/>
    <cellStyle name="Вывод 4 9 3 2" xfId="7222" xr:uid="{88040805-CF1B-4170-B765-37649DC61A84}"/>
    <cellStyle name="Вывод 4 9 3 2 2" xfId="14303" xr:uid="{415597CA-2BD2-4742-B33B-FD4051DAC88F}"/>
    <cellStyle name="Вывод 4 9 3 2 2 2" xfId="30641" xr:uid="{93CE6FAA-1A42-43CE-B731-9B1985266C70}"/>
    <cellStyle name="Вывод 4 9 3 2 2 3" xfId="44035" xr:uid="{04AE56B3-BF57-4BAC-8312-32AB35A54A1F}"/>
    <cellStyle name="Вывод 4 9 3 2 3" xfId="24816" xr:uid="{A8CABBC8-4AB8-42FD-B0A1-5481B98C35E7}"/>
    <cellStyle name="Вывод 4 9 3 2 4" xfId="37897" xr:uid="{3656FCB1-74BA-4A11-8D65-FA341D896C2C}"/>
    <cellStyle name="Вывод 4 9 3 3" xfId="11133" xr:uid="{55196E9F-AD3A-42B0-B90C-B6CBD106363C}"/>
    <cellStyle name="Вывод 4 9 3 3 2" xfId="27931" xr:uid="{2B08182A-4C76-467C-96D6-7775A8EE9250}"/>
    <cellStyle name="Вывод 4 9 3 3 3" xfId="41111" xr:uid="{A56E35A3-9F18-41C8-A975-7F4EA9AA9CE7}"/>
    <cellStyle name="Вывод 4 9 3 4" xfId="22368" xr:uid="{48ECEF70-D48B-4E54-ADEF-08B7D9D84B7F}"/>
    <cellStyle name="Вывод 4 9 3 5" xfId="35417" xr:uid="{225DB939-CC4E-4713-919E-D04DC058AB4D}"/>
    <cellStyle name="Вывод 4 9 4" xfId="5630" xr:uid="{D848F4F5-E441-4A11-A31C-85BA3DBFF5B1}"/>
    <cellStyle name="Вывод 4 9 4 2" xfId="8812" xr:uid="{776F3498-C51B-45AF-BA57-9836F3E59F97}"/>
    <cellStyle name="Вывод 4 9 4 2 2" xfId="15133" xr:uid="{6EEE75A3-DE95-41F4-8234-783353EA32D0}"/>
    <cellStyle name="Вывод 4 9 4 2 2 2" xfId="31333" xr:uid="{516FC47C-A503-4BD9-B750-0DEDB4C5D4E9}"/>
    <cellStyle name="Вывод 4 9 4 2 2 3" xfId="44797" xr:uid="{04765866-2674-4C3D-AC5A-C02FBEF94311}"/>
    <cellStyle name="Вывод 4 9 4 2 3" xfId="26305" xr:uid="{7347C117-624C-4250-AE23-216825E150C2}"/>
    <cellStyle name="Вывод 4 9 4 2 4" xfId="39381" xr:uid="{91E4EBD8-9EAA-42A2-BB20-EF1D01C6B8A2}"/>
    <cellStyle name="Вывод 4 9 4 3" xfId="11306" xr:uid="{199FB9A9-941A-48BE-940B-77B6A17A4658}"/>
    <cellStyle name="Вывод 4 9 4 3 2" xfId="28088" xr:uid="{AC841368-6FCA-4D6B-8698-4BFF9914C8CC}"/>
    <cellStyle name="Вывод 4 9 4 3 3" xfId="41273" xr:uid="{36AC0FEF-9662-4E62-9FFE-068C3C849131}"/>
    <cellStyle name="Вывод 4 9 4 4" xfId="23277" xr:uid="{33368ED1-B22F-4870-9676-A502F7B91B9C}"/>
    <cellStyle name="Вывод 4 9 4 5" xfId="36358" xr:uid="{64AC6FA7-F7C2-4501-B95E-AA7389C58709}"/>
    <cellStyle name="Вывод 4 9 5" xfId="16576" xr:uid="{6412A64C-23FE-4F97-AEDA-D07B0A171AE9}"/>
    <cellStyle name="Вывод 4 9 5 2" xfId="32499" xr:uid="{43363BC5-0D10-434A-8056-64F683CEA802}"/>
    <cellStyle name="Вывод 4 9 5 3" xfId="46123" xr:uid="{F4BB9649-956E-4A08-A60E-1527274A9D32}"/>
    <cellStyle name="Вывод 4 9 6" xfId="21539" xr:uid="{DB6A037E-6F82-4D43-97E4-16E27936D15C}"/>
    <cellStyle name="Вывод 4 9 7" xfId="34592" xr:uid="{839F8BB0-2D45-4820-84AC-6D6235EF7DB8}"/>
    <cellStyle name="Вычисление 1" xfId="2302" xr:uid="{4789F81C-1E15-4A24-9703-C570FFA99AF5}"/>
    <cellStyle name="Вычисление 1 10" xfId="3727" xr:uid="{D24D6ECD-C073-4143-9BFB-FFD5516AF1C3}"/>
    <cellStyle name="Вычисление 1 10 2" xfId="3043" xr:uid="{B7FE117D-1793-4E5A-94E5-1EE56750CD0A}"/>
    <cellStyle name="Вычисление 1 10 2 2" xfId="8339" xr:uid="{ED102347-F0D6-4577-B245-CD90F3814214}"/>
    <cellStyle name="Вычисление 1 10 2 2 2" xfId="17400" xr:uid="{4BC4366F-FFBB-4698-AA20-A8ACEF510DC0}"/>
    <cellStyle name="Вычисление 1 10 2 2 2 2" xfId="33154" xr:uid="{6AFB735F-31BC-4B24-B96D-4AF1C754981D}"/>
    <cellStyle name="Вычисление 1 10 2 2 2 3" xfId="46930" xr:uid="{F3C3B336-A122-4931-B779-E56CC3BC4774}"/>
    <cellStyle name="Вычисление 1 10 2 2 3" xfId="25843" xr:uid="{78CA4F4A-2970-465E-99BD-93E687A93BF8}"/>
    <cellStyle name="Вычисление 1 10 2 2 4" xfId="38919" xr:uid="{3A2CD923-473F-4EB7-829E-66AAF17B9EBC}"/>
    <cellStyle name="Вычисление 1 10 2 3" xfId="6706" xr:uid="{A6DBBA10-35EC-4B89-8E19-067E3BCE17CD}"/>
    <cellStyle name="Вычисление 1 10 2 3 2" xfId="16162" xr:uid="{D8CF35B2-7D69-4B68-A82A-1C99BD56B6A4}"/>
    <cellStyle name="Вычисление 1 10 2 3 2 2" xfId="32212" xr:uid="{B9BA7C78-6E0A-491C-9BA6-1E23C93F0AE2}"/>
    <cellStyle name="Вычисление 1 10 2 3 2 3" xfId="45734" xr:uid="{9E50C820-BF5C-46BA-A0F0-56919B1DEBA6}"/>
    <cellStyle name="Вычисление 1 10 2 3 3" xfId="24334" xr:uid="{ADAB4D02-26E8-4920-832F-4FDF300F8DB6}"/>
    <cellStyle name="Вычисление 1 10 2 3 4" xfId="37415" xr:uid="{A7655864-B050-4042-B9C0-88C3E710E905}"/>
    <cellStyle name="Вычисление 1 10 2 4" xfId="14687" xr:uid="{C6070105-7145-4927-A86D-9E6D555EF90B}"/>
    <cellStyle name="Вычисление 1 10 2 4 2" xfId="30980" xr:uid="{1F7C3EBC-C14B-491C-8BA3-F45FE03DC400}"/>
    <cellStyle name="Вычисление 1 10 2 4 3" xfId="44401" xr:uid="{FEE18AB6-0336-4BDB-8FE2-FCA92A6AB4FA}"/>
    <cellStyle name="Вычисление 1 10 2 5" xfId="21086" xr:uid="{AB167357-9EF6-46F2-96D3-9440EF80ADC2}"/>
    <cellStyle name="Вычисление 1 10 2 6" xfId="34109" xr:uid="{C5E5B251-5EDF-45C7-8E0F-BD4A2AEE23DF}"/>
    <cellStyle name="Вычисление 1 10 3" xfId="4628" xr:uid="{00F53C26-C70C-48CC-9DD6-CD2069B817E8}"/>
    <cellStyle name="Вычисление 1 10 3 2" xfId="7362" xr:uid="{4AC32C9D-89B8-4D23-BC52-9A743F21D3E1}"/>
    <cellStyle name="Вычисление 1 10 3 2 2" xfId="11367" xr:uid="{384F7AC3-0508-498F-BBD9-81D1AE64691C}"/>
    <cellStyle name="Вычисление 1 10 3 2 2 2" xfId="28144" xr:uid="{07804E35-CBAA-47AF-849C-0F7D94F58960}"/>
    <cellStyle name="Вычисление 1 10 3 2 2 3" xfId="41333" xr:uid="{26186506-D453-4A09-A098-87ED13C78680}"/>
    <cellStyle name="Вычисление 1 10 3 2 3" xfId="24921" xr:uid="{94B2EB02-68D2-4536-B825-7854E43C2D74}"/>
    <cellStyle name="Вычисление 1 10 3 2 4" xfId="38001" xr:uid="{9FA55292-096B-4EEC-BF33-C415358884FD}"/>
    <cellStyle name="Вычисление 1 10 3 3" xfId="14974" xr:uid="{08F752F3-2BA5-4985-91A2-4F24E311AD2B}"/>
    <cellStyle name="Вычисление 1 10 3 3 2" xfId="31210" xr:uid="{D3E88DD5-EB2E-45EC-A05B-608A3460A933}"/>
    <cellStyle name="Вычисление 1 10 3 3 3" xfId="44658" xr:uid="{7AC9D172-7E8C-469E-AC8C-B7FAC593A7C2}"/>
    <cellStyle name="Вычисление 1 10 3 4" xfId="22438" xr:uid="{04D29A34-DF40-401E-8D9F-53205959D59E}"/>
    <cellStyle name="Вычисление 1 10 3 5" xfId="35491" xr:uid="{988C831F-B924-41A5-B8A4-78BF2110A986}"/>
    <cellStyle name="Вычисление 1 10 4" xfId="5734" xr:uid="{F0D6FBE0-3263-45B9-91AA-5632D3597550}"/>
    <cellStyle name="Вычисление 1 10 4 2" xfId="8923" xr:uid="{0F6CA8F9-F62E-4D69-9873-DDBEED49F8FF}"/>
    <cellStyle name="Вычисление 1 10 4 2 2" xfId="11315" xr:uid="{E9A5BD9B-5099-4DD9-A089-F04CC2A9192C}"/>
    <cellStyle name="Вычисление 1 10 4 2 2 2" xfId="28095" xr:uid="{02E36916-2999-4125-9CA7-B87D7DC61C9D}"/>
    <cellStyle name="Вычисление 1 10 4 2 2 3" xfId="41282" xr:uid="{85D07295-28A5-4036-A557-92137523D2B6}"/>
    <cellStyle name="Вычисление 1 10 4 2 3" xfId="26409" xr:uid="{45F3ED2F-013C-49E0-8685-04540BEB733C}"/>
    <cellStyle name="Вычисление 1 10 4 2 4" xfId="39485" xr:uid="{AC23712F-B9E6-4FCC-903F-BFFF80B5938F}"/>
    <cellStyle name="Вычисление 1 10 4 3" xfId="10961" xr:uid="{99134CB2-53D7-495D-83D6-00E16A907543}"/>
    <cellStyle name="Вычисление 1 10 4 3 2" xfId="27774" xr:uid="{69D3BCEA-14DC-42BB-BF87-5757382C14ED}"/>
    <cellStyle name="Вычисление 1 10 4 3 3" xfId="40941" xr:uid="{B6BF7D7B-7CFC-4772-B134-1B6393F47542}"/>
    <cellStyle name="Вычисление 1 10 4 4" xfId="23381" xr:uid="{0B90F09D-F4FB-422D-B281-B062A3E29C54}"/>
    <cellStyle name="Вычисление 1 10 4 5" xfId="36462" xr:uid="{4C092FC6-027F-4F3B-95E8-5C6B0BA1B685}"/>
    <cellStyle name="Вычисление 1 10 5" xfId="11417" xr:uid="{D001E7A0-399D-4698-87F9-D39FEF56582C}"/>
    <cellStyle name="Вычисление 1 10 5 2" xfId="28186" xr:uid="{90B0DFD7-7592-4E66-B5AF-0569AB6D8DFF}"/>
    <cellStyle name="Вычисление 1 10 5 3" xfId="41377" xr:uid="{03F51639-A48B-4EC2-A984-A5CD1379D54B}"/>
    <cellStyle name="Вычисление 1 10 6" xfId="21643" xr:uid="{830CE917-160F-49D3-A0F6-E71AE4F3D7E4}"/>
    <cellStyle name="Вычисление 1 10 7" xfId="34697" xr:uid="{0EEFDDA5-558C-40C8-A4E1-1F87A380AA92}"/>
    <cellStyle name="Вычисление 1 11" xfId="3572" xr:uid="{FCDEB73F-0F51-4540-8281-FA1E3DE90615}"/>
    <cellStyle name="Вычисление 1 11 2" xfId="2907" xr:uid="{D9B3E993-D5D9-473B-B553-E1D290DA9319}"/>
    <cellStyle name="Вычисление 1 11 2 2" xfId="8203" xr:uid="{BC4CDD4A-9BD3-44F2-9E35-4C110F1B9D6D}"/>
    <cellStyle name="Вычисление 1 11 2 2 2" xfId="10753" xr:uid="{B10D9F42-2936-419C-B87D-CD3416CD51E3}"/>
    <cellStyle name="Вычисление 1 11 2 2 2 2" xfId="27593" xr:uid="{FDBB258F-7C5F-4F04-B78D-6C4656840B70}"/>
    <cellStyle name="Вычисление 1 11 2 2 2 3" xfId="40734" xr:uid="{A9F8D032-848E-4F88-9123-D8DD5C7A2A89}"/>
    <cellStyle name="Вычисление 1 11 2 2 3" xfId="25714" xr:uid="{DB236315-0202-4138-9F22-DAECDAC903F7}"/>
    <cellStyle name="Вычисление 1 11 2 2 4" xfId="38790" xr:uid="{D7FD84AC-DA8C-4ED3-A48A-41C9AE25D7C6}"/>
    <cellStyle name="Вычисление 1 11 2 3" xfId="6570" xr:uid="{02B8FDD5-3F30-40D3-BE73-897ADF96CC2F}"/>
    <cellStyle name="Вычисление 1 11 2 3 2" xfId="17518" xr:uid="{D6D2A132-177C-4028-96FA-954821F4E1F8}"/>
    <cellStyle name="Вычисление 1 11 2 3 2 2" xfId="33256" xr:uid="{9BF629D3-A246-452B-94A8-3770ED53A225}"/>
    <cellStyle name="Вычисление 1 11 2 3 2 3" xfId="47043" xr:uid="{FDFDDEEB-1976-41AD-A8C7-1BBC61B8436D}"/>
    <cellStyle name="Вычисление 1 11 2 3 3" xfId="24205" xr:uid="{B31E3FA2-06D4-46AD-B96C-B9EB6A613A81}"/>
    <cellStyle name="Вычисление 1 11 2 3 4" xfId="37286" xr:uid="{793E5CD8-E23F-4EE6-8F69-BADDBA818474}"/>
    <cellStyle name="Вычисление 1 11 2 4" xfId="13578" xr:uid="{FF47E550-5285-4738-AD46-FE1FD51E1517}"/>
    <cellStyle name="Вычисление 1 11 2 4 2" xfId="30020" xr:uid="{055EFD2B-E175-426A-825A-587CF09B208D}"/>
    <cellStyle name="Вычисление 1 11 2 4 3" xfId="43371" xr:uid="{2CB84AD9-CB2E-4EB6-BED3-7A2A4A19988E}"/>
    <cellStyle name="Вычисление 1 11 2 5" xfId="20957" xr:uid="{B509E2F6-75EE-4CDC-89D4-216EB4B280F2}"/>
    <cellStyle name="Вычисление 1 11 2 6" xfId="33980" xr:uid="{AD2B6C7A-8276-4CBC-97B4-78C6E5E9F85E}"/>
    <cellStyle name="Вычисление 1 11 3" xfId="4663" xr:uid="{0809C8BC-7CCE-47FA-A095-85F4AA41C4BD}"/>
    <cellStyle name="Вычисление 1 11 3 2" xfId="7209" xr:uid="{8E3C8B40-C6AF-4BA5-ADB6-ADC822F98F7D}"/>
    <cellStyle name="Вычисление 1 11 3 2 2" xfId="10875" xr:uid="{C0F5E467-F3F9-4F75-B448-F970EEDE02A6}"/>
    <cellStyle name="Вычисление 1 11 3 2 2 2" xfId="27701" xr:uid="{7F07EA39-3A52-496D-BC86-07C9C4C9BBB4}"/>
    <cellStyle name="Вычисление 1 11 3 2 2 3" xfId="40855" xr:uid="{2504258C-7287-4736-9A41-4D66A8496B53}"/>
    <cellStyle name="Вычисление 1 11 3 2 3" xfId="24803" xr:uid="{DADDA6F5-7153-4D39-9584-1C5C837E2AE5}"/>
    <cellStyle name="Вычисление 1 11 3 2 4" xfId="37884" xr:uid="{7C20542D-6614-4609-A5C2-314ED1C8FE1E}"/>
    <cellStyle name="Вычисление 1 11 3 3" xfId="16113" xr:uid="{291E78A2-181C-4204-B2E4-E83E5BAEA9A9}"/>
    <cellStyle name="Вычисление 1 11 3 3 2" xfId="32170" xr:uid="{56A1562B-925B-4F9A-9EBD-7CC2934B9B2E}"/>
    <cellStyle name="Вычисление 1 11 3 3 3" xfId="45691" xr:uid="{250BFD2D-0F4E-4BDB-97CB-CE85080FD150}"/>
    <cellStyle name="Вычисление 1 11 3 4" xfId="22473" xr:uid="{F154E69C-71CF-43F2-86C9-D685C6A6723E}"/>
    <cellStyle name="Вычисление 1 11 3 5" xfId="35526" xr:uid="{C5FA7813-4CD9-4136-A50A-686C98EBC5F1}"/>
    <cellStyle name="Вычисление 1 11 4" xfId="5617" xr:uid="{2EEAC236-6536-42B3-A98C-1F4A05495BF0}"/>
    <cellStyle name="Вычисление 1 11 4 2" xfId="8799" xr:uid="{2B0D798D-4112-434E-927C-161B995FEAC0}"/>
    <cellStyle name="Вычисление 1 11 4 2 2" xfId="15989" xr:uid="{7E6EE18F-B2DE-4406-8917-A8786E38669F}"/>
    <cellStyle name="Вычисление 1 11 4 2 2 2" xfId="32063" xr:uid="{365EEBED-D679-4235-AF08-7E64B19E86DD}"/>
    <cellStyle name="Вычисление 1 11 4 2 2 3" xfId="45582" xr:uid="{B06A4711-1ED9-47DF-98D4-09E9EE9AACC7}"/>
    <cellStyle name="Вычисление 1 11 4 2 3" xfId="26292" xr:uid="{5068E742-E853-41B5-8B67-472BB01034F5}"/>
    <cellStyle name="Вычисление 1 11 4 2 4" xfId="39368" xr:uid="{DD58FB5D-6451-4C48-92AC-9B1F293E06C4}"/>
    <cellStyle name="Вычисление 1 11 4 3" xfId="11680" xr:uid="{40C60938-E011-4796-A961-1691B14DB263}"/>
    <cellStyle name="Вычисление 1 11 4 3 2" xfId="28417" xr:uid="{B9702A7C-AC0E-4168-BCE4-461F2F1735DA}"/>
    <cellStyle name="Вычисление 1 11 4 3 3" xfId="41623" xr:uid="{DE27FD28-B5D9-4212-ABA6-07450725E598}"/>
    <cellStyle name="Вычисление 1 11 4 4" xfId="23264" xr:uid="{6F6C4DCD-7096-484B-8410-4ABC5656D11E}"/>
    <cellStyle name="Вычисление 1 11 4 5" xfId="36345" xr:uid="{449BBE79-8DC0-467C-B024-EC847E8E2E50}"/>
    <cellStyle name="Вычисление 1 11 5" xfId="15837" xr:uid="{172E8514-E30C-4608-A948-1FD2F21A9324}"/>
    <cellStyle name="Вычисление 1 11 5 2" xfId="31930" xr:uid="{CF05D84B-CF50-4C5B-88C0-04F55543EAF8}"/>
    <cellStyle name="Вычисление 1 11 5 3" xfId="45442" xr:uid="{6E7AA3AC-F066-4DDF-9F2D-BA70A24D26AD}"/>
    <cellStyle name="Вычисление 1 11 6" xfId="21526" xr:uid="{001F559D-0765-47BB-A993-1D9F7F0A5F2A}"/>
    <cellStyle name="Вычисление 1 11 7" xfId="34579" xr:uid="{2B1B2FEE-9DA3-4DE1-891E-32341654A72B}"/>
    <cellStyle name="Вычисление 1 12" xfId="3708" xr:uid="{939D4947-D436-4364-9D0B-7A06DD0154EE}"/>
    <cellStyle name="Вычисление 1 12 2" xfId="3024" xr:uid="{45781B6D-B317-490D-9EA2-270FB278DABC}"/>
    <cellStyle name="Вычисление 1 12 2 2" xfId="8320" xr:uid="{281C54A3-0F30-44DA-8D72-DD53EAB2083D}"/>
    <cellStyle name="Вычисление 1 12 2 2 2" xfId="14071" xr:uid="{0B74EAA0-5623-4005-9588-CA86CBE8F425}"/>
    <cellStyle name="Вычисление 1 12 2 2 2 2" xfId="30439" xr:uid="{E730AE2D-1B09-409E-9B2C-4E13209870BE}"/>
    <cellStyle name="Вычисление 1 12 2 2 2 3" xfId="43822" xr:uid="{8653AF2E-C4A4-4309-A280-71CB2E1E79E9}"/>
    <cellStyle name="Вычисление 1 12 2 2 3" xfId="25824" xr:uid="{FE621477-5E76-4CC3-A0DD-2DC7D5D60900}"/>
    <cellStyle name="Вычисление 1 12 2 2 4" xfId="38900" xr:uid="{ADC1AA88-6EE0-4EE3-BEB2-BBBCCAB06070}"/>
    <cellStyle name="Вычисление 1 12 2 3" xfId="6687" xr:uid="{DD26B500-6129-4106-BDB3-0A4C2612547F}"/>
    <cellStyle name="Вычисление 1 12 2 3 2" xfId="13424" xr:uid="{EDD1D5A6-36C4-4DC5-BECA-95CF5A668736}"/>
    <cellStyle name="Вычисление 1 12 2 3 2 2" xfId="29891" xr:uid="{B3E56B04-D0D2-4164-A038-59525EEF4FDA}"/>
    <cellStyle name="Вычисление 1 12 2 3 2 3" xfId="43228" xr:uid="{5234190E-B49C-439E-AE77-7186AF7A6A40}"/>
    <cellStyle name="Вычисление 1 12 2 3 3" xfId="24315" xr:uid="{8427BCEC-9912-4119-9050-A8BEA6F2281E}"/>
    <cellStyle name="Вычисление 1 12 2 3 4" xfId="37396" xr:uid="{A83B1B66-47E6-4F79-9B65-0E992AA6EE40}"/>
    <cellStyle name="Вычисление 1 12 2 4" xfId="14380" xr:uid="{2FD4E22A-476A-4FF8-A05C-F0E8BA690C1E}"/>
    <cellStyle name="Вычисление 1 12 2 4 2" xfId="30712" xr:uid="{645869C7-8FFB-411F-8A46-89C1ACF2F1FA}"/>
    <cellStyle name="Вычисление 1 12 2 4 3" xfId="44110" xr:uid="{1B44BB2F-0D8A-419E-B59B-A6220502B012}"/>
    <cellStyle name="Вычисление 1 12 2 5" xfId="21067" xr:uid="{62146CDF-55AC-4DED-9757-786F1BE83966}"/>
    <cellStyle name="Вычисление 1 12 2 6" xfId="34090" xr:uid="{6A045F38-C6EC-4E24-ABCA-255662EF78B7}"/>
    <cellStyle name="Вычисление 1 12 3" xfId="4738" xr:uid="{44553B7C-12BC-4DCE-88D8-FFA10A6700C7}"/>
    <cellStyle name="Вычисление 1 12 3 2" xfId="7343" xr:uid="{0AF11A5E-C878-4660-A699-7C370DE2025D}"/>
    <cellStyle name="Вычисление 1 12 3 2 2" xfId="15128" xr:uid="{28939C23-BC4B-4928-8C9B-ACD51E88CAC6}"/>
    <cellStyle name="Вычисление 1 12 3 2 2 2" xfId="31330" xr:uid="{33597F29-1B8A-4559-86B9-64906D7E4110}"/>
    <cellStyle name="Вычисление 1 12 3 2 2 3" xfId="44792" xr:uid="{23759130-BDFC-458E-9D86-B828C2794056}"/>
    <cellStyle name="Вычисление 1 12 3 2 3" xfId="24902" xr:uid="{65DB3B47-4A45-42AE-B9F7-FF0BAC223693}"/>
    <cellStyle name="Вычисление 1 12 3 2 4" xfId="37982" xr:uid="{505B9A67-1BF5-4CFA-AB5F-0A660A34B5DE}"/>
    <cellStyle name="Вычисление 1 12 3 3" xfId="11183" xr:uid="{70393808-70EF-4469-9486-BE73D46AD580}"/>
    <cellStyle name="Вычисление 1 12 3 3 2" xfId="27977" xr:uid="{2EEDF182-D525-41E0-B611-FF2FBFF19FA3}"/>
    <cellStyle name="Вычисление 1 12 3 3 3" xfId="41159" xr:uid="{98B83554-F3C1-4679-8EB9-4CFE93CD5DCB}"/>
    <cellStyle name="Вычисление 1 12 3 4" xfId="22541" xr:uid="{D935EB2A-EE8E-4820-96E2-76920D3077CA}"/>
    <cellStyle name="Вычисление 1 12 3 5" xfId="35594" xr:uid="{880A6C66-6E5A-49A5-BC2E-F9848A14AE41}"/>
    <cellStyle name="Вычисление 1 12 4" xfId="5715" xr:uid="{3FF43E09-5984-4796-91B5-C6564CA081AB}"/>
    <cellStyle name="Вычисление 1 12 4 2" xfId="8904" xr:uid="{F33B41FC-A619-47F0-BF64-9FC9F460785E}"/>
    <cellStyle name="Вычисление 1 12 4 2 2" xfId="15158" xr:uid="{2A821CC6-5C16-4BAE-84DB-DB1FBF9C812D}"/>
    <cellStyle name="Вычисление 1 12 4 2 2 2" xfId="31353" xr:uid="{865CA638-5820-41BC-BC78-3C468A35D3EB}"/>
    <cellStyle name="Вычисление 1 12 4 2 2 3" xfId="44818" xr:uid="{93F72D4D-2450-4416-9471-17F5D6AF646A}"/>
    <cellStyle name="Вычисление 1 12 4 2 3" xfId="26390" xr:uid="{2A2A65B9-CDB7-4C56-BA71-B7A39D6356D1}"/>
    <cellStyle name="Вычисление 1 12 4 2 4" xfId="39466" xr:uid="{2E5B4780-5D0B-401B-BCCB-2CE24479BDCD}"/>
    <cellStyle name="Вычисление 1 12 4 3" xfId="17340" xr:uid="{F7FEF902-6052-4710-BEAF-73B991BA79D3}"/>
    <cellStyle name="Вычисление 1 12 4 3 2" xfId="33094" xr:uid="{A6932933-DE1B-45ED-BDD3-594BD783A4CC}"/>
    <cellStyle name="Вычисление 1 12 4 3 3" xfId="46870" xr:uid="{124C6EFD-FF6C-48EE-8B8A-BF2A722188CC}"/>
    <cellStyle name="Вычисление 1 12 4 4" xfId="23362" xr:uid="{11362F20-B6D9-41A8-BA96-F74E18D32A44}"/>
    <cellStyle name="Вычисление 1 12 4 5" xfId="36443" xr:uid="{C817E13F-302D-40F4-AB19-4BACA042D71C}"/>
    <cellStyle name="Вычисление 1 12 5" xfId="14068" xr:uid="{7F1DE438-01C1-4A56-A9C7-86BFB04A2D2C}"/>
    <cellStyle name="Вычисление 1 12 5 2" xfId="30437" xr:uid="{7AEA8C40-FF9E-4C24-B47A-70F0D2BBBB85}"/>
    <cellStyle name="Вычисление 1 12 5 3" xfId="43820" xr:uid="{62186F21-B6D6-4596-95D3-0543260B2A12}"/>
    <cellStyle name="Вычисление 1 12 6" xfId="21624" xr:uid="{153FF8B0-82B6-4C23-B767-3F1904B50872}"/>
    <cellStyle name="Вычисление 1 12 7" xfId="34678" xr:uid="{8922D0E3-359E-4D70-8284-AA0A0F597955}"/>
    <cellStyle name="Вычисление 1 13" xfId="3694" xr:uid="{F3792A33-8390-46FA-AC57-28B0881F8316}"/>
    <cellStyle name="Вычисление 1 13 2" xfId="3010" xr:uid="{DE2B24AC-22AA-4C2E-AD60-6A8E8DB871C6}"/>
    <cellStyle name="Вычисление 1 13 2 2" xfId="8306" xr:uid="{416E12FD-6097-49A1-A79A-761A575AE56F}"/>
    <cellStyle name="Вычисление 1 13 2 2 2" xfId="13672" xr:uid="{D6F16848-C5BD-4D56-8E89-18156484296D}"/>
    <cellStyle name="Вычисление 1 13 2 2 2 2" xfId="30097" xr:uid="{64CB5D12-FE85-4A12-BC2E-01C6EE59B610}"/>
    <cellStyle name="Вычисление 1 13 2 2 2 3" xfId="43456" xr:uid="{1E96BA77-AD71-4718-921F-91EB032710F4}"/>
    <cellStyle name="Вычисление 1 13 2 2 3" xfId="25810" xr:uid="{74B1A7AD-F8D4-4AE3-A388-64B9F8849229}"/>
    <cellStyle name="Вычисление 1 13 2 2 4" xfId="38886" xr:uid="{1C40614D-9FBB-4039-A1AB-E1B7F06549BE}"/>
    <cellStyle name="Вычисление 1 13 2 3" xfId="6673" xr:uid="{E412568C-4998-4D5E-B1EC-260C77FDC760}"/>
    <cellStyle name="Вычисление 1 13 2 3 2" xfId="14415" xr:uid="{4D027FB7-2B03-46B9-851F-C12B65632DBC}"/>
    <cellStyle name="Вычисление 1 13 2 3 2 2" xfId="30745" xr:uid="{8A2842C9-D48B-4DC2-8B9C-E03CCDF960A2}"/>
    <cellStyle name="Вычисление 1 13 2 3 2 3" xfId="44145" xr:uid="{3716D1D0-4F14-4BB6-9409-108A047C585D}"/>
    <cellStyle name="Вычисление 1 13 2 3 3" xfId="24301" xr:uid="{4398EE36-39CE-4DEE-BE91-A6D6D8559B25}"/>
    <cellStyle name="Вычисление 1 13 2 3 4" xfId="37382" xr:uid="{5A13BEE7-5B16-4639-8F3F-AD3ACDA55417}"/>
    <cellStyle name="Вычисление 1 13 2 4" xfId="11181" xr:uid="{0906DC79-1EC7-4D28-BF82-998F570307A2}"/>
    <cellStyle name="Вычисление 1 13 2 4 2" xfId="27975" xr:uid="{46F7DCB5-CAC3-45B9-BECA-6935B434A793}"/>
    <cellStyle name="Вычисление 1 13 2 4 3" xfId="41157" xr:uid="{D687E73A-7D0D-40C0-94AF-9F568F8E4DF5}"/>
    <cellStyle name="Вычисление 1 13 2 5" xfId="21053" xr:uid="{07467CB2-B69C-4D76-9241-AE5901E38B00}"/>
    <cellStyle name="Вычисление 1 13 2 6" xfId="34076" xr:uid="{C5C9C8C8-E648-457A-8CD0-240FC014EB1C}"/>
    <cellStyle name="Вычисление 1 13 3" xfId="4724" xr:uid="{995695A8-FE13-4257-A8B5-A952AE1BB5E6}"/>
    <cellStyle name="Вычисление 1 13 3 2" xfId="7329" xr:uid="{B4E63237-194F-4C17-92CA-2333FB4E6500}"/>
    <cellStyle name="Вычисление 1 13 3 2 2" xfId="11976" xr:uid="{BBD36471-16CD-4628-9589-3470892F90E4}"/>
    <cellStyle name="Вычисление 1 13 3 2 2 2" xfId="28683" xr:uid="{B7BC1B97-6D08-4ADF-BE63-C731032B3689}"/>
    <cellStyle name="Вычисление 1 13 3 2 2 3" xfId="41901" xr:uid="{99ED0B09-7B05-43A3-AF26-7304643789B9}"/>
    <cellStyle name="Вычисление 1 13 3 2 3" xfId="24888" xr:uid="{E562A049-115B-40D7-9694-FF75093795C1}"/>
    <cellStyle name="Вычисление 1 13 3 2 4" xfId="37968" xr:uid="{C1761C01-3388-4C20-916A-36D3C80CC7E2}"/>
    <cellStyle name="Вычисление 1 13 3 3" xfId="15986" xr:uid="{C2E9B661-9CD1-4D90-A7AC-1DDB0445466E}"/>
    <cellStyle name="Вычисление 1 13 3 3 2" xfId="32060" xr:uid="{EA1574AF-4D44-4DD3-B34D-6A65135FDF8E}"/>
    <cellStyle name="Вычисление 1 13 3 3 3" xfId="45579" xr:uid="{DFA2F409-6B9C-45F4-8AAC-E783E0772BAB}"/>
    <cellStyle name="Вычисление 1 13 3 4" xfId="22527" xr:uid="{B7DB2AA8-57A1-4326-AC8C-1A4A454312F7}"/>
    <cellStyle name="Вычисление 1 13 3 5" xfId="35580" xr:uid="{193547F0-FD02-4251-9E20-C20A03B86E37}"/>
    <cellStyle name="Вычисление 1 13 4" xfId="5701" xr:uid="{579E0152-661D-490C-AC7C-AA470B85B58C}"/>
    <cellStyle name="Вычисление 1 13 4 2" xfId="8890" xr:uid="{B6CF5141-B3D4-4CEF-9089-8A04A2EA127D}"/>
    <cellStyle name="Вычисление 1 13 4 2 2" xfId="11440" xr:uid="{2F51EAFF-4C98-48D5-B9D3-6F8533A0E131}"/>
    <cellStyle name="Вычисление 1 13 4 2 2 2" xfId="28205" xr:uid="{CCCA00BD-5F2A-4659-B28B-E0C84496134B}"/>
    <cellStyle name="Вычисление 1 13 4 2 2 3" xfId="41399" xr:uid="{F67CBE3A-E37C-4375-9E83-773E0E03C574}"/>
    <cellStyle name="Вычисление 1 13 4 2 3" xfId="26376" xr:uid="{7C833A34-B519-4B67-8AE5-9388F7F89B08}"/>
    <cellStyle name="Вычисление 1 13 4 2 4" xfId="39452" xr:uid="{F7D904DE-D311-4E6D-9DFA-A6AD11E3ADD7}"/>
    <cellStyle name="Вычисление 1 13 4 3" xfId="17530" xr:uid="{0FCC0DA2-0232-4E8D-B945-8948179054B2}"/>
    <cellStyle name="Вычисление 1 13 4 3 2" xfId="33268" xr:uid="{5FAFEF9D-D1CF-46CD-9BBE-AF7EE1B9A14A}"/>
    <cellStyle name="Вычисление 1 13 4 3 3" xfId="47055" xr:uid="{B216824C-476A-461B-AB69-1DB3729372A3}"/>
    <cellStyle name="Вычисление 1 13 4 4" xfId="23348" xr:uid="{B99633E6-9D65-4CC3-91C9-35E06173AF73}"/>
    <cellStyle name="Вычисление 1 13 4 5" xfId="36429" xr:uid="{C7AAC03C-5E80-42AF-B26B-C8CAD49DE841}"/>
    <cellStyle name="Вычисление 1 13 5" xfId="17575" xr:uid="{F835ECBA-BF12-42C9-98C4-4BB21E76CE30}"/>
    <cellStyle name="Вычисление 1 13 5 2" xfId="33312" xr:uid="{754075F1-CF63-405F-9812-C4909A79BB4B}"/>
    <cellStyle name="Вычисление 1 13 5 3" xfId="47100" xr:uid="{565CAF5B-0A9A-4327-98BF-71B60945DB01}"/>
    <cellStyle name="Вычисление 1 13 6" xfId="21610" xr:uid="{88D821EB-89F2-49F6-877F-057209AEAE0A}"/>
    <cellStyle name="Вычисление 1 13 7" xfId="34664" xr:uid="{A0962157-0ADA-4BC6-B756-6BBCD0D3A5E1}"/>
    <cellStyle name="Вычисление 1 14" xfId="3825" xr:uid="{42E2328E-04A6-44D0-88BF-713561B11DE0}"/>
    <cellStyle name="Вычисление 1 14 2" xfId="3087" xr:uid="{89412BB7-04A9-4BF0-9A46-AF4942358C32}"/>
    <cellStyle name="Вычисление 1 14 2 2" xfId="8379" xr:uid="{840C23E5-DD6F-45E3-89A8-4E13B948D896}"/>
    <cellStyle name="Вычисление 1 14 2 2 2" xfId="10708" xr:uid="{249235B0-686B-4D6D-AFF2-340CD17DEE4C}"/>
    <cellStyle name="Вычисление 1 14 2 2 2 2" xfId="27553" xr:uid="{7730459F-2694-461B-A776-D4F4C5FBFBEF}"/>
    <cellStyle name="Вычисление 1 14 2 2 2 3" xfId="40689" xr:uid="{E64A8FAE-7C87-4CDC-8DC6-FEAEF47C955E}"/>
    <cellStyle name="Вычисление 1 14 2 2 3" xfId="25882" xr:uid="{1C13514D-2778-40EC-9B50-E8FE8516157E}"/>
    <cellStyle name="Вычисление 1 14 2 2 4" xfId="38958" xr:uid="{65725B53-309C-484C-9618-864E94223FF1}"/>
    <cellStyle name="Вычисление 1 14 2 3" xfId="6746" xr:uid="{719AC7C7-2BC7-492E-B073-394DE9351F97}"/>
    <cellStyle name="Вычисление 1 14 2 3 2" xfId="14221" xr:uid="{2BFF2F7C-1C6F-4AF9-AB8E-665B9BC64F8E}"/>
    <cellStyle name="Вычисление 1 14 2 3 2 2" xfId="30566" xr:uid="{625BF062-3A61-4EFA-82AC-45D39944F0A9}"/>
    <cellStyle name="Вычисление 1 14 2 3 2 3" xfId="43958" xr:uid="{D2C8A05C-E3A1-4D42-A6F0-86915D5D674A}"/>
    <cellStyle name="Вычисление 1 14 2 3 3" xfId="24373" xr:uid="{D33D44D8-BE9B-4D63-8556-320D22515507}"/>
    <cellStyle name="Вычисление 1 14 2 3 4" xfId="37454" xr:uid="{4EBE2F9E-E8CA-4F2B-A6E2-277920095271}"/>
    <cellStyle name="Вычисление 1 14 2 4" xfId="15525" xr:uid="{F5D6B5BC-05D8-4BD8-A6DD-D895F90F4654}"/>
    <cellStyle name="Вычисление 1 14 2 4 2" xfId="31661" xr:uid="{85F8FB80-BCE8-4E29-8BC5-F913DFA571CD}"/>
    <cellStyle name="Вычисление 1 14 2 4 3" xfId="45160" xr:uid="{0F628A9E-625B-4FCC-B515-ABAFF1A14792}"/>
    <cellStyle name="Вычисление 1 14 2 5" xfId="21125" xr:uid="{13772031-B5B0-4A05-9A39-3F15B76BCCC0}"/>
    <cellStyle name="Вычисление 1 14 2 6" xfId="34148" xr:uid="{DAB7A2A9-C37B-4B83-89C5-8F076E34C2D5}"/>
    <cellStyle name="Вычисление 1 14 3" xfId="4771" xr:uid="{DF4A0F80-08FF-49F0-9AE9-D840DE949FAE}"/>
    <cellStyle name="Вычисление 1 14 3 2" xfId="7412" xr:uid="{E1B7B929-2988-4010-BA5D-6B22B2B783FD}"/>
    <cellStyle name="Вычисление 1 14 3 2 2" xfId="11661" xr:uid="{2FAA4BAA-7FF4-4D2D-ACF2-6FC8176B3324}"/>
    <cellStyle name="Вычисление 1 14 3 2 2 2" xfId="28401" xr:uid="{BEF993A0-17E5-47A4-B033-B89CEE0D520B}"/>
    <cellStyle name="Вычисление 1 14 3 2 2 3" xfId="41605" xr:uid="{2C911F82-19A7-4EA7-9FA4-E2A2C8F77C6C}"/>
    <cellStyle name="Вычисление 1 14 3 2 3" xfId="24970" xr:uid="{B158A204-D818-46FF-9C9B-48DAB23B7A85}"/>
    <cellStyle name="Вычисление 1 14 3 2 4" xfId="38046" xr:uid="{3BD8CEDC-4F8F-42EA-8D8E-9DD88C7D6740}"/>
    <cellStyle name="Вычисление 1 14 3 3" xfId="16796" xr:uid="{4B5B6A01-0E35-4B61-AEE4-7F038D285E1B}"/>
    <cellStyle name="Вычисление 1 14 3 3 2" xfId="32677" xr:uid="{E96B82D7-AF2D-4E5A-B1EB-F24C4586F567}"/>
    <cellStyle name="Вычисление 1 14 3 3 3" xfId="46339" xr:uid="{F62410BD-F6A2-4443-909E-81353D85820B}"/>
    <cellStyle name="Вычисление 1 14 3 4" xfId="22573" xr:uid="{53E8DD06-2260-453A-AAB4-44D43CAA7C82}"/>
    <cellStyle name="Вычисление 1 14 3 5" xfId="35626" xr:uid="{3152943A-15BA-4AC6-AEFA-7BE54D0B1A84}"/>
    <cellStyle name="Вычисление 1 14 4" xfId="5796" xr:uid="{F03FB812-541F-4EC9-AED3-C18D20303472}"/>
    <cellStyle name="Вычисление 1 14 4 2" xfId="8957" xr:uid="{92222AC3-2A42-486B-AC55-9B66ADA0C15C}"/>
    <cellStyle name="Вычисление 1 14 4 2 2" xfId="14664" xr:uid="{50B81367-E539-4DAB-8207-7301EC963595}"/>
    <cellStyle name="Вычисление 1 14 4 2 2 2" xfId="30958" xr:uid="{D4558861-A8E3-4C67-852B-B09B9EEF57EB}"/>
    <cellStyle name="Вычисление 1 14 4 2 2 3" xfId="44379" xr:uid="{61FFEDA7-35F9-49AE-8FA4-070A14003A4F}"/>
    <cellStyle name="Вычисление 1 14 4 2 3" xfId="26442" xr:uid="{DA05FECC-5573-433A-B736-A9DC1A93EDDF}"/>
    <cellStyle name="Вычисление 1 14 4 2 4" xfId="39518" xr:uid="{2348BFEF-9115-48D1-BC1D-0357CCF2AF21}"/>
    <cellStyle name="Вычисление 1 14 4 3" xfId="14682" xr:uid="{59A8FBE1-FE0B-4D3A-8B74-015E5C2EF9AA}"/>
    <cellStyle name="Вычисление 1 14 4 3 2" xfId="30975" xr:uid="{6A01D83E-340E-429E-9D33-F62CF42975E5}"/>
    <cellStyle name="Вычисление 1 14 4 3 3" xfId="44396" xr:uid="{25B39348-A37A-43E1-8FAA-F42A77CAF92D}"/>
    <cellStyle name="Вычисление 1 14 4 4" xfId="23443" xr:uid="{AFC18A86-8C03-448A-B1FB-12B28A86C16C}"/>
    <cellStyle name="Вычисление 1 14 4 5" xfId="36524" xr:uid="{1C706FEC-4D84-49E3-8D88-12E11C23B5EF}"/>
    <cellStyle name="Вычисление 1 14 5" xfId="15853" xr:uid="{9F5B8187-DBC4-4E19-80D1-084019357678}"/>
    <cellStyle name="Вычисление 1 14 5 2" xfId="31946" xr:uid="{54BFD9BE-A36E-4E00-8802-E3D946470D91}"/>
    <cellStyle name="Вычисление 1 14 5 3" xfId="45458" xr:uid="{D80F4908-B628-42B3-81C1-6012A2D2B56A}"/>
    <cellStyle name="Вычисление 1 14 6" xfId="21705" xr:uid="{A3C816EC-56EC-42B4-A4B6-CC3986027438}"/>
    <cellStyle name="Вычисление 1 14 7" xfId="34759" xr:uid="{07FC6D14-4346-4415-B46E-10019D43F085}"/>
    <cellStyle name="Вычисление 1 15" xfId="3720" xr:uid="{A8237963-490D-4583-8905-0E437E4B9CDC}"/>
    <cellStyle name="Вычисление 1 15 2" xfId="3036" xr:uid="{346906E1-203A-419E-BE8F-5A7E34C2FD06}"/>
    <cellStyle name="Вычисление 1 15 2 2" xfId="8332" xr:uid="{2A391503-4858-4786-95AE-3B36C49B8B26}"/>
    <cellStyle name="Вычисление 1 15 2 2 2" xfId="14789" xr:uid="{DD34BC11-BA25-45AF-97A2-6697FCFB91B8}"/>
    <cellStyle name="Вычисление 1 15 2 2 2 2" xfId="31055" xr:uid="{54714692-68AC-40FB-AC8C-EC75338CEE2A}"/>
    <cellStyle name="Вычисление 1 15 2 2 2 3" xfId="44487" xr:uid="{A7E9B1C0-61E7-4305-8720-AF269F0F4CDA}"/>
    <cellStyle name="Вычисление 1 15 2 2 3" xfId="25836" xr:uid="{6005AEDF-39F4-4853-B6B1-89D4D4FD8ED0}"/>
    <cellStyle name="Вычисление 1 15 2 2 4" xfId="38912" xr:uid="{C934C4FB-DBA9-46CD-8012-213C0ED96796}"/>
    <cellStyle name="Вычисление 1 15 2 3" xfId="6699" xr:uid="{034A0A5E-5C38-4BC7-945E-139DDC701AC6}"/>
    <cellStyle name="Вычисление 1 15 2 3 2" xfId="17091" xr:uid="{E79CD7F9-A68C-43B9-9F18-C21DAB21DD4D}"/>
    <cellStyle name="Вычисление 1 15 2 3 2 2" xfId="32860" xr:uid="{88415F49-D7BD-48F3-A135-012C6E1257DD}"/>
    <cellStyle name="Вычисление 1 15 2 3 2 3" xfId="46631" xr:uid="{2A19C475-2A99-4056-BB80-1F4A5223CC3B}"/>
    <cellStyle name="Вычисление 1 15 2 3 3" xfId="24327" xr:uid="{766AA6C9-FCBF-43E4-82DF-03B2CD5900D4}"/>
    <cellStyle name="Вычисление 1 15 2 3 4" xfId="37408" xr:uid="{351A0C71-5630-48F4-8D8D-E942EA867241}"/>
    <cellStyle name="Вычисление 1 15 2 4" xfId="17058" xr:uid="{6C0FA59F-FD89-445B-9213-3679A62CF74C}"/>
    <cellStyle name="Вычисление 1 15 2 4 2" xfId="32829" xr:uid="{B4649EB3-A161-43C4-AF6F-14490E19D58F}"/>
    <cellStyle name="Вычисление 1 15 2 4 3" xfId="46599" xr:uid="{A62D5A48-5F5C-41F5-B0F6-1CE76B06C32E}"/>
    <cellStyle name="Вычисление 1 15 2 5" xfId="21079" xr:uid="{AC312AB0-215E-45F1-B3AF-C51460BDBA38}"/>
    <cellStyle name="Вычисление 1 15 2 6" xfId="34102" xr:uid="{BA0AFB24-AD79-4F78-ABD5-8723877C8E18}"/>
    <cellStyle name="Вычисление 1 15 3" xfId="4746" xr:uid="{CA319002-8751-4AB2-A57F-35F520CA829C}"/>
    <cellStyle name="Вычисление 1 15 3 2" xfId="7355" xr:uid="{22838F2E-8CE0-4574-A82E-823248A27611}"/>
    <cellStyle name="Вычисление 1 15 3 2 2" xfId="12206" xr:uid="{310ED9B1-4D7F-47E1-BE41-CA0AFE07BBD9}"/>
    <cellStyle name="Вычисление 1 15 3 2 2 2" xfId="28895" xr:uid="{286F10A2-D4CC-4037-8E08-7C2CF67B7A48}"/>
    <cellStyle name="Вычисление 1 15 3 2 2 3" xfId="42124" xr:uid="{558704FC-B694-44AB-B8AC-47489E53F7DE}"/>
    <cellStyle name="Вычисление 1 15 3 2 3" xfId="24914" xr:uid="{32E7754D-D862-4F84-AF38-B832035ACCCC}"/>
    <cellStyle name="Вычисление 1 15 3 2 4" xfId="37994" xr:uid="{89D775C5-0E3E-4C7E-826E-D5298E6379AD}"/>
    <cellStyle name="Вычисление 1 15 3 3" xfId="14134" xr:uid="{4024643C-2EFD-4961-92D3-1761B5600774}"/>
    <cellStyle name="Вычисление 1 15 3 3 2" xfId="30497" xr:uid="{17484211-A729-4A08-829A-104CFC576726}"/>
    <cellStyle name="Вычисление 1 15 3 3 3" xfId="43881" xr:uid="{D587A1DF-5A23-4DE0-96EC-3C27E22D9978}"/>
    <cellStyle name="Вычисление 1 15 3 4" xfId="22549" xr:uid="{032F4131-D885-4A57-AE54-A1308C6BAC77}"/>
    <cellStyle name="Вычисление 1 15 3 5" xfId="35602" xr:uid="{772721B8-61CC-46AF-AD21-B1668E7DC04D}"/>
    <cellStyle name="Вычисление 1 15 4" xfId="5727" xr:uid="{077BE620-3D79-448A-B261-41F560D6589D}"/>
    <cellStyle name="Вычисление 1 15 4 2" xfId="8916" xr:uid="{5F7A4FC5-10E3-4710-AB64-B0A732930673}"/>
    <cellStyle name="Вычисление 1 15 4 2 2" xfId="15325" xr:uid="{DCA2FD2C-8CFA-4983-B9F6-EA41F2BC3293}"/>
    <cellStyle name="Вычисление 1 15 4 2 2 2" xfId="31486" xr:uid="{06E5CB20-108F-426D-8FC5-796EAD2CAA5B}"/>
    <cellStyle name="Вычисление 1 15 4 2 2 3" xfId="44971" xr:uid="{2B0E9333-C017-45D8-8117-6767716C8D30}"/>
    <cellStyle name="Вычисление 1 15 4 2 3" xfId="26402" xr:uid="{0DFB4A14-33DC-4D2F-ACD6-004D71A1D1DD}"/>
    <cellStyle name="Вычисление 1 15 4 2 4" xfId="39478" xr:uid="{E467779C-9BE3-4CEB-BAF4-EC1A62852F6F}"/>
    <cellStyle name="Вычисление 1 15 4 3" xfId="13827" xr:uid="{11C5B399-DDCA-4738-A37F-23D26CCF5EC0}"/>
    <cellStyle name="Вычисление 1 15 4 3 2" xfId="30229" xr:uid="{F71C5CE4-A312-4C7A-96EB-0167B5D3673F}"/>
    <cellStyle name="Вычисление 1 15 4 3 3" xfId="43599" xr:uid="{28AC1A2B-2298-4551-8813-874D40D78317}"/>
    <cellStyle name="Вычисление 1 15 4 4" xfId="23374" xr:uid="{E8B93A08-435C-4E42-A084-38062DECA484}"/>
    <cellStyle name="Вычисление 1 15 4 5" xfId="36455" xr:uid="{5C83B0D2-56C3-45DF-8266-D386ACACD951}"/>
    <cellStyle name="Вычисление 1 15 5" xfId="11419" xr:uid="{DC1D37E6-D887-42E6-B766-EC6FAEB810A5}"/>
    <cellStyle name="Вычисление 1 15 5 2" xfId="28188" xr:uid="{B164121A-32B2-4439-8870-7A1CF0096FAE}"/>
    <cellStyle name="Вычисление 1 15 5 3" xfId="41379" xr:uid="{703C6FF4-7FA5-4A55-9B29-6BF3AF8093D9}"/>
    <cellStyle name="Вычисление 1 15 6" xfId="21636" xr:uid="{FE04D522-13D8-4904-82EB-185787C25D7C}"/>
    <cellStyle name="Вычисление 1 15 7" xfId="34690" xr:uid="{0918A124-3D6D-4062-BD65-F6E7D1B56AC0}"/>
    <cellStyle name="Вычисление 1 16" xfId="3889" xr:uid="{5D3CE5C4-01EF-4106-B470-1D52BA00873E}"/>
    <cellStyle name="Вычисление 1 16 2" xfId="3158" xr:uid="{093B7A08-3592-4DBD-BEA9-F4B1822540F9}"/>
    <cellStyle name="Вычисление 1 16 2 2" xfId="8450" xr:uid="{5C85E211-EFF0-46BA-BCF1-641C7001B378}"/>
    <cellStyle name="Вычисление 1 16 2 2 2" xfId="12432" xr:uid="{500EAAAC-CFA1-41CD-AFDF-B3023D668E01}"/>
    <cellStyle name="Вычисление 1 16 2 2 2 2" xfId="29086" xr:uid="{3CFAE5B8-951F-4A43-9C4D-8DCC171EB39C}"/>
    <cellStyle name="Вычисление 1 16 2 2 2 3" xfId="42331" xr:uid="{F40C9875-4B00-4EE2-AFDD-540569B468FA}"/>
    <cellStyle name="Вычисление 1 16 2 2 3" xfId="25952" xr:uid="{127239A8-1E2B-4440-8936-542108D05671}"/>
    <cellStyle name="Вычисление 1 16 2 2 4" xfId="39028" xr:uid="{98E7F259-C830-42D1-A330-B9E004C1E949}"/>
    <cellStyle name="Вычисление 1 16 2 3" xfId="6817" xr:uid="{8495A218-98D3-43AD-9068-3E1F2BCBED3E}"/>
    <cellStyle name="Вычисление 1 16 2 3 2" xfId="17509" xr:uid="{5A6231D3-3F7B-4716-9785-D5E8B5BD546A}"/>
    <cellStyle name="Вычисление 1 16 2 3 2 2" xfId="33247" xr:uid="{17FA01A7-E45F-47BF-9D43-66DA7C8AA033}"/>
    <cellStyle name="Вычисление 1 16 2 3 2 3" xfId="47034" xr:uid="{80A02B20-FEAA-428E-BCCB-FC7EAE656C4E}"/>
    <cellStyle name="Вычисление 1 16 2 3 3" xfId="24443" xr:uid="{D286E7A5-0C6F-4373-8CB6-0FD602B35CA5}"/>
    <cellStyle name="Вычисление 1 16 2 3 4" xfId="37524" xr:uid="{5651D388-8CAD-492E-8EC0-77B2836EE5D4}"/>
    <cellStyle name="Вычисление 1 16 2 4" xfId="16780" xr:uid="{A6C07565-EADB-4E55-AFDD-586E344A1C0B}"/>
    <cellStyle name="Вычисление 1 16 2 4 2" xfId="32661" xr:uid="{39A39339-47FF-48FF-A8D4-916BF3A8C5CE}"/>
    <cellStyle name="Вычисление 1 16 2 4 3" xfId="46323" xr:uid="{07A0451F-29C5-413D-9966-D1FB88FDD134}"/>
    <cellStyle name="Вычисление 1 16 2 5" xfId="21195" xr:uid="{8E586351-74C0-4018-AC5C-D29BA263BB2E}"/>
    <cellStyle name="Вычисление 1 16 2 6" xfId="34218" xr:uid="{AE789AB2-3C59-4D75-8121-4D82084F0AB7}"/>
    <cellStyle name="Вычисление 1 16 3" xfId="4826" xr:uid="{3F10766D-40B4-4C53-B1B5-CF2A76EB981C}"/>
    <cellStyle name="Вычисление 1 16 3 2" xfId="7470" xr:uid="{07722C81-FE21-4224-A84F-27D06830089B}"/>
    <cellStyle name="Вычисление 1 16 3 2 2" xfId="12240" xr:uid="{E0115E6C-3183-451D-AA93-38C82DD21E35}"/>
    <cellStyle name="Вычисление 1 16 3 2 2 2" xfId="28921" xr:uid="{B4B556FC-81F3-4F98-A16A-51ECF6C13FB6}"/>
    <cellStyle name="Вычисление 1 16 3 2 2 3" xfId="42154" xr:uid="{EEC22C87-7F51-4D69-B850-2C2FD2875047}"/>
    <cellStyle name="Вычисление 1 16 3 2 3" xfId="25027" xr:uid="{FCACFC95-69C0-4D87-97D3-96230522E39D}"/>
    <cellStyle name="Вычисление 1 16 3 2 4" xfId="38103" xr:uid="{716D7E47-0857-4C54-BD96-E804D15F9D24}"/>
    <cellStyle name="Вычисление 1 16 3 3" xfId="14586" xr:uid="{94B48290-EA36-4470-850F-978D23895565}"/>
    <cellStyle name="Вычисление 1 16 3 3 2" xfId="30886" xr:uid="{8C5211E5-4CEA-4540-AF0D-50A137C0B4C0}"/>
    <cellStyle name="Вычисление 1 16 3 3 3" xfId="44305" xr:uid="{0D06AC30-41A1-43D4-91EE-080CC2094690}"/>
    <cellStyle name="Вычисление 1 16 3 4" xfId="22628" xr:uid="{CD550306-0C72-4124-A7F9-7B47A26E72DE}"/>
    <cellStyle name="Вычисление 1 16 3 5" xfId="35681" xr:uid="{9EC4E676-C77D-42C9-BDFC-61C7A7ED347E}"/>
    <cellStyle name="Вычисление 1 16 4" xfId="5853" xr:uid="{ED0F1982-C275-4BCA-A956-5F7A73E3F52A}"/>
    <cellStyle name="Вычисление 1 16 4 2" xfId="9011" xr:uid="{8C4CA05E-06E9-4A52-9B07-BA48C97DA3D8}"/>
    <cellStyle name="Вычисление 1 16 4 2 2" xfId="12226" xr:uid="{525C4525-42D1-4229-BC2F-D6DDE9C3F705}"/>
    <cellStyle name="Вычисление 1 16 4 2 2 2" xfId="28909" xr:uid="{08DD9E41-43F8-491B-93C2-23BEB2075417}"/>
    <cellStyle name="Вычисление 1 16 4 2 2 3" xfId="42142" xr:uid="{0E654731-6622-4D5A-BA71-967705675A10}"/>
    <cellStyle name="Вычисление 1 16 4 2 3" xfId="26496" xr:uid="{F4E3FAAA-F466-47E9-B29B-AC7C236908C9}"/>
    <cellStyle name="Вычисление 1 16 4 2 4" xfId="39572" xr:uid="{82A3BC4F-ABD5-4590-83F4-C810F141A8E7}"/>
    <cellStyle name="Вычисление 1 16 4 3" xfId="11793" xr:uid="{EAD106BB-D1EC-4D12-889C-92A5E432F7AF}"/>
    <cellStyle name="Вычисление 1 16 4 3 2" xfId="28515" xr:uid="{2A39CBCE-4EAB-483B-BC04-AB431694102B}"/>
    <cellStyle name="Вычисление 1 16 4 3 3" xfId="41727" xr:uid="{8A5E2F05-2076-4B16-8828-FC58FD625C64}"/>
    <cellStyle name="Вычисление 1 16 4 4" xfId="23500" xr:uid="{34853360-712B-45A0-90DE-75619783F3E9}"/>
    <cellStyle name="Вычисление 1 16 4 5" xfId="36581" xr:uid="{FEC5DEB4-4973-4130-A985-1BB326EB126B}"/>
    <cellStyle name="Вычисление 1 16 5" xfId="11468" xr:uid="{986171D3-865B-4D13-822E-8D07ACD99D47}"/>
    <cellStyle name="Вычисление 1 16 5 2" xfId="28232" xr:uid="{BAD7867E-44DE-4ABD-B369-E1557DFE2419}"/>
    <cellStyle name="Вычисление 1 16 5 3" xfId="41427" xr:uid="{20CB9F12-5E80-4212-8A2C-F1A0D50F0568}"/>
    <cellStyle name="Вычисление 1 16 6" xfId="21765" xr:uid="{BD62E587-1D1A-468D-8B27-3468F783BD2B}"/>
    <cellStyle name="Вычисление 1 16 7" xfId="34816" xr:uid="{47EA7FB7-5FC0-429F-8E39-5DADD3A775CC}"/>
    <cellStyle name="Вычисление 1 17" xfId="3974" xr:uid="{34D19EFD-5F3E-4D96-8C8A-83F44757924F}"/>
    <cellStyle name="Вычисление 1 17 2" xfId="3269" xr:uid="{A13B9194-5B23-4BAA-A416-B5F270CDCDFC}"/>
    <cellStyle name="Вычисление 1 17 2 2" xfId="8549" xr:uid="{4093B3D0-D1FB-4B88-9AC5-BFDF05533F90}"/>
    <cellStyle name="Вычисление 1 17 2 2 2" xfId="10930" xr:uid="{728B3BF9-8CA1-4B36-8185-2302C08AB1AD}"/>
    <cellStyle name="Вычисление 1 17 2 2 2 2" xfId="27748" xr:uid="{8AAEB48A-6CA3-403A-A692-46285FF57457}"/>
    <cellStyle name="Вычисление 1 17 2 2 2 3" xfId="40910" xr:uid="{A6D000C5-9010-4A65-B0CB-B78B6E8C08C0}"/>
    <cellStyle name="Вычисление 1 17 2 2 3" xfId="26047" xr:uid="{D35D36D0-4B0E-49AD-9515-24E0A64E335E}"/>
    <cellStyle name="Вычисление 1 17 2 2 4" xfId="39123" xr:uid="{80D40464-4EF7-4B03-BEA2-A61B8E1323C7}"/>
    <cellStyle name="Вычисление 1 17 2 3" xfId="6924" xr:uid="{0176CE9B-F869-4B5E-A95E-D8F74B165CBF}"/>
    <cellStyle name="Вычисление 1 17 2 3 2" xfId="13305" xr:uid="{50D54836-5ADB-4DC2-94BC-C848C2664875}"/>
    <cellStyle name="Вычисление 1 17 2 3 2 2" xfId="29791" xr:uid="{9EF70974-862E-4E55-900A-7011187C766D}"/>
    <cellStyle name="Вычисление 1 17 2 3 2 3" xfId="43120" xr:uid="{6B1412FE-EB87-46AC-B115-C17BA78A55E4}"/>
    <cellStyle name="Вычисление 1 17 2 3 3" xfId="24546" xr:uid="{3047A4C2-0526-4F9B-A82E-41E3412E35E5}"/>
    <cellStyle name="Вычисление 1 17 2 3 4" xfId="37627" xr:uid="{4C38AB29-1180-4BDB-A570-D430D8DF8A9C}"/>
    <cellStyle name="Вычисление 1 17 2 4" xfId="13170" xr:uid="{D6AD86E6-A140-4466-9317-5CA5098A4785}"/>
    <cellStyle name="Вычисление 1 17 2 4 2" xfId="29681" xr:uid="{A1FB556F-E4E1-4AE6-B26E-4F2B97C6A2A0}"/>
    <cellStyle name="Вычисление 1 17 2 4 3" xfId="42994" xr:uid="{F6488D57-1A3B-45EC-8C5A-1C0346A9B8F4}"/>
    <cellStyle name="Вычисление 1 17 2 5" xfId="21298" xr:uid="{8CBF87BD-D2D2-4E08-9BC8-2754C006F797}"/>
    <cellStyle name="Вычисление 1 17 2 6" xfId="34321" xr:uid="{C9E0D573-C6CD-4298-B5C8-A3E051BBF20A}"/>
    <cellStyle name="Вычисление 1 17 3" xfId="4886" xr:uid="{B06712EC-43E5-44B3-9C57-CEB8BDB01EEB}"/>
    <cellStyle name="Вычисление 1 17 3 2" xfId="7554" xr:uid="{20EC0120-BA6B-43AC-82D7-625B6491AE26}"/>
    <cellStyle name="Вычисление 1 17 3 2 2" xfId="12225" xr:uid="{CAA69562-C76D-463E-9E9F-1C3DD349ABD2}"/>
    <cellStyle name="Вычисление 1 17 3 2 2 2" xfId="28908" xr:uid="{DFFCA84E-42DF-44FB-A298-DA48D60C0637}"/>
    <cellStyle name="Вычисление 1 17 3 2 2 3" xfId="42141" xr:uid="{5081B41B-B3D4-4FF5-A949-1EF2F89D6BB2}"/>
    <cellStyle name="Вычисление 1 17 3 2 3" xfId="25082" xr:uid="{0003D1B5-F869-4CAB-91B3-973F165CB87F}"/>
    <cellStyle name="Вычисление 1 17 3 2 4" xfId="38158" xr:uid="{7CAA1AFE-C57E-4EA5-925B-613587C2E958}"/>
    <cellStyle name="Вычисление 1 17 3 3" xfId="13899" xr:uid="{F39F0080-06B1-45F1-9BDE-3A4BBE7FF2EC}"/>
    <cellStyle name="Вычисление 1 17 3 3 2" xfId="30291" xr:uid="{52DDFF20-0EAE-41F8-B38D-3D9FA22AF4C5}"/>
    <cellStyle name="Вычисление 1 17 3 3 3" xfId="43664" xr:uid="{ECD430B3-EC7C-4415-8815-E0861ED00C03}"/>
    <cellStyle name="Вычисление 1 17 3 4" xfId="22683" xr:uid="{BB3C3359-C404-4D81-831C-69E5578BA516}"/>
    <cellStyle name="Вычисление 1 17 3 5" xfId="35736" xr:uid="{FCC49189-B1B0-4E75-B60E-47F6E3EC705E}"/>
    <cellStyle name="Вычисление 1 17 4" xfId="5908" xr:uid="{82027290-CA21-46C1-9D79-08ACEAEAA457}"/>
    <cellStyle name="Вычисление 1 17 4 2" xfId="9068" xr:uid="{FCD13C1B-5E6C-42DF-BBDC-43E637EDCBFE}"/>
    <cellStyle name="Вычисление 1 17 4 2 2" xfId="14055" xr:uid="{40BED3AC-D75B-4C78-8A06-3D6DE6098181}"/>
    <cellStyle name="Вычисление 1 17 4 2 2 2" xfId="30425" xr:uid="{B02C625F-5207-4398-8C19-F71B959F21E9}"/>
    <cellStyle name="Вычисление 1 17 4 2 2 3" xfId="43808" xr:uid="{B3DBF091-CEB0-4822-A8A2-D3983E35BBAC}"/>
    <cellStyle name="Вычисление 1 17 4 2 3" xfId="26549" xr:uid="{F99078C6-2573-4838-8732-B72581A76721}"/>
    <cellStyle name="Вычисление 1 17 4 2 4" xfId="39625" xr:uid="{82720FBE-5F75-4FF8-96BA-1D294E54190E}"/>
    <cellStyle name="Вычисление 1 17 4 3" xfId="13225" xr:uid="{78B7809D-C4F1-4301-AF15-02E8DF236578}"/>
    <cellStyle name="Вычисление 1 17 4 3 2" xfId="29724" xr:uid="{5785C6CA-E9B4-4F5E-9960-3315D8B76AE4}"/>
    <cellStyle name="Вычисление 1 17 4 3 3" xfId="43044" xr:uid="{C4A30A1E-CC9A-4647-BBAB-D30417E3E451}"/>
    <cellStyle name="Вычисление 1 17 4 4" xfId="23555" xr:uid="{03A40468-23A3-4493-9EFC-14A701F4A923}"/>
    <cellStyle name="Вычисление 1 17 4 5" xfId="36636" xr:uid="{BC18DEA2-C73F-463E-BD20-A8C90D738E23}"/>
    <cellStyle name="Вычисление 1 17 5" xfId="11098" xr:uid="{EC08E81F-5E3A-45DE-B980-CD4B29CEF1CA}"/>
    <cellStyle name="Вычисление 1 17 5 2" xfId="27899" xr:uid="{0D29963D-2DF8-4E49-8938-6A7C51FC35A7}"/>
    <cellStyle name="Вычисление 1 17 5 3" xfId="41077" xr:uid="{E87BE99F-EEA5-4EE0-9E70-5BC0E71520FF}"/>
    <cellStyle name="Вычисление 1 17 6" xfId="21821" xr:uid="{E490DE33-C9C3-48A7-93A5-E6F38147EE66}"/>
    <cellStyle name="Вычисление 1 17 7" xfId="34871" xr:uid="{FACBCFAB-940F-4349-91F4-E05551AB7DA4}"/>
    <cellStyle name="Вычисление 1 18" xfId="3879" xr:uid="{7D862CD2-2BF0-4E3D-AC3F-90845BCC3F48}"/>
    <cellStyle name="Вычисление 1 18 2" xfId="3136" xr:uid="{F8B1F928-8FDB-4B32-8250-B33AC8DEAD73}"/>
    <cellStyle name="Вычисление 1 18 2 2" xfId="8428" xr:uid="{C1F5D146-79EF-4706-909E-C78D33E16ED3}"/>
    <cellStyle name="Вычисление 1 18 2 2 2" xfId="14174" xr:uid="{97521A50-C29D-4BE5-B1A1-A8DF60A3DC52}"/>
    <cellStyle name="Вычисление 1 18 2 2 2 2" xfId="30528" xr:uid="{09144C4D-AD0E-4EB3-95CF-8252C74DD1AB}"/>
    <cellStyle name="Вычисление 1 18 2 2 2 3" xfId="43914" xr:uid="{36CD73B2-86EA-484A-9B04-7C3DE60E3647}"/>
    <cellStyle name="Вычисление 1 18 2 2 3" xfId="25930" xr:uid="{67D5BCD4-A6D8-44F6-92B1-20CF26FB4325}"/>
    <cellStyle name="Вычисление 1 18 2 2 4" xfId="39006" xr:uid="{03C9B8D6-64FA-4EBA-B483-272A78312EFB}"/>
    <cellStyle name="Вычисление 1 18 2 3" xfId="6795" xr:uid="{EEA220F2-A1BA-4136-912C-27B9C17FE712}"/>
    <cellStyle name="Вычисление 1 18 2 3 2" xfId="15222" xr:uid="{230D04DA-EE60-4302-94C6-3A13D0C5E4AA}"/>
    <cellStyle name="Вычисление 1 18 2 3 2 2" xfId="31399" xr:uid="{EC3EDF5C-287A-4F92-83A9-E4175330D51A}"/>
    <cellStyle name="Вычисление 1 18 2 3 2 3" xfId="44873" xr:uid="{18CBB865-5338-466F-920E-691F0FFC542F}"/>
    <cellStyle name="Вычисление 1 18 2 3 3" xfId="24421" xr:uid="{CB4CFF8C-4468-4B6F-A7A9-BD0287901D49}"/>
    <cellStyle name="Вычисление 1 18 2 3 4" xfId="37502" xr:uid="{9E0D72AD-B71A-4239-865F-3D0E5B697B08}"/>
    <cellStyle name="Вычисление 1 18 2 4" xfId="15303" xr:uid="{008E5AB3-2B78-4201-AC9A-9CC31D116FE8}"/>
    <cellStyle name="Вычисление 1 18 2 4 2" xfId="31470" xr:uid="{0F96A02F-EF3B-46A2-ACC5-85F70458C341}"/>
    <cellStyle name="Вычисление 1 18 2 4 3" xfId="44951" xr:uid="{6720222A-5B8A-4C13-95D8-59469A61325A}"/>
    <cellStyle name="Вычисление 1 18 2 5" xfId="21173" xr:uid="{6007D232-AD96-476F-A934-6D08D9B789D2}"/>
    <cellStyle name="Вычисление 1 18 2 6" xfId="34196" xr:uid="{88D326B2-F733-4608-992C-023435712E1A}"/>
    <cellStyle name="Вычисление 1 18 3" xfId="4816" xr:uid="{0D8C174C-8E18-4AB2-986E-5CADBDA54A00}"/>
    <cellStyle name="Вычисление 1 18 3 2" xfId="7460" xr:uid="{23DDC322-9188-4F2E-9AEB-EA5200CF688F}"/>
    <cellStyle name="Вычисление 1 18 3 2 2" xfId="16021" xr:uid="{A5C34385-AA4F-4298-99A6-22E4215E503C}"/>
    <cellStyle name="Вычисление 1 18 3 2 2 2" xfId="32088" xr:uid="{8C1CF8BD-4922-4357-8DE8-12EFBC828B99}"/>
    <cellStyle name="Вычисление 1 18 3 2 2 3" xfId="45607" xr:uid="{4B7D24CC-897C-4311-94AC-207A6EA6B68B}"/>
    <cellStyle name="Вычисление 1 18 3 2 3" xfId="25017" xr:uid="{87062CE3-89E9-4921-B0A0-26E3C02599E1}"/>
    <cellStyle name="Вычисление 1 18 3 2 4" xfId="38093" xr:uid="{1D025C92-46F3-4D7C-971B-FB3769A17ADA}"/>
    <cellStyle name="Вычисление 1 18 3 3" xfId="15390" xr:uid="{D3FD8DA0-19CB-4E88-A9D0-24AAD56B771E}"/>
    <cellStyle name="Вычисление 1 18 3 3 2" xfId="31544" xr:uid="{F8835177-AF65-4CD4-9B85-F6340A45426E}"/>
    <cellStyle name="Вычисление 1 18 3 3 3" xfId="45032" xr:uid="{12602A7D-45D5-4265-86A7-590FBFCAD97E}"/>
    <cellStyle name="Вычисление 1 18 3 4" xfId="22618" xr:uid="{D1EFBFA9-14AB-474D-9B41-2E8929570678}"/>
    <cellStyle name="Вычисление 1 18 3 5" xfId="35671" xr:uid="{0205E028-9BA7-48A4-9B03-39B9C4B203D0}"/>
    <cellStyle name="Вычисление 1 18 4" xfId="5843" xr:uid="{4F6ED8D0-AE94-4F89-9B14-384981C867BA}"/>
    <cellStyle name="Вычисление 1 18 4 2" xfId="9001" xr:uid="{EBECDD5D-31F9-415D-8DB9-6210A51039A1}"/>
    <cellStyle name="Вычисление 1 18 4 2 2" xfId="13992" xr:uid="{15BF2A2D-837A-422E-A831-FD18DE596576}"/>
    <cellStyle name="Вычисление 1 18 4 2 2 2" xfId="30377" xr:uid="{7F986D79-471A-4B38-A546-2EAB682F45F1}"/>
    <cellStyle name="Вычисление 1 18 4 2 2 3" xfId="43755" xr:uid="{28275D15-7082-4C62-9F46-4E5828C9F759}"/>
    <cellStyle name="Вычисление 1 18 4 2 3" xfId="26486" xr:uid="{E2C9C9D7-02DC-4598-A29A-E1FEAA602350}"/>
    <cellStyle name="Вычисление 1 18 4 2 4" xfId="39562" xr:uid="{7790E42B-6CBA-4218-A13D-5D9983950246}"/>
    <cellStyle name="Вычисление 1 18 4 3" xfId="11359" xr:uid="{D57C6C9C-C0A1-4D87-B9AE-B93AF9323B1F}"/>
    <cellStyle name="Вычисление 1 18 4 3 2" xfId="28138" xr:uid="{7AE18FC8-BC7E-45A4-BAC4-28875FFA6940}"/>
    <cellStyle name="Вычисление 1 18 4 3 3" xfId="41326" xr:uid="{BB6D22CF-A3CB-4308-ABE2-2C67A3B38108}"/>
    <cellStyle name="Вычисление 1 18 4 4" xfId="23490" xr:uid="{BFEAAB49-080B-4FF1-B0FB-435F6236271C}"/>
    <cellStyle name="Вычисление 1 18 4 5" xfId="36571" xr:uid="{D9CB31C5-662D-4B40-A7C3-8FDE5D09FC37}"/>
    <cellStyle name="Вычисление 1 18 5" xfId="16091" xr:uid="{3D103121-C0CF-46C5-B475-ED7EC595ED7D}"/>
    <cellStyle name="Вычисление 1 18 5 2" xfId="32150" xr:uid="{7F5BC9A8-F85F-42AD-9DD9-88A17D0AB4A5}"/>
    <cellStyle name="Вычисление 1 18 5 3" xfId="45671" xr:uid="{69DB6CF5-1E3B-4EE8-AA38-3FBDA9DD3818}"/>
    <cellStyle name="Вычисление 1 18 6" xfId="21755" xr:uid="{4EA0626D-933A-4856-B34C-CC7EE9677A83}"/>
    <cellStyle name="Вычисление 1 18 7" xfId="34806" xr:uid="{A47E6627-6198-406F-95A9-88FDD2AD3DFD}"/>
    <cellStyle name="Вычисление 1 19" xfId="3986" xr:uid="{7F66274D-0CDC-4757-A388-83EF73241148}"/>
    <cellStyle name="Вычисление 1 19 2" xfId="3226" xr:uid="{FE3604B9-E3F9-494E-84DF-FE9922C067B8}"/>
    <cellStyle name="Вычисление 1 19 2 2" xfId="8517" xr:uid="{840FF6CF-ABE6-487F-A252-D6623DBA2BAD}"/>
    <cellStyle name="Вычисление 1 19 2 2 2" xfId="10702" xr:uid="{780241E1-04ED-4BEA-8A74-28C663C18C38}"/>
    <cellStyle name="Вычисление 1 19 2 2 2 2" xfId="27547" xr:uid="{0B58DE53-9027-4EA3-9F0F-0D1CBA599D27}"/>
    <cellStyle name="Вычисление 1 19 2 2 2 3" xfId="40683" xr:uid="{02D1A071-42AC-40F9-A459-9C26F6CBACAF}"/>
    <cellStyle name="Вычисление 1 19 2 2 3" xfId="26016" xr:uid="{AAB627F2-CD77-4A89-A493-8673920A075A}"/>
    <cellStyle name="Вычисление 1 19 2 2 4" xfId="39092" xr:uid="{71E1F260-DE24-4084-8493-4E4422DDFB49}"/>
    <cellStyle name="Вычисление 1 19 2 3" xfId="6885" xr:uid="{FC173948-288E-466A-8483-854B5A261E05}"/>
    <cellStyle name="Вычисление 1 19 2 3 2" xfId="13625" xr:uid="{C2EABE59-A99D-4620-B5B2-4C0BB04CF448}"/>
    <cellStyle name="Вычисление 1 19 2 3 2 2" xfId="30061" xr:uid="{39A12FFF-8EE0-49EC-B8EA-7BEA5208821D}"/>
    <cellStyle name="Вычисление 1 19 2 3 2 3" xfId="43416" xr:uid="{69EF0AD1-9DF9-4F74-88DC-37904B6BB6AC}"/>
    <cellStyle name="Вычисление 1 19 2 3 3" xfId="24508" xr:uid="{5E66FB7A-3D20-4AAA-8F69-A133349406FB}"/>
    <cellStyle name="Вычисление 1 19 2 3 4" xfId="37589" xr:uid="{272DFD58-F613-4B21-B4B3-09A3986D23E7}"/>
    <cellStyle name="Вычисление 1 19 2 4" xfId="13430" xr:uid="{DCA4479D-031E-40A6-9322-EADAA9AC42A0}"/>
    <cellStyle name="Вычисление 1 19 2 4 2" xfId="29895" xr:uid="{F997780B-AE5D-42E2-B8E6-2DA487AEAEFA}"/>
    <cellStyle name="Вычисление 1 19 2 4 3" xfId="43233" xr:uid="{11D86C4E-8591-4F07-9B35-AEF33E0A6A27}"/>
    <cellStyle name="Вычисление 1 19 2 5" xfId="21260" xr:uid="{7D496AE2-0D1B-40A5-865F-4BBD21FB4AF3}"/>
    <cellStyle name="Вычисление 1 19 2 6" xfId="34283" xr:uid="{095EBA76-8FCC-4561-A0DF-6F5162A00D1F}"/>
    <cellStyle name="Вычисление 1 19 3" xfId="4898" xr:uid="{6674F678-8961-4CEC-A5F4-41B925CF27B7}"/>
    <cellStyle name="Вычисление 1 19 3 2" xfId="7566" xr:uid="{1C7FF431-0FEE-495A-8D41-A6CCA2EB34FD}"/>
    <cellStyle name="Вычисление 1 19 3 2 2" xfId="14278" xr:uid="{09932021-E16B-4BFF-BC75-8BCC8C286660}"/>
    <cellStyle name="Вычисление 1 19 3 2 2 2" xfId="30618" xr:uid="{98FA14D7-1CD2-4CC9-8B02-BE426E71ABD5}"/>
    <cellStyle name="Вычисление 1 19 3 2 2 3" xfId="44011" xr:uid="{76C2E3E1-2634-4EF3-8D35-09D428AA399F}"/>
    <cellStyle name="Вычисление 1 19 3 2 3" xfId="25094" xr:uid="{7AECF5D7-0DAA-4C70-8BE7-61DF94AE7329}"/>
    <cellStyle name="Вычисление 1 19 3 2 4" xfId="38170" xr:uid="{16010453-9046-488B-9B98-325C594EE0EF}"/>
    <cellStyle name="Вычисление 1 19 3 3" xfId="15902" xr:uid="{3600F6DE-ACE8-4620-8D7A-9038390DB4C4}"/>
    <cellStyle name="Вычисление 1 19 3 3 2" xfId="31985" xr:uid="{B93558A3-19D3-4FC8-8F44-D872AFA16C08}"/>
    <cellStyle name="Вычисление 1 19 3 3 3" xfId="45501" xr:uid="{A2A87E6A-3F18-4C0D-AF02-937348ED429E}"/>
    <cellStyle name="Вычисление 1 19 3 4" xfId="22695" xr:uid="{3A6841BB-2F18-4E2F-B467-D436EBD16383}"/>
    <cellStyle name="Вычисление 1 19 3 5" xfId="35748" xr:uid="{E3D83AD7-C527-4F7A-9200-65643301A454}"/>
    <cellStyle name="Вычисление 1 19 4" xfId="5920" xr:uid="{7BEAAC60-4718-4872-8810-7876A8E458E2}"/>
    <cellStyle name="Вычисление 1 19 4 2" xfId="9080" xr:uid="{2E466C55-9997-4950-BFAC-095945F4CBB9}"/>
    <cellStyle name="Вычисление 1 19 4 2 2" xfId="11829" xr:uid="{6D981A1A-2779-4116-BA69-09A15128B558}"/>
    <cellStyle name="Вычисление 1 19 4 2 2 2" xfId="28549" xr:uid="{5AB6C996-9516-4B0A-9BA7-1AE836F82A60}"/>
    <cellStyle name="Вычисление 1 19 4 2 2 3" xfId="41762" xr:uid="{3B798234-7E4B-41BB-832B-30CDCBD0E6B6}"/>
    <cellStyle name="Вычисление 1 19 4 2 3" xfId="26561" xr:uid="{C4C58D6B-CD46-4D4B-9089-37E72132456A}"/>
    <cellStyle name="Вычисление 1 19 4 2 4" xfId="39637" xr:uid="{EF9D4ECB-6338-4F70-8BF8-63363F8EAB7E}"/>
    <cellStyle name="Вычисление 1 19 4 3" xfId="15097" xr:uid="{D9BE97B7-6C98-44E4-94C8-0286600A8CC6}"/>
    <cellStyle name="Вычисление 1 19 4 3 2" xfId="31303" xr:uid="{6C90E525-728C-49A4-910C-5F42B4464412}"/>
    <cellStyle name="Вычисление 1 19 4 3 3" xfId="44764" xr:uid="{5D722B5B-01D6-4079-93A3-C22513863D1D}"/>
    <cellStyle name="Вычисление 1 19 4 4" xfId="23567" xr:uid="{0931EBE5-C8AE-44CA-A557-6C4EC862CC47}"/>
    <cellStyle name="Вычисление 1 19 4 5" xfId="36648" xr:uid="{59F94368-A81D-4C3B-B217-2FB910C0BC0A}"/>
    <cellStyle name="Вычисление 1 19 5" xfId="12058" xr:uid="{6B7F76B6-BA7C-4BD6-BC75-9BB3C0CE113E}"/>
    <cellStyle name="Вычисление 1 19 5 2" xfId="28758" xr:uid="{834441FF-D364-40E3-AEC7-8275DD052C18}"/>
    <cellStyle name="Вычисление 1 19 5 3" xfId="41978" xr:uid="{385AC9A1-F115-44B2-B708-FD8EDA479A87}"/>
    <cellStyle name="Вычисление 1 19 6" xfId="21833" xr:uid="{7315FDAC-9D99-4EF1-B488-5DBDD6C4D415}"/>
    <cellStyle name="Вычисление 1 19 7" xfId="34883" xr:uid="{26091D6D-0AA6-43C6-A914-A1C0E120C8B8}"/>
    <cellStyle name="Вычисление 1 2" xfId="3446" xr:uid="{22F9BF53-8A63-4B2A-A984-709EC4BCD5B8}"/>
    <cellStyle name="Вычисление 1 2 10" xfId="20498" xr:uid="{B295011D-88B1-4F8D-A645-B857797BCFB2}"/>
    <cellStyle name="Вычисление 1 2 11" xfId="34462" xr:uid="{FEDDD675-F3C4-4793-8FFD-3AB8C9717ADA}"/>
    <cellStyle name="Вычисление 1 2 2" xfId="2788" xr:uid="{1E4BC653-627C-4782-BB92-B211EB7AD758}"/>
    <cellStyle name="Вычисление 1 2 2 2" xfId="5111" xr:uid="{AFE5D836-72CE-488E-BD49-65B823B9FD10}"/>
    <cellStyle name="Вычисление 1 2 2 2 2" xfId="8084" xr:uid="{66633325-2787-4B44-A918-D5DBB651DFC5}"/>
    <cellStyle name="Вычисление 1 2 2 2 2 2" xfId="10818" xr:uid="{0C8B0E89-F6C4-4318-AAC2-880DB7E2F870}"/>
    <cellStyle name="Вычисление 1 2 2 2 2 2 2" xfId="27650" xr:uid="{8319C8C1-F4DC-40AE-BE36-A8866CC26386}"/>
    <cellStyle name="Вычисление 1 2 2 2 2 2 3" xfId="40799" xr:uid="{4E563F05-559F-4D6D-A749-400FAA607A5D}"/>
    <cellStyle name="Вычисление 1 2 2 2 2 3" xfId="25595" xr:uid="{1FCC7C14-1035-4857-B0F2-E2E989DAB719}"/>
    <cellStyle name="Вычисление 1 2 2 2 2 4" xfId="38671" xr:uid="{B041C6E6-79AB-452A-B894-3D1B0D514564}"/>
    <cellStyle name="Вычисление 1 2 2 2 3" xfId="14189" xr:uid="{B7DCF06D-A9D1-44EF-A37C-EB5B4CDB0D63}"/>
    <cellStyle name="Вычисление 1 2 2 2 3 2" xfId="30538" xr:uid="{F5CCA781-4587-48C0-AA7F-1DF2EAE91A9A}"/>
    <cellStyle name="Вычисление 1 2 2 2 3 3" xfId="43926" xr:uid="{1F2B3426-CD2B-4118-AB6C-B1A2DC00D9BF}"/>
    <cellStyle name="Вычисление 1 2 2 2 4" xfId="22835" xr:uid="{C6CDB420-E187-4570-B462-DD890D816A80}"/>
    <cellStyle name="Вычисление 1 2 2 2 5" xfId="35904" xr:uid="{D1B236BF-822A-4543-BC0F-BA736651A247}"/>
    <cellStyle name="Вычисление 1 2 2 3" xfId="6451" xr:uid="{5FDE3737-989B-426F-90BD-4CA144725942}"/>
    <cellStyle name="Вычисление 1 2 2 3 2" xfId="16814" xr:uid="{ADAE2E49-BA86-42CA-AB03-7E69E39FF118}"/>
    <cellStyle name="Вычисление 1 2 2 3 2 2" xfId="32694" xr:uid="{0450BEDE-BB3C-40A4-ABFB-25F03474FC2A}"/>
    <cellStyle name="Вычисление 1 2 2 3 2 3" xfId="46357" xr:uid="{DB99DDE1-3FB8-4260-A20D-CC677FAC4DFF}"/>
    <cellStyle name="Вычисление 1 2 2 3 3" xfId="24086" xr:uid="{29F25D0D-1338-4447-A136-1CBA55FE0D6D}"/>
    <cellStyle name="Вычисление 1 2 2 3 4" xfId="37167" xr:uid="{C49D8066-5D11-46C0-8E2C-CEFD70B409A7}"/>
    <cellStyle name="Вычисление 1 2 2 4" xfId="15157" xr:uid="{E1641F9B-9CEB-487D-9FC4-F8A7561D7A54}"/>
    <cellStyle name="Вычисление 1 2 2 4 2" xfId="31352" xr:uid="{05EA310F-4A21-4EB3-8976-9531B9D7BDCE}"/>
    <cellStyle name="Вычисление 1 2 2 4 3" xfId="44817" xr:uid="{411BF207-E109-46D1-BB6C-E42F3561826C}"/>
    <cellStyle name="Вычисление 1 2 2 5" xfId="20838" xr:uid="{B28AFABA-6835-462E-8F91-5A129F3A9474}"/>
    <cellStyle name="Вычисление 1 2 2 6" xfId="33861" xr:uid="{5B1273AA-04BD-4598-8DF7-DFE019A0CDF7}"/>
    <cellStyle name="Вычисление 1 2 3" xfId="4166" xr:uid="{E504BFDF-FF81-4FCA-AA96-6EECBEF975A4}"/>
    <cellStyle name="Вычисление 1 2 3 2" xfId="5206" xr:uid="{A369CFAF-57E6-4D7F-ACBC-1D9355A51C8C}"/>
    <cellStyle name="Вычисление 1 2 3 2 2" xfId="9218" xr:uid="{649F73F6-DBD2-4B4B-AA0C-7977030C7FD1}"/>
    <cellStyle name="Вычисление 1 2 3 2 2 2" xfId="13063" xr:uid="{36017B6F-36D7-4614-8FC0-90B19A493516}"/>
    <cellStyle name="Вычисление 1 2 3 2 2 2 2" xfId="29588" xr:uid="{1AFEF416-1D53-4A8F-8D66-8B4484FB56AE}"/>
    <cellStyle name="Вычисление 1 2 3 2 2 2 3" xfId="42893" xr:uid="{941D30FD-A265-4276-A453-1B0EF2E29414}"/>
    <cellStyle name="Вычисление 1 2 3 2 2 3" xfId="26693" xr:uid="{0D8BE227-12F2-4489-9948-B71EEA6CB5D3}"/>
    <cellStyle name="Вычисление 1 2 3 2 2 4" xfId="39769" xr:uid="{98BFCE39-0C93-4206-BB2B-369E510A7942}"/>
    <cellStyle name="Вычисление 1 2 3 2 3" xfId="13593" xr:uid="{8E7EFF32-8236-472F-A677-CFE7928C02BD}"/>
    <cellStyle name="Вычисление 1 2 3 2 3 2" xfId="30033" xr:uid="{2D1A3788-D4D6-4DB1-825C-86F3B5DDE22E}"/>
    <cellStyle name="Вычисление 1 2 3 2 3 3" xfId="43385" xr:uid="{A964F88E-F963-44F4-992A-8D1FB5DAC865}"/>
    <cellStyle name="Вычисление 1 2 3 2 4" xfId="22881" xr:uid="{6253C0A7-ABB3-436F-81F9-1EB79FB710EC}"/>
    <cellStyle name="Вычисление 1 2 3 2 5" xfId="35950" xr:uid="{A71879EF-3AEE-4E71-9173-2CAD34EC4FC5}"/>
    <cellStyle name="Вычисление 1 2 3 3" xfId="7730" xr:uid="{8C377216-4A77-4AFE-98E0-010B1FBF58B5}"/>
    <cellStyle name="Вычисление 1 2 3 3 2" xfId="11551" xr:uid="{804D1535-B483-4BEB-AF42-35D091A09294}"/>
    <cellStyle name="Вычисление 1 2 3 3 2 2" xfId="28308" xr:uid="{818F347E-438E-4E5A-8212-2CD582BC6AF7}"/>
    <cellStyle name="Вычисление 1 2 3 3 2 3" xfId="41506" xr:uid="{605CBB40-A037-4D25-9108-46FAA8198CF3}"/>
    <cellStyle name="Вычисление 1 2 3 3 3" xfId="25252" xr:uid="{821B9708-1F98-4209-9A0C-BD780023A157}"/>
    <cellStyle name="Вычисление 1 2 3 3 4" xfId="38328" xr:uid="{F58D12DF-962D-443A-8C5C-EB9A8059C691}"/>
    <cellStyle name="Вычисление 1 2 3 4" xfId="15489" xr:uid="{F03B0B87-476E-41CA-9091-6FFED3CA86DD}"/>
    <cellStyle name="Вычисление 1 2 3 4 2" xfId="31628" xr:uid="{2D0DC30D-F99B-4C88-9BDF-D0EA2F34B8A3}"/>
    <cellStyle name="Вычисление 1 2 3 4 3" xfId="45125" xr:uid="{9EC2EABC-57A7-4545-95A1-74AADAAD6828}"/>
    <cellStyle name="Вычисление 1 2 3 5" xfId="21993" xr:uid="{AF11BE99-2B6C-42D7-847C-1569510D646D}"/>
    <cellStyle name="Вычисление 1 2 3 6" xfId="35042" xr:uid="{47C5818B-6B87-468F-BCDE-7CEECF965010}"/>
    <cellStyle name="Вычисление 1 2 4" xfId="2627" xr:uid="{579154C2-A5A2-4582-B56B-549DCB828C3A}"/>
    <cellStyle name="Вычисление 1 2 4 2" xfId="5013" xr:uid="{C740FC08-7BD2-4C01-900A-F37D6BEF1463}"/>
    <cellStyle name="Вычисление 1 2 4 2 2" xfId="7924" xr:uid="{8D1671C5-10DC-4283-8B17-6FEEFCAA8D94}"/>
    <cellStyle name="Вычисление 1 2 4 2 2 2" xfId="10807" xr:uid="{AC9495A6-5967-4C43-9E79-42F9B913F8C9}"/>
    <cellStyle name="Вычисление 1 2 4 2 2 2 2" xfId="27640" xr:uid="{4CCAB410-9FD2-493A-8524-C68A870F9CBD}"/>
    <cellStyle name="Вычисление 1 2 4 2 2 2 3" xfId="40788" xr:uid="{8E8A5495-EFB8-45DC-9A4A-C356AA32D001}"/>
    <cellStyle name="Вычисление 1 2 4 2 2 3" xfId="25440" xr:uid="{F79D4A96-AD95-493D-9D3E-A920E49AAC55}"/>
    <cellStyle name="Вычисление 1 2 4 2 2 4" xfId="38516" xr:uid="{33FC59AA-8CB2-4E2B-8B72-3F386D78FF2F}"/>
    <cellStyle name="Вычисление 1 2 4 2 3" xfId="13590" xr:uid="{809FED7D-D09D-4483-B1C2-DD80222879F5}"/>
    <cellStyle name="Вычисление 1 2 4 2 3 2" xfId="30030" xr:uid="{868FF8D2-A730-4C5C-913A-7ADFC8A84BD7}"/>
    <cellStyle name="Вычисление 1 2 4 2 3 3" xfId="43382" xr:uid="{8501054F-9FDE-4C14-8C6A-0F2E831636A8}"/>
    <cellStyle name="Вычисление 1 2 4 2 4" xfId="22777" xr:uid="{16F980C3-9AA2-4C9E-AB8B-E399444E22B4}"/>
    <cellStyle name="Вычисление 1 2 4 2 5" xfId="35837" xr:uid="{70F4B32D-778B-437F-AB05-FC415EA1D377}"/>
    <cellStyle name="Вычисление 1 2 4 3" xfId="6291" xr:uid="{F27BE884-DB68-493B-89D8-91E14BDA8B32}"/>
    <cellStyle name="Вычисление 1 2 4 3 2" xfId="10991" xr:uid="{C0150BDC-9A53-4925-8C23-B3FBDDF94368}"/>
    <cellStyle name="Вычисление 1 2 4 3 2 2" xfId="27798" xr:uid="{802701CB-42AA-4ECC-81AF-46FA0B6B1D05}"/>
    <cellStyle name="Вычисление 1 2 4 3 2 3" xfId="40971" xr:uid="{CDA028F8-1F3E-4EA2-BC46-A40E78AA6C38}"/>
    <cellStyle name="Вычисление 1 2 4 3 3" xfId="23931" xr:uid="{84C5BF45-899A-481A-8550-A9779CBA910F}"/>
    <cellStyle name="Вычисление 1 2 4 3 4" xfId="37012" xr:uid="{C67BFFB1-A9AA-4516-9F5C-48AA015F5C72}"/>
    <cellStyle name="Вычисление 1 2 4 4" xfId="15103" xr:uid="{6D038602-26C4-4BCE-B00A-6D180C1B2629}"/>
    <cellStyle name="Вычисление 1 2 4 4 2" xfId="31309" xr:uid="{76EA1E94-0446-4A1E-84C7-BEA96A69C3CB}"/>
    <cellStyle name="Вычисление 1 2 4 4 3" xfId="44770" xr:uid="{049CC9ED-4C4B-45A8-B902-FDB555A9AF8A}"/>
    <cellStyle name="Вычисление 1 2 4 5" xfId="20683" xr:uid="{D7ABB246-B752-4AB6-98B9-6D03428878BD}"/>
    <cellStyle name="Вычисление 1 2 4 6" xfId="33706" xr:uid="{2170FEBF-6408-465A-9D96-CB537600C8D6}"/>
    <cellStyle name="Вычисление 1 2 5" xfId="4230" xr:uid="{F136D4D2-289A-406B-9402-297F2F0E7303}"/>
    <cellStyle name="Вычисление 1 2 5 2" xfId="5228" xr:uid="{C2612D58-6115-4A1F-BE9B-D3F43816DFB0}"/>
    <cellStyle name="Вычисление 1 2 5 2 2" xfId="9282" xr:uid="{4143FFC9-0FD4-4A13-8921-640322DA7C9B}"/>
    <cellStyle name="Вычисление 1 2 5 2 2 2" xfId="14857" xr:uid="{58DB50B9-F452-4670-B250-521D57D00167}"/>
    <cellStyle name="Вычисление 1 2 5 2 2 2 2" xfId="31113" xr:uid="{A74B1F33-F71E-4FE6-8D84-9E5761989D5E}"/>
    <cellStyle name="Вычисление 1 2 5 2 2 2 3" xfId="44552" xr:uid="{B7E1E7F2-7BE6-49AC-BF66-9A2D0BAB9727}"/>
    <cellStyle name="Вычисление 1 2 5 2 2 3" xfId="26755" xr:uid="{C2248031-E32D-4443-BDDF-DE208E524DD2}"/>
    <cellStyle name="Вычисление 1 2 5 2 2 4" xfId="39831" xr:uid="{7FEEFB76-B747-49DF-BA9C-1F4D4058CA41}"/>
    <cellStyle name="Вычисление 1 2 5 2 3" xfId="11566" xr:uid="{B6C66C12-84A3-45FF-8E6A-80F6C9A2B0F7}"/>
    <cellStyle name="Вычисление 1 2 5 2 3 2" xfId="28321" xr:uid="{BABE0F15-DB4A-44FF-89C3-817E01BE1DD8}"/>
    <cellStyle name="Вычисление 1 2 5 2 3 3" xfId="41520" xr:uid="{560D1F9B-34ED-433F-95A4-7DDCD501AD05}"/>
    <cellStyle name="Вычисление 1 2 5 2 4" xfId="22895" xr:uid="{DE2B7873-B8E1-4DBF-AB04-51551B8F8B70}"/>
    <cellStyle name="Вычисление 1 2 5 2 5" xfId="35968" xr:uid="{F398A1EB-C08D-4A2A-9B39-FEC9DCC69346}"/>
    <cellStyle name="Вычисление 1 2 5 3" xfId="7794" xr:uid="{2798D3B7-C8D5-4D89-955F-42D55B786DE9}"/>
    <cellStyle name="Вычисление 1 2 5 3 2" xfId="13776" xr:uid="{8D7CA257-9245-4BFA-88F2-E5321642185A}"/>
    <cellStyle name="Вычисление 1 2 5 3 2 2" xfId="30185" xr:uid="{4059BE47-A5BE-4216-BA40-1F8ECBA172EC}"/>
    <cellStyle name="Вычисление 1 2 5 3 2 3" xfId="43549" xr:uid="{4F8BBF28-897D-4DF2-9C8F-781B2EDF113B}"/>
    <cellStyle name="Вычисление 1 2 5 3 3" xfId="25314" xr:uid="{FE83F7E2-E8B3-4548-AA0A-F4499A530082}"/>
    <cellStyle name="Вычисление 1 2 5 3 4" xfId="38390" xr:uid="{FEA453E0-486A-4A7B-ABA4-2F3027D3042D}"/>
    <cellStyle name="Вычисление 1 2 5 4" xfId="15587" xr:uid="{1C5DE507-3F38-41CA-AD7E-ACF1E0FF1F56}"/>
    <cellStyle name="Вычисление 1 2 5 4 2" xfId="31714" xr:uid="{DE7FB44F-27C3-4573-9F6E-397A9467B452}"/>
    <cellStyle name="Вычисление 1 2 5 4 3" xfId="45216" xr:uid="{6D506951-183E-4D03-B12E-832C099E5F1C}"/>
    <cellStyle name="Вычисление 1 2 5 5" xfId="22055" xr:uid="{3EF5456C-102F-40C9-A62F-174CC01C00AA}"/>
    <cellStyle name="Вычисление 1 2 5 6" xfId="35104" xr:uid="{2189EBF1-35BD-496B-871A-A54D4BB7E261}"/>
    <cellStyle name="Вычисление 1 2 6" xfId="4448" xr:uid="{CB0D8951-B93F-49BF-820F-8D773E3C3E70}"/>
    <cellStyle name="Вычисление 1 2 6 2" xfId="7088" xr:uid="{FD0D3E6E-FF6C-4E52-9D43-8C2269001A4F}"/>
    <cellStyle name="Вычисление 1 2 6 2 2" xfId="11004" xr:uid="{5ED57B76-F46C-4B24-AD92-98A77D9F8ED6}"/>
    <cellStyle name="Вычисление 1 2 6 2 2 2" xfId="27811" xr:uid="{85B5FD4B-D46A-4EBD-9440-49C6611E49F5}"/>
    <cellStyle name="Вычисление 1 2 6 2 2 3" xfId="40984" xr:uid="{E43372A2-C302-44B4-B553-025F7D6680A3}"/>
    <cellStyle name="Вычисление 1 2 6 2 3" xfId="24687" xr:uid="{8B9AADFF-BEA8-47FB-98CE-49ED695E3830}"/>
    <cellStyle name="Вычисление 1 2 6 2 4" xfId="37768" xr:uid="{30038B9D-91EE-47FE-B131-9B965F15FD13}"/>
    <cellStyle name="Вычисление 1 2 6 3" xfId="13696" xr:uid="{18B96650-BBF2-410D-B165-50592A7FB1E1}"/>
    <cellStyle name="Вычисление 1 2 6 3 2" xfId="30118" xr:uid="{A53801B1-1947-4036-B99E-C647A0C8106B}"/>
    <cellStyle name="Вычисление 1 2 6 3 3" xfId="43477" xr:uid="{6AEABBA5-AA65-4ED5-894B-9F16991CD521}"/>
    <cellStyle name="Вычисление 1 2 6 4" xfId="22266" xr:uid="{DA7D7270-E0CE-4F2A-9F05-F5440F219554}"/>
    <cellStyle name="Вычисление 1 2 6 5" xfId="35315" xr:uid="{96E9D1C8-5067-4230-9E22-E87D904BA6BB}"/>
    <cellStyle name="Вычисление 1 2 7" xfId="5501" xr:uid="{FECA833A-E407-4035-A7E6-B77FE702ED84}"/>
    <cellStyle name="Вычисление 1 2 7 2" xfId="8683" xr:uid="{C92F2100-4ABB-421C-A29B-5BBCE08CB7B4}"/>
    <cellStyle name="Вычисление 1 2 7 2 2" xfId="10722" xr:uid="{F030387E-41BF-4B4F-B3C3-682C9449004A}"/>
    <cellStyle name="Вычисление 1 2 7 2 2 2" xfId="27566" xr:uid="{BD1AA188-ADDA-4266-9291-D6684BE0042D}"/>
    <cellStyle name="Вычисление 1 2 7 2 2 3" xfId="40703" xr:uid="{C77126F0-FDAB-4569-9AA0-36680BC367FE}"/>
    <cellStyle name="Вычисление 1 2 7 2 3" xfId="26176" xr:uid="{20FFEEF6-C0A1-482B-BC8E-2ED40828EE82}"/>
    <cellStyle name="Вычисление 1 2 7 2 4" xfId="39252" xr:uid="{DD390022-D66C-43EE-BC74-F133D4CB9203}"/>
    <cellStyle name="Вычисление 1 2 7 3" xfId="16038" xr:uid="{EB8F51AE-38D4-40B5-8C7D-48DA37029BEB}"/>
    <cellStyle name="Вычисление 1 2 7 3 2" xfId="32102" xr:uid="{53BB7632-B4FA-471C-9F18-1A800F2393E8}"/>
    <cellStyle name="Вычисление 1 2 7 3 3" xfId="45621" xr:uid="{58FCAA32-F80E-4305-B1AF-55298AAEFA1A}"/>
    <cellStyle name="Вычисление 1 2 7 4" xfId="23148" xr:uid="{A0DC80B5-CD05-498F-A073-E2CD1E2B5CBE}"/>
    <cellStyle name="Вычисление 1 2 7 5" xfId="36229" xr:uid="{8337A0D9-4531-4D20-9E83-3DDB8A317A06}"/>
    <cellStyle name="Вычисление 1 2 8" xfId="15630" xr:uid="{B8A8DEAA-B50C-4CCC-85C8-5222570B75D3}"/>
    <cellStyle name="Вычисление 1 2 8 2" xfId="31750" xr:uid="{BF382227-BBE0-40DF-9ABC-77E3F7B18B27}"/>
    <cellStyle name="Вычисление 1 2 8 3" xfId="45254" xr:uid="{0DD52D14-EFD5-42BB-B83A-FB6CED514F75}"/>
    <cellStyle name="Вычисление 1 2 9" xfId="17745" xr:uid="{9BDA7066-6192-4E94-B39D-FBDEC8B45B68}"/>
    <cellStyle name="Вычисление 1 2 9 2" xfId="33467" xr:uid="{1FAB1790-044A-4B4B-8DC5-760E296266C8}"/>
    <cellStyle name="Вычисление 1 2 9 3" xfId="47250" xr:uid="{76E76E04-0FE9-41F4-B266-5035B0EDFC7F}"/>
    <cellStyle name="Вычисление 1 20" xfId="3154" xr:uid="{987F7639-4E31-49C9-B7DF-41E29FC08298}"/>
    <cellStyle name="Вычисление 1 20 2" xfId="4992" xr:uid="{34A1ED18-765E-413F-A879-6A71FAB0D6A3}"/>
    <cellStyle name="Вычисление 1 20 2 2" xfId="8446" xr:uid="{EC9A7DFE-7BB2-40E1-A579-97FF51E47795}"/>
    <cellStyle name="Вычисление 1 20 2 2 2" xfId="10713" xr:uid="{7E84F3C6-0F20-4E27-83AF-AB2030FA20F5}"/>
    <cellStyle name="Вычисление 1 20 2 2 2 2" xfId="27558" xr:uid="{C5FB2EB0-AB8B-4985-8465-DE133B9167D6}"/>
    <cellStyle name="Вычисление 1 20 2 2 2 3" xfId="40694" xr:uid="{3FDB179B-C475-4BDD-A69A-86A02E4BE7AF}"/>
    <cellStyle name="Вычисление 1 20 2 2 3" xfId="25948" xr:uid="{005067FA-72A9-4CA8-A4BF-31444EF2B66F}"/>
    <cellStyle name="Вычисление 1 20 2 2 4" xfId="39024" xr:uid="{E8ACC20D-D467-4D16-BC58-AFA20956B6FC}"/>
    <cellStyle name="Вычисление 1 20 2 3" xfId="13983" xr:uid="{534F7A98-8886-4DC5-9B90-A403FCE500C7}"/>
    <cellStyle name="Вычисление 1 20 2 3 2" xfId="30369" xr:uid="{AFD11F77-257D-4026-875E-542DED6415DE}"/>
    <cellStyle name="Вычисление 1 20 2 3 3" xfId="43747" xr:uid="{ACBB2682-9893-4E0B-A041-5D68552E0B5D}"/>
    <cellStyle name="Вычисление 1 20 2 4" xfId="22762" xr:uid="{92A0951C-59F7-474D-833D-BEEAE0AB49B1}"/>
    <cellStyle name="Вычисление 1 20 2 5" xfId="35821" xr:uid="{4AD48D1C-0224-42D3-81E0-F2792CCCB72C}"/>
    <cellStyle name="Вычисление 1 20 3" xfId="6813" xr:uid="{4E264665-A533-4072-831D-5B7C150D9E12}"/>
    <cellStyle name="Вычисление 1 20 3 2" xfId="17511" xr:uid="{FE90C381-B8A2-4AAA-A384-1F5E3AB2B535}"/>
    <cellStyle name="Вычисление 1 20 3 2 2" xfId="33249" xr:uid="{369E68D0-50BF-45CD-814D-BB46278468D5}"/>
    <cellStyle name="Вычисление 1 20 3 2 3" xfId="47036" xr:uid="{B9C090FB-BF16-4951-8BAF-42699F3C3C39}"/>
    <cellStyle name="Вычисление 1 20 3 3" xfId="24439" xr:uid="{3BE44C79-DB80-4B1D-ADDB-1669D4F65793}"/>
    <cellStyle name="Вычисление 1 20 3 4" xfId="37520" xr:uid="{A4B705E8-52EC-4213-BAD6-7A6D6320771E}"/>
    <cellStyle name="Вычисление 1 20 4" xfId="14920" xr:uid="{D1D21EA9-E92F-4D42-A130-4AA77190CFD2}"/>
    <cellStyle name="Вычисление 1 20 4 2" xfId="31166" xr:uid="{1D181559-DAEB-44B9-B2F7-D20CAFDAEB06}"/>
    <cellStyle name="Вычисление 1 20 4 3" xfId="44609" xr:uid="{1A462F1A-117A-4B2D-A39C-EC9A4A88AD5E}"/>
    <cellStyle name="Вычисление 1 20 5" xfId="21191" xr:uid="{6896B8A5-61D6-4364-BE9B-A21961288B4F}"/>
    <cellStyle name="Вычисление 1 20 6" xfId="34214" xr:uid="{526B671B-FC9C-4D32-B590-1C6D249AF63B}"/>
    <cellStyle name="Вычисление 1 21" xfId="2646" xr:uid="{4AE1E087-87E8-4D78-95A0-C5F0D5F4A07C}"/>
    <cellStyle name="Вычисление 1 21 2" xfId="7943" xr:uid="{FF48ECF8-03AA-4BCC-A9B9-410AD38417F5}"/>
    <cellStyle name="Вычисление 1 21 2 2" xfId="16882" xr:uid="{B04517F2-1FDD-45CF-8FDB-D28701880943}"/>
    <cellStyle name="Вычисление 1 21 2 2 2" xfId="32759" xr:uid="{C60FB916-9417-4D2C-9806-01C81DC52231}"/>
    <cellStyle name="Вычисление 1 21 2 2 3" xfId="46424" xr:uid="{2C87C41F-07CF-4662-9065-8D866BCC272B}"/>
    <cellStyle name="Вычисление 1 21 2 3" xfId="25459" xr:uid="{49D82DEF-163D-40ED-90D8-F0B7211D5C40}"/>
    <cellStyle name="Вычисление 1 21 2 4" xfId="38535" xr:uid="{A8337D14-39CB-4611-8896-95CE9BC7D7A7}"/>
    <cellStyle name="Вычисление 1 21 3" xfId="6310" xr:uid="{00BD721F-5F48-491E-A297-1305F3E7ABDA}"/>
    <cellStyle name="Вычисление 1 21 3 2" xfId="15704" xr:uid="{C35366A4-9364-468E-848D-0F771A44FF4C}"/>
    <cellStyle name="Вычисление 1 21 3 2 2" xfId="31816" xr:uid="{3B1EFB06-4EB5-40D5-8CC7-B15DF38A2014}"/>
    <cellStyle name="Вычисление 1 21 3 2 3" xfId="45324" xr:uid="{6931599C-2FC1-4B55-A2CB-00588F8F44A4}"/>
    <cellStyle name="Вычисление 1 21 3 3" xfId="23950" xr:uid="{DF1F4579-E569-4C46-953B-E16FBC33DBD6}"/>
    <cellStyle name="Вычисление 1 21 3 4" xfId="37031" xr:uid="{F5F87DDF-FB2D-45B5-A0C7-7AB1AF92216E}"/>
    <cellStyle name="Вычисление 1 21 4" xfId="12655" xr:uid="{0E78BE68-F98F-4648-B701-44D57D85C8EF}"/>
    <cellStyle name="Вычисление 1 21 4 2" xfId="29256" xr:uid="{83015966-26F7-41CD-8839-FF2D67B7991A}"/>
    <cellStyle name="Вычисление 1 21 4 3" xfId="42526" xr:uid="{EEE94378-3908-4979-A4C7-D4BD5D7C40E3}"/>
    <cellStyle name="Вычисление 1 21 5" xfId="20702" xr:uid="{E57E4E28-DF4E-43D7-B641-3D29A462C50F}"/>
    <cellStyle name="Вычисление 1 21 6" xfId="33725" xr:uid="{AED3A5DE-61D0-462B-B09D-99252743BF6F}"/>
    <cellStyle name="Вычисление 1 22" xfId="4092" xr:uid="{1A6BC3A7-ACF6-4DB6-B062-8E5FD2A10CF0}"/>
    <cellStyle name="Вычисление 1 22 2" xfId="9144" xr:uid="{C572441E-88C9-4EAF-86DB-B5D8180447D5}"/>
    <cellStyle name="Вычисление 1 22 2 2" xfId="14850" xr:uid="{67BA5A21-5EBD-4558-B821-95DEBA8EB855}"/>
    <cellStyle name="Вычисление 1 22 2 2 2" xfId="31107" xr:uid="{C8869852-7EEB-414F-99CE-43688273A347}"/>
    <cellStyle name="Вычисление 1 22 2 2 3" xfId="44545" xr:uid="{43161D5E-B7DB-41F1-9A33-CF003813F106}"/>
    <cellStyle name="Вычисление 1 22 2 3" xfId="26625" xr:uid="{1D4B8A31-D653-4FBD-A79B-58F15CF3A840}"/>
    <cellStyle name="Вычисление 1 22 2 4" xfId="39701" xr:uid="{7DFB7D4F-BEEB-44A3-80F0-E6BC24586A12}"/>
    <cellStyle name="Вычисление 1 22 3" xfId="7656" xr:uid="{FF503D1C-86F6-4DD3-AF5E-5A204F060FAC}"/>
    <cellStyle name="Вычисление 1 22 3 2" xfId="13695" xr:uid="{B351FF76-78DA-4273-9C32-766086A14188}"/>
    <cellStyle name="Вычисление 1 22 3 2 2" xfId="30117" xr:uid="{E7DB6048-09F0-4319-90BC-D2261EA3EA89}"/>
    <cellStyle name="Вычисление 1 22 3 2 3" xfId="43476" xr:uid="{EA437734-C8BD-49E3-8095-D80204D6BDF0}"/>
    <cellStyle name="Вычисление 1 22 3 3" xfId="25184" xr:uid="{95E3E64D-D717-4588-8E26-274D4FDE7FDA}"/>
    <cellStyle name="Вычисление 1 22 3 4" xfId="38260" xr:uid="{AEF3D827-E97A-4EC5-82F6-9CB3153232E7}"/>
    <cellStyle name="Вычисление 1 22 4" xfId="14056" xr:uid="{536A38D7-429B-43D6-8FD5-AA886C521FE7}"/>
    <cellStyle name="Вычисление 1 22 4 2" xfId="30426" xr:uid="{869485C6-640A-4C24-BC8C-9EC462FDE4B5}"/>
    <cellStyle name="Вычисление 1 22 4 3" xfId="43809" xr:uid="{F7789F1F-0D37-482E-94AB-E045FF7AFE0D}"/>
    <cellStyle name="Вычисление 1 22 5" xfId="21925" xr:uid="{22CA3316-ECFE-40FB-883E-EDF2C6DD365E}"/>
    <cellStyle name="Вычисление 1 22 6" xfId="34974" xr:uid="{3236807E-1DDF-4DE3-A9C9-42338D047760}"/>
    <cellStyle name="Вычисление 1 23" xfId="2555" xr:uid="{6A33876B-0D7C-4D52-9431-B1D278302065}"/>
    <cellStyle name="Вычисление 1 23 2" xfId="7853" xr:uid="{C82F2543-2F97-40E6-B122-DAC135B9BF49}"/>
    <cellStyle name="Вычисление 1 23 2 2" xfId="12735" xr:uid="{5B4AF7FD-1D92-4EED-BE6A-FA652E8F3CEB}"/>
    <cellStyle name="Вычисление 1 23 2 2 2" xfId="29316" xr:uid="{697BCB8E-DEF0-4B71-8E2B-4C0FEC5ADF14}"/>
    <cellStyle name="Вычисление 1 23 2 2 3" xfId="42593" xr:uid="{8BC16CFF-8A96-4B45-8C59-F09241AF6FC2}"/>
    <cellStyle name="Вычисление 1 23 2 3" xfId="25372" xr:uid="{0ED6DB4A-D5D4-4FBF-BFF6-9547FF119001}"/>
    <cellStyle name="Вычисление 1 23 2 4" xfId="38448" xr:uid="{1D2642EE-85A3-46B2-BF97-AA7DFA9F9130}"/>
    <cellStyle name="Вычисление 1 23 3" xfId="6220" xr:uid="{949C1F6E-EDB0-46F7-A4A5-54D0042F3AF0}"/>
    <cellStyle name="Вычисление 1 23 3 2" xfId="14328" xr:uid="{88B44804-32A7-49FE-9FEF-B129987AA020}"/>
    <cellStyle name="Вычисление 1 23 3 2 2" xfId="30663" xr:uid="{2029CC9E-1D58-46D3-98B2-CC7A8B773F4E}"/>
    <cellStyle name="Вычисление 1 23 3 2 3" xfId="44058" xr:uid="{43DD8B91-56CC-45A7-A7AA-0F6FF80DCF18}"/>
    <cellStyle name="Вычисление 1 23 3 3" xfId="23863" xr:uid="{5E148C27-C591-4415-9B3B-C721A77E7B2A}"/>
    <cellStyle name="Вычисление 1 23 3 4" xfId="36944" xr:uid="{65012409-35AF-49FA-A772-C5B51809B9BB}"/>
    <cellStyle name="Вычисление 1 23 4" xfId="12857" xr:uid="{FB69CCEE-75ED-46D1-9838-8E26652502DC}"/>
    <cellStyle name="Вычисление 1 23 4 2" xfId="29423" xr:uid="{9B89A526-0828-43D7-A188-D13D86BE0D20}"/>
    <cellStyle name="Вычисление 1 23 4 3" xfId="42709" xr:uid="{09C5B292-A06F-43CE-8F4A-13F5524B9D79}"/>
    <cellStyle name="Вычисление 1 23 5" xfId="20615" xr:uid="{6E31B3D7-A0AF-4D85-90FD-FAB973DE7BBE}"/>
    <cellStyle name="Вычисление 1 23 6" xfId="33638" xr:uid="{798CC1BF-9887-47C5-9C9D-91EDD5D3E1FF}"/>
    <cellStyle name="Вычисление 1 24" xfId="4219" xr:uid="{99F45714-5CD1-4270-BC6B-963FA6185A5A}"/>
    <cellStyle name="Вычисление 1 24 2" xfId="9271" xr:uid="{C5856B5A-4D78-42B9-BF3B-2DE7D5A9B6C7}"/>
    <cellStyle name="Вычисление 1 24 2 2" xfId="11137" xr:uid="{D8275F77-5587-4310-ADBC-B435E0FB9692}"/>
    <cellStyle name="Вычисление 1 24 2 2 2" xfId="27935" xr:uid="{54E784B5-A8AC-471B-A8E1-30860DE579B1}"/>
    <cellStyle name="Вычисление 1 24 2 2 3" xfId="41115" xr:uid="{F65A950B-5F13-4900-A43C-DFB1D5574D0A}"/>
    <cellStyle name="Вычисление 1 24 2 3" xfId="26744" xr:uid="{7AA43700-A9BD-4F6A-8B26-D47784F3C1D6}"/>
    <cellStyle name="Вычисление 1 24 2 4" xfId="39820" xr:uid="{F34F441F-C168-417A-8409-073923A842F0}"/>
    <cellStyle name="Вычисление 1 24 3" xfId="7783" xr:uid="{EE5B881D-4011-4E7C-A5A7-8535D571356A}"/>
    <cellStyle name="Вычисление 1 24 3 2" xfId="10882" xr:uid="{15E103A6-6C36-465A-ADE9-13422246682A}"/>
    <cellStyle name="Вычисление 1 24 3 2 2" xfId="27707" xr:uid="{0F0210E8-860F-4C09-A887-5EC8CF5D2C7F}"/>
    <cellStyle name="Вычисление 1 24 3 2 3" xfId="40862" xr:uid="{0157F738-2416-4BBD-ADD7-7DB428D53597}"/>
    <cellStyle name="Вычисление 1 24 3 3" xfId="25303" xr:uid="{C1DC4B92-7B22-49D0-83DA-9B6A6097C3A7}"/>
    <cellStyle name="Вычисление 1 24 3 4" xfId="38379" xr:uid="{56405DD9-7B4E-4498-B81B-F6144F95D081}"/>
    <cellStyle name="Вычисление 1 24 4" xfId="15685" xr:uid="{93AF21AF-D59F-40E4-B089-9CD589EF3C35}"/>
    <cellStyle name="Вычисление 1 24 4 2" xfId="31798" xr:uid="{741E0166-D176-4CDE-A901-EBA8306FBF05}"/>
    <cellStyle name="Вычисление 1 24 4 3" xfId="45306" xr:uid="{02080DEF-2BD7-429A-BCD0-A83A1B0B38B8}"/>
    <cellStyle name="Вычисление 1 24 5" xfId="22044" xr:uid="{B575014D-8AE5-4DFF-86B1-FE973F247BE6}"/>
    <cellStyle name="Вычисление 1 24 6" xfId="35093" xr:uid="{9F38ACC1-995F-44DF-8019-9719598D1318}"/>
    <cellStyle name="Вычисление 1 25" xfId="4296" xr:uid="{F60A8141-D951-4B69-894A-EF365787341E}"/>
    <cellStyle name="Вычисление 1 25 2" xfId="6165" xr:uid="{28166948-32DB-42FC-B9FB-AF434F660CFC}"/>
    <cellStyle name="Вычисление 1 25 2 2" xfId="13873" xr:uid="{D520F3E0-4FD1-400D-AF54-943E0063781B}"/>
    <cellStyle name="Вычисление 1 25 2 2 2" xfId="30270" xr:uid="{DB2FFD9F-66DF-4BC5-B0CA-A2C108DC1511}"/>
    <cellStyle name="Вычисление 1 25 2 2 3" xfId="43642" xr:uid="{37060603-142F-4769-8390-8E8AF636EBCE}"/>
    <cellStyle name="Вычисление 1 25 2 3" xfId="23810" xr:uid="{27F3BA6A-AF49-46A6-85B0-4BCCF6CCB00B}"/>
    <cellStyle name="Вычисление 1 25 2 4" xfId="36891" xr:uid="{CDBBE095-2C9C-4353-8868-DCFA62A90F82}"/>
    <cellStyle name="Вычисление 1 25 3" xfId="16627" xr:uid="{1B8E5EBD-7349-4DC0-8DE2-2B50D3455092}"/>
    <cellStyle name="Вычисление 1 25 3 2" xfId="32533" xr:uid="{FD86AA8B-0C75-4CE3-8B9B-F9B09BF7613A}"/>
    <cellStyle name="Вычисление 1 25 3 3" xfId="46174" xr:uid="{0FCC32D2-3D81-446A-A423-F5551BD8CA26}"/>
    <cellStyle name="Вычисление 1 25 4" xfId="22117" xr:uid="{D89D5A38-643B-400C-9904-6AFF11216785}"/>
    <cellStyle name="Вычисление 1 25 5" xfId="35166" xr:uid="{E289D3D5-FB59-4070-8818-7A686DE93517}"/>
    <cellStyle name="Вычисление 1 26" xfId="5275" xr:uid="{97CD737B-4428-4D66-B091-B99F201484BC}"/>
    <cellStyle name="Вычисление 1 26 2" xfId="9708" xr:uid="{A1F206CA-C51B-4031-8297-2927F88738B6}"/>
    <cellStyle name="Вычисление 1 26 2 2" xfId="17443" xr:uid="{F87D0F0E-A60D-43D2-A169-D050D7D29213}"/>
    <cellStyle name="Вычисление 1 26 2 2 2" xfId="33194" xr:uid="{DEFF4FC1-DC40-46D0-8FAA-CB9F447103BD}"/>
    <cellStyle name="Вычисление 1 26 2 2 3" xfId="46973" xr:uid="{5A513252-B17D-419B-91D2-7FF610780311}"/>
    <cellStyle name="Вычисление 1 26 2 3" xfId="27008" xr:uid="{DFBE1730-98BF-44B9-B408-33E25D6EC33D}"/>
    <cellStyle name="Вычисление 1 26 2 4" xfId="40124" xr:uid="{B63E51E4-FF37-4558-AA7E-437C036BEE2A}"/>
    <cellStyle name="Вычисление 1 26 3" xfId="13809" xr:uid="{B3003631-A47E-4D01-A5CD-A774D9BD4C49}"/>
    <cellStyle name="Вычисление 1 26 3 2" xfId="30213" xr:uid="{842071A6-AAE1-4922-B58B-3B4F3CF98620}"/>
    <cellStyle name="Вычисление 1 26 3 3" xfId="43581" xr:uid="{45C3957B-1932-41B2-BB24-E054929922D8}"/>
    <cellStyle name="Вычисление 1 26 4" xfId="22927" xr:uid="{6E748FB6-C436-4AD2-BFDD-7E443A1F3FA5}"/>
    <cellStyle name="Вычисление 1 26 5" xfId="36005" xr:uid="{A1587654-842E-4655-B79C-63EDAB397A8A}"/>
    <cellStyle name="Вычисление 1 27" xfId="10566" xr:uid="{114BF89B-5EE1-4F43-8952-23DD512F4F1C}"/>
    <cellStyle name="Вычисление 1 27 2" xfId="17611" xr:uid="{7FCEA0C0-C290-46F2-B647-D08403AD07DC}"/>
    <cellStyle name="Вычисление 1 27 2 2" xfId="33346" xr:uid="{5F32AD49-16BF-4674-9701-7E44D38B3645}"/>
    <cellStyle name="Вычисление 1 27 2 3" xfId="47136" xr:uid="{655BD200-92B6-4725-8C13-8506EB7207B9}"/>
    <cellStyle name="Вычисление 1 27 3" xfId="27425" xr:uid="{66350C4E-503A-4C11-802A-6E84D1728075}"/>
    <cellStyle name="Вычисление 1 27 4" xfId="40547" xr:uid="{83AEA6E1-67D1-4035-82AD-1BC3DA5A4CAE}"/>
    <cellStyle name="Вычисление 1 28" xfId="11996" xr:uid="{1929E24A-1C74-4731-928F-0F2FDB8EA17E}"/>
    <cellStyle name="Вычисление 1 28 2" xfId="28702" xr:uid="{D1DB0ABA-A2DD-4557-8E50-B9C6919EBFBD}"/>
    <cellStyle name="Вычисление 1 28 3" xfId="41920" xr:uid="{C4A74659-0DE8-41CB-9F73-B550A805F886}"/>
    <cellStyle name="Вычисление 1 29" xfId="12400" xr:uid="{8C0A3D54-CF48-4561-B2E0-CDCB1AD9400D}"/>
    <cellStyle name="Вычисление 1 29 2" xfId="29065" xr:uid="{CADAF847-9114-4E26-963F-C67BEE188BFA}"/>
    <cellStyle name="Вычисление 1 29 3" xfId="42306" xr:uid="{6A3DB79A-E3E9-45EC-836A-AF95332868D2}"/>
    <cellStyle name="Вычисление 1 3" xfId="3337" xr:uid="{B006BF1B-7C2C-4C2D-BAE8-9B87BF533F44}"/>
    <cellStyle name="Вычисление 1 3 10" xfId="34383" xr:uid="{4A83964C-C1CB-41B9-B896-6DE343000061}"/>
    <cellStyle name="Вычисление 1 3 2" xfId="2699" xr:uid="{F6D2DC46-D445-4088-B845-6F6148F2D30E}"/>
    <cellStyle name="Вычисление 1 3 2 2" xfId="7995" xr:uid="{D612A664-B3C7-48F0-A35B-3A91CB72386B}"/>
    <cellStyle name="Вычисление 1 3 2 2 2" xfId="15995" xr:uid="{B3E8D6FE-5274-4AAF-A354-ED93301CAD9D}"/>
    <cellStyle name="Вычисление 1 3 2 2 2 2" xfId="32066" xr:uid="{6B28519F-4E17-47B5-A4EB-1665E029BC96}"/>
    <cellStyle name="Вычисление 1 3 2 2 2 3" xfId="45585" xr:uid="{783C78AE-A084-44FD-8586-FBC23F87A98F}"/>
    <cellStyle name="Вычисление 1 3 2 2 3" xfId="25510" xr:uid="{664407C8-C5A0-466F-A2EC-32E74959AD7A}"/>
    <cellStyle name="Вычисление 1 3 2 2 4" xfId="38586" xr:uid="{30D996D5-84E0-4C03-BB53-45FF521FBA54}"/>
    <cellStyle name="Вычисление 1 3 2 3" xfId="6362" xr:uid="{2970DE18-E5F1-4278-83FC-311D132DFD35}"/>
    <cellStyle name="Вычисление 1 3 2 3 2" xfId="14354" xr:uid="{83192D09-0F70-4138-9460-222FD5512E0E}"/>
    <cellStyle name="Вычисление 1 3 2 3 2 2" xfId="30688" xr:uid="{976E0598-CC66-4E53-B6E7-CA98B9BD7A88}"/>
    <cellStyle name="Вычисление 1 3 2 3 2 3" xfId="44084" xr:uid="{91769FAD-E4A1-4140-A667-66A1E629AFDE}"/>
    <cellStyle name="Вычисление 1 3 2 3 3" xfId="24001" xr:uid="{864F2B9B-561A-4199-8769-32BE5B8B261C}"/>
    <cellStyle name="Вычисление 1 3 2 3 4" xfId="37082" xr:uid="{64409215-CA2A-4ACD-AA6B-E14F012A66D5}"/>
    <cellStyle name="Вычисление 1 3 2 4" xfId="15247" xr:uid="{50758AB2-11F3-4251-A834-F28778ED0FF2}"/>
    <cellStyle name="Вычисление 1 3 2 4 2" xfId="31422" xr:uid="{7CBD92FC-81A2-4548-9180-28C061176A58}"/>
    <cellStyle name="Вычисление 1 3 2 4 3" xfId="44898" xr:uid="{76D32E8F-4A66-484A-99CB-BAE70F4C9F1F}"/>
    <cellStyle name="Вычисление 1 3 2 5" xfId="20753" xr:uid="{D9151934-587C-4A59-AC0D-2CA305DCDAD0}"/>
    <cellStyle name="Вычисление 1 3 2 6" xfId="33776" xr:uid="{7D3DE936-0FA7-4370-A9A2-39005880B289}"/>
    <cellStyle name="Вычисление 1 3 3" xfId="4129" xr:uid="{71CD22C6-4736-4649-A9F2-9BF30AC7337B}"/>
    <cellStyle name="Вычисление 1 3 3 2" xfId="9181" xr:uid="{6D53AA99-C167-4C9B-8AC5-15B0DB933913}"/>
    <cellStyle name="Вычисление 1 3 3 2 2" xfId="13272" xr:uid="{ED429772-8705-4152-82D6-313344EA02AB}"/>
    <cellStyle name="Вычисление 1 3 3 2 2 2" xfId="29763" xr:uid="{91F23D06-B6C4-4449-890D-7CD9EF9203CA}"/>
    <cellStyle name="Вычисление 1 3 3 2 2 3" xfId="43089" xr:uid="{1E4D3DC7-4A1B-4FB2-9B29-842D1EBB9F37}"/>
    <cellStyle name="Вычисление 1 3 3 2 3" xfId="26660" xr:uid="{1AF4D01F-2C24-4A16-8E81-C729EEF49EDB}"/>
    <cellStyle name="Вычисление 1 3 3 2 4" xfId="39736" xr:uid="{C1F9A15B-9002-47EF-BE6F-6DBE3891BDFA}"/>
    <cellStyle name="Вычисление 1 3 3 3" xfId="7693" xr:uid="{333351FB-1AF3-40E6-9814-BFC97394D2CF}"/>
    <cellStyle name="Вычисление 1 3 3 3 2" xfId="12785" xr:uid="{1E71940A-34A6-416F-95D4-599AEE6DA08E}"/>
    <cellStyle name="Вычисление 1 3 3 3 2 2" xfId="29360" xr:uid="{781484B7-5023-42DD-A18E-F98490AA5458}"/>
    <cellStyle name="Вычисление 1 3 3 3 2 3" xfId="42640" xr:uid="{F704277D-B45E-4BEF-AEEB-4D7E82C5CCBF}"/>
    <cellStyle name="Вычисление 1 3 3 3 3" xfId="25219" xr:uid="{C1BDD95F-A2FA-40EC-9B00-0EEB9D454F5B}"/>
    <cellStyle name="Вычисление 1 3 3 3 4" xfId="38295" xr:uid="{E42FC73C-4896-435C-870D-7A257CFABC1F}"/>
    <cellStyle name="Вычисление 1 3 3 4" xfId="11882" xr:uid="{03C31330-C834-45CD-8294-5C2F1542C548}"/>
    <cellStyle name="Вычисление 1 3 3 4 2" xfId="28598" xr:uid="{A4F05CD7-7057-4042-A637-68E7B86DE6FE}"/>
    <cellStyle name="Вычисление 1 3 3 4 3" xfId="41814" xr:uid="{59DC162C-DC9D-44D0-920B-BF8C032DC50C}"/>
    <cellStyle name="Вычисление 1 3 3 5" xfId="21960" xr:uid="{AC22979C-8A50-4929-92E2-283F68429892}"/>
    <cellStyle name="Вычисление 1 3 3 6" xfId="35009" xr:uid="{D3CF5C2D-76FD-479B-97FE-E6DC001DA6FB}"/>
    <cellStyle name="Вычисление 1 3 4" xfId="2579" xr:uid="{51CD39AF-DA45-4FB3-A7C4-95C31AE16A87}"/>
    <cellStyle name="Вычисление 1 3 4 2" xfId="7876" xr:uid="{83AC5D1F-F39F-48D1-8494-A2EC2E797D7D}"/>
    <cellStyle name="Вычисление 1 3 4 2 2" xfId="14860" xr:uid="{EEF8D31C-9315-4009-B9F2-885DA1472C64}"/>
    <cellStyle name="Вычисление 1 3 4 2 2 2" xfId="31115" xr:uid="{C66D7CD8-3B84-428F-A58F-A1CC3C10020D}"/>
    <cellStyle name="Вычисление 1 3 4 2 2 3" xfId="44554" xr:uid="{6F888515-CB92-44BE-9156-E5C357C7BD05}"/>
    <cellStyle name="Вычисление 1 3 4 2 3" xfId="25395" xr:uid="{02B7F71F-B5DB-4ACC-B23F-58708F228252}"/>
    <cellStyle name="Вычисление 1 3 4 2 4" xfId="38471" xr:uid="{65778C59-B68D-49BA-B054-A61FCA732121}"/>
    <cellStyle name="Вычисление 1 3 4 3" xfId="6243" xr:uid="{FF6B99F3-60C1-45DE-96D3-1CDC7313172B}"/>
    <cellStyle name="Вычисление 1 3 4 3 2" xfId="15574" xr:uid="{288DC1B5-9674-409D-A63C-FA25D6247F8A}"/>
    <cellStyle name="Вычисление 1 3 4 3 2 2" xfId="31703" xr:uid="{63A46591-84E9-409D-8E6F-01D13B90BFD0}"/>
    <cellStyle name="Вычисление 1 3 4 3 2 3" xfId="45205" xr:uid="{651488A8-604E-4FAA-A9B1-4C64CEAE445C}"/>
    <cellStyle name="Вычисление 1 3 4 3 3" xfId="23886" xr:uid="{66F29C74-0DBD-4482-BC40-0C8B1F9AC207}"/>
    <cellStyle name="Вычисление 1 3 4 3 4" xfId="36967" xr:uid="{66CC5AD8-6970-415B-9CFF-9BB259F75487}"/>
    <cellStyle name="Вычисление 1 3 4 4" xfId="12252" xr:uid="{4C3ADD65-BD29-4542-86F1-75676A496CC7}"/>
    <cellStyle name="Вычисление 1 3 4 4 2" xfId="28933" xr:uid="{7E99CE40-D1D6-4965-82C5-F51D788E8B3C}"/>
    <cellStyle name="Вычисление 1 3 4 4 3" xfId="42166" xr:uid="{5E54D0B9-8F6E-4F7B-96FF-D8F22A269CE4}"/>
    <cellStyle name="Вычисление 1 3 4 5" xfId="20638" xr:uid="{B4551496-2AB7-4E09-931A-EDD22C352ECD}"/>
    <cellStyle name="Вычисление 1 3 4 6" xfId="33661" xr:uid="{687FC0EC-A752-4319-A6F4-398BEA35FFA5}"/>
    <cellStyle name="Вычисление 1 3 5" xfId="4255" xr:uid="{5EC5D3AC-F7E1-4921-920D-837CBC2F9794}"/>
    <cellStyle name="Вычисление 1 3 5 2" xfId="9307" xr:uid="{B00FD95C-729D-4465-9CE5-066468A28F1A}"/>
    <cellStyle name="Вычисление 1 3 5 2 2" xfId="11452" xr:uid="{27D7BD21-2852-41A3-AC3B-21C3E70C86A0}"/>
    <cellStyle name="Вычисление 1 3 5 2 2 2" xfId="28217" xr:uid="{5FE07491-1C4B-46D8-9FCB-BCA5C50C65DF}"/>
    <cellStyle name="Вычисление 1 3 5 2 2 3" xfId="41411" xr:uid="{A944B261-C695-42C0-A335-0D4ED833A217}"/>
    <cellStyle name="Вычисление 1 3 5 2 3" xfId="26780" xr:uid="{5374DE84-A960-42CF-9784-0F8B73E43954}"/>
    <cellStyle name="Вычисление 1 3 5 2 4" xfId="39856" xr:uid="{DD67667D-CE37-4752-8CDE-732617E788E9}"/>
    <cellStyle name="Вычисление 1 3 5 3" xfId="7819" xr:uid="{9D84D29D-B434-4B6E-BE31-CFC7D506FB78}"/>
    <cellStyle name="Вычисление 1 3 5 3 2" xfId="17271" xr:uid="{BD4C3844-F864-4E5B-83C0-6E1384413C08}"/>
    <cellStyle name="Вычисление 1 3 5 3 2 2" xfId="33030" xr:uid="{E5456F5E-E069-461D-8EC2-6B62AEA62FA6}"/>
    <cellStyle name="Вычисление 1 3 5 3 2 3" xfId="46805" xr:uid="{9A85FB1A-3C53-4484-A1F3-8858B93DE44C}"/>
    <cellStyle name="Вычисление 1 3 5 3 3" xfId="25339" xr:uid="{BCA5CFC9-2133-4419-B29A-C0EC2E46F6DF}"/>
    <cellStyle name="Вычисление 1 3 5 3 4" xfId="38415" xr:uid="{57129C1F-8EE5-4EC0-9163-4490475C4C7B}"/>
    <cellStyle name="Вычисление 1 3 5 4" xfId="11515" xr:uid="{235089CC-085D-4DAD-9058-FFB3C01EF567}"/>
    <cellStyle name="Вычисление 1 3 5 4 2" xfId="28274" xr:uid="{4752E66B-9405-4354-9DE2-90712CF44CA7}"/>
    <cellStyle name="Вычисление 1 3 5 4 3" xfId="41471" xr:uid="{37EE6AA0-94D3-4CE9-B82D-FC7F92073BD1}"/>
    <cellStyle name="Вычисление 1 3 5 5" xfId="22080" xr:uid="{9DFA9744-F55A-44DF-B8F6-0D46DD4681AE}"/>
    <cellStyle name="Вычисление 1 3 5 6" xfId="35129" xr:uid="{B5AF633B-829D-44E8-A97F-1062F1985BA9}"/>
    <cellStyle name="Вычисление 1 3 6" xfId="4368" xr:uid="{C2602FDB-F115-4755-829F-E5D767F022F7}"/>
    <cellStyle name="Вычисление 1 3 6 2" xfId="6987" xr:uid="{0556ED72-E6D5-405B-A653-DA3DA6BFEC88}"/>
    <cellStyle name="Вычисление 1 3 6 2 2" xfId="16926" xr:uid="{2441544F-936C-425C-AE7D-0E7129F681A6}"/>
    <cellStyle name="Вычисление 1 3 6 2 2 2" xfId="32779" xr:uid="{40D1D0A5-46C5-4F86-81B1-CE95D865A202}"/>
    <cellStyle name="Вычисление 1 3 6 2 2 3" xfId="46468" xr:uid="{6DE1A233-CCE7-42A5-9921-AA5456BEE02C}"/>
    <cellStyle name="Вычисление 1 3 6 2 3" xfId="24608" xr:uid="{6FF48D7C-0CD9-44FA-B663-831C288A8B23}"/>
    <cellStyle name="Вычисление 1 3 6 2 4" xfId="37689" xr:uid="{EF84CEE1-7719-4B98-A28B-BA1F5DB8632D}"/>
    <cellStyle name="Вычисление 1 3 6 3" xfId="12783" xr:uid="{25BB9C50-3048-4A0B-97FA-9BC785185C53}"/>
    <cellStyle name="Вычисление 1 3 6 3 2" xfId="29358" xr:uid="{84DB37E1-761F-4203-B7C1-1AAD21DE17C9}"/>
    <cellStyle name="Вычисление 1 3 6 3 3" xfId="42638" xr:uid="{55ABC515-1897-4036-87AD-C0420E2D77B0}"/>
    <cellStyle name="Вычисление 1 3 6 4" xfId="22187" xr:uid="{E93110F8-A2B0-454A-979E-238D3FE70262}"/>
    <cellStyle name="Вычисление 1 3 6 5" xfId="35236" xr:uid="{1513259C-7CC9-4AEC-BDD3-866DC5AFDE55}"/>
    <cellStyle name="Вычисление 1 3 7" xfId="5422" xr:uid="{D9B94EB2-E2FE-46EF-95DC-C3DE56346615}"/>
    <cellStyle name="Вычисление 1 3 7 2" xfId="8600" xr:uid="{76172C1C-806B-47CC-8897-196894B74CC0}"/>
    <cellStyle name="Вычисление 1 3 7 2 2" xfId="10723" xr:uid="{DD5D410B-DE8B-40BA-B0F8-597B4B9A253C}"/>
    <cellStyle name="Вычисление 1 3 7 2 2 2" xfId="27567" xr:uid="{D489FC54-1BD2-4BC0-B8F0-C40261F6FB19}"/>
    <cellStyle name="Вычисление 1 3 7 2 2 3" xfId="40704" xr:uid="{2FC90628-4B82-4E9A-9579-5AB52A09311B}"/>
    <cellStyle name="Вычисление 1 3 7 2 3" xfId="26097" xr:uid="{4805F5F3-7A02-4ABE-9806-19BDF949CCEC}"/>
    <cellStyle name="Вычисление 1 3 7 2 4" xfId="39173" xr:uid="{CC87F99E-EE86-4E69-99BB-A59E3B0EEA46}"/>
    <cellStyle name="Вычисление 1 3 7 3" xfId="16133" xr:uid="{1310AE27-998C-4B4C-8695-1D0E4F009795}"/>
    <cellStyle name="Вычисление 1 3 7 3 2" xfId="32187" xr:uid="{2FF1E33D-4303-4B33-B28A-66ED5CD7055D}"/>
    <cellStyle name="Вычисление 1 3 7 3 3" xfId="45708" xr:uid="{967C7857-7DB6-4438-A8FA-035E18CADB6F}"/>
    <cellStyle name="Вычисление 1 3 7 4" xfId="23069" xr:uid="{87CE33BA-A04C-439F-9600-A8248CB9385F}"/>
    <cellStyle name="Вычисление 1 3 7 5" xfId="36150" xr:uid="{9F729957-4E38-41AB-AE19-39B6284AA203}"/>
    <cellStyle name="Вычисление 1 3 8" xfId="14306" xr:uid="{027B1632-1DA5-4143-80D2-52C268FD5D4B}"/>
    <cellStyle name="Вычисление 1 3 8 2" xfId="30644" xr:uid="{DF4E3627-BBCE-4AE7-9170-4A56D9517DE6}"/>
    <cellStyle name="Вычисление 1 3 8 3" xfId="44038" xr:uid="{B3B33CE0-27FF-4C23-98A8-D349416B981C}"/>
    <cellStyle name="Вычисление 1 3 9" xfId="21360" xr:uid="{A8F95F53-A4B3-48D5-BD7F-5EB65E82EF94}"/>
    <cellStyle name="Вычисление 1 30" xfId="16068" xr:uid="{A3E7D933-A908-49C6-BF26-17EF49F73BC0}"/>
    <cellStyle name="Вычисление 1 30 2" xfId="32128" xr:uid="{275D7F07-D6AE-466A-B471-7AB8EF439924}"/>
    <cellStyle name="Вычисление 1 30 3" xfId="45648" xr:uid="{2FAC8C0E-1AE0-4150-ACA8-6C2CDD87910E}"/>
    <cellStyle name="Вычисление 1 31" xfId="17664" xr:uid="{B2D8C2D4-B7C4-4341-AFC5-49C5EC936960}"/>
    <cellStyle name="Вычисление 1 31 2" xfId="33387" xr:uid="{44B4529E-0E3D-4F1D-9AA5-EDDC0C1E2F00}"/>
    <cellStyle name="Вычисление 1 31 3" xfId="47176" xr:uid="{20EFD69E-74D0-4014-B560-40BC78D32C9A}"/>
    <cellStyle name="Вычисление 1 32" xfId="33565" xr:uid="{14D21BD8-CB2A-4704-BDCB-A298F3504F76}"/>
    <cellStyle name="Вычисление 1 4" xfId="3468" xr:uid="{5D68B045-D8D1-41B5-82AE-A232F0D3F8D8}"/>
    <cellStyle name="Вычисление 1 4 10" xfId="34484" xr:uid="{57B4F1D5-4FC9-47ED-9CF4-96581198993A}"/>
    <cellStyle name="Вычисление 1 4 2" xfId="2810" xr:uid="{96A2B9F1-0FC3-4AE1-8415-43F25CC0A968}"/>
    <cellStyle name="Вычисление 1 4 2 2" xfId="8106" xr:uid="{0ED4B57E-B7D7-4EEA-9177-E5FCDFD57C60}"/>
    <cellStyle name="Вычисление 1 4 2 2 2" xfId="17374" xr:uid="{A36A050F-0406-4AEC-9767-4F312198A176}"/>
    <cellStyle name="Вычисление 1 4 2 2 2 2" xfId="33128" xr:uid="{CEFB2B01-E4EC-46E7-9DF7-234C4524AAAF}"/>
    <cellStyle name="Вычисление 1 4 2 2 2 3" xfId="46904" xr:uid="{2DAFA9F8-E9C7-452E-87C0-8A570C9D5259}"/>
    <cellStyle name="Вычисление 1 4 2 2 3" xfId="25617" xr:uid="{F9AE7427-5E8A-42B9-AC99-9DCA12CFCDED}"/>
    <cellStyle name="Вычисление 1 4 2 2 4" xfId="38693" xr:uid="{4A4470AB-533A-4735-A53C-B456C3E30F9B}"/>
    <cellStyle name="Вычисление 1 4 2 3" xfId="6473" xr:uid="{AF421DDB-15B6-47C4-A21D-07F5494A6D47}"/>
    <cellStyle name="Вычисление 1 4 2 3 2" xfId="11253" xr:uid="{07BD7ACE-2A8C-4F39-A535-D81D3AE2271E}"/>
    <cellStyle name="Вычисление 1 4 2 3 2 2" xfId="28043" xr:uid="{04899033-36C4-4271-8638-2CA60A6A64F7}"/>
    <cellStyle name="Вычисление 1 4 2 3 2 3" xfId="41225" xr:uid="{CA01D72A-3F55-47E4-BA1A-31ACBFD085FC}"/>
    <cellStyle name="Вычисление 1 4 2 3 3" xfId="24108" xr:uid="{4C2D705E-1496-4343-9F59-DF5B73FB821D}"/>
    <cellStyle name="Вычисление 1 4 2 3 4" xfId="37189" xr:uid="{EDAC0C9E-4BBC-4FBD-BFAB-83BBEFDA2E0C}"/>
    <cellStyle name="Вычисление 1 4 2 4" xfId="16433" xr:uid="{B6C9439D-CA21-4682-B6BE-E1C3627D04F2}"/>
    <cellStyle name="Вычисление 1 4 2 4 2" xfId="32446" xr:uid="{E05DCE4C-216E-40F4-8E3C-6943E17D0AA0}"/>
    <cellStyle name="Вычисление 1 4 2 4 3" xfId="45984" xr:uid="{2591B4ED-528D-4F7A-A616-ED559E7CC977}"/>
    <cellStyle name="Вычисление 1 4 2 5" xfId="20860" xr:uid="{466E1DE2-765A-4839-B3CA-376A2866F367}"/>
    <cellStyle name="Вычисление 1 4 2 6" xfId="33883" xr:uid="{92BF1906-CE98-4F24-A0D1-90C5AD760CA9}"/>
    <cellStyle name="Вычисление 1 4 3" xfId="4122" xr:uid="{BFD316C9-2DA4-4A96-8286-D5A54F143CB6}"/>
    <cellStyle name="Вычисление 1 4 3 2" xfId="9174" xr:uid="{2D6A39CA-3867-4687-B52D-2B75EF64ED27}"/>
    <cellStyle name="Вычисление 1 4 3 2 2" xfId="13630" xr:uid="{972CFBA9-7206-47F0-B5BC-F265935608CE}"/>
    <cellStyle name="Вычисление 1 4 3 2 2 2" xfId="30065" xr:uid="{56EC3383-5D48-44DC-8751-DEB2A64C8A3C}"/>
    <cellStyle name="Вычисление 1 4 3 2 2 3" xfId="43420" xr:uid="{AADB84DD-3F99-4958-88E9-8AC89288DE84}"/>
    <cellStyle name="Вычисление 1 4 3 2 3" xfId="26654" xr:uid="{28214846-25D6-4FB3-A0D8-C12FCB901992}"/>
    <cellStyle name="Вычисление 1 4 3 2 4" xfId="39730" xr:uid="{4B2488DA-752C-4D03-B5FA-C1C38D0DBD7F}"/>
    <cellStyle name="Вычисление 1 4 3 3" xfId="7686" xr:uid="{0B2D1547-0AE2-4105-8FBA-BF9D8B8C41FF}"/>
    <cellStyle name="Вычисление 1 4 3 3 2" xfId="13431" xr:uid="{5E49B8AA-F561-4602-9B84-E11F74497DE7}"/>
    <cellStyle name="Вычисление 1 4 3 3 2 2" xfId="29896" xr:uid="{D5BF115E-660D-4206-A433-04C49688F3E6}"/>
    <cellStyle name="Вычисление 1 4 3 3 2 3" xfId="43234" xr:uid="{66D7ED54-DE28-451B-BF82-A5143CBF6AE7}"/>
    <cellStyle name="Вычисление 1 4 3 3 3" xfId="25213" xr:uid="{618B91E2-3B3D-4BAB-BBC3-9197B3C84AE3}"/>
    <cellStyle name="Вычисление 1 4 3 3 4" xfId="38289" xr:uid="{622C2CB2-BF80-49D9-8915-462A7FF9D57F}"/>
    <cellStyle name="Вычисление 1 4 3 4" xfId="15516" xr:uid="{56E50EFC-659F-44D0-99DF-600A8EC21352}"/>
    <cellStyle name="Вычисление 1 4 3 4 2" xfId="31653" xr:uid="{1DDEC9B0-5D2D-4A35-B5F4-6B788DF91D65}"/>
    <cellStyle name="Вычисление 1 4 3 4 3" xfId="45151" xr:uid="{CE23AA15-8B86-4E85-B548-B1BF18A53337}"/>
    <cellStyle name="Вычисление 1 4 3 5" xfId="21954" xr:uid="{3D84FCAB-CB28-40BB-B2DB-34BC172E2E0D}"/>
    <cellStyle name="Вычисление 1 4 3 6" xfId="35003" xr:uid="{BC720F80-E6D9-4444-A7AC-DCFF20100A17}"/>
    <cellStyle name="Вычисление 1 4 4" xfId="2754" xr:uid="{EFAFFC3F-59AA-4273-907A-6651026B90BC}"/>
    <cellStyle name="Вычисление 1 4 4 2" xfId="8050" xr:uid="{149CFBB6-CD94-40D0-BAA1-82EF2E6471AF}"/>
    <cellStyle name="Вычисление 1 4 4 2 2" xfId="14311" xr:uid="{C7C1A5A4-1F6C-4C30-ABA8-FA161B5105C5}"/>
    <cellStyle name="Вычисление 1 4 4 2 2 2" xfId="30648" xr:uid="{CA16865D-9308-4A73-98EB-1FF382953C3B}"/>
    <cellStyle name="Вычисление 1 4 4 2 2 3" xfId="44042" xr:uid="{7493924C-1D0C-4596-899C-6C0C20FBB8C0}"/>
    <cellStyle name="Вычисление 1 4 4 2 3" xfId="25563" xr:uid="{6F910574-3AF2-4C25-ADFA-ADFADF3EA6BF}"/>
    <cellStyle name="Вычисление 1 4 4 2 4" xfId="38639" xr:uid="{5B0E5FA7-DF77-4CB9-9C7F-0A62716E95DB}"/>
    <cellStyle name="Вычисление 1 4 4 3" xfId="6417" xr:uid="{A6861B08-4119-43CF-80D9-A3DC8036AA58}"/>
    <cellStyle name="Вычисление 1 4 4 3 2" xfId="16222" xr:uid="{F3986ACD-75C3-4F97-8BA0-CB2987411DA1}"/>
    <cellStyle name="Вычисление 1 4 4 3 2 2" xfId="32260" xr:uid="{2CA6D7F0-5CC3-47CA-B7FE-48C2A46FAC7E}"/>
    <cellStyle name="Вычисление 1 4 4 3 2 3" xfId="45788" xr:uid="{61596526-29B0-4802-BA3C-AD1F86BC542F}"/>
    <cellStyle name="Вычисление 1 4 4 3 3" xfId="24054" xr:uid="{3170EBC9-B7D1-48EA-BEF1-282997D81F61}"/>
    <cellStyle name="Вычисление 1 4 4 3 4" xfId="37135" xr:uid="{6D468F98-7165-4D3F-ACA2-C9FA8602A093}"/>
    <cellStyle name="Вычисление 1 4 4 4" xfId="10648" xr:uid="{9B4F7BF4-88D4-4621-9F88-6FB55406E0A4}"/>
    <cellStyle name="Вычисление 1 4 4 4 2" xfId="27499" xr:uid="{15483F2B-B711-485E-A3A5-1C1136335541}"/>
    <cellStyle name="Вычисление 1 4 4 4 3" xfId="40629" xr:uid="{D771473A-E6F0-4FED-8F8A-5CDCD72A5179}"/>
    <cellStyle name="Вычисление 1 4 4 5" xfId="20806" xr:uid="{661450D9-D028-49ED-BB53-D47AE156F912}"/>
    <cellStyle name="Вычисление 1 4 4 6" xfId="33829" xr:uid="{B43CA084-EA20-4B7A-BD0F-F401374F5C1E}"/>
    <cellStyle name="Вычисление 1 4 5" xfId="4269" xr:uid="{6A94CFCD-6ECC-4D61-9B14-8523B169D4FA}"/>
    <cellStyle name="Вычисление 1 4 5 2" xfId="9321" xr:uid="{F9E3300E-21F4-4179-8A87-969EE5303C82}"/>
    <cellStyle name="Вычисление 1 4 5 2 2" xfId="13502" xr:uid="{64975289-552E-4A33-AE26-B2EA19077DCF}"/>
    <cellStyle name="Вычисление 1 4 5 2 2 2" xfId="29960" xr:uid="{445DE5B6-3B9E-4E2C-9839-03917A61C763}"/>
    <cellStyle name="Вычисление 1 4 5 2 2 3" xfId="43301" xr:uid="{A3BE912D-64F7-4C04-BB44-85D9F6432983}"/>
    <cellStyle name="Вычисление 1 4 5 2 3" xfId="26794" xr:uid="{453C40A0-20AA-4795-A541-FAE423D5296D}"/>
    <cellStyle name="Вычисление 1 4 5 2 4" xfId="39870" xr:uid="{57EBFF98-56BF-4E58-8C2E-3391E787FC91}"/>
    <cellStyle name="Вычисление 1 4 5 3" xfId="7833" xr:uid="{DC10CA0D-20CE-4235-ADBF-2A7BAEF5AE01}"/>
    <cellStyle name="Вычисление 1 4 5 3 2" xfId="13243" xr:uid="{E45C2EA8-79DA-4762-ADCB-0DF540D3E0EC}"/>
    <cellStyle name="Вычисление 1 4 5 3 2 2" xfId="29737" xr:uid="{DC87BB8F-0C7B-4835-899A-DDE480CAECC8}"/>
    <cellStyle name="Вычисление 1 4 5 3 2 3" xfId="43061" xr:uid="{07F08790-108C-4185-98AB-5BB605C4E893}"/>
    <cellStyle name="Вычисление 1 4 5 3 3" xfId="25353" xr:uid="{05C66030-645A-4589-B13C-DD43A478DA18}"/>
    <cellStyle name="Вычисление 1 4 5 3 4" xfId="38429" xr:uid="{3E1881A6-153F-4A47-83F1-7324A12E9C9C}"/>
    <cellStyle name="Вычисление 1 4 5 4" xfId="16520" xr:uid="{D4879FB7-DBD9-45C0-B5A7-CD763D57364F}"/>
    <cellStyle name="Вычисление 1 4 5 4 2" xfId="32478" xr:uid="{45D531B9-BA90-4BCF-B384-EAAE4D4E3E2D}"/>
    <cellStyle name="Вычисление 1 4 5 4 3" xfId="46067" xr:uid="{73222C2F-80AB-44BD-9FB7-032DD833624B}"/>
    <cellStyle name="Вычисление 1 4 5 5" xfId="22094" xr:uid="{29A59764-6F07-41C6-807F-710DB9B2C092}"/>
    <cellStyle name="Вычисление 1 4 5 6" xfId="35143" xr:uid="{81C0FBC8-3F47-49F1-9E4E-613CECF5CDB3}"/>
    <cellStyle name="Вычисление 1 4 6" xfId="4470" xr:uid="{892FD71B-A313-4D4E-9BE4-2FCFF348A892}"/>
    <cellStyle name="Вычисление 1 4 6 2" xfId="7110" xr:uid="{625438C9-BDCA-47CF-BCB5-77F0ADA73BFA}"/>
    <cellStyle name="Вычисление 1 4 6 2 2" xfId="12665" xr:uid="{6F87E360-D705-414A-A321-8568F704BC35}"/>
    <cellStyle name="Вычисление 1 4 6 2 2 2" xfId="29263" xr:uid="{E9B717B2-0199-4009-A877-C4939F4ECC14}"/>
    <cellStyle name="Вычисление 1 4 6 2 2 3" xfId="42534" xr:uid="{AAB04E2D-0543-40A8-899B-9EE4D2B5F023}"/>
    <cellStyle name="Вычисление 1 4 6 2 3" xfId="24709" xr:uid="{ECBD045B-8894-44EA-9442-9D264D9857CC}"/>
    <cellStyle name="Вычисление 1 4 6 2 4" xfId="37790" xr:uid="{9D31B596-B53D-4396-AD13-659D290355CE}"/>
    <cellStyle name="Вычисление 1 4 6 3" xfId="12672" xr:uid="{7473D0CA-F9ED-49D6-8C37-5FBE2BB8D577}"/>
    <cellStyle name="Вычисление 1 4 6 3 2" xfId="29268" xr:uid="{B7A02F07-A634-4E1F-9577-C69AA2D0170C}"/>
    <cellStyle name="Вычисление 1 4 6 3 3" xfId="42540" xr:uid="{6B7C337F-1F04-4B05-B960-23018B7C089C}"/>
    <cellStyle name="Вычисление 1 4 6 4" xfId="22288" xr:uid="{4B7AA299-B796-4868-ACB3-CE0FABB92F77}"/>
    <cellStyle name="Вычисление 1 4 6 5" xfId="35337" xr:uid="{B8FEEB11-E072-4AD1-B355-D195F2CA23EC}"/>
    <cellStyle name="Вычисление 1 4 7" xfId="5523" xr:uid="{0F4678B3-0786-465C-A65C-AFE691BE7217}"/>
    <cellStyle name="Вычисление 1 4 7 2" xfId="8705" xr:uid="{34A34E1D-2EE6-4BBA-B8E9-4F32117E67F7}"/>
    <cellStyle name="Вычисление 1 4 7 2 2" xfId="15265" xr:uid="{E5839464-C808-4882-94BC-D82224E73D3B}"/>
    <cellStyle name="Вычисление 1 4 7 2 2 2" xfId="31440" xr:uid="{2F02492C-DE73-43B3-A60E-E162CE36F8AA}"/>
    <cellStyle name="Вычисление 1 4 7 2 2 3" xfId="44916" xr:uid="{10904B4D-03CB-48ED-930C-91165299657A}"/>
    <cellStyle name="Вычисление 1 4 7 2 3" xfId="26198" xr:uid="{BD2158F1-AC3E-4136-8A3A-4C0D8B157CBE}"/>
    <cellStyle name="Вычисление 1 4 7 2 4" xfId="39274" xr:uid="{F2CB9845-1962-4619-AB02-45BB0B8CC670}"/>
    <cellStyle name="Вычисление 1 4 7 3" xfId="11969" xr:uid="{22192D6E-A5AC-45AD-9267-B3187702D821}"/>
    <cellStyle name="Вычисление 1 4 7 3 2" xfId="28678" xr:uid="{4BEDD9CB-AA80-4DBD-B19A-B2C38B42BBE8}"/>
    <cellStyle name="Вычисление 1 4 7 3 3" xfId="41896" xr:uid="{C4BB5830-CA92-4CE7-829C-2F3E9DDB6610}"/>
    <cellStyle name="Вычисление 1 4 7 4" xfId="23170" xr:uid="{EFBF3AFF-FE2A-40C6-8BB9-C08D2071D54F}"/>
    <cellStyle name="Вычисление 1 4 7 5" xfId="36251" xr:uid="{C60F0CB6-B566-48FA-8ECE-1CFE8EE56676}"/>
    <cellStyle name="Вычисление 1 4 8" xfId="15898" xr:uid="{5243A740-BEE6-4DEA-96D5-8E63F7B3759A}"/>
    <cellStyle name="Вычисление 1 4 8 2" xfId="31981" xr:uid="{F29FA3EA-B1EB-4829-8262-84346AD2F00A}"/>
    <cellStyle name="Вычисление 1 4 8 3" xfId="45497" xr:uid="{80DA30E9-D863-45D9-94A0-79459AB2EF82}"/>
    <cellStyle name="Вычисление 1 4 9" xfId="21440" xr:uid="{ED83075C-49A8-4FF9-B720-DDB478361062}"/>
    <cellStyle name="Вычисление 1 5" xfId="3452" xr:uid="{D6449292-B792-42F1-BC07-0590725B442C}"/>
    <cellStyle name="Вычисление 1 5 2" xfId="2794" xr:uid="{2307CD89-8963-4157-9F3C-327CA0DCD846}"/>
    <cellStyle name="Вычисление 1 5 2 2" xfId="8090" xr:uid="{24A2D762-5FF3-4D8F-8F25-0C008BF7F155}"/>
    <cellStyle name="Вычисление 1 5 2 2 2" xfId="17481" xr:uid="{8235F006-62A6-440D-83A5-E5C5210567B5}"/>
    <cellStyle name="Вычисление 1 5 2 2 2 2" xfId="33224" xr:uid="{1DAB500C-49FB-4A9D-9C0C-FDECBACCD7B8}"/>
    <cellStyle name="Вычисление 1 5 2 2 2 3" xfId="47010" xr:uid="{37DB5071-1334-44BC-9615-D54295ED43A8}"/>
    <cellStyle name="Вычисление 1 5 2 2 3" xfId="25601" xr:uid="{40C15D2F-44C2-4A90-980C-A599EFB2A4CC}"/>
    <cellStyle name="Вычисление 1 5 2 2 4" xfId="38677" xr:uid="{A705A0F0-315A-472B-988F-C709A41F0B68}"/>
    <cellStyle name="Вычисление 1 5 2 3" xfId="6457" xr:uid="{BF57F2BA-AB57-4AB3-9C63-B624F3ABEA55}"/>
    <cellStyle name="Вычисление 1 5 2 3 2" xfId="10652" xr:uid="{4195D548-4722-48FE-AC29-9E9CB9D1CDEA}"/>
    <cellStyle name="Вычисление 1 5 2 3 2 2" xfId="27503" xr:uid="{7DA1A4B9-4D75-49B5-89D8-DFB8F2C6DBDC}"/>
    <cellStyle name="Вычисление 1 5 2 3 2 3" xfId="40633" xr:uid="{CA7E0D1A-8083-4D6A-B855-FFA6049B9EF4}"/>
    <cellStyle name="Вычисление 1 5 2 3 3" xfId="24092" xr:uid="{9430B504-90EF-4DB3-935D-9B005AFB6B18}"/>
    <cellStyle name="Вычисление 1 5 2 3 4" xfId="37173" xr:uid="{2FE3476C-5502-4AAC-BEA0-CED4B4358390}"/>
    <cellStyle name="Вычисление 1 5 2 4" xfId="16071" xr:uid="{C5D8114C-4CF4-41E5-998B-70007D58A2F1}"/>
    <cellStyle name="Вычисление 1 5 2 4 2" xfId="32131" xr:uid="{DEA314F2-9413-46AD-84C3-13B3123CCD38}"/>
    <cellStyle name="Вычисление 1 5 2 4 3" xfId="45651" xr:uid="{FB23572F-CA56-4E90-B8D8-5ACF08009F8F}"/>
    <cellStyle name="Вычисление 1 5 2 5" xfId="20844" xr:uid="{A22A67D0-CD64-469D-89ED-9D1810AB56E9}"/>
    <cellStyle name="Вычисление 1 5 2 6" xfId="33867" xr:uid="{DB005B58-86F1-4D61-87AC-7BB62D85825A}"/>
    <cellStyle name="Вычисление 1 5 3" xfId="4454" xr:uid="{FFB3D5CF-DCBD-4A65-8912-120888231B73}"/>
    <cellStyle name="Вычисление 1 5 3 2" xfId="7094" xr:uid="{1669DE0B-683F-4914-A2E2-8EDEF579525E}"/>
    <cellStyle name="Вычисление 1 5 3 2 2" xfId="11891" xr:uid="{A3B8D258-027F-45D7-A0FD-BC3A1EC095E6}"/>
    <cellStyle name="Вычисление 1 5 3 2 2 2" xfId="28606" xr:uid="{864E2530-F3E9-4A4C-B664-F2E1142993CA}"/>
    <cellStyle name="Вычисление 1 5 3 2 2 3" xfId="41822" xr:uid="{E8525B33-1EE8-48CE-B431-039385A39D49}"/>
    <cellStyle name="Вычисление 1 5 3 2 3" xfId="24693" xr:uid="{E9154D5F-A285-42CC-B642-CE688E640642}"/>
    <cellStyle name="Вычисление 1 5 3 2 4" xfId="37774" xr:uid="{FEDD6E06-A708-4F84-9842-0F149D5CBBD8}"/>
    <cellStyle name="Вычисление 1 5 3 3" xfId="12560" xr:uid="{8773E9C8-749F-43DF-A1D7-A1F2DCAFDACE}"/>
    <cellStyle name="Вычисление 1 5 3 3 2" xfId="29180" xr:uid="{DDCE9225-6D29-45E8-B087-F546EF430E42}"/>
    <cellStyle name="Вычисление 1 5 3 3 3" xfId="42440" xr:uid="{675961B9-1B59-46E2-AABC-3EE97D935611}"/>
    <cellStyle name="Вычисление 1 5 3 4" xfId="22272" xr:uid="{4354B5A1-7082-4616-AE6C-15F82F054BE0}"/>
    <cellStyle name="Вычисление 1 5 3 5" xfId="35321" xr:uid="{CFD0C698-6C73-4837-AAC7-275A9D13E95B}"/>
    <cellStyle name="Вычисление 1 5 4" xfId="5507" xr:uid="{CB71D99E-7B29-4568-86A4-C2F31F0ECD2F}"/>
    <cellStyle name="Вычисление 1 5 4 2" xfId="8689" xr:uid="{B9ABBB44-8606-4CBE-B299-0AF8C8EB131E}"/>
    <cellStyle name="Вычисление 1 5 4 2 2" xfId="17436" xr:uid="{EAF66C08-BAEB-4A1F-B3AF-11DFE82101D3}"/>
    <cellStyle name="Вычисление 1 5 4 2 2 2" xfId="33190" xr:uid="{53F48FBB-6D9A-4FC1-A3A8-5302AEF55669}"/>
    <cellStyle name="Вычисление 1 5 4 2 2 3" xfId="46966" xr:uid="{52192A72-B0A6-4E1E-B7DD-75FABDA710A1}"/>
    <cellStyle name="Вычисление 1 5 4 2 3" xfId="26182" xr:uid="{311C48C6-D3F2-450E-B668-5D2205D8AE4B}"/>
    <cellStyle name="Вычисление 1 5 4 2 4" xfId="39258" xr:uid="{8C465A22-F34B-4471-99B6-95712014DE87}"/>
    <cellStyle name="Вычисление 1 5 4 3" xfId="14236" xr:uid="{3C6BCD9B-FD81-471E-A608-2B1569A9216B}"/>
    <cellStyle name="Вычисление 1 5 4 3 2" xfId="30581" xr:uid="{6CB761F3-4A39-48EA-BB5A-39B7E2B7ECDC}"/>
    <cellStyle name="Вычисление 1 5 4 3 3" xfId="43973" xr:uid="{66049CFF-D688-415A-9835-D7CAAA220791}"/>
    <cellStyle name="Вычисление 1 5 4 4" xfId="23154" xr:uid="{33EAFBD8-D822-4BC4-BCFA-8153728540E7}"/>
    <cellStyle name="Вычисление 1 5 4 5" xfId="36235" xr:uid="{9C649949-3531-4476-852C-EDC1284E964E}"/>
    <cellStyle name="Вычисление 1 5 5" xfId="10622" xr:uid="{4A6407E1-E9E0-4049-BE35-E667937E3028}"/>
    <cellStyle name="Вычисление 1 5 5 2" xfId="27481" xr:uid="{4E2D029F-E446-434E-8B0F-6D1A0A1DAF63}"/>
    <cellStyle name="Вычисление 1 5 5 3" xfId="40603" xr:uid="{F8FC537A-7DEE-4C21-9343-98635001C129}"/>
    <cellStyle name="Вычисление 1 5 6" xfId="21424" xr:uid="{E92AB86F-C395-4558-B6E2-38B8759255FA}"/>
    <cellStyle name="Вычисление 1 5 7" xfId="34468" xr:uid="{CF02F32B-06ED-4B70-8A14-600C74E040E7}"/>
    <cellStyle name="Вычисление 1 6" xfId="3503" xr:uid="{AC4EE88F-E216-421E-AF13-B680DB037A85}"/>
    <cellStyle name="Вычисление 1 6 2" xfId="2844" xr:uid="{9B671038-F337-4CD9-A2C0-2E4B28FEAF27}"/>
    <cellStyle name="Вычисление 1 6 2 2" xfId="8140" xr:uid="{24D75D3D-66A7-435A-A555-4D09521FD872}"/>
    <cellStyle name="Вычисление 1 6 2 2 2" xfId="13027" xr:uid="{159B4A48-BC88-4216-94A1-964A07179AAE}"/>
    <cellStyle name="Вычисление 1 6 2 2 2 2" xfId="29558" xr:uid="{8DA835DD-1AE8-4928-9F03-EAE5DF9A5B02}"/>
    <cellStyle name="Вычисление 1 6 2 2 2 3" xfId="42860" xr:uid="{DDBF1865-7711-4F71-B45B-DC6D3E85352D}"/>
    <cellStyle name="Вычисление 1 6 2 2 3" xfId="25651" xr:uid="{9F496542-2664-411A-8D9A-92DCD8BC07CB}"/>
    <cellStyle name="Вычисление 1 6 2 2 4" xfId="38727" xr:uid="{A6E5C1EF-A976-4939-BB26-1166807BB5EB}"/>
    <cellStyle name="Вычисление 1 6 2 3" xfId="6507" xr:uid="{1B6748F7-70A5-46C4-BA6D-0B75EF8E5854}"/>
    <cellStyle name="Вычисление 1 6 2 3 2" xfId="17519" xr:uid="{A3A23801-0EF1-44A2-A9E0-3E5A01B1EE38}"/>
    <cellStyle name="Вычисление 1 6 2 3 2 2" xfId="33257" xr:uid="{4665695E-E22B-489F-B1A6-CCEB30DFB669}"/>
    <cellStyle name="Вычисление 1 6 2 3 2 3" xfId="47044" xr:uid="{836285C0-E438-4EB1-9BD5-43242493F79A}"/>
    <cellStyle name="Вычисление 1 6 2 3 3" xfId="24142" xr:uid="{2CE69C21-50F8-47A5-B9E9-BD605959E85F}"/>
    <cellStyle name="Вычисление 1 6 2 3 4" xfId="37223" xr:uid="{1960E383-F87D-4D08-8D03-870F7EBA4E44}"/>
    <cellStyle name="Вычисление 1 6 2 4" xfId="17093" xr:uid="{F18F0C73-357C-4600-93A4-4E43E0834C9F}"/>
    <cellStyle name="Вычисление 1 6 2 4 2" xfId="32862" xr:uid="{C27C58A1-46E8-43F4-9A69-CED98D6D4365}"/>
    <cellStyle name="Вычисление 1 6 2 4 3" xfId="46633" xr:uid="{283219F6-9D1D-4D26-95C3-D50AB36F87B1}"/>
    <cellStyle name="Вычисление 1 6 2 5" xfId="20894" xr:uid="{BFF4BE09-1EB2-4AE6-98E5-8ECD93694F0E}"/>
    <cellStyle name="Вычисление 1 6 2 6" xfId="33917" xr:uid="{3364665B-CCF8-43EC-988A-1135972EAC97}"/>
    <cellStyle name="Вычисление 1 6 3" xfId="4504" xr:uid="{24C892F8-938D-45B4-97D4-F2367FFD7CEC}"/>
    <cellStyle name="Вычисление 1 6 3 2" xfId="7145" xr:uid="{C551F513-9851-4E2A-B4D0-2C7EF0C15BDA}"/>
    <cellStyle name="Вычисление 1 6 3 2 2" xfId="13586" xr:uid="{2B7BB057-629D-4F33-9364-57DE88E7ADA1}"/>
    <cellStyle name="Вычисление 1 6 3 2 2 2" xfId="30027" xr:uid="{7AEA42F2-609C-4B2B-AFD3-DFC28DFAF8E5}"/>
    <cellStyle name="Вычисление 1 6 3 2 2 3" xfId="43378" xr:uid="{82340D40-2ED2-4DE4-B0C8-D869DD824EA5}"/>
    <cellStyle name="Вычисление 1 6 3 2 3" xfId="24743" xr:uid="{2512BFDD-64F2-44D7-83E1-24A6233CEA86}"/>
    <cellStyle name="Вычисление 1 6 3 2 4" xfId="37824" xr:uid="{0D0EE55B-F774-481E-9F4E-3EF3045FFBF9}"/>
    <cellStyle name="Вычисление 1 6 3 3" xfId="17544" xr:uid="{E384C3C4-374B-4623-8763-D068BA9EA6C4}"/>
    <cellStyle name="Вычисление 1 6 3 3 2" xfId="33282" xr:uid="{6FEC5D4A-D657-4E9A-9661-5E05FD08985A}"/>
    <cellStyle name="Вычисление 1 6 3 3 3" xfId="47069" xr:uid="{9392233A-695C-40B8-BF9E-55AF66F7C1D6}"/>
    <cellStyle name="Вычисление 1 6 3 4" xfId="22322" xr:uid="{B0712645-55BE-406D-89D9-4314111D9E76}"/>
    <cellStyle name="Вычисление 1 6 3 5" xfId="35371" xr:uid="{6F4D2EE7-8861-4691-B4E6-B1FCB647DBEA}"/>
    <cellStyle name="Вычисление 1 6 4" xfId="5557" xr:uid="{22545435-5460-468C-B56A-5CA5E7ACEB29}"/>
    <cellStyle name="Вычисление 1 6 4 2" xfId="8739" xr:uid="{92BE6CFC-D791-4FC8-9ED1-5F2E0D95806A}"/>
    <cellStyle name="Вычисление 1 6 4 2 2" xfId="12713" xr:uid="{B69C89C6-B6FD-493A-A09A-628AA4EB7607}"/>
    <cellStyle name="Вычисление 1 6 4 2 2 2" xfId="29296" xr:uid="{3DDFB117-0317-4303-9B22-13EF8CCD4635}"/>
    <cellStyle name="Вычисление 1 6 4 2 2 3" xfId="42573" xr:uid="{CB9272DC-E5B4-4AF4-94BB-3A49B30862A3}"/>
    <cellStyle name="Вычисление 1 6 4 2 3" xfId="26232" xr:uid="{066CFE02-6D9B-46EE-B842-63DC1370B110}"/>
    <cellStyle name="Вычисление 1 6 4 2 4" xfId="39308" xr:uid="{CBD9048F-FF6A-4C86-BEE6-92357B9DCABF}"/>
    <cellStyle name="Вычисление 1 6 4 3" xfId="11148" xr:uid="{43534326-49B0-45BE-BF2D-4D3131190ABE}"/>
    <cellStyle name="Вычисление 1 6 4 3 2" xfId="27945" xr:uid="{C29C9384-ED03-40DB-9F20-3FD2C1A1EA08}"/>
    <cellStyle name="Вычисление 1 6 4 3 3" xfId="41126" xr:uid="{74AAABE5-EAD0-4D9D-B27F-72404A6B2115}"/>
    <cellStyle name="Вычисление 1 6 4 4" xfId="23204" xr:uid="{DF2C1F7F-09B6-40C2-9F0F-D68A40EDB9D3}"/>
    <cellStyle name="Вычисление 1 6 4 5" xfId="36285" xr:uid="{C471C40D-AA48-4BC7-BF9E-8D717A16A11B}"/>
    <cellStyle name="Вычисление 1 6 5" xfId="11621" xr:uid="{78FE02A4-5749-4A1A-9BCA-37710DA8E7B7}"/>
    <cellStyle name="Вычисление 1 6 5 2" xfId="28367" xr:uid="{08815412-47D8-492B-9514-3E4E25F5DFB1}"/>
    <cellStyle name="Вычисление 1 6 5 3" xfId="41570" xr:uid="{0CE2D363-5BF2-43A8-AD03-4F8B39AB1F39}"/>
    <cellStyle name="Вычисление 1 6 6" xfId="21466" xr:uid="{199A19CC-6F0F-45C1-8A0B-C4E15759CBA2}"/>
    <cellStyle name="Вычисление 1 6 7" xfId="34518" xr:uid="{857147DA-D793-4469-B2D2-409B55041002}"/>
    <cellStyle name="Вычисление 1 7" xfId="3480" xr:uid="{1C60D406-791A-45A3-AD1D-327ADA21C0CA}"/>
    <cellStyle name="Вычисление 1 7 2" xfId="2822" xr:uid="{45A71B53-6DF1-497A-9698-689627C34BD9}"/>
    <cellStyle name="Вычисление 1 7 2 2" xfId="8118" xr:uid="{57779624-DB41-40CD-AD60-6B7E842DEA2C}"/>
    <cellStyle name="Вычисление 1 7 2 2 2" xfId="16837" xr:uid="{F7B6A8E0-F5AE-46B5-AA75-782367869CC0}"/>
    <cellStyle name="Вычисление 1 7 2 2 2 2" xfId="32715" xr:uid="{3F307A40-50A1-4A9C-8C21-AAF85219F10D}"/>
    <cellStyle name="Вычисление 1 7 2 2 2 3" xfId="46379" xr:uid="{5DA83303-8AC9-4F14-95E5-2221EE85F7B8}"/>
    <cellStyle name="Вычисление 1 7 2 2 3" xfId="25629" xr:uid="{178C30D3-883F-4F55-B0D7-6237A8E25093}"/>
    <cellStyle name="Вычисление 1 7 2 2 4" xfId="38705" xr:uid="{D8D4CECD-3D68-4965-8812-E1965BDF0D7C}"/>
    <cellStyle name="Вычисление 1 7 2 3" xfId="6485" xr:uid="{B99F78F6-3CF5-40A7-B426-3DBEF0B0E7E1}"/>
    <cellStyle name="Вычисление 1 7 2 3 2" xfId="16425" xr:uid="{36D8399D-A906-40E1-AAE6-C34F36A0286C}"/>
    <cellStyle name="Вычисление 1 7 2 3 2 2" xfId="32439" xr:uid="{C92F1EAE-C413-42B3-B427-C59E025FAC24}"/>
    <cellStyle name="Вычисление 1 7 2 3 2 3" xfId="45976" xr:uid="{75D4EE83-0B42-495E-ADA9-38E6E11DE1B5}"/>
    <cellStyle name="Вычисление 1 7 2 3 3" xfId="24120" xr:uid="{AA9C195E-7268-464C-B196-22ACAEA40B82}"/>
    <cellStyle name="Вычисление 1 7 2 3 4" xfId="37201" xr:uid="{E723BD5B-BFF8-45BA-8682-8E6B65F19F87}"/>
    <cellStyle name="Вычисление 1 7 2 4" xfId="13755" xr:uid="{FA91C3F2-316B-411B-9237-E92C068A77FE}"/>
    <cellStyle name="Вычисление 1 7 2 4 2" xfId="30167" xr:uid="{A4E14245-3B99-4699-A4DD-D3306F33D584}"/>
    <cellStyle name="Вычисление 1 7 2 4 3" xfId="43529" xr:uid="{30730574-C096-4B52-9916-61DDE1099E4C}"/>
    <cellStyle name="Вычисление 1 7 2 5" xfId="20872" xr:uid="{6161B260-31C1-442A-8AA6-307FAE9471D4}"/>
    <cellStyle name="Вычисление 1 7 2 6" xfId="33895" xr:uid="{77F93A85-D03A-4953-8F91-EF114340954D}"/>
    <cellStyle name="Вычисление 1 7 3" xfId="4482" xr:uid="{2214776E-841E-430A-85DB-F47A5406EF51}"/>
    <cellStyle name="Вычисление 1 7 3 2" xfId="7122" xr:uid="{D2FF5F14-D0EB-48AA-97AB-E30D686944A5}"/>
    <cellStyle name="Вычисление 1 7 3 2 2" xfId="12318" xr:uid="{94A67B6B-1B97-4B4C-8604-46198892BA3F}"/>
    <cellStyle name="Вычисление 1 7 3 2 2 2" xfId="28986" xr:uid="{250F406E-8922-456C-BA6A-70D5380B44CB}"/>
    <cellStyle name="Вычисление 1 7 3 2 2 3" xfId="42226" xr:uid="{4343881A-E3FA-4EC2-93D6-8C1397A74544}"/>
    <cellStyle name="Вычисление 1 7 3 2 3" xfId="24721" xr:uid="{65804946-1A1A-423E-B09E-C5DF8B1E556F}"/>
    <cellStyle name="Вычисление 1 7 3 2 4" xfId="37802" xr:uid="{772B2E2F-88CB-4366-B094-AD2E29F18EC2}"/>
    <cellStyle name="Вычисление 1 7 3 3" xfId="12147" xr:uid="{2773E246-52FD-4830-8B8E-DB090883561F}"/>
    <cellStyle name="Вычисление 1 7 3 3 2" xfId="28847" xr:uid="{E95D68BF-4041-4D2B-8208-02C33016CB73}"/>
    <cellStyle name="Вычисление 1 7 3 3 3" xfId="42067" xr:uid="{12661FF5-5967-4CDC-9D80-18C923E45922}"/>
    <cellStyle name="Вычисление 1 7 3 4" xfId="22300" xr:uid="{31A2AF4B-A148-4785-B926-9C3AB8D76580}"/>
    <cellStyle name="Вычисление 1 7 3 5" xfId="35349" xr:uid="{2BE7419E-B3D5-408D-AF5D-BE8C3EAC31DA}"/>
    <cellStyle name="Вычисление 1 7 4" xfId="5535" xr:uid="{E6E0F81B-06D9-4A68-8A4E-A7B6192EBC43}"/>
    <cellStyle name="Вычисление 1 7 4 2" xfId="8717" xr:uid="{06FA5A00-167B-4183-AAA6-EBEFA9FF99F0}"/>
    <cellStyle name="Вычисление 1 7 4 2 2" xfId="15379" xr:uid="{A19909EF-0F42-4250-9BF0-76925384B8B8}"/>
    <cellStyle name="Вычисление 1 7 4 2 2 2" xfId="31535" xr:uid="{B759DEFF-9DDE-4370-97E2-EC28899A5772}"/>
    <cellStyle name="Вычисление 1 7 4 2 2 3" xfId="45022" xr:uid="{8ED2AE48-CA65-4825-90A3-34364CE9CBE8}"/>
    <cellStyle name="Вычисление 1 7 4 2 3" xfId="26210" xr:uid="{F573C9E0-7E04-4CBF-8AB0-2B852D497F3C}"/>
    <cellStyle name="Вычисление 1 7 4 2 4" xfId="39286" xr:uid="{270BF31B-8DB8-4E34-ADFB-4680F5BD2A92}"/>
    <cellStyle name="Вычисление 1 7 4 3" xfId="14938" xr:uid="{D6536C48-2370-4413-9FCE-EE2C8B3C685D}"/>
    <cellStyle name="Вычисление 1 7 4 3 2" xfId="31179" xr:uid="{B9C72071-3993-4F63-8818-37513B0BCAF0}"/>
    <cellStyle name="Вычисление 1 7 4 3 3" xfId="44625" xr:uid="{10475C8B-9384-46B8-83C4-059245FFE60E}"/>
    <cellStyle name="Вычисление 1 7 4 4" xfId="23182" xr:uid="{558819ED-671E-4235-B469-62C2655ED00D}"/>
    <cellStyle name="Вычисление 1 7 4 5" xfId="36263" xr:uid="{6E9DE755-5F2B-4C52-8297-990C05401456}"/>
    <cellStyle name="Вычисление 1 7 5" xfId="12466" xr:uid="{0C7B636D-3ACC-484A-BD5E-C1BE456409E0}"/>
    <cellStyle name="Вычисление 1 7 5 2" xfId="29107" xr:uid="{527D9B67-26E5-4C84-9D33-1C55ECC480B0}"/>
    <cellStyle name="Вычисление 1 7 5 3" xfId="42359" xr:uid="{8D299478-4673-4EC5-85D7-0BD780DDDC5C}"/>
    <cellStyle name="Вычисление 1 7 6" xfId="21448" xr:uid="{0B4C5A1C-CA1E-4EF3-B880-C2168063C4CE}"/>
    <cellStyle name="Вычисление 1 7 7" xfId="34496" xr:uid="{7423460B-3502-4593-9C8E-B4D80D94D92A}"/>
    <cellStyle name="Вычисление 1 8" xfId="3519" xr:uid="{2511A731-CEF9-4FAC-B2C0-C46074B300EB}"/>
    <cellStyle name="Вычисление 1 8 2" xfId="2860" xr:uid="{5C78AB8F-7C61-4A32-A253-58E72A6FD99A}"/>
    <cellStyle name="Вычисление 1 8 2 2" xfId="8156" xr:uid="{AE863E0B-CACA-4F1A-8B36-3DAE73D84E6E}"/>
    <cellStyle name="Вычисление 1 8 2 2 2" xfId="12974" xr:uid="{671ED0CA-8CC3-45F4-9987-6C5E0F3B89DD}"/>
    <cellStyle name="Вычисление 1 8 2 2 2 2" xfId="29512" xr:uid="{6C83ECD8-DA47-4EAF-8C8B-7FF061836D04}"/>
    <cellStyle name="Вычисление 1 8 2 2 2 3" xfId="42811" xr:uid="{D875BF93-FF03-4DCD-BE44-91766E01DBFD}"/>
    <cellStyle name="Вычисление 1 8 2 2 3" xfId="25667" xr:uid="{72B622B1-2174-4E27-8269-53FFA4AC5ADE}"/>
    <cellStyle name="Вычисление 1 8 2 2 4" xfId="38743" xr:uid="{46E36C26-5054-4622-882A-64DD3D3943D1}"/>
    <cellStyle name="Вычисление 1 8 2 3" xfId="6523" xr:uid="{7F764F37-DCEB-44FD-B0DF-8F6C53FA1DDA}"/>
    <cellStyle name="Вычисление 1 8 2 3 2" xfId="12498" xr:uid="{1A1F1057-6D7A-467F-B612-3F00846B5228}"/>
    <cellStyle name="Вычисление 1 8 2 3 2 2" xfId="29132" xr:uid="{1BD759E9-BC67-44DA-8686-E38DC9B75F7B}"/>
    <cellStyle name="Вычисление 1 8 2 3 2 3" xfId="42386" xr:uid="{1E04231B-A062-445B-96EC-769192680F44}"/>
    <cellStyle name="Вычисление 1 8 2 3 3" xfId="24158" xr:uid="{929CC731-DFDD-4B94-A8F5-A15E7411C24A}"/>
    <cellStyle name="Вычисление 1 8 2 3 4" xfId="37239" xr:uid="{86F005D1-7232-482B-9D65-12CB23C70626}"/>
    <cellStyle name="Вычисление 1 8 2 4" xfId="13354" xr:uid="{E36589B6-6F17-4747-B4FD-65FE6429DF7C}"/>
    <cellStyle name="Вычисление 1 8 2 4 2" xfId="29833" xr:uid="{76A8A8C2-F4E8-4CBA-BD19-6435FD5F7ACB}"/>
    <cellStyle name="Вычисление 1 8 2 4 3" xfId="43167" xr:uid="{18163E0A-8904-4558-9005-0C05109C6310}"/>
    <cellStyle name="Вычисление 1 8 2 5" xfId="20910" xr:uid="{0CAB060F-916B-4D8A-9839-D8E20E0621B4}"/>
    <cellStyle name="Вычисление 1 8 2 6" xfId="33933" xr:uid="{5CADC1AF-A05B-437A-9992-7B66B8429FF2}"/>
    <cellStyle name="Вычисление 1 8 3" xfId="4520" xr:uid="{D6A52222-A819-47C4-9C6E-9D76FAD7B2BC}"/>
    <cellStyle name="Вычисление 1 8 3 2" xfId="7161" xr:uid="{A277AA86-0C02-4918-96CC-FF9F8F553E8B}"/>
    <cellStyle name="Вычисление 1 8 3 2 2" xfId="15678" xr:uid="{5AAC9D0F-6CDD-404D-90BA-C2B23F9574F0}"/>
    <cellStyle name="Вычисление 1 8 3 2 2 2" xfId="31791" xr:uid="{A5B4B88C-D98C-4973-AF0B-1A39F98FA2D0}"/>
    <cellStyle name="Вычисление 1 8 3 2 2 3" xfId="45299" xr:uid="{6AC4F1BB-3094-4E15-A6BB-F8CF85A25ED3}"/>
    <cellStyle name="Вычисление 1 8 3 2 3" xfId="24759" xr:uid="{C0C5686B-BF71-43CA-AFD8-ECF3D3BB29B3}"/>
    <cellStyle name="Вычисление 1 8 3 2 4" xfId="37840" xr:uid="{7BC998FE-878C-4555-B76B-C48ECE59AC52}"/>
    <cellStyle name="Вычисление 1 8 3 3" xfId="15581" xr:uid="{566A7ECB-F449-40CA-A7B5-DA6CFA04434D}"/>
    <cellStyle name="Вычисление 1 8 3 3 2" xfId="31709" xr:uid="{09CE112F-BE9C-427E-9FD1-C4E77A67AE80}"/>
    <cellStyle name="Вычисление 1 8 3 3 3" xfId="45211" xr:uid="{166D4D70-D1D3-485F-8EDC-66E77C8B2D4A}"/>
    <cellStyle name="Вычисление 1 8 3 4" xfId="22338" xr:uid="{932221D9-B24C-4430-B48C-DAB080E9B7EF}"/>
    <cellStyle name="Вычисление 1 8 3 5" xfId="35387" xr:uid="{62B5F404-558B-4F2B-BE87-CAA41E690C34}"/>
    <cellStyle name="Вычисление 1 8 4" xfId="5573" xr:uid="{423E511C-9A3F-473E-B81C-F1573AAE2739}"/>
    <cellStyle name="Вычисление 1 8 4 2" xfId="8755" xr:uid="{4A1ED4AE-0B29-495F-9FE1-4F2672741176}"/>
    <cellStyle name="Вычисление 1 8 4 2 2" xfId="11667" xr:uid="{EED5B929-C0EB-418A-813E-F8CC241FBAAB}"/>
    <cellStyle name="Вычисление 1 8 4 2 2 2" xfId="28406" xr:uid="{37668DEF-1E5A-4600-A52F-7C1A33F3D856}"/>
    <cellStyle name="Вычисление 1 8 4 2 2 3" xfId="41610" xr:uid="{3B1113DD-EDEA-49B3-942A-205EC1FFBE2E}"/>
    <cellStyle name="Вычисление 1 8 4 2 3" xfId="26248" xr:uid="{42777A0A-EC6E-486C-8477-EAE6B9523007}"/>
    <cellStyle name="Вычисление 1 8 4 2 4" xfId="39324" xr:uid="{E92FD135-5FC6-46E7-B089-C10D5A63BD4A}"/>
    <cellStyle name="Вычисление 1 8 4 3" xfId="16263" xr:uid="{9C474208-B766-4AB0-A4FE-38BD3085EF45}"/>
    <cellStyle name="Вычисление 1 8 4 3 2" xfId="32297" xr:uid="{FC35D5C3-9322-435E-97EE-1E2066D8AF73}"/>
    <cellStyle name="Вычисление 1 8 4 3 3" xfId="45826" xr:uid="{FE4B741A-C34F-43CE-9C3B-0AE0833926DD}"/>
    <cellStyle name="Вычисление 1 8 4 4" xfId="23220" xr:uid="{E3CC863C-B04A-43A6-85EF-6D301DA10604}"/>
    <cellStyle name="Вычисление 1 8 4 5" xfId="36301" xr:uid="{8172534B-4486-4D02-9AE5-B94EFB501400}"/>
    <cellStyle name="Вычисление 1 8 5" xfId="16507" xr:uid="{596E6058-3FB3-4BC4-A759-4495D0679858}"/>
    <cellStyle name="Вычисление 1 8 5 2" xfId="32467" xr:uid="{DE92CE2D-B00D-4539-958F-8140EA4B526D}"/>
    <cellStyle name="Вычисление 1 8 5 3" xfId="46055" xr:uid="{F3ED6590-48ED-4703-8CE7-19EC3F69E5C7}"/>
    <cellStyle name="Вычисление 1 8 6" xfId="21482" xr:uid="{5FA8BFE5-5051-4B6E-BBED-A6523B30B7C9}"/>
    <cellStyle name="Вычисление 1 8 7" xfId="34534" xr:uid="{4C8566BB-01CC-48BB-AF73-E49277F4D542}"/>
    <cellStyle name="Вычисление 1 9" xfId="3584" xr:uid="{3F98AF3B-C5DD-46D8-A95F-E366F5617738}"/>
    <cellStyle name="Вычисление 1 9 2" xfId="2919" xr:uid="{6AB2C7F5-823A-4A35-98E0-00E17D37FB58}"/>
    <cellStyle name="Вычисление 1 9 2 2" xfId="8215" xr:uid="{4CFC441F-B5BE-42B5-96C6-A8D49FA21884}"/>
    <cellStyle name="Вычисление 1 9 2 2 2" xfId="13678" xr:uid="{F1467B63-6CAB-4BDD-A0AC-74312DE02941}"/>
    <cellStyle name="Вычисление 1 9 2 2 2 2" xfId="30103" xr:uid="{98F58811-DA64-47BF-9D6F-1EDB3F0DE61B}"/>
    <cellStyle name="Вычисление 1 9 2 2 2 3" xfId="43462" xr:uid="{96ECD64B-28EC-47B1-9117-51A24D8EDE4B}"/>
    <cellStyle name="Вычисление 1 9 2 2 3" xfId="25726" xr:uid="{DB394B79-8317-4185-A1EC-8AB9BDCE188E}"/>
    <cellStyle name="Вычисление 1 9 2 2 4" xfId="38802" xr:uid="{F687D714-F123-4642-8D4E-6038E85E79C5}"/>
    <cellStyle name="Вычисление 1 9 2 3" xfId="6582" xr:uid="{519B51F1-4C26-41E1-83E2-68808B6DFC81}"/>
    <cellStyle name="Вычисление 1 9 2 3 2" xfId="13864" xr:uid="{27FFBFF4-E489-4EB0-BB81-352A50A41C96}"/>
    <cellStyle name="Вычисление 1 9 2 3 2 2" xfId="30263" xr:uid="{C7D1A50E-20C2-44EF-8CC8-6D69589A2A62}"/>
    <cellStyle name="Вычисление 1 9 2 3 2 3" xfId="43634" xr:uid="{02BCA1A9-88DA-4049-991C-2B90F25264E0}"/>
    <cellStyle name="Вычисление 1 9 2 3 3" xfId="24217" xr:uid="{E8AA1183-618D-49E2-BA0C-7984CA6F7032}"/>
    <cellStyle name="Вычисление 1 9 2 3 4" xfId="37298" xr:uid="{8299A09A-AA50-4935-BB2B-091268C1D910}"/>
    <cellStyle name="Вычисление 1 9 2 4" xfId="15499" xr:uid="{2F610CD8-4236-448A-BD4E-F93B8C939744}"/>
    <cellStyle name="Вычисление 1 9 2 4 2" xfId="31638" xr:uid="{8BDE089A-E26E-42FE-B827-9891CF60D09F}"/>
    <cellStyle name="Вычисление 1 9 2 4 3" xfId="45135" xr:uid="{244BADF0-3B95-44DB-8354-2573F62CD3A4}"/>
    <cellStyle name="Вычисление 1 9 2 5" xfId="20969" xr:uid="{FC7257A3-F012-407F-B43C-7276A26D3CCB}"/>
    <cellStyle name="Вычисление 1 9 2 6" xfId="33992" xr:uid="{08FDAD8F-7503-487C-B561-6C3E284C9132}"/>
    <cellStyle name="Вычисление 1 9 3" xfId="4553" xr:uid="{F3D2A456-7EDC-47BA-985C-9162C37ECB20}"/>
    <cellStyle name="Вычисление 1 9 3 2" xfId="7221" xr:uid="{244F0EAB-2FF4-4F79-8037-C58846477FF0}"/>
    <cellStyle name="Вычисление 1 9 3 2 2" xfId="14867" xr:uid="{08F04962-33D6-465C-92F6-79A0A2FB2AA2}"/>
    <cellStyle name="Вычисление 1 9 3 2 2 2" xfId="31121" xr:uid="{3E0824B4-25F5-460F-9694-108599264758}"/>
    <cellStyle name="Вычисление 1 9 3 2 2 3" xfId="44560" xr:uid="{EE121829-6BC3-49FF-B22E-D54940585373}"/>
    <cellStyle name="Вычисление 1 9 3 2 3" xfId="24815" xr:uid="{7B071715-94B5-417B-8403-FE46BB8BB3F7}"/>
    <cellStyle name="Вычисление 1 9 3 2 4" xfId="37896" xr:uid="{0C2AD905-177E-4683-A690-4877B67FF774}"/>
    <cellStyle name="Вычисление 1 9 3 3" xfId="10962" xr:uid="{345D3E17-DCAE-48B6-A680-BFEB2AF34741}"/>
    <cellStyle name="Вычисление 1 9 3 3 2" xfId="27775" xr:uid="{C165C24E-8E61-4EF9-B27E-75F0647E6080}"/>
    <cellStyle name="Вычисление 1 9 3 3 3" xfId="40942" xr:uid="{3CD5CCD9-1BA5-4BEA-A351-AA852622F55A}"/>
    <cellStyle name="Вычисление 1 9 3 4" xfId="22369" xr:uid="{4E4D5F11-D42A-4DB1-9DCD-AF13CE514F3D}"/>
    <cellStyle name="Вычисление 1 9 3 5" xfId="35418" xr:uid="{2DFA02AE-BAB1-42D5-B605-2EBEA5745ADD}"/>
    <cellStyle name="Вычисление 1 9 4" xfId="5629" xr:uid="{9992695B-7333-47AE-90D9-440D3052E3A4}"/>
    <cellStyle name="Вычисление 1 9 4 2" xfId="8811" xr:uid="{FB39F427-54B8-40FC-BA3B-B2A90235C15A}"/>
    <cellStyle name="Вычисление 1 9 4 2 2" xfId="11194" xr:uid="{D9065565-4C65-4A04-A4BC-6AE9047247CA}"/>
    <cellStyle name="Вычисление 1 9 4 2 2 2" xfId="27988" xr:uid="{BE49BD67-749D-48D6-A890-F766AE6E0002}"/>
    <cellStyle name="Вычисление 1 9 4 2 2 3" xfId="41170" xr:uid="{AD0B2E72-233A-4DE6-A30E-62EBA7E390A5}"/>
    <cellStyle name="Вычисление 1 9 4 2 3" xfId="26304" xr:uid="{35BB19ED-6D2A-48C1-866C-699686DB2191}"/>
    <cellStyle name="Вычисление 1 9 4 2 4" xfId="39380" xr:uid="{B2A42C59-C489-43F6-BBE5-50A03A204823}"/>
    <cellStyle name="Вычисление 1 9 4 3" xfId="11774" xr:uid="{C6391725-1C80-41B8-89B8-A2753E54C4E3}"/>
    <cellStyle name="Вычисление 1 9 4 3 2" xfId="28498" xr:uid="{04F18CB4-B3EC-4B18-A826-F05783B7B4A1}"/>
    <cellStyle name="Вычисление 1 9 4 3 3" xfId="41709" xr:uid="{C815D635-3CDA-449B-B10C-16839A53ED9B}"/>
    <cellStyle name="Вычисление 1 9 4 4" xfId="23276" xr:uid="{097EB3A8-09BF-4C43-8163-6C4B4A535650}"/>
    <cellStyle name="Вычисление 1 9 4 5" xfId="36357" xr:uid="{56F9C886-FB7C-4BCD-BCBA-E4149E18F732}"/>
    <cellStyle name="Вычисление 1 9 5" xfId="10906" xr:uid="{C5200483-4E32-4D58-96F4-B51370B65CE7}"/>
    <cellStyle name="Вычисление 1 9 5 2" xfId="27727" xr:uid="{4CE58B10-265E-4FD5-B996-3B0304C89F54}"/>
    <cellStyle name="Вычисление 1 9 5 3" xfId="40886" xr:uid="{DC5055CB-E9BB-463F-BF74-9FDD12F1DD82}"/>
    <cellStyle name="Вычисление 1 9 6" xfId="21538" xr:uid="{6897F1C9-2E54-4DAD-B374-C7063AB079A0}"/>
    <cellStyle name="Вычисление 1 9 7" xfId="34591" xr:uid="{7E672CD2-B766-4BCE-999C-9D58B0551E8E}"/>
    <cellStyle name="Вычисление 2" xfId="2303" xr:uid="{87260927-8337-4CAF-9267-64DAA83075FA}"/>
    <cellStyle name="Вычисление 2 10" xfId="3728" xr:uid="{6428C614-49F7-407A-A8A2-0C6FA123F85A}"/>
    <cellStyle name="Вычисление 2 10 2" xfId="3044" xr:uid="{3EAF2A6B-5476-40A2-ACBB-530371BD6621}"/>
    <cellStyle name="Вычисление 2 10 2 2" xfId="8340" xr:uid="{508BFE2F-35D1-425B-9FF0-2379D0376CA0}"/>
    <cellStyle name="Вычисление 2 10 2 2 2" xfId="14253" xr:uid="{1254E8F6-421A-4BDB-95E3-DC97B75B184F}"/>
    <cellStyle name="Вычисление 2 10 2 2 2 2" xfId="30597" xr:uid="{EA081EAB-AD71-4B2D-B276-689C36BCE2F2}"/>
    <cellStyle name="Вычисление 2 10 2 2 2 3" xfId="43989" xr:uid="{086B75E6-0D7A-462E-8EFD-4D5805E6C939}"/>
    <cellStyle name="Вычисление 2 10 2 2 3" xfId="25844" xr:uid="{4705AD50-EB96-4EA9-8633-6FCFD2430BAD}"/>
    <cellStyle name="Вычисление 2 10 2 2 4" xfId="38920" xr:uid="{2D7A135A-DED8-4A89-9886-D486429949A9}"/>
    <cellStyle name="Вычисление 2 10 2 3" xfId="6707" xr:uid="{29A5A5A0-2A39-489B-B193-C68B60650186}"/>
    <cellStyle name="Вычисление 2 10 2 3 2" xfId="15680" xr:uid="{A0380FA1-09F2-438D-BCE7-1633CF822786}"/>
    <cellStyle name="Вычисление 2 10 2 3 2 2" xfId="31793" xr:uid="{1861045B-0B53-494C-91EE-5D80FBDFCB24}"/>
    <cellStyle name="Вычисление 2 10 2 3 2 3" xfId="45301" xr:uid="{383A774E-2268-47F9-9389-21F47A8EFB5C}"/>
    <cellStyle name="Вычисление 2 10 2 3 3" xfId="24335" xr:uid="{B0BB9C54-8E80-42A6-B023-6717316FAC5D}"/>
    <cellStyle name="Вычисление 2 10 2 3 4" xfId="37416" xr:uid="{A951BA2D-DEBB-45A9-A355-AB22E2DC257A}"/>
    <cellStyle name="Вычисление 2 10 2 4" xfId="11546" xr:uid="{B0C77E53-76C7-4025-82A3-7A927461A19E}"/>
    <cellStyle name="Вычисление 2 10 2 4 2" xfId="28303" xr:uid="{966D8CFC-9F3E-46FC-8B4C-9EC95C6279C9}"/>
    <cellStyle name="Вычисление 2 10 2 4 3" xfId="41501" xr:uid="{745ED7F5-841A-4666-A89A-4C191E1C9A43}"/>
    <cellStyle name="Вычисление 2 10 2 5" xfId="21087" xr:uid="{E9FF5616-61F9-4DDB-B99D-2A67F665DE1C}"/>
    <cellStyle name="Вычисление 2 10 2 6" xfId="34110" xr:uid="{9293A21B-9AE8-4318-B420-B37AD87A73A7}"/>
    <cellStyle name="Вычисление 2 10 3" xfId="4629" xr:uid="{9C9F664A-8152-46D2-8094-D899AAF5C01C}"/>
    <cellStyle name="Вычисление 2 10 3 2" xfId="7363" xr:uid="{9E026763-AFFB-4A9A-B6FA-39C9123C3213}"/>
    <cellStyle name="Вычисление 2 10 3 2 2" xfId="16854" xr:uid="{59629D93-2FBC-4895-B469-493D3FEB2528}"/>
    <cellStyle name="Вычисление 2 10 3 2 2 2" xfId="32731" xr:uid="{50F06A05-E9A5-445F-A953-73AA0D21DF6D}"/>
    <cellStyle name="Вычисление 2 10 3 2 2 3" xfId="46396" xr:uid="{143C14A8-CB5E-4C86-8E89-B213AAAD52A8}"/>
    <cellStyle name="Вычисление 2 10 3 2 3" xfId="24922" xr:uid="{3EFDCE13-E4AC-4225-A110-91E825267BD7}"/>
    <cellStyle name="Вычисление 2 10 3 2 4" xfId="38002" xr:uid="{F540D98D-36C5-491B-B1E7-5665E5FD4C61}"/>
    <cellStyle name="Вычисление 2 10 3 3" xfId="13363" xr:uid="{AF28B22E-FBBD-4785-9F86-02671023155C}"/>
    <cellStyle name="Вычисление 2 10 3 3 2" xfId="29839" xr:uid="{186D9A88-DC56-41F9-9329-90461B6EEE6C}"/>
    <cellStyle name="Вычисление 2 10 3 3 3" xfId="43173" xr:uid="{808CBCD6-80BB-4936-9081-1701EF25D0A0}"/>
    <cellStyle name="Вычисление 2 10 3 4" xfId="22439" xr:uid="{C2D4AB68-20EC-4417-A733-61C093973A0C}"/>
    <cellStyle name="Вычисление 2 10 3 5" xfId="35492" xr:uid="{3736466E-2051-4203-8EA3-02FD991D07A0}"/>
    <cellStyle name="Вычисление 2 10 4" xfId="5735" xr:uid="{0A37A116-80FA-414C-A6AC-A9D2C628E442}"/>
    <cellStyle name="Вычисление 2 10 4 2" xfId="8924" xr:uid="{9ECE9BE7-D61D-4A0A-93EA-0EDCFF545FD6}"/>
    <cellStyle name="Вычисление 2 10 4 2 2" xfId="13664" xr:uid="{46951949-8D8A-40B1-85F5-3E225174B41C}"/>
    <cellStyle name="Вычисление 2 10 4 2 2 2" xfId="30089" xr:uid="{01F748F4-40FE-4E47-884A-496FFD9887A4}"/>
    <cellStyle name="Вычисление 2 10 4 2 2 3" xfId="43448" xr:uid="{489A0286-0524-43F1-8BBB-092107C9BAE2}"/>
    <cellStyle name="Вычисление 2 10 4 2 3" xfId="26410" xr:uid="{26213D2D-F0FB-4E83-89A0-F73CB8F45AF9}"/>
    <cellStyle name="Вычисление 2 10 4 2 4" xfId="39486" xr:uid="{63AB8697-15FB-44B0-B88D-03776F8A2344}"/>
    <cellStyle name="Вычисление 2 10 4 3" xfId="11385" xr:uid="{D5ED31ED-FD33-4783-A500-C6674527D674}"/>
    <cellStyle name="Вычисление 2 10 4 3 2" xfId="28157" xr:uid="{A5BC5EBE-C477-4A75-9050-A7B6A416B060}"/>
    <cellStyle name="Вычисление 2 10 4 3 3" xfId="41347" xr:uid="{58E0D07F-34D4-4EB4-9C8E-32999D2B372D}"/>
    <cellStyle name="Вычисление 2 10 4 4" xfId="23382" xr:uid="{88FB1AC9-7CAD-4255-BC47-5A1DE5282346}"/>
    <cellStyle name="Вычисление 2 10 4 5" xfId="36463" xr:uid="{88886BE1-20DF-4E94-A1CB-A22AE4838BC1}"/>
    <cellStyle name="Вычисление 2 10 5" xfId="12732" xr:uid="{1CDB07ED-7082-4284-9484-97EDB0EBA4FC}"/>
    <cellStyle name="Вычисление 2 10 5 2" xfId="29313" xr:uid="{C345ADA8-2BC0-487C-A8DF-A584B275A634}"/>
    <cellStyle name="Вычисление 2 10 5 3" xfId="42590" xr:uid="{0841CAD1-7108-41E9-97B8-F4597274419D}"/>
    <cellStyle name="Вычисление 2 10 6" xfId="21644" xr:uid="{F30135EA-FA6F-4ECF-999B-61D7727D9AC5}"/>
    <cellStyle name="Вычисление 2 10 7" xfId="34698" xr:uid="{D3431130-DBD9-4DEB-A72B-4DA2784B0E57}"/>
    <cellStyle name="Вычисление 2 11" xfId="3571" xr:uid="{9AE59D63-D723-4632-8224-4190AD7115FE}"/>
    <cellStyle name="Вычисление 2 11 2" xfId="2906" xr:uid="{8AE51E0F-CA30-4749-9BF5-866850D973EC}"/>
    <cellStyle name="Вычисление 2 11 2 2" xfId="8202" xr:uid="{AEE0F3E2-DEFA-4832-91E7-A0EEBD2080CF}"/>
    <cellStyle name="Вычисление 2 11 2 2 2" xfId="14321" xr:uid="{03AD82A7-59DC-474C-B9D1-B86AB4028E8A}"/>
    <cellStyle name="Вычисление 2 11 2 2 2 2" xfId="30657" xr:uid="{745824AE-176C-457C-97C5-8E7B1441B2A8}"/>
    <cellStyle name="Вычисление 2 11 2 2 2 3" xfId="44051" xr:uid="{170CCBAF-629E-40B5-9A22-5D625A1FB112}"/>
    <cellStyle name="Вычисление 2 11 2 2 3" xfId="25713" xr:uid="{91010B16-BC64-4632-A46E-C48FB938CF4B}"/>
    <cellStyle name="Вычисление 2 11 2 2 4" xfId="38789" xr:uid="{96B5E77C-4234-4BCA-9DB6-88E45798BD0F}"/>
    <cellStyle name="Вычисление 2 11 2 3" xfId="6569" xr:uid="{1C8A3A7D-ED23-4CAB-B863-2A9FA89DBB1D}"/>
    <cellStyle name="Вычисление 2 11 2 3 2" xfId="15771" xr:uid="{7330898F-60EB-4509-8165-F1FE58C982C2}"/>
    <cellStyle name="Вычисление 2 11 2 3 2 2" xfId="31873" xr:uid="{9F3D9217-DB91-476C-9A29-3BFC2C0472FA}"/>
    <cellStyle name="Вычисление 2 11 2 3 2 3" xfId="45384" xr:uid="{7A980533-303E-4412-8EB3-A90147ECBF56}"/>
    <cellStyle name="Вычисление 2 11 2 3 3" xfId="24204" xr:uid="{02FF7890-20A3-4026-9271-FBBD3E0B88A8}"/>
    <cellStyle name="Вычисление 2 11 2 3 4" xfId="37285" xr:uid="{B3209B95-F26F-4141-8C2F-EF6382451DD3}"/>
    <cellStyle name="Вычисление 2 11 2 4" xfId="14298" xr:uid="{CED9EDD8-D598-4876-942C-4FEF3ADBE1E5}"/>
    <cellStyle name="Вычисление 2 11 2 4 2" xfId="30636" xr:uid="{69171313-A798-4E64-85EC-1BB9CDD29653}"/>
    <cellStyle name="Вычисление 2 11 2 4 3" xfId="44030" xr:uid="{CF9D5AAD-8A8C-4684-A9F0-A184FF07805A}"/>
    <cellStyle name="Вычисление 2 11 2 5" xfId="20956" xr:uid="{FCA912D0-F7D4-4153-B3F8-2D55063D4CC6}"/>
    <cellStyle name="Вычисление 2 11 2 6" xfId="33979" xr:uid="{00EF8F17-F1C2-49E6-A632-459F21ED3DB2}"/>
    <cellStyle name="Вычисление 2 11 3" xfId="4662" xr:uid="{1DFBC9A8-0A4A-42CD-89E7-B89460C1203A}"/>
    <cellStyle name="Вычисление 2 11 3 2" xfId="7208" xr:uid="{AA65367F-A3D6-4AD7-AB41-3025CF296F72}"/>
    <cellStyle name="Вычисление 2 11 3 2 2" xfId="12487" xr:uid="{5046C52C-B815-418D-8AED-D47695D79910}"/>
    <cellStyle name="Вычисление 2 11 3 2 2 2" xfId="29124" xr:uid="{8AB9F9AA-E6D0-4C39-8435-0EEE10316407}"/>
    <cellStyle name="Вычисление 2 11 3 2 2 3" xfId="42377" xr:uid="{40CA76C4-F213-432D-A05C-4810D927A36C}"/>
    <cellStyle name="Вычисление 2 11 3 2 3" xfId="24802" xr:uid="{F8E1A736-1304-41A2-83FF-B0183B61676D}"/>
    <cellStyle name="Вычисление 2 11 3 2 4" xfId="37883" xr:uid="{0E06B597-16AB-4A1D-90DC-09CBA36F15B6}"/>
    <cellStyle name="Вычисление 2 11 3 3" xfId="17179" xr:uid="{6AA46F3A-9F83-4AA6-A114-FA5EE4722294}"/>
    <cellStyle name="Вычисление 2 11 3 3 2" xfId="32942" xr:uid="{B6B39D34-D6B4-4B46-81C9-8242D2B5BBC3}"/>
    <cellStyle name="Вычисление 2 11 3 3 3" xfId="46714" xr:uid="{266FA61D-8E67-4672-89F4-4129232CE387}"/>
    <cellStyle name="Вычисление 2 11 3 4" xfId="22472" xr:uid="{53100DCD-C582-4514-B1A8-7528BB15686C}"/>
    <cellStyle name="Вычисление 2 11 3 5" xfId="35525" xr:uid="{8B8179EE-B5E6-4DB8-B8F9-2543C5E5B5BB}"/>
    <cellStyle name="Вычисление 2 11 4" xfId="5616" xr:uid="{6206D96F-6655-44F9-915E-DD7966477E6A}"/>
    <cellStyle name="Вычисление 2 11 4 2" xfId="8798" xr:uid="{17A8C6E0-BFB5-4892-A61A-1D9054DF6E78}"/>
    <cellStyle name="Вычисление 2 11 4 2 2" xfId="13447" xr:uid="{ED61D82D-E178-4703-9501-6AF3A41C6E4F}"/>
    <cellStyle name="Вычисление 2 11 4 2 2 2" xfId="29911" xr:uid="{CAF1A825-1263-4DED-94DE-D1AFF45C134F}"/>
    <cellStyle name="Вычисление 2 11 4 2 2 3" xfId="43249" xr:uid="{01CD901A-BD1B-4AD6-92AD-E843072516F6}"/>
    <cellStyle name="Вычисление 2 11 4 2 3" xfId="26291" xr:uid="{3FA8A964-618F-4FD1-8EA6-D8520F514A3A}"/>
    <cellStyle name="Вычисление 2 11 4 2 4" xfId="39367" xr:uid="{F13C7747-AD5B-4DCD-B303-2467E3E875A4}"/>
    <cellStyle name="Вычисление 2 11 4 3" xfId="15738" xr:uid="{853C982A-97A5-4A06-B890-4C9BCA493B74}"/>
    <cellStyle name="Вычисление 2 11 4 3 2" xfId="31847" xr:uid="{CD7357DB-EA1B-4D14-86DD-603460414047}"/>
    <cellStyle name="Вычисление 2 11 4 3 3" xfId="45357" xr:uid="{AFB6B6CC-2F73-49DA-AFD2-591546AAF377}"/>
    <cellStyle name="Вычисление 2 11 4 4" xfId="23263" xr:uid="{D542A5AC-4B18-40A5-9FAC-2C2545A3983F}"/>
    <cellStyle name="Вычисление 2 11 4 5" xfId="36344" xr:uid="{2BCFB7C3-5E46-48DE-9E6A-876022C5E88F}"/>
    <cellStyle name="Вычисление 2 11 5" xfId="16420" xr:uid="{6AB8560A-B694-40D7-AEED-4CD80062F5F2}"/>
    <cellStyle name="Вычисление 2 11 5 2" xfId="32434" xr:uid="{01244A89-AF69-4412-8723-F9C11D37E761}"/>
    <cellStyle name="Вычисление 2 11 5 3" xfId="45971" xr:uid="{15C8B9E4-0F50-4EF9-BF6D-3D0FBD2C694C}"/>
    <cellStyle name="Вычисление 2 11 6" xfId="21525" xr:uid="{BF9FBB70-B91A-4B13-A1D1-268D81C3E5E2}"/>
    <cellStyle name="Вычисление 2 11 7" xfId="34578" xr:uid="{C800F7A3-52E8-4545-A350-D3F0A848BAC3}"/>
    <cellStyle name="Вычисление 2 12" xfId="3709" xr:uid="{63E076FA-2D3E-4C98-BA2A-FEEB32DEDA54}"/>
    <cellStyle name="Вычисление 2 12 2" xfId="3025" xr:uid="{CB0DAF88-856C-40FC-8C3A-890C41BFC183}"/>
    <cellStyle name="Вычисление 2 12 2 2" xfId="8321" xr:uid="{F8A40565-7EF7-4EB3-9FD3-4B5E7BB05C5B}"/>
    <cellStyle name="Вычисление 2 12 2 2 2" xfId="14192" xr:uid="{248A5180-4B62-495B-9ED4-6C34F5D5CFE6}"/>
    <cellStyle name="Вычисление 2 12 2 2 2 2" xfId="30541" xr:uid="{6C66C5E2-90CA-4B7F-867C-7E417A706F7F}"/>
    <cellStyle name="Вычисление 2 12 2 2 2 3" xfId="43929" xr:uid="{657557D5-3215-4A22-8A11-A1CF57DA3C67}"/>
    <cellStyle name="Вычисление 2 12 2 2 3" xfId="25825" xr:uid="{5ED25383-36B9-48BF-A237-08B45E9B3D8B}"/>
    <cellStyle name="Вычисление 2 12 2 2 4" xfId="38901" xr:uid="{0A05190F-6FC5-47B7-A793-7B3A69A2647F}"/>
    <cellStyle name="Вычисление 2 12 2 3" xfId="6688" xr:uid="{FA33CC8B-2349-4E03-9EAC-E508074C87CF}"/>
    <cellStyle name="Вычисление 2 12 2 3 2" xfId="12088" xr:uid="{2A0D5D97-B273-480A-BC70-D0D648657BD8}"/>
    <cellStyle name="Вычисление 2 12 2 3 2 2" xfId="28788" xr:uid="{F2D7121D-1F1B-4794-A661-A9898519C307}"/>
    <cellStyle name="Вычисление 2 12 2 3 2 3" xfId="42008" xr:uid="{139D4EEE-A0D2-4522-806D-ABE0860FE964}"/>
    <cellStyle name="Вычисление 2 12 2 3 3" xfId="24316" xr:uid="{A4547CAF-6992-4DD6-839B-2E50D0698FB2}"/>
    <cellStyle name="Вычисление 2 12 2 3 4" xfId="37397" xr:uid="{32A6CF99-B73F-4AF0-9067-F753C0F3AEA1}"/>
    <cellStyle name="Вычисление 2 12 2 4" xfId="15597" xr:uid="{E9572CA6-0EF1-400F-A336-5452C125FA7E}"/>
    <cellStyle name="Вычисление 2 12 2 4 2" xfId="31723" xr:uid="{E6A8ACD9-E4AD-4F5A-84A0-0022F8C35836}"/>
    <cellStyle name="Вычисление 2 12 2 4 3" xfId="45225" xr:uid="{997E455A-750E-4A70-8977-CB3EA7D121C4}"/>
    <cellStyle name="Вычисление 2 12 2 5" xfId="21068" xr:uid="{54B6FADB-7B03-4F7A-8B99-ADBEBD90EDAD}"/>
    <cellStyle name="Вычисление 2 12 2 6" xfId="34091" xr:uid="{580F28DF-1C96-42AD-AADA-A4695E5DCD9B}"/>
    <cellStyle name="Вычисление 2 12 3" xfId="4739" xr:uid="{CA2D2BDA-12B3-4E8D-902C-58D6CD4A782D}"/>
    <cellStyle name="Вычисление 2 12 3 2" xfId="7344" xr:uid="{DC23417F-D39B-43F9-94A8-A8AA23B971D5}"/>
    <cellStyle name="Вычисление 2 12 3 2 2" xfId="13259" xr:uid="{D59BEBDE-367F-480F-98E3-D5A773E08794}"/>
    <cellStyle name="Вычисление 2 12 3 2 2 2" xfId="29751" xr:uid="{0FC14101-5510-4626-A082-0DE21EF446B0}"/>
    <cellStyle name="Вычисление 2 12 3 2 2 3" xfId="43077" xr:uid="{DE924781-4956-4C22-BDF9-9A62FF396C9E}"/>
    <cellStyle name="Вычисление 2 12 3 2 3" xfId="24903" xr:uid="{9AF6500B-4740-4A15-A3A6-AB9939AEFBC8}"/>
    <cellStyle name="Вычисление 2 12 3 2 4" xfId="37983" xr:uid="{914ADE8B-CFB5-4286-A442-C07F4204883D}"/>
    <cellStyle name="Вычисление 2 12 3 3" xfId="14456" xr:uid="{A12210A8-950D-4BBE-81C3-E3DD28F24759}"/>
    <cellStyle name="Вычисление 2 12 3 3 2" xfId="30784" xr:uid="{B997F405-AFFD-4EAE-9D17-DD4AAA33E032}"/>
    <cellStyle name="Вычисление 2 12 3 3 3" xfId="44185" xr:uid="{52378829-695E-4C67-BE6C-E4149E8C1D2D}"/>
    <cellStyle name="Вычисление 2 12 3 4" xfId="22542" xr:uid="{C7A99FDB-2E8A-4121-9310-2F61465A0094}"/>
    <cellStyle name="Вычисление 2 12 3 5" xfId="35595" xr:uid="{CD1EF56D-7B75-489B-8130-BEC9FDC0913D}"/>
    <cellStyle name="Вычисление 2 12 4" xfId="5716" xr:uid="{4CE30418-7AFD-4FBC-9020-919D1DF11928}"/>
    <cellStyle name="Вычисление 2 12 4 2" xfId="8905" xr:uid="{1F829BD3-E0CA-4A78-B708-DC98ECB512E1}"/>
    <cellStyle name="Вычисление 2 12 4 2 2" xfId="16261" xr:uid="{E52D1F69-8C96-4F40-A1BB-68FFA19A8915}"/>
    <cellStyle name="Вычисление 2 12 4 2 2 2" xfId="32295" xr:uid="{E0AC9E43-ED6D-4B6E-9BC5-BADE31B8F8F2}"/>
    <cellStyle name="Вычисление 2 12 4 2 2 3" xfId="45824" xr:uid="{D897EFCC-9292-4481-B73A-AB811A4B9BFF}"/>
    <cellStyle name="Вычисление 2 12 4 2 3" xfId="26391" xr:uid="{A8D87F68-2D3F-4249-B813-41E73DF08675}"/>
    <cellStyle name="Вычисление 2 12 4 2 4" xfId="39467" xr:uid="{7555527E-FAA2-4FE2-8B52-2182CC8DD9A4}"/>
    <cellStyle name="Вычисление 2 12 4 3" xfId="11246" xr:uid="{B71D94DE-4F29-4D76-B714-9B2BA6718A17}"/>
    <cellStyle name="Вычисление 2 12 4 3 2" xfId="28036" xr:uid="{1B2B4CEE-53F6-4CAF-872A-A305CCD21A3C}"/>
    <cellStyle name="Вычисление 2 12 4 3 3" xfId="41218" xr:uid="{88C35401-C517-4B11-86CE-5213AC411D66}"/>
    <cellStyle name="Вычисление 2 12 4 4" xfId="23363" xr:uid="{DE7518E1-5BD8-4A0B-88E6-4024C89784C2}"/>
    <cellStyle name="Вычисление 2 12 4 5" xfId="36444" xr:uid="{58D5B024-8999-4862-BB9C-2623C788A4AA}"/>
    <cellStyle name="Вычисление 2 12 5" xfId="14578" xr:uid="{D18D4E5E-9994-4023-A031-976E49C80C03}"/>
    <cellStyle name="Вычисление 2 12 5 2" xfId="30881" xr:uid="{CFF495A5-F5B5-4822-BED6-D58989CCD79D}"/>
    <cellStyle name="Вычисление 2 12 5 3" xfId="44298" xr:uid="{31369BAE-2AD1-4687-8917-39149581F382}"/>
    <cellStyle name="Вычисление 2 12 6" xfId="21625" xr:uid="{8D03F64B-9035-4652-A357-C8BAB423DA27}"/>
    <cellStyle name="Вычисление 2 12 7" xfId="34679" xr:uid="{39947256-BF02-47E7-B145-E97F67940E18}"/>
    <cellStyle name="Вычисление 2 13" xfId="3695" xr:uid="{2E99AB00-7278-4C15-9E8B-945BFF2609B6}"/>
    <cellStyle name="Вычисление 2 13 2" xfId="3011" xr:uid="{CA3D9B6B-E370-4231-8CC6-777E5B009BC6}"/>
    <cellStyle name="Вычисление 2 13 2 2" xfId="8307" xr:uid="{8DED20D0-E3D6-4CA2-A8FE-77EF08A15AD8}"/>
    <cellStyle name="Вычисление 2 13 2 2 2" xfId="12236" xr:uid="{7DAE3205-9E1A-4505-BA35-E0C75DC7828E}"/>
    <cellStyle name="Вычисление 2 13 2 2 2 2" xfId="28918" xr:uid="{14020034-3C3D-4CFF-B960-2BE2C9F518CB}"/>
    <cellStyle name="Вычисление 2 13 2 2 2 3" xfId="42151" xr:uid="{BEB536B8-9D2C-432A-B6A6-7E8A2A46FEE6}"/>
    <cellStyle name="Вычисление 2 13 2 2 3" xfId="25811" xr:uid="{F6E43157-B8F7-443E-8FFB-D78DEAC5D74F}"/>
    <cellStyle name="Вычисление 2 13 2 2 4" xfId="38887" xr:uid="{82D4640A-A092-47F2-926B-B43CEE92F452}"/>
    <cellStyle name="Вычисление 2 13 2 3" xfId="6674" xr:uid="{ACE34764-FCF9-40F0-B0E2-0CC5E4632998}"/>
    <cellStyle name="Вычисление 2 13 2 3 2" xfId="13119" xr:uid="{6EF93308-A955-475E-A683-2D084012BACE}"/>
    <cellStyle name="Вычисление 2 13 2 3 2 2" xfId="29634" xr:uid="{47AC900F-71AB-47AF-91AA-7BFE9D9749C4}"/>
    <cellStyle name="Вычисление 2 13 2 3 2 3" xfId="42945" xr:uid="{3CBFEE35-8B73-4B5A-9B56-F963A6A6D77C}"/>
    <cellStyle name="Вычисление 2 13 2 3 3" xfId="24302" xr:uid="{6063CA15-45B7-4B6E-998D-66AA69B5A352}"/>
    <cellStyle name="Вычисление 2 13 2 3 4" xfId="37383" xr:uid="{4E4237D7-ECBA-48B5-B1B5-75A99A4B9BFD}"/>
    <cellStyle name="Вычисление 2 13 2 4" xfId="14083" xr:uid="{D838FF81-065B-453E-948C-7B069B780084}"/>
    <cellStyle name="Вычисление 2 13 2 4 2" xfId="30450" xr:uid="{3BC6E104-54B4-4837-B2DA-D93DBDF76C32}"/>
    <cellStyle name="Вычисление 2 13 2 4 3" xfId="43833" xr:uid="{C9211C14-73B5-436F-AF00-43D157E22F3A}"/>
    <cellStyle name="Вычисление 2 13 2 5" xfId="21054" xr:uid="{EB3A9998-B79D-4771-8FC7-2F3C670EE99D}"/>
    <cellStyle name="Вычисление 2 13 2 6" xfId="34077" xr:uid="{8EFBFE38-E3D5-401C-813D-4D85300D0C00}"/>
    <cellStyle name="Вычисление 2 13 3" xfId="4725" xr:uid="{5AFB3234-0AF7-454C-93F8-BDF1C3CA8085}"/>
    <cellStyle name="Вычисление 2 13 3 2" xfId="7330" xr:uid="{D4400FF3-BF3C-4D7B-B0F7-0B34C1DF85F3}"/>
    <cellStyle name="Вычисление 2 13 3 2 2" xfId="15590" xr:uid="{F4691174-B320-4B48-932C-52D0370AD56C}"/>
    <cellStyle name="Вычисление 2 13 3 2 2 2" xfId="31716" xr:uid="{CB21B600-B71E-4077-B569-AE68A1F18F56}"/>
    <cellStyle name="Вычисление 2 13 3 2 2 3" xfId="45218" xr:uid="{772C384F-472C-4217-851C-6C8EADF2FDA8}"/>
    <cellStyle name="Вычисление 2 13 3 2 3" xfId="24889" xr:uid="{5FE473A6-3CB4-4587-90AE-3A36EC4B3552}"/>
    <cellStyle name="Вычисление 2 13 3 2 4" xfId="37969" xr:uid="{D3198FFA-1719-4EC3-B7DC-A6B4B8D86DBF}"/>
    <cellStyle name="Вычисление 2 13 3 3" xfId="11205" xr:uid="{3260266A-1CA6-47D5-94F6-AA178ACCEDB8}"/>
    <cellStyle name="Вычисление 2 13 3 3 2" xfId="27999" xr:uid="{3A57862D-9007-4B29-8645-7414B29DC8BA}"/>
    <cellStyle name="Вычисление 2 13 3 3 3" xfId="41181" xr:uid="{8242764E-DD26-4778-B574-31347BFB90A2}"/>
    <cellStyle name="Вычисление 2 13 3 4" xfId="22528" xr:uid="{9125485A-95AD-4973-862A-469FAA73D8EC}"/>
    <cellStyle name="Вычисление 2 13 3 5" xfId="35581" xr:uid="{E061E702-2940-48AE-8C9F-0DCD9F0F5CFC}"/>
    <cellStyle name="Вычисление 2 13 4" xfId="5702" xr:uid="{33BC4A36-3F9B-49E4-B505-4E092680021D}"/>
    <cellStyle name="Вычисление 2 13 4 2" xfId="8891" xr:uid="{4C3AC655-BFE2-4E8D-AD55-F283D5EBD72D}"/>
    <cellStyle name="Вычисление 2 13 4 2 2" xfId="15374" xr:uid="{A40D36F4-A82D-4591-BE3E-617473EDCC60}"/>
    <cellStyle name="Вычисление 2 13 4 2 2 2" xfId="31530" xr:uid="{8674EF88-6B82-46C4-9460-3B3643548317}"/>
    <cellStyle name="Вычисление 2 13 4 2 2 3" xfId="45017" xr:uid="{A1FD4DCF-AD6F-4836-BC7E-78B6F95A12FD}"/>
    <cellStyle name="Вычисление 2 13 4 2 3" xfId="26377" xr:uid="{4CC1131C-D4A8-4AE6-9C24-4A781873844F}"/>
    <cellStyle name="Вычисление 2 13 4 2 4" xfId="39453" xr:uid="{9CF2CA0C-1DD4-4CC9-8436-73A1A5E0C326}"/>
    <cellStyle name="Вычисление 2 13 4 3" xfId="11442" xr:uid="{7C0102A9-F252-4237-90FB-9EC828CE6449}"/>
    <cellStyle name="Вычисление 2 13 4 3 2" xfId="28207" xr:uid="{982DCB2E-B5BC-4119-9927-659602EFAB8E}"/>
    <cellStyle name="Вычисление 2 13 4 3 3" xfId="41401" xr:uid="{E91C5794-05AF-49B8-B7C3-2EC8664F534E}"/>
    <cellStyle name="Вычисление 2 13 4 4" xfId="23349" xr:uid="{50C0931F-FE42-436A-9B4A-7E3343AEA45F}"/>
    <cellStyle name="Вычисление 2 13 4 5" xfId="36430" xr:uid="{C3EAB338-A45D-4A2F-8BFD-E7246E6A5018}"/>
    <cellStyle name="Вычисление 2 13 5" xfId="17545" xr:uid="{D341F5E6-F659-4F55-8D7B-0051A087F646}"/>
    <cellStyle name="Вычисление 2 13 5 2" xfId="33283" xr:uid="{39F872D8-B6F3-41DC-8205-A7DD81D6CB90}"/>
    <cellStyle name="Вычисление 2 13 5 3" xfId="47070" xr:uid="{E6AE435B-2789-4085-BCAB-C3FA805FF4E7}"/>
    <cellStyle name="Вычисление 2 13 6" xfId="21611" xr:uid="{2B3C9908-501F-4F22-9FAD-082A7A440D0B}"/>
    <cellStyle name="Вычисление 2 13 7" xfId="34665" xr:uid="{A73D720E-D455-43E3-A7CF-F45163D7ED7E}"/>
    <cellStyle name="Вычисление 2 14" xfId="3534" xr:uid="{C69F23DD-3ED5-4907-9FB9-51274C281C57}"/>
    <cellStyle name="Вычисление 2 14 2" xfId="2875" xr:uid="{8BB3CFEB-2A5C-4F20-9B55-AE6E331A005D}"/>
    <cellStyle name="Вычисление 2 14 2 2" xfId="8171" xr:uid="{1A9D6882-CB2C-4F36-B639-6743C0D5ECB0}"/>
    <cellStyle name="Вычисление 2 14 2 2 2" xfId="11007" xr:uid="{C981E0F3-0156-441D-9AEC-C7D56E5B3947}"/>
    <cellStyle name="Вычисление 2 14 2 2 2 2" xfId="27814" xr:uid="{A86AB67A-C8CF-4538-95AD-18434EBD0BD8}"/>
    <cellStyle name="Вычисление 2 14 2 2 2 3" xfId="40987" xr:uid="{26C77E5F-36FF-459B-9BAE-F21BB1D26087}"/>
    <cellStyle name="Вычисление 2 14 2 2 3" xfId="25682" xr:uid="{F3B61BBA-97D8-43E2-ACFE-144917ECB01E}"/>
    <cellStyle name="Вычисление 2 14 2 2 4" xfId="38758" xr:uid="{6B50BCD4-717B-4C15-9797-C96ABFAC7B4F}"/>
    <cellStyle name="Вычисление 2 14 2 3" xfId="6538" xr:uid="{CFD2F652-5533-49D5-A6CA-34AA3F3D50B7}"/>
    <cellStyle name="Вычисление 2 14 2 3 2" xfId="12126" xr:uid="{1527C241-5AFD-4FCB-861A-0A85ED1A5E9E}"/>
    <cellStyle name="Вычисление 2 14 2 3 2 2" xfId="28826" xr:uid="{23F3393B-CD5E-4CF8-8BC6-7C9C27D247EE}"/>
    <cellStyle name="Вычисление 2 14 2 3 2 3" xfId="42046" xr:uid="{AE0C296A-5F5F-45E5-A82D-424F0B469F2F}"/>
    <cellStyle name="Вычисление 2 14 2 3 3" xfId="24173" xr:uid="{179D5492-399F-45EB-8C13-8BF385448198}"/>
    <cellStyle name="Вычисление 2 14 2 3 4" xfId="37254" xr:uid="{849413CD-D933-4D57-A012-966BB141E5C0}"/>
    <cellStyle name="Вычисление 2 14 2 4" xfId="13937" xr:uid="{238C43C0-852F-4512-8E2B-3EFE6916EEFB}"/>
    <cellStyle name="Вычисление 2 14 2 4 2" xfId="30326" xr:uid="{281F0277-033F-429B-81F2-E9E833FC5549}"/>
    <cellStyle name="Вычисление 2 14 2 4 3" xfId="43702" xr:uid="{3EEE2310-B666-447A-83D1-ACEABFECE07F}"/>
    <cellStyle name="Вычисление 2 14 2 5" xfId="20925" xr:uid="{9296C6E4-D778-4BAB-8554-F47F4F745B73}"/>
    <cellStyle name="Вычисление 2 14 2 6" xfId="33948" xr:uid="{95E899BA-ACAA-426F-82D5-91013D92760D}"/>
    <cellStyle name="Вычисление 2 14 3" xfId="4641" xr:uid="{A14D04B0-F8F2-4812-B118-811DBA13A934}"/>
    <cellStyle name="Вычисление 2 14 3 2" xfId="7176" xr:uid="{6EA847CB-862C-4211-BA83-6142924018A2}"/>
    <cellStyle name="Вычисление 2 14 3 2 2" xfId="11753" xr:uid="{396D4E5A-0F9C-4E3B-8929-02F40F7A4039}"/>
    <cellStyle name="Вычисление 2 14 3 2 2 2" xfId="28479" xr:uid="{1E274C65-DC3F-4C13-BF4E-3F5EBD83F65E}"/>
    <cellStyle name="Вычисление 2 14 3 2 2 3" xfId="41690" xr:uid="{490E51E7-9550-4D89-89A9-7A368429DB90}"/>
    <cellStyle name="Вычисление 2 14 3 2 3" xfId="24773" xr:uid="{A53106E2-7E6F-4407-9192-26BCB1DF435C}"/>
    <cellStyle name="Вычисление 2 14 3 2 4" xfId="37854" xr:uid="{BC6374EA-7834-493F-B813-140523AF1579}"/>
    <cellStyle name="Вычисление 2 14 3 3" xfId="13790" xr:uid="{0C1AAC6B-E84F-4ACD-8B26-C6E508C9DE4B}"/>
    <cellStyle name="Вычисление 2 14 3 3 2" xfId="30196" xr:uid="{37264366-CF59-4EA4-80E2-19C7FD660C81}"/>
    <cellStyle name="Вычисление 2 14 3 3 3" xfId="43562" xr:uid="{AB410577-34B7-45E7-9DE0-DF1678DDAE29}"/>
    <cellStyle name="Вычисление 2 14 3 4" xfId="22451" xr:uid="{FA91E8F0-7934-498E-B88B-38936EB9DF0C}"/>
    <cellStyle name="Вычисление 2 14 3 5" xfId="35504" xr:uid="{08617FCF-F197-4CEA-A66C-EC6AFEBA577D}"/>
    <cellStyle name="Вычисление 2 14 4" xfId="5587" xr:uid="{DBE2FC4C-BC57-45A1-BD94-5C0AFBF1D2A1}"/>
    <cellStyle name="Вычисление 2 14 4 2" xfId="8769" xr:uid="{AB3AD0EB-A2FC-4704-B215-104FD5C390EE}"/>
    <cellStyle name="Вычисление 2 14 4 2 2" xfId="15579" xr:uid="{9666F354-32FA-4B8F-900D-4D2B6DB0EED7}"/>
    <cellStyle name="Вычисление 2 14 4 2 2 2" xfId="31707" xr:uid="{AC9B737F-FE3F-4128-B4B9-46B63449B59B}"/>
    <cellStyle name="Вычисление 2 14 4 2 2 3" xfId="45209" xr:uid="{37418194-95A7-4280-A6FE-3311B3F4CAEA}"/>
    <cellStyle name="Вычисление 2 14 4 2 3" xfId="26262" xr:uid="{B3EF8A56-F494-4000-92CF-99A7320AA53B}"/>
    <cellStyle name="Вычисление 2 14 4 2 4" xfId="39338" xr:uid="{309585F5-3351-4112-836C-61647974F320}"/>
    <cellStyle name="Вычисление 2 14 4 3" xfId="11391" xr:uid="{405F6794-B01F-46AC-9CDB-41ADB5D1AEB0}"/>
    <cellStyle name="Вычисление 2 14 4 3 2" xfId="28163" xr:uid="{7AF7DF8B-C760-4871-AA03-268B7BB5D060}"/>
    <cellStyle name="Вычисление 2 14 4 3 3" xfId="41353" xr:uid="{D1F9EE76-31A3-47A2-9825-C82C6D97A8CC}"/>
    <cellStyle name="Вычисление 2 14 4 4" xfId="23234" xr:uid="{34F88E79-DB74-44A5-94DC-A9C100085DFC}"/>
    <cellStyle name="Вычисление 2 14 4 5" xfId="36315" xr:uid="{E8E56D9D-331B-4CFC-9C92-B4E83C40E71D}"/>
    <cellStyle name="Вычисление 2 14 5" xfId="16308" xr:uid="{DEF1A06F-5104-4EF0-9EEE-0C188240E1CF}"/>
    <cellStyle name="Вычисление 2 14 5 2" xfId="32334" xr:uid="{42DF995B-2F31-4809-A66D-53DC2AA5BF0A}"/>
    <cellStyle name="Вычисление 2 14 5 3" xfId="45865" xr:uid="{9A540A64-04F1-48B9-9368-53565DE0F654}"/>
    <cellStyle name="Вычисление 2 14 6" xfId="21496" xr:uid="{0BCC00E4-761E-4E6D-A57F-B86EDB7769A7}"/>
    <cellStyle name="Вычисление 2 14 7" xfId="34548" xr:uid="{643F390D-0B32-4FF7-9FFF-21EFF5360D39}"/>
    <cellStyle name="Вычисление 2 15" xfId="3721" xr:uid="{D89C3D6B-14AE-4B8C-9FF6-A8A86EE573AC}"/>
    <cellStyle name="Вычисление 2 15 2" xfId="3037" xr:uid="{D2AF3FB9-9ED0-4A79-8EBF-1A0B660F3885}"/>
    <cellStyle name="Вычисление 2 15 2 2" xfId="8333" xr:uid="{8DEDA8E5-5155-4121-A4FB-0A1E8A76DBB9}"/>
    <cellStyle name="Вычисление 2 15 2 2 2" xfId="17398" xr:uid="{654F5332-30BA-454E-893B-11EA29C91FDE}"/>
    <cellStyle name="Вычисление 2 15 2 2 2 2" xfId="33152" xr:uid="{84CC1BA2-C1D1-4AD4-BE0F-1F13702F2302}"/>
    <cellStyle name="Вычисление 2 15 2 2 2 3" xfId="46928" xr:uid="{0708FA94-63EC-474D-83EA-6BA305C8F809}"/>
    <cellStyle name="Вычисление 2 15 2 2 3" xfId="25837" xr:uid="{48551DA9-7248-4BF4-B1DD-52E5F6B8FB55}"/>
    <cellStyle name="Вычисление 2 15 2 2 4" xfId="38913" xr:uid="{B0F4493E-28B9-4C46-9988-342DF9432B38}"/>
    <cellStyle name="Вычисление 2 15 2 3" xfId="6700" xr:uid="{64906174-8E17-4293-ACF6-D6B97B9DA531}"/>
    <cellStyle name="Вычисление 2 15 2 3 2" xfId="13240" xr:uid="{73578FB3-0E10-47F7-9163-78132415738B}"/>
    <cellStyle name="Вычисление 2 15 2 3 2 2" xfId="29735" xr:uid="{F4D48429-241A-4DE3-9D3B-E33EFA20EC44}"/>
    <cellStyle name="Вычисление 2 15 2 3 2 3" xfId="43059" xr:uid="{BA780F83-F23A-4B5D-8B62-70B4703C1F1C}"/>
    <cellStyle name="Вычисление 2 15 2 3 3" xfId="24328" xr:uid="{CA930DB4-2273-429D-B32D-69CA7D568C8E}"/>
    <cellStyle name="Вычисление 2 15 2 3 4" xfId="37409" xr:uid="{0657A837-11C5-4223-983F-740A340E7FCF}"/>
    <cellStyle name="Вычисление 2 15 2 4" xfId="14264" xr:uid="{91D5A0D5-0A4A-46A6-89E6-824966A2ED2C}"/>
    <cellStyle name="Вычисление 2 15 2 4 2" xfId="30607" xr:uid="{0079C2DE-63A2-4AD0-9263-C6683D1168B6}"/>
    <cellStyle name="Вычисление 2 15 2 4 3" xfId="44000" xr:uid="{A50D052B-A1D3-4E63-93DB-AA4E788D601F}"/>
    <cellStyle name="Вычисление 2 15 2 5" xfId="21080" xr:uid="{DEBCF45F-2133-4CC9-9D03-4298C2670701}"/>
    <cellStyle name="Вычисление 2 15 2 6" xfId="34103" xr:uid="{81E4F36A-E362-46EA-A4D9-A39CA9417A31}"/>
    <cellStyle name="Вычисление 2 15 3" xfId="4747" xr:uid="{E5789AB2-412C-40CB-8BCC-B47B6C673704}"/>
    <cellStyle name="Вычисление 2 15 3 2" xfId="7356" xr:uid="{430C2663-F315-4F33-A7C2-A9CAE2F19251}"/>
    <cellStyle name="Вычисление 2 15 3 2 2" xfId="11260" xr:uid="{B7DA2E33-17CC-4441-BB30-3D17F55014B4}"/>
    <cellStyle name="Вычисление 2 15 3 2 2 2" xfId="28047" xr:uid="{BE6AA4B5-CD02-41C0-8DD7-06F8FB2FCFE1}"/>
    <cellStyle name="Вычисление 2 15 3 2 2 3" xfId="41229" xr:uid="{00DAB02D-CCAD-40F3-957C-8427E28D78A1}"/>
    <cellStyle name="Вычисление 2 15 3 2 3" xfId="24915" xr:uid="{66CBDAA2-7F35-4CFA-8BB3-680EDA172A1F}"/>
    <cellStyle name="Вычисление 2 15 3 2 4" xfId="37995" xr:uid="{0CB15718-72E6-428E-B782-BFE40EEA2B9B}"/>
    <cellStyle name="Вычисление 2 15 3 3" xfId="15339" xr:uid="{6BD9DDFD-F19E-4453-91A1-2436C33E6CB6}"/>
    <cellStyle name="Вычисление 2 15 3 3 2" xfId="31496" xr:uid="{CFB3FE2E-ED90-4C76-8BF1-B1ACD7CBE27C}"/>
    <cellStyle name="Вычисление 2 15 3 3 3" xfId="44982" xr:uid="{CB0FCDC2-8B87-423C-8F0E-83A3B87E2A68}"/>
    <cellStyle name="Вычисление 2 15 3 4" xfId="22550" xr:uid="{39408DB5-FECB-4C30-BC79-0263B9F3EE12}"/>
    <cellStyle name="Вычисление 2 15 3 5" xfId="35603" xr:uid="{6861C459-0913-4B26-93FB-B09DCBF452E9}"/>
    <cellStyle name="Вычисление 2 15 4" xfId="5728" xr:uid="{58F06C4B-85C9-48B9-BBA2-7937D060EDE1}"/>
    <cellStyle name="Вычисление 2 15 4 2" xfId="8917" xr:uid="{C4362ECD-F955-481E-A034-8875A2174A98}"/>
    <cellStyle name="Вычисление 2 15 4 2 2" xfId="12817" xr:uid="{947AA855-5EA3-475E-AB41-A0B7974960F2}"/>
    <cellStyle name="Вычисление 2 15 4 2 2 2" xfId="29390" xr:uid="{55F7BD36-F979-4A1E-890A-F49336E37441}"/>
    <cellStyle name="Вычисление 2 15 4 2 2 3" xfId="42671" xr:uid="{6857B092-2F43-4158-8CE8-6A24A11E3D77}"/>
    <cellStyle name="Вычисление 2 15 4 2 3" xfId="26403" xr:uid="{172A40CB-2709-4BEC-8AE4-4620745F53D0}"/>
    <cellStyle name="Вычисление 2 15 4 2 4" xfId="39479" xr:uid="{A9A03D5A-03A4-434B-99B0-A6EC7FEB2A8D}"/>
    <cellStyle name="Вычисление 2 15 4 3" xfId="15000" xr:uid="{6B902E82-9282-4A36-9F04-6C91D16424E4}"/>
    <cellStyle name="Вычисление 2 15 4 3 2" xfId="31229" xr:uid="{4836DFF2-9CAF-4B4F-AC0B-B7B0F807982D}"/>
    <cellStyle name="Вычисление 2 15 4 3 3" xfId="44679" xr:uid="{0D5626C8-066B-4883-BD27-E80A5BBF217C}"/>
    <cellStyle name="Вычисление 2 15 4 4" xfId="23375" xr:uid="{09957D13-8C7A-416B-B6CE-A4884C1D817A}"/>
    <cellStyle name="Вычисление 2 15 4 5" xfId="36456" xr:uid="{8646D536-AF4A-45F9-8805-38BFAA8B72A4}"/>
    <cellStyle name="Вычисление 2 15 5" xfId="16438" xr:uid="{6D0F2FD9-B557-4297-A7E5-A96998B8DB03}"/>
    <cellStyle name="Вычисление 2 15 5 2" xfId="32450" xr:uid="{EBFF60AD-235B-4DB8-8CBC-1DCA471D0670}"/>
    <cellStyle name="Вычисление 2 15 5 3" xfId="45988" xr:uid="{3C1D77F1-719B-47AC-BC2F-27BC52969383}"/>
    <cellStyle name="Вычисление 2 15 6" xfId="21637" xr:uid="{D5435C5B-382A-4792-B49B-3459BCD7B374}"/>
    <cellStyle name="Вычисление 2 15 7" xfId="34691" xr:uid="{EC2CE9D7-CF30-4B42-9AB9-45E77A9CF10B}"/>
    <cellStyle name="Вычисление 2 16" xfId="3888" xr:uid="{20BF378B-80C3-45DD-8F31-8F56B872D54C}"/>
    <cellStyle name="Вычисление 2 16 2" xfId="3149" xr:uid="{4EB26EEA-3277-4B38-A9CF-86A862400213}"/>
    <cellStyle name="Вычисление 2 16 2 2" xfId="8441" xr:uid="{93B80BC5-0B60-4501-B533-7AF53B47763F}"/>
    <cellStyle name="Вычисление 2 16 2 2 2" xfId="16290" xr:uid="{A3B18C29-8FC3-4B9D-9F57-548E9E28E86D}"/>
    <cellStyle name="Вычисление 2 16 2 2 2 2" xfId="32322" xr:uid="{47660B1C-99AE-4AB1-B627-4E731D2E91F9}"/>
    <cellStyle name="Вычисление 2 16 2 2 2 3" xfId="45852" xr:uid="{FCF1E5AC-7A6A-4661-893F-75E92E842A97}"/>
    <cellStyle name="Вычисление 2 16 2 2 3" xfId="25943" xr:uid="{C4DA1CC6-A549-4836-BA82-126A3F49F0A7}"/>
    <cellStyle name="Вычисление 2 16 2 2 4" xfId="39019" xr:uid="{DB4278E9-A27A-46BC-BE11-200FF6D61506}"/>
    <cellStyle name="Вычисление 2 16 2 3" xfId="6808" xr:uid="{90ECFAFA-30F8-4A83-AECA-C3D776467252}"/>
    <cellStyle name="Вычисление 2 16 2 3 2" xfId="17512" xr:uid="{2FE08B11-BAE4-4B61-8334-0F43DAA4EC13}"/>
    <cellStyle name="Вычисление 2 16 2 3 2 2" xfId="33250" xr:uid="{52EF2862-0063-4A14-A882-421BB3D29E14}"/>
    <cellStyle name="Вычисление 2 16 2 3 2 3" xfId="47037" xr:uid="{F9094747-2DA0-48BE-AEBF-57619A93572B}"/>
    <cellStyle name="Вычисление 2 16 2 3 3" xfId="24434" xr:uid="{35991843-3FF3-4D41-B83C-1531C46EC1F8}"/>
    <cellStyle name="Вычисление 2 16 2 3 4" xfId="37515" xr:uid="{0C1E5B32-3C5E-4802-89ED-548B01205B66}"/>
    <cellStyle name="Вычисление 2 16 2 4" xfId="17206" xr:uid="{DF5FB7C7-7BBF-4136-8CB2-A552A5CF107F}"/>
    <cellStyle name="Вычисление 2 16 2 4 2" xfId="32968" xr:uid="{97A1D418-7BD9-4CFC-820F-FA8B04E00D54}"/>
    <cellStyle name="Вычисление 2 16 2 4 3" xfId="46741" xr:uid="{074C730E-B497-463E-BCF0-46644B992B92}"/>
    <cellStyle name="Вычисление 2 16 2 5" xfId="21186" xr:uid="{C8D7B622-38BF-4A60-9623-3C59C188BA65}"/>
    <cellStyle name="Вычисление 2 16 2 6" xfId="34209" xr:uid="{BA08862F-7DF7-4584-8B93-1F6917CD4ED4}"/>
    <cellStyle name="Вычисление 2 16 3" xfId="4825" xr:uid="{68AB1020-02B3-4182-8C37-77E64D29E037}"/>
    <cellStyle name="Вычисление 2 16 3 2" xfId="7469" xr:uid="{4184CB95-6343-44A0-A923-B9F3AE9E55A6}"/>
    <cellStyle name="Вычисление 2 16 3 2 2" xfId="13330" xr:uid="{4835B88E-72E6-4B47-86D0-E5D9B7E8FC66}"/>
    <cellStyle name="Вычисление 2 16 3 2 2 2" xfId="29813" xr:uid="{4D9097B1-AA17-4832-90D7-010D06C40858}"/>
    <cellStyle name="Вычисление 2 16 3 2 2 3" xfId="43144" xr:uid="{805B4DAE-7289-46F6-9B34-444C0A1F6B11}"/>
    <cellStyle name="Вычисление 2 16 3 2 3" xfId="25026" xr:uid="{35CFAFDC-9E2E-46B3-9F9F-E565CDDA2658}"/>
    <cellStyle name="Вычисление 2 16 3 2 4" xfId="38102" xr:uid="{C6F3AE76-1AC2-4E91-BB7F-DE9B956A190F}"/>
    <cellStyle name="Вычисление 2 16 3 3" xfId="12896" xr:uid="{0E151E00-F55D-4140-A732-02A03C3E98F1}"/>
    <cellStyle name="Вычисление 2 16 3 3 2" xfId="29450" xr:uid="{078941D4-DF4D-4ACF-865D-BB99684E204C}"/>
    <cellStyle name="Вычисление 2 16 3 3 3" xfId="42741" xr:uid="{798A55C3-ADBF-4B7D-B41A-CC3513C335D2}"/>
    <cellStyle name="Вычисление 2 16 3 4" xfId="22627" xr:uid="{5CFB897B-36F2-4539-8CDD-E00EA85A946E}"/>
    <cellStyle name="Вычисление 2 16 3 5" xfId="35680" xr:uid="{19AA8966-636C-4AF9-8408-8E6301C03664}"/>
    <cellStyle name="Вычисление 2 16 4" xfId="5852" xr:uid="{087FC6EE-E321-4223-A6F8-259C49CAA439}"/>
    <cellStyle name="Вычисление 2 16 4 2" xfId="9010" xr:uid="{4EF666C0-E3DD-4C7D-8FF3-3DBBCBA62FF5}"/>
    <cellStyle name="Вычисление 2 16 4 2 2" xfId="14028" xr:uid="{8B7CCD03-F92D-4132-96EB-BB015164CEFE}"/>
    <cellStyle name="Вычисление 2 16 4 2 2 2" xfId="30407" xr:uid="{5FB04047-E57F-4CFD-B817-E794084FFEB0}"/>
    <cellStyle name="Вычисление 2 16 4 2 2 3" xfId="43787" xr:uid="{2696C907-1E9A-4065-AC85-540E28AE186C}"/>
    <cellStyle name="Вычисление 2 16 4 2 3" xfId="26495" xr:uid="{919DEF67-7B92-49C4-B75E-827D70C6D7AF}"/>
    <cellStyle name="Вычисление 2 16 4 2 4" xfId="39571" xr:uid="{F8B7DE41-B759-4CF2-AE71-07CAD8703687}"/>
    <cellStyle name="Вычисление 2 16 4 3" xfId="11257" xr:uid="{689FC690-5E2A-41AF-AB18-F409DE01C237}"/>
    <cellStyle name="Вычисление 2 16 4 3 2" xfId="28045" xr:uid="{E09BAD56-7F68-4198-9663-7526847EF5EC}"/>
    <cellStyle name="Вычисление 2 16 4 3 3" xfId="41227" xr:uid="{DF975519-BFD2-4C81-B280-69549442406A}"/>
    <cellStyle name="Вычисление 2 16 4 4" xfId="23499" xr:uid="{B981EF99-4609-4435-98A1-229AB35251AE}"/>
    <cellStyle name="Вычисление 2 16 4 5" xfId="36580" xr:uid="{0121E8C7-416B-4FD0-BCD8-AD3D166D28E1}"/>
    <cellStyle name="Вычисление 2 16 5" xfId="15185" xr:uid="{D8F9FB73-0053-44E8-BDFA-3C940870ADEF}"/>
    <cellStyle name="Вычисление 2 16 5 2" xfId="31370" xr:uid="{849260B4-8EAE-434D-AFC8-8CFEBFE8A4AC}"/>
    <cellStyle name="Вычисление 2 16 5 3" xfId="44840" xr:uid="{FA55FC46-79CD-4172-B75B-E628BEA3B481}"/>
    <cellStyle name="Вычисление 2 16 6" xfId="21764" xr:uid="{1AB1499C-3E7E-4F2E-9FE7-8DC6E92FE3DB}"/>
    <cellStyle name="Вычисление 2 16 7" xfId="34815" xr:uid="{15DB0729-321D-41D9-ACDB-0F8C9E5B0257}"/>
    <cellStyle name="Вычисление 2 17" xfId="3975" xr:uid="{112E27C6-AFA4-4F41-8B20-95A19011FB04}"/>
    <cellStyle name="Вычисление 2 17 2" xfId="3219" xr:uid="{FF120D4C-7E96-4E41-9B1F-BDC4118A67E5}"/>
    <cellStyle name="Вычисление 2 17 2 2" xfId="8510" xr:uid="{B7A2D1FC-7A45-45E3-9E1A-9CA1B780C6F5}"/>
    <cellStyle name="Вычисление 2 17 2 2 2" xfId="14412" xr:uid="{2C8ED213-8E9F-4C6D-8B22-F87A73FC56C6}"/>
    <cellStyle name="Вычисление 2 17 2 2 2 2" xfId="30742" xr:uid="{3FAB04EE-F789-48D4-93E7-A39F23D80270}"/>
    <cellStyle name="Вычисление 2 17 2 2 2 3" xfId="44142" xr:uid="{27A84B6D-9558-432D-8B85-2E5596AE76EB}"/>
    <cellStyle name="Вычисление 2 17 2 2 3" xfId="26009" xr:uid="{8F17224C-A830-438C-978F-2E57A41D37F7}"/>
    <cellStyle name="Вычисление 2 17 2 2 4" xfId="39085" xr:uid="{1AF39C84-F24B-4480-9458-9136FA5D6CEA}"/>
    <cellStyle name="Вычисление 2 17 2 3" xfId="6878" xr:uid="{38E5ABC6-7CDC-444E-AA27-ABD347922544}"/>
    <cellStyle name="Вычисление 2 17 2 3 2" xfId="10619" xr:uid="{73EF0167-2396-424A-B4FD-AD54825AD569}"/>
    <cellStyle name="Вычисление 2 17 2 3 2 2" xfId="27478" xr:uid="{D0F23928-0CC4-4612-AD58-8B51BE5FA290}"/>
    <cellStyle name="Вычисление 2 17 2 3 2 3" xfId="40600" xr:uid="{118116E3-5956-4D1A-86EE-4528EC076185}"/>
    <cellStyle name="Вычисление 2 17 2 3 3" xfId="24501" xr:uid="{6A35441A-5AA0-4D4D-B272-BDD5128D5C86}"/>
    <cellStyle name="Вычисление 2 17 2 3 4" xfId="37582" xr:uid="{0FB6A099-53CD-4880-B525-3A3E8707ECD9}"/>
    <cellStyle name="Вычисление 2 17 2 4" xfId="12193" xr:uid="{823166F6-8F66-4CD1-919D-822A2026614F}"/>
    <cellStyle name="Вычисление 2 17 2 4 2" xfId="28884" xr:uid="{6FD0DF26-D674-4FD5-AB7F-73E53B196FEA}"/>
    <cellStyle name="Вычисление 2 17 2 4 3" xfId="42111" xr:uid="{2DE9C3C4-D2E1-4342-AEE5-CE206B01887B}"/>
    <cellStyle name="Вычисление 2 17 2 5" xfId="21253" xr:uid="{ED73BEFA-3BDE-464E-96E0-43F4BC535345}"/>
    <cellStyle name="Вычисление 2 17 2 6" xfId="34276" xr:uid="{2CFBFDBE-D29B-4DF7-A7F0-FBC02B382C7A}"/>
    <cellStyle name="Вычисление 2 17 3" xfId="4887" xr:uid="{E9030618-8787-4114-A5D7-1059125E8629}"/>
    <cellStyle name="Вычисление 2 17 3 2" xfId="7555" xr:uid="{751AC5F5-7B24-4FFC-80C1-578852AC49BA}"/>
    <cellStyle name="Вычисление 2 17 3 2 2" xfId="12605" xr:uid="{C66DFFEE-ED42-47F6-9B4C-D185E8B9D27F}"/>
    <cellStyle name="Вычисление 2 17 3 2 2 2" xfId="29218" xr:uid="{F95EDDEE-3D99-4434-89E7-A283067A9405}"/>
    <cellStyle name="Вычисление 2 17 3 2 2 3" xfId="42482" xr:uid="{BFEA8475-1483-49DC-965E-5DA24874B1DD}"/>
    <cellStyle name="Вычисление 2 17 3 2 3" xfId="25083" xr:uid="{2B2B8F89-445D-43B4-BBAA-55F7C6FEEF13}"/>
    <cellStyle name="Вычисление 2 17 3 2 4" xfId="38159" xr:uid="{B106ADBC-561B-4C55-B637-F444365B8F30}"/>
    <cellStyle name="Вычисление 2 17 3 3" xfId="11748" xr:uid="{70452888-564E-4E4E-A4F3-61AF9FE937BF}"/>
    <cellStyle name="Вычисление 2 17 3 3 2" xfId="28475" xr:uid="{B78D2003-CE27-4750-B64B-CEAD2298B642}"/>
    <cellStyle name="Вычисление 2 17 3 3 3" xfId="41686" xr:uid="{85AAFE54-EC20-4A1F-8DC5-140B49F91806}"/>
    <cellStyle name="Вычисление 2 17 3 4" xfId="22684" xr:uid="{199718DE-6507-40E3-BDFD-7340248FD036}"/>
    <cellStyle name="Вычисление 2 17 3 5" xfId="35737" xr:uid="{4220BEB6-0A8E-41F8-9DB1-43EC37CCAD24}"/>
    <cellStyle name="Вычисление 2 17 4" xfId="5909" xr:uid="{4A6FCF9A-EA13-43C9-AA41-043A6DECE897}"/>
    <cellStyle name="Вычисление 2 17 4 2" xfId="9069" xr:uid="{3710A75A-7D2E-47ED-9C57-14B3ADFF49B1}"/>
    <cellStyle name="Вычисление 2 17 4 2 2" xfId="11746" xr:uid="{F5B8D795-2131-4D4E-BF97-AD920058B9EC}"/>
    <cellStyle name="Вычисление 2 17 4 2 2 2" xfId="28473" xr:uid="{A621BC0D-8843-4CCF-93DB-B3F3280E2C81}"/>
    <cellStyle name="Вычисление 2 17 4 2 2 3" xfId="41684" xr:uid="{B6A58612-B774-4B6C-A6FF-A9B5CF237C36}"/>
    <cellStyle name="Вычисление 2 17 4 2 3" xfId="26550" xr:uid="{6169144C-7CA6-433B-836A-3DAA0F777C83}"/>
    <cellStyle name="Вычисление 2 17 4 2 4" xfId="39626" xr:uid="{662C5619-B711-4CC6-ACE4-FB0A7F854032}"/>
    <cellStyle name="Вычисление 2 17 4 3" xfId="12373" xr:uid="{7345CB22-EF81-44BF-ADA9-E79607A1AA56}"/>
    <cellStyle name="Вычисление 2 17 4 3 2" xfId="29039" xr:uid="{2E0C6FA3-BFDE-4548-913F-2DCDFB034B4F}"/>
    <cellStyle name="Вычисление 2 17 4 3 3" xfId="42279" xr:uid="{3C603AE7-E50F-4B91-A11B-B292FCF2378A}"/>
    <cellStyle name="Вычисление 2 17 4 4" xfId="23556" xr:uid="{F1EC526B-9E9C-4040-88D6-1AD8D39A7700}"/>
    <cellStyle name="Вычисление 2 17 4 5" xfId="36637" xr:uid="{20829A97-8C53-4902-B605-588504844DFE}"/>
    <cellStyle name="Вычисление 2 17 5" xfId="15860" xr:uid="{9793BEEB-4D76-404F-81B2-4DA670E79C0C}"/>
    <cellStyle name="Вычисление 2 17 5 2" xfId="31951" xr:uid="{4F9C4AE4-A856-4E7F-A96A-72063902BCC1}"/>
    <cellStyle name="Вычисление 2 17 5 3" xfId="45464" xr:uid="{2613C18D-D72F-4106-8F0C-B8F365B6FE54}"/>
    <cellStyle name="Вычисление 2 17 6" xfId="21822" xr:uid="{D3DA81AE-A3EC-460D-8426-ABD7EF5F1CB2}"/>
    <cellStyle name="Вычисление 2 17 7" xfId="34872" xr:uid="{4EE906B2-7A77-41F5-B368-B765B5CB6023}"/>
    <cellStyle name="Вычисление 2 18" xfId="3878" xr:uid="{C8D7D251-C51D-4B40-B1F6-C0E32E9C9104}"/>
    <cellStyle name="Вычисление 2 18 2" xfId="3135" xr:uid="{8352E714-8DBE-4AF4-96B1-01890CAB135F}"/>
    <cellStyle name="Вычисление 2 18 2 2" xfId="8427" xr:uid="{0B8C139D-22DF-44DA-890C-55C72D7874B6}"/>
    <cellStyle name="Вычисление 2 18 2 2 2" xfId="14069" xr:uid="{416E5A37-0BF9-45D7-8C9C-123BF9B19DEF}"/>
    <cellStyle name="Вычисление 2 18 2 2 2 2" xfId="30438" xr:uid="{B7B18164-ED76-4659-BB8C-003A9EA9C617}"/>
    <cellStyle name="Вычисление 2 18 2 2 2 3" xfId="43821" xr:uid="{A1B3683A-30A5-4EDB-851C-DDF85C6A0C5D}"/>
    <cellStyle name="Вычисление 2 18 2 2 3" xfId="25929" xr:uid="{AB39627F-9231-4BA9-8292-F1D7706BFC54}"/>
    <cellStyle name="Вычисление 2 18 2 2 4" xfId="39005" xr:uid="{A30EE9F7-E906-4A7E-B2E4-C943578DD48C}"/>
    <cellStyle name="Вычисление 2 18 2 3" xfId="6794" xr:uid="{58254134-3C41-4DFB-B9D4-ABED46EBD65B}"/>
    <cellStyle name="Вычисление 2 18 2 3 2" xfId="15351" xr:uid="{07F68DB2-F536-44F1-9425-5A0CDF5AB247}"/>
    <cellStyle name="Вычисление 2 18 2 3 2 2" xfId="31508" xr:uid="{AB5718A8-3943-4530-BBEB-10A85E2B7737}"/>
    <cellStyle name="Вычисление 2 18 2 3 2 3" xfId="44994" xr:uid="{E5FA4864-23D3-4F5C-B579-21B9940B9B16}"/>
    <cellStyle name="Вычисление 2 18 2 3 3" xfId="24420" xr:uid="{D03B2C98-7E3E-4C17-B5BE-D34B71F030AF}"/>
    <cellStyle name="Вычисление 2 18 2 3 4" xfId="37501" xr:uid="{CBBA8427-93DA-442B-A3B7-5F9C092CF803}"/>
    <cellStyle name="Вычисление 2 18 2 4" xfId="11165" xr:uid="{F892301A-E29D-4DB6-951B-D497EB3529B2}"/>
    <cellStyle name="Вычисление 2 18 2 4 2" xfId="27959" xr:uid="{6FD23EE8-D879-4B86-A2D2-5E88B7BC952C}"/>
    <cellStyle name="Вычисление 2 18 2 4 3" xfId="41141" xr:uid="{F111A591-3BF8-4FCD-BDD7-DCF4AFFA6C29}"/>
    <cellStyle name="Вычисление 2 18 2 5" xfId="21172" xr:uid="{F91C2D25-DB77-4D9F-9E83-FBD9776F8206}"/>
    <cellStyle name="Вычисление 2 18 2 6" xfId="34195" xr:uid="{36AA0FDB-8594-4CCF-8872-1215A95171CB}"/>
    <cellStyle name="Вычисление 2 18 3" xfId="4815" xr:uid="{23AD2C1A-8D55-48AC-BA0F-558C9344752E}"/>
    <cellStyle name="Вычисление 2 18 3 2" xfId="7459" xr:uid="{D7086E6E-7CFF-4B24-95BE-5606BF97553B}"/>
    <cellStyle name="Вычисление 2 18 3 2 2" xfId="14488" xr:uid="{D9643877-570C-43B6-9A2E-439691306221}"/>
    <cellStyle name="Вычисление 2 18 3 2 2 2" xfId="30811" xr:uid="{3469F122-4CC8-45A6-85B5-ECFD4EC2E9BD}"/>
    <cellStyle name="Вычисление 2 18 3 2 2 3" xfId="44217" xr:uid="{64195596-BCBB-4207-8AB3-8DD563156675}"/>
    <cellStyle name="Вычисление 2 18 3 2 3" xfId="25016" xr:uid="{83D3ED5A-D7BB-451D-8E12-EB49BE3F8E68}"/>
    <cellStyle name="Вычисление 2 18 3 2 4" xfId="38092" xr:uid="{3905B32C-45E1-4264-A956-72F99995D88D}"/>
    <cellStyle name="Вычисление 2 18 3 3" xfId="17335" xr:uid="{6A1C6F16-3D19-4124-BE2B-51AE8E04F927}"/>
    <cellStyle name="Вычисление 2 18 3 3 2" xfId="33089" xr:uid="{E769747C-94DA-419B-BD08-63B46E205ABC}"/>
    <cellStyle name="Вычисление 2 18 3 3 3" xfId="46865" xr:uid="{491DD803-07A1-4577-A92E-67A142370A54}"/>
    <cellStyle name="Вычисление 2 18 3 4" xfId="22617" xr:uid="{0F0C9DEA-8749-4BC1-9779-FC129335587C}"/>
    <cellStyle name="Вычисление 2 18 3 5" xfId="35670" xr:uid="{83C65E73-8AAE-4E2C-A0DC-6D772FA6A582}"/>
    <cellStyle name="Вычисление 2 18 4" xfId="5842" xr:uid="{3D57962A-DD62-4597-ACF0-57126681C9D6}"/>
    <cellStyle name="Вычисление 2 18 4 2" xfId="9000" xr:uid="{13BE6150-5056-4FE0-9E2C-377298673FF8}"/>
    <cellStyle name="Вычисление 2 18 4 2 2" xfId="17070" xr:uid="{834CDB1D-F4BC-4F6C-A7ED-C2E083469DAC}"/>
    <cellStyle name="Вычисление 2 18 4 2 2 2" xfId="32841" xr:uid="{B6747DEC-CBE2-4932-A10B-5A33E8EF46D6}"/>
    <cellStyle name="Вычисление 2 18 4 2 2 3" xfId="46611" xr:uid="{34F07F2E-692C-4E97-94B3-944920C2CAA6}"/>
    <cellStyle name="Вычисление 2 18 4 2 3" xfId="26485" xr:uid="{27B30532-44E7-4330-BB87-7D9BDBE33CD6}"/>
    <cellStyle name="Вычисление 2 18 4 2 4" xfId="39561" xr:uid="{F593C616-CF52-4540-8AC0-B7D2BBD6269C}"/>
    <cellStyle name="Вычисление 2 18 4 3" xfId="15970" xr:uid="{29725FDF-AA45-4D4C-8913-096B93F72031}"/>
    <cellStyle name="Вычисление 2 18 4 3 2" xfId="32045" xr:uid="{5B563257-BE75-4648-9A0E-B1CF634151E7}"/>
    <cellStyle name="Вычисление 2 18 4 3 3" xfId="45563" xr:uid="{15B9DD5D-CB9D-4575-A1AA-8D3CCDBA18E5}"/>
    <cellStyle name="Вычисление 2 18 4 4" xfId="23489" xr:uid="{F4B3F969-9E5F-4D5F-AD69-C0F88225E6FA}"/>
    <cellStyle name="Вычисление 2 18 4 5" xfId="36570" xr:uid="{3A621331-9F5A-4E71-A3D8-7AFB5BAB6744}"/>
    <cellStyle name="Вычисление 2 18 5" xfId="11769" xr:uid="{EDD7FA8C-623D-44E0-9C30-AB0DF0D424BB}"/>
    <cellStyle name="Вычисление 2 18 5 2" xfId="28494" xr:uid="{58CDC18D-CF71-4204-B70A-8E01D80E3396}"/>
    <cellStyle name="Вычисление 2 18 5 3" xfId="41705" xr:uid="{BAC50A21-2DF9-47EB-8994-0401F89DD2CA}"/>
    <cellStyle name="Вычисление 2 18 6" xfId="21754" xr:uid="{0D4AE498-654A-4073-8C88-88C6630FC73D}"/>
    <cellStyle name="Вычисление 2 18 7" xfId="34805" xr:uid="{5F6B5399-C34F-48A5-B477-CD0841D497D6}"/>
    <cellStyle name="Вычисление 2 19" xfId="3987" xr:uid="{3C096833-A0AD-4FEB-920C-ECF52EF34655}"/>
    <cellStyle name="Вычисление 2 19 2" xfId="3227" xr:uid="{D36272C3-C884-4F88-87A3-AFDA1480998E}"/>
    <cellStyle name="Вычисление 2 19 2 2" xfId="8518" xr:uid="{CB07EAFD-2E43-4E67-ACAA-25E16C26E65B}"/>
    <cellStyle name="Вычисление 2 19 2 2 2" xfId="10984" xr:uid="{59726C24-E036-4E94-AB53-446D2DF4133A}"/>
    <cellStyle name="Вычисление 2 19 2 2 2 2" xfId="27792" xr:uid="{1E0AEEE0-176A-492D-A00C-3BF068E95F76}"/>
    <cellStyle name="Вычисление 2 19 2 2 2 3" xfId="40964" xr:uid="{099A34E6-5AA8-4F41-96E3-92F28F725029}"/>
    <cellStyle name="Вычисление 2 19 2 2 3" xfId="26017" xr:uid="{7A86A5E0-BDD4-4BE4-98B7-6BE5CBD59774}"/>
    <cellStyle name="Вычисление 2 19 2 2 4" xfId="39093" xr:uid="{CCB1ACCE-3E72-42D6-9411-4B702F2937A5}"/>
    <cellStyle name="Вычисление 2 19 2 3" xfId="6886" xr:uid="{17BE5E95-676B-41D5-A180-D17E46099496}"/>
    <cellStyle name="Вычисление 2 19 2 3 2" xfId="13210" xr:uid="{5778672B-85B3-47F4-9E0D-74A129AA79B2}"/>
    <cellStyle name="Вычисление 2 19 2 3 2 2" xfId="29711" xr:uid="{27A33ABB-8E70-4A2C-9800-0C04206AB946}"/>
    <cellStyle name="Вычисление 2 19 2 3 2 3" xfId="43030" xr:uid="{4857A507-25B9-4E26-B54F-EC8250C7F9BC}"/>
    <cellStyle name="Вычисление 2 19 2 3 3" xfId="24509" xr:uid="{C450E868-8195-48E0-97B8-50B9EE10DED1}"/>
    <cellStyle name="Вычисление 2 19 2 3 4" xfId="37590" xr:uid="{EC25C8EC-39CA-4BB4-A7EB-760E008394D5}"/>
    <cellStyle name="Вычисление 2 19 2 4" xfId="13957" xr:uid="{9129BA8E-714A-479D-8E8C-FD78AA04DA17}"/>
    <cellStyle name="Вычисление 2 19 2 4 2" xfId="30344" xr:uid="{D25C02EC-0AA0-4E39-B4FC-2A468DBABA6B}"/>
    <cellStyle name="Вычисление 2 19 2 4 3" xfId="43721" xr:uid="{BE8D0164-2B22-4C59-AB7D-F1D551B72571}"/>
    <cellStyle name="Вычисление 2 19 2 5" xfId="21261" xr:uid="{27751FB1-2A88-46B1-9266-99588FF774A9}"/>
    <cellStyle name="Вычисление 2 19 2 6" xfId="34284" xr:uid="{5711F54C-99C2-4A2D-AAB1-A047105F52E3}"/>
    <cellStyle name="Вычисление 2 19 3" xfId="4899" xr:uid="{AF92BE1C-FA32-4DD2-A31B-E03B926C6537}"/>
    <cellStyle name="Вычисление 2 19 3 2" xfId="7567" xr:uid="{F552249C-48E9-4732-A73C-352FADA3F505}"/>
    <cellStyle name="Вычисление 2 19 3 2 2" xfId="15528" xr:uid="{89F3223E-64B6-48D1-BFC9-8B163148F406}"/>
    <cellStyle name="Вычисление 2 19 3 2 2 2" xfId="31664" xr:uid="{6F17C1D1-62A5-442A-868E-FEB093B24655}"/>
    <cellStyle name="Вычисление 2 19 3 2 2 3" xfId="45163" xr:uid="{DA1AFEF5-0A42-4BBD-9AD2-383DC1FC3650}"/>
    <cellStyle name="Вычисление 2 19 3 2 3" xfId="25095" xr:uid="{F6077D09-4879-4A8D-A2F5-62A70086A47E}"/>
    <cellStyle name="Вычисление 2 19 3 2 4" xfId="38171" xr:uid="{2A28280B-A3CC-4D95-8972-23FC38BC800B}"/>
    <cellStyle name="Вычисление 2 19 3 3" xfId="14072" xr:uid="{044A37A9-D4A9-485B-BE17-DF5A8EDB91C7}"/>
    <cellStyle name="Вычисление 2 19 3 3 2" xfId="30440" xr:uid="{6210609D-1911-4069-8332-909F4A2B4D14}"/>
    <cellStyle name="Вычисление 2 19 3 3 3" xfId="43823" xr:uid="{8017059D-36AB-4CFC-9741-4F4327ED504B}"/>
    <cellStyle name="Вычисление 2 19 3 4" xfId="22696" xr:uid="{5C5EE7D8-0A0E-44B8-8BC5-8520FB053119}"/>
    <cellStyle name="Вычисление 2 19 3 5" xfId="35749" xr:uid="{53CE9532-169E-45BF-B2CC-0F415D3855B8}"/>
    <cellStyle name="Вычисление 2 19 4" xfId="5921" xr:uid="{FF24B117-94FD-40A1-A15B-4DC87EAE3F06}"/>
    <cellStyle name="Вычисление 2 19 4 2" xfId="9081" xr:uid="{19A72AA1-2A61-433B-BEAA-B70E71AC2631}"/>
    <cellStyle name="Вычисление 2 19 4 2 2" xfId="14601" xr:uid="{0A58F1C1-2A61-4F11-B235-28CC7B309EA5}"/>
    <cellStyle name="Вычисление 2 19 4 2 2 2" xfId="30901" xr:uid="{33B9179B-2EDD-47A7-B4C4-DA71ADDDE283}"/>
    <cellStyle name="Вычисление 2 19 4 2 2 3" xfId="44320" xr:uid="{D9840839-13F9-4F8F-82D6-153AE430BB06}"/>
    <cellStyle name="Вычисление 2 19 4 2 3" xfId="26562" xr:uid="{81154FD0-66C4-4C72-A7A2-D846D763665D}"/>
    <cellStyle name="Вычисление 2 19 4 2 4" xfId="39638" xr:uid="{0FD2D6AA-6077-490E-A9B9-8BC8110343AD}"/>
    <cellStyle name="Вычисление 2 19 4 3" xfId="15999" xr:uid="{70EC839A-C616-444F-ACB9-0246C47D9243}"/>
    <cellStyle name="Вычисление 2 19 4 3 2" xfId="32070" xr:uid="{8DD8CFCA-6AC2-4A66-96B2-A6AC0D07A6EE}"/>
    <cellStyle name="Вычисление 2 19 4 3 3" xfId="45589" xr:uid="{7D9ACBEF-ED50-495E-8252-F7EC24921778}"/>
    <cellStyle name="Вычисление 2 19 4 4" xfId="23568" xr:uid="{160D3592-9718-4963-A91F-E56ABAE6E5C2}"/>
    <cellStyle name="Вычисление 2 19 4 5" xfId="36649" xr:uid="{F7DD6F5A-F0F5-4E5B-BE77-9A95782C4DEE}"/>
    <cellStyle name="Вычисление 2 19 5" xfId="16361" xr:uid="{183A9AD5-DDDA-4D4C-9AEB-23CF16244197}"/>
    <cellStyle name="Вычисление 2 19 5 2" xfId="32382" xr:uid="{203F21B5-7A05-4E6D-B9D0-A422AFC73CF2}"/>
    <cellStyle name="Вычисление 2 19 5 3" xfId="45915" xr:uid="{4A2ECFAE-62A0-4C45-ADA3-FC7809232810}"/>
    <cellStyle name="Вычисление 2 19 6" xfId="21834" xr:uid="{DA4A5EAF-E3D7-45AE-A69D-D5531E155132}"/>
    <cellStyle name="Вычисление 2 19 7" xfId="34884" xr:uid="{6C308C9E-0373-4B7F-B1CF-F4DAA056FE8C}"/>
    <cellStyle name="Вычисление 2 2" xfId="3447" xr:uid="{784AA5B1-B8D6-411B-97F6-3070D16CBCA8}"/>
    <cellStyle name="Вычисление 2 2 10" xfId="20499" xr:uid="{CFECF7FE-307D-4027-9A58-6EDADF14D388}"/>
    <cellStyle name="Вычисление 2 2 11" xfId="34463" xr:uid="{C69BC9EE-C03D-435E-BD65-EE4E8E20C868}"/>
    <cellStyle name="Вычисление 2 2 2" xfId="2789" xr:uid="{CEB9F618-7721-494C-857D-4F066D32065D}"/>
    <cellStyle name="Вычисление 2 2 2 2" xfId="5112" xr:uid="{DF888848-F60F-4E06-87A4-1413E47511EF}"/>
    <cellStyle name="Вычисление 2 2 2 2 2" xfId="8085" xr:uid="{8F19C3E8-9C06-4CF9-BFA5-83810360ED87}"/>
    <cellStyle name="Вычисление 2 2 2 2 2 2" xfId="15650" xr:uid="{F56D26CD-D4FA-4F01-8665-AD12714C01E5}"/>
    <cellStyle name="Вычисление 2 2 2 2 2 2 2" xfId="31768" xr:uid="{DDE7CFD5-91FF-4C4D-911A-DD2B0BC86BCF}"/>
    <cellStyle name="Вычисление 2 2 2 2 2 2 3" xfId="45273" xr:uid="{BE90A00B-52D4-49A4-A803-585A3F3EDE8D}"/>
    <cellStyle name="Вычисление 2 2 2 2 2 3" xfId="25596" xr:uid="{7CD054D4-C101-43EC-830E-47A4F432C02A}"/>
    <cellStyle name="Вычисление 2 2 2 2 2 4" xfId="38672" xr:uid="{471B5A30-AC48-4279-985D-101A1896AC45}"/>
    <cellStyle name="Вычисление 2 2 2 2 3" xfId="12811" xr:uid="{F9A20758-4B97-42E2-A5AD-21474276E462}"/>
    <cellStyle name="Вычисление 2 2 2 2 3 2" xfId="29385" xr:uid="{13647015-9BE6-47F4-BB9C-0E8F40A817CF}"/>
    <cellStyle name="Вычисление 2 2 2 2 3 3" xfId="42666" xr:uid="{464A19CD-D81D-4701-BAB8-9FB1B29B6875}"/>
    <cellStyle name="Вычисление 2 2 2 2 4" xfId="22836" xr:uid="{21A5D6F6-1F29-46C7-A04E-071CF4A02BD6}"/>
    <cellStyle name="Вычисление 2 2 2 2 5" xfId="35905" xr:uid="{436C34CD-376C-4796-A3FD-8C002E54E256}"/>
    <cellStyle name="Вычисление 2 2 2 3" xfId="6452" xr:uid="{B45B71C2-31B7-49E2-B4D6-3A513A182B8E}"/>
    <cellStyle name="Вычисление 2 2 2 3 2" xfId="12954" xr:uid="{C95703BC-6FAE-4582-8126-2FD1AEF06613}"/>
    <cellStyle name="Вычисление 2 2 2 3 2 2" xfId="29492" xr:uid="{74C752F1-1DA0-42AA-A457-838EBA1E188D}"/>
    <cellStyle name="Вычисление 2 2 2 3 2 3" xfId="42791" xr:uid="{308F87FC-8E7A-4648-B1DC-1BB194CE6210}"/>
    <cellStyle name="Вычисление 2 2 2 3 3" xfId="24087" xr:uid="{A9D93057-1F5A-470D-B8FE-45B4E0A8A186}"/>
    <cellStyle name="Вычисление 2 2 2 3 4" xfId="37168" xr:uid="{26071966-ADD5-4D8D-959A-9CEF2DED42D9}"/>
    <cellStyle name="Вычисление 2 2 2 4" xfId="12661" xr:uid="{5ECA690D-0CFF-43E5-8566-275EE9B5B16D}"/>
    <cellStyle name="Вычисление 2 2 2 4 2" xfId="29262" xr:uid="{DB1A08EA-81D7-42F1-AECD-ACD4A40CAC8F}"/>
    <cellStyle name="Вычисление 2 2 2 4 3" xfId="42532" xr:uid="{C7AC9D26-D3A6-4F46-9D64-CB62967F712A}"/>
    <cellStyle name="Вычисление 2 2 2 5" xfId="20839" xr:uid="{1ED58288-30AD-45EB-BE89-47526934F3FA}"/>
    <cellStyle name="Вычисление 2 2 2 6" xfId="33862" xr:uid="{53D77F3F-62D9-46ED-8FCD-F4C4F65F0734}"/>
    <cellStyle name="Вычисление 2 2 3" xfId="4071" xr:uid="{7EBE5AC7-76F8-4477-B916-CBBAAB79A591}"/>
    <cellStyle name="Вычисление 2 2 3 2" xfId="5207" xr:uid="{5A63F140-B2E7-4A0A-A341-E2B3F8CB66B9}"/>
    <cellStyle name="Вычисление 2 2 3 2 2" xfId="9123" xr:uid="{128062CD-5566-4552-B691-3538C0315854}"/>
    <cellStyle name="Вычисление 2 2 3 2 2 2" xfId="16417" xr:uid="{49F22B74-3765-43BF-80E6-C5302C9A3BC6}"/>
    <cellStyle name="Вычисление 2 2 3 2 2 2 2" xfId="32432" xr:uid="{5C7B1F97-011D-4E12-9ECB-643D15451C0E}"/>
    <cellStyle name="Вычисление 2 2 3 2 2 2 3" xfId="45968" xr:uid="{3F5CA9D2-D40E-4C32-BC3B-563707F93705}"/>
    <cellStyle name="Вычисление 2 2 3 2 2 3" xfId="26604" xr:uid="{6D8EDE09-4B54-4C24-A656-A4B25E4B9817}"/>
    <cellStyle name="Вычисление 2 2 3 2 2 4" xfId="39680" xr:uid="{69324FED-51BA-42A2-8810-CCD45D3605B8}"/>
    <cellStyle name="Вычисление 2 2 3 2 3" xfId="12268" xr:uid="{FD759A8B-ABD5-4082-91DE-07924D93B315}"/>
    <cellStyle name="Вычисление 2 2 3 2 3 2" xfId="28947" xr:uid="{790CE26F-2CA0-4EBB-8257-46DC3B4FAE97}"/>
    <cellStyle name="Вычисление 2 2 3 2 3 3" xfId="42180" xr:uid="{B0F64523-1C1C-4B72-971B-C43B59A66864}"/>
    <cellStyle name="Вычисление 2 2 3 2 4" xfId="22882" xr:uid="{AB476AF2-B081-4773-B2FE-F89130A71361}"/>
    <cellStyle name="Вычисление 2 2 3 2 5" xfId="35951" xr:uid="{E49FC133-5B09-47BF-B23E-BD0853437E83}"/>
    <cellStyle name="Вычисление 2 2 3 3" xfId="7635" xr:uid="{7CF500C5-0BE0-410F-860A-3557E9200B5E}"/>
    <cellStyle name="Вычисление 2 2 3 3 2" xfId="10914" xr:uid="{4953D8CA-E64A-410F-A69B-768638E889A0}"/>
    <cellStyle name="Вычисление 2 2 3 3 2 2" xfId="27732" xr:uid="{9AB05268-73A9-49F7-9A13-A3E6A126FF10}"/>
    <cellStyle name="Вычисление 2 2 3 3 2 3" xfId="40894" xr:uid="{CC782AA2-64D3-4208-9642-85B4715C5072}"/>
    <cellStyle name="Вычисление 2 2 3 3 3" xfId="25163" xr:uid="{0739DD9B-6510-48C3-8D09-9225CAACEC76}"/>
    <cellStyle name="Вычисление 2 2 3 3 4" xfId="38239" xr:uid="{2EDBEE64-A80D-4BE2-B49D-E76254EE5D26}"/>
    <cellStyle name="Вычисление 2 2 3 4" xfId="15759" xr:uid="{B5870AE2-C5A1-4B05-84C1-50C9B7CE2984}"/>
    <cellStyle name="Вычисление 2 2 3 4 2" xfId="31865" xr:uid="{656C0F43-A091-4779-9084-FDAC0B12EB50}"/>
    <cellStyle name="Вычисление 2 2 3 4 3" xfId="45376" xr:uid="{71731D49-BF79-4B85-9E12-92258BAA3005}"/>
    <cellStyle name="Вычисление 2 2 3 5" xfId="21904" xr:uid="{95C50532-418E-4E4D-8B83-0E9B7C2A2BF4}"/>
    <cellStyle name="Вычисление 2 2 3 6" xfId="34953" xr:uid="{3C0B5099-496E-465B-885C-0BA00913DF5B}"/>
    <cellStyle name="Вычисление 2 2 4" xfId="2659" xr:uid="{B76D0F7E-51EC-4EE5-9D8F-6ECD614F9FFE}"/>
    <cellStyle name="Вычисление 2 2 4 2" xfId="5014" xr:uid="{449AAF37-09F3-481A-9503-66185EF7363E}"/>
    <cellStyle name="Вычисление 2 2 4 2 2" xfId="7955" xr:uid="{DA45130D-B68F-4706-98E1-6ACD62771EFE}"/>
    <cellStyle name="Вычисление 2 2 4 2 2 2" xfId="14015" xr:uid="{78727D66-D0DF-4718-8406-6A9526EC6F82}"/>
    <cellStyle name="Вычисление 2 2 4 2 2 2 2" xfId="30395" xr:uid="{03BF51B9-7327-43D8-9101-B7D1DCE3A610}"/>
    <cellStyle name="Вычисление 2 2 4 2 2 2 3" xfId="43774" xr:uid="{05ED4771-5C06-49BC-BCFE-412A16C28F5F}"/>
    <cellStyle name="Вычисление 2 2 4 2 2 3" xfId="25471" xr:uid="{3E19FA29-A70F-4BE7-9CC2-277D2967203C}"/>
    <cellStyle name="Вычисление 2 2 4 2 2 4" xfId="38547" xr:uid="{ECCA3192-3124-4D35-8379-63FB9C842B37}"/>
    <cellStyle name="Вычисление 2 2 4 2 3" xfId="12878" xr:uid="{3E5FCD7B-E37A-49A1-B242-3FC5F93A0235}"/>
    <cellStyle name="Вычисление 2 2 4 2 3 2" xfId="29437" xr:uid="{FDD7676E-877B-4608-AB4A-2000EAF826F9}"/>
    <cellStyle name="Вычисление 2 2 4 2 3 3" xfId="42726" xr:uid="{972BBF4A-82F8-4791-BF1D-A30D8E25F6E7}"/>
    <cellStyle name="Вычисление 2 2 4 2 4" xfId="22778" xr:uid="{B49FA2E9-7D87-4C45-B29C-0467CC0ECA57}"/>
    <cellStyle name="Вычисление 2 2 4 2 5" xfId="35838" xr:uid="{0ECE8894-2806-4AF7-88D9-B21F11085479}"/>
    <cellStyle name="Вычисление 2 2 4 3" xfId="6322" xr:uid="{EF15B8A0-6D25-4440-9C02-84AB9375BF40}"/>
    <cellStyle name="Вычисление 2 2 4 3 2" xfId="14927" xr:uid="{A119E80A-411A-499F-9898-371B3463D470}"/>
    <cellStyle name="Вычисление 2 2 4 3 2 2" xfId="31171" xr:uid="{AB99142E-5897-4467-AA82-7CC7E4250A06}"/>
    <cellStyle name="Вычисление 2 2 4 3 2 3" xfId="44615" xr:uid="{2C992B64-31CD-481E-A5B5-A0997514E6BC}"/>
    <cellStyle name="Вычисление 2 2 4 3 3" xfId="23962" xr:uid="{90CD3D8F-EB59-403E-AA76-9D03013C1DC6}"/>
    <cellStyle name="Вычисление 2 2 4 3 4" xfId="37043" xr:uid="{1CA75B5A-627B-40E6-A4DE-E5A1848ED60C}"/>
    <cellStyle name="Вычисление 2 2 4 4" xfId="12787" xr:uid="{9BD107F0-1B15-48CD-B27E-ACD483991A02}"/>
    <cellStyle name="Вычисление 2 2 4 4 2" xfId="29362" xr:uid="{EC0C2256-232A-4A5C-90F6-F3E1AE28CF5B}"/>
    <cellStyle name="Вычисление 2 2 4 4 3" xfId="42642" xr:uid="{C4D06A0C-C021-4FE0-A679-4B49B0399914}"/>
    <cellStyle name="Вычисление 2 2 4 5" xfId="20714" xr:uid="{3012AF6F-B888-468B-8376-9F8D7EA2573D}"/>
    <cellStyle name="Вычисление 2 2 4 6" xfId="33737" xr:uid="{874C7787-06B3-402B-89C9-A4B61927B51A}"/>
    <cellStyle name="Вычисление 2 2 5" xfId="4226" xr:uid="{384B80C8-2145-4DE2-AC3B-6B699E0D61CA}"/>
    <cellStyle name="Вычисление 2 2 5 2" xfId="5053" xr:uid="{71CD916B-DD9E-4E7B-ACCF-C3C1BB42B728}"/>
    <cellStyle name="Вычисление 2 2 5 2 2" xfId="9278" xr:uid="{C160B35E-9EDA-4F21-8341-C73EF61E0231}"/>
    <cellStyle name="Вычисление 2 2 5 2 2 2" xfId="11112" xr:uid="{34F7B321-4DE1-48C4-8416-CCAE686503BF}"/>
    <cellStyle name="Вычисление 2 2 5 2 2 2 2" xfId="27913" xr:uid="{A7D55316-32D6-48C0-8F43-B06B7FC08A7E}"/>
    <cellStyle name="Вычисление 2 2 5 2 2 2 3" xfId="41091" xr:uid="{3AEDAE34-0BEA-4AC7-9920-218DB347B4B5}"/>
    <cellStyle name="Вычисление 2 2 5 2 2 3" xfId="26751" xr:uid="{67A2859A-8FF5-4AEB-AFA8-47C65BD5EB1A}"/>
    <cellStyle name="Вычисление 2 2 5 2 2 4" xfId="39827" xr:uid="{6756FE78-9B75-4808-8423-CB0CB2DE63FE}"/>
    <cellStyle name="Вычисление 2 2 5 2 3" xfId="12833" xr:uid="{92EBD617-58E0-4718-BE93-32FADC5CF7A1}"/>
    <cellStyle name="Вычисление 2 2 5 2 3 2" xfId="29405" xr:uid="{1EC38DC6-205E-4953-8741-D4D8D74043E3}"/>
    <cellStyle name="Вычисление 2 2 5 2 3 3" xfId="42687" xr:uid="{AFD26F04-0B8D-45B1-827E-549D04F7B1F7}"/>
    <cellStyle name="Вычисление 2 2 5 2 4" xfId="22802" xr:uid="{71A0B138-C90E-46DE-A244-9F40E0358F6A}"/>
    <cellStyle name="Вычисление 2 2 5 2 5" xfId="35867" xr:uid="{48732AB6-642C-4C44-BB9E-1C809E499CF0}"/>
    <cellStyle name="Вычисление 2 2 5 3" xfId="7790" xr:uid="{F35D066A-40E6-4A99-ADE9-2936D580CDAB}"/>
    <cellStyle name="Вычисление 2 2 5 3 2" xfId="13687" xr:uid="{435E433E-C963-40F4-B3BD-FB80BA971186}"/>
    <cellStyle name="Вычисление 2 2 5 3 2 2" xfId="30112" xr:uid="{16237A53-8824-4640-A03F-A8403409AD8D}"/>
    <cellStyle name="Вычисление 2 2 5 3 2 3" xfId="43471" xr:uid="{AF9325C6-6E55-4099-B9EF-DD21BA7D32B2}"/>
    <cellStyle name="Вычисление 2 2 5 3 3" xfId="25310" xr:uid="{48A86AB8-8BCC-41A4-AF6D-F4219043DAEE}"/>
    <cellStyle name="Вычисление 2 2 5 3 4" xfId="38386" xr:uid="{B4681F7D-E659-408B-9AD5-2E8C7387CAFF}"/>
    <cellStyle name="Вычисление 2 2 5 4" xfId="12053" xr:uid="{1858A7CB-C09A-45AC-8711-C60F69F3A055}"/>
    <cellStyle name="Вычисление 2 2 5 4 2" xfId="28753" xr:uid="{FB98C67D-E74D-44D1-ACC0-372F100F2568}"/>
    <cellStyle name="Вычисление 2 2 5 4 3" xfId="41973" xr:uid="{8274ABFF-677F-4C03-B7DD-15821A8C6433}"/>
    <cellStyle name="Вычисление 2 2 5 5" xfId="22051" xr:uid="{74D291FF-AB4C-4DB4-952C-07AF978B56D7}"/>
    <cellStyle name="Вычисление 2 2 5 6" xfId="35100" xr:uid="{1CEA2A78-CA61-4622-ACEA-1AB10BCDAD94}"/>
    <cellStyle name="Вычисление 2 2 6" xfId="4449" xr:uid="{B5BEEE46-0981-42E7-AB44-E68BED792665}"/>
    <cellStyle name="Вычисление 2 2 6 2" xfId="7089" xr:uid="{FAEAF048-349A-4311-A4A5-DCB59DCA3C2F}"/>
    <cellStyle name="Вычисление 2 2 6 2 2" xfId="12330" xr:uid="{EBF289C5-20AD-4D74-AD8B-835DBDE1ABB3}"/>
    <cellStyle name="Вычисление 2 2 6 2 2 2" xfId="28998" xr:uid="{14A94EE2-A3A6-4DC1-BED8-52DBF5436DAD}"/>
    <cellStyle name="Вычисление 2 2 6 2 2 3" xfId="42238" xr:uid="{D27C8A66-9764-475F-8AAB-2C772948B445}"/>
    <cellStyle name="Вычисление 2 2 6 2 3" xfId="24688" xr:uid="{9C3650DE-6813-4504-914A-E689593CBA03}"/>
    <cellStyle name="Вычисление 2 2 6 2 4" xfId="37769" xr:uid="{1E4F59A3-E7E6-4CE6-8CAA-F7638B74C009}"/>
    <cellStyle name="Вычисление 2 2 6 3" xfId="10620" xr:uid="{CEAC0603-342D-4C8B-97CB-495390C5DA6F}"/>
    <cellStyle name="Вычисление 2 2 6 3 2" xfId="27479" xr:uid="{E5739D15-0CAC-49EC-89C6-C494AE966513}"/>
    <cellStyle name="Вычисление 2 2 6 3 3" xfId="40601" xr:uid="{6C2C64A7-9B55-4BE2-90FB-AD03EA0D8EE8}"/>
    <cellStyle name="Вычисление 2 2 6 4" xfId="22267" xr:uid="{90B9F349-F36F-4812-8D45-B4759C87C932}"/>
    <cellStyle name="Вычисление 2 2 6 5" xfId="35316" xr:uid="{71F873BB-FCB4-426E-ADED-7E8CA9FBD73E}"/>
    <cellStyle name="Вычисление 2 2 7" xfId="5502" xr:uid="{5CC5DC82-8B23-41CA-9B3F-568DD1C4C41D}"/>
    <cellStyle name="Вычисление 2 2 7 2" xfId="8684" xr:uid="{1C62FCDA-24F5-4132-9E94-A5D7542556AE}"/>
    <cellStyle name="Вычисление 2 2 7 2 2" xfId="11054" xr:uid="{8A0D938C-A5B4-4A2D-AF1D-81DF407211DC}"/>
    <cellStyle name="Вычисление 2 2 7 2 2 2" xfId="27857" xr:uid="{29687F58-38D0-4875-A826-59C29C2AC29A}"/>
    <cellStyle name="Вычисление 2 2 7 2 2 3" xfId="41033" xr:uid="{CE1AFC2E-891F-4ACF-A686-64FF52D15D70}"/>
    <cellStyle name="Вычисление 2 2 7 2 3" xfId="26177" xr:uid="{A1C0C02A-9AA6-4195-BA3F-7958DFB0290C}"/>
    <cellStyle name="Вычисление 2 2 7 2 4" xfId="39253" xr:uid="{C923C03A-E13A-47A2-AD55-E4F4E60B3EC0}"/>
    <cellStyle name="Вычисление 2 2 7 3" xfId="11755" xr:uid="{15B96649-A545-4A10-93DA-F4574E293CFB}"/>
    <cellStyle name="Вычисление 2 2 7 3 2" xfId="28481" xr:uid="{7F4E6903-14D7-45E6-AB06-A1224F3DCAF0}"/>
    <cellStyle name="Вычисление 2 2 7 3 3" xfId="41692" xr:uid="{B58C2D7D-47B3-422E-8EE0-17FC8FB87867}"/>
    <cellStyle name="Вычисление 2 2 7 4" xfId="23149" xr:uid="{73E32E56-954A-4D7B-BD21-16E655D1CEA0}"/>
    <cellStyle name="Вычисление 2 2 7 5" xfId="36230" xr:uid="{CD740ECC-77FB-405D-81E3-B43743B5BF55}"/>
    <cellStyle name="Вычисление 2 2 8" xfId="11543" xr:uid="{4BA9B7F5-9439-4856-BEEC-B3A7719293F7}"/>
    <cellStyle name="Вычисление 2 2 8 2" xfId="28300" xr:uid="{3546FEC4-747E-41A4-8D5C-2F85349E63CB}"/>
    <cellStyle name="Вычисление 2 2 8 3" xfId="41498" xr:uid="{F00E95F3-A064-43DB-8785-3F4FF87C6FEF}"/>
    <cellStyle name="Вычисление 2 2 9" xfId="17746" xr:uid="{4BE6D9D8-5FC3-4190-BAA5-A92B112D13FA}"/>
    <cellStyle name="Вычисление 2 2 9 2" xfId="33468" xr:uid="{6054699E-E718-469E-B64C-4C4C597DE05F}"/>
    <cellStyle name="Вычисление 2 2 9 3" xfId="47251" xr:uid="{4E1CDF5C-9C49-43C1-B28B-2C3903CB0884}"/>
    <cellStyle name="Вычисление 2 20" xfId="3155" xr:uid="{3AC2BFAB-F981-4130-BF97-7133FB1E88C8}"/>
    <cellStyle name="Вычисление 2 20 2" xfId="4993" xr:uid="{B9265281-15E4-4698-A76B-ECE3F1B3A640}"/>
    <cellStyle name="Вычисление 2 20 2 2" xfId="8447" xr:uid="{17C31BFC-18EF-4506-AFB5-37D13EE02BE0}"/>
    <cellStyle name="Вычисление 2 20 2 2 2" xfId="11036" xr:uid="{641B644E-2306-4581-92D4-473D0D6C499C}"/>
    <cellStyle name="Вычисление 2 20 2 2 2 2" xfId="27842" xr:uid="{91BFF52C-A8B7-47D3-AC1F-0E52BE73931F}"/>
    <cellStyle name="Вычисление 2 20 2 2 2 3" xfId="41016" xr:uid="{AE213B53-9380-47C0-BE7B-C3B7BE7EF1E3}"/>
    <cellStyle name="Вычисление 2 20 2 2 3" xfId="25949" xr:uid="{C70AE9C6-4299-4462-A325-0174E2523FE4}"/>
    <cellStyle name="Вычисление 2 20 2 2 4" xfId="39025" xr:uid="{87565E20-4764-4C0F-8909-D15770595CF0}"/>
    <cellStyle name="Вычисление 2 20 2 3" xfId="11934" xr:uid="{99DCCBB6-9C86-4E11-8F23-F323BE8E4602}"/>
    <cellStyle name="Вычисление 2 20 2 3 2" xfId="28646" xr:uid="{3D63C476-6008-483E-9CD0-0B95925B7FFB}"/>
    <cellStyle name="Вычисление 2 20 2 3 3" xfId="41864" xr:uid="{BC5F2FAC-D995-47CE-8EF7-7114EC21AB94}"/>
    <cellStyle name="Вычисление 2 20 2 4" xfId="22763" xr:uid="{C2D139BC-4C09-4389-92BA-571D717748E3}"/>
    <cellStyle name="Вычисление 2 20 2 5" xfId="35822" xr:uid="{4DE8FA3E-C285-4D60-BF40-CD91747EC59D}"/>
    <cellStyle name="Вычисление 2 20 3" xfId="6814" xr:uid="{E9A18674-E1C3-423C-B691-D533E2C11FF0}"/>
    <cellStyle name="Вычисление 2 20 3 2" xfId="17362" xr:uid="{7A5911AB-C775-47D6-81FD-F4C1641942A7}"/>
    <cellStyle name="Вычисление 2 20 3 2 2" xfId="33116" xr:uid="{B32BB3F6-4404-4E83-AC06-82563BD44204}"/>
    <cellStyle name="Вычисление 2 20 3 2 3" xfId="46892" xr:uid="{13DA4403-3457-44BB-84CF-650A568BF710}"/>
    <cellStyle name="Вычисление 2 20 3 3" xfId="24440" xr:uid="{851E22A6-F714-4B3A-AE07-E4221A1D8A6C}"/>
    <cellStyle name="Вычисление 2 20 3 4" xfId="37521" xr:uid="{A9529162-7C68-410F-894B-540799379862}"/>
    <cellStyle name="Вычисление 2 20 4" xfId="12429" xr:uid="{026C3FCB-94B8-4FDA-85C1-40CC1444F3E0}"/>
    <cellStyle name="Вычисление 2 20 4 2" xfId="29083" xr:uid="{0040ACF8-D437-4B73-8ACE-752900337689}"/>
    <cellStyle name="Вычисление 2 20 4 3" xfId="42328" xr:uid="{AD4A1EF7-0642-459D-80C8-8F404D1BF8B8}"/>
    <cellStyle name="Вычисление 2 20 5" xfId="21192" xr:uid="{E23166DB-2BBD-46B9-A6EC-00E3476732F2}"/>
    <cellStyle name="Вычисление 2 20 6" xfId="34215" xr:uid="{0F68E574-433C-44E9-A0DC-A6F9951DBFB6}"/>
    <cellStyle name="Вычисление 2 21" xfId="2647" xr:uid="{2894240C-BEC6-4892-BA37-2EDB67BF9E89}"/>
    <cellStyle name="Вычисление 2 21 2" xfId="7944" xr:uid="{E25FBA46-A0D0-4AE0-8246-7E3BE6621C86}"/>
    <cellStyle name="Вычисление 2 21 2 2" xfId="11555" xr:uid="{50D5F502-A0AB-4CC7-BA38-1360638EBA47}"/>
    <cellStyle name="Вычисление 2 21 2 2 2" xfId="28312" xr:uid="{FFD092D8-A449-42CC-AA3C-01CE08C27419}"/>
    <cellStyle name="Вычисление 2 21 2 2 3" xfId="41510" xr:uid="{52FD60A0-F999-4005-A68C-91F59BF62B4B}"/>
    <cellStyle name="Вычисление 2 21 2 3" xfId="25460" xr:uid="{970B90E8-473D-465C-9D6E-D306CA409621}"/>
    <cellStyle name="Вычисление 2 21 2 4" xfId="38536" xr:uid="{2B8376E8-10EF-446B-B344-A96846DB1F36}"/>
    <cellStyle name="Вычисление 2 21 3" xfId="6311" xr:uid="{7DDFD5C2-27F3-4693-A47E-CF2E42D7265B}"/>
    <cellStyle name="Вычисление 2 21 3 2" xfId="16155" xr:uid="{9EA995C5-43F1-44A7-A500-B0FF6D5C9B74}"/>
    <cellStyle name="Вычисление 2 21 3 2 2" xfId="32206" xr:uid="{3614BC62-74E3-4BB8-89F5-62BDA555EA0D}"/>
    <cellStyle name="Вычисление 2 21 3 2 3" xfId="45728" xr:uid="{BD904DAE-603A-4A10-9BD4-C00AF043EF0E}"/>
    <cellStyle name="Вычисление 2 21 3 3" xfId="23951" xr:uid="{A6784A3C-8767-4745-BAC8-96F9EBB81448}"/>
    <cellStyle name="Вычисление 2 21 3 4" xfId="37032" xr:uid="{E8499CA6-74F6-4CB2-BA15-4C8436EE171C}"/>
    <cellStyle name="Вычисление 2 21 4" xfId="13611" xr:uid="{3EEE78A9-940D-43FF-99CB-EEE285186588}"/>
    <cellStyle name="Вычисление 2 21 4 2" xfId="30050" xr:uid="{3ECF4EA6-91BC-4930-B219-CE98532C181C}"/>
    <cellStyle name="Вычисление 2 21 4 3" xfId="43402" xr:uid="{211F9CC9-F4C2-45BC-8B1F-6988EBB31999}"/>
    <cellStyle name="Вычисление 2 21 5" xfId="20703" xr:uid="{B6F71F1B-0584-40C4-AB3A-E9890AB48FD1}"/>
    <cellStyle name="Вычисление 2 21 6" xfId="33726" xr:uid="{92DDF985-CACC-41B2-B987-20ECC7FA966A}"/>
    <cellStyle name="Вычисление 2 22" xfId="4085" xr:uid="{248A309B-F041-424B-BF6D-3AB5B3B30069}"/>
    <cellStyle name="Вычисление 2 22 2" xfId="9137" xr:uid="{0CF34131-DC97-483C-B278-CFBCB8345FD4}"/>
    <cellStyle name="Вычисление 2 22 2 2" xfId="16685" xr:uid="{7E4623B6-939F-4444-AE1C-3AE2059A38CC}"/>
    <cellStyle name="Вычисление 2 22 2 2 2" xfId="32572" xr:uid="{41B83429-4712-471C-A702-3CCCC62893BE}"/>
    <cellStyle name="Вычисление 2 22 2 2 3" xfId="46230" xr:uid="{3521ECBF-7F3D-4FA5-AE13-3623A3511318}"/>
    <cellStyle name="Вычисление 2 22 2 3" xfId="26618" xr:uid="{5526E29C-134A-4F3D-A7F4-02A2AF746AC9}"/>
    <cellStyle name="Вычисление 2 22 2 4" xfId="39694" xr:uid="{E80850D2-8B25-442E-89B9-376BA27A8EAF}"/>
    <cellStyle name="Вычисление 2 22 3" xfId="7649" xr:uid="{DE3E6E0C-7F5B-4E7C-96BA-8BA570A6E8D0}"/>
    <cellStyle name="Вычисление 2 22 3 2" xfId="11530" xr:uid="{6DC5050B-168B-4C61-8D37-FBC408AC1DB4}"/>
    <cellStyle name="Вычисление 2 22 3 2 2" xfId="28288" xr:uid="{D4147A7C-3176-4A66-BEE3-77D88F6575FB}"/>
    <cellStyle name="Вычисление 2 22 3 2 3" xfId="41485" xr:uid="{5535FEC2-0284-45D5-9CF5-6D01A83B3AE1}"/>
    <cellStyle name="Вычисление 2 22 3 3" xfId="25177" xr:uid="{A32F4291-6227-482A-8094-7819B1125EFD}"/>
    <cellStyle name="Вычисление 2 22 3 4" xfId="38253" xr:uid="{4F6D9519-2897-43F4-98CF-DFD2816F9FE3}"/>
    <cellStyle name="Вычисление 2 22 4" xfId="16442" xr:uid="{9408995D-A326-4E2F-9E5D-F51222A46E9D}"/>
    <cellStyle name="Вычисление 2 22 4 2" xfId="32454" xr:uid="{F50CEC38-3A70-4E62-8633-3B982E1E1095}"/>
    <cellStyle name="Вычисление 2 22 4 3" xfId="45992" xr:uid="{019371A5-91D7-45C6-A555-74EF8912F122}"/>
    <cellStyle name="Вычисление 2 22 5" xfId="21918" xr:uid="{1403CEEF-EEAB-4338-9718-E4122D4B7844}"/>
    <cellStyle name="Вычисление 2 22 6" xfId="34967" xr:uid="{797AA7A0-CD35-43A0-8B40-42ADA516A887}"/>
    <cellStyle name="Вычисление 2 23" xfId="2556" xr:uid="{49729BD9-3069-4A8E-AFE1-6466ADA3D4B9}"/>
    <cellStyle name="Вычисление 2 23 2" xfId="7854" xr:uid="{4B1539A5-D121-4431-A528-1D9251C8FF02}"/>
    <cellStyle name="Вычисление 2 23 2 2" xfId="10755" xr:uid="{706086DB-1C55-4B3C-9608-CBCB48186515}"/>
    <cellStyle name="Вычисление 2 23 2 2 2" xfId="27594" xr:uid="{F412EB32-8D18-4BF4-ADF1-2B4CC54572D0}"/>
    <cellStyle name="Вычисление 2 23 2 2 3" xfId="40736" xr:uid="{175AE49F-1706-4F96-9425-4BCAF8B6CBDE}"/>
    <cellStyle name="Вычисление 2 23 2 3" xfId="25373" xr:uid="{A211335B-FB59-402E-95F8-5C540373553C}"/>
    <cellStyle name="Вычисление 2 23 2 4" xfId="38449" xr:uid="{942DF53A-5557-4182-9683-DF7B50604E17}"/>
    <cellStyle name="Вычисление 2 23 3" xfId="6221" xr:uid="{1E0A32EA-2EB6-4DDA-8888-4E61A12E22CC}"/>
    <cellStyle name="Вычисление 2 23 3 2" xfId="12684" xr:uid="{BCD83FC7-D9C8-4BC5-9C6D-CE4A087FC8E8}"/>
    <cellStyle name="Вычисление 2 23 3 2 2" xfId="29279" xr:uid="{C73967F3-14E5-49CE-9BB1-DA07B6A220BC}"/>
    <cellStyle name="Вычисление 2 23 3 2 3" xfId="42552" xr:uid="{46A492DC-39B4-4B1F-B378-73A44F90DD0B}"/>
    <cellStyle name="Вычисление 2 23 3 3" xfId="23864" xr:uid="{9B94A8E8-A225-4A01-BE47-D761B9ECC3A9}"/>
    <cellStyle name="Вычисление 2 23 3 4" xfId="36945" xr:uid="{52EF04AB-3710-451E-BB1C-0CEA077C2106}"/>
    <cellStyle name="Вычисление 2 23 4" xfId="14416" xr:uid="{4200A191-C870-4003-A0D1-5C8B7FD3D8FB}"/>
    <cellStyle name="Вычисление 2 23 4 2" xfId="30746" xr:uid="{DC1C1057-9739-46AA-A95A-82661AB7EE11}"/>
    <cellStyle name="Вычисление 2 23 4 3" xfId="44146" xr:uid="{38076A7A-BB24-486B-B193-177E87777477}"/>
    <cellStyle name="Вычисление 2 23 5" xfId="20616" xr:uid="{552C8DC8-01A2-47B7-BD8C-DD42C02DBEF9}"/>
    <cellStyle name="Вычисление 2 23 6" xfId="33639" xr:uid="{0E4BD805-B08B-44D6-B0CF-B9CF444222BD}"/>
    <cellStyle name="Вычисление 2 24" xfId="4217" xr:uid="{3649629F-4AF9-48D9-BE64-2F9804B9C0C1}"/>
    <cellStyle name="Вычисление 2 24 2" xfId="9269" xr:uid="{8F050855-B068-419D-B429-16BF46593840}"/>
    <cellStyle name="Вычисление 2 24 2 2" xfId="15615" xr:uid="{7FEA45E1-C3FF-4379-AB4C-24D810616E90}"/>
    <cellStyle name="Вычисление 2 24 2 2 2" xfId="31737" xr:uid="{ABD5E99B-D58E-4247-81CF-0D0FEF7BA72A}"/>
    <cellStyle name="Вычисление 2 24 2 2 3" xfId="45241" xr:uid="{7824792D-9E06-44F0-A71C-12F149D99686}"/>
    <cellStyle name="Вычисление 2 24 2 3" xfId="26742" xr:uid="{63BBF2DF-DFEE-44B7-8990-9C6D400BE413}"/>
    <cellStyle name="Вычисление 2 24 2 4" xfId="39818" xr:uid="{C1A25E2F-E9CD-470F-B370-5E741B07F942}"/>
    <cellStyle name="Вычисление 2 24 3" xfId="7781" xr:uid="{990CE947-8D55-4403-B946-3FA55CC608C5}"/>
    <cellStyle name="Вычисление 2 24 3 2" xfId="12564" xr:uid="{61486654-952C-47AD-A010-0F4FDBDBD3D4}"/>
    <cellStyle name="Вычисление 2 24 3 2 2" xfId="29183" xr:uid="{D8D9FD2E-6375-4EB0-A4DC-C1145CF5DA1A}"/>
    <cellStyle name="Вычисление 2 24 3 2 3" xfId="42444" xr:uid="{0AFC3D40-0DD6-48C0-A45F-5BA77EE94748}"/>
    <cellStyle name="Вычисление 2 24 3 3" xfId="25301" xr:uid="{C090E8B0-0935-4569-AFA8-66D2F069CD55}"/>
    <cellStyle name="Вычисление 2 24 3 4" xfId="38377" xr:uid="{5EDDCE17-EB82-4961-A87D-D740A0EDFC91}"/>
    <cellStyle name="Вычисление 2 24 4" xfId="10651" xr:uid="{0D0BC88C-DEAD-44E9-98D0-DC7293F03EDA}"/>
    <cellStyle name="Вычисление 2 24 4 2" xfId="27502" xr:uid="{DCFB1906-AE8A-4C95-BE5C-B58CDBD27D52}"/>
    <cellStyle name="Вычисление 2 24 4 3" xfId="40632" xr:uid="{96EF6040-9C48-45F6-AABE-A3127E0E2E13}"/>
    <cellStyle name="Вычисление 2 24 5" xfId="22042" xr:uid="{E365FF50-CDFD-44B2-BD70-4E0E94A866C1}"/>
    <cellStyle name="Вычисление 2 24 6" xfId="35091" xr:uid="{FEC06187-A90D-4F58-AA69-4280BEF6010B}"/>
    <cellStyle name="Вычисление 2 25" xfId="4297" xr:uid="{9770BF3A-FB87-4DAF-95DA-971BF9346550}"/>
    <cellStyle name="Вычисление 2 25 2" xfId="6166" xr:uid="{2AE75567-C1BD-426A-92AF-8671277B8047}"/>
    <cellStyle name="Вычисление 2 25 2 2" xfId="13843" xr:uid="{8868A819-743D-41E3-A725-EE50231EEE11}"/>
    <cellStyle name="Вычисление 2 25 2 2 2" xfId="30245" xr:uid="{73B48313-CD39-4428-B113-32B271780A13}"/>
    <cellStyle name="Вычисление 2 25 2 2 3" xfId="43615" xr:uid="{0F7B8E67-BDFE-4E40-8E94-EFE6C9B1A2CA}"/>
    <cellStyle name="Вычисление 2 25 2 3" xfId="23811" xr:uid="{4379860C-C7AA-45C5-A7E9-7FE6063B14CF}"/>
    <cellStyle name="Вычисление 2 25 2 4" xfId="36892" xr:uid="{E045F91D-7DD6-4F04-8038-2845210DDF5E}"/>
    <cellStyle name="Вычисление 2 25 3" xfId="16270" xr:uid="{C3AAFD42-012C-41AF-AFF3-2402B94E4130}"/>
    <cellStyle name="Вычисление 2 25 3 2" xfId="32304" xr:uid="{C0733241-B375-49F0-8E41-7FE409A950F0}"/>
    <cellStyle name="Вычисление 2 25 3 3" xfId="45833" xr:uid="{CFA28386-FD40-4152-9C77-1A7095791E79}"/>
    <cellStyle name="Вычисление 2 25 4" xfId="22118" xr:uid="{5ECD1951-B749-4A5B-957F-527E0D58A27B}"/>
    <cellStyle name="Вычисление 2 25 5" xfId="35167" xr:uid="{30D837C3-DCE5-4C68-BF10-17F07DDDE632}"/>
    <cellStyle name="Вычисление 2 26" xfId="5276" xr:uid="{277096BD-1440-4A89-9FC8-FEF8186294CB}"/>
    <cellStyle name="Вычисление 2 26 2" xfId="9709" xr:uid="{5903B7C3-A996-49F5-9C6D-F093B2253F5B}"/>
    <cellStyle name="Вычисление 2 26 2 2" xfId="13683" xr:uid="{C1192E58-B5BE-489B-97F9-F88002217DCA}"/>
    <cellStyle name="Вычисление 2 26 2 2 2" xfId="30108" xr:uid="{1F6ED328-5E7E-417A-BA10-5CA4209AAED9}"/>
    <cellStyle name="Вычисление 2 26 2 2 3" xfId="43467" xr:uid="{718F1DBA-86F1-4F6D-873F-CA92B3677C18}"/>
    <cellStyle name="Вычисление 2 26 2 3" xfId="27009" xr:uid="{1634FB3E-4805-4875-B5A1-E94759925DB7}"/>
    <cellStyle name="Вычисление 2 26 2 4" xfId="40125" xr:uid="{C011D591-8C24-428A-8AF5-F87DF5CF55F6}"/>
    <cellStyle name="Вычисление 2 26 3" xfId="14263" xr:uid="{E4C2A31B-38FA-4CB7-8C02-004EB166AE20}"/>
    <cellStyle name="Вычисление 2 26 3 2" xfId="30606" xr:uid="{951FFCFC-D169-412D-B2FC-E81BA374033A}"/>
    <cellStyle name="Вычисление 2 26 3 3" xfId="43999" xr:uid="{4E8CAFDB-D525-4B86-B1B6-780CA4799E88}"/>
    <cellStyle name="Вычисление 2 26 4" xfId="22928" xr:uid="{039C29EB-AE2D-4544-90FA-2AE9C72210F0}"/>
    <cellStyle name="Вычисление 2 26 5" xfId="36006" xr:uid="{71ED714A-6E04-4DB9-B249-E353E20DDBA4}"/>
    <cellStyle name="Вычисление 2 27" xfId="10386" xr:uid="{FB4354EC-D4B8-42F3-866B-828D38DA1BC8}"/>
    <cellStyle name="Вычисление 2 27 2" xfId="17592" xr:uid="{A0ADD63E-87F1-46E7-B90F-A58385F77575}"/>
    <cellStyle name="Вычисление 2 27 2 2" xfId="33328" xr:uid="{3C319949-49B3-4C37-986E-B797AAD9EDE8}"/>
    <cellStyle name="Вычисление 2 27 2 3" xfId="47117" xr:uid="{4B433A09-1852-42C4-A558-1DB4BA636A5C}"/>
    <cellStyle name="Вычисление 2 27 3" xfId="27402" xr:uid="{B722C40A-5782-4382-AEB1-54783C5A3F1D}"/>
    <cellStyle name="Вычисление 2 27 4" xfId="40524" xr:uid="{05A77AFE-93DE-43AA-9CA3-E054405C2035}"/>
    <cellStyle name="Вычисление 2 28" xfId="10567" xr:uid="{8B89D0D7-2B40-4BB7-995F-7080B53CB8F6}"/>
    <cellStyle name="Вычисление 2 28 2" xfId="17612" xr:uid="{C9BF7CB1-1319-45AF-9E7E-204D6D43F0DD}"/>
    <cellStyle name="Вычисление 2 28 2 2" xfId="33347" xr:uid="{2740B8C0-BC4B-4E1D-AF3B-D2E389D7204F}"/>
    <cellStyle name="Вычисление 2 28 2 3" xfId="47137" xr:uid="{54C46E4D-0BA8-41AB-BC5D-02E0FD1C0DA0}"/>
    <cellStyle name="Вычисление 2 28 3" xfId="27426" xr:uid="{B0482FA1-D11F-436C-80C1-61B4FCF96ED9}"/>
    <cellStyle name="Вычисление 2 28 4" xfId="40548" xr:uid="{4EC70CEE-670C-4773-9E4C-EB36C34350ED}"/>
    <cellStyle name="Вычисление 2 29" xfId="11997" xr:uid="{7E9FED1B-1129-447C-9B40-6EBC6515F40C}"/>
    <cellStyle name="Вычисление 2 29 2" xfId="28703" xr:uid="{3D7708AC-A6A6-4BBA-974A-6766B6F078D4}"/>
    <cellStyle name="Вычисление 2 29 3" xfId="41921" xr:uid="{F2476BE4-2BFC-4122-822A-D744D2D50A24}"/>
    <cellStyle name="Вычисление 2 3" xfId="3336" xr:uid="{604D88F4-DB48-46C6-B8B6-FFC02FB389DE}"/>
    <cellStyle name="Вычисление 2 3 10" xfId="34382" xr:uid="{ED856405-D4F9-4C91-957A-542191F3CF7E}"/>
    <cellStyle name="Вычисление 2 3 2" xfId="2698" xr:uid="{F50C71F1-D9A6-41D8-BF34-7D3630ECABB5}"/>
    <cellStyle name="Вычисление 2 3 2 2" xfId="7994" xr:uid="{DCFCF3DF-BE98-4AC5-80B9-991E0EE5384B}"/>
    <cellStyle name="Вычисление 2 3 2 2 2" xfId="11177" xr:uid="{D4D0F163-0270-48AD-970A-1B3B6353DAD1}"/>
    <cellStyle name="Вычисление 2 3 2 2 2 2" xfId="27971" xr:uid="{9E3233CE-A201-409D-B20C-E9D4D2734FA4}"/>
    <cellStyle name="Вычисление 2 3 2 2 2 3" xfId="41153" xr:uid="{10E8DE49-F753-48AD-86E9-755436B515B9}"/>
    <cellStyle name="Вычисление 2 3 2 2 3" xfId="25509" xr:uid="{57CB0BCB-A506-4336-A8D6-BD98255C7935}"/>
    <cellStyle name="Вычисление 2 3 2 2 4" xfId="38585" xr:uid="{1361D357-559D-40D1-B66B-3BF6240ED9D0}"/>
    <cellStyle name="Вычисление 2 3 2 3" xfId="6361" xr:uid="{677F6173-41CF-424F-A533-5D6D7B863010}"/>
    <cellStyle name="Вычисление 2 3 2 3 2" xfId="15438" xr:uid="{466443B8-1FE6-415C-AE2B-C606B53ACCB3}"/>
    <cellStyle name="Вычисление 2 3 2 3 2 2" xfId="31584" xr:uid="{84513252-3EFF-4942-A52B-EFB25830D05D}"/>
    <cellStyle name="Вычисление 2 3 2 3 2 3" xfId="45079" xr:uid="{48B67DE3-BCCD-4C00-84AB-BCCA57BEB915}"/>
    <cellStyle name="Вычисление 2 3 2 3 3" xfId="24000" xr:uid="{3DB3F056-638F-42C9-BE09-C4879E6A8A55}"/>
    <cellStyle name="Вычисление 2 3 2 3 4" xfId="37081" xr:uid="{6705940C-2043-4E9C-8CDB-3A179D9413D4}"/>
    <cellStyle name="Вычисление 2 3 2 4" xfId="16002" xr:uid="{061B3784-C829-4134-9334-E33DE0DBD818}"/>
    <cellStyle name="Вычисление 2 3 2 4 2" xfId="32073" xr:uid="{93B5AD04-8A73-44E3-A9CA-1B2F40D29658}"/>
    <cellStyle name="Вычисление 2 3 2 4 3" xfId="45592" xr:uid="{986C045A-341C-4CD2-BE84-E618B161D63F}"/>
    <cellStyle name="Вычисление 2 3 2 5" xfId="20752" xr:uid="{AB54B741-4AF0-4BDE-B1CF-E97A98BF01A9}"/>
    <cellStyle name="Вычисление 2 3 2 6" xfId="33775" xr:uid="{0A84FBA7-1DD3-4305-932A-1FECA1DD0E3B}"/>
    <cellStyle name="Вычисление 2 3 3" xfId="4100" xr:uid="{761C6637-C85B-49F4-9CE9-69A5315972FD}"/>
    <cellStyle name="Вычисление 2 3 3 2" xfId="9152" xr:uid="{F6D2E12F-CA5A-4088-972E-0F1A5913C558}"/>
    <cellStyle name="Вычисление 2 3 3 2 2" xfId="11318" xr:uid="{687E63F2-EBB8-48D7-8230-219C5BFFBBFE}"/>
    <cellStyle name="Вычисление 2 3 3 2 2 2" xfId="28097" xr:uid="{EA98E225-F4B8-4DBC-AD78-11AFEACCB9FD}"/>
    <cellStyle name="Вычисление 2 3 3 2 2 3" xfId="41285" xr:uid="{1F41E58C-ADB5-490E-A337-2E65A6A30A74}"/>
    <cellStyle name="Вычисление 2 3 3 2 3" xfId="26633" xr:uid="{1388A249-2E77-4F9A-95DA-ACAC7446F829}"/>
    <cellStyle name="Вычисление 2 3 3 2 4" xfId="39709" xr:uid="{C7A92123-736E-433A-BCF2-7F10F18C8E86}"/>
    <cellStyle name="Вычисление 2 3 3 3" xfId="7664" xr:uid="{1842E200-2D67-449B-A9A3-CB47999D3E7A}"/>
    <cellStyle name="Вычисление 2 3 3 3 2" xfId="15072" xr:uid="{4CA243BD-07F5-456E-8CD8-859810D26606}"/>
    <cellStyle name="Вычисление 2 3 3 3 2 2" xfId="31282" xr:uid="{17592FD7-120D-48E9-87C1-1B7689F221A2}"/>
    <cellStyle name="Вычисление 2 3 3 3 2 3" xfId="44739" xr:uid="{EDEF8AC4-C93D-41D7-A471-1ACE65EE2F64}"/>
    <cellStyle name="Вычисление 2 3 3 3 3" xfId="25192" xr:uid="{3A373C2E-64CF-4E7C-B9B8-8CB16324E97A}"/>
    <cellStyle name="Вычисление 2 3 3 3 4" xfId="38268" xr:uid="{C1A6B490-DD4E-4780-A33D-06C280C4F0E2}"/>
    <cellStyle name="Вычисление 2 3 3 4" xfId="11519" xr:uid="{2AC3E99D-738C-4E1C-AB51-BA547805D81F}"/>
    <cellStyle name="Вычисление 2 3 3 4 2" xfId="28278" xr:uid="{37E1770D-390E-4BFB-8ACB-EA2D632C2B5D}"/>
    <cellStyle name="Вычисление 2 3 3 4 3" xfId="41475" xr:uid="{17BDDF0A-25DF-4485-9C0F-A43703277D6F}"/>
    <cellStyle name="Вычисление 2 3 3 5" xfId="21933" xr:uid="{3C183322-E53B-4812-9126-9E6DA961EC63}"/>
    <cellStyle name="Вычисление 2 3 3 6" xfId="34982" xr:uid="{42C9FE16-CDA8-4933-AF23-9B13EFFEA395}"/>
    <cellStyle name="Вычисление 2 3 4" xfId="2578" xr:uid="{F9D218F8-B9A5-45C0-AF26-9B471B500172}"/>
    <cellStyle name="Вычисление 2 3 4 2" xfId="7875" xr:uid="{45F0DDD3-29A0-489A-A387-ED6A074C38A5}"/>
    <cellStyle name="Вычисление 2 3 4 2 2" xfId="17485" xr:uid="{116F18E0-6EE7-4644-8236-C882024F9625}"/>
    <cellStyle name="Вычисление 2 3 4 2 2 2" xfId="33228" xr:uid="{B7E0EBBA-A10F-4CA0-9A35-2C906011D5C4}"/>
    <cellStyle name="Вычисление 2 3 4 2 2 3" xfId="47014" xr:uid="{89763457-B6E8-4211-8502-325F35651327}"/>
    <cellStyle name="Вычисление 2 3 4 2 3" xfId="25394" xr:uid="{E123C4B1-112A-495B-BC0B-41BB184B7A8A}"/>
    <cellStyle name="Вычисление 2 3 4 2 4" xfId="38470" xr:uid="{F810C280-D22F-4F7D-BEF0-3F430EC1D8DD}"/>
    <cellStyle name="Вычисление 2 3 4 3" xfId="6242" xr:uid="{0A396A0F-BE21-45B2-B003-585011706D69}"/>
    <cellStyle name="Вычисление 2 3 4 3 2" xfId="13600" xr:uid="{AE6C7900-5AAC-498C-9CDF-3D93297A5BB4}"/>
    <cellStyle name="Вычисление 2 3 4 3 2 2" xfId="30040" xr:uid="{E2AA5F54-61F9-4138-A2B8-56F967A8AE76}"/>
    <cellStyle name="Вычисление 2 3 4 3 2 3" xfId="43392" xr:uid="{88028951-DA48-4EE7-A44C-2715E76CAED2}"/>
    <cellStyle name="Вычисление 2 3 4 3 3" xfId="23885" xr:uid="{9644BE87-053A-4DCA-8F29-C2B6E1EE1183}"/>
    <cellStyle name="Вычисление 2 3 4 3 4" xfId="36966" xr:uid="{8B840FCF-D707-4DFF-9417-D91F22D306A9}"/>
    <cellStyle name="Вычисление 2 3 4 4" xfId="11149" xr:uid="{56D60125-73A8-4693-B327-61B3B5D64303}"/>
    <cellStyle name="Вычисление 2 3 4 4 2" xfId="27946" xr:uid="{9A8B3805-77D9-4B42-B897-FCDB6ED2AF81}"/>
    <cellStyle name="Вычисление 2 3 4 4 3" xfId="41127" xr:uid="{E2E49CBE-012C-4BD8-95B1-EF4B5A342192}"/>
    <cellStyle name="Вычисление 2 3 4 5" xfId="20637" xr:uid="{9A96043D-0D28-4698-A06B-D5C1B3AE0575}"/>
    <cellStyle name="Вычисление 2 3 4 6" xfId="33660" xr:uid="{ECF7BFF3-682B-4081-AD17-7F46C1A36252}"/>
    <cellStyle name="Вычисление 2 3 5" xfId="4245" xr:uid="{3975B0D2-02C5-4231-8A1D-AB23691EB34F}"/>
    <cellStyle name="Вычисление 2 3 5 2" xfId="9297" xr:uid="{6395E1A0-534C-45AC-A0CC-797B90A3CB66}"/>
    <cellStyle name="Вычисление 2 3 5 2 2" xfId="13057" xr:uid="{6D506B7D-6105-4E99-9F7E-0E78A60B83EF}"/>
    <cellStyle name="Вычисление 2 3 5 2 2 2" xfId="29582" xr:uid="{907E7F07-C972-43C4-9ED0-92FC0D3E751F}"/>
    <cellStyle name="Вычисление 2 3 5 2 2 3" xfId="42887" xr:uid="{A5EF75CF-243F-46D2-8F12-86C4DC2FAC84}"/>
    <cellStyle name="Вычисление 2 3 5 2 3" xfId="26770" xr:uid="{8A5B7610-68E2-4F3B-9E2C-7BE35BF90220}"/>
    <cellStyle name="Вычисление 2 3 5 2 4" xfId="39846" xr:uid="{968DAD87-1362-408C-B3F0-EAE8B2A9DDDF}"/>
    <cellStyle name="Вычисление 2 3 5 3" xfId="7809" xr:uid="{E58F04BE-21DB-49A7-B3AF-0063C95276C6}"/>
    <cellStyle name="Вычисление 2 3 5 3 2" xfId="13859" xr:uid="{A2D57B53-DB5B-4BFE-A27A-2C3D0BDB18C6}"/>
    <cellStyle name="Вычисление 2 3 5 3 2 2" xfId="30259" xr:uid="{D2B70C65-43A3-4297-A6F3-183C6B85647D}"/>
    <cellStyle name="Вычисление 2 3 5 3 2 3" xfId="43630" xr:uid="{69BE2126-7A8A-4BA4-BF11-A4CE0C45EBFF}"/>
    <cellStyle name="Вычисление 2 3 5 3 3" xfId="25329" xr:uid="{D2B42914-C186-4F01-A7F4-61B430A3A588}"/>
    <cellStyle name="Вычисление 2 3 5 3 4" xfId="38405" xr:uid="{F72A2BF8-00F9-492D-8ED0-06BB2C3CDC1D}"/>
    <cellStyle name="Вычисление 2 3 5 4" xfId="15834" xr:uid="{49B2CA69-3779-4C85-AE39-3179B908D6AA}"/>
    <cellStyle name="Вычисление 2 3 5 4 2" xfId="31927" xr:uid="{F5602D57-24C1-409B-B2F0-4CB21E3ADB85}"/>
    <cellStyle name="Вычисление 2 3 5 4 3" xfId="45439" xr:uid="{1290CDBE-465B-429D-ACAB-4D5F068AD59C}"/>
    <cellStyle name="Вычисление 2 3 5 5" xfId="22070" xr:uid="{5FE9963D-3B8F-4CF0-97D7-EBD5304F757E}"/>
    <cellStyle name="Вычисление 2 3 5 6" xfId="35119" xr:uid="{14C5C5C2-C618-489E-8549-372A8BFEF32B}"/>
    <cellStyle name="Вычисление 2 3 6" xfId="4367" xr:uid="{8C8DCD8B-6C17-41A4-9D5F-33177ABBC9D4}"/>
    <cellStyle name="Вычисление 2 3 6 2" xfId="6986" xr:uid="{CB46CBBF-848E-482E-A8E8-897FE6C8FEEB}"/>
    <cellStyle name="Вычисление 2 3 6 2 2" xfId="11063" xr:uid="{6A080A87-4C4C-483C-8118-20FF15EC86A4}"/>
    <cellStyle name="Вычисление 2 3 6 2 2 2" xfId="27866" xr:uid="{3BD4CCD8-4D37-4FF5-80CC-273296EDCE93}"/>
    <cellStyle name="Вычисление 2 3 6 2 2 3" xfId="41042" xr:uid="{CE573F86-0C50-4AFA-B21C-7971BE28C675}"/>
    <cellStyle name="Вычисление 2 3 6 2 3" xfId="24607" xr:uid="{52AD9C98-167A-448D-BD60-528267CBFB25}"/>
    <cellStyle name="Вычисление 2 3 6 2 4" xfId="37688" xr:uid="{84B91F52-B285-4D81-8B12-EDB4BD90F026}"/>
    <cellStyle name="Вычисление 2 3 6 3" xfId="16110" xr:uid="{4FEDA8A5-9C49-4DDF-B4AC-267A8A987896}"/>
    <cellStyle name="Вычисление 2 3 6 3 2" xfId="32167" xr:uid="{5F16F37A-A3F0-4F18-A4C0-8C9EFBC66C72}"/>
    <cellStyle name="Вычисление 2 3 6 3 3" xfId="45688" xr:uid="{78C6FD38-1B37-4EBC-A8E7-5A69E2EDDC19}"/>
    <cellStyle name="Вычисление 2 3 6 4" xfId="22186" xr:uid="{66DE5103-3BBE-40A9-A9FC-A75CB5580466}"/>
    <cellStyle name="Вычисление 2 3 6 5" xfId="35235" xr:uid="{B3E07DB7-18CE-4BBE-B0D8-54C61B7D3635}"/>
    <cellStyle name="Вычисление 2 3 7" xfId="5421" xr:uid="{070BF0CD-F0F9-43EC-B7B5-AFDF738B97A7}"/>
    <cellStyle name="Вычисление 2 3 7 2" xfId="8599" xr:uid="{4C0C28E7-A84C-4C4D-A123-7C846AC12653}"/>
    <cellStyle name="Вычисление 2 3 7 2 2" xfId="13706" xr:uid="{952B3D26-44BD-4097-B2F3-08AFD2CD8C10}"/>
    <cellStyle name="Вычисление 2 3 7 2 2 2" xfId="30126" xr:uid="{E0B2F6AE-2B27-48AC-87CF-7A0F1E80E251}"/>
    <cellStyle name="Вычисление 2 3 7 2 2 3" xfId="43485" xr:uid="{9F1D1BE1-27D5-4DD9-8457-6099157C6BDD}"/>
    <cellStyle name="Вычисление 2 3 7 2 3" xfId="26096" xr:uid="{3B297DB1-EFAA-414D-BE73-214041AB6EE0}"/>
    <cellStyle name="Вычисление 2 3 7 2 4" xfId="39172" xr:uid="{14E65D95-A262-4DB3-91C0-4E7A427F8A1D}"/>
    <cellStyle name="Вычисление 2 3 7 3" xfId="12326" xr:uid="{46030B79-7E68-4252-B0D3-5393DC5F2A3B}"/>
    <cellStyle name="Вычисление 2 3 7 3 2" xfId="28994" xr:uid="{8830E3F1-E446-46D3-98B5-27B373FBECD1}"/>
    <cellStyle name="Вычисление 2 3 7 3 3" xfId="42234" xr:uid="{CFB056E9-9CE3-470E-BAEF-1E29C9F6EF49}"/>
    <cellStyle name="Вычисление 2 3 7 4" xfId="23068" xr:uid="{2C25DE2A-3908-416C-A05C-5F3AE2BFB1A4}"/>
    <cellStyle name="Вычисление 2 3 7 5" xfId="36149" xr:uid="{B17FBC6B-92CF-4C57-845B-DEA42DA791D2}"/>
    <cellStyle name="Вычисление 2 3 8" xfId="17248" xr:uid="{5EC0CB05-66CF-459A-9F0D-8F3D708E09B7}"/>
    <cellStyle name="Вычисление 2 3 8 2" xfId="33007" xr:uid="{5A29B50F-49EB-4EAD-8F84-50EE7A6B908F}"/>
    <cellStyle name="Вычисление 2 3 8 3" xfId="46782" xr:uid="{34B65C8B-144E-4458-BD99-E6C09D5137B2}"/>
    <cellStyle name="Вычисление 2 3 9" xfId="21359" xr:uid="{34ED183B-832F-4A7F-9CDC-DEBEE380A71F}"/>
    <cellStyle name="Вычисление 2 30" xfId="15449" xr:uid="{CEB37874-10F9-489E-8C38-D3118D8E2858}"/>
    <cellStyle name="Вычисление 2 30 2" xfId="31594" xr:uid="{F0B24732-D40D-4998-B2D4-CA77494D1986}"/>
    <cellStyle name="Вычисление 2 30 3" xfId="45089" xr:uid="{6BBEF6E1-6754-4F26-965A-882C91FDF8CF}"/>
    <cellStyle name="Вычисление 2 31" xfId="11920" xr:uid="{5F929144-FECD-4324-852A-74C25EE32885}"/>
    <cellStyle name="Вычисление 2 31 2" xfId="28634" xr:uid="{BDD46D13-703E-447E-A431-6493710F3564}"/>
    <cellStyle name="Вычисление 2 31 3" xfId="41851" xr:uid="{753A3A98-175F-4F82-B891-A30EAEBCF557}"/>
    <cellStyle name="Вычисление 2 32" xfId="17665" xr:uid="{D5A23E24-DFA2-4754-990B-F8BA4FA1C100}"/>
    <cellStyle name="Вычисление 2 32 2" xfId="33388" xr:uid="{5F54CF8A-1237-4F78-8F71-046D4019B13E}"/>
    <cellStyle name="Вычисление 2 32 3" xfId="47177" xr:uid="{E1643898-7B74-4346-9503-B6060A37BDC8}"/>
    <cellStyle name="Вычисление 2 33" xfId="33566" xr:uid="{99E863F2-7B56-40FE-A099-3D77B1D2F495}"/>
    <cellStyle name="Вычисление 2 4" xfId="3469" xr:uid="{035A8DBC-D0CD-4AE1-8080-1965DD82794D}"/>
    <cellStyle name="Вычисление 2 4 10" xfId="34485" xr:uid="{38451BF6-787D-4251-91D2-12827631FBD3}"/>
    <cellStyle name="Вычисление 2 4 2" xfId="2811" xr:uid="{60FB0A9A-0D2C-4BFF-8772-78652E8C09C4}"/>
    <cellStyle name="Вычисление 2 4 2 2" xfId="8107" xr:uid="{CD5B6698-BEB5-4322-A60F-012DEDDD9D76}"/>
    <cellStyle name="Вычисление 2 4 2 2 2" xfId="15209" xr:uid="{40C7B87D-0ED2-439F-A0C8-1D93779F802D}"/>
    <cellStyle name="Вычисление 2 4 2 2 2 2" xfId="31390" xr:uid="{EB304761-4962-4A59-B710-628FBE167F32}"/>
    <cellStyle name="Вычисление 2 4 2 2 2 3" xfId="44862" xr:uid="{68865543-10DA-4C6D-A486-88878FB72A3F}"/>
    <cellStyle name="Вычисление 2 4 2 2 3" xfId="25618" xr:uid="{C1AFC9F7-8DEB-450D-91DD-97BB91C68900}"/>
    <cellStyle name="Вычисление 2 4 2 2 4" xfId="38694" xr:uid="{062148F5-2D86-471A-B818-6D7266C4AA09}"/>
    <cellStyle name="Вычисление 2 4 2 3" xfId="6474" xr:uid="{B0D8EE39-A91E-45DD-9F28-FA71E04BA30F}"/>
    <cellStyle name="Вычисление 2 4 2 3 2" xfId="16603" xr:uid="{8AA4A881-51A3-4289-97D0-2D4820E0EAC0}"/>
    <cellStyle name="Вычисление 2 4 2 3 2 2" xfId="32519" xr:uid="{2DD421B7-E577-4B00-8371-CA898B613A90}"/>
    <cellStyle name="Вычисление 2 4 2 3 2 3" xfId="46150" xr:uid="{A3E51C30-96BD-4CD0-B38D-6C0698C76413}"/>
    <cellStyle name="Вычисление 2 4 2 3 3" xfId="24109" xr:uid="{58DE9FDA-2A4D-4FCB-A21B-6909E81CE73D}"/>
    <cellStyle name="Вычисление 2 4 2 3 4" xfId="37190" xr:uid="{E5DADC73-B537-44B6-85EC-41A3D0F3F8FC}"/>
    <cellStyle name="Вычисление 2 4 2 4" xfId="16310" xr:uid="{DA0FBFA3-A0B2-4848-B7D7-F3FAD794D687}"/>
    <cellStyle name="Вычисление 2 4 2 4 2" xfId="32336" xr:uid="{335A4F78-F1A4-4249-82E8-B88EC80DC466}"/>
    <cellStyle name="Вычисление 2 4 2 4 3" xfId="45867" xr:uid="{037A9D09-3A8C-455F-9AFF-49849F298D4A}"/>
    <cellStyle name="Вычисление 2 4 2 5" xfId="20861" xr:uid="{DDA429C1-5BF0-4169-A504-60898FA5BE1A}"/>
    <cellStyle name="Вычисление 2 4 2 6" xfId="33884" xr:uid="{AC4CD39D-9761-43D3-8D69-57AC4CD0008A}"/>
    <cellStyle name="Вычисление 2 4 3" xfId="4172" xr:uid="{CCE8EA08-A6D6-48A6-819A-AC231FA13596}"/>
    <cellStyle name="Вычисление 2 4 3 2" xfId="9224" xr:uid="{61F05B35-E1F7-43E6-86D9-BA326615F7AD}"/>
    <cellStyle name="Вычисление 2 4 3 2 2" xfId="12249" xr:uid="{5D95B6AB-D59E-4393-A45B-1CE5DE669D14}"/>
    <cellStyle name="Вычисление 2 4 3 2 2 2" xfId="28930" xr:uid="{7BFDBADC-CB22-4F93-8670-2F68ADEBAD5E}"/>
    <cellStyle name="Вычисление 2 4 3 2 2 3" xfId="42163" xr:uid="{208785E3-17D2-4A73-BD18-DCDB22FF0FE7}"/>
    <cellStyle name="Вычисление 2 4 3 2 3" xfId="26699" xr:uid="{8285207D-816F-4ADC-84BA-9D8C00ABD374}"/>
    <cellStyle name="Вычисление 2 4 3 2 4" xfId="39775" xr:uid="{18E93ACC-0D29-4E88-AF73-369035EC0664}"/>
    <cellStyle name="Вычисление 2 4 3 3" xfId="7736" xr:uid="{A5A36440-DFCE-47AB-938E-E154805A1DBB}"/>
    <cellStyle name="Вычисление 2 4 3 3 2" xfId="13380" xr:uid="{4AC031BD-F845-4D71-B77E-025266CE114C}"/>
    <cellStyle name="Вычисление 2 4 3 3 2 2" xfId="29853" xr:uid="{3D578022-DEDE-4657-9987-CAC0734FE439}"/>
    <cellStyle name="Вычисление 2 4 3 3 2 3" xfId="43188" xr:uid="{B460BBAD-AE49-417A-B592-EA2A72B76BBC}"/>
    <cellStyle name="Вычисление 2 4 3 3 3" xfId="25258" xr:uid="{72CD622D-807D-48E6-9750-27E2F4E447F6}"/>
    <cellStyle name="Вычисление 2 4 3 3 4" xfId="38334" xr:uid="{27EE499C-0503-4C7D-BE22-D2E5A55F81DB}"/>
    <cellStyle name="Вычисление 2 4 3 4" xfId="13875" xr:uid="{2671289A-7251-429E-AA33-4C6AE2121DD8}"/>
    <cellStyle name="Вычисление 2 4 3 4 2" xfId="30272" xr:uid="{96B888BE-B357-4153-A9C5-6D27363BCB74}"/>
    <cellStyle name="Вычисление 2 4 3 4 3" xfId="43644" xr:uid="{A651BC5C-0D91-4627-8404-D533239B216D}"/>
    <cellStyle name="Вычисление 2 4 3 5" xfId="21999" xr:uid="{FB891E01-2AD8-4420-A8A8-812BF79BB836}"/>
    <cellStyle name="Вычисление 2 4 3 6" xfId="35048" xr:uid="{4717ADA4-3B28-4CAE-B1B7-4A4637E85EAA}"/>
    <cellStyle name="Вычисление 2 4 4" xfId="2725" xr:uid="{C856D827-B779-4CB6-925D-4776170838F4}"/>
    <cellStyle name="Вычисление 2 4 4 2" xfId="8021" xr:uid="{D26C3E8A-216C-4C65-9ECD-1EFA8E15907D}"/>
    <cellStyle name="Вычисление 2 4 4 2 2" xfId="11420" xr:uid="{78A22DD3-BD1B-43B4-82E4-FBFECCE2882C}"/>
    <cellStyle name="Вычисление 2 4 4 2 2 2" xfId="28189" xr:uid="{4EF205DB-1863-4B22-BB07-D1F57948520D}"/>
    <cellStyle name="Вычисление 2 4 4 2 2 3" xfId="41380" xr:uid="{FFEB8208-227A-45B1-80F4-F28B0E3A429D}"/>
    <cellStyle name="Вычисление 2 4 4 2 3" xfId="25534" xr:uid="{3B9AAF62-9DA6-46B0-A3AF-609D6D097E2B}"/>
    <cellStyle name="Вычисление 2 4 4 2 4" xfId="38610" xr:uid="{56A08D61-2D88-4499-A591-581585722C0B}"/>
    <cellStyle name="Вычисление 2 4 4 3" xfId="6388" xr:uid="{32BEFFE6-C1B6-451C-86A7-424964521F88}"/>
    <cellStyle name="Вычисление 2 4 4 3 2" xfId="15347" xr:uid="{84055E5C-4088-4BD7-973A-A750DDB2215E}"/>
    <cellStyle name="Вычисление 2 4 4 3 2 2" xfId="31504" xr:uid="{C949D444-F8A7-4830-92A5-8C01B330D381}"/>
    <cellStyle name="Вычисление 2 4 4 3 2 3" xfId="44990" xr:uid="{A880EEA9-3D99-4799-9806-CA30A68A41A4}"/>
    <cellStyle name="Вычисление 2 4 4 3 3" xfId="24025" xr:uid="{9CA211EE-45B7-4E5D-9440-11080769B357}"/>
    <cellStyle name="Вычисление 2 4 4 3 4" xfId="37106" xr:uid="{5EE78514-D7B4-4241-B837-E1337F0B0AB7}"/>
    <cellStyle name="Вычисление 2 4 4 4" xfId="17115" xr:uid="{AC60AA96-93DD-412A-B68D-C99B5A1D2CFF}"/>
    <cellStyle name="Вычисление 2 4 4 4 2" xfId="32880" xr:uid="{0F7AA359-7E6C-4D20-8F49-2DA1A72457CC}"/>
    <cellStyle name="Вычисление 2 4 4 4 3" xfId="46651" xr:uid="{B88C403A-459C-49B1-9E3F-EC957E633E77}"/>
    <cellStyle name="Вычисление 2 4 4 5" xfId="20777" xr:uid="{707B8076-007E-46D1-9D2F-05460AB77D0D}"/>
    <cellStyle name="Вычисление 2 4 4 6" xfId="33800" xr:uid="{55C9BF65-D9D1-4C76-A5B7-D9CD0E91F417}"/>
    <cellStyle name="Вычисление 2 4 5" xfId="4065" xr:uid="{709A46E3-98BD-46DD-9885-35F28EC0AB44}"/>
    <cellStyle name="Вычисление 2 4 5 2" xfId="9117" xr:uid="{3F0359E2-FDF0-420C-8DA2-5E4A437F816E}"/>
    <cellStyle name="Вычисление 2 4 5 2 2" xfId="14696" xr:uid="{E3E046FB-4807-445C-9B0F-E377C58A00B4}"/>
    <cellStyle name="Вычисление 2 4 5 2 2 2" xfId="30986" xr:uid="{4AB95F04-6EDC-40A4-B2EF-B39D3B2A4A33}"/>
    <cellStyle name="Вычисление 2 4 5 2 2 3" xfId="44408" xr:uid="{37C43160-4F9D-45F0-B751-387E54A0E021}"/>
    <cellStyle name="Вычисление 2 4 5 2 3" xfId="26598" xr:uid="{382B2CB8-57F2-4AF9-8EC0-C5461FEECA59}"/>
    <cellStyle name="Вычисление 2 4 5 2 4" xfId="39674" xr:uid="{F9E1AD3C-7EAC-4B50-9242-BF9FA7F9860F}"/>
    <cellStyle name="Вычисление 2 4 5 3" xfId="7629" xr:uid="{7BB9168F-58A6-41F2-A510-100A46968EC4}"/>
    <cellStyle name="Вычисление 2 4 5 3 2" xfId="17072" xr:uid="{73FAB2F8-6AE0-4F7C-9EB9-144E4F79E135}"/>
    <cellStyle name="Вычисление 2 4 5 3 2 2" xfId="32843" xr:uid="{7C409124-291B-43A7-91C2-4F7D3C328457}"/>
    <cellStyle name="Вычисление 2 4 5 3 2 3" xfId="46613" xr:uid="{1D764F05-1295-45E5-BD21-82DA2829F37E}"/>
    <cellStyle name="Вычисление 2 4 5 3 3" xfId="25157" xr:uid="{50CC41A8-0FD4-43BD-A6A5-D0B6062E60E8}"/>
    <cellStyle name="Вычисление 2 4 5 3 4" xfId="38233" xr:uid="{D42451D6-27B6-4853-9EF2-BEA23DC5C3D5}"/>
    <cellStyle name="Вычисление 2 4 5 4" xfId="14130" xr:uid="{BA06329D-7A32-4C90-9609-8BCA05CE5675}"/>
    <cellStyle name="Вычисление 2 4 5 4 2" xfId="30494" xr:uid="{C59D555C-EC74-476E-B1F8-0AC1BA8DDAD5}"/>
    <cellStyle name="Вычисление 2 4 5 4 3" xfId="43878" xr:uid="{69A67B4F-BEEC-4F5B-AED4-2FEB6685CAFA}"/>
    <cellStyle name="Вычисление 2 4 5 5" xfId="21898" xr:uid="{F5479BB9-663C-405D-9561-87268B90F2EA}"/>
    <cellStyle name="Вычисление 2 4 5 6" xfId="34947" xr:uid="{79D607C9-F5B1-44DD-B030-0FD9E8A32C97}"/>
    <cellStyle name="Вычисление 2 4 6" xfId="4471" xr:uid="{165D0094-A084-4EBB-A97F-57E0C8153516}"/>
    <cellStyle name="Вычисление 2 4 6 2" xfId="7111" xr:uid="{56452C30-B751-47A2-BDDC-065936D1F76B}"/>
    <cellStyle name="Вычисление 2 4 6 2 2" xfId="14145" xr:uid="{9762BB00-3BE3-401B-BB8A-92396237B30B}"/>
    <cellStyle name="Вычисление 2 4 6 2 2 2" xfId="30505" xr:uid="{88C75E54-2912-462A-BECA-8C0A7E11A9F3}"/>
    <cellStyle name="Вычисление 2 4 6 2 2 3" xfId="43891" xr:uid="{BBE9F6D2-86EA-413C-AFF7-D3575996DAB3}"/>
    <cellStyle name="Вычисление 2 4 6 2 3" xfId="24710" xr:uid="{8BBD14C3-C9F0-4AD0-AC29-1BDBCD35391F}"/>
    <cellStyle name="Вычисление 2 4 6 2 4" xfId="37791" xr:uid="{5EE46F36-F8E0-4636-A162-0C00EE26F88E}"/>
    <cellStyle name="Вычисление 2 4 6 3" xfId="12266" xr:uid="{55F44AA8-99DE-4495-91F0-94A96051EDC7}"/>
    <cellStyle name="Вычисление 2 4 6 3 2" xfId="28945" xr:uid="{E2D623ED-40F4-45C9-80B8-FE1DF393E82F}"/>
    <cellStyle name="Вычисление 2 4 6 3 3" xfId="42178" xr:uid="{808B53FE-0E8D-4C3B-AF5F-7888B131CCDC}"/>
    <cellStyle name="Вычисление 2 4 6 4" xfId="22289" xr:uid="{6E3A10CE-9C9B-4ADC-A8F6-BB6C0B3AAA63}"/>
    <cellStyle name="Вычисление 2 4 6 5" xfId="35338" xr:uid="{D1C56A53-1EA5-4661-A236-202D834CEFAB}"/>
    <cellStyle name="Вычисление 2 4 7" xfId="5524" xr:uid="{61FA9B8A-984C-4E56-BA05-233CDDCEF179}"/>
    <cellStyle name="Вычисление 2 4 7 2" xfId="8706" xr:uid="{B93C064C-C542-4C57-83CE-62C6027D446C}"/>
    <cellStyle name="Вычисление 2 4 7 2 2" xfId="17454" xr:uid="{6D60EB39-8032-4FB1-BF3D-A09F1D0E549A}"/>
    <cellStyle name="Вычисление 2 4 7 2 2 2" xfId="33200" xr:uid="{A6480B90-0480-42F0-9999-524AC37548C2}"/>
    <cellStyle name="Вычисление 2 4 7 2 2 3" xfId="46983" xr:uid="{45B434A2-DD99-41BE-9762-C56E87D4E84E}"/>
    <cellStyle name="Вычисление 2 4 7 2 3" xfId="26199" xr:uid="{A4252817-08DF-447D-93CF-AE83368D1BF4}"/>
    <cellStyle name="Вычисление 2 4 7 2 4" xfId="39275" xr:uid="{86875858-7B59-40D4-B01E-574189D44A30}"/>
    <cellStyle name="Вычисление 2 4 7 3" xfId="10858" xr:uid="{95DC0CCA-6722-4A26-B174-82B0ED7CE36F}"/>
    <cellStyle name="Вычисление 2 4 7 3 2" xfId="27686" xr:uid="{2437F990-8EDB-4397-BD32-0953B9A6C99E}"/>
    <cellStyle name="Вычисление 2 4 7 3 3" xfId="40839" xr:uid="{3C0378B6-1ECE-459F-8EA8-DEF5958D8C86}"/>
    <cellStyle name="Вычисление 2 4 7 4" xfId="23171" xr:uid="{44EAE0D8-454F-4E0A-8702-E01E9B59E3F9}"/>
    <cellStyle name="Вычисление 2 4 7 5" xfId="36252" xr:uid="{CFB7EA7E-7F7E-4A23-B7EF-25D119371828}"/>
    <cellStyle name="Вычисление 2 4 8" xfId="16776" xr:uid="{2FF47962-FE48-4CC5-ACFF-B170D25E6F7A}"/>
    <cellStyle name="Вычисление 2 4 8 2" xfId="32657" xr:uid="{23BB1DD2-39CB-4549-8B0E-D612B1947E16}"/>
    <cellStyle name="Вычисление 2 4 8 3" xfId="46319" xr:uid="{AA5F8353-1316-4B1A-879A-24B829407DCE}"/>
    <cellStyle name="Вычисление 2 4 9" xfId="21441" xr:uid="{C5986091-6861-476C-B8A7-D5F36FD9EAD0}"/>
    <cellStyle name="Вычисление 2 5" xfId="3453" xr:uid="{31A72835-4D74-49F9-BC1C-C511E24A254E}"/>
    <cellStyle name="Вычисление 2 5 2" xfId="2795" xr:uid="{145CF785-761F-4C37-9F9A-3C81E490C183}"/>
    <cellStyle name="Вычисление 2 5 2 2" xfId="8091" xr:uid="{9AEEC38D-99D3-48C7-AEE9-BD6779A2E428}"/>
    <cellStyle name="Вычисление 2 5 2 2 2" xfId="11053" xr:uid="{B1A6748C-CA98-4249-AFEA-4FC9AEEF1B87}"/>
    <cellStyle name="Вычисление 2 5 2 2 2 2" xfId="27856" xr:uid="{6D1ED7B1-915B-4DDF-B070-5A9EFB2B699B}"/>
    <cellStyle name="Вычисление 2 5 2 2 2 3" xfId="41032" xr:uid="{5F2E5269-FDBD-4642-9419-A8ABD3C0B2D5}"/>
    <cellStyle name="Вычисление 2 5 2 2 3" xfId="25602" xr:uid="{3C6F8031-A876-4E81-A471-AC43979B609B}"/>
    <cellStyle name="Вычисление 2 5 2 2 4" xfId="38678" xr:uid="{D05FAA65-C66C-4B2E-8766-EF707C715010}"/>
    <cellStyle name="Вычисление 2 5 2 3" xfId="6458" xr:uid="{B03CC588-971B-408C-81D7-A7A3E9E5279A}"/>
    <cellStyle name="Вычисление 2 5 2 3 2" xfId="16668" xr:uid="{CC9AB9D0-65A5-488B-8655-657DE2D79532}"/>
    <cellStyle name="Вычисление 2 5 2 3 2 2" xfId="32561" xr:uid="{9BDC5C19-C145-45F9-A914-2B0946676BD1}"/>
    <cellStyle name="Вычисление 2 5 2 3 2 3" xfId="46215" xr:uid="{C4BA81AF-CA7F-4657-BAAF-8FDB19954887}"/>
    <cellStyle name="Вычисление 2 5 2 3 3" xfId="24093" xr:uid="{A4B30E2B-1461-45EC-AE6D-CD4135401A41}"/>
    <cellStyle name="Вычисление 2 5 2 3 4" xfId="37174" xr:uid="{4D0DA838-CE48-4006-B11F-399D37F90794}"/>
    <cellStyle name="Вычисление 2 5 2 4" xfId="14923" xr:uid="{769F8889-8201-44EF-B157-F7462BDB8DB7}"/>
    <cellStyle name="Вычисление 2 5 2 4 2" xfId="31169" xr:uid="{D93CA0F8-8C91-4F52-8E1B-3F7F4568D018}"/>
    <cellStyle name="Вычисление 2 5 2 4 3" xfId="44612" xr:uid="{B00FEF91-8E9B-4F0A-BA79-680D26A82A98}"/>
    <cellStyle name="Вычисление 2 5 2 5" xfId="20845" xr:uid="{8C67DC90-BA68-4882-B6D2-7BEE1F2DCD4B}"/>
    <cellStyle name="Вычисление 2 5 2 6" xfId="33868" xr:uid="{6B97AD0C-1967-451F-9407-5AD2B2170EA3}"/>
    <cellStyle name="Вычисление 2 5 3" xfId="4455" xr:uid="{1F683DBE-9EB9-4E8D-AA85-C1F604051629}"/>
    <cellStyle name="Вычисление 2 5 3 2" xfId="7095" xr:uid="{F20544D6-3861-4AFE-81AF-1358BCC34DF5}"/>
    <cellStyle name="Вычисление 2 5 3 2 2" xfId="15382" xr:uid="{EF06B4D5-2F57-421E-9AE6-8E19C81A0C96}"/>
    <cellStyle name="Вычисление 2 5 3 2 2 2" xfId="31538" xr:uid="{1ABFA47B-1C99-43F7-9E20-510BF836DCBE}"/>
    <cellStyle name="Вычисление 2 5 3 2 2 3" xfId="45025" xr:uid="{06041A41-0F98-4CAD-BCB1-DB77CAD43131}"/>
    <cellStyle name="Вычисление 2 5 3 2 3" xfId="24694" xr:uid="{2B14A271-9821-41DA-A310-6DC2F6EDF073}"/>
    <cellStyle name="Вычисление 2 5 3 2 4" xfId="37775" xr:uid="{20610B57-12FC-4E55-932C-E78A8864A92F}"/>
    <cellStyle name="Вычисление 2 5 3 3" xfId="13470" xr:uid="{126F8D34-37DD-4DBB-82BC-B71FB7A34C28}"/>
    <cellStyle name="Вычисление 2 5 3 3 2" xfId="29932" xr:uid="{608DDBDE-2C1A-4813-A5DC-BBFF25940FE2}"/>
    <cellStyle name="Вычисление 2 5 3 3 3" xfId="43271" xr:uid="{244ACF52-B54E-4C28-A9EC-83BD63D08333}"/>
    <cellStyle name="Вычисление 2 5 3 4" xfId="22273" xr:uid="{4A48A599-E7C0-4C1B-B636-3A6C615C334D}"/>
    <cellStyle name="Вычисление 2 5 3 5" xfId="35322" xr:uid="{2EA654FD-F758-4300-B1A9-1348562331F4}"/>
    <cellStyle name="Вычисление 2 5 4" xfId="5508" xr:uid="{1A1489C6-9DFB-4DAD-884B-83B917A1A4CB}"/>
    <cellStyle name="Вычисление 2 5 4 2" xfId="8690" xr:uid="{06C30D15-9D8F-487A-B855-6046E0B7BEAA}"/>
    <cellStyle name="Вычисление 2 5 4 2 2" xfId="10668" xr:uid="{5E469153-5869-46D1-882F-C592A720CA87}"/>
    <cellStyle name="Вычисление 2 5 4 2 2 2" xfId="27518" xr:uid="{DA0705E6-D17A-4723-BA6E-C60A2FF35F7A}"/>
    <cellStyle name="Вычисление 2 5 4 2 2 3" xfId="40649" xr:uid="{2D123521-557E-48BB-9CA5-3C3DB22F201D}"/>
    <cellStyle name="Вычисление 2 5 4 2 3" xfId="26183" xr:uid="{0986A7E8-E9C0-47CB-B128-DADD1DB2E325}"/>
    <cellStyle name="Вычисление 2 5 4 2 4" xfId="39259" xr:uid="{ABCD09F7-1172-4E70-A0A4-CFBF8E126ACB}"/>
    <cellStyle name="Вычисление 2 5 4 3" xfId="17303" xr:uid="{5CFCDAC5-BDCA-4F83-810A-94418693222A}"/>
    <cellStyle name="Вычисление 2 5 4 3 2" xfId="33061" xr:uid="{83B11A2C-491C-401C-A326-AEFFB693DF4D}"/>
    <cellStyle name="Вычисление 2 5 4 3 3" xfId="46837" xr:uid="{2BB377FA-F014-4BF6-B889-FC7B32EC2FEF}"/>
    <cellStyle name="Вычисление 2 5 4 4" xfId="23155" xr:uid="{CB58CCD7-58F7-4F11-A6DB-F36D0E2DEAD1}"/>
    <cellStyle name="Вычисление 2 5 4 5" xfId="36236" xr:uid="{709E3A9D-CFAD-4CB9-93CB-24E20148ABB8}"/>
    <cellStyle name="Вычисление 2 5 5" xfId="17155" xr:uid="{F331934C-E71F-46F4-B1C4-AE4373A953AF}"/>
    <cellStyle name="Вычисление 2 5 5 2" xfId="32918" xr:uid="{A3658589-F5F2-499F-A99F-A0390A5EC723}"/>
    <cellStyle name="Вычисление 2 5 5 3" xfId="46690" xr:uid="{FFAD8321-8918-4AEC-A32C-4C5A2188B0B6}"/>
    <cellStyle name="Вычисление 2 5 6" xfId="21425" xr:uid="{D5E17926-98A7-4438-B461-CD90794B0130}"/>
    <cellStyle name="Вычисление 2 5 7" xfId="34469" xr:uid="{0E95E0FC-A0D6-40EB-88DA-03AB095A0441}"/>
    <cellStyle name="Вычисление 2 6" xfId="3316" xr:uid="{00AEDFCD-99B2-4201-9AEB-7CB8C7199B73}"/>
    <cellStyle name="Вычисление 2 6 2" xfId="2678" xr:uid="{6D61BFB3-CBD9-45D5-9947-B019B3B5875C}"/>
    <cellStyle name="Вычисление 2 6 2 2" xfId="7974" xr:uid="{BDEDAB5B-2A17-49C5-8243-6C9E3C88A598}"/>
    <cellStyle name="Вычисление 2 6 2 2 2" xfId="15318" xr:uid="{6D0B7C57-6C81-4D8E-BF15-D5C482434F65}"/>
    <cellStyle name="Вычисление 2 6 2 2 2 2" xfId="31479" xr:uid="{71D6D6A8-4AEB-462A-834C-5E1A19291B87}"/>
    <cellStyle name="Вычисление 2 6 2 2 2 3" xfId="44964" xr:uid="{9AEA74AE-6340-4983-A195-7EDB7F70F806}"/>
    <cellStyle name="Вычисление 2 6 2 2 3" xfId="25490" xr:uid="{9D8DAA9C-6689-41FC-AB1A-81A05CCE6ED3}"/>
    <cellStyle name="Вычисление 2 6 2 2 4" xfId="38566" xr:uid="{A8446B40-591E-4297-95BF-B9D35B185467}"/>
    <cellStyle name="Вычисление 2 6 2 3" xfId="6341" xr:uid="{6AB9B581-60E1-4543-B283-51B022140066}"/>
    <cellStyle name="Вычисление 2 6 2 3 2" xfId="12244" xr:uid="{AE3D4D09-1833-48EB-99BC-5EE5B44ACB96}"/>
    <cellStyle name="Вычисление 2 6 2 3 2 2" xfId="28925" xr:uid="{CBF21FFA-7056-45D2-B8AD-2BE11DFDF6B6}"/>
    <cellStyle name="Вычисление 2 6 2 3 2 3" xfId="42158" xr:uid="{EB953048-97D4-44FC-83FD-1893EF099E5B}"/>
    <cellStyle name="Вычисление 2 6 2 3 3" xfId="23981" xr:uid="{FD77A318-6B95-45FA-9FF5-02B5378BA375}"/>
    <cellStyle name="Вычисление 2 6 2 3 4" xfId="37062" xr:uid="{0CC7898B-4F25-485D-84EE-2FC654EFCF72}"/>
    <cellStyle name="Вычисление 2 6 2 4" xfId="16453" xr:uid="{62A39B9B-526A-4037-98FA-7BD5276DD687}"/>
    <cellStyle name="Вычисление 2 6 2 4 2" xfId="32461" xr:uid="{01BCCD70-A567-4D1A-A968-2DA7EF968AFF}"/>
    <cellStyle name="Вычисление 2 6 2 4 3" xfId="46001" xr:uid="{2AEE08C5-5C0C-4DAA-B00F-A88B3122DE8B}"/>
    <cellStyle name="Вычисление 2 6 2 5" xfId="20733" xr:uid="{ECE4816D-21AD-4612-8A27-BECADFB6A6F9}"/>
    <cellStyle name="Вычисление 2 6 2 6" xfId="33756" xr:uid="{32FD2FCF-50C0-49D1-8DE3-8A30753982B9}"/>
    <cellStyle name="Вычисление 2 6 3" xfId="4347" xr:uid="{0BB6BC78-A0FE-46AE-BF8A-16917DBE49DE}"/>
    <cellStyle name="Вычисление 2 6 3 2" xfId="6966" xr:uid="{64559994-69E0-4692-B2C0-EA1AD65AA795}"/>
    <cellStyle name="Вычисление 2 6 3 2 2" xfId="16451" xr:uid="{E0535BD7-3D89-4A85-AED4-664262768EAB}"/>
    <cellStyle name="Вычисление 2 6 3 2 2 2" xfId="32459" xr:uid="{A50DBC92-55C2-4FF1-BA19-E5A1E7213341}"/>
    <cellStyle name="Вычисление 2 6 3 2 2 3" xfId="45999" xr:uid="{C7C6BCE8-D3F9-4420-A3E9-A69B442E9FE1}"/>
    <cellStyle name="Вычисление 2 6 3 2 3" xfId="24588" xr:uid="{01CFEA69-58F6-44FF-BF2E-F82269C47DD9}"/>
    <cellStyle name="Вычисление 2 6 3 2 4" xfId="37669" xr:uid="{2074FB69-99B9-46B2-A2CE-4E52778C0CEC}"/>
    <cellStyle name="Вычисление 2 6 3 3" xfId="15442" xr:uid="{52CD5C30-6363-43FB-A28B-471A96718A9F}"/>
    <cellStyle name="Вычисление 2 6 3 3 2" xfId="31587" xr:uid="{16E83607-551E-4066-ABD1-94A588D83654}"/>
    <cellStyle name="Вычисление 2 6 3 3 3" xfId="45082" xr:uid="{14B746C5-1683-4B36-B1F7-7158B1C7AAB0}"/>
    <cellStyle name="Вычисление 2 6 3 4" xfId="22167" xr:uid="{BA382077-72EF-437E-8759-10361946DE59}"/>
    <cellStyle name="Вычисление 2 6 3 5" xfId="35216" xr:uid="{8EB227D4-76C4-4A54-899A-EA476EFA88C6}"/>
    <cellStyle name="Вычисление 2 6 4" xfId="5402" xr:uid="{1BD78FDF-F7E1-446C-81E5-0A63925DAF89}"/>
    <cellStyle name="Вычисление 2 6 4 2" xfId="8579" xr:uid="{939A1871-FE20-4DEC-87D8-86AAFC130322}"/>
    <cellStyle name="Вычисление 2 6 4 2 2" xfId="16454" xr:uid="{EECAADEB-A996-43E0-B982-F193C58D55B8}"/>
    <cellStyle name="Вычисление 2 6 4 2 2 2" xfId="32462" xr:uid="{3978EB3A-47F0-4E74-957F-74104E4C15FB}"/>
    <cellStyle name="Вычисление 2 6 4 2 2 3" xfId="46002" xr:uid="{01D14268-5B4B-464E-94D1-DB8DE75A58E5}"/>
    <cellStyle name="Вычисление 2 6 4 2 3" xfId="26077" xr:uid="{A23BEFF7-3D53-4A11-B097-0D17BDFBB894}"/>
    <cellStyle name="Вычисление 2 6 4 2 4" xfId="39153" xr:uid="{0D36D3B6-F0B3-4E70-AEFE-D6F09254FAAC}"/>
    <cellStyle name="Вычисление 2 6 4 3" xfId="17134" xr:uid="{ABA9B160-B347-449A-86E0-98350CC26F7D}"/>
    <cellStyle name="Вычисление 2 6 4 3 2" xfId="32897" xr:uid="{A27A630D-D7B7-433B-9AC4-020CF2C3DFD1}"/>
    <cellStyle name="Вычисление 2 6 4 3 3" xfId="46669" xr:uid="{643DFADD-2FBC-4157-B01A-6CB0C1256528}"/>
    <cellStyle name="Вычисление 2 6 4 4" xfId="23049" xr:uid="{5723734D-70BA-46E8-9A06-CA125DC75B2C}"/>
    <cellStyle name="Вычисление 2 6 4 5" xfId="36130" xr:uid="{40259398-FCDA-43A9-A7BE-D85D109A6748}"/>
    <cellStyle name="Вычисление 2 6 5" xfId="14150" xr:uid="{8A8A4920-E4B5-423B-B41C-41D950CE6A90}"/>
    <cellStyle name="Вычисление 2 6 5 2" xfId="30510" xr:uid="{8D5CC418-593B-4936-9705-67ED40201FDD}"/>
    <cellStyle name="Вычисление 2 6 5 3" xfId="43896" xr:uid="{0888689B-2498-4FE0-B114-D210BA2CC09B}"/>
    <cellStyle name="Вычисление 2 6 6" xfId="21340" xr:uid="{145EF7D9-AC6D-47A0-AE02-C08846FB2BB0}"/>
    <cellStyle name="Вычисление 2 6 7" xfId="34363" xr:uid="{3C1100E7-5949-45DD-B9D0-5D1E0B2F449C}"/>
    <cellStyle name="Вычисление 2 7" xfId="3483" xr:uid="{8E175221-971E-4518-91EC-3FF93B5E2581}"/>
    <cellStyle name="Вычисление 2 7 2" xfId="2825" xr:uid="{C4F09C2A-9132-432B-81E3-F5A7302A1FEC}"/>
    <cellStyle name="Вычисление 2 7 2 2" xfId="8121" xr:uid="{AA9EF706-FC9A-4E66-86D2-66B7D8B25084}"/>
    <cellStyle name="Вычисление 2 7 2 2 2" xfId="15278" xr:uid="{4C5C0436-7E06-4454-8E2D-D87E675D6E88}"/>
    <cellStyle name="Вычисление 2 7 2 2 2 2" xfId="31451" xr:uid="{7FB33459-0FAF-4D1A-8322-5A0B27137B21}"/>
    <cellStyle name="Вычисление 2 7 2 2 2 3" xfId="44928" xr:uid="{E2409087-B13A-4C67-93CB-876F119F291F}"/>
    <cellStyle name="Вычисление 2 7 2 2 3" xfId="25632" xr:uid="{3051A027-7BEC-417B-8AE7-6A0F2107690D}"/>
    <cellStyle name="Вычисление 2 7 2 2 4" xfId="38708" xr:uid="{6832014E-7EC5-4E72-8CCF-417EA349B86C}"/>
    <cellStyle name="Вычисление 2 7 2 3" xfId="6488" xr:uid="{5DF85367-6684-4775-9C2D-FCED3FF67D11}"/>
    <cellStyle name="Вычисление 2 7 2 3 2" xfId="16948" xr:uid="{4A510C53-34EB-47BF-ADA9-FB6296904150}"/>
    <cellStyle name="Вычисление 2 7 2 3 2 2" xfId="32788" xr:uid="{AA7BAF46-1BEC-42AA-9858-81AAC7685411}"/>
    <cellStyle name="Вычисление 2 7 2 3 2 3" xfId="46490" xr:uid="{B593F6CE-7F89-4747-84E0-8EDEE0DF24C7}"/>
    <cellStyle name="Вычисление 2 7 2 3 3" xfId="24123" xr:uid="{E3716CC9-EB28-4E89-A3AA-1D8128A37599}"/>
    <cellStyle name="Вычисление 2 7 2 3 4" xfId="37204" xr:uid="{53E90B4F-5AE9-4A62-8685-04993607BEA2}"/>
    <cellStyle name="Вычисление 2 7 2 4" xfId="11423" xr:uid="{13BF9DB0-9694-408D-B747-197A58BBF250}"/>
    <cellStyle name="Вычисление 2 7 2 4 2" xfId="28191" xr:uid="{FEA45525-82A0-4107-BF5D-4EF4F09B9FA7}"/>
    <cellStyle name="Вычисление 2 7 2 4 3" xfId="41382" xr:uid="{8D9EB227-5348-4362-9F34-5F3BC69AF285}"/>
    <cellStyle name="Вычисление 2 7 2 5" xfId="20875" xr:uid="{1D159510-1390-4BCC-B5BC-01A8057E1245}"/>
    <cellStyle name="Вычисление 2 7 2 6" xfId="33898" xr:uid="{DBFEE1D4-C1AB-4EB2-8B8E-F00BCCCF906B}"/>
    <cellStyle name="Вычисление 2 7 3" xfId="4485" xr:uid="{6D064DF9-6A01-4003-98D1-479C89EDDFCA}"/>
    <cellStyle name="Вычисление 2 7 3 2" xfId="7125" xr:uid="{79F45AA1-14B0-4406-AC7F-A0DBA316154F}"/>
    <cellStyle name="Вычисление 2 7 3 2 2" xfId="12777" xr:uid="{DA01C326-B70F-45D9-A3C3-304EA7D7321F}"/>
    <cellStyle name="Вычисление 2 7 3 2 2 2" xfId="29352" xr:uid="{538FF4A3-922D-4C34-AB0C-8A8BF4987E86}"/>
    <cellStyle name="Вычисление 2 7 3 2 2 3" xfId="42632" xr:uid="{CFDB8433-18E5-4D9D-815B-1EF16ED0A903}"/>
    <cellStyle name="Вычисление 2 7 3 2 3" xfId="24724" xr:uid="{3715D61A-7B53-462F-8304-EA5D72742B7A}"/>
    <cellStyle name="Вычисление 2 7 3 2 4" xfId="37805" xr:uid="{37F354A7-6C70-418E-B439-6CF5894179BC}"/>
    <cellStyle name="Вычисление 2 7 3 3" xfId="14469" xr:uid="{52D38735-0369-40D9-9C37-9A1A46E89055}"/>
    <cellStyle name="Вычисление 2 7 3 3 2" xfId="30793" xr:uid="{BE4DAED1-9218-4F40-8A7C-95299B261E8C}"/>
    <cellStyle name="Вычисление 2 7 3 3 3" xfId="44198" xr:uid="{C3351790-EAD1-4E09-BA4F-25418798FBE5}"/>
    <cellStyle name="Вычисление 2 7 3 4" xfId="22303" xr:uid="{082EAB78-752C-41BF-B0BA-04C08E47336F}"/>
    <cellStyle name="Вычисление 2 7 3 5" xfId="35352" xr:uid="{0E41E594-DC5A-4B20-8D18-A26C7369D89D}"/>
    <cellStyle name="Вычисление 2 7 4" xfId="5538" xr:uid="{CB1C58B7-71A7-4A3D-8DC8-C5C459D5E06D}"/>
    <cellStyle name="Вычисление 2 7 4 2" xfId="8720" xr:uid="{4FB213FA-7C0A-4DAE-B4B3-81968692DE0E}"/>
    <cellStyle name="Вычисление 2 7 4 2 2" xfId="13418" xr:uid="{BBA4447A-6559-44F7-9285-5562AFEB8EAC}"/>
    <cellStyle name="Вычисление 2 7 4 2 2 2" xfId="29886" xr:uid="{CBCB4FFA-FFEF-46D2-BAC9-95AD6E4404D5}"/>
    <cellStyle name="Вычисление 2 7 4 2 2 3" xfId="43222" xr:uid="{3528E17B-0F9A-4A91-B46A-15F62D955B02}"/>
    <cellStyle name="Вычисление 2 7 4 2 3" xfId="26213" xr:uid="{C1356A9B-2D9E-4B24-A49A-0A2156FD4005}"/>
    <cellStyle name="Вычисление 2 7 4 2 4" xfId="39289" xr:uid="{538094B9-2D42-4F69-854A-D20E7CA425C9}"/>
    <cellStyle name="Вычисление 2 7 4 3" xfId="16709" xr:uid="{2652DD54-2E88-4830-82A3-34D36F3ACAD6}"/>
    <cellStyle name="Вычисление 2 7 4 3 2" xfId="32593" xr:uid="{AA08EFF5-372E-4116-AB64-78F91CDA07CC}"/>
    <cellStyle name="Вычисление 2 7 4 3 3" xfId="46253" xr:uid="{73EA23D5-9CA7-4E4A-ABFD-EF7EB4813D9A}"/>
    <cellStyle name="Вычисление 2 7 4 4" xfId="23185" xr:uid="{D37AA2A2-5801-4763-8178-D51381C9A436}"/>
    <cellStyle name="Вычисление 2 7 4 5" xfId="36266" xr:uid="{10512A32-1C7D-48E5-A71C-6288403C36DF}"/>
    <cellStyle name="Вычисление 2 7 5" xfId="14054" xr:uid="{2C4718A8-B399-41EC-B54D-3F605DB33EAD}"/>
    <cellStyle name="Вычисление 2 7 5 2" xfId="30424" xr:uid="{F569DDBC-DBBD-47DE-B10E-FBE01B7446AF}"/>
    <cellStyle name="Вычисление 2 7 5 3" xfId="43807" xr:uid="{D6C44F95-B8C5-4397-9D54-245C7B602032}"/>
    <cellStyle name="Вычисление 2 7 6" xfId="21451" xr:uid="{56F4CB0D-BED0-4DB0-A3D0-F6311888EFCE}"/>
    <cellStyle name="Вычисление 2 7 7" xfId="34499" xr:uid="{1B2007CA-8F48-44F7-88CD-AA9A463C11F0}"/>
    <cellStyle name="Вычисление 2 8" xfId="3301" xr:uid="{8923B4B2-CE1C-443A-9453-62EF780F5F6A}"/>
    <cellStyle name="Вычисление 2 8 2" xfId="2663" xr:uid="{DE353DA6-F6D7-4882-B02A-5EF5D7FB9E25}"/>
    <cellStyle name="Вычисление 2 8 2 2" xfId="7959" xr:uid="{A9F855BD-A5F8-4A71-9117-F1E7C1FCE6A1}"/>
    <cellStyle name="Вычисление 2 8 2 2 2" xfId="11297" xr:uid="{16098D43-EE4D-456A-B500-E86815E2DB70}"/>
    <cellStyle name="Вычисление 2 8 2 2 2 2" xfId="28081" xr:uid="{CB25E484-4932-490E-8BF7-EC1255D7C9E6}"/>
    <cellStyle name="Вычисление 2 8 2 2 2 3" xfId="41264" xr:uid="{87138A74-74E7-4D83-9DEF-257CCF8ACBB5}"/>
    <cellStyle name="Вычисление 2 8 2 2 3" xfId="25475" xr:uid="{E120D1B1-05EA-4FA5-A5AE-3B81D9C7043B}"/>
    <cellStyle name="Вычисление 2 8 2 2 4" xfId="38551" xr:uid="{D1235560-DDE9-49C5-BBB2-C0E042D9B7E7}"/>
    <cellStyle name="Вычисление 2 8 2 3" xfId="6326" xr:uid="{A76FF732-6AD4-4F9A-BC30-D90C485A9660}"/>
    <cellStyle name="Вычисление 2 8 2 3 2" xfId="12262" xr:uid="{D09F92A6-AEE0-43B5-B859-2BECFF1071A1}"/>
    <cellStyle name="Вычисление 2 8 2 3 2 2" xfId="28941" xr:uid="{2C6D43EC-39A2-4618-80C2-DC769D4DD6FB}"/>
    <cellStyle name="Вычисление 2 8 2 3 2 3" xfId="42174" xr:uid="{9369102F-B5FE-4737-9A04-ABA2DFEDB0C8}"/>
    <cellStyle name="Вычисление 2 8 2 3 3" xfId="23966" xr:uid="{700AA220-0D13-4133-B658-9CA94E2DB20B}"/>
    <cellStyle name="Вычисление 2 8 2 3 4" xfId="37047" xr:uid="{096C1600-5D29-49AB-B0AA-0454FD2F389B}"/>
    <cellStyle name="Вычисление 2 8 2 4" xfId="10609" xr:uid="{6BFE00D5-D7E9-46B0-B084-03EDA95410FA}"/>
    <cellStyle name="Вычисление 2 8 2 4 2" xfId="27468" xr:uid="{D3A48B0C-9462-467D-8C37-E4F6242EAE4F}"/>
    <cellStyle name="Вычисление 2 8 2 4 3" xfId="40590" xr:uid="{AF9C3E3D-035F-42E4-87AD-92C1A6E6B350}"/>
    <cellStyle name="Вычисление 2 8 2 5" xfId="20718" xr:uid="{510BC6F1-ABB1-45D5-93B3-6DE069008491}"/>
    <cellStyle name="Вычисление 2 8 2 6" xfId="33741" xr:uid="{823D425E-EBA8-4D27-9596-215A5AAF2720}"/>
    <cellStyle name="Вычисление 2 8 3" xfId="4332" xr:uid="{1F8502B8-77EC-41E1-AFCD-542395D7AD49}"/>
    <cellStyle name="Вычисление 2 8 3 2" xfId="6951" xr:uid="{604B2069-6050-4B71-9DCF-F03E2FF34B45}"/>
    <cellStyle name="Вычисление 2 8 3 2 2" xfId="15136" xr:uid="{8A89DD2F-D7F9-43F4-B0D5-FDC5F34FB891}"/>
    <cellStyle name="Вычисление 2 8 3 2 2 2" xfId="31336" xr:uid="{34F2244F-B6C6-4F0F-A320-BFC7122CCAB3}"/>
    <cellStyle name="Вычисление 2 8 3 2 2 3" xfId="44800" xr:uid="{7A9F00F3-BA1F-4C5D-88D4-C4F6A3EAFF15}"/>
    <cellStyle name="Вычисление 2 8 3 2 3" xfId="24573" xr:uid="{A0A3E152-795F-4967-9D81-DE7B7201D7B1}"/>
    <cellStyle name="Вычисление 2 8 3 2 4" xfId="37654" xr:uid="{DB8499A8-5786-4A4C-B1AF-7DC804379809}"/>
    <cellStyle name="Вычисление 2 8 3 3" xfId="12585" xr:uid="{D10D9ED4-0316-441A-B492-C6BF2B0E3ACF}"/>
    <cellStyle name="Вычисление 2 8 3 3 2" xfId="29201" xr:uid="{8EB94D00-6611-486F-96BA-E3F17654D46E}"/>
    <cellStyle name="Вычисление 2 8 3 3 3" xfId="42464" xr:uid="{AD29A104-1C4B-45A7-9566-50DCB3C3C331}"/>
    <cellStyle name="Вычисление 2 8 3 4" xfId="22152" xr:uid="{8976A2DC-71D5-4E18-9604-438961B579F5}"/>
    <cellStyle name="Вычисление 2 8 3 5" xfId="35201" xr:uid="{A31CCF8B-2EF8-4198-80AA-4FC1E10BE9A6}"/>
    <cellStyle name="Вычисление 2 8 4" xfId="5387" xr:uid="{B2F3FD47-031C-42C4-9CE4-3064AE974211}"/>
    <cellStyle name="Вычисление 2 8 4 2" xfId="8564" xr:uid="{6533D405-AA7C-4AC1-AF49-F373E2AE0A95}"/>
    <cellStyle name="Вычисление 2 8 4 2 2" xfId="13326" xr:uid="{CA5F5A5E-A833-48ED-8B7E-4848C1EBDC88}"/>
    <cellStyle name="Вычисление 2 8 4 2 2 2" xfId="29809" xr:uid="{2DA31CA6-F535-460C-A084-7F240576D003}"/>
    <cellStyle name="Вычисление 2 8 4 2 2 3" xfId="43140" xr:uid="{67D2BEDF-338A-44B7-9AEB-5B57D3710436}"/>
    <cellStyle name="Вычисление 2 8 4 2 3" xfId="26062" xr:uid="{8D2D7D50-F908-4047-BB41-B54ECF8D9BA8}"/>
    <cellStyle name="Вычисление 2 8 4 2 4" xfId="39138" xr:uid="{19DB2B5C-5466-4CD6-A375-347BDBD9CE41}"/>
    <cellStyle name="Вычисление 2 8 4 3" xfId="16080" xr:uid="{043B840F-FB0B-4E5D-8465-0AA445142AB5}"/>
    <cellStyle name="Вычисление 2 8 4 3 2" xfId="32140" xr:uid="{78AE8132-0564-4073-9013-2C0FF7931633}"/>
    <cellStyle name="Вычисление 2 8 4 3 3" xfId="45660" xr:uid="{6585CD9F-227C-4BD6-BDBD-6F0DC61A02F5}"/>
    <cellStyle name="Вычисление 2 8 4 4" xfId="23034" xr:uid="{AD31E36F-E89B-4251-922B-967B5F16ADE1}"/>
    <cellStyle name="Вычисление 2 8 4 5" xfId="36115" xr:uid="{0310945C-6E66-4035-8B78-349207E915DF}"/>
    <cellStyle name="Вычисление 2 8 5" xfId="15215" xr:uid="{48F320A7-88F7-4F24-9432-B73704611662}"/>
    <cellStyle name="Вычисление 2 8 5 2" xfId="31395" xr:uid="{2453029D-774F-46B6-B671-A816927B7B04}"/>
    <cellStyle name="Вычисление 2 8 5 3" xfId="44867" xr:uid="{AC90DF15-411B-433B-BDA4-8C96AC47AC82}"/>
    <cellStyle name="Вычисление 2 8 6" xfId="21325" xr:uid="{E9B98116-A7C7-4D60-83ED-B5999C5F25CC}"/>
    <cellStyle name="Вычисление 2 8 7" xfId="34348" xr:uid="{D4BC52B1-1371-4AEF-80B4-3076D2C87E11}"/>
    <cellStyle name="Вычисление 2 9" xfId="3583" xr:uid="{C4BE1D6A-1871-484A-9A00-A97F18409F5A}"/>
    <cellStyle name="Вычисление 2 9 2" xfId="2918" xr:uid="{C0D4EC6E-B213-442B-B79C-DB2D43B0C918}"/>
    <cellStyle name="Вычисление 2 9 2 2" xfId="8214" xr:uid="{E4A1894B-D898-4369-92C3-F727C2EE2BED}"/>
    <cellStyle name="Вычисление 2 9 2 2 2" xfId="15402" xr:uid="{7656C449-E309-483C-B44B-C4F7DCF2B702}"/>
    <cellStyle name="Вычисление 2 9 2 2 2 2" xfId="31556" xr:uid="{9657D637-485D-49DC-81A0-4E14AA52E8ED}"/>
    <cellStyle name="Вычисление 2 9 2 2 2 3" xfId="45044" xr:uid="{8EAD6596-F1D9-4D77-BFBD-8C52B767332E}"/>
    <cellStyle name="Вычисление 2 9 2 2 3" xfId="25725" xr:uid="{CBAEAB13-5AC6-400D-90AF-47C6452F9ED6}"/>
    <cellStyle name="Вычисление 2 9 2 2 4" xfId="38801" xr:uid="{AC415F52-10D3-4024-B10F-7B294239A0C4}"/>
    <cellStyle name="Вычисление 2 9 2 3" xfId="6581" xr:uid="{270A9626-6B82-496F-807D-716005C3C44E}"/>
    <cellStyle name="Вычисление 2 9 2 3 2" xfId="16968" xr:uid="{593D6A8D-4C88-4B6A-A2F9-60535A8CA885}"/>
    <cellStyle name="Вычисление 2 9 2 3 2 2" xfId="32799" xr:uid="{873EFA8D-450D-40AF-BC64-68CB79F9F452}"/>
    <cellStyle name="Вычисление 2 9 2 3 2 3" xfId="46510" xr:uid="{8F76443D-D7DF-486A-9F5B-DC25AD70AB09}"/>
    <cellStyle name="Вычисление 2 9 2 3 3" xfId="24216" xr:uid="{F141ED94-2ADE-47C8-B0B8-FF93CBA766C8}"/>
    <cellStyle name="Вычисление 2 9 2 3 4" xfId="37297" xr:uid="{3DAFF201-8767-4B07-8799-CD6A8D57B8C2}"/>
    <cellStyle name="Вычисление 2 9 2 4" xfId="15404" xr:uid="{F365198E-DC22-4558-9980-933BB3FFD029}"/>
    <cellStyle name="Вычисление 2 9 2 4 2" xfId="31558" xr:uid="{4D8100CB-9BBE-4539-B7CF-CC999678D98C}"/>
    <cellStyle name="Вычисление 2 9 2 4 3" xfId="45046" xr:uid="{2F1F2CC1-0F24-44E8-B1DD-1BD313AC637C}"/>
    <cellStyle name="Вычисление 2 9 2 5" xfId="20968" xr:uid="{22217E4D-ED9D-41D7-B7E2-61EB9CE53DDE}"/>
    <cellStyle name="Вычисление 2 9 2 6" xfId="33991" xr:uid="{2734FEDD-A997-444B-A38B-FE8798452941}"/>
    <cellStyle name="Вычисление 2 9 3" xfId="4554" xr:uid="{ED95BF09-B743-471C-BD8C-96278D1F3D33}"/>
    <cellStyle name="Вычисление 2 9 3 2" xfId="7220" xr:uid="{7991ECBC-C6F5-4F66-991D-0056CA1DB8D4}"/>
    <cellStyle name="Вычисление 2 9 3 2 2" xfId="11105" xr:uid="{5E145699-E8A5-46AA-A009-40DD8A1EBCF2}"/>
    <cellStyle name="Вычисление 2 9 3 2 2 2" xfId="27906" xr:uid="{F35C6B84-A30D-457E-9ED3-B64A8F6C89E8}"/>
    <cellStyle name="Вычисление 2 9 3 2 2 3" xfId="41084" xr:uid="{A55D51F8-F689-4344-B1B7-4CC6C73C1EFE}"/>
    <cellStyle name="Вычисление 2 9 3 2 3" xfId="24814" xr:uid="{DFE936AF-A445-413A-8203-0541D815A305}"/>
    <cellStyle name="Вычисление 2 9 3 2 4" xfId="37895" xr:uid="{FF66370E-06BA-40F0-90C4-3B6231279D86}"/>
    <cellStyle name="Вычисление 2 9 3 3" xfId="16059" xr:uid="{6AE5E3B5-E61D-4D94-8992-CBCCBEB89421}"/>
    <cellStyle name="Вычисление 2 9 3 3 2" xfId="32120" xr:uid="{99722B09-DBE1-49DE-A588-54F53C1CABE6}"/>
    <cellStyle name="Вычисление 2 9 3 3 3" xfId="45639" xr:uid="{3D63C715-8B45-4DF7-8710-8256259C9492}"/>
    <cellStyle name="Вычисление 2 9 3 4" xfId="22370" xr:uid="{62DAE499-1FD3-4A53-B2CD-AD7F34A37AB3}"/>
    <cellStyle name="Вычисление 2 9 3 5" xfId="35419" xr:uid="{26CCBF3B-6D74-4EED-A6C5-488A5F9801BF}"/>
    <cellStyle name="Вычисление 2 9 4" xfId="5628" xr:uid="{1AC605D3-C3AD-47C7-9E54-8CF618D747E1}"/>
    <cellStyle name="Вычисление 2 9 4 2" xfId="8810" xr:uid="{AA1A47F4-058D-4A14-8698-6A7A000FC871}"/>
    <cellStyle name="Вычисление 2 9 4 2 2" xfId="16192" xr:uid="{C07ED5B1-C00A-4B98-836B-19582E20E2FD}"/>
    <cellStyle name="Вычисление 2 9 4 2 2 2" xfId="32237" xr:uid="{B24C8617-E28D-42D2-B2C6-22CD994384F2}"/>
    <cellStyle name="Вычисление 2 9 4 2 2 3" xfId="45760" xr:uid="{F355E607-A6C6-4C68-B4EF-9B1469BB330E}"/>
    <cellStyle name="Вычисление 2 9 4 2 3" xfId="26303" xr:uid="{BC3E1D84-1F4F-4CF0-B1C7-4C64F88BFE8F}"/>
    <cellStyle name="Вычисление 2 9 4 2 4" xfId="39379" xr:uid="{03E827C7-BB7F-4BAF-8BE7-5574A895824E}"/>
    <cellStyle name="Вычисление 2 9 4 3" xfId="13828" xr:uid="{7A12B086-07E9-46F0-B018-B91FF95A96AC}"/>
    <cellStyle name="Вычисление 2 9 4 3 2" xfId="30230" xr:uid="{811C794B-F711-46D0-B46C-7D0FFDC37BC2}"/>
    <cellStyle name="Вычисление 2 9 4 3 3" xfId="43600" xr:uid="{FBF21228-8FD7-495A-AEBD-040774AC5683}"/>
    <cellStyle name="Вычисление 2 9 4 4" xfId="23275" xr:uid="{FF5D3DF9-52AD-4754-BD39-A9F0776BEED1}"/>
    <cellStyle name="Вычисление 2 9 4 5" xfId="36356" xr:uid="{41E90050-71A2-4D3E-927E-A38297E2CD9E}"/>
    <cellStyle name="Вычисление 2 9 5" xfId="12001" xr:uid="{6A1FC026-6346-419E-B875-EB4352AE04DC}"/>
    <cellStyle name="Вычисление 2 9 5 2" xfId="28706" xr:uid="{23443932-D1FF-46AD-9594-BE5ECC7871F4}"/>
    <cellStyle name="Вычисление 2 9 5 3" xfId="41924" xr:uid="{F0F1DC88-AE14-4A5E-B746-E3C9597090C8}"/>
    <cellStyle name="Вычисление 2 9 6" xfId="21537" xr:uid="{01D08857-BA0F-45E2-9F0E-99E5EFA12CC4}"/>
    <cellStyle name="Вычисление 2 9 7" xfId="34590" xr:uid="{1FBB57FE-C987-435B-B081-961530E625AC}"/>
    <cellStyle name="Вычисление 3" xfId="2304" xr:uid="{12414F2C-CA3F-47DC-AF18-3753BFB2D35E}"/>
    <cellStyle name="Вычисление 3 10" xfId="3729" xr:uid="{FA01475A-A60E-43B2-8D32-13432E4B0693}"/>
    <cellStyle name="Вычисление 3 10 2" xfId="3045" xr:uid="{38204249-9E32-4E42-85F1-5632D350B579}"/>
    <cellStyle name="Вычисление 3 10 2 2" xfId="8341" xr:uid="{7D062AC9-5894-4492-9F83-4DABDBB7043D}"/>
    <cellStyle name="Вычисление 3 10 2 2 2" xfId="14033" xr:uid="{2FAA50A0-30DD-4E7A-AE1F-A93374C76999}"/>
    <cellStyle name="Вычисление 3 10 2 2 2 2" xfId="30410" xr:uid="{3A29D358-FF9D-40D5-B85D-1B197EC0AE37}"/>
    <cellStyle name="Вычисление 3 10 2 2 2 3" xfId="43791" xr:uid="{6E2241B6-4592-41F4-9E2E-219A30E75F46}"/>
    <cellStyle name="Вычисление 3 10 2 2 3" xfId="25845" xr:uid="{51C722F7-73F5-4DB8-8C24-0025AD6F6001}"/>
    <cellStyle name="Вычисление 3 10 2 2 4" xfId="38921" xr:uid="{CBF5CFEB-1078-4E90-97EE-DDF7C1EB6639}"/>
    <cellStyle name="Вычисление 3 10 2 3" xfId="6708" xr:uid="{941F93FB-9DE6-4C86-A649-1C12329B057B}"/>
    <cellStyle name="Вычисление 3 10 2 3 2" xfId="13774" xr:uid="{49B6E25A-BEA5-42BA-AF6D-FA8B715C5408}"/>
    <cellStyle name="Вычисление 3 10 2 3 2 2" xfId="30183" xr:uid="{A9F1F78F-1D0C-457A-BE38-446F35D9A921}"/>
    <cellStyle name="Вычисление 3 10 2 3 2 3" xfId="43547" xr:uid="{B4A37599-7AEE-4DD3-972D-820E1621438C}"/>
    <cellStyle name="Вычисление 3 10 2 3 3" xfId="24336" xr:uid="{57404197-AB88-488B-88E7-6D198BB7FF07}"/>
    <cellStyle name="Вычисление 3 10 2 3 4" xfId="37417" xr:uid="{12F5AE5B-D560-4AEE-A45C-875F2668034F}"/>
    <cellStyle name="Вычисление 3 10 2 4" xfId="16402" xr:uid="{90CCBDB1-331E-453F-B170-64CE47C487D4}"/>
    <cellStyle name="Вычисление 3 10 2 4 2" xfId="32418" xr:uid="{469835B5-7F1C-410C-986A-F6CB1B0297DB}"/>
    <cellStyle name="Вычисление 3 10 2 4 3" xfId="45953" xr:uid="{F84DDB67-0DFA-46ED-9D56-2AC669089EB1}"/>
    <cellStyle name="Вычисление 3 10 2 5" xfId="21088" xr:uid="{EFF70B89-EDAD-4B8C-B05F-6BB1C5B7F2DD}"/>
    <cellStyle name="Вычисление 3 10 2 6" xfId="34111" xr:uid="{7C225FF1-1D59-4E04-A0B7-945CEC699F53}"/>
    <cellStyle name="Вычисление 3 10 3" xfId="4630" xr:uid="{D2A69A2B-6281-4D70-9443-2970B817E291}"/>
    <cellStyle name="Вычисление 3 10 3 2" xfId="7364" xr:uid="{5EBA3ABA-9FC1-4EDD-B059-B1CE59E7A0CC}"/>
    <cellStyle name="Вычисление 3 10 3 2 2" xfId="11088" xr:uid="{6B4433A3-971D-4FAB-9C66-E1AF97698A1D}"/>
    <cellStyle name="Вычисление 3 10 3 2 2 2" xfId="27889" xr:uid="{772AA040-6E17-42DB-9C2B-4E36F0E2A904}"/>
    <cellStyle name="Вычисление 3 10 3 2 2 3" xfId="41067" xr:uid="{19BFE83D-EC40-48CE-AC8C-DC8E1D7A91AC}"/>
    <cellStyle name="Вычисление 3 10 3 2 3" xfId="24923" xr:uid="{032595B0-E674-45A7-9116-4AA9165FD211}"/>
    <cellStyle name="Вычисление 3 10 3 2 4" xfId="38003" xr:uid="{33755819-165B-4AC2-8455-9A497DB4C720}"/>
    <cellStyle name="Вычисление 3 10 3 3" xfId="13488" xr:uid="{EC54EE9B-65A6-4F3B-8434-244CA4DE2DE4}"/>
    <cellStyle name="Вычисление 3 10 3 3 2" xfId="29949" xr:uid="{84A9E858-A39A-44C8-9E95-0323FAD5DF2D}"/>
    <cellStyle name="Вычисление 3 10 3 3 3" xfId="43289" xr:uid="{81B97248-6441-478A-BD4E-1AA1B1567CD7}"/>
    <cellStyle name="Вычисление 3 10 3 4" xfId="22440" xr:uid="{B12ABEF3-867D-42D6-983C-96680D616E08}"/>
    <cellStyle name="Вычисление 3 10 3 5" xfId="35493" xr:uid="{B2BD7D6E-5887-430A-AEF3-06A64F93672F}"/>
    <cellStyle name="Вычисление 3 10 4" xfId="5736" xr:uid="{E9D0EF6A-E3C9-4B17-9B6F-876A24D785EC}"/>
    <cellStyle name="Вычисление 3 10 4 2" xfId="8925" xr:uid="{08710606-108B-48A1-BAAB-68FB5786D339}"/>
    <cellStyle name="Вычисление 3 10 4 2 2" xfId="13975" xr:uid="{223BE7E6-D030-4C7C-A515-23CE8EDD716C}"/>
    <cellStyle name="Вычисление 3 10 4 2 2 2" xfId="30362" xr:uid="{9FD1FA59-EB80-45A6-9DC4-8054A25BE8D4}"/>
    <cellStyle name="Вычисление 3 10 4 2 2 3" xfId="43739" xr:uid="{C7435E61-198B-42BC-8302-8D539CA4C8D5}"/>
    <cellStyle name="Вычисление 3 10 4 2 3" xfId="26411" xr:uid="{AFC0E048-9399-48C1-90BF-34EB01C565DD}"/>
    <cellStyle name="Вычисление 3 10 4 2 4" xfId="39487" xr:uid="{18624EDF-283D-42FA-BD98-65B7F03AD78B}"/>
    <cellStyle name="Вычисление 3 10 4 3" xfId="11113" xr:uid="{1192AE23-AF37-496E-AAE1-A55199B3C1C7}"/>
    <cellStyle name="Вычисление 3 10 4 3 2" xfId="27914" xr:uid="{D82C9A4A-48C7-4346-B599-8ED9F53ED686}"/>
    <cellStyle name="Вычисление 3 10 4 3 3" xfId="41092" xr:uid="{5A57C35C-C120-4656-9061-A5EEB42CA7AA}"/>
    <cellStyle name="Вычисление 3 10 4 4" xfId="23383" xr:uid="{61FD4FCA-C895-465E-9EAD-FCDFA6867585}"/>
    <cellStyle name="Вычисление 3 10 4 5" xfId="36464" xr:uid="{112CBF16-35A3-4FE7-A1BD-CC28E35C5B50}"/>
    <cellStyle name="Вычисление 3 10 5" xfId="14808" xr:uid="{5191F1DC-EB80-4641-BF00-73DFA71B13A9}"/>
    <cellStyle name="Вычисление 3 10 5 2" xfId="31070" xr:uid="{1CC405C6-7FF6-4571-B835-1BF65A2F9AE4}"/>
    <cellStyle name="Вычисление 3 10 5 3" xfId="44505" xr:uid="{043F702F-A581-4D95-840F-2A054328D7B9}"/>
    <cellStyle name="Вычисление 3 10 6" xfId="21645" xr:uid="{C3ABB393-3C1A-422F-82EC-BF310AA6EB1E}"/>
    <cellStyle name="Вычисление 3 10 7" xfId="34699" xr:uid="{DD75F954-0C3A-4D01-9EE4-9D963D55CD27}"/>
    <cellStyle name="Вычисление 3 11" xfId="3570" xr:uid="{21A9853A-394E-4CA7-954D-9BD1D083A3F2}"/>
    <cellStyle name="Вычисление 3 11 2" xfId="2905" xr:uid="{E28B233F-1ED1-484B-9013-18E3A04852AC}"/>
    <cellStyle name="Вычисление 3 11 2 2" xfId="8201" xr:uid="{2CD445BC-FAE6-459C-89ED-B2C67AA02917}"/>
    <cellStyle name="Вычисление 3 11 2 2 2" xfId="13352" xr:uid="{5AF1AED5-B710-4EB4-A117-4E11C09330E0}"/>
    <cellStyle name="Вычисление 3 11 2 2 2 2" xfId="29831" xr:uid="{95A1F005-83C1-4348-8178-48A5A9D34B47}"/>
    <cellStyle name="Вычисление 3 11 2 2 2 3" xfId="43165" xr:uid="{25403046-3E42-4624-8F24-DF8C3139078A}"/>
    <cellStyle name="Вычисление 3 11 2 2 3" xfId="25712" xr:uid="{257A88F2-FE8C-43E0-BF23-FE3B488AB2C5}"/>
    <cellStyle name="Вычисление 3 11 2 2 4" xfId="38788" xr:uid="{1DE01F06-E1B7-43E0-8634-A63434C8C294}"/>
    <cellStyle name="Вычисление 3 11 2 3" xfId="6568" xr:uid="{AF73EFE4-3553-44B8-902E-6DADF50072B1}"/>
    <cellStyle name="Вычисление 3 11 2 3 2" xfId="17349" xr:uid="{36F83CB4-A1EE-4559-BB13-1237DD6AD568}"/>
    <cellStyle name="Вычисление 3 11 2 3 2 2" xfId="33103" xr:uid="{F86B2F3C-E7AE-4FD7-8D25-E1961C003D0F}"/>
    <cellStyle name="Вычисление 3 11 2 3 2 3" xfId="46879" xr:uid="{9C9BC50F-F67F-474F-B5CF-4EF036545544}"/>
    <cellStyle name="Вычисление 3 11 2 3 3" xfId="24203" xr:uid="{8B957B6A-7DCC-4DB9-B9C4-C97ECB9F3ABC}"/>
    <cellStyle name="Вычисление 3 11 2 3 4" xfId="37284" xr:uid="{DF10AABB-90A2-4FAC-A22F-CD7138ED9728}"/>
    <cellStyle name="Вычисление 3 11 2 4" xfId="16249" xr:uid="{D6593C5D-1F6F-411F-AA8E-5D09913A0364}"/>
    <cellStyle name="Вычисление 3 11 2 4 2" xfId="32284" xr:uid="{7F3F3AA5-E916-4748-A1F6-C69D5171E0BE}"/>
    <cellStyle name="Вычисление 3 11 2 4 3" xfId="45813" xr:uid="{B38DB4EE-6A05-4FC3-9D6E-4C78DCA9B388}"/>
    <cellStyle name="Вычисление 3 11 2 5" xfId="20955" xr:uid="{CAE2C798-9261-4211-A1CD-C5A3AA53F6A4}"/>
    <cellStyle name="Вычисление 3 11 2 6" xfId="33978" xr:uid="{CD1EB00B-7AB8-411C-861C-5B8AA97A49CC}"/>
    <cellStyle name="Вычисление 3 11 3" xfId="4661" xr:uid="{F644AE0B-953C-456D-ABA8-262C01E869E4}"/>
    <cellStyle name="Вычисление 3 11 3 2" xfId="7207" xr:uid="{6D789F72-1434-424D-BA21-0982BE2C62D5}"/>
    <cellStyle name="Вычисление 3 11 3 2 2" xfId="13332" xr:uid="{4F2618DF-3AFA-439A-90CB-78331BA6F82D}"/>
    <cellStyle name="Вычисление 3 11 3 2 2 2" xfId="29815" xr:uid="{AD73B606-A672-43C6-A986-7083F56232DA}"/>
    <cellStyle name="Вычисление 3 11 3 2 2 3" xfId="43146" xr:uid="{93C97581-E35D-4DA3-9E2A-D77643A62148}"/>
    <cellStyle name="Вычисление 3 11 3 2 3" xfId="24801" xr:uid="{21462DAF-24B4-4778-8EA5-4CA235F32B65}"/>
    <cellStyle name="Вычисление 3 11 3 2 4" xfId="37882" xr:uid="{C91DBADC-9112-4703-B6C8-64ADA8E28210}"/>
    <cellStyle name="Вычисление 3 11 3 3" xfId="11879" xr:uid="{5A681F47-24F9-448E-BA62-DBEBFDAF921D}"/>
    <cellStyle name="Вычисление 3 11 3 3 2" xfId="28595" xr:uid="{5189AF80-865C-4770-AB52-134EEA61D781}"/>
    <cellStyle name="Вычисление 3 11 3 3 3" xfId="41811" xr:uid="{AF730F42-CDA5-4F9B-BCE7-4DAA3DD3A7D7}"/>
    <cellStyle name="Вычисление 3 11 3 4" xfId="22471" xr:uid="{613D65D2-9D37-4148-8973-EC688C06FE91}"/>
    <cellStyle name="Вычисление 3 11 3 5" xfId="35524" xr:uid="{56C2D973-0AC8-4715-A973-D9A96D64CCB5}"/>
    <cellStyle name="Вычисление 3 11 4" xfId="5615" xr:uid="{8E7E4330-1605-4D96-A073-2D1573129552}"/>
    <cellStyle name="Вычисление 3 11 4 2" xfId="8797" xr:uid="{40C336EE-2157-442E-83E9-769A2947525F}"/>
    <cellStyle name="Вычисление 3 11 4 2 2" xfId="11834" xr:uid="{2D277AB5-05B1-4548-8206-2EDBE7F0F52B}"/>
    <cellStyle name="Вычисление 3 11 4 2 2 2" xfId="28554" xr:uid="{5B0577FD-455E-4490-9652-651553C599FE}"/>
    <cellStyle name="Вычисление 3 11 4 2 2 3" xfId="41767" xr:uid="{43F444B3-1FB5-446B-B028-AFC0C7E8361D}"/>
    <cellStyle name="Вычисление 3 11 4 2 3" xfId="26290" xr:uid="{611E9E79-90EC-4F32-90D1-B5BF1F918FAC}"/>
    <cellStyle name="Вычисление 3 11 4 2 4" xfId="39366" xr:uid="{8B975732-AC4B-4A28-96F5-A3ECD032685D}"/>
    <cellStyle name="Вычисление 3 11 4 3" xfId="14669" xr:uid="{27B8725E-D02B-4713-9A1D-2D2EA2B50176}"/>
    <cellStyle name="Вычисление 3 11 4 3 2" xfId="30963" xr:uid="{C1740358-6DA0-485B-A136-74F4F23A5783}"/>
    <cellStyle name="Вычисление 3 11 4 3 3" xfId="44384" xr:uid="{929E944E-5120-4118-9EC1-6770798644AE}"/>
    <cellStyle name="Вычисление 3 11 4 4" xfId="23262" xr:uid="{D3CE15E2-2089-4A50-888D-144282CB39A3}"/>
    <cellStyle name="Вычисление 3 11 4 5" xfId="36343" xr:uid="{8D641E58-391F-470B-B406-6D3A891C2740}"/>
    <cellStyle name="Вычисление 3 11 5" xfId="15440" xr:uid="{9324A493-CA3F-4D1D-8386-ACFABC37373B}"/>
    <cellStyle name="Вычисление 3 11 5 2" xfId="31586" xr:uid="{09E4A7BE-83E7-4B23-AD02-909973CDC6B4}"/>
    <cellStyle name="Вычисление 3 11 5 3" xfId="45081" xr:uid="{36DF9321-023E-4D2F-920F-BD75A6FBF955}"/>
    <cellStyle name="Вычисление 3 11 6" xfId="21524" xr:uid="{FF77364F-03F8-4A6A-9D00-87E6D4C1304D}"/>
    <cellStyle name="Вычисление 3 11 7" xfId="34577" xr:uid="{D947A0C2-65EC-43F1-9172-A31DE63A2D79}"/>
    <cellStyle name="Вычисление 3 12" xfId="3710" xr:uid="{6E0BA769-2AB3-4B37-B6F0-6BADCC2D3ED8}"/>
    <cellStyle name="Вычисление 3 12 2" xfId="3026" xr:uid="{D5FB2CD1-C9DA-412B-A6AA-EA4E4E39F715}"/>
    <cellStyle name="Вычисление 3 12 2 2" xfId="8322" xr:uid="{252C2F6D-0826-4DD9-8B65-1EBF03BC4A10}"/>
    <cellStyle name="Вычисление 3 12 2 2 2" xfId="12609" xr:uid="{33972E63-5ECA-4F8C-88F7-FEF192CCB680}"/>
    <cellStyle name="Вычисление 3 12 2 2 2 2" xfId="29221" xr:uid="{471E9550-2E37-4FF4-B3B4-440105A68051}"/>
    <cellStyle name="Вычисление 3 12 2 2 2 3" xfId="42485" xr:uid="{6F8B4D00-E67D-4734-9B97-C9ABAB559AB8}"/>
    <cellStyle name="Вычисление 3 12 2 2 3" xfId="25826" xr:uid="{EA42827A-AE66-47F0-931F-EF482A2AA3C4}"/>
    <cellStyle name="Вычисление 3 12 2 2 4" xfId="38902" xr:uid="{9D78F880-18D8-47A0-B58C-083F8BA2467B}"/>
    <cellStyle name="Вычисление 3 12 2 3" xfId="6689" xr:uid="{53151BBC-0505-4D87-A5C8-AB058CFDA916}"/>
    <cellStyle name="Вычисление 3 12 2 3 2" xfId="16604" xr:uid="{D62FD3A1-62F3-4E48-AA7A-57A590C4FABA}"/>
    <cellStyle name="Вычисление 3 12 2 3 2 2" xfId="32520" xr:uid="{A44854A9-4024-458B-948B-FAFA784BEE7F}"/>
    <cellStyle name="Вычисление 3 12 2 3 2 3" xfId="46151" xr:uid="{22F5731C-FA91-4835-A789-C4AA58CDA6B8}"/>
    <cellStyle name="Вычисление 3 12 2 3 3" xfId="24317" xr:uid="{8C794700-0E21-4731-96FE-9B6AFCB84DA6}"/>
    <cellStyle name="Вычисление 3 12 2 3 4" xfId="37398" xr:uid="{6EDCDCF6-8B79-4346-B1AA-DD65838B84E9}"/>
    <cellStyle name="Вычисление 3 12 2 4" xfId="13548" xr:uid="{21084F21-C883-43C3-B613-6145B7AA5912}"/>
    <cellStyle name="Вычисление 3 12 2 4 2" xfId="29994" xr:uid="{6CC84CFD-1203-4016-98BB-AC1DCB808264}"/>
    <cellStyle name="Вычисление 3 12 2 4 3" xfId="43343" xr:uid="{5D30F628-5A37-4E4D-8F4A-A30E05C91D63}"/>
    <cellStyle name="Вычисление 3 12 2 5" xfId="21069" xr:uid="{E76EEF74-48C0-49F2-BF0F-A455FE855C57}"/>
    <cellStyle name="Вычисление 3 12 2 6" xfId="34092" xr:uid="{41FD4E44-CEAB-4DF7-8FE7-283A29F76BBB}"/>
    <cellStyle name="Вычисление 3 12 3" xfId="4740" xr:uid="{367305A4-08ED-489E-A12A-2458A57E4BE9}"/>
    <cellStyle name="Вычисление 3 12 3 2" xfId="7345" xr:uid="{D94737CD-EBF0-4ECA-8D2C-5E1FC78C69E7}"/>
    <cellStyle name="Вычисление 3 12 3 2 2" xfId="12966" xr:uid="{E1F63192-3E32-4B1D-9984-607EE40E3FF4}"/>
    <cellStyle name="Вычисление 3 12 3 2 2 2" xfId="29504" xr:uid="{2EEEFA5F-0AD1-48E9-B48B-640027152086}"/>
    <cellStyle name="Вычисление 3 12 3 2 2 3" xfId="42803" xr:uid="{508D0170-41CF-4A00-ADCC-91C542E034DD}"/>
    <cellStyle name="Вычисление 3 12 3 2 3" xfId="24904" xr:uid="{69F54190-0C41-489C-95DF-C96DB96A396C}"/>
    <cellStyle name="Вычисление 3 12 3 2 4" xfId="37984" xr:uid="{F941FEB1-7C2A-4D90-B244-7A5BB78DE1B8}"/>
    <cellStyle name="Вычисление 3 12 3 3" xfId="16642" xr:uid="{76C8BB6F-949F-4B0C-A0AE-F434D5DC0B74}"/>
    <cellStyle name="Вычисление 3 12 3 3 2" xfId="32548" xr:uid="{8B9220C6-A10F-4A64-9AD5-9F9B750984E8}"/>
    <cellStyle name="Вычисление 3 12 3 3 3" xfId="46189" xr:uid="{6E9A2937-3CFA-42A5-9C5B-4C5F03A225FC}"/>
    <cellStyle name="Вычисление 3 12 3 4" xfId="22543" xr:uid="{96853AF9-F2B3-4787-BA23-F0FF29A75FDF}"/>
    <cellStyle name="Вычисление 3 12 3 5" xfId="35596" xr:uid="{60A4C6C3-4EB2-4D89-8B0F-11D21317D03B}"/>
    <cellStyle name="Вычисление 3 12 4" xfId="5717" xr:uid="{16D3C344-EEEA-48D0-8EFE-47EFBCD676CB}"/>
    <cellStyle name="Вычисление 3 12 4 2" xfId="8906" xr:uid="{5981E26E-7AD9-48C5-9FF6-74558927E630}"/>
    <cellStyle name="Вычисление 3 12 4 2 2" xfId="12985" xr:uid="{8A4E4048-8B16-47BB-BE3E-4E2FD94606B2}"/>
    <cellStyle name="Вычисление 3 12 4 2 2 2" xfId="29522" xr:uid="{4706BC90-A0DD-4858-9269-45FF48224238}"/>
    <cellStyle name="Вычисление 3 12 4 2 2 3" xfId="42822" xr:uid="{8B2B419D-1D1E-45D0-AECE-9983E86B8DE6}"/>
    <cellStyle name="Вычисление 3 12 4 2 3" xfId="26392" xr:uid="{4D41C16E-2639-40F6-BD74-F9580D36877B}"/>
    <cellStyle name="Вычисление 3 12 4 2 4" xfId="39468" xr:uid="{2F20A8C3-8696-4F8D-935C-AE4AA663FD07}"/>
    <cellStyle name="Вычисление 3 12 4 3" xfId="13507" xr:uid="{B8D2B82E-AED9-40FC-A1BA-074630853B70}"/>
    <cellStyle name="Вычисление 3 12 4 3 2" xfId="29963" xr:uid="{9513B896-915C-40C0-AF10-1197EFF1F827}"/>
    <cellStyle name="Вычисление 3 12 4 3 3" xfId="43304" xr:uid="{A2681F37-D1CC-4290-847B-F690FF249EBA}"/>
    <cellStyle name="Вычисление 3 12 4 4" xfId="23364" xr:uid="{D84600D6-A245-41CF-8A37-0993B78D762A}"/>
    <cellStyle name="Вычисление 3 12 4 5" xfId="36445" xr:uid="{97795BBA-5FE6-423F-A225-16B34715BD76}"/>
    <cellStyle name="Вычисление 3 12 5" xfId="15975" xr:uid="{EA8494DB-A8DA-40D0-A55F-F83ED890EF3A}"/>
    <cellStyle name="Вычисление 3 12 5 2" xfId="32049" xr:uid="{A8A3F611-4CEC-481A-B2CB-47C7A45B49D9}"/>
    <cellStyle name="Вычисление 3 12 5 3" xfId="45568" xr:uid="{E4704200-A918-48B6-A03E-148C81CA475E}"/>
    <cellStyle name="Вычисление 3 12 6" xfId="21626" xr:uid="{2E72D608-FAE0-4EA0-8987-9D046E71A034}"/>
    <cellStyle name="Вычисление 3 12 7" xfId="34680" xr:uid="{EC82889D-187D-41F4-96BD-34D7BE0080DE}"/>
    <cellStyle name="Вычисление 3 13" xfId="3696" xr:uid="{865E987F-5A60-4371-AE06-9CAF573AF59C}"/>
    <cellStyle name="Вычисление 3 13 2" xfId="3012" xr:uid="{57E323FB-72ED-46DA-90E9-8FAF4BB2B557}"/>
    <cellStyle name="Вычисление 3 13 2 2" xfId="8308" xr:uid="{1337BA2B-0EBC-4E19-8729-F8A1995D9517}"/>
    <cellStyle name="Вычисление 3 13 2 2 2" xfId="17392" xr:uid="{AC3049EE-1F1F-42AD-B3A8-C52101805795}"/>
    <cellStyle name="Вычисление 3 13 2 2 2 2" xfId="33146" xr:uid="{2EFF8777-37DD-4314-8803-DF41BF033AB2}"/>
    <cellStyle name="Вычисление 3 13 2 2 2 3" xfId="46922" xr:uid="{16CFF495-67A9-4ACC-93F3-EBB4328149E6}"/>
    <cellStyle name="Вычисление 3 13 2 2 3" xfId="25812" xr:uid="{2A4F2A81-5A52-4B4E-AD3F-193A425D888F}"/>
    <cellStyle name="Вычисление 3 13 2 2 4" xfId="38888" xr:uid="{C17D0223-A1E3-430F-925E-947DDA7FD01A}"/>
    <cellStyle name="Вычисление 3 13 2 3" xfId="6675" xr:uid="{35D9E84E-9EBD-4EAB-9214-C8BED2232CE6}"/>
    <cellStyle name="Вычисление 3 13 2 3 2" xfId="11897" xr:uid="{575EF5D0-12EE-46D0-8015-AFDA6BB3F005}"/>
    <cellStyle name="Вычисление 3 13 2 3 2 2" xfId="28612" xr:uid="{5CAEB61B-90A2-44DC-9DE5-CEDB1A61B7E9}"/>
    <cellStyle name="Вычисление 3 13 2 3 2 3" xfId="41828" xr:uid="{8620B7D1-8C49-4AC5-8FC8-B9131E430380}"/>
    <cellStyle name="Вычисление 3 13 2 3 3" xfId="24303" xr:uid="{02885769-5045-4EC6-B198-7C9F469A635A}"/>
    <cellStyle name="Вычисление 3 13 2 3 4" xfId="37384" xr:uid="{B8772562-F729-4F03-899D-74C14DF5EC53}"/>
    <cellStyle name="Вычисление 3 13 2 4" xfId="12023" xr:uid="{7546444F-6F73-4590-AE3B-7A8A00EB0917}"/>
    <cellStyle name="Вычисление 3 13 2 4 2" xfId="28725" xr:uid="{96B9D9FD-007D-469F-9568-C04566D060B5}"/>
    <cellStyle name="Вычисление 3 13 2 4 3" xfId="41943" xr:uid="{725D69BB-06B2-4C73-AA82-E1F5447D4571}"/>
    <cellStyle name="Вычисление 3 13 2 5" xfId="21055" xr:uid="{77F3BBAC-C2C6-4F47-B898-B633BF2805FA}"/>
    <cellStyle name="Вычисление 3 13 2 6" xfId="34078" xr:uid="{09172525-F5DD-416E-ADAB-BA2A21DCA081}"/>
    <cellStyle name="Вычисление 3 13 3" xfId="4726" xr:uid="{C555F3F2-BB2C-46BA-BACB-2FFBBBB70D9C}"/>
    <cellStyle name="Вычисление 3 13 3 2" xfId="7331" xr:uid="{40CA5EB8-20CB-4A1A-B913-AAD9D000A14C}"/>
    <cellStyle name="Вычисление 3 13 3 2 2" xfId="13895" xr:uid="{866DC5BE-6F97-4568-B2D6-243A4ABF3308}"/>
    <cellStyle name="Вычисление 3 13 3 2 2 2" xfId="30288" xr:uid="{122C1FC3-2496-48D0-B9DE-29926994EB46}"/>
    <cellStyle name="Вычисление 3 13 3 2 2 3" xfId="43661" xr:uid="{3EE96779-B9DE-49E0-B3F5-BED5C730793B}"/>
    <cellStyle name="Вычисление 3 13 3 2 3" xfId="24890" xr:uid="{04603F71-5706-4A3E-A2E7-79B74033B937}"/>
    <cellStyle name="Вычисление 3 13 3 2 4" xfId="37970" xr:uid="{94C3FC6C-0638-4BB4-8AEE-4CDCEAE34472}"/>
    <cellStyle name="Вычисление 3 13 3 3" xfId="13883" xr:uid="{383BA82D-3254-4CF3-8A01-9F65DD7A52DF}"/>
    <cellStyle name="Вычисление 3 13 3 3 2" xfId="30278" xr:uid="{583E56B5-BA2A-466D-B846-42D168A75897}"/>
    <cellStyle name="Вычисление 3 13 3 3 3" xfId="43650" xr:uid="{9A58BBF6-8189-4D0E-8269-24E3118EA871}"/>
    <cellStyle name="Вычисление 3 13 3 4" xfId="22529" xr:uid="{A7905AE3-5071-418F-9075-F76A06365C0A}"/>
    <cellStyle name="Вычисление 3 13 3 5" xfId="35582" xr:uid="{EF7682B6-D14C-4947-8E11-94B22D2482D8}"/>
    <cellStyle name="Вычисление 3 13 4" xfId="5703" xr:uid="{C2E7240A-D4AE-4F0D-BE50-7ED71E611AEC}"/>
    <cellStyle name="Вычисление 3 13 4 2" xfId="8892" xr:uid="{73E0D0A7-CEEB-4683-A0A7-8D664737310B}"/>
    <cellStyle name="Вычисление 3 13 4 2 2" xfId="12943" xr:uid="{D1D09DB3-B738-4190-8949-B99CDEEBEAB1}"/>
    <cellStyle name="Вычисление 3 13 4 2 2 2" xfId="29483" xr:uid="{670C123C-AE51-4077-9DE0-EB1AF8A16DE6}"/>
    <cellStyle name="Вычисление 3 13 4 2 2 3" xfId="42781" xr:uid="{6B1BA757-62F1-4FC8-B948-CF9B008F7C2B}"/>
    <cellStyle name="Вычисление 3 13 4 2 3" xfId="26378" xr:uid="{C7230A60-A764-4C91-9DFF-8B873A5B51F5}"/>
    <cellStyle name="Вычисление 3 13 4 2 4" xfId="39454" xr:uid="{1EE1F476-9A5A-43F0-8109-7E5EF595D944}"/>
    <cellStyle name="Вычисление 3 13 4 3" xfId="14451" xr:uid="{9BCC7109-19FB-48C7-A585-1B951B639E42}"/>
    <cellStyle name="Вычисление 3 13 4 3 2" xfId="30779" xr:uid="{FB654BFA-3953-4CAB-A3B1-6D51EE753587}"/>
    <cellStyle name="Вычисление 3 13 4 3 3" xfId="44180" xr:uid="{5C0283E9-D898-4E58-A392-4AC2AC0D0EB8}"/>
    <cellStyle name="Вычисление 3 13 4 4" xfId="23350" xr:uid="{54FF5674-13F1-4A06-9F3A-685666287BD0}"/>
    <cellStyle name="Вычисление 3 13 4 5" xfId="36431" xr:uid="{C4F3D4B1-6832-4E77-ADE3-A7AC4DDA09F7}"/>
    <cellStyle name="Вычисление 3 13 5" xfId="17238" xr:uid="{BF21F25F-8006-463C-B52D-A45144904E93}"/>
    <cellStyle name="Вычисление 3 13 5 2" xfId="32997" xr:uid="{3C1F2C89-9F6E-4C53-BBA0-B5612E367EE4}"/>
    <cellStyle name="Вычисление 3 13 5 3" xfId="46772" xr:uid="{8F5BA5F6-DA37-4E18-8C3C-A058C8D6CBF6}"/>
    <cellStyle name="Вычисление 3 13 6" xfId="21612" xr:uid="{4D9294BE-5A8C-4A6E-A9D4-F824167DC04A}"/>
    <cellStyle name="Вычисление 3 13 7" xfId="34666" xr:uid="{B1BC56A1-341A-42B3-B237-11EF564718CA}"/>
    <cellStyle name="Вычисление 3 14" xfId="3826" xr:uid="{71A89BB8-A383-4404-9CA8-574AF5E42E80}"/>
    <cellStyle name="Вычисление 3 14 2" xfId="3088" xr:uid="{BA0AD51A-508C-479E-B828-6EABCDD35BBB}"/>
    <cellStyle name="Вычисление 3 14 2 2" xfId="8380" xr:uid="{AF925C2C-E628-48FA-A094-1B8CDF7E1F27}"/>
    <cellStyle name="Вычисление 3 14 2 2 2" xfId="10990" xr:uid="{88C02EBC-8A44-461E-9653-814023BCDB12}"/>
    <cellStyle name="Вычисление 3 14 2 2 2 2" xfId="27797" xr:uid="{55DE6318-C1F4-4A81-985E-5CFC4D3619C2}"/>
    <cellStyle name="Вычисление 3 14 2 2 2 3" xfId="40970" xr:uid="{FEDCF5BE-6DD9-468B-B03F-33FD858171B4}"/>
    <cellStyle name="Вычисление 3 14 2 2 3" xfId="25883" xr:uid="{D55A9AF3-50E0-47FF-8DBD-75D334C3243A}"/>
    <cellStyle name="Вычисление 3 14 2 2 4" xfId="38959" xr:uid="{FDD86300-BC68-48FA-B3E0-30A24097677C}"/>
    <cellStyle name="Вычисление 3 14 2 3" xfId="6747" xr:uid="{D09CEF99-B357-42B7-967C-E68C1D99A468}"/>
    <cellStyle name="Вычисление 3 14 2 3 2" xfId="12095" xr:uid="{FE8ADC1F-85E7-4938-B490-972BA97C31AF}"/>
    <cellStyle name="Вычисление 3 14 2 3 2 2" xfId="28795" xr:uid="{1E83C49E-3A6A-488B-B767-7E1AD64E2D40}"/>
    <cellStyle name="Вычисление 3 14 2 3 2 3" xfId="42015" xr:uid="{6EB24D07-C64E-4AC0-B125-47CD7CCE642C}"/>
    <cellStyle name="Вычисление 3 14 2 3 3" xfId="24374" xr:uid="{70B1AC63-0BB3-4DE3-81EE-89F8EEA132F1}"/>
    <cellStyle name="Вычисление 3 14 2 3 4" xfId="37455" xr:uid="{998556A9-FB23-4657-9C06-CD6EA439F482}"/>
    <cellStyle name="Вычисление 3 14 2 4" xfId="16557" xr:uid="{1067F091-2EE9-4016-928B-1985A325E6C8}"/>
    <cellStyle name="Вычисление 3 14 2 4 2" xfId="32492" xr:uid="{C1CB095F-6443-4FD1-ACD0-FFB9E0C44110}"/>
    <cellStyle name="Вычисление 3 14 2 4 3" xfId="46104" xr:uid="{5307A7AB-1B95-4040-B6D7-DADCA0F8631C}"/>
    <cellStyle name="Вычисление 3 14 2 5" xfId="21126" xr:uid="{64CC96D3-F7F1-4347-890F-4A5C551FA970}"/>
    <cellStyle name="Вычисление 3 14 2 6" xfId="34149" xr:uid="{C21F4FAA-B2ED-4F23-BA8C-A79BEC5C0BB7}"/>
    <cellStyle name="Вычисление 3 14 3" xfId="4772" xr:uid="{BCB5A1A3-46FA-402E-8C63-E9F627DB4C38}"/>
    <cellStyle name="Вычисление 3 14 3 2" xfId="7413" xr:uid="{04F2DD14-DE4A-44F5-98D3-6522A8A71E50}"/>
    <cellStyle name="Вычисление 3 14 3 2 2" xfId="12308" xr:uid="{53EE606E-8513-4F1E-9AB7-54A5CFC079E2}"/>
    <cellStyle name="Вычисление 3 14 3 2 2 2" xfId="28980" xr:uid="{7F046BE2-EB26-450E-A042-05A7F6BE7994}"/>
    <cellStyle name="Вычисление 3 14 3 2 2 3" xfId="42217" xr:uid="{3E6F4FF1-38A8-4505-B81D-349DC5B3A8A8}"/>
    <cellStyle name="Вычисление 3 14 3 2 3" xfId="24971" xr:uid="{1D06EF35-3630-4D40-9E04-3CA4DB29809D}"/>
    <cellStyle name="Вычисление 3 14 3 2 4" xfId="38047" xr:uid="{1F88C97E-DBBB-4540-9062-B67F407D2265}"/>
    <cellStyle name="Вычисление 3 14 3 3" xfId="15692" xr:uid="{8EA3299B-A0A9-4D2F-82F4-433C6EA9A878}"/>
    <cellStyle name="Вычисление 3 14 3 3 2" xfId="31804" xr:uid="{B631661E-97B9-463D-9002-921BDD94AB51}"/>
    <cellStyle name="Вычисление 3 14 3 3 3" xfId="45312" xr:uid="{05B92AA4-EFE4-4DEC-A8A2-46C87BA4025D}"/>
    <cellStyle name="Вычисление 3 14 3 4" xfId="22574" xr:uid="{C304E2F3-E7F6-451D-B548-3316F7374301}"/>
    <cellStyle name="Вычисление 3 14 3 5" xfId="35627" xr:uid="{2719808E-C427-42C3-A6A3-EE3CD2C1DDD6}"/>
    <cellStyle name="Вычисление 3 14 4" xfId="5797" xr:uid="{4B526F8F-2B70-4C48-940F-96F265D3A3C1}"/>
    <cellStyle name="Вычисление 3 14 4 2" xfId="8958" xr:uid="{D935A22B-1B6C-4C77-90B0-2267B278D612}"/>
    <cellStyle name="Вычисление 3 14 4 2 2" xfId="15231" xr:uid="{B2EE1E57-4CBA-4F9B-8CB4-8300B0E35957}"/>
    <cellStyle name="Вычисление 3 14 4 2 2 2" xfId="31407" xr:uid="{08EBFA67-B60D-4726-A410-650570D7AB30}"/>
    <cellStyle name="Вычисление 3 14 4 2 2 3" xfId="44882" xr:uid="{EC173983-91CD-44A3-997A-5A836E4A0E29}"/>
    <cellStyle name="Вычисление 3 14 4 2 3" xfId="26443" xr:uid="{F0D64553-D731-472B-98A2-90D1371EC3BB}"/>
    <cellStyle name="Вычисление 3 14 4 2 4" xfId="39519" xr:uid="{6DF6B4D9-D265-44A1-B924-365DDE4181FE}"/>
    <cellStyle name="Вычисление 3 14 4 3" xfId="15945" xr:uid="{D1DB70FB-30BE-4420-A5D7-74C39655454A}"/>
    <cellStyle name="Вычисление 3 14 4 3 2" xfId="32022" xr:uid="{790E1F9A-A624-49DE-8908-C3C184109B84}"/>
    <cellStyle name="Вычисление 3 14 4 3 3" xfId="45540" xr:uid="{3E39EFC4-3097-464A-92F6-E2F9702AD03C}"/>
    <cellStyle name="Вычисление 3 14 4 4" xfId="23444" xr:uid="{010162BD-4BBE-491B-812C-5A3FF5689C0E}"/>
    <cellStyle name="Вычисление 3 14 4 5" xfId="36525" xr:uid="{2E36BE80-6927-4C46-A9D2-DFA7A9159946}"/>
    <cellStyle name="Вычисление 3 14 5" xfId="14385" xr:uid="{3CAF6BFF-3911-40AF-851E-4CF7AEDD6CB7}"/>
    <cellStyle name="Вычисление 3 14 5 2" xfId="30717" xr:uid="{0C5F0485-E29A-4C0B-ABE6-6F8A257FDE65}"/>
    <cellStyle name="Вычисление 3 14 5 3" xfId="44115" xr:uid="{03FF6685-0476-4B20-B5FD-EB0CDE5321D9}"/>
    <cellStyle name="Вычисление 3 14 6" xfId="21706" xr:uid="{5BFDED5F-CDD6-4B09-9633-84EF58617EC1}"/>
    <cellStyle name="Вычисление 3 14 7" xfId="34760" xr:uid="{E8B234FF-F642-40B0-B4E5-0DE8BD5F275C}"/>
    <cellStyle name="Вычисление 3 15" xfId="3722" xr:uid="{39A3ACB1-4005-43CD-AA64-5249ACC67C13}"/>
    <cellStyle name="Вычисление 3 15 2" xfId="3038" xr:uid="{C23D1213-F7AD-4DF1-85F8-77C1ABAA1A9A}"/>
    <cellStyle name="Вычисление 3 15 2 2" xfId="8334" xr:uid="{2B5AAD72-FBA3-4165-9B67-1C0A7405EE5C}"/>
    <cellStyle name="Вычисление 3 15 2 2 2" xfId="13089" xr:uid="{C4056DB6-D928-44D8-A671-7B69A32E3083}"/>
    <cellStyle name="Вычисление 3 15 2 2 2 2" xfId="29606" xr:uid="{2B373155-317D-41AF-B288-D11CC75F83A0}"/>
    <cellStyle name="Вычисление 3 15 2 2 2 3" xfId="42916" xr:uid="{4B854510-0196-492F-B03B-7BC54972C6AC}"/>
    <cellStyle name="Вычисление 3 15 2 2 3" xfId="25838" xr:uid="{8D9AF61C-62E9-400B-9A57-248E29C03EF0}"/>
    <cellStyle name="Вычисление 3 15 2 2 4" xfId="38914" xr:uid="{693B37B8-383D-41F7-8932-0A637D60F060}"/>
    <cellStyle name="Вычисление 3 15 2 3" xfId="6701" xr:uid="{4B7FADD6-BC41-4DE1-B443-69C0A17EA04C}"/>
    <cellStyle name="Вычисление 3 15 2 3 2" xfId="14393" xr:uid="{6B4A3F6B-40EE-4614-B99E-9C0173073B04}"/>
    <cellStyle name="Вычисление 3 15 2 3 2 2" xfId="30725" xr:uid="{5E483162-EDF2-441A-BADF-7DFA94C5F0F3}"/>
    <cellStyle name="Вычисление 3 15 2 3 2 3" xfId="44123" xr:uid="{9209C53D-F209-420B-BE5D-574306D937DF}"/>
    <cellStyle name="Вычисление 3 15 2 3 3" xfId="24329" xr:uid="{1D0D7071-0600-4AD2-A86C-CDC57B7563F5}"/>
    <cellStyle name="Вычисление 3 15 2 3 4" xfId="37410" xr:uid="{C2D9EB4B-FC33-4B01-B24A-8E990A570E0F}"/>
    <cellStyle name="Вычисление 3 15 2 4" xfId="12457" xr:uid="{3168082D-C8AA-4404-85F8-ABC57BEDD399}"/>
    <cellStyle name="Вычисление 3 15 2 4 2" xfId="29104" xr:uid="{31C3B3C3-E99B-492B-9F97-1C2870EE72BC}"/>
    <cellStyle name="Вычисление 3 15 2 4 3" xfId="42353" xr:uid="{5C75BE5B-B12A-42F9-A6A8-76C99C4154B0}"/>
    <cellStyle name="Вычисление 3 15 2 5" xfId="21081" xr:uid="{0EF05F3C-8789-4EB5-8998-DF67D1649582}"/>
    <cellStyle name="Вычисление 3 15 2 6" xfId="34104" xr:uid="{6620C5FA-5840-4FCC-9EFD-4CB93CDA5FD9}"/>
    <cellStyle name="Вычисление 3 15 3" xfId="4748" xr:uid="{D49EE3ED-8187-4A8D-BFC5-5BF4BD7034CC}"/>
    <cellStyle name="Вычисление 3 15 3 2" xfId="7357" xr:uid="{200E6031-065A-4278-A19F-8E15772D6519}"/>
    <cellStyle name="Вычисление 3 15 3 2 2" xfId="17270" xr:uid="{A8800F06-A535-427E-B18E-5BEF271D7187}"/>
    <cellStyle name="Вычисление 3 15 3 2 2 2" xfId="33029" xr:uid="{D642E2FA-A875-4107-903D-725621367ED2}"/>
    <cellStyle name="Вычисление 3 15 3 2 2 3" xfId="46804" xr:uid="{866C8B1E-CF94-4811-BF11-C2CDB265BE2A}"/>
    <cellStyle name="Вычисление 3 15 3 2 3" xfId="24916" xr:uid="{813414CD-9F3F-472D-92AA-D3F945E2DD98}"/>
    <cellStyle name="Вычисление 3 15 3 2 4" xfId="37996" xr:uid="{D8891842-F992-49BE-B7BB-B20B6CA885E6}"/>
    <cellStyle name="Вычисление 3 15 3 3" xfId="14535" xr:uid="{9382DC05-80BF-4199-9831-E92B36512367}"/>
    <cellStyle name="Вычисление 3 15 3 3 2" xfId="30848" xr:uid="{883CD7DD-454E-4172-8F16-A13C1CBC7156}"/>
    <cellStyle name="Вычисление 3 15 3 3 3" xfId="44260" xr:uid="{81BEB1CF-73C3-4C1D-914D-FD038BCE7EFE}"/>
    <cellStyle name="Вычисление 3 15 3 4" xfId="22551" xr:uid="{13793D3B-31A0-43C9-BAB2-4F02BDB49F07}"/>
    <cellStyle name="Вычисление 3 15 3 5" xfId="35604" xr:uid="{6743F038-A1B5-42B9-8DA0-9E71155CCD21}"/>
    <cellStyle name="Вычисление 3 15 4" xfId="5729" xr:uid="{9E81033C-B344-4D8C-81C1-8CA6BF366A89}"/>
    <cellStyle name="Вычисление 3 15 4 2" xfId="8918" xr:uid="{1A24D2E1-E2FE-4313-99FD-E681F73A669D}"/>
    <cellStyle name="Вычисление 3 15 4 2 2" xfId="11686" xr:uid="{83FBFE9B-95E9-4C63-B330-30C5AE2B7EDF}"/>
    <cellStyle name="Вычисление 3 15 4 2 2 2" xfId="28420" xr:uid="{C6A033B3-AF8C-4213-92DB-08EB46B03DF6}"/>
    <cellStyle name="Вычисление 3 15 4 2 2 3" xfId="41629" xr:uid="{F47E889C-ACEA-4334-8E9E-BF7B495DDC61}"/>
    <cellStyle name="Вычисление 3 15 4 2 3" xfId="26404" xr:uid="{57916726-7154-4736-A6DD-EA9F615238A7}"/>
    <cellStyle name="Вычисление 3 15 4 2 4" xfId="39480" xr:uid="{9F2FDD76-33C8-4D48-AD85-A9016498DE7D}"/>
    <cellStyle name="Вычисление 3 15 4 3" xfId="15683" xr:uid="{E35477D3-0F4A-40D6-B967-4B42CD925D25}"/>
    <cellStyle name="Вычисление 3 15 4 3 2" xfId="31796" xr:uid="{1221F1A5-50C4-4921-9450-7BA3F6670944}"/>
    <cellStyle name="Вычисление 3 15 4 3 3" xfId="45304" xr:uid="{56FEDCC9-A7D9-4ABD-B328-970F23C2C61C}"/>
    <cellStyle name="Вычисление 3 15 4 4" xfId="23376" xr:uid="{74E6F423-7A12-4EBF-80B5-F382025A1B66}"/>
    <cellStyle name="Вычисление 3 15 4 5" xfId="36457" xr:uid="{25383294-B99A-4AC6-80F5-6C2AE698E4E3}"/>
    <cellStyle name="Вычисление 3 15 5" xfId="13763" xr:uid="{3BAA55E9-8DA7-4CF1-9A4E-495182C572BC}"/>
    <cellStyle name="Вычисление 3 15 5 2" xfId="30173" xr:uid="{75D2E5BF-D789-4293-AB06-411D0A98C2E5}"/>
    <cellStyle name="Вычисление 3 15 5 3" xfId="43536" xr:uid="{68055FCB-8D04-476E-BD45-DE65CAA6D393}"/>
    <cellStyle name="Вычисление 3 15 6" xfId="21638" xr:uid="{F14C6325-1741-4469-9DBB-AB1B210B551B}"/>
    <cellStyle name="Вычисление 3 15 7" xfId="34692" xr:uid="{62BDE704-A47F-4626-BC86-4346863C1A5F}"/>
    <cellStyle name="Вычисление 3 16" xfId="3887" xr:uid="{DA3A7D33-C2E0-409D-BE62-169B71B03F50}"/>
    <cellStyle name="Вычисление 3 16 2" xfId="3148" xr:uid="{12971963-F87D-41B3-BA4B-01F88BF13F08}"/>
    <cellStyle name="Вычисление 3 16 2 2" xfId="8440" xr:uid="{217A3572-5674-48FD-B310-4D7C43B23771}"/>
    <cellStyle name="Вычисление 3 16 2 2 2" xfId="10846" xr:uid="{921266A2-3F47-467C-923E-00DB9E9D6284}"/>
    <cellStyle name="Вычисление 3 16 2 2 2 2" xfId="27675" xr:uid="{F9CEA2F7-FBC5-47F5-A711-003693938E37}"/>
    <cellStyle name="Вычисление 3 16 2 2 2 3" xfId="40827" xr:uid="{08F6E3E1-C31E-4320-90E8-621B4164B65E}"/>
    <cellStyle name="Вычисление 3 16 2 2 3" xfId="25942" xr:uid="{3733765B-2A6D-4C6F-8C8C-355C372BBF50}"/>
    <cellStyle name="Вычисление 3 16 2 2 4" xfId="39018" xr:uid="{9B541B82-F36C-4D1D-B67F-A0CF61DD90F8}"/>
    <cellStyle name="Вычисление 3 16 2 3" xfId="6807" xr:uid="{647700EA-F7CE-4BFD-94F5-A7FA21098FB7}"/>
    <cellStyle name="Вычисление 3 16 2 3 2" xfId="17360" xr:uid="{548F116F-DBDB-464C-8D92-5FC38A5F1FAD}"/>
    <cellStyle name="Вычисление 3 16 2 3 2 2" xfId="33114" xr:uid="{13CB228C-6FC4-4F22-8383-D3AA93A33FCF}"/>
    <cellStyle name="Вычисление 3 16 2 3 2 3" xfId="46890" xr:uid="{B2AE52BD-0207-4110-AB50-7E5E7DD28FF9}"/>
    <cellStyle name="Вычисление 3 16 2 3 3" xfId="24433" xr:uid="{903819DB-CFEE-4AC2-B54B-726C4624FA21}"/>
    <cellStyle name="Вычисление 3 16 2 3 4" xfId="37514" xr:uid="{276BA925-944B-4DC7-B06B-23ECAE116BF7}"/>
    <cellStyle name="Вычисление 3 16 2 4" xfId="12124" xr:uid="{7AD17EFF-8361-43A6-9D70-DF4EA3A98317}"/>
    <cellStyle name="Вычисление 3 16 2 4 2" xfId="28824" xr:uid="{D81D3483-9883-4219-84BD-C9FF31BE9ED8}"/>
    <cellStyle name="Вычисление 3 16 2 4 3" xfId="42044" xr:uid="{F2B77E17-23EE-45A9-B009-DA5F4F3F2C4A}"/>
    <cellStyle name="Вычисление 3 16 2 5" xfId="21185" xr:uid="{BA010F96-A917-4699-9B5C-7BF3754EED65}"/>
    <cellStyle name="Вычисление 3 16 2 6" xfId="34208" xr:uid="{74DF9641-8D21-4B29-BD30-15F0387C0173}"/>
    <cellStyle name="Вычисление 3 16 3" xfId="4824" xr:uid="{2CF845E4-960B-48E4-BFEE-C4326426AB04}"/>
    <cellStyle name="Вычисление 3 16 3 2" xfId="7468" xr:uid="{14D42B84-A637-4229-928A-8F28FCC53798}"/>
    <cellStyle name="Вычисление 3 16 3 2 2" xfId="11129" xr:uid="{EF48F0DB-0849-4A73-AC89-47FD5642056C}"/>
    <cellStyle name="Вычисление 3 16 3 2 2 2" xfId="27927" xr:uid="{72874C6A-856E-43AA-AEB6-61E19659CBAA}"/>
    <cellStyle name="Вычисление 3 16 3 2 2 3" xfId="41107" xr:uid="{3D327249-7EB6-41A6-AD3A-594FA702B038}"/>
    <cellStyle name="Вычисление 3 16 3 2 3" xfId="25025" xr:uid="{938CEDFB-213E-4E85-8FB8-276DAF4B6668}"/>
    <cellStyle name="Вычисление 3 16 3 2 4" xfId="38101" xr:uid="{B448134F-BFDE-4F30-8637-DFD1715D6FB3}"/>
    <cellStyle name="Вычисление 3 16 3 3" xfId="15973" xr:uid="{E172C7A3-5F18-4F01-B91B-96CA643078C1}"/>
    <cellStyle name="Вычисление 3 16 3 3 2" xfId="32048" xr:uid="{0533AD5D-03F8-467D-9598-294EFC0311B2}"/>
    <cellStyle name="Вычисление 3 16 3 3 3" xfId="45566" xr:uid="{4A903486-F1B9-4752-A25E-B6F1CC2BE8A2}"/>
    <cellStyle name="Вычисление 3 16 3 4" xfId="22626" xr:uid="{8DC4DD19-8724-4C41-9D32-CF87434E30F1}"/>
    <cellStyle name="Вычисление 3 16 3 5" xfId="35679" xr:uid="{673564B8-0431-4B68-8F10-316E47A78162}"/>
    <cellStyle name="Вычисление 3 16 4" xfId="5851" xr:uid="{74072F40-44EA-4DF9-825F-1FE5FF34C8F4}"/>
    <cellStyle name="Вычисление 3 16 4 2" xfId="9009" xr:uid="{BC190172-D704-4BDE-8FCA-D74978767AC6}"/>
    <cellStyle name="Вычисление 3 16 4 2 2" xfId="15131" xr:uid="{9B0153C7-20CE-4D68-820E-5B7CAC7F193F}"/>
    <cellStyle name="Вычисление 3 16 4 2 2 2" xfId="31332" xr:uid="{518F5010-A680-49CF-8D1F-890E33D79E4E}"/>
    <cellStyle name="Вычисление 3 16 4 2 2 3" xfId="44795" xr:uid="{FB557BD3-CF34-4891-B0D3-96EF1DA267BF}"/>
    <cellStyle name="Вычисление 3 16 4 2 3" xfId="26494" xr:uid="{D35A02FE-D564-4BF2-A1AE-86B5F1F140AB}"/>
    <cellStyle name="Вычисление 3 16 4 2 4" xfId="39570" xr:uid="{10232F47-05A7-4CB8-B572-8A8A0CD7B7F5}"/>
    <cellStyle name="Вычисление 3 16 4 3" xfId="16367" xr:uid="{98DE037B-40C0-4BF7-A3A9-E54A80704001}"/>
    <cellStyle name="Вычисление 3 16 4 3 2" xfId="32388" xr:uid="{B84392D0-9ECD-4454-AB1B-1D18BD1C77EE}"/>
    <cellStyle name="Вычисление 3 16 4 3 3" xfId="45921" xr:uid="{96A8326D-14AF-470A-98BD-C1AB7B35ED82}"/>
    <cellStyle name="Вычисление 3 16 4 4" xfId="23498" xr:uid="{25203C53-8644-4A87-8688-709AF3F9A8A4}"/>
    <cellStyle name="Вычисление 3 16 4 5" xfId="36579" xr:uid="{5EC5870E-C88B-4C19-BEFE-1A0A058A3EAF}"/>
    <cellStyle name="Вычисление 3 16 5" xfId="10604" xr:uid="{384CB8D6-B61F-4AAF-B85C-4CCE3F151ED4}"/>
    <cellStyle name="Вычисление 3 16 5 2" xfId="27463" xr:uid="{0D986F58-9497-46EA-82D2-63C3F7AD1F09}"/>
    <cellStyle name="Вычисление 3 16 5 3" xfId="40585" xr:uid="{5661DF8A-6172-4BC8-9BEB-F1110B89313F}"/>
    <cellStyle name="Вычисление 3 16 6" xfId="21763" xr:uid="{1DE879CC-1B7B-4D01-B937-81A4922CDD9B}"/>
    <cellStyle name="Вычисление 3 16 7" xfId="34814" xr:uid="{8AECC1C5-4A20-4077-B053-E1A90B4C0F50}"/>
    <cellStyle name="Вычисление 3 17" xfId="3976" xr:uid="{4923636D-581F-4CAD-88ED-40A2A3EDECE3}"/>
    <cellStyle name="Вычисление 3 17 2" xfId="2521" xr:uid="{A948ABCE-4762-4889-B463-AF0418087D3C}"/>
    <cellStyle name="Вычисление 3 17 2 2" xfId="6141" xr:uid="{6B7CA81F-7721-40BE-AA8A-C72F64967274}"/>
    <cellStyle name="Вычисление 3 17 2 2 2" xfId="12869" xr:uid="{1E2E7BD5-E65E-4F6E-BA7E-1B17DFCD7224}"/>
    <cellStyle name="Вычисление 3 17 2 2 2 2" xfId="29431" xr:uid="{BD01D4EB-6214-44DC-B94E-82385F3CBDEB}"/>
    <cellStyle name="Вычисление 3 17 2 2 2 3" xfId="42718" xr:uid="{58EFCE65-F6A2-4064-B22E-7718B2A66729}"/>
    <cellStyle name="Вычисление 3 17 2 2 3" xfId="23786" xr:uid="{36B522C5-88EC-44A6-8DB8-001EDEBC10E0}"/>
    <cellStyle name="Вычисление 3 17 2 2 4" xfId="36867" xr:uid="{DAB3FDCF-C40F-4627-A7F8-013385DA1D2F}"/>
    <cellStyle name="Вычисление 3 17 2 3" xfId="6187" xr:uid="{6C052912-F11C-4E01-A51A-DA29E8D745B2}"/>
    <cellStyle name="Вычисление 3 17 2 3 2" xfId="15383" xr:uid="{83CB4A6B-E519-479D-9771-148E5BEF62A1}"/>
    <cellStyle name="Вычисление 3 17 2 3 2 2" xfId="31539" xr:uid="{D290A5AF-ED7E-4AE4-9502-FC245622832E}"/>
    <cellStyle name="Вычисление 3 17 2 3 2 3" xfId="45026" xr:uid="{E8616238-19D8-4772-B983-17B1C8596E15}"/>
    <cellStyle name="Вычисление 3 17 2 3 3" xfId="23832" xr:uid="{956815AD-A989-4021-ADDB-05C782E0C540}"/>
    <cellStyle name="Вычисление 3 17 2 3 4" xfId="36913" xr:uid="{95EF2856-91DF-402E-BA52-06340BFC6B12}"/>
    <cellStyle name="Вычисление 3 17 2 4" xfId="10650" xr:uid="{140B99DD-DE4D-465C-9165-610A23CE3EEC}"/>
    <cellStyle name="Вычисление 3 17 2 4 2" xfId="27501" xr:uid="{0BA96FA6-7443-44AE-B51F-7D094633B8F5}"/>
    <cellStyle name="Вычисление 3 17 2 4 3" xfId="40631" xr:uid="{1025C8A4-160B-43BE-A9DB-A900973FE622}"/>
    <cellStyle name="Вычисление 3 17 2 5" xfId="20584" xr:uid="{2493F1EC-45DC-45D6-9B3F-141B1C0EBADB}"/>
    <cellStyle name="Вычисление 3 17 2 6" xfId="33607" xr:uid="{F4B16C6D-6308-40B0-A5AA-AE81CB26D5AB}"/>
    <cellStyle name="Вычисление 3 17 3" xfId="4888" xr:uid="{EB388BE8-6B0E-4260-87F8-F97C354C6276}"/>
    <cellStyle name="Вычисление 3 17 3 2" xfId="7556" xr:uid="{BAACD042-DC9C-4987-BB9F-3D26E6A3E46C}"/>
    <cellStyle name="Вычисление 3 17 3 2 2" xfId="13093" xr:uid="{2015E281-94E9-406C-A85B-1D68279602F7}"/>
    <cellStyle name="Вычисление 3 17 3 2 2 2" xfId="29609" xr:uid="{8EF1B94F-A05E-47B2-8DB2-982A034FE820}"/>
    <cellStyle name="Вычисление 3 17 3 2 2 3" xfId="42920" xr:uid="{D95B66CD-F7F7-41A7-B937-0AC828B1725C}"/>
    <cellStyle name="Вычисление 3 17 3 2 3" xfId="25084" xr:uid="{8F9E5C5C-EA88-4263-9FA7-C5214C1E3091}"/>
    <cellStyle name="Вычисление 3 17 3 2 4" xfId="38160" xr:uid="{D82CB56E-0905-4C4B-B7F0-314B598A1E9B}"/>
    <cellStyle name="Вычисление 3 17 3 3" xfId="13006" xr:uid="{2819A9DC-07EF-48D8-B482-B612A2DBFF7F}"/>
    <cellStyle name="Вычисление 3 17 3 3 2" xfId="29540" xr:uid="{B7FA3B24-10BD-4562-AA12-D26DA085B2AD}"/>
    <cellStyle name="Вычисление 3 17 3 3 3" xfId="42842" xr:uid="{41F7887E-1B8A-47FB-AD80-CBD2E254A965}"/>
    <cellStyle name="Вычисление 3 17 3 4" xfId="22685" xr:uid="{1FFF7332-6806-4F16-89E5-732CDB99AD4D}"/>
    <cellStyle name="Вычисление 3 17 3 5" xfId="35738" xr:uid="{2532D430-8E1A-4AAD-8EBE-3DF8D2861F9A}"/>
    <cellStyle name="Вычисление 3 17 4" xfId="5910" xr:uid="{3FE6064D-32AB-4852-B1AA-68DCE96A89B7}"/>
    <cellStyle name="Вычисление 3 17 4 2" xfId="9070" xr:uid="{6EA53ABD-C091-4A74-ACFE-0310E6C6EF0C}"/>
    <cellStyle name="Вычисление 3 17 4 2 2" xfId="13627" xr:uid="{5F6E0696-FBB4-4D27-AAB3-1F2ECE4C23B2}"/>
    <cellStyle name="Вычисление 3 17 4 2 2 2" xfId="30063" xr:uid="{D307E9F4-774A-4CED-9CBE-5F2DD454ED5E}"/>
    <cellStyle name="Вычисление 3 17 4 2 2 3" xfId="43418" xr:uid="{1CCAF8D4-0FAD-455D-AF9A-06E62E3C356E}"/>
    <cellStyle name="Вычисление 3 17 4 2 3" xfId="26551" xr:uid="{C5337482-5109-437B-B295-C5FFAE98D313}"/>
    <cellStyle name="Вычисление 3 17 4 2 4" xfId="39627" xr:uid="{2EC0A9C4-1B80-4B08-B379-977B5232A037}"/>
    <cellStyle name="Вычисление 3 17 4 3" xfId="10913" xr:uid="{E4563616-41B1-409C-87EA-3D91FFE57EA8}"/>
    <cellStyle name="Вычисление 3 17 4 3 2" xfId="27731" xr:uid="{50696618-83A8-4F5D-B4B6-E418864E1F60}"/>
    <cellStyle name="Вычисление 3 17 4 3 3" xfId="40893" xr:uid="{B9A6D48C-9ACB-4411-B499-0F5C07FEE93A}"/>
    <cellStyle name="Вычисление 3 17 4 4" xfId="23557" xr:uid="{84AD9FCA-AFF4-46DE-B305-E65E651B68EB}"/>
    <cellStyle name="Вычисление 3 17 4 5" xfId="36638" xr:uid="{234B8324-F2F1-43AB-91BC-0410490A04FF}"/>
    <cellStyle name="Вычисление 3 17 5" xfId="11594" xr:uid="{79957FE6-1FB3-4022-A4C1-72C95C08EA0A}"/>
    <cellStyle name="Вычисление 3 17 5 2" xfId="28344" xr:uid="{D414303D-0959-461B-9FD3-79FAA2625ADF}"/>
    <cellStyle name="Вычисление 3 17 5 3" xfId="41545" xr:uid="{FBBEBEFB-A0D3-4CA8-B0F9-AABB85AAEEB4}"/>
    <cellStyle name="Вычисление 3 17 6" xfId="21823" xr:uid="{E94CD204-DF09-49EC-B6AF-CBA6968301EA}"/>
    <cellStyle name="Вычисление 3 17 7" xfId="34873" xr:uid="{B3127E21-4BC9-44FE-8B48-9B834CD0A8F1}"/>
    <cellStyle name="Вычисление 3 18" xfId="3877" xr:uid="{07F677B1-C3DF-4CA2-9FFD-13847C3FF12B}"/>
    <cellStyle name="Вычисление 3 18 2" xfId="3134" xr:uid="{DBF72D53-B2AB-4ED1-B5A9-3D4CDC40B420}"/>
    <cellStyle name="Вычисление 3 18 2 2" xfId="8426" xr:uid="{6278EE2A-98DB-485F-A7B4-C0C32862B200}"/>
    <cellStyle name="Вычисление 3 18 2 2 2" xfId="11039" xr:uid="{1DC71ECF-BE2A-409F-AA3B-0AD0D971CCC1}"/>
    <cellStyle name="Вычисление 3 18 2 2 2 2" xfId="27845" xr:uid="{1A3E723D-6AD6-4A03-9EBE-C376E967D3D4}"/>
    <cellStyle name="Вычисление 3 18 2 2 2 3" xfId="41019" xr:uid="{AB81767D-D558-40B9-A853-9949A1968F96}"/>
    <cellStyle name="Вычисление 3 18 2 2 3" xfId="25928" xr:uid="{D68D574A-DE9E-491B-A232-3E719F524303}"/>
    <cellStyle name="Вычисление 3 18 2 2 4" xfId="39004" xr:uid="{729B08B7-4EC9-4B75-85D9-B1C2B5B0EA94}"/>
    <cellStyle name="Вычисление 3 18 2 3" xfId="6793" xr:uid="{46162C62-180C-4A5A-A26A-7B127E69394E}"/>
    <cellStyle name="Вычисление 3 18 2 3 2" xfId="15260" xr:uid="{B3F23F40-8BCF-4193-ACF4-428779872674}"/>
    <cellStyle name="Вычисление 3 18 2 3 2 2" xfId="31435" xr:uid="{F614132A-74C9-4CF1-951D-7AE382C14C3B}"/>
    <cellStyle name="Вычисление 3 18 2 3 2 3" xfId="44911" xr:uid="{B93C390F-9DE7-400E-93F2-E26864195341}"/>
    <cellStyle name="Вычисление 3 18 2 3 3" xfId="24419" xr:uid="{A36BC01C-3FF3-41F4-928F-4147B5A54B52}"/>
    <cellStyle name="Вычисление 3 18 2 3 4" xfId="37500" xr:uid="{D7BC6D5C-3F67-4349-A688-96E8400057E8}"/>
    <cellStyle name="Вычисление 3 18 2 4" xfId="15938" xr:uid="{0B9111F8-184E-45F2-86F3-5F54FA86B63A}"/>
    <cellStyle name="Вычисление 3 18 2 4 2" xfId="32016" xr:uid="{1AC601B0-3980-4E14-9DCA-9DA9D5A0BA53}"/>
    <cellStyle name="Вычисление 3 18 2 4 3" xfId="45534" xr:uid="{0E7F0990-5F3D-4D2B-979C-3FFC76C555D0}"/>
    <cellStyle name="Вычисление 3 18 2 5" xfId="21171" xr:uid="{40A83FB2-4676-4CAB-BE35-24BB87CA9482}"/>
    <cellStyle name="Вычисление 3 18 2 6" xfId="34194" xr:uid="{F865AF28-B08E-4453-80B3-BA58786D8078}"/>
    <cellStyle name="Вычисление 3 18 3" xfId="4814" xr:uid="{52F13E00-75B0-44FB-AADD-466E11056824}"/>
    <cellStyle name="Вычисление 3 18 3 2" xfId="7458" xr:uid="{0636BE26-2089-406F-8744-A9CD6FAF0338}"/>
    <cellStyle name="Вычисление 3 18 3 2 2" xfId="17137" xr:uid="{8B285358-1B0D-4AAE-99A9-28E323B4DBF2}"/>
    <cellStyle name="Вычисление 3 18 3 2 2 2" xfId="32900" xr:uid="{24EB7877-04CD-46C7-BEA6-548EA9AD513B}"/>
    <cellStyle name="Вычисление 3 18 3 2 2 3" xfId="46672" xr:uid="{BE603810-BE0D-4FEE-AAE6-9A29381D2E70}"/>
    <cellStyle name="Вычисление 3 18 3 2 3" xfId="25015" xr:uid="{FA128E1A-A050-4616-975E-B942D5EB5FA5}"/>
    <cellStyle name="Вычисление 3 18 3 2 4" xfId="38091" xr:uid="{971C8C17-FC16-4C4E-9DA3-EC39E7CEBC4E}"/>
    <cellStyle name="Вычисление 3 18 3 3" xfId="12383" xr:uid="{8E71257C-9868-43CB-8E5C-7BF2D9EEA8FC}"/>
    <cellStyle name="Вычисление 3 18 3 3 2" xfId="29049" xr:uid="{6E14B308-A4DF-46CD-90C6-C2B72E93D22A}"/>
    <cellStyle name="Вычисление 3 18 3 3 3" xfId="42289" xr:uid="{2569A491-2403-4E03-A9F1-783AF688AA10}"/>
    <cellStyle name="Вычисление 3 18 3 4" xfId="22616" xr:uid="{65CCABD3-56A4-40BF-9EBF-50F5D805C57F}"/>
    <cellStyle name="Вычисление 3 18 3 5" xfId="35669" xr:uid="{37D2C178-46F6-47A4-B927-FA8E28ACF285}"/>
    <cellStyle name="Вычисление 3 18 4" xfId="5841" xr:uid="{AE16C301-7AFE-4E42-BBFC-C1B0C2A0CC7C}"/>
    <cellStyle name="Вычисление 3 18 4 2" xfId="8999" xr:uid="{EB0AA3AF-E93B-4331-A971-0134E94D53C2}"/>
    <cellStyle name="Вычисление 3 18 4 2 2" xfId="16319" xr:uid="{7AA877EF-2945-416E-9649-C4181CA1CE9A}"/>
    <cellStyle name="Вычисление 3 18 4 2 2 2" xfId="32345" xr:uid="{879AD305-B82C-4CA7-8301-2ACF3BEAD26A}"/>
    <cellStyle name="Вычисление 3 18 4 2 2 3" xfId="45876" xr:uid="{D25CF099-E144-41CA-BF00-869F35AFDCC6}"/>
    <cellStyle name="Вычисление 3 18 4 2 3" xfId="26484" xr:uid="{BDC6C620-B20D-413C-B284-891A1808D572}"/>
    <cellStyle name="Вычисление 3 18 4 2 4" xfId="39560" xr:uid="{3B09BB1B-F3B7-4640-AC65-8D0590483581}"/>
    <cellStyle name="Вычисление 3 18 4 3" xfId="12159" xr:uid="{B38EFAE4-B916-489D-B622-76F8B917A775}"/>
    <cellStyle name="Вычисление 3 18 4 3 2" xfId="28857" xr:uid="{62D45794-E61F-459A-AEB2-7B0EED90169E}"/>
    <cellStyle name="Вычисление 3 18 4 3 3" xfId="42079" xr:uid="{51A29FDD-F8CD-429E-A7E9-E612B3D8EA8A}"/>
    <cellStyle name="Вычисление 3 18 4 4" xfId="23488" xr:uid="{345C25CF-797E-4EA1-BDE7-58B99790D71D}"/>
    <cellStyle name="Вычисление 3 18 4 5" xfId="36569" xr:uid="{B73A619B-3F48-4A71-8B31-909963F1E362}"/>
    <cellStyle name="Вычисление 3 18 5" xfId="12261" xr:uid="{0F1F08E6-E012-4810-A46A-0EF9AAAE08B3}"/>
    <cellStyle name="Вычисление 3 18 5 2" xfId="28940" xr:uid="{FC324342-8FAB-47E8-848B-8DCB0071D3EF}"/>
    <cellStyle name="Вычисление 3 18 5 3" xfId="42173" xr:uid="{D688267E-892C-4997-B206-82C030216615}"/>
    <cellStyle name="Вычисление 3 18 6" xfId="21753" xr:uid="{DBF8146C-AD05-49E4-95A6-9CB5E7E54A9D}"/>
    <cellStyle name="Вычисление 3 18 7" xfId="34804" xr:uid="{795DE4DA-B9B8-4F4D-A0BB-76E5B437963A}"/>
    <cellStyle name="Вычисление 3 19" xfId="3988" xr:uid="{FC7E459B-5B63-4A60-8553-77A2E40B3A64}"/>
    <cellStyle name="Вычисление 3 19 2" xfId="3274" xr:uid="{5616B80B-3788-4F1E-9F34-32BD9ED9EE11}"/>
    <cellStyle name="Вычисление 3 19 2 2" xfId="8554" xr:uid="{39E0A4CB-A190-4E36-8F5B-B618147C3F0F}"/>
    <cellStyle name="Вычисление 3 19 2 2 2" xfId="16717" xr:uid="{7987487E-44ED-44A5-8EAD-24A172C4A482}"/>
    <cellStyle name="Вычисление 3 19 2 2 2 2" xfId="32601" xr:uid="{A6139CAB-CB1D-4727-B264-8AA796F92083}"/>
    <cellStyle name="Вычисление 3 19 2 2 2 3" xfId="46261" xr:uid="{8766A1D7-8D88-476E-8B3C-89FD0F517962}"/>
    <cellStyle name="Вычисление 3 19 2 2 3" xfId="26052" xr:uid="{5513A498-68F9-4472-BFEC-90B2266BA4A9}"/>
    <cellStyle name="Вычисление 3 19 2 2 4" xfId="39128" xr:uid="{19CE52BF-AD1E-4501-A59C-74CCAE292AC7}"/>
    <cellStyle name="Вычисление 3 19 2 3" xfId="6929" xr:uid="{45EAE7C9-0A75-47D2-8702-A25E4B804DF4}"/>
    <cellStyle name="Вычисление 3 19 2 3 2" xfId="11262" xr:uid="{590F9A76-C661-482E-A2C9-4849C7D34179}"/>
    <cellStyle name="Вычисление 3 19 2 3 2 2" xfId="28049" xr:uid="{985CFF6F-C1F4-40C0-BB54-1F682CFB7AB5}"/>
    <cellStyle name="Вычисление 3 19 2 3 2 3" xfId="41231" xr:uid="{2CD77DF6-CAC6-497E-ABC5-3EC1F30F0915}"/>
    <cellStyle name="Вычисление 3 19 2 3 3" xfId="24551" xr:uid="{F9835C8B-B49F-428D-ABD2-3A281EFB7AB4}"/>
    <cellStyle name="Вычисление 3 19 2 3 4" xfId="37632" xr:uid="{8F2FFF01-AFDD-4148-AE10-E8A3BFB4B591}"/>
    <cellStyle name="Вычисление 3 19 2 4" xfId="13367" xr:uid="{FEC1EE93-5589-40BE-BA6D-5EF1F4F388B2}"/>
    <cellStyle name="Вычисление 3 19 2 4 2" xfId="29841" xr:uid="{CCE32F99-9B56-4500-A7D4-886892B4A257}"/>
    <cellStyle name="Вычисление 3 19 2 4 3" xfId="43176" xr:uid="{18520B27-08C4-4158-A613-8C26548D2759}"/>
    <cellStyle name="Вычисление 3 19 2 5" xfId="21303" xr:uid="{2DED7D59-D826-46D0-9FAE-F31CCF8BFADD}"/>
    <cellStyle name="Вычисление 3 19 2 6" xfId="34326" xr:uid="{7F1A058B-CD8A-4C71-9296-305C3E3E3E89}"/>
    <cellStyle name="Вычисление 3 19 3" xfId="4900" xr:uid="{C6B8ACBE-20B2-42AE-BA57-5AD7790554EB}"/>
    <cellStyle name="Вычисление 3 19 3 2" xfId="7568" xr:uid="{CAF707E4-EB54-48D3-AA5B-F1AF94A1D34F}"/>
    <cellStyle name="Вычисление 3 19 3 2 2" xfId="14496" xr:uid="{D7BEBB4A-62D8-4277-8995-25DCE652C049}"/>
    <cellStyle name="Вычисление 3 19 3 2 2 2" xfId="30819" xr:uid="{E33F90C8-0780-4983-88BC-122D53E569F1}"/>
    <cellStyle name="Вычисление 3 19 3 2 2 3" xfId="44225" xr:uid="{8AF54822-31DF-4A55-B4C5-CA0E5B576F33}"/>
    <cellStyle name="Вычисление 3 19 3 2 3" xfId="25096" xr:uid="{D3DE4C9A-71AD-4E87-A81B-D86B48AA37D0}"/>
    <cellStyle name="Вычисление 3 19 3 2 4" xfId="38172" xr:uid="{A7FE1D43-AF07-4176-9FD5-1AA74EC48990}"/>
    <cellStyle name="Вычисление 3 19 3 3" xfId="12234" xr:uid="{BBF093DC-251F-4CF2-AF42-54780B4F5527}"/>
    <cellStyle name="Вычисление 3 19 3 3 2" xfId="28916" xr:uid="{20D2C293-D9C3-4F4C-8220-6E249F7AA94F}"/>
    <cellStyle name="Вычисление 3 19 3 3 3" xfId="42149" xr:uid="{F4865C81-0477-4C40-A3BB-AF6A5BE73043}"/>
    <cellStyle name="Вычисление 3 19 3 4" xfId="22697" xr:uid="{E5B69AB2-484A-4197-B184-9AC8F24B97FF}"/>
    <cellStyle name="Вычисление 3 19 3 5" xfId="35750" xr:uid="{68C749B2-7312-4E45-B138-D228F38A47AA}"/>
    <cellStyle name="Вычисление 3 19 4" xfId="5922" xr:uid="{2DE366B2-7FCA-4262-A1D4-2B447E7CD844}"/>
    <cellStyle name="Вычисление 3 19 4 2" xfId="9082" xr:uid="{25BAF792-86BB-45F1-93AA-F59DA5C06307}"/>
    <cellStyle name="Вычисление 3 19 4 2 2" xfId="14435" xr:uid="{7EA5DC38-B111-4961-BAE0-37A8E52636D8}"/>
    <cellStyle name="Вычисление 3 19 4 2 2 2" xfId="30765" xr:uid="{D9C618C0-7607-4DF1-AD3F-0D64F54B78E1}"/>
    <cellStyle name="Вычисление 3 19 4 2 2 3" xfId="44165" xr:uid="{86ABC392-3AC3-4051-8B78-8B5AF3387DDC}"/>
    <cellStyle name="Вычисление 3 19 4 2 3" xfId="26563" xr:uid="{F0D55274-95C5-4FE6-9874-9BB99D56769D}"/>
    <cellStyle name="Вычисление 3 19 4 2 4" xfId="39639" xr:uid="{1FCAD4B5-8BC3-46C3-A30A-F019138C9A68}"/>
    <cellStyle name="Вычисление 3 19 4 3" xfId="17525" xr:uid="{601C7301-00F5-4901-9E51-250BF5759532}"/>
    <cellStyle name="Вычисление 3 19 4 3 2" xfId="33263" xr:uid="{58D4C2CB-D1A4-4CAB-BE16-3983C9E3D351}"/>
    <cellStyle name="Вычисление 3 19 4 3 3" xfId="47050" xr:uid="{BFA36470-7B2E-4966-B945-91C6C2EA60B5}"/>
    <cellStyle name="Вычисление 3 19 4 4" xfId="23569" xr:uid="{FA562476-6B37-47C6-A647-3A0E8A26E00C}"/>
    <cellStyle name="Вычисление 3 19 4 5" xfId="36650" xr:uid="{4FE966E5-F399-4B73-8485-08ADC877F819}"/>
    <cellStyle name="Вычисление 3 19 5" xfId="17472" xr:uid="{BE95DB9C-F876-411B-8A8B-39E930B15D1C}"/>
    <cellStyle name="Вычисление 3 19 5 2" xfId="33215" xr:uid="{1217E449-3B68-461B-ABC4-090B70688952}"/>
    <cellStyle name="Вычисление 3 19 5 3" xfId="47001" xr:uid="{F7E92123-7696-4CD0-A5E3-88C557ABF208}"/>
    <cellStyle name="Вычисление 3 19 6" xfId="21835" xr:uid="{D2773848-2521-4B1A-B83E-757B3CB718A4}"/>
    <cellStyle name="Вычисление 3 19 7" xfId="34885" xr:uid="{F4244BE0-6ED8-4D0D-B892-EAEF6B2FF239}"/>
    <cellStyle name="Вычисление 3 2" xfId="3448" xr:uid="{541E414E-714D-4905-B347-DE08C07A5900}"/>
    <cellStyle name="Вычисление 3 2 10" xfId="20500" xr:uid="{F6EE3FE0-47BD-469C-BDF1-F4209533C94C}"/>
    <cellStyle name="Вычисление 3 2 11" xfId="34464" xr:uid="{649D51B1-A7BF-4384-AAA2-A37130ABB55C}"/>
    <cellStyle name="Вычисление 3 2 2" xfId="2790" xr:uid="{A91EA3CA-8E25-4380-A768-CDB40F68E713}"/>
    <cellStyle name="Вычисление 3 2 2 2" xfId="5113" xr:uid="{17326B66-3418-4220-A421-4BC41D150325}"/>
    <cellStyle name="Вычисление 3 2 2 2 2" xfId="8086" xr:uid="{500C93F0-7823-4A27-AB90-F5AABAE77B72}"/>
    <cellStyle name="Вычисление 3 2 2 2 2 2" xfId="10757" xr:uid="{7F779161-ED19-494D-ACE1-4673B6B36000}"/>
    <cellStyle name="Вычисление 3 2 2 2 2 2 2" xfId="27595" xr:uid="{51E222CD-D3C9-49B1-9192-C0E66F7A773F}"/>
    <cellStyle name="Вычисление 3 2 2 2 2 2 3" xfId="40738" xr:uid="{FDA746F1-AEED-48DA-B38A-011652CD1414}"/>
    <cellStyle name="Вычисление 3 2 2 2 2 3" xfId="25597" xr:uid="{17776F81-04E1-4A6C-AF05-6DD53AD19778}"/>
    <cellStyle name="Вычисление 3 2 2 2 2 4" xfId="38673" xr:uid="{A07E1B88-F039-4388-914E-50AB1BBA1670}"/>
    <cellStyle name="Вычисление 3 2 2 2 3" xfId="13405" xr:uid="{81821E51-0665-480C-B5AC-042DDA7FC75A}"/>
    <cellStyle name="Вычисление 3 2 2 2 3 2" xfId="29874" xr:uid="{6B95C5BF-1618-49D0-BA71-F3DFB536149B}"/>
    <cellStyle name="Вычисление 3 2 2 2 3 3" xfId="43209" xr:uid="{477F85E3-F4CB-4EC8-BB5F-893CE2135D9C}"/>
    <cellStyle name="Вычисление 3 2 2 2 4" xfId="22837" xr:uid="{825B51A7-3C3A-4AB9-A3EE-6D77F70541CE}"/>
    <cellStyle name="Вычисление 3 2 2 2 5" xfId="35906" xr:uid="{53B09713-BD40-4E3B-AB7D-90A79157C936}"/>
    <cellStyle name="Вычисление 3 2 2 3" xfId="6453" xr:uid="{DF3C5A66-DD7E-46D2-8AA0-02855429F322}"/>
    <cellStyle name="Вычисление 3 2 2 3 2" xfId="16237" xr:uid="{0667D526-32CA-498A-9E6F-F03142509A25}"/>
    <cellStyle name="Вычисление 3 2 2 3 2 2" xfId="32273" xr:uid="{B899F7F4-B9B4-48ED-B85A-C0F22AD63D89}"/>
    <cellStyle name="Вычисление 3 2 2 3 2 3" xfId="45801" xr:uid="{D00C3AA2-C3B6-41E4-8FA8-DA200717EA58}"/>
    <cellStyle name="Вычисление 3 2 2 3 3" xfId="24088" xr:uid="{649DD184-1A6E-49B0-8F30-90C30B36AD6F}"/>
    <cellStyle name="Вычисление 3 2 2 3 4" xfId="37169" xr:uid="{3B3F0377-3AD5-4643-BB12-806EA76A0061}"/>
    <cellStyle name="Вычисление 3 2 2 4" xfId="12161" xr:uid="{120394C8-01B6-459B-839E-85EF7588AE93}"/>
    <cellStyle name="Вычисление 3 2 2 4 2" xfId="28859" xr:uid="{24F3F805-832E-4C91-92E5-F9E40FF53FE7}"/>
    <cellStyle name="Вычисление 3 2 2 4 3" xfId="42081" xr:uid="{765E2C0C-A90F-42FA-885A-55540B16FA56}"/>
    <cellStyle name="Вычисление 3 2 2 5" xfId="20840" xr:uid="{A2B6EE2E-7105-4C02-A135-5B8901BD2CFF}"/>
    <cellStyle name="Вычисление 3 2 2 6" xfId="33863" xr:uid="{4801484B-5E74-4E26-BFE1-0F9948AC3F6C}"/>
    <cellStyle name="Вычисление 3 2 3" xfId="4139" xr:uid="{1F040FD5-77FB-4F6B-8243-A7D79E8292EF}"/>
    <cellStyle name="Вычисление 3 2 3 2" xfId="5208" xr:uid="{006F821B-F662-47E6-8764-FFF17CE34E7F}"/>
    <cellStyle name="Вычисление 3 2 3 2 2" xfId="9191" xr:uid="{C4603726-483A-46BF-92B4-7BF1C0AC627C}"/>
    <cellStyle name="Вычисление 3 2 3 2 2 2" xfId="12576" xr:uid="{79AC8958-9700-4E24-800D-F78C7543B690}"/>
    <cellStyle name="Вычисление 3 2 3 2 2 2 2" xfId="29193" xr:uid="{F08C857D-AB4F-4D51-B1C3-433756D190BB}"/>
    <cellStyle name="Вычисление 3 2 3 2 2 2 3" xfId="42455" xr:uid="{29D8CE8F-7E55-4877-AE8A-5FBEC43AD2CE}"/>
    <cellStyle name="Вычисление 3 2 3 2 2 3" xfId="26669" xr:uid="{643DD938-5B39-46E3-B6C7-59860B92536A}"/>
    <cellStyle name="Вычисление 3 2 3 2 2 4" xfId="39745" xr:uid="{863CBD5F-6F2E-4076-AF4C-99A735BC879E}"/>
    <cellStyle name="Вычисление 3 2 3 2 3" xfId="16200" xr:uid="{17DB5CB8-137D-4563-80BA-9F4142C1DC67}"/>
    <cellStyle name="Вычисление 3 2 3 2 3 2" xfId="32244" xr:uid="{BFE06BCE-BD0F-41F2-9529-0478E8C9B5E3}"/>
    <cellStyle name="Вычисление 3 2 3 2 3 3" xfId="45768" xr:uid="{D80E76C1-61DD-4BEF-98C8-E18C5725FB4A}"/>
    <cellStyle name="Вычисление 3 2 3 2 4" xfId="22883" xr:uid="{6B0C829C-047F-4601-99BD-C5B4D08339EC}"/>
    <cellStyle name="Вычисление 3 2 3 2 5" xfId="35952" xr:uid="{BDCD3A0F-8A2C-44BC-A9FE-8AC00062705C}"/>
    <cellStyle name="Вычисление 3 2 3 3" xfId="7703" xr:uid="{30621706-B762-4912-B903-BAD48925932C}"/>
    <cellStyle name="Вычисление 3 2 3 3 2" xfId="15996" xr:uid="{EECFB27D-E832-41AE-8406-72D41FC22ACE}"/>
    <cellStyle name="Вычисление 3 2 3 3 2 2" xfId="32067" xr:uid="{6958EE37-C18A-44CC-804F-4F290476E95D}"/>
    <cellStyle name="Вычисление 3 2 3 3 2 3" xfId="45586" xr:uid="{65E4C9EF-5D2D-4687-B365-90557D0EB81D}"/>
    <cellStyle name="Вычисление 3 2 3 3 3" xfId="25228" xr:uid="{9F661C53-5683-402C-8E4C-2F2F339D80CA}"/>
    <cellStyle name="Вычисление 3 2 3 3 4" xfId="38304" xr:uid="{1586CA7D-01E8-4AA9-8391-07FFCE646632}"/>
    <cellStyle name="Вычисление 3 2 3 4" xfId="11226" xr:uid="{2B865277-65FC-4DC7-9829-3CDFDBB273BA}"/>
    <cellStyle name="Вычисление 3 2 3 4 2" xfId="28020" xr:uid="{D881086E-0678-42BC-97ED-CD2EEAB618A3}"/>
    <cellStyle name="Вычисление 3 2 3 4 3" xfId="41202" xr:uid="{8D633615-D1C9-4893-8704-D85D90B8741C}"/>
    <cellStyle name="Вычисление 3 2 3 5" xfId="21969" xr:uid="{D5E0C051-99E8-4680-80D7-04BF5E245377}"/>
    <cellStyle name="Вычисление 3 2 3 6" xfId="35018" xr:uid="{DF782A4F-691C-4DC6-9128-13465ED1BA4F}"/>
    <cellStyle name="Вычисление 3 2 4" xfId="2628" xr:uid="{A6EE7FCE-EB77-4BB6-AC5A-C4D209A5C863}"/>
    <cellStyle name="Вычисление 3 2 4 2" xfId="5057" xr:uid="{81EE5738-2589-4EAD-8374-9A386B2BD9E1}"/>
    <cellStyle name="Вычисление 3 2 4 2 2" xfId="7925" xr:uid="{E7344F4B-665F-4085-9860-1077D4DE1FDF}"/>
    <cellStyle name="Вычисление 3 2 4 2 2 2" xfId="13065" xr:uid="{1F445ED8-E9FB-4829-A22F-D431A6A6D926}"/>
    <cellStyle name="Вычисление 3 2 4 2 2 2 2" xfId="29590" xr:uid="{A08BF7A8-9D54-47FF-912A-2065A299C63F}"/>
    <cellStyle name="Вычисление 3 2 4 2 2 2 3" xfId="42895" xr:uid="{732F0FB3-0178-4219-BE50-CEC12DB41B93}"/>
    <cellStyle name="Вычисление 3 2 4 2 2 3" xfId="25441" xr:uid="{79498730-5B13-416E-9EE8-20C4537DF945}"/>
    <cellStyle name="Вычисление 3 2 4 2 2 4" xfId="38517" xr:uid="{38B8F9E8-4A64-4567-85C2-9598FCC000E6}"/>
    <cellStyle name="Вычисление 3 2 4 2 3" xfId="14010" xr:uid="{8433BD01-D0D8-49DF-8380-57CD3D9A203E}"/>
    <cellStyle name="Вычисление 3 2 4 2 3 2" xfId="30392" xr:uid="{99B1488B-51BE-4E18-9285-E5AB25E26741}"/>
    <cellStyle name="Вычисление 3 2 4 2 3 3" xfId="43771" xr:uid="{D6A09896-D6E3-49D1-B4A9-841D6016DC7E}"/>
    <cellStyle name="Вычисление 3 2 4 2 4" xfId="22806" xr:uid="{CBDD4586-AD53-46E6-A763-D5FA52E770EA}"/>
    <cellStyle name="Вычисление 3 2 4 2 5" xfId="35871" xr:uid="{6BD39787-2E9A-453E-A96A-1914C9ACE0BD}"/>
    <cellStyle name="Вычисление 3 2 4 3" xfId="6292" xr:uid="{853D09AD-35E8-4F2A-B088-1C6ED769D186}"/>
    <cellStyle name="Вычисление 3 2 4 3 2" xfId="14437" xr:uid="{3B7E68DE-477B-4969-8E9E-6932A9C8D891}"/>
    <cellStyle name="Вычисление 3 2 4 3 2 2" xfId="30767" xr:uid="{6AB1D644-44F9-419A-A45D-BF49062A8396}"/>
    <cellStyle name="Вычисление 3 2 4 3 2 3" xfId="44167" xr:uid="{8CF7BDAA-BE07-4E2A-86CF-7D13500FCFD1}"/>
    <cellStyle name="Вычисление 3 2 4 3 3" xfId="23932" xr:uid="{9E93F0EA-3A10-4873-92AD-E7E0C34EA079}"/>
    <cellStyle name="Вычисление 3 2 4 3 4" xfId="37013" xr:uid="{A989773E-2706-46E6-B4D8-5915EEBAE581}"/>
    <cellStyle name="Вычисление 3 2 4 4" xfId="12903" xr:uid="{ABDE1C99-BC15-428E-8702-259C4BDFCE8D}"/>
    <cellStyle name="Вычисление 3 2 4 4 2" xfId="29454" xr:uid="{6EC0E69C-6C55-4AF9-A080-93E9ECE24C00}"/>
    <cellStyle name="Вычисление 3 2 4 4 3" xfId="42746" xr:uid="{CBAFB274-0D11-43B5-BF94-990A425B8640}"/>
    <cellStyle name="Вычисление 3 2 4 5" xfId="20684" xr:uid="{9FA49D99-7B1B-4992-B92B-F54B43F67B19}"/>
    <cellStyle name="Вычисление 3 2 4 6" xfId="33707" xr:uid="{1E18C8A6-B0E2-4B3D-9A11-3DAE0B7AECEE}"/>
    <cellStyle name="Вычисление 3 2 5" xfId="4197" xr:uid="{0A45541D-5001-4FFC-9B93-4BD75A654515}"/>
    <cellStyle name="Вычисление 3 2 5 2" xfId="5231" xr:uid="{29E5025B-0588-4583-B630-FF7A2E2079D5}"/>
    <cellStyle name="Вычисление 3 2 5 2 2" xfId="9249" xr:uid="{F99DFD37-23B1-4D6F-89B4-CCDDA8910DE3}"/>
    <cellStyle name="Вычисление 3 2 5 2 2 2" xfId="15471" xr:uid="{C4BD7CD3-6375-47BD-82AF-0A0554A80DDC}"/>
    <cellStyle name="Вычисление 3 2 5 2 2 2 2" xfId="31613" xr:uid="{E1C554D6-E8EC-4927-B9D7-5EA120CB9D51}"/>
    <cellStyle name="Вычисление 3 2 5 2 2 2 3" xfId="45110" xr:uid="{D69DAF05-4F2F-4092-A1B6-30635E761984}"/>
    <cellStyle name="Вычисление 3 2 5 2 2 3" xfId="26724" xr:uid="{2B292640-2819-4C02-89E0-98D552D69D08}"/>
    <cellStyle name="Вычисление 3 2 5 2 2 4" xfId="39800" xr:uid="{A15D530B-69D4-4A3F-9E9C-7F974D6C3B58}"/>
    <cellStyle name="Вычисление 3 2 5 2 3" xfId="11408" xr:uid="{C62F2848-1DD7-4DE5-AEA8-8CF1ACA3DAE9}"/>
    <cellStyle name="Вычисление 3 2 5 2 3 2" xfId="28178" xr:uid="{C869879A-B8FF-4D6B-888A-4B5790723511}"/>
    <cellStyle name="Вычисление 3 2 5 2 3 3" xfId="41369" xr:uid="{99FF0CF0-1107-4681-952B-CAAB97DEC172}"/>
    <cellStyle name="Вычисление 3 2 5 2 4" xfId="22898" xr:uid="{E6EFBE0A-B1B8-4E9B-93F0-C47B8C6B3D03}"/>
    <cellStyle name="Вычисление 3 2 5 2 5" xfId="35971" xr:uid="{92776BE5-2C96-42F1-AE11-39B304003670}"/>
    <cellStyle name="Вычисление 3 2 5 3" xfId="7761" xr:uid="{298711A1-0C57-4688-9BC1-D5D0E8BE61E8}"/>
    <cellStyle name="Вычисление 3 2 5 3 2" xfId="17341" xr:uid="{FA5E46CD-9F51-44D7-8197-84E0C637A6E7}"/>
    <cellStyle name="Вычисление 3 2 5 3 2 2" xfId="33095" xr:uid="{1E65F7C6-8214-4C61-86C4-6B0CE424C59F}"/>
    <cellStyle name="Вычисление 3 2 5 3 2 3" xfId="46871" xr:uid="{C5F299A9-248B-441D-A9B3-F0EB78755F60}"/>
    <cellStyle name="Вычисление 3 2 5 3 3" xfId="25283" xr:uid="{2D1C2549-8F7D-4F95-BF5E-2EF0F9E2E518}"/>
    <cellStyle name="Вычисление 3 2 5 3 4" xfId="38359" xr:uid="{520127C1-7836-4D36-9124-916DB4AD7255}"/>
    <cellStyle name="Вычисление 3 2 5 4" xfId="13425" xr:uid="{FFDD5EDA-BCC3-4F42-A457-8C53AC2A11A4}"/>
    <cellStyle name="Вычисление 3 2 5 4 2" xfId="29892" xr:uid="{3EED01BA-6B27-4F6F-92E2-33B7D7930CC1}"/>
    <cellStyle name="Вычисление 3 2 5 4 3" xfId="43229" xr:uid="{60C224A0-42D9-451E-8228-63E319A9BDED}"/>
    <cellStyle name="Вычисление 3 2 5 5" xfId="22024" xr:uid="{38134D89-0355-4621-80AE-26CE09798A23}"/>
    <cellStyle name="Вычисление 3 2 5 6" xfId="35073" xr:uid="{83EC8DF6-BD07-45FE-8448-62C5F4DB0EA5}"/>
    <cellStyle name="Вычисление 3 2 6" xfId="4450" xr:uid="{789A59BD-798C-43AC-93D1-00076DED97DC}"/>
    <cellStyle name="Вычисление 3 2 6 2" xfId="7090" xr:uid="{1B59F38B-7B6B-4F36-8BD3-45145AC7B9A1}"/>
    <cellStyle name="Вычисление 3 2 6 2 2" xfId="11901" xr:uid="{B1056757-0849-4F69-A4B0-FB0083751DCF}"/>
    <cellStyle name="Вычисление 3 2 6 2 2 2" xfId="28616" xr:uid="{49A755DC-C850-4E9D-825B-3D2F9DF6FD4C}"/>
    <cellStyle name="Вычисление 3 2 6 2 2 3" xfId="41832" xr:uid="{5E7FA3FF-5E7C-4A48-925D-AAD1897F87C6}"/>
    <cellStyle name="Вычисление 3 2 6 2 3" xfId="24689" xr:uid="{C87DBA78-805A-4607-A168-8F4FE7322EA1}"/>
    <cellStyle name="Вычисление 3 2 6 2 4" xfId="37770" xr:uid="{7173D326-C6FC-4561-B507-649A507CE153}"/>
    <cellStyle name="Вычисление 3 2 6 3" xfId="17154" xr:uid="{8DD8478A-13B3-4B4A-BF6F-4634963AC6DA}"/>
    <cellStyle name="Вычисление 3 2 6 3 2" xfId="32917" xr:uid="{EB65FD22-8EC0-48B0-83EF-ADA6EC25E94F}"/>
    <cellStyle name="Вычисление 3 2 6 3 3" xfId="46689" xr:uid="{61D12AB0-09A4-4E6D-8865-810586B1F56B}"/>
    <cellStyle name="Вычисление 3 2 6 4" xfId="22268" xr:uid="{D3AA1641-84D8-4A7F-B869-AD49FEA54F1E}"/>
    <cellStyle name="Вычисление 3 2 6 5" xfId="35317" xr:uid="{6AF8180D-E87A-4363-91CD-47C4AA40FCD1}"/>
    <cellStyle name="Вычисление 3 2 7" xfId="5503" xr:uid="{8CD4BE3B-69DF-4AB2-9817-7F15EBC3CE1A}"/>
    <cellStyle name="Вычисление 3 2 7 2" xfId="8685" xr:uid="{45EA7EBA-2899-4F33-B523-504F07548602}"/>
    <cellStyle name="Вычисление 3 2 7 2 2" xfId="11055" xr:uid="{EA7459A3-0D48-4C07-A6CF-E46CBC2754A2}"/>
    <cellStyle name="Вычисление 3 2 7 2 2 2" xfId="27858" xr:uid="{67B3007B-E095-446C-A69F-0F14DCEB3D64}"/>
    <cellStyle name="Вычисление 3 2 7 2 2 3" xfId="41034" xr:uid="{B2F94610-E3E6-4D14-A451-34F7460D792D}"/>
    <cellStyle name="Вычисление 3 2 7 2 3" xfId="26178" xr:uid="{FA1E175C-DDC7-4C8B-8C51-213E74BDEC54}"/>
    <cellStyle name="Вычисление 3 2 7 2 4" xfId="39254" xr:uid="{0704C941-FDE1-44AD-B495-48163FAED8DE}"/>
    <cellStyle name="Вычисление 3 2 7 3" xfId="12473" xr:uid="{0C77B7A5-7E1B-4C3E-BFF7-E81B89FAC14D}"/>
    <cellStyle name="Вычисление 3 2 7 3 2" xfId="29112" xr:uid="{07163D56-BDA5-48F0-997F-32685D46202B}"/>
    <cellStyle name="Вычисление 3 2 7 3 3" xfId="42365" xr:uid="{2AC16E50-0814-47C1-A141-0903FA205B9B}"/>
    <cellStyle name="Вычисление 3 2 7 4" xfId="23150" xr:uid="{6B561D61-DE3F-4C98-B83F-9F2FDB5D60E8}"/>
    <cellStyle name="Вычисление 3 2 7 5" xfId="36231" xr:uid="{90687B75-87CC-4808-A055-2EEAF6539F3D}"/>
    <cellStyle name="Вычисление 3 2 8" xfId="12515" xr:uid="{DF98C1F4-76C4-4BDB-958F-6F8D00005376}"/>
    <cellStyle name="Вычисление 3 2 8 2" xfId="29147" xr:uid="{77BAF92B-1A7F-4A80-B84B-CC76C7508FA0}"/>
    <cellStyle name="Вычисление 3 2 8 3" xfId="42402" xr:uid="{86D8C089-9178-4F98-92D8-DFFB1336263B}"/>
    <cellStyle name="Вычисление 3 2 9" xfId="17747" xr:uid="{96BAAB1B-438E-414D-AD43-F44F8ADB2BAA}"/>
    <cellStyle name="Вычисление 3 2 9 2" xfId="33469" xr:uid="{919AA9BC-01DA-4573-80CF-9C2196619316}"/>
    <cellStyle name="Вычисление 3 2 9 3" xfId="47252" xr:uid="{C6818966-AE5F-4F7F-B331-545F5A253B43}"/>
    <cellStyle name="Вычисление 3 20" xfId="3156" xr:uid="{D9D40C30-8AF6-46F4-A1D5-C6CDFB0AFBE2}"/>
    <cellStyle name="Вычисление 3 20 2" xfId="4994" xr:uid="{85DC4CFC-989A-4C3F-BF53-342735BC7F46}"/>
    <cellStyle name="Вычисление 3 20 2 2" xfId="8448" xr:uid="{FF262357-0322-4C6C-85F2-B2C7FCB363F8}"/>
    <cellStyle name="Вычисление 3 20 2 2 2" xfId="17415" xr:uid="{C6E900E8-5EE3-494C-93FC-AA676FD1E103}"/>
    <cellStyle name="Вычисление 3 20 2 2 2 2" xfId="33169" xr:uid="{A7F137D1-3596-4493-8A9F-562D522EAF40}"/>
    <cellStyle name="Вычисление 3 20 2 2 2 3" xfId="46945" xr:uid="{2DCDC66B-580F-48AA-BBAE-C868522ABAA0}"/>
    <cellStyle name="Вычисление 3 20 2 2 3" xfId="25950" xr:uid="{AEA2292D-5070-4507-B93F-1A90FB0C66DD}"/>
    <cellStyle name="Вычисление 3 20 2 2 4" xfId="39026" xr:uid="{40B5A4EF-61CB-4E26-BD3C-F7A42B4DE337}"/>
    <cellStyle name="Вычисление 3 20 2 3" xfId="15076" xr:uid="{09B91279-CE79-47B1-8A8C-961DB7492A76}"/>
    <cellStyle name="Вычисление 3 20 2 3 2" xfId="31285" xr:uid="{4A2AF6EB-CE8B-47FA-A967-E663BE70EBFC}"/>
    <cellStyle name="Вычисление 3 20 2 3 3" xfId="44743" xr:uid="{BB9DFDAA-E46D-4165-A56F-CE544A4680D0}"/>
    <cellStyle name="Вычисление 3 20 2 4" xfId="22764" xr:uid="{C52D9F57-E5CA-413A-A474-497AF43ECDFB}"/>
    <cellStyle name="Вычисление 3 20 2 5" xfId="35823" xr:uid="{5C7F708B-1E97-4DB4-A1FD-8D5E44D9B88F}"/>
    <cellStyle name="Вычисление 3 20 3" xfId="6815" xr:uid="{32AF3DBA-3225-4064-95A7-652C3883EB93}"/>
    <cellStyle name="Вычисление 3 20 3 2" xfId="17510" xr:uid="{6EB6FB14-CD63-40AC-80FB-04AD759DB57E}"/>
    <cellStyle name="Вычисление 3 20 3 2 2" xfId="33248" xr:uid="{79D6C906-57CD-44AA-98C7-253E2D2832DE}"/>
    <cellStyle name="Вычисление 3 20 3 2 3" xfId="47035" xr:uid="{666B1D49-88CA-4FAF-9B86-36AB569D1FA4}"/>
    <cellStyle name="Вычисление 3 20 3 3" xfId="24441" xr:uid="{DCAD3024-4306-433F-A384-EB700C494E84}"/>
    <cellStyle name="Вычисление 3 20 3 4" xfId="37522" xr:uid="{E996B21D-7C90-4606-9B70-21E5F6964FBA}"/>
    <cellStyle name="Вычисление 3 20 4" xfId="11598" xr:uid="{68DACDFB-51D6-41DD-AEA9-C30B4A9033A1}"/>
    <cellStyle name="Вычисление 3 20 4 2" xfId="28347" xr:uid="{1224DF1C-D5C5-4CC9-9C7C-6BE610B33C1E}"/>
    <cellStyle name="Вычисление 3 20 4 3" xfId="41548" xr:uid="{5B02E05A-914B-4ACE-B6A9-633C22ADE420}"/>
    <cellStyle name="Вычисление 3 20 5" xfId="21193" xr:uid="{7B4FC0E3-A402-4DC6-9F96-473E6BBCE574}"/>
    <cellStyle name="Вычисление 3 20 6" xfId="34216" xr:uid="{5088A65E-4569-4018-8D96-AF17F61FCC95}"/>
    <cellStyle name="Вычисление 3 21" xfId="2648" xr:uid="{DA6BC610-5758-4DA4-8FAA-9E59AF24185F}"/>
    <cellStyle name="Вычисление 3 21 2" xfId="7945" xr:uid="{4119584F-A79D-435E-B3EE-34549FAEA831}"/>
    <cellStyle name="Вычисление 3 21 2 2" xfId="17147" xr:uid="{1A2B9B4E-E90C-4800-8EE4-32B8206C58F9}"/>
    <cellStyle name="Вычисление 3 21 2 2 2" xfId="32910" xr:uid="{3E7AD29C-5B88-4829-8B3B-DF0FC2902CA4}"/>
    <cellStyle name="Вычисление 3 21 2 2 3" xfId="46682" xr:uid="{E8B58BED-2620-4E5B-9A71-DFDEAD88FCF5}"/>
    <cellStyle name="Вычисление 3 21 2 3" xfId="25461" xr:uid="{E6C16830-EEDA-40F0-8579-3AA59728F67F}"/>
    <cellStyle name="Вычисление 3 21 2 4" xfId="38537" xr:uid="{9E15A1E9-F334-4902-86E2-FD9764BC61D5}"/>
    <cellStyle name="Вычисление 3 21 3" xfId="6312" xr:uid="{9D2ED948-77C8-4E28-A8D7-F4C1F222B7AF}"/>
    <cellStyle name="Вычисление 3 21 3 2" xfId="13155" xr:uid="{EA89C5D9-52EB-46E0-AFE7-8D5A39E704C6}"/>
    <cellStyle name="Вычисление 3 21 3 2 2" xfId="29668" xr:uid="{116509B3-5BDC-47FC-BF4D-CA3E913E0471}"/>
    <cellStyle name="Вычисление 3 21 3 2 3" xfId="42980" xr:uid="{B522CEDC-D4EF-4739-893A-A2EA165A7C1D}"/>
    <cellStyle name="Вычисление 3 21 3 3" xfId="23952" xr:uid="{83832736-252C-4901-875A-F4E0AE67E61F}"/>
    <cellStyle name="Вычисление 3 21 3 4" xfId="37033" xr:uid="{2E24B6F1-6EBF-4EC0-84AB-1AF5EEDA379C}"/>
    <cellStyle name="Вычисление 3 21 4" xfId="12626" xr:uid="{D01C56DA-AA78-4840-9F1E-AAF71D9A77F3}"/>
    <cellStyle name="Вычисление 3 21 4 2" xfId="29235" xr:uid="{4A936CDA-93C7-47CE-85CE-4112CCC3A0D4}"/>
    <cellStyle name="Вычисление 3 21 4 3" xfId="42500" xr:uid="{0AABA3D1-111E-4C5C-9C66-448195702FE7}"/>
    <cellStyle name="Вычисление 3 21 5" xfId="20704" xr:uid="{0D3395A0-3DD1-4A24-A8F4-54B7AC665851}"/>
    <cellStyle name="Вычисление 3 21 6" xfId="33727" xr:uid="{22AE04B6-165B-4471-992C-4213F425D685}"/>
    <cellStyle name="Вычисление 3 22" xfId="4073" xr:uid="{18E5A8B1-9C14-463B-856B-DF5613ED0879}"/>
    <cellStyle name="Вычисление 3 22 2" xfId="9125" xr:uid="{E2A0159E-41E3-4780-84D0-AD698D1239E9}"/>
    <cellStyle name="Вычисление 3 22 2 2" xfId="13140" xr:uid="{A2731DC4-DC15-41F3-96B5-1785C1933B22}"/>
    <cellStyle name="Вычисление 3 22 2 2 2" xfId="29654" xr:uid="{AB4528AA-EA77-42CC-BEB4-C21E036C6ECB}"/>
    <cellStyle name="Вычисление 3 22 2 2 3" xfId="42966" xr:uid="{BC638137-B1B6-4A43-B399-33C15AE4C6E4}"/>
    <cellStyle name="Вычисление 3 22 2 3" xfId="26606" xr:uid="{2D9085AA-8510-4833-A957-340764BC6B31}"/>
    <cellStyle name="Вычисление 3 22 2 4" xfId="39682" xr:uid="{D49D4DD5-2314-4D59-9041-0D812F4B8F7E}"/>
    <cellStyle name="Вычисление 3 22 3" xfId="7637" xr:uid="{47CBB23F-EA9E-4FE8-AEC9-55B7E18715F5}"/>
    <cellStyle name="Вычисление 3 22 3 2" xfId="15032" xr:uid="{651BCD00-E3FD-40F0-91F5-ED0C582885C6}"/>
    <cellStyle name="Вычисление 3 22 3 2 2" xfId="31252" xr:uid="{8F8E1156-E55F-4E2E-BB29-9ABF51DF3ECC}"/>
    <cellStyle name="Вычисление 3 22 3 2 3" xfId="44707" xr:uid="{A7CEDA7C-D3CA-4474-9FD1-8A12AAA2AC0E}"/>
    <cellStyle name="Вычисление 3 22 3 3" xfId="25165" xr:uid="{2114FE9B-FDDB-44DA-9972-00CD88F72066}"/>
    <cellStyle name="Вычисление 3 22 3 4" xfId="38241" xr:uid="{9DD1683E-1C41-46D5-B362-2765A1197E7F}"/>
    <cellStyle name="Вычисление 3 22 4" xfId="14814" xr:uid="{E97DDADF-8365-415F-A5E5-E65F2199206F}"/>
    <cellStyle name="Вычисление 3 22 4 2" xfId="31076" xr:uid="{6CDAAE09-BE7A-4E36-907F-08765B6406E5}"/>
    <cellStyle name="Вычисление 3 22 4 3" xfId="44511" xr:uid="{46417CBA-39D1-41B4-8566-87C33B828077}"/>
    <cellStyle name="Вычисление 3 22 5" xfId="21906" xr:uid="{B91E37B8-6B5D-4710-9D46-0D4F4EDB44B7}"/>
    <cellStyle name="Вычисление 3 22 6" xfId="34955" xr:uid="{4DACFCB1-9577-40B7-8B76-85516FD7C602}"/>
    <cellStyle name="Вычисление 3 23" xfId="2557" xr:uid="{B3DC4FD6-ABCE-442A-9D46-9E1AC3F844C4}"/>
    <cellStyle name="Вычисление 3 23 2" xfId="7855" xr:uid="{EC9F807B-1E2C-4A62-A9EA-B2EF806DBC14}"/>
    <cellStyle name="Вычисление 3 23 2 2" xfId="17491" xr:uid="{C3FB4949-5334-4F22-BE7E-07FB292213D7}"/>
    <cellStyle name="Вычисление 3 23 2 2 2" xfId="33234" xr:uid="{D75ED1EE-1F3D-4AAB-ADEF-287B48EB28FD}"/>
    <cellStyle name="Вычисление 3 23 2 2 3" xfId="47020" xr:uid="{01D30E3D-C7D4-4414-8704-F7F19C7B9954}"/>
    <cellStyle name="Вычисление 3 23 2 3" xfId="25374" xr:uid="{A99E01B8-FB42-4298-B6CB-808F8FFCB3F7}"/>
    <cellStyle name="Вычисление 3 23 2 4" xfId="38450" xr:uid="{F5F1B55D-88B8-404D-9DE9-BE6BFFC3A5D5}"/>
    <cellStyle name="Вычисление 3 23 3" xfId="6222" xr:uid="{91D173C9-1075-406F-B135-AB216A9A22F0}"/>
    <cellStyle name="Вычисление 3 23 3 2" xfId="16359" xr:uid="{4423E40E-A13F-4B5F-9895-582BC54567C2}"/>
    <cellStyle name="Вычисление 3 23 3 2 2" xfId="32380" xr:uid="{04AC499D-0017-41D8-8E50-1321945ED089}"/>
    <cellStyle name="Вычисление 3 23 3 2 3" xfId="45913" xr:uid="{4E2AB48A-0A65-434F-81FF-E399DFAFF7F6}"/>
    <cellStyle name="Вычисление 3 23 3 3" xfId="23865" xr:uid="{8B6D0DC0-75D3-4CDB-8A4B-C9881EEE8508}"/>
    <cellStyle name="Вычисление 3 23 3 4" xfId="36946" xr:uid="{4FA71458-F687-4673-A4FA-8163A1D0C451}"/>
    <cellStyle name="Вычисление 3 23 4" xfId="12552" xr:uid="{033DC399-49C9-40A3-989B-A9457ADCFA13}"/>
    <cellStyle name="Вычисление 3 23 4 2" xfId="29174" xr:uid="{7D9A6DE0-C503-4E53-B613-D3A1FE7A95D2}"/>
    <cellStyle name="Вычисление 3 23 4 3" xfId="42433" xr:uid="{835D1975-EA53-44BC-808D-A67AF0BEAC17}"/>
    <cellStyle name="Вычисление 3 23 5" xfId="20617" xr:uid="{F4545939-8CE7-4031-9354-A225764E4606}"/>
    <cellStyle name="Вычисление 3 23 6" xfId="33640" xr:uid="{7A63E5DA-FF9E-4FC8-BD9A-2D2133516D9C}"/>
    <cellStyle name="Вычисление 3 24" xfId="4199" xr:uid="{9F14F1E0-9CFD-43C6-BFCB-98014D9C5DB3}"/>
    <cellStyle name="Вычисление 3 24 2" xfId="9251" xr:uid="{E52E17E6-DE39-494F-AF3C-DB417C1578FC}"/>
    <cellStyle name="Вычисление 3 24 2 2" xfId="15146" xr:uid="{F6741B0F-2BA4-4A13-9BDC-6FA7A5C522A0}"/>
    <cellStyle name="Вычисление 3 24 2 2 2" xfId="31345" xr:uid="{8BAF23E0-D557-497C-8853-6E798518DB4B}"/>
    <cellStyle name="Вычисление 3 24 2 2 3" xfId="44809" xr:uid="{CC72DC02-9D2E-41C9-B298-2938AF0DBED1}"/>
    <cellStyle name="Вычисление 3 24 2 3" xfId="26726" xr:uid="{9D89403D-55FF-43B2-AA4C-F049356B5D9C}"/>
    <cellStyle name="Вычисление 3 24 2 4" xfId="39802" xr:uid="{F7D428A6-CE68-4531-98ED-9F4AD02B0500}"/>
    <cellStyle name="Вычисление 3 24 3" xfId="7763" xr:uid="{13F08667-FBE3-4DDB-9621-FBC82F725C4D}"/>
    <cellStyle name="Вычисление 3 24 3 2" xfId="12122" xr:uid="{D0FFC001-9D49-4A6F-B29F-95817D170536}"/>
    <cellStyle name="Вычисление 3 24 3 2 2" xfId="28822" xr:uid="{5CB8E981-C788-4ACC-9B0F-51AEF863EDA6}"/>
    <cellStyle name="Вычисление 3 24 3 2 3" xfId="42042" xr:uid="{722FCAEF-D4EC-4C10-923D-BCF150FF2953}"/>
    <cellStyle name="Вычисление 3 24 3 3" xfId="25285" xr:uid="{4D47555E-99A0-4055-9C59-55FAA3CE1657}"/>
    <cellStyle name="Вычисление 3 24 3 4" xfId="38361" xr:uid="{4F2378FD-EDEE-4639-A652-4A7A20BDE358}"/>
    <cellStyle name="Вычисление 3 24 4" xfId="15502" xr:uid="{85D83106-16A1-48A1-9D9A-10E618A502AF}"/>
    <cellStyle name="Вычисление 3 24 4 2" xfId="31641" xr:uid="{612B01D6-EFA1-4716-B29C-C2A3A69DC15F}"/>
    <cellStyle name="Вычисление 3 24 4 3" xfId="45138" xr:uid="{B7BCE185-DBAF-4FB5-B95A-19153D03272A}"/>
    <cellStyle name="Вычисление 3 24 5" xfId="22026" xr:uid="{D7391A10-0005-4573-8102-52522F892959}"/>
    <cellStyle name="Вычисление 3 24 6" xfId="35075" xr:uid="{28BB9E39-DDD7-4E9F-BB75-824FB3648B5C}"/>
    <cellStyle name="Вычисление 3 25" xfId="4298" xr:uid="{D2750293-5649-41C0-ABCB-52A0ACD13D52}"/>
    <cellStyle name="Вычисление 3 25 2" xfId="6167" xr:uid="{651CA325-AF7B-4F11-8D98-5E670E986D13}"/>
    <cellStyle name="Вычисление 3 25 2 2" xfId="13249" xr:uid="{28D42580-58AF-47DD-BC40-900CFF17D353}"/>
    <cellStyle name="Вычисление 3 25 2 2 2" xfId="29743" xr:uid="{D2284A83-386D-43C6-985F-6845685261BC}"/>
    <cellStyle name="Вычисление 3 25 2 2 3" xfId="43067" xr:uid="{6007602E-F1D4-4B17-AD85-AA54BBBD2E76}"/>
    <cellStyle name="Вычисление 3 25 2 3" xfId="23812" xr:uid="{7C604AAE-778E-415C-8E72-16DE357D0BDE}"/>
    <cellStyle name="Вычисление 3 25 2 4" xfId="36893" xr:uid="{655E5252-9D96-4035-AAE5-6440F82322F6}"/>
    <cellStyle name="Вычисление 3 25 3" xfId="12128" xr:uid="{4C0984B7-CBD2-4147-BC54-B0F5F5F3AFEE}"/>
    <cellStyle name="Вычисление 3 25 3 2" xfId="28828" xr:uid="{F735A53D-5CC8-4349-8370-214D805BB490}"/>
    <cellStyle name="Вычисление 3 25 3 3" xfId="42048" xr:uid="{2707952C-9EBB-4F4F-BE69-87DC2E176895}"/>
    <cellStyle name="Вычисление 3 25 4" xfId="22119" xr:uid="{BF069055-A004-4EE1-B7BE-71815515C59C}"/>
    <cellStyle name="Вычисление 3 25 5" xfId="35168" xr:uid="{4E618E38-8980-4C35-B6FF-05DE08C0F48B}"/>
    <cellStyle name="Вычисление 3 26" xfId="5277" xr:uid="{0CCD72A8-F0AE-441E-9308-1DE6379B729E}"/>
    <cellStyle name="Вычисление 3 26 2" xfId="9710" xr:uid="{F9348EBE-3E18-4C3A-BCD3-C70C2E5318D5}"/>
    <cellStyle name="Вычисление 3 26 2 2" xfId="15210" xr:uid="{115929D1-4D35-4FCF-BE9C-07432A0D6337}"/>
    <cellStyle name="Вычисление 3 26 2 2 2" xfId="31391" xr:uid="{A94620D3-795A-4580-80F2-43B144E33200}"/>
    <cellStyle name="Вычисление 3 26 2 2 3" xfId="44863" xr:uid="{9A4FAE88-A497-4712-AEFD-1FCF98C3FEE2}"/>
    <cellStyle name="Вычисление 3 26 2 3" xfId="27010" xr:uid="{37A508B6-B082-4901-9382-FC255F6F52F0}"/>
    <cellStyle name="Вычисление 3 26 2 4" xfId="40126" xr:uid="{2E0D8EE4-F463-44EA-8F89-C002F790EEEC}"/>
    <cellStyle name="Вычисление 3 26 3" xfId="16598" xr:uid="{2A4C7733-07D1-4693-B30A-DBC5CF74E4C6}"/>
    <cellStyle name="Вычисление 3 26 3 2" xfId="32514" xr:uid="{EF0D5C0D-3AA7-4DC8-89A8-154F17D1B5F1}"/>
    <cellStyle name="Вычисление 3 26 3 3" xfId="46145" xr:uid="{774F52A4-CF4D-4199-9CBC-0957821A62B3}"/>
    <cellStyle name="Вычисление 3 26 4" xfId="22929" xr:uid="{21F9D9E0-B9BD-4E53-B3CC-AD9D71A38F36}"/>
    <cellStyle name="Вычисление 3 26 5" xfId="36007" xr:uid="{DC129986-3B47-4F00-93FC-82934C16BF9D}"/>
    <cellStyle name="Вычисление 3 27" xfId="10568" xr:uid="{80EF46C9-098C-4743-8D86-FD3A54CF334A}"/>
    <cellStyle name="Вычисление 3 27 2" xfId="17613" xr:uid="{1EFBAD43-9B93-4589-8B86-18F7FA4FBA51}"/>
    <cellStyle name="Вычисление 3 27 2 2" xfId="33348" xr:uid="{829C685D-9DBA-41AA-AB1B-8043DE78ED5B}"/>
    <cellStyle name="Вычисление 3 27 2 3" xfId="47138" xr:uid="{F0FA948A-FDC8-4F92-BB1D-C9A0D16D8490}"/>
    <cellStyle name="Вычисление 3 27 3" xfId="27427" xr:uid="{683E34C4-76CC-4759-AAD8-39506E10FB5C}"/>
    <cellStyle name="Вычисление 3 27 4" xfId="40549" xr:uid="{AA38624D-1D03-49BD-951A-56A88CEBE169}"/>
    <cellStyle name="Вычисление 3 28" xfId="11998" xr:uid="{899B62C6-D3A3-4604-AC17-156180EE7F14}"/>
    <cellStyle name="Вычисление 3 28 2" xfId="28704" xr:uid="{120971D9-FDA7-40B9-8185-C7843C0524F1}"/>
    <cellStyle name="Вычисление 3 28 3" xfId="41922" xr:uid="{8BA1AECD-1CDF-4C40-BA13-2F4B0043A54F}"/>
    <cellStyle name="Вычисление 3 29" xfId="16404" xr:uid="{E41899DD-E321-4FE4-8702-DD2889C58C83}"/>
    <cellStyle name="Вычисление 3 29 2" xfId="32420" xr:uid="{ACAA3570-01F6-4BD7-A3EB-B1AFB5D016FB}"/>
    <cellStyle name="Вычисление 3 29 3" xfId="45955" xr:uid="{E0E35FDF-35E3-44E6-8E58-7FB02F1F337E}"/>
    <cellStyle name="Вычисление 3 3" xfId="3335" xr:uid="{A355DEA5-3A60-4C0A-A74C-79AB9D514E50}"/>
    <cellStyle name="Вычисление 3 3 10" xfId="34381" xr:uid="{A790BF37-410C-495A-BD8D-F487C2F7968F}"/>
    <cellStyle name="Вычисление 3 3 2" xfId="2697" xr:uid="{BF468C79-F30E-4757-BA70-2921B118920A}"/>
    <cellStyle name="Вычисление 3 3 2 2" xfId="7993" xr:uid="{F16ADF91-CA3A-4BFF-A5F9-11B821CDB68F}"/>
    <cellStyle name="Вычисление 3 3 2 2 2" xfId="15543" xr:uid="{1D23FCE2-92BF-4250-8BDC-211E156F7572}"/>
    <cellStyle name="Вычисление 3 3 2 2 2 2" xfId="31677" xr:uid="{8DAFC0B2-8386-455F-9A2B-F26E6991741A}"/>
    <cellStyle name="Вычисление 3 3 2 2 2 3" xfId="45176" xr:uid="{A122B6BB-B289-401B-86A3-7B27BDDE887F}"/>
    <cellStyle name="Вычисление 3 3 2 2 3" xfId="25508" xr:uid="{B484D338-DA1B-4511-8086-5457096F9643}"/>
    <cellStyle name="Вычисление 3 3 2 2 4" xfId="38584" xr:uid="{C98F12D2-B532-404E-9314-D46B9C4DD2EC}"/>
    <cellStyle name="Вычисление 3 3 2 3" xfId="6360" xr:uid="{408F3A1F-6035-46A2-AA17-02D778EBF4AF}"/>
    <cellStyle name="Вычисление 3 3 2 3 2" xfId="13024" xr:uid="{C3F17F9E-D036-48C1-AA81-3AC3EFF8F484}"/>
    <cellStyle name="Вычисление 3 3 2 3 2 2" xfId="29556" xr:uid="{1970A629-1609-4550-8144-C253BC7A2BFE}"/>
    <cellStyle name="Вычисление 3 3 2 3 2 3" xfId="42858" xr:uid="{DE98C60E-BC9C-46E0-AB12-1173BE4DD203}"/>
    <cellStyle name="Вычисление 3 3 2 3 3" xfId="23999" xr:uid="{5A03E5AE-FB01-43C4-9555-8E89F935D24B}"/>
    <cellStyle name="Вычисление 3 3 2 3 4" xfId="37080" xr:uid="{2AA4048E-1DFE-4AFF-81CA-E2F72B25D192}"/>
    <cellStyle name="Вычисление 3 3 2 4" xfId="11295" xr:uid="{A5D1D237-E14E-425B-A694-7DC2F42DCB2C}"/>
    <cellStyle name="Вычисление 3 3 2 4 2" xfId="28079" xr:uid="{5635C0B2-79CE-4C1C-92BC-ADEF33F373C3}"/>
    <cellStyle name="Вычисление 3 3 2 4 3" xfId="41262" xr:uid="{11D8EFF4-7D39-4BAB-AB03-774086A66518}"/>
    <cellStyle name="Вычисление 3 3 2 5" xfId="20751" xr:uid="{AE8DE794-74B4-4E3C-A8C8-E260407A8450}"/>
    <cellStyle name="Вычисление 3 3 2 6" xfId="33774" xr:uid="{CEF4B79A-1B5C-42BA-BF21-05FA61295858}"/>
    <cellStyle name="Вычисление 3 3 3" xfId="4116" xr:uid="{F93F13EF-9318-452F-8BB1-71118A3446DB}"/>
    <cellStyle name="Вычисление 3 3 3 2" xfId="9168" xr:uid="{BBF25F92-979C-474E-B840-860118335F06}"/>
    <cellStyle name="Вычисление 3 3 3 2 2" xfId="11303" xr:uid="{0699B46E-2406-4C0B-A2C2-F6224A2EB369}"/>
    <cellStyle name="Вычисление 3 3 3 2 2 2" xfId="28087" xr:uid="{71FA5EB4-E21E-4FE4-AF2F-781890CD9082}"/>
    <cellStyle name="Вычисление 3 3 3 2 2 3" xfId="41270" xr:uid="{1DD76F54-51D4-4CCD-96BD-94BF654EDF00}"/>
    <cellStyle name="Вычисление 3 3 3 2 3" xfId="26649" xr:uid="{09AB3332-1047-4933-B31F-4F8BB5CAEAF4}"/>
    <cellStyle name="Вычисление 3 3 3 2 4" xfId="39725" xr:uid="{E5124A14-DAE3-465F-B51F-4A6BD1501A28}"/>
    <cellStyle name="Вычисление 3 3 3 3" xfId="7680" xr:uid="{A777DE22-8569-4280-AABE-C67552DE1CC4}"/>
    <cellStyle name="Вычисление 3 3 3 3 2" xfId="12859" xr:uid="{54CC3CC2-0231-4B51-B180-E83E9DAD0D96}"/>
    <cellStyle name="Вычисление 3 3 3 3 2 2" xfId="29425" xr:uid="{0F83CA0C-78C8-45CD-969C-A91C945C2FBB}"/>
    <cellStyle name="Вычисление 3 3 3 3 2 3" xfId="42711" xr:uid="{16BD9269-24FB-477F-9B8A-00ADF374E2DA}"/>
    <cellStyle name="Вычисление 3 3 3 3 3" xfId="25208" xr:uid="{0E6B9DD2-C36E-40FC-BEA8-AA4F4B913A38}"/>
    <cellStyle name="Вычисление 3 3 3 3 4" xfId="38284" xr:uid="{41BD2AC1-C502-4BE2-B0F5-1627A073004B}"/>
    <cellStyle name="Вычисление 3 3 3 4" xfId="11788" xr:uid="{6E5A75C4-44F0-417F-BEC2-FE454E66684E}"/>
    <cellStyle name="Вычисление 3 3 3 4 2" xfId="28510" xr:uid="{9C5FC5CE-CF9B-436C-B829-48ACE900375C}"/>
    <cellStyle name="Вычисление 3 3 3 4 3" xfId="41722" xr:uid="{394794D8-2C49-4EB8-9238-903B7C5B7C41}"/>
    <cellStyle name="Вычисление 3 3 3 5" xfId="21949" xr:uid="{7453E32B-B5EB-4941-8E49-3AE4199D5EA4}"/>
    <cellStyle name="Вычисление 3 3 3 6" xfId="34998" xr:uid="{FFF24C72-58B5-457F-9F3D-0446BA525DC4}"/>
    <cellStyle name="Вычисление 3 3 4" xfId="2577" xr:uid="{D2EA10B7-955E-4A3C-B595-CEDF2861949F}"/>
    <cellStyle name="Вычисление 3 3 4 2" xfId="7874" xr:uid="{11A3B19D-3E36-41F9-8534-6679BF831BB6}"/>
    <cellStyle name="Вычисление 3 3 4 2 2" xfId="17372" xr:uid="{32864058-3DA2-40B6-8DFC-753BC729E87E}"/>
    <cellStyle name="Вычисление 3 3 4 2 2 2" xfId="33126" xr:uid="{81023BB6-DAE9-4E67-B372-40190AFF11F8}"/>
    <cellStyle name="Вычисление 3 3 4 2 2 3" xfId="46902" xr:uid="{A14394EB-10DD-4493-B6BA-3D9A670ABC9A}"/>
    <cellStyle name="Вычисление 3 3 4 2 3" xfId="25393" xr:uid="{32EAEE52-02CA-4852-8BE1-66EADD9BCA8E}"/>
    <cellStyle name="Вычисление 3 3 4 2 4" xfId="38469" xr:uid="{7F7F67F4-D897-47CD-B1F5-7C9A8B0B33BC}"/>
    <cellStyle name="Вычисление 3 3 4 3" xfId="6241" xr:uid="{D3F63ABB-507A-4981-8D1F-38795A2D9070}"/>
    <cellStyle name="Вычисление 3 3 4 3 2" xfId="15713" xr:uid="{709680B7-CFE3-468E-92B0-3A68E2681758}"/>
    <cellStyle name="Вычисление 3 3 4 3 2 2" xfId="31823" xr:uid="{1B9B8EDB-145B-4A55-BC3A-B0705C3ABA3F}"/>
    <cellStyle name="Вычисление 3 3 4 3 2 3" xfId="45332" xr:uid="{AC064B80-4DB0-456B-8AF6-0B373D1B51DF}"/>
    <cellStyle name="Вычисление 3 3 4 3 3" xfId="23884" xr:uid="{08C639FB-D792-4A7A-8159-DC76771829A3}"/>
    <cellStyle name="Вычисление 3 3 4 3 4" xfId="36965" xr:uid="{3B172332-43E5-4E51-8A77-0165F8992C67}"/>
    <cellStyle name="Вычисление 3 3 4 4" xfId="12012" xr:uid="{BC242C62-6B2E-4BD2-A043-650BC1F32D2F}"/>
    <cellStyle name="Вычисление 3 3 4 4 2" xfId="28715" xr:uid="{4F7E5D32-FEB2-4640-9931-FA97480E69AF}"/>
    <cellStyle name="Вычисление 3 3 4 4 3" xfId="41933" xr:uid="{B692F3EE-2271-4A1B-9961-0C0DDFF991A1}"/>
    <cellStyle name="Вычисление 3 3 4 5" xfId="20636" xr:uid="{162E4329-3491-427C-9045-EA6BFAE347A0}"/>
    <cellStyle name="Вычисление 3 3 4 6" xfId="33659" xr:uid="{132EF049-A0FE-4525-8A79-05AC9269F067}"/>
    <cellStyle name="Вычисление 3 3 5" xfId="4242" xr:uid="{078760EA-A363-4E7C-9E34-77FE7DD80AD7}"/>
    <cellStyle name="Вычисление 3 3 5 2" xfId="9294" xr:uid="{12A1F56D-1C09-48EF-9B01-6E49807D3F22}"/>
    <cellStyle name="Вычисление 3 3 5 2 2" xfId="11818" xr:uid="{D9A758BE-8AEB-4558-8291-6924E4870CBC}"/>
    <cellStyle name="Вычисление 3 3 5 2 2 2" xfId="28539" xr:uid="{E2C318AC-380D-4867-9930-5E9862E9900B}"/>
    <cellStyle name="Вычисление 3 3 5 2 2 3" xfId="41751" xr:uid="{059D843C-3ED8-4371-AB18-8F1F15BB13BF}"/>
    <cellStyle name="Вычисление 3 3 5 2 3" xfId="26767" xr:uid="{2D35B177-3D7B-4055-B396-89DA5856BBF4}"/>
    <cellStyle name="Вычисление 3 3 5 2 4" xfId="39843" xr:uid="{D473C06B-83AA-4D58-98A5-BE16B272B041}"/>
    <cellStyle name="Вычисление 3 3 5 3" xfId="7806" xr:uid="{BC767A9C-785A-4B8C-8CE1-F5FB17D30EDF}"/>
    <cellStyle name="Вычисление 3 3 5 3 2" xfId="15971" xr:uid="{92220897-C027-487C-BDC5-317FBDA7C871}"/>
    <cellStyle name="Вычисление 3 3 5 3 2 2" xfId="32046" xr:uid="{1074404A-7766-4A92-8B83-625D330DE872}"/>
    <cellStyle name="Вычисление 3 3 5 3 2 3" xfId="45564" xr:uid="{737A3D20-D8FB-4349-881A-55BF33D0BE74}"/>
    <cellStyle name="Вычисление 3 3 5 3 3" xfId="25326" xr:uid="{0635E0D3-DDCE-4BBF-91EC-12C5DAE156FD}"/>
    <cellStyle name="Вычисление 3 3 5 3 4" xfId="38402" xr:uid="{26ECC5E2-4C73-402F-B030-2B19317EF4CE}"/>
    <cellStyle name="Вычисление 3 3 5 4" xfId="17294" xr:uid="{D434FA93-FF76-4F74-915D-7A6A9C7F958E}"/>
    <cellStyle name="Вычисление 3 3 5 4 2" xfId="33052" xr:uid="{99486262-0D9C-4BB2-B605-96B23AF8F8BE}"/>
    <cellStyle name="Вычисление 3 3 5 4 3" xfId="46828" xr:uid="{85280415-95CE-4217-B652-219ED55AD965}"/>
    <cellStyle name="Вычисление 3 3 5 5" xfId="22067" xr:uid="{02F666A4-F4AF-46BB-8319-7E3E5B46661A}"/>
    <cellStyle name="Вычисление 3 3 5 6" xfId="35116" xr:uid="{9419E381-3A1B-4696-86B5-71BE2CD20DC3}"/>
    <cellStyle name="Вычисление 3 3 6" xfId="4366" xr:uid="{A47DA857-7E84-4A26-9EF0-C949B4CEFFE7}"/>
    <cellStyle name="Вычисление 3 3 6 2" xfId="6985" xr:uid="{AC13BFD8-0245-4F0E-9420-9E36EF982AB7}"/>
    <cellStyle name="Вычисление 3 3 6 2 2" xfId="12169" xr:uid="{6E3DEBC2-F34E-4DC6-A6D7-8C098C3B9BB6}"/>
    <cellStyle name="Вычисление 3 3 6 2 2 2" xfId="28864" xr:uid="{2A02B8E6-2F1E-4A2C-87BC-39BA4591C3C6}"/>
    <cellStyle name="Вычисление 3 3 6 2 2 3" xfId="42089" xr:uid="{F58E0399-F4B2-4C26-B401-968C346A7E15}"/>
    <cellStyle name="Вычисление 3 3 6 2 3" xfId="24606" xr:uid="{4DB6FF0A-C0D7-4322-B99B-5D2E511784A7}"/>
    <cellStyle name="Вычисление 3 3 6 2 4" xfId="37687" xr:uid="{F56C8BB2-905E-483B-AC71-1C2B3FCA4871}"/>
    <cellStyle name="Вычисление 3 3 6 3" xfId="11399" xr:uid="{F63D19AC-9838-4A88-A6FE-889E8D006F1B}"/>
    <cellStyle name="Вычисление 3 3 6 3 2" xfId="28171" xr:uid="{29A5F971-97AB-495D-AF39-8FE5606C288B}"/>
    <cellStyle name="Вычисление 3 3 6 3 3" xfId="41361" xr:uid="{84C6AEBE-1AFA-4CEF-B2E2-258A4793A1E1}"/>
    <cellStyle name="Вычисление 3 3 6 4" xfId="22185" xr:uid="{C759F4C3-C465-46E6-9D1F-004746161352}"/>
    <cellStyle name="Вычисление 3 3 6 5" xfId="35234" xr:uid="{B196285D-3CDC-47D8-A1BB-8DEB643E7EAF}"/>
    <cellStyle name="Вычисление 3 3 7" xfId="5420" xr:uid="{25A2D1DE-0690-4DFE-A50F-48B7B51E114F}"/>
    <cellStyle name="Вычисление 3 3 7 2" xfId="8598" xr:uid="{1B716BC7-D7CD-48B8-8A52-BD719C2DF018}"/>
    <cellStyle name="Вычисление 3 3 7 2 2" xfId="10759" xr:uid="{95851FA7-0E23-40DE-AF7C-1B816E20B89E}"/>
    <cellStyle name="Вычисление 3 3 7 2 2 2" xfId="27597" xr:uid="{211267BD-4421-4D19-9167-2E38AC5055C2}"/>
    <cellStyle name="Вычисление 3 3 7 2 2 3" xfId="40740" xr:uid="{4FD273B1-E97F-46AF-96D1-730F69FB87A6}"/>
    <cellStyle name="Вычисление 3 3 7 2 3" xfId="26095" xr:uid="{0D278297-6493-4427-B34F-5C1D9A051676}"/>
    <cellStyle name="Вычисление 3 3 7 2 4" xfId="39171" xr:uid="{2CA8DCDC-9865-4BEF-9711-08B86C5C360E}"/>
    <cellStyle name="Вычисление 3 3 7 3" xfId="17331" xr:uid="{1C2ACC15-05BD-47CE-886C-814B13B8456A}"/>
    <cellStyle name="Вычисление 3 3 7 3 2" xfId="33085" xr:uid="{EFD7FA22-1019-432E-8A41-1715C7AF17D4}"/>
    <cellStyle name="Вычисление 3 3 7 3 3" xfId="46861" xr:uid="{69F653DB-4F06-4F88-940E-3B38C8BB1625}"/>
    <cellStyle name="Вычисление 3 3 7 4" xfId="23067" xr:uid="{5B1FF0E4-36FD-40B7-BD8B-FEF7208C4BB5}"/>
    <cellStyle name="Вычисление 3 3 7 5" xfId="36148" xr:uid="{C25CD9A5-3ABC-49FB-B549-02399F0F0DF4}"/>
    <cellStyle name="Вычисление 3 3 8" xfId="14795" xr:uid="{02FA69B6-B450-4F1F-A95A-52BA587956C3}"/>
    <cellStyle name="Вычисление 3 3 8 2" xfId="31061" xr:uid="{DBE7421A-EF17-4B1F-8DC5-B785B3D6589F}"/>
    <cellStyle name="Вычисление 3 3 8 3" xfId="44493" xr:uid="{6AA27B5A-1144-4E79-A981-C59B03139CCD}"/>
    <cellStyle name="Вычисление 3 3 9" xfId="21358" xr:uid="{54239C77-971F-4283-9170-BA28394DD290}"/>
    <cellStyle name="Вычисление 3 30" xfId="11145" xr:uid="{DBFA4D78-A9B9-406A-83C5-234056291CF3}"/>
    <cellStyle name="Вычисление 3 30 2" xfId="27942" xr:uid="{F98B26E3-869C-46E3-B7CE-F303FE85B4FA}"/>
    <cellStyle name="Вычисление 3 30 3" xfId="41123" xr:uid="{EBD9E3CB-C3B4-4A34-8937-76B0B731D349}"/>
    <cellStyle name="Вычисление 3 31" xfId="17666" xr:uid="{646F312E-4F19-45C7-A194-3D4166790204}"/>
    <cellStyle name="Вычисление 3 31 2" xfId="33389" xr:uid="{2DEC5F59-5465-468E-949B-7D947FC4FFAA}"/>
    <cellStyle name="Вычисление 3 31 3" xfId="47178" xr:uid="{97AAA7C2-9DBC-4520-BCD2-0BE88086245C}"/>
    <cellStyle name="Вычисление 3 32" xfId="33567" xr:uid="{EB4F6A93-DF36-4939-8423-301643CF1C2F}"/>
    <cellStyle name="Вычисление 3 4" xfId="3470" xr:uid="{8B77939F-E1B1-4CC4-9B66-5166D2F35560}"/>
    <cellStyle name="Вычисление 3 4 10" xfId="34486" xr:uid="{6A396F3F-A780-4A36-911A-88898E9AF1CC}"/>
    <cellStyle name="Вычисление 3 4 2" xfId="2812" xr:uid="{7C8BB898-249D-4B02-ACAD-45F2D5447D56}"/>
    <cellStyle name="Вычисление 3 4 2 2" xfId="8108" xr:uid="{C5F96805-EA71-46B5-B4FC-A879CBB4389E}"/>
    <cellStyle name="Вычисление 3 4 2 2 2" xfId="12452" xr:uid="{C51797C2-040C-42A8-9550-2EB878F2361B}"/>
    <cellStyle name="Вычисление 3 4 2 2 2 2" xfId="29100" xr:uid="{BD4DE7EB-54A3-4566-88D6-D362B3815357}"/>
    <cellStyle name="Вычисление 3 4 2 2 2 3" xfId="42349" xr:uid="{E318553C-413E-46A3-A3A2-8653EE486863}"/>
    <cellStyle name="Вычисление 3 4 2 2 3" xfId="25619" xr:uid="{368F0281-EE42-48B6-ABD6-C7DF5767E9F3}"/>
    <cellStyle name="Вычисление 3 4 2 2 4" xfId="38695" xr:uid="{A8C7B399-F25F-4E99-A807-F60E66D5CEE4}"/>
    <cellStyle name="Вычисление 3 4 2 3" xfId="6475" xr:uid="{58177E86-D468-44A5-9DB0-83DCDCCDE1BC}"/>
    <cellStyle name="Вычисление 3 4 2 3 2" xfId="15230" xr:uid="{128CA7F5-856F-4581-9891-96162FD9039A}"/>
    <cellStyle name="Вычисление 3 4 2 3 2 2" xfId="31406" xr:uid="{1C50AE9F-4F73-42AC-8220-7B6426149B80}"/>
    <cellStyle name="Вычисление 3 4 2 3 2 3" xfId="44881" xr:uid="{8856356D-C406-4E87-9C89-7370F9DF4D0C}"/>
    <cellStyle name="Вычисление 3 4 2 3 3" xfId="24110" xr:uid="{B997DEC5-4768-4EE8-AD7C-A8BA98F0A8A9}"/>
    <cellStyle name="Вычисление 3 4 2 3 4" xfId="37191" xr:uid="{F64C7F9B-EF60-4B32-ADDB-9A8894CE68EF}"/>
    <cellStyle name="Вычисление 3 4 2 4" xfId="11865" xr:uid="{6A162224-EBAF-4A29-B583-6E31A5E4467C}"/>
    <cellStyle name="Вычисление 3 4 2 4 2" xfId="28581" xr:uid="{0FA63280-0EFE-4C7F-BADC-B8F17F938382}"/>
    <cellStyle name="Вычисление 3 4 2 4 3" xfId="41797" xr:uid="{8710DB8D-754E-4F8B-92DC-0847C2AAA1C9}"/>
    <cellStyle name="Вычисление 3 4 2 5" xfId="20862" xr:uid="{4C735C3D-B6D8-42D6-BE63-C1DCE94D88A6}"/>
    <cellStyle name="Вычисление 3 4 2 6" xfId="33885" xr:uid="{36CB1BDD-0AE2-4906-A77B-6729E9E72A56}"/>
    <cellStyle name="Вычисление 3 4 3" xfId="4173" xr:uid="{02BA4270-CF43-4B4A-AB90-DA29CFE0D89C}"/>
    <cellStyle name="Вычисление 3 4 3 2" xfId="9225" xr:uid="{C13670E3-036D-4F50-996B-4701B44A5B2C}"/>
    <cellStyle name="Вычисление 3 4 3 2 2" xfId="15118" xr:uid="{6ECBC9DD-C0C1-4BB2-B894-086E7BB90DF7}"/>
    <cellStyle name="Вычисление 3 4 3 2 2 2" xfId="31321" xr:uid="{45CEAC0F-AB78-424A-A72D-36741E23E864}"/>
    <cellStyle name="Вычисление 3 4 3 2 2 3" xfId="44783" xr:uid="{E4E28E95-3D59-47F9-8FDA-EBE81DBA6944}"/>
    <cellStyle name="Вычисление 3 4 3 2 3" xfId="26700" xr:uid="{E9DA3ADA-5AE4-4604-B35C-0A8D5224B7D4}"/>
    <cellStyle name="Вычисление 3 4 3 2 4" xfId="39776" xr:uid="{5AB37B87-7226-4EBC-ACB8-90ECFB90E80B}"/>
    <cellStyle name="Вычисление 3 4 3 3" xfId="7737" xr:uid="{2B6B1758-E337-4512-B103-EF2BDEA41D89}"/>
    <cellStyle name="Вычисление 3 4 3 3 2" xfId="11602" xr:uid="{69F02B79-ADE8-4567-8249-2220694C6878}"/>
    <cellStyle name="Вычисление 3 4 3 3 2 2" xfId="28351" xr:uid="{5BC73D7A-D973-4BF4-8643-E598943CE562}"/>
    <cellStyle name="Вычисление 3 4 3 3 2 3" xfId="41552" xr:uid="{2F9AE0F7-7891-49D8-84F3-C81DBE2BD3E6}"/>
    <cellStyle name="Вычисление 3 4 3 3 3" xfId="25259" xr:uid="{B30EBD31-1502-40AA-9431-A6B185B4A7AC}"/>
    <cellStyle name="Вычисление 3 4 3 3 4" xfId="38335" xr:uid="{31C43794-1552-45AE-BC5A-7C2DA8036AF5}"/>
    <cellStyle name="Вычисление 3 4 3 4" xfId="16105" xr:uid="{D83370CE-2A8A-4F26-B576-8C0C0245A7AE}"/>
    <cellStyle name="Вычисление 3 4 3 4 2" xfId="32163" xr:uid="{00553E6A-06D2-4D49-AC49-C4ADB8723AEB}"/>
    <cellStyle name="Вычисление 3 4 3 4 3" xfId="45684" xr:uid="{F3ACB857-44C0-48FD-9212-9CDAD443FB39}"/>
    <cellStyle name="Вычисление 3 4 3 5" xfId="22000" xr:uid="{B6275FCF-7C1F-413A-9487-65D88EEBBC65}"/>
    <cellStyle name="Вычисление 3 4 3 6" xfId="35049" xr:uid="{486A1D4E-4FB3-40E1-BA9C-95A6718F2420}"/>
    <cellStyle name="Вычисление 3 4 4" xfId="2739" xr:uid="{03572D9A-AFCF-4DFA-9BC2-D65D524DFE7B}"/>
    <cellStyle name="Вычисление 3 4 4 2" xfId="8035" xr:uid="{A1233D01-77EF-4F64-A9B9-BFB78B443535}"/>
    <cellStyle name="Вычисление 3 4 4 2 2" xfId="15585" xr:uid="{4EAFBBE2-9715-404D-8B6F-43C4440000BD}"/>
    <cellStyle name="Вычисление 3 4 4 2 2 2" xfId="31713" xr:uid="{BB1AAE5B-77AC-49D1-96AE-BFBEBDFB8524}"/>
    <cellStyle name="Вычисление 3 4 4 2 2 3" xfId="45215" xr:uid="{7645298C-46DA-4327-8733-C779FD22ABD7}"/>
    <cellStyle name="Вычисление 3 4 4 2 3" xfId="25548" xr:uid="{68A7124E-81C2-4A32-BDA2-1837041B3948}"/>
    <cellStyle name="Вычисление 3 4 4 2 4" xfId="38624" xr:uid="{D682F770-8356-495E-8273-327DD285AD8A}"/>
    <cellStyle name="Вычисление 3 4 4 3" xfId="6402" xr:uid="{33ACE1F2-A54B-46CD-B963-F089735DADA2}"/>
    <cellStyle name="Вычисление 3 4 4 3 2" xfId="16859" xr:uid="{3D512B3F-B43D-4E37-AAFB-37C729374C99}"/>
    <cellStyle name="Вычисление 3 4 4 3 2 2" xfId="32736" xr:uid="{DAB3D545-CE2D-4C2A-A5D9-B8C7198E0DAE}"/>
    <cellStyle name="Вычисление 3 4 4 3 2 3" xfId="46401" xr:uid="{873CC93D-CC92-43FB-92E7-0A6E92E50632}"/>
    <cellStyle name="Вычисление 3 4 4 3 3" xfId="24039" xr:uid="{4909A19C-866F-4949-ABDA-4E4BCA559344}"/>
    <cellStyle name="Вычисление 3 4 4 3 4" xfId="37120" xr:uid="{A54D1C79-A679-497E-9F3E-E2D7D8D0B8D9}"/>
    <cellStyle name="Вычисление 3 4 4 4" xfId="12679" xr:uid="{71C8F6AA-E4D4-44F0-9ABC-6A07D42BA285}"/>
    <cellStyle name="Вычисление 3 4 4 4 2" xfId="29274" xr:uid="{19316E5A-3BBE-4377-8429-2D355BB74BB3}"/>
    <cellStyle name="Вычисление 3 4 4 4 3" xfId="42547" xr:uid="{810BC70B-850F-4225-98E8-7D352B45DE22}"/>
    <cellStyle name="Вычисление 3 4 4 5" xfId="20791" xr:uid="{CEE1D612-DADB-4B81-90F1-188F555A4494}"/>
    <cellStyle name="Вычисление 3 4 4 6" xfId="33814" xr:uid="{8DDBA26A-461A-4131-8F0C-D5CB8D46ACA2}"/>
    <cellStyle name="Вычисление 3 4 5" xfId="4195" xr:uid="{DC6C59EF-1515-4B2C-A6E9-E014F603A048}"/>
    <cellStyle name="Вычисление 3 4 5 2" xfId="9247" xr:uid="{C6E0AFDA-327A-4857-8743-74B59472F76C}"/>
    <cellStyle name="Вычисление 3 4 5 2 2" xfId="10801" xr:uid="{39DADDA1-5CF6-4F4F-844A-E52E77E8977A}"/>
    <cellStyle name="Вычисление 3 4 5 2 2 2" xfId="27634" xr:uid="{B2C52833-7D1F-47DA-AAD3-CAFB1F39AA67}"/>
    <cellStyle name="Вычисление 3 4 5 2 2 3" xfId="40782" xr:uid="{30F6D9BC-66B3-4E66-917A-2B906296C4A9}"/>
    <cellStyle name="Вычисление 3 4 5 2 3" xfId="26722" xr:uid="{CBFAB47E-79EB-4EE6-9865-E0CE690F967A}"/>
    <cellStyle name="Вычисление 3 4 5 2 4" xfId="39798" xr:uid="{1B5F5F23-CEE8-4A37-A71C-08C7EEA4FDC3}"/>
    <cellStyle name="Вычисление 3 4 5 3" xfId="7759" xr:uid="{CCFC1E56-9847-45EE-A97D-47E59FD1723C}"/>
    <cellStyle name="Вычисление 3 4 5 3 2" xfId="11625" xr:uid="{FCA7AE63-BDA4-4C55-89DC-69C761AB7FE6}"/>
    <cellStyle name="Вычисление 3 4 5 3 2 2" xfId="28371" xr:uid="{2F26D075-F505-4751-BA1F-02E399E740D0}"/>
    <cellStyle name="Вычисление 3 4 5 3 2 3" xfId="41574" xr:uid="{F423085F-3479-4FE7-AC95-1BF8D1294412}"/>
    <cellStyle name="Вычисление 3 4 5 3 3" xfId="25281" xr:uid="{3A3BC7E0-16D3-4B93-A554-C8A70C32E4A6}"/>
    <cellStyle name="Вычисление 3 4 5 3 4" xfId="38357" xr:uid="{F31B663C-F931-4F07-B806-18EB884CEF3A}"/>
    <cellStyle name="Вычисление 3 4 5 4" xfId="12829" xr:uid="{EE75491F-3443-4285-82EE-09D5C5E13D12}"/>
    <cellStyle name="Вычисление 3 4 5 4 2" xfId="29401" xr:uid="{E6E0D8C1-690C-4311-9DE4-76D4861D79B5}"/>
    <cellStyle name="Вычисление 3 4 5 4 3" xfId="42683" xr:uid="{F4CF30A2-DD0C-47A5-8660-6897A2EE710A}"/>
    <cellStyle name="Вычисление 3 4 5 5" xfId="22022" xr:uid="{BB2285EA-E6F4-4F19-A69C-D7108E7B8E39}"/>
    <cellStyle name="Вычисление 3 4 5 6" xfId="35071" xr:uid="{B46B59DB-4A80-4FD0-8C6A-E5CDA30B8272}"/>
    <cellStyle name="Вычисление 3 4 6" xfId="4472" xr:uid="{5EC23A2E-D25E-4104-A921-EAF368C726E5}"/>
    <cellStyle name="Вычисление 3 4 6 2" xfId="7112" xr:uid="{ACEE2852-72E8-4B3B-BB32-AC74FDFA0567}"/>
    <cellStyle name="Вычисление 3 4 6 2 2" xfId="11712" xr:uid="{C9AD3A9E-13D1-4AFF-B4B7-C2BFF205F55A}"/>
    <cellStyle name="Вычисление 3 4 6 2 2 2" xfId="28443" xr:uid="{E590D460-40E9-40B0-A93E-DEACF5880BCE}"/>
    <cellStyle name="Вычисление 3 4 6 2 2 3" xfId="41653" xr:uid="{4D8A1F51-1698-4C91-A6C9-44A5E714E1DA}"/>
    <cellStyle name="Вычисление 3 4 6 2 3" xfId="24711" xr:uid="{B5400A1C-11B8-447E-ABB8-5C494EDDE4CB}"/>
    <cellStyle name="Вычисление 3 4 6 2 4" xfId="37792" xr:uid="{759AFCE5-2A09-4C52-9B9D-C533A644B7D8}"/>
    <cellStyle name="Вычисление 3 4 6 3" xfId="15831" xr:uid="{0E9F4868-15E4-491E-8ABE-F27DBDC4ACC9}"/>
    <cellStyle name="Вычисление 3 4 6 3 2" xfId="31924" xr:uid="{AF089F1D-4EF6-4C67-B148-071BFE80CF70}"/>
    <cellStyle name="Вычисление 3 4 6 3 3" xfId="45436" xr:uid="{1C54CBF4-54E8-40B7-887F-D48FE379122D}"/>
    <cellStyle name="Вычисление 3 4 6 4" xfId="22290" xr:uid="{8B58BEF0-2219-4E66-B1AA-EAABAD4436D2}"/>
    <cellStyle name="Вычисление 3 4 6 5" xfId="35339" xr:uid="{82BDC849-A545-4497-BF32-050FB502FAD0}"/>
    <cellStyle name="Вычисление 3 4 7" xfId="5525" xr:uid="{112FF9AB-4042-4AEE-AABB-D0845671DC0C}"/>
    <cellStyle name="Вычисление 3 4 7 2" xfId="8707" xr:uid="{BC8E09EB-E6CE-477A-8620-37910D579C09}"/>
    <cellStyle name="Вычисление 3 4 7 2 2" xfId="13599" xr:uid="{51F1DCFC-298F-46BC-AB46-887091B11DC6}"/>
    <cellStyle name="Вычисление 3 4 7 2 2 2" xfId="30039" xr:uid="{23F773F6-6EFB-4BC1-B547-87A5D265E133}"/>
    <cellStyle name="Вычисление 3 4 7 2 2 3" xfId="43391" xr:uid="{6C53DE6D-1E59-412E-8032-75C7F83DD93B}"/>
    <cellStyle name="Вычисление 3 4 7 2 3" xfId="26200" xr:uid="{5BB8AD3F-3250-46EC-8DB4-46E234692581}"/>
    <cellStyle name="Вычисление 3 4 7 2 4" xfId="39276" xr:uid="{13FC33CD-0CB2-4234-907F-E391776EDFD4}"/>
    <cellStyle name="Вычисление 3 4 7 3" xfId="15901" xr:uid="{862F1D2D-8DB0-4A1F-BCD7-1A3F4ECDFBAA}"/>
    <cellStyle name="Вычисление 3 4 7 3 2" xfId="31984" xr:uid="{B82C3A40-5CC5-471B-94C1-56CA25FCD0C8}"/>
    <cellStyle name="Вычисление 3 4 7 3 3" xfId="45500" xr:uid="{50A4294F-F126-4A02-A6B7-E3B2DB493399}"/>
    <cellStyle name="Вычисление 3 4 7 4" xfId="23172" xr:uid="{CB59E794-D341-48AE-8316-7FF5CC2C549F}"/>
    <cellStyle name="Вычисление 3 4 7 5" xfId="36253" xr:uid="{3D6EFDE4-E744-4809-818E-2773E5D02BE1}"/>
    <cellStyle name="Вычисление 3 4 8" xfId="12536" xr:uid="{3A87266A-0C89-4363-BCDC-68294C28EC7E}"/>
    <cellStyle name="Вычисление 3 4 8 2" xfId="29161" xr:uid="{FAAF7095-26FB-472C-AE54-935167A76F23}"/>
    <cellStyle name="Вычисление 3 4 8 3" xfId="42420" xr:uid="{D765D212-FE76-4B74-8AE7-6A88B4DC7F7C}"/>
    <cellStyle name="Вычисление 3 4 9" xfId="21442" xr:uid="{8F54F2E5-6A37-4ED0-8E5F-DD2F0C53BDC2}"/>
    <cellStyle name="Вычисление 3 5" xfId="3454" xr:uid="{239A4A78-05C9-4359-A6C0-0BE75A63A0BB}"/>
    <cellStyle name="Вычисление 3 5 2" xfId="2796" xr:uid="{D9F8FE3C-A69A-4AC2-B6C9-501BD080B0C5}"/>
    <cellStyle name="Вычисление 3 5 2 2" xfId="8092" xr:uid="{E9EC56E3-AEDF-47C8-AE28-11ACF05FD9C2}"/>
    <cellStyle name="Вычисление 3 5 2 2 2" xfId="16811" xr:uid="{57ACA3D8-60FD-4C07-8983-CF913D5ADF8C}"/>
    <cellStyle name="Вычисление 3 5 2 2 2 2" xfId="32691" xr:uid="{AF160537-FCFA-4B41-95AC-3D27BBD3627D}"/>
    <cellStyle name="Вычисление 3 5 2 2 2 3" xfId="46354" xr:uid="{31C03245-8266-4E8F-A5EC-D2AA1AE6C293}"/>
    <cellStyle name="Вычисление 3 5 2 2 3" xfId="25603" xr:uid="{DCDE4B6E-0DD2-432F-8ED4-72A9DE3718EF}"/>
    <cellStyle name="Вычисление 3 5 2 2 4" xfId="38679" xr:uid="{DEAAEFF5-5FF2-464A-BA1B-225DD99EB326}"/>
    <cellStyle name="Вычисление 3 5 2 3" xfId="6459" xr:uid="{C2AD6A85-DFFF-4028-A8FB-4D0461B4C726}"/>
    <cellStyle name="Вычисление 3 5 2 3 2" xfId="12510" xr:uid="{24AA952E-7D21-460E-9E24-EA373F474844}"/>
    <cellStyle name="Вычисление 3 5 2 3 2 2" xfId="29142" xr:uid="{7869A691-24E1-4E9F-A3D5-247CC1B84DE5}"/>
    <cellStyle name="Вычисление 3 5 2 3 2 3" xfId="42397" xr:uid="{E2F17CE1-F45C-4540-B04B-0944388BD488}"/>
    <cellStyle name="Вычисление 3 5 2 3 3" xfId="24094" xr:uid="{E3B45E65-A282-433E-A5CB-BDDF3F33C21A}"/>
    <cellStyle name="Вычисление 3 5 2 3 4" xfId="37175" xr:uid="{17D029B5-A765-4835-820C-2A3CF91FC711}"/>
    <cellStyle name="Вычисление 3 5 2 4" xfId="11155" xr:uid="{4FD6767D-E248-47CA-8008-32A9BC43E511}"/>
    <cellStyle name="Вычисление 3 5 2 4 2" xfId="27950" xr:uid="{975B5F41-B302-4E0B-A293-77D403A9B46F}"/>
    <cellStyle name="Вычисление 3 5 2 4 3" xfId="41131" xr:uid="{F7D24451-3F02-454F-B0FB-1ADC9B35B006}"/>
    <cellStyle name="Вычисление 3 5 2 5" xfId="20846" xr:uid="{A2A5734D-9C72-468A-9C41-A5D08CDACD7C}"/>
    <cellStyle name="Вычисление 3 5 2 6" xfId="33869" xr:uid="{ABE22296-5B31-49E3-AF32-6944A242C5E4}"/>
    <cellStyle name="Вычисление 3 5 3" xfId="4456" xr:uid="{86DBA733-CED0-4BC1-8C93-8D0ED23B83FB}"/>
    <cellStyle name="Вычисление 3 5 3 2" xfId="7096" xr:uid="{498E128B-4489-47D9-B257-1D797DDAFB9A}"/>
    <cellStyle name="Вычисление 3 5 3 2 2" xfId="11388" xr:uid="{2ABD4BC4-4E55-413C-AF61-2E19D0AC92D2}"/>
    <cellStyle name="Вычисление 3 5 3 2 2 2" xfId="28160" xr:uid="{B0EC10C5-B7C8-4821-BFD6-555C7FFF24BB}"/>
    <cellStyle name="Вычисление 3 5 3 2 2 3" xfId="41350" xr:uid="{BC0720C1-984E-4C2D-9909-24CF34D01FDD}"/>
    <cellStyle name="Вычисление 3 5 3 2 3" xfId="24695" xr:uid="{6A355855-D8EA-45BE-9703-6320404FE7D9}"/>
    <cellStyle name="Вычисление 3 5 3 2 4" xfId="37776" xr:uid="{9700A204-3BBF-4D7E-A213-CDB2082694E0}"/>
    <cellStyle name="Вычисление 3 5 3 3" xfId="11232" xr:uid="{05114209-D2C4-49C5-8A79-38400B03B7BE}"/>
    <cellStyle name="Вычисление 3 5 3 3 2" xfId="28025" xr:uid="{A6CDAA33-54F1-4C86-A907-076AEC8BC36A}"/>
    <cellStyle name="Вычисление 3 5 3 3 3" xfId="41207" xr:uid="{98C2ADE5-4D48-4E99-8FAB-DDAE1FF7ABF6}"/>
    <cellStyle name="Вычисление 3 5 3 4" xfId="22274" xr:uid="{2CAD224A-A28C-4A02-8FBF-3A0A142E81B7}"/>
    <cellStyle name="Вычисление 3 5 3 5" xfId="35323" xr:uid="{99F9F873-FA0D-4469-B1C5-22016D3921DB}"/>
    <cellStyle name="Вычисление 3 5 4" xfId="5509" xr:uid="{A49D35DE-9AE2-4CA9-9D47-4725D6CA0F81}"/>
    <cellStyle name="Вычисление 3 5 4 2" xfId="8691" xr:uid="{46F43296-C6F7-4CE0-8C42-73261AAB589B}"/>
    <cellStyle name="Вычисление 3 5 4 2 2" xfId="10591" xr:uid="{81E58378-97C0-479D-B38B-F615B5BF06D8}"/>
    <cellStyle name="Вычисление 3 5 4 2 2 2" xfId="27450" xr:uid="{9659CEF8-6DD1-4B0B-A8DA-6E57ECFB06B6}"/>
    <cellStyle name="Вычисление 3 5 4 2 2 3" xfId="40572" xr:uid="{178A5933-D3D0-4E18-971A-B15DC1B14506}"/>
    <cellStyle name="Вычисление 3 5 4 2 3" xfId="26184" xr:uid="{B1622516-974C-401F-B4AA-6757743EFE9C}"/>
    <cellStyle name="Вычисление 3 5 4 2 4" xfId="39260" xr:uid="{75C81EA4-08F4-4F77-AF2F-AF666D3423DC}"/>
    <cellStyle name="Вычисление 3 5 4 3" xfId="11281" xr:uid="{7FBC155A-1800-4F1C-B1E2-F0BF362DD4FE}"/>
    <cellStyle name="Вычисление 3 5 4 3 2" xfId="28068" xr:uid="{9CD1050E-8CB2-47C0-A326-826756142A95}"/>
    <cellStyle name="Вычисление 3 5 4 3 3" xfId="41250" xr:uid="{FEEECD06-5ED9-4EFA-8D0B-097707EDECD3}"/>
    <cellStyle name="Вычисление 3 5 4 4" xfId="23156" xr:uid="{574DCEC0-382B-44D2-BCC9-02B894E15CC6}"/>
    <cellStyle name="Вычисление 3 5 4 5" xfId="36237" xr:uid="{71809198-93C1-4352-B111-3E2AC7FA56E1}"/>
    <cellStyle name="Вычисление 3 5 5" xfId="11324" xr:uid="{899F2EC8-54AB-4EC1-9E39-BA4A4FEA9D66}"/>
    <cellStyle name="Вычисление 3 5 5 2" xfId="28103" xr:uid="{80DADDDA-9952-4CC0-97E5-7943B58289E4}"/>
    <cellStyle name="Вычисление 3 5 5 3" xfId="41291" xr:uid="{0CA091E2-C72E-4A65-83C4-49F86EC9A589}"/>
    <cellStyle name="Вычисление 3 5 6" xfId="21426" xr:uid="{D5F8E839-CDFB-4C55-95B8-A942FF4E2DA9}"/>
    <cellStyle name="Вычисление 3 5 7" xfId="34470" xr:uid="{41A32303-6718-405D-9A93-A41E36A6880E}"/>
    <cellStyle name="Вычисление 3 6" xfId="3518" xr:uid="{26C831CF-53C5-4C94-9298-4FE037C843A1}"/>
    <cellStyle name="Вычисление 3 6 2" xfId="2859" xr:uid="{63BF0285-D3FA-4215-8735-85B506D9E363}"/>
    <cellStyle name="Вычисление 3 6 2 2" xfId="8155" xr:uid="{BAD11F64-44B6-4F4E-8C29-2240BB39DDF9}"/>
    <cellStyle name="Вычисление 3 6 2 2 2" xfId="17380" xr:uid="{35A451E2-A3C8-4923-9813-7C71EACF4992}"/>
    <cellStyle name="Вычисление 3 6 2 2 2 2" xfId="33134" xr:uid="{99854E8E-4E11-4C58-AB1F-9E6947FAB305}"/>
    <cellStyle name="Вычисление 3 6 2 2 2 3" xfId="46910" xr:uid="{1852634A-E1CB-4109-8063-18EFA91FCFBC}"/>
    <cellStyle name="Вычисление 3 6 2 2 3" xfId="25666" xr:uid="{08DE211A-7B66-45A8-961D-FC75EA15B4D5}"/>
    <cellStyle name="Вычисление 3 6 2 2 4" xfId="38742" xr:uid="{18637C99-3721-4C86-870D-829AF47C2BCF}"/>
    <cellStyle name="Вычисление 3 6 2 3" xfId="6522" xr:uid="{17583EC3-7B86-4ED8-9AB9-B2817E045062}"/>
    <cellStyle name="Вычисление 3 6 2 3 2" xfId="17198" xr:uid="{846C4D6F-8554-4E81-A013-A9E5EC8DBF3C}"/>
    <cellStyle name="Вычисление 3 6 2 3 2 2" xfId="32961" xr:uid="{FC87A36C-9207-4423-98E3-990B88FB92AC}"/>
    <cellStyle name="Вычисление 3 6 2 3 2 3" xfId="46733" xr:uid="{AE71C8DA-295C-4874-92DC-FD8C444DDF22}"/>
    <cellStyle name="Вычисление 3 6 2 3 3" xfId="24157" xr:uid="{A48CFDFA-4377-402B-AE9B-66391BFB0944}"/>
    <cellStyle name="Вычисление 3 6 2 3 4" xfId="37238" xr:uid="{EDAE1F59-342A-4FC0-A36B-801551C5E8FE}"/>
    <cellStyle name="Вычисление 3 6 2 4" xfId="13583" xr:uid="{8437C1F5-5EDC-4DB3-910A-59A254F1D639}"/>
    <cellStyle name="Вычисление 3 6 2 4 2" xfId="30025" xr:uid="{C6C22071-B575-4836-858F-C6327C65C8D1}"/>
    <cellStyle name="Вычисление 3 6 2 4 3" xfId="43376" xr:uid="{071CDD49-AC97-4DE6-B9D8-1AE6860B436B}"/>
    <cellStyle name="Вычисление 3 6 2 5" xfId="20909" xr:uid="{D96F6D0B-B484-4695-946F-6D0600A72288}"/>
    <cellStyle name="Вычисление 3 6 2 6" xfId="33932" xr:uid="{748EA03A-EF05-4468-8269-377330353D86}"/>
    <cellStyle name="Вычисление 3 6 3" xfId="4519" xr:uid="{28991DB6-25B7-46AB-A05D-0AD5845616F9}"/>
    <cellStyle name="Вычисление 3 6 3 2" xfId="7160" xr:uid="{A6670005-7637-440B-9AF2-C905BE4D28AF}"/>
    <cellStyle name="Вычисление 3 6 3 2 2" xfId="13423" xr:uid="{AEC39480-9A86-49C7-8F89-BB932D6B42F3}"/>
    <cellStyle name="Вычисление 3 6 3 2 2 2" xfId="29890" xr:uid="{4A6F7B9C-B34E-4684-8321-E0321AEDCD34}"/>
    <cellStyle name="Вычисление 3 6 3 2 2 3" xfId="43227" xr:uid="{329C189D-803A-4D7B-8C96-9588241D3932}"/>
    <cellStyle name="Вычисление 3 6 3 2 3" xfId="24758" xr:uid="{E64DB5E7-D732-4777-BE34-E992D59E9A24}"/>
    <cellStyle name="Вычисление 3 6 3 2 4" xfId="37839" xr:uid="{22112AC3-DF76-4A57-999F-48E0ABD8260D}"/>
    <cellStyle name="Вычисление 3 6 3 3" xfId="15395" xr:uid="{FD6F2BDC-19F1-4BA1-8F71-8CAD551AE241}"/>
    <cellStyle name="Вычисление 3 6 3 3 2" xfId="31549" xr:uid="{0DD4DCE4-C33F-4BC0-8F4C-F3317AC7AD6F}"/>
    <cellStyle name="Вычисление 3 6 3 3 3" xfId="45037" xr:uid="{26925994-1D9E-4ADD-B60B-47F34EE76A05}"/>
    <cellStyle name="Вычисление 3 6 3 4" xfId="22337" xr:uid="{08EDB6C5-37A1-4E47-A92D-82E2328B4198}"/>
    <cellStyle name="Вычисление 3 6 3 5" xfId="35386" xr:uid="{7D7FDDA5-4AA3-45F2-B4DF-30FB876D627D}"/>
    <cellStyle name="Вычисление 3 6 4" xfId="5572" xr:uid="{95A788F2-87DA-47E7-AD70-394F4B224FF8}"/>
    <cellStyle name="Вычисление 3 6 4 2" xfId="8754" xr:uid="{DDFBD074-D2E2-42BB-BE9D-B471AB22464D}"/>
    <cellStyle name="Вычисление 3 6 4 2 2" xfId="13764" xr:uid="{13037D90-F191-4D4F-9726-B558C1BA1131}"/>
    <cellStyle name="Вычисление 3 6 4 2 2 2" xfId="30174" xr:uid="{FA74B006-DCFE-490F-B477-8B5572CB6A8E}"/>
    <cellStyle name="Вычисление 3 6 4 2 2 3" xfId="43537" xr:uid="{4BAD55A3-DFCE-4B6A-9C4F-0B6782BD667D}"/>
    <cellStyle name="Вычисление 3 6 4 2 3" xfId="26247" xr:uid="{516D9DB4-B26C-4C77-9524-7B1ECE4D26E0}"/>
    <cellStyle name="Вычисление 3 6 4 2 4" xfId="39323" xr:uid="{60ABBFD7-7EC0-4A79-8BBE-B2006BB9B216}"/>
    <cellStyle name="Вычисление 3 6 4 3" xfId="16619" xr:uid="{98204F03-7E8D-4608-872E-0C8B3EEC7176}"/>
    <cellStyle name="Вычисление 3 6 4 3 2" xfId="32527" xr:uid="{BEC15A7D-564A-44BA-8D4D-5F34F485DA92}"/>
    <cellStyle name="Вычисление 3 6 4 3 3" xfId="46166" xr:uid="{BDCBCE25-CE5C-4433-A7F4-339B53F6DE4B}"/>
    <cellStyle name="Вычисление 3 6 4 4" xfId="23219" xr:uid="{0B2E4E73-5EE4-4B35-9D54-A4B420BFD719}"/>
    <cellStyle name="Вычисление 3 6 4 5" xfId="36300" xr:uid="{6F5380CF-B82D-416E-A98E-ABC8D9DDE1A5}"/>
    <cellStyle name="Вычисление 3 6 5" xfId="15930" xr:uid="{77C1AB23-502D-4656-A35A-07F8676AE4F0}"/>
    <cellStyle name="Вычисление 3 6 5 2" xfId="32011" xr:uid="{79B41FF4-DB0E-4F4B-A10A-3A02BC35D664}"/>
    <cellStyle name="Вычисление 3 6 5 3" xfId="45527" xr:uid="{8A424B2D-F5BB-48F8-B9E1-4D136BB1738B}"/>
    <cellStyle name="Вычисление 3 6 6" xfId="21481" xr:uid="{5535026D-52D1-4E2C-B94F-E86EC3E43173}"/>
    <cellStyle name="Вычисление 3 6 7" xfId="34533" xr:uid="{4EA19036-4022-4C36-91FB-A140EA7B4775}"/>
    <cellStyle name="Вычисление 3 7" xfId="3481" xr:uid="{165AE06F-5870-4BD7-9306-C6DC0DDBF5D1}"/>
    <cellStyle name="Вычисление 3 7 2" xfId="2823" xr:uid="{2538D004-1B9D-4375-8D71-099ADC446CBB}"/>
    <cellStyle name="Вычисление 3 7 2 2" xfId="8119" xr:uid="{5297961B-53B1-4AA5-A269-025773CC5775}"/>
    <cellStyle name="Вычисление 3 7 2 2 2" xfId="12387" xr:uid="{8C004CCF-DFC3-4DDE-B169-9CA48A44D7FA}"/>
    <cellStyle name="Вычисление 3 7 2 2 2 2" xfId="29052" xr:uid="{1B1D7A6E-44B0-4353-B742-029022E6D59C}"/>
    <cellStyle name="Вычисление 3 7 2 2 2 3" xfId="42293" xr:uid="{ED35C42C-68E8-42DF-95D3-7BD2FC480DFF}"/>
    <cellStyle name="Вычисление 3 7 2 2 3" xfId="25630" xr:uid="{8A4BF0F3-8ED7-4A2E-A90A-FA331FC7881D}"/>
    <cellStyle name="Вычисление 3 7 2 2 4" xfId="38706" xr:uid="{4F8B7375-DACD-4623-822C-AF1C453B371D}"/>
    <cellStyle name="Вычисление 3 7 2 3" xfId="6486" xr:uid="{CC4CEA8A-F44F-4333-8A7D-D9DE2E225C65}"/>
    <cellStyle name="Вычисление 3 7 2 3 2" xfId="11650" xr:uid="{1BE45CCF-E145-43C0-BB2A-07F3624B8B37}"/>
    <cellStyle name="Вычисление 3 7 2 3 2 2" xfId="28391" xr:uid="{773B1D47-58BF-4025-AD66-11516EFBF2BC}"/>
    <cellStyle name="Вычисление 3 7 2 3 2 3" xfId="41595" xr:uid="{30C2EE80-A651-455F-9430-71F3E499E1DB}"/>
    <cellStyle name="Вычисление 3 7 2 3 3" xfId="24121" xr:uid="{D1C6F11E-0BE4-4740-9E8D-68748D5D57AB}"/>
    <cellStyle name="Вычисление 3 7 2 3 4" xfId="37202" xr:uid="{102A0320-D48D-4BB4-BE9E-8F133A58F689}"/>
    <cellStyle name="Вычисление 3 7 2 4" xfId="15009" xr:uid="{0340FC3B-C8EB-4D1E-B7CF-18FD65B49B48}"/>
    <cellStyle name="Вычисление 3 7 2 4 2" xfId="31236" xr:uid="{35380853-99D8-4F9F-B0C9-0DB9AB270932}"/>
    <cellStyle name="Вычисление 3 7 2 4 3" xfId="44686" xr:uid="{CF3CFA35-C5D4-479D-B0CD-A200349C2A5E}"/>
    <cellStyle name="Вычисление 3 7 2 5" xfId="20873" xr:uid="{4F36423F-9D43-4BF5-B71E-B3982E417BE9}"/>
    <cellStyle name="Вычисление 3 7 2 6" xfId="33896" xr:uid="{64486EF3-0E65-4E7D-BFF4-3A07389097EB}"/>
    <cellStyle name="Вычисление 3 7 3" xfId="4483" xr:uid="{597B6194-9482-4C0B-BDED-96DEE16A437A}"/>
    <cellStyle name="Вычисление 3 7 3 2" xfId="7123" xr:uid="{AB9F4223-7CB6-49E3-A152-76F7CD26EC9D}"/>
    <cellStyle name="Вычисление 3 7 3 2 2" xfId="16635" xr:uid="{F8D92458-5DF8-48B7-9A20-C2B7A02ADE87}"/>
    <cellStyle name="Вычисление 3 7 3 2 2 2" xfId="32541" xr:uid="{B8CC5FB8-A80D-4EB9-9DB9-196A20546C0A}"/>
    <cellStyle name="Вычисление 3 7 3 2 2 3" xfId="46182" xr:uid="{76C274F2-A97E-4677-8F2F-DF55AE6E3721}"/>
    <cellStyle name="Вычисление 3 7 3 2 3" xfId="24722" xr:uid="{40E30B68-72CC-4CDA-9D87-EBC72C7C19AD}"/>
    <cellStyle name="Вычисление 3 7 3 2 4" xfId="37803" xr:uid="{BD2F37A3-FFF2-4191-9E51-17035934B665}"/>
    <cellStyle name="Вычисление 3 7 3 3" xfId="12138" xr:uid="{833B57A2-1DF9-49E5-B2F1-08CD2154CA95}"/>
    <cellStyle name="Вычисление 3 7 3 3 2" xfId="28838" xr:uid="{5EA39ED9-6F75-4A1E-B1ED-8E991DF7C506}"/>
    <cellStyle name="Вычисление 3 7 3 3 3" xfId="42058" xr:uid="{1413BD7E-06C7-4BAF-B1A9-E7758FD4DBF1}"/>
    <cellStyle name="Вычисление 3 7 3 4" xfId="22301" xr:uid="{062718DC-450F-4CE8-B90F-547ACE46CC60}"/>
    <cellStyle name="Вычисление 3 7 3 5" xfId="35350" xr:uid="{86C0670F-3069-4AE2-AF4B-3A763A278078}"/>
    <cellStyle name="Вычисление 3 7 4" xfId="5536" xr:uid="{81E6F851-7FE1-4821-A557-07F18BE7857F}"/>
    <cellStyle name="Вычисление 3 7 4 2" xfId="8718" xr:uid="{A1289234-CA22-4B43-86BD-C7F79C22B547}"/>
    <cellStyle name="Вычисление 3 7 4 2 2" xfId="15031" xr:uid="{6F916D6A-80FC-4337-991D-5BD2C3939BE4}"/>
    <cellStyle name="Вычисление 3 7 4 2 2 2" xfId="31251" xr:uid="{1F748C53-924E-4EC0-BAE0-298E15667E21}"/>
    <cellStyle name="Вычисление 3 7 4 2 2 3" xfId="44706" xr:uid="{9BE9872B-9265-4B8B-BB2A-17EEB6DA1671}"/>
    <cellStyle name="Вычисление 3 7 4 2 3" xfId="26211" xr:uid="{87E4848A-E50D-4828-BCD7-23394AA261C5}"/>
    <cellStyle name="Вычисление 3 7 4 2 4" xfId="39287" xr:uid="{AC0BFE7D-3059-49F7-9FAD-0EA6D8D60708}"/>
    <cellStyle name="Вычисление 3 7 4 3" xfId="11240" xr:uid="{835CF329-AFEC-4336-9093-086DE23D8C4B}"/>
    <cellStyle name="Вычисление 3 7 4 3 2" xfId="28031" xr:uid="{EE837406-0ACF-4782-82AB-FF47788BF21A}"/>
    <cellStyle name="Вычисление 3 7 4 3 3" xfId="41213" xr:uid="{5E93D06E-5B10-4F58-ABDF-2834B92651F7}"/>
    <cellStyle name="Вычисление 3 7 4 4" xfId="23183" xr:uid="{9C6AEC11-BD3B-4A76-83F3-A8D9B51FD197}"/>
    <cellStyle name="Вычисление 3 7 4 5" xfId="36264" xr:uid="{9BA18BA7-B2B1-4C98-B5E1-4BBEA083C686}"/>
    <cellStyle name="Вычисление 3 7 5" xfId="16819" xr:uid="{3D6F5EDE-67AE-4EE3-AA47-123417068486}"/>
    <cellStyle name="Вычисление 3 7 5 2" xfId="32699" xr:uid="{CB2A4241-89E5-497F-9FA9-C838160003FA}"/>
    <cellStyle name="Вычисление 3 7 5 3" xfId="46362" xr:uid="{20222BB7-9396-4755-97C1-86F8B89074FF}"/>
    <cellStyle name="Вычисление 3 7 6" xfId="21449" xr:uid="{3385B99C-3578-4082-8468-A587C30909A9}"/>
    <cellStyle name="Вычисление 3 7 7" xfId="34497" xr:uid="{39A5D1EE-6F06-4BED-A7BE-22577BEA3DD9}"/>
    <cellStyle name="Вычисление 3 8" xfId="3311" xr:uid="{B82ABAD2-D8DF-4E78-9C0E-4B316825CCED}"/>
    <cellStyle name="Вычисление 3 8 2" xfId="2673" xr:uid="{E2B8C526-1928-4FBD-BA0E-ED47900B92EE}"/>
    <cellStyle name="Вычисление 3 8 2 2" xfId="7969" xr:uid="{834419E4-9831-4686-97A1-047B68AB00AB}"/>
    <cellStyle name="Вычисление 3 8 2 2 2" xfId="16227" xr:uid="{93D6BDDC-4165-4282-A702-CE3DB19F4DF8}"/>
    <cellStyle name="Вычисление 3 8 2 2 2 2" xfId="32265" xr:uid="{A1D9A77B-E698-466B-BF95-85A39F8DA95B}"/>
    <cellStyle name="Вычисление 3 8 2 2 2 3" xfId="45793" xr:uid="{ABC8CE4B-C699-482B-B22E-0861C65DF07B}"/>
    <cellStyle name="Вычисление 3 8 2 2 3" xfId="25485" xr:uid="{C8E00C5C-890A-4AE9-8E03-F0C7C5CC6EC9}"/>
    <cellStyle name="Вычисление 3 8 2 2 4" xfId="38561" xr:uid="{9542FE84-6AB9-4D88-9894-BFE85527EC27}"/>
    <cellStyle name="Вычисление 3 8 2 3" xfId="6336" xr:uid="{60A88814-CC59-489B-A5A7-726010A15B3B}"/>
    <cellStyle name="Вычисление 3 8 2 3 2" xfId="16804" xr:uid="{D72BE455-0D6A-440D-ACFF-39BF03532B15}"/>
    <cellStyle name="Вычисление 3 8 2 3 2 2" xfId="32684" xr:uid="{8BF4BD09-7846-43DC-926F-AF409297A5A5}"/>
    <cellStyle name="Вычисление 3 8 2 3 2 3" xfId="46347" xr:uid="{59EFCFC5-3D54-4348-9BE2-BCA85EF2F125}"/>
    <cellStyle name="Вычисление 3 8 2 3 3" xfId="23976" xr:uid="{1D3F80DE-AB3E-435F-ABFD-5C94EE7EDF40}"/>
    <cellStyle name="Вычисление 3 8 2 3 4" xfId="37057" xr:uid="{DFDDE4A8-31C0-47BE-AA73-528C301299D8}"/>
    <cellStyle name="Вычисление 3 8 2 4" xfId="13393" xr:uid="{04ADA91A-13BF-4E9D-B899-C28830EC680B}"/>
    <cellStyle name="Вычисление 3 8 2 4 2" xfId="29863" xr:uid="{779C0DE9-5801-4445-8B99-4361530D46A9}"/>
    <cellStyle name="Вычисление 3 8 2 4 3" xfId="43198" xr:uid="{D3412CE5-4078-4CCF-8D5B-0EC9AB44B725}"/>
    <cellStyle name="Вычисление 3 8 2 5" xfId="20728" xr:uid="{A436FCBD-2F82-4C90-A038-BF7E721E6F8C}"/>
    <cellStyle name="Вычисление 3 8 2 6" xfId="33751" xr:uid="{5B6AC1F8-1549-49A5-96A7-D40A34020E49}"/>
    <cellStyle name="Вычисление 3 8 3" xfId="4342" xr:uid="{385AF459-F300-4940-8FF8-F4E637196AFD}"/>
    <cellStyle name="Вычисление 3 8 3 2" xfId="6961" xr:uid="{EE999086-4519-419D-88B6-4D3E149E9D9D}"/>
    <cellStyle name="Вычисление 3 8 3 2 2" xfId="14175" xr:uid="{B88A4FD8-1E04-46D6-B637-C304B824A6C6}"/>
    <cellStyle name="Вычисление 3 8 3 2 2 2" xfId="30529" xr:uid="{64639666-94A4-4860-AB8C-01C02FF80313}"/>
    <cellStyle name="Вычисление 3 8 3 2 2 3" xfId="43915" xr:uid="{8AA6C435-E895-4C64-8DA0-542D80B4EA42}"/>
    <cellStyle name="Вычисление 3 8 3 2 3" xfId="24583" xr:uid="{1E42018B-0182-4763-B25D-5098A071C8F7}"/>
    <cellStyle name="Вычисление 3 8 3 2 4" xfId="37664" xr:uid="{0296308C-68C6-44BE-8552-80BD06625130}"/>
    <cellStyle name="Вычисление 3 8 3 3" xfId="12018" xr:uid="{4B435828-E15E-4A9E-9A8C-608DAD99DFCC}"/>
    <cellStyle name="Вычисление 3 8 3 3 2" xfId="28720" xr:uid="{D7947534-41A6-49BB-AD95-730453264EC8}"/>
    <cellStyle name="Вычисление 3 8 3 3 3" xfId="41938" xr:uid="{EE11CB1D-4AC8-4048-899B-FB31AA7C91A3}"/>
    <cellStyle name="Вычисление 3 8 3 4" xfId="22162" xr:uid="{160C52D4-F84F-4CF5-90E7-126A90702E4C}"/>
    <cellStyle name="Вычисление 3 8 3 5" xfId="35211" xr:uid="{2188836D-B23D-4F31-8236-33D2D4FB7C7E}"/>
    <cellStyle name="Вычисление 3 8 4" xfId="5397" xr:uid="{0A504304-F433-4644-8ABF-9D0B3DBCCA1A}"/>
    <cellStyle name="Вычисление 3 8 4 2" xfId="8574" xr:uid="{95EC2BD5-30F3-464B-B29D-8A354A7877AA}"/>
    <cellStyle name="Вычисление 3 8 4 2 2" xfId="17424" xr:uid="{5E6CA788-861D-42EA-AAB7-42E6B5423EE8}"/>
    <cellStyle name="Вычисление 3 8 4 2 2 2" xfId="33178" xr:uid="{1B12AE85-C1D3-4644-828B-461B50E49E3C}"/>
    <cellStyle name="Вычисление 3 8 4 2 2 3" xfId="46954" xr:uid="{666AA728-A9D6-4FF5-B314-458FA869C0FF}"/>
    <cellStyle name="Вычисление 3 8 4 2 3" xfId="26072" xr:uid="{759D3CC5-D604-42F2-B2A3-1B65BC349DB5}"/>
    <cellStyle name="Вычисление 3 8 4 2 4" xfId="39148" xr:uid="{263C233A-F2B4-4E40-BCB3-651FE1FAC23E}"/>
    <cellStyle name="Вычисление 3 8 4 3" xfId="13419" xr:uid="{C0B3DB97-F689-4ED1-8090-D55284CF54CB}"/>
    <cellStyle name="Вычисление 3 8 4 3 2" xfId="29887" xr:uid="{C0DE889D-49B4-4AFE-8AF6-9BE86BED7401}"/>
    <cellStyle name="Вычисление 3 8 4 3 3" xfId="43223" xr:uid="{F9C4D2C5-F691-40BE-9A28-007703BB3F5B}"/>
    <cellStyle name="Вычисление 3 8 4 4" xfId="23044" xr:uid="{186BB2FF-2CFE-4263-8A60-D0F2B12B63C3}"/>
    <cellStyle name="Вычисление 3 8 4 5" xfId="36125" xr:uid="{88202162-6348-4244-B673-2524E835DAEB}"/>
    <cellStyle name="Вычисление 3 8 5" xfId="17308" xr:uid="{324A2E98-36CA-47B3-8ADD-770FB173FB43}"/>
    <cellStyle name="Вычисление 3 8 5 2" xfId="33066" xr:uid="{F4652874-7478-4DFD-ABE2-2D05347102E8}"/>
    <cellStyle name="Вычисление 3 8 5 3" xfId="46842" xr:uid="{D823521C-8166-4831-8689-E6BB43D2FB86}"/>
    <cellStyle name="Вычисление 3 8 6" xfId="21335" xr:uid="{D3C03E34-7836-4ABA-B285-D6AECC46B078}"/>
    <cellStyle name="Вычисление 3 8 7" xfId="34358" xr:uid="{A584FBF6-8FD6-407C-9CB7-B34230DC1E7E}"/>
    <cellStyle name="Вычисление 3 9" xfId="3582" xr:uid="{C290C7DA-648B-4473-BB16-F3A605F44DDB}"/>
    <cellStyle name="Вычисление 3 9 2" xfId="2917" xr:uid="{FC539C49-424B-465E-AE4D-6841EDBFEABD}"/>
    <cellStyle name="Вычисление 3 9 2 2" xfId="8213" xr:uid="{7DBBC371-FD2D-44AF-B180-8B721A42821A}"/>
    <cellStyle name="Вычисление 3 9 2 2 2" xfId="13822" xr:uid="{D78923F6-ED4C-45C4-B476-02322C6C9A3E}"/>
    <cellStyle name="Вычисление 3 9 2 2 2 2" xfId="30224" xr:uid="{759D0466-58BB-4030-89A8-74773E9C3FAF}"/>
    <cellStyle name="Вычисление 3 9 2 2 2 3" xfId="43594" xr:uid="{9848F86E-A0C4-4170-BE23-1775DD06430F}"/>
    <cellStyle name="Вычисление 3 9 2 2 3" xfId="25724" xr:uid="{974470EA-9A28-4AD2-87A5-0F867F7EF684}"/>
    <cellStyle name="Вычисление 3 9 2 2 4" xfId="38800" xr:uid="{BFBA2706-CBBF-4D25-AA12-CB9D5D5275EC}"/>
    <cellStyle name="Вычисление 3 9 2 3" xfId="6580" xr:uid="{BA687230-9D96-4495-AE8D-697C422CDED1}"/>
    <cellStyle name="Вычисление 3 9 2 3 2" xfId="15948" xr:uid="{058B155D-828B-4A8C-A854-480F3F11285E}"/>
    <cellStyle name="Вычисление 3 9 2 3 2 2" xfId="32025" xr:uid="{6075C11A-401F-48C9-BC50-8A818ABED02A}"/>
    <cellStyle name="Вычисление 3 9 2 3 2 3" xfId="45543" xr:uid="{6BD8D92B-BB02-4BEB-AF12-71D97C99E973}"/>
    <cellStyle name="Вычисление 3 9 2 3 3" xfId="24215" xr:uid="{422D063F-BD26-428C-8C57-53EEBD1C0653}"/>
    <cellStyle name="Вычисление 3 9 2 3 4" xfId="37296" xr:uid="{44220E91-6A37-454F-860E-D9E9B67EC51F}"/>
    <cellStyle name="Вычисление 3 9 2 4" xfId="17084" xr:uid="{433269D7-7243-428C-BDD0-2796F4AC66F8}"/>
    <cellStyle name="Вычисление 3 9 2 4 2" xfId="32854" xr:uid="{C42FC9AC-387F-4861-B6BC-DF373225D984}"/>
    <cellStyle name="Вычисление 3 9 2 4 3" xfId="46624" xr:uid="{9FD92F18-5D83-4D68-8611-3411DCC0A056}"/>
    <cellStyle name="Вычисление 3 9 2 5" xfId="20967" xr:uid="{817FB2FB-ED27-4DAE-8B1C-B5AF44360D61}"/>
    <cellStyle name="Вычисление 3 9 2 6" xfId="33990" xr:uid="{8CD53A97-4B98-4499-83B2-EE9A19435C04}"/>
    <cellStyle name="Вычисление 3 9 3" xfId="4555" xr:uid="{E381F0FF-17AD-49A5-89D0-DC699EA71B95}"/>
    <cellStyle name="Вычисление 3 9 3 2" xfId="7219" xr:uid="{04649CC2-F325-4562-B3F6-C9D74CF1B4A1}"/>
    <cellStyle name="Вычисление 3 9 3 2 2" xfId="15011" xr:uid="{08206F27-418A-4971-ABC0-532F636BF8AC}"/>
    <cellStyle name="Вычисление 3 9 3 2 2 2" xfId="31237" xr:uid="{0A86C625-2338-4CE5-9EDD-D5F5A20AC462}"/>
    <cellStyle name="Вычисление 3 9 3 2 2 3" xfId="44687" xr:uid="{B4B133C5-D74C-4F0F-95E7-6433FA138EC0}"/>
    <cellStyle name="Вычисление 3 9 3 2 3" xfId="24813" xr:uid="{AE9907DB-F661-4552-B4DA-18CB3D32101D}"/>
    <cellStyle name="Вычисление 3 9 3 2 4" xfId="37894" xr:uid="{18F1FA0E-401D-48FB-AB0D-07BC0BF84D4A}"/>
    <cellStyle name="Вычисление 3 9 3 3" xfId="14119" xr:uid="{DA01A41E-0067-46CB-8FF3-C2EE38E977C9}"/>
    <cellStyle name="Вычисление 3 9 3 3 2" xfId="30484" xr:uid="{0DE3931E-8A41-4224-8BC2-E6114DD3E530}"/>
    <cellStyle name="Вычисление 3 9 3 3 3" xfId="43867" xr:uid="{47534412-8223-4E58-8931-EC1796BF1DB4}"/>
    <cellStyle name="Вычисление 3 9 3 4" xfId="22371" xr:uid="{82562CB8-75F7-4D04-8B2C-33AFB49A2F88}"/>
    <cellStyle name="Вычисление 3 9 3 5" xfId="35420" xr:uid="{79C051D0-E187-481C-9F8C-6C1E3177F264}"/>
    <cellStyle name="Вычисление 3 9 4" xfId="5627" xr:uid="{C32E9F77-0338-45B1-80BE-603926C10953}"/>
    <cellStyle name="Вычисление 3 9 4 2" xfId="8809" xr:uid="{4311FD43-37C0-4862-9214-EA6E713BE5D6}"/>
    <cellStyle name="Вычисление 3 9 4 2 2" xfId="13103" xr:uid="{C6A74BC6-27B0-447D-9799-306E8A1E15AC}"/>
    <cellStyle name="Вычисление 3 9 4 2 2 2" xfId="29618" xr:uid="{BAF79EC9-23B3-4F8D-9CFC-60A92891E60C}"/>
    <cellStyle name="Вычисление 3 9 4 2 2 3" xfId="42929" xr:uid="{34AC17A6-B67F-46EC-883E-59926B8DDDAD}"/>
    <cellStyle name="Вычисление 3 9 4 2 3" xfId="26302" xr:uid="{9FFB131A-AC52-4DBA-8B63-3D5B89F4FF5C}"/>
    <cellStyle name="Вычисление 3 9 4 2 4" xfId="39378" xr:uid="{82AD762E-0478-4E84-A28A-F850B61E0091}"/>
    <cellStyle name="Вычисление 3 9 4 3" xfId="14137" xr:uid="{BBCCDCE7-2421-4BD6-B38E-545E721C5F4F}"/>
    <cellStyle name="Вычисление 3 9 4 3 2" xfId="30500" xr:uid="{6157A541-D77D-41A9-91E7-1C32235345E3}"/>
    <cellStyle name="Вычисление 3 9 4 3 3" xfId="43884" xr:uid="{F554B0DE-8FDE-4580-BE5B-B4B8A91770B1}"/>
    <cellStyle name="Вычисление 3 9 4 4" xfId="23274" xr:uid="{8A5E9210-6DF4-473A-B1C6-98872E94AAAC}"/>
    <cellStyle name="Вычисление 3 9 4 5" xfId="36355" xr:uid="{9E070E21-4C13-4AF7-A8B4-225BB4DA2C73}"/>
    <cellStyle name="Вычисление 3 9 5" xfId="11915" xr:uid="{B1C05EA8-57FB-4317-B99B-CD8A06CC1E46}"/>
    <cellStyle name="Вычисление 3 9 5 2" xfId="28630" xr:uid="{B2916C8E-B934-4503-AA64-45B08C7AC4B0}"/>
    <cellStyle name="Вычисление 3 9 5 3" xfId="41846" xr:uid="{84082D73-3799-4689-9444-339C4EB62DA6}"/>
    <cellStyle name="Вычисление 3 9 6" xfId="21536" xr:uid="{5578CD13-5867-43E1-A0FC-56E4A246D8FA}"/>
    <cellStyle name="Вычисление 3 9 7" xfId="34589" xr:uid="{E9A8F60F-FEB5-423C-9A6C-D71943871BA5}"/>
    <cellStyle name="Вычисление 4" xfId="2305" xr:uid="{A5E91808-5A07-4E47-BB46-3432E066BA30}"/>
    <cellStyle name="Вычисление 4 10" xfId="3730" xr:uid="{02A09D8F-D323-4FF5-90B4-1466235DC777}"/>
    <cellStyle name="Вычисление 4 10 2" xfId="3046" xr:uid="{66D42630-3CDF-4F74-9735-F4FC90B7EB06}"/>
    <cellStyle name="Вычисление 4 10 2 2" xfId="8342" xr:uid="{E3EEF276-C8EF-4C4B-99B2-C0F99A30342E}"/>
    <cellStyle name="Вычисление 4 10 2 2 2" xfId="17401" xr:uid="{9E761C50-3830-4F4F-9759-4123F5B2DBC0}"/>
    <cellStyle name="Вычисление 4 10 2 2 2 2" xfId="33155" xr:uid="{36C8BA42-79BE-41E8-9774-DCF5F16EB678}"/>
    <cellStyle name="Вычисление 4 10 2 2 2 3" xfId="46931" xr:uid="{1BD7189B-0E97-42F4-A3CB-2C41F8BE82B4}"/>
    <cellStyle name="Вычисление 4 10 2 2 3" xfId="25846" xr:uid="{0FBA475F-C625-4257-9415-7F70BA29786B}"/>
    <cellStyle name="Вычисление 4 10 2 2 4" xfId="38922" xr:uid="{23436603-63E4-44F8-BB8A-A3BCACE370F0}"/>
    <cellStyle name="Вычисление 4 10 2 3" xfId="6709" xr:uid="{30196A67-647F-4938-A1D1-EB59E9CC9CB3}"/>
    <cellStyle name="Вычисление 4 10 2 3 2" xfId="16821" xr:uid="{E8CB7ADD-D3B1-43CA-9C84-410A5D1403AC}"/>
    <cellStyle name="Вычисление 4 10 2 3 2 2" xfId="32701" xr:uid="{C01D231E-0D33-4B3F-915E-CC053B54B2D0}"/>
    <cellStyle name="Вычисление 4 10 2 3 2 3" xfId="46364" xr:uid="{B45F0F98-8F3F-49FA-8DAD-3D4C5F5BA184}"/>
    <cellStyle name="Вычисление 4 10 2 3 3" xfId="24337" xr:uid="{302CDB28-6D04-48DE-B4D0-5089B2765DF0}"/>
    <cellStyle name="Вычисление 4 10 2 3 4" xfId="37418" xr:uid="{C58E9222-38AD-4074-BB45-372F4F510FC1}"/>
    <cellStyle name="Вычисление 4 10 2 4" xfId="17097" xr:uid="{8AC56D42-6328-4D17-A3F8-5F58841F369A}"/>
    <cellStyle name="Вычисление 4 10 2 4 2" xfId="32866" xr:uid="{13F4157E-8344-48AF-8AAB-A3AC2D0083FC}"/>
    <cellStyle name="Вычисление 4 10 2 4 3" xfId="46637" xr:uid="{1EBAD87A-4EDC-4EDF-BC6E-09C94C665E78}"/>
    <cellStyle name="Вычисление 4 10 2 5" xfId="21089" xr:uid="{2C58406D-B295-488E-A545-EE046A7C4810}"/>
    <cellStyle name="Вычисление 4 10 2 6" xfId="34112" xr:uid="{B659B50C-8170-4685-82DC-A1665B6C9D4C}"/>
    <cellStyle name="Вычисление 4 10 3" xfId="4631" xr:uid="{B838C32A-C90B-47F6-AB34-6D01C25A302D}"/>
    <cellStyle name="Вычисление 4 10 3 2" xfId="7365" xr:uid="{29A5CD39-0C63-4C52-9EBA-A5A2CAB060F2}"/>
    <cellStyle name="Вычисление 4 10 3 2 2" xfId="15125" xr:uid="{D1DF568F-E75A-4811-8EB0-370A6B01D932}"/>
    <cellStyle name="Вычисление 4 10 3 2 2 2" xfId="31327" xr:uid="{CE54C1C5-2580-449C-8EF7-81B5ED586F0E}"/>
    <cellStyle name="Вычисление 4 10 3 2 2 3" xfId="44789" xr:uid="{4A06A8AD-95BE-4396-A40E-71FD91AB5D4E}"/>
    <cellStyle name="Вычисление 4 10 3 2 3" xfId="24924" xr:uid="{4CF8B4FF-20D6-4703-9B32-1E0025E799EC}"/>
    <cellStyle name="Вычисление 4 10 3 2 4" xfId="38004" xr:uid="{48AA23D2-BC81-4472-9ACD-5A86B7B2E2CE}"/>
    <cellStyle name="Вычисление 4 10 3 3" xfId="14045" xr:uid="{63AC67DE-1C06-449A-9558-B1DE4A5C6CDC}"/>
    <cellStyle name="Вычисление 4 10 3 3 2" xfId="30418" xr:uid="{A213FA01-0E76-4737-B3B0-06BB5CA91815}"/>
    <cellStyle name="Вычисление 4 10 3 3 3" xfId="43800" xr:uid="{41F30D31-1B71-4066-B360-80A82987C72B}"/>
    <cellStyle name="Вычисление 4 10 3 4" xfId="22441" xr:uid="{23BBB63C-3A16-49DB-B3FC-62A47C060BA5}"/>
    <cellStyle name="Вычисление 4 10 3 5" xfId="35494" xr:uid="{AA96BAE7-7C6E-4C3A-8098-3C4DEFA06314}"/>
    <cellStyle name="Вычисление 4 10 4" xfId="5737" xr:uid="{00A9616C-F1EF-4AFE-A75B-0997525AA6F7}"/>
    <cellStyle name="Вычисление 4 10 4 2" xfId="8926" xr:uid="{504A0371-B140-4331-9EBC-DC475D86CE40}"/>
    <cellStyle name="Вычисление 4 10 4 2 2" xfId="11808" xr:uid="{B343EFBA-AC0B-4D69-8252-11A7478AA271}"/>
    <cellStyle name="Вычисление 4 10 4 2 2 2" xfId="28529" xr:uid="{BF0C5143-9C58-45A7-BC4E-7B0461A49CC4}"/>
    <cellStyle name="Вычисление 4 10 4 2 2 3" xfId="41741" xr:uid="{359A8941-1CA4-4667-B7DD-5109D9868378}"/>
    <cellStyle name="Вычисление 4 10 4 2 3" xfId="26412" xr:uid="{F94BDFED-023B-49CD-9E15-CEE82AB76D54}"/>
    <cellStyle name="Вычисление 4 10 4 2 4" xfId="39488" xr:uid="{CD86C05E-BBAE-49D5-B1DC-5C95C0B1E352}"/>
    <cellStyle name="Вычисление 4 10 4 3" xfId="11787" xr:uid="{5AFDFBB5-0583-458E-B098-0E3939535FB1}"/>
    <cellStyle name="Вычисление 4 10 4 3 2" xfId="28509" xr:uid="{71992081-E75E-4C4A-908D-60AF8157FA9D}"/>
    <cellStyle name="Вычисление 4 10 4 3 3" xfId="41721" xr:uid="{882BC39F-B806-46AC-A449-6D7C72F32D10}"/>
    <cellStyle name="Вычисление 4 10 4 4" xfId="23384" xr:uid="{F05587FE-81AF-4ACB-9957-8CE0363F6FB1}"/>
    <cellStyle name="Вычисление 4 10 4 5" xfId="36465" xr:uid="{A3FEC001-F3AF-429D-8814-666ED2D1DB68}"/>
    <cellStyle name="Вычисление 4 10 5" xfId="14430" xr:uid="{7AA6FDA2-96AF-4249-98F3-36D822453782}"/>
    <cellStyle name="Вычисление 4 10 5 2" xfId="30760" xr:uid="{A82FB18A-C859-4D34-86F1-6B7EF4A6C797}"/>
    <cellStyle name="Вычисление 4 10 5 3" xfId="44160" xr:uid="{AAE5C1BA-621B-4F1E-8202-5E4E8D4639A9}"/>
    <cellStyle name="Вычисление 4 10 6" xfId="21646" xr:uid="{C53DE583-11B0-4DF3-9ACE-6D25DB7DEC18}"/>
    <cellStyle name="Вычисление 4 10 7" xfId="34700" xr:uid="{05E64E47-0772-4294-B58F-04D512FF1376}"/>
    <cellStyle name="Вычисление 4 11" xfId="3569" xr:uid="{1CC920B6-AB4B-4B92-A096-21E0887695B0}"/>
    <cellStyle name="Вычисление 4 11 2" xfId="2904" xr:uid="{FCDDBBCC-5257-4EB1-95E0-449BAE93334C}"/>
    <cellStyle name="Вычисление 4 11 2 2" xfId="8200" xr:uid="{5D589C6A-4E46-4DA5-93F2-EE64ED257000}"/>
    <cellStyle name="Вычисление 4 11 2 2 2" xfId="16810" xr:uid="{8321C1C2-5D3A-42AB-9A93-6E9F4279BC40}"/>
    <cellStyle name="Вычисление 4 11 2 2 2 2" xfId="32690" xr:uid="{6AC71F34-DBE1-4BEE-A182-AB13A091E749}"/>
    <cellStyle name="Вычисление 4 11 2 2 2 3" xfId="46353" xr:uid="{4384D7C5-2AFC-412F-B935-61DE35334499}"/>
    <cellStyle name="Вычисление 4 11 2 2 3" xfId="25711" xr:uid="{EA19F0C7-0750-4FAA-AE86-4FFF78B457F3}"/>
    <cellStyle name="Вычисление 4 11 2 2 4" xfId="38787" xr:uid="{C9A50BF1-45B5-4E7B-B59C-6462EBD8DAEB}"/>
    <cellStyle name="Вычисление 4 11 2 3" xfId="6567" xr:uid="{136F6734-C6AA-446C-A509-FB6A9C2C98EF}"/>
    <cellStyle name="Вычисление 4 11 2 3 2" xfId="16762" xr:uid="{47DE3AE0-6C5C-4F15-824F-01E2D671F4FA}"/>
    <cellStyle name="Вычисление 4 11 2 3 2 2" xfId="32644" xr:uid="{DB455CA6-5039-4E6B-9800-F0DFCBDE52F5}"/>
    <cellStyle name="Вычисление 4 11 2 3 2 3" xfId="46305" xr:uid="{8B6440C7-B3FE-4866-AE8F-64A8FFFC8CCF}"/>
    <cellStyle name="Вычисление 4 11 2 3 3" xfId="24202" xr:uid="{0A3659A2-999B-48DA-8913-A20240050FD0}"/>
    <cellStyle name="Вычисление 4 11 2 3 4" xfId="37283" xr:uid="{63F9C960-4B65-4BF3-B1CD-2874E296F666}"/>
    <cellStyle name="Вычисление 4 11 2 4" xfId="17291" xr:uid="{C73D7F74-1F3D-4EFF-BE44-FC02B02B32F1}"/>
    <cellStyle name="Вычисление 4 11 2 4 2" xfId="33049" xr:uid="{C9AE525B-A780-4143-948C-681086645EF5}"/>
    <cellStyle name="Вычисление 4 11 2 4 3" xfId="46825" xr:uid="{F57051DA-7CB6-4CFC-A72F-C1FC0FCFF8E1}"/>
    <cellStyle name="Вычисление 4 11 2 5" xfId="20954" xr:uid="{1B03517A-760A-47C8-8953-3116667BFD26}"/>
    <cellStyle name="Вычисление 4 11 2 6" xfId="33977" xr:uid="{0352F681-8310-4923-8D67-036D3B0711CF}"/>
    <cellStyle name="Вычисление 4 11 3" xfId="4660" xr:uid="{2624C6DB-5977-4949-8902-29247C79BAEF}"/>
    <cellStyle name="Вычисление 4 11 3 2" xfId="7206" xr:uid="{4BC28877-C917-4EAB-B951-ACAE58CD0EAC}"/>
    <cellStyle name="Вычисление 4 11 3 2 2" xfId="12440" xr:uid="{12BA33B3-6970-4F4B-8CD1-279F82740915}"/>
    <cellStyle name="Вычисление 4 11 3 2 2 2" xfId="29093" xr:uid="{C3FE19C6-5F7C-43AF-9278-1AA93CD0DD3B}"/>
    <cellStyle name="Вычисление 4 11 3 2 2 3" xfId="42338" xr:uid="{F3408BBE-58C2-4CE2-BC41-5CBF21B45714}"/>
    <cellStyle name="Вычисление 4 11 3 2 3" xfId="24800" xr:uid="{85704B87-0322-4479-AEE0-30C2AFF4C186}"/>
    <cellStyle name="Вычисление 4 11 3 2 4" xfId="37881" xr:uid="{6E3B82BC-B3D2-4E3C-B671-60B81C5C6FB4}"/>
    <cellStyle name="Вычисление 4 11 3 3" xfId="15720" xr:uid="{3E86CBEB-1B61-4837-90A5-F9E5D6CD2060}"/>
    <cellStyle name="Вычисление 4 11 3 3 2" xfId="31830" xr:uid="{9210A8CC-FCBF-43BA-BD6A-915C2120F3B5}"/>
    <cellStyle name="Вычисление 4 11 3 3 3" xfId="45339" xr:uid="{85D7B4CA-5DCD-4677-A472-0E38BD1EA694}"/>
    <cellStyle name="Вычисление 4 11 3 4" xfId="22470" xr:uid="{BA20BF89-76A9-4833-BCA2-A4774C002AF8}"/>
    <cellStyle name="Вычисление 4 11 3 5" xfId="35523" xr:uid="{4227226C-581D-42DA-8320-1A1DCB58B8FC}"/>
    <cellStyle name="Вычисление 4 11 4" xfId="5614" xr:uid="{F6D2D7F9-9F28-4DBF-B31B-96EF8ABA1D4B}"/>
    <cellStyle name="Вычисление 4 11 4 2" xfId="8796" xr:uid="{8E598F15-1C6B-4393-9BA3-CA1E92ECC1CB}"/>
    <cellStyle name="Вычисление 4 11 4 2 2" xfId="15364" xr:uid="{336DB62E-18AA-43A0-87D5-057C69DB6AC2}"/>
    <cellStyle name="Вычисление 4 11 4 2 2 2" xfId="31521" xr:uid="{84B20DB6-FB8D-4E80-B79B-153B1F5FEFC0}"/>
    <cellStyle name="Вычисление 4 11 4 2 2 3" xfId="45007" xr:uid="{E35BC909-CB1B-414E-AC65-394A6F6C0DB9}"/>
    <cellStyle name="Вычисление 4 11 4 2 3" xfId="26289" xr:uid="{4E9427B6-3E3F-48FB-AD90-F6A628328BE7}"/>
    <cellStyle name="Вычисление 4 11 4 2 4" xfId="39365" xr:uid="{B7486122-F020-4E53-BCAC-9EAEE473C0FE}"/>
    <cellStyle name="Вычисление 4 11 4 3" xfId="11108" xr:uid="{47B919C7-4F88-4EFC-B4A4-CACFE59719C0}"/>
    <cellStyle name="Вычисление 4 11 4 3 2" xfId="27909" xr:uid="{CB02424E-7831-4C2F-9C46-BF4FF905DFCE}"/>
    <cellStyle name="Вычисление 4 11 4 3 3" xfId="41087" xr:uid="{DDDCA1BF-86DC-4043-9EE8-789D1D673C58}"/>
    <cellStyle name="Вычисление 4 11 4 4" xfId="23261" xr:uid="{8FA776E1-F3DC-4430-8317-B339EAE45B85}"/>
    <cellStyle name="Вычисление 4 11 4 5" xfId="36342" xr:uid="{948BF291-9C2F-4A32-A050-C3E786C4D642}"/>
    <cellStyle name="Вычисление 4 11 5" xfId="16740" xr:uid="{8A90EBCA-8864-4CCF-99D3-E50CB3BDC165}"/>
    <cellStyle name="Вычисление 4 11 5 2" xfId="32623" xr:uid="{2D9D640D-69E9-4932-8145-CE99798A7581}"/>
    <cellStyle name="Вычисление 4 11 5 3" xfId="46283" xr:uid="{62E2CEF8-19D4-4CFE-8713-C7DB4CFA264A}"/>
    <cellStyle name="Вычисление 4 11 6" xfId="21523" xr:uid="{D290B9C3-D620-44F6-8270-072DDC617DE7}"/>
    <cellStyle name="Вычисление 4 11 7" xfId="34576" xr:uid="{8660B539-1B8A-4EA3-821C-3C46AAFA9FE9}"/>
    <cellStyle name="Вычисление 4 12" xfId="3711" xr:uid="{0FF92292-155B-4D2A-98C9-16AD3B982DD8}"/>
    <cellStyle name="Вычисление 4 12 2" xfId="3027" xr:uid="{C022A9B6-FF52-4ED1-8AC6-ABA24F692AC3}"/>
    <cellStyle name="Вычисление 4 12 2 2" xfId="8323" xr:uid="{340EC5D3-9958-4A20-9967-9E17133A6441}"/>
    <cellStyle name="Вычисление 4 12 2 2 2" xfId="13722" xr:uid="{52D00537-40E3-45F6-A8C5-A272A72427D1}"/>
    <cellStyle name="Вычисление 4 12 2 2 2 2" xfId="30138" xr:uid="{F54EF67A-ACE7-456A-928E-270C1C693E96}"/>
    <cellStyle name="Вычисление 4 12 2 2 2 3" xfId="43500" xr:uid="{C4D10FCA-06D7-426F-97A3-2E47376C30E0}"/>
    <cellStyle name="Вычисление 4 12 2 2 3" xfId="25827" xr:uid="{648C95CE-E455-460D-BAC6-14B00794EF78}"/>
    <cellStyle name="Вычисление 4 12 2 2 4" xfId="38903" xr:uid="{2C4034CC-EBF1-434C-AC53-15748AB695DB}"/>
    <cellStyle name="Вычисление 4 12 2 3" xfId="6690" xr:uid="{723EDBC2-5DF4-429F-AFC7-55002C549090}"/>
    <cellStyle name="Вычисление 4 12 2 3 2" xfId="15110" xr:uid="{C8B0A756-5B23-4EFF-A8DE-425293B0FB8E}"/>
    <cellStyle name="Вычисление 4 12 2 3 2 2" xfId="31315" xr:uid="{BCEBDBF5-251A-4EDB-912D-76BC5CD36D53}"/>
    <cellStyle name="Вычисление 4 12 2 3 2 3" xfId="44777" xr:uid="{335C1E22-8A61-4C52-BCED-30CA742BF6E5}"/>
    <cellStyle name="Вычисление 4 12 2 3 3" xfId="24318" xr:uid="{5DBCFFD5-9C9B-4034-B70E-A87B466CEC59}"/>
    <cellStyle name="Вычисление 4 12 2 3 4" xfId="37399" xr:uid="{F4101121-F9C3-442D-BCD4-CC0DD255D7DF}"/>
    <cellStyle name="Вычисление 4 12 2 4" xfId="12947" xr:uid="{EA9F86AC-791F-4F42-A6FD-E775AC8DB875}"/>
    <cellStyle name="Вычисление 4 12 2 4 2" xfId="29485" xr:uid="{547DFEC5-0DB6-4D25-AEB9-9D0403535A58}"/>
    <cellStyle name="Вычисление 4 12 2 4 3" xfId="42784" xr:uid="{5EF9DC85-1939-412D-A11F-2F5450842BA1}"/>
    <cellStyle name="Вычисление 4 12 2 5" xfId="21070" xr:uid="{7943BC59-4D51-4BFC-B93A-28AE61A1FB97}"/>
    <cellStyle name="Вычисление 4 12 2 6" xfId="34093" xr:uid="{F318F573-55A5-4DB3-8100-0BAC2259B1CA}"/>
    <cellStyle name="Вычисление 4 12 3" xfId="4741" xr:uid="{E991BBDD-AE41-418C-9D33-05C47AC9D249}"/>
    <cellStyle name="Вычисление 4 12 3 2" xfId="7346" xr:uid="{D3E6D982-5025-4130-8A78-F83819BD1BE2}"/>
    <cellStyle name="Вычисление 4 12 3 2 2" xfId="16768" xr:uid="{6318C8C0-96C8-4FEE-8E0D-D51172EBE5CD}"/>
    <cellStyle name="Вычисление 4 12 3 2 2 2" xfId="32650" xr:uid="{E6A4B69C-BB36-40A8-BBC0-64BA6B0E089A}"/>
    <cellStyle name="Вычисление 4 12 3 2 2 3" xfId="46311" xr:uid="{AD0DCA4C-3BB7-468C-A8C5-0B9C86D31416}"/>
    <cellStyle name="Вычисление 4 12 3 2 3" xfId="24905" xr:uid="{7A964BA2-E179-4D51-ADFF-A85E0ABEB8EE}"/>
    <cellStyle name="Вычисление 4 12 3 2 4" xfId="37985" xr:uid="{C3A82A7B-3612-4EE0-BC83-3BB68CDA771F}"/>
    <cellStyle name="Вычисление 4 12 3 3" xfId="12328" xr:uid="{BE27F516-D147-468F-86A6-C904FF1BE461}"/>
    <cellStyle name="Вычисление 4 12 3 3 2" xfId="28996" xr:uid="{58B06674-F70A-4060-87B5-EC396A9121E9}"/>
    <cellStyle name="Вычисление 4 12 3 3 3" xfId="42236" xr:uid="{6FCABF6A-EDB7-464B-9986-44DB49B4763B}"/>
    <cellStyle name="Вычисление 4 12 3 4" xfId="22544" xr:uid="{D8D645F0-C53C-40E4-B84F-8A1B8DFEFB4A}"/>
    <cellStyle name="Вычисление 4 12 3 5" xfId="35597" xr:uid="{1D9EE0F8-2010-4A25-B104-398AA74DA855}"/>
    <cellStyle name="Вычисление 4 12 4" xfId="5718" xr:uid="{B92F9AEA-C511-4948-ACE4-4A875030AADE}"/>
    <cellStyle name="Вычисление 4 12 4 2" xfId="8907" xr:uid="{C364AE4C-F56D-48C9-B87D-72088759160F}"/>
    <cellStyle name="Вычисление 4 12 4 2 2" xfId="11438" xr:uid="{1C3B7EA0-9947-474F-9F01-606B86ABAEEB}"/>
    <cellStyle name="Вычисление 4 12 4 2 2 2" xfId="28204" xr:uid="{4959C8C1-EB1B-43C8-8098-A5BB4B97673B}"/>
    <cellStyle name="Вычисление 4 12 4 2 2 3" xfId="41397" xr:uid="{38DD9D7A-98CA-4666-A282-93399FE0582C}"/>
    <cellStyle name="Вычисление 4 12 4 2 3" xfId="26393" xr:uid="{7A03FD86-800B-4ADC-B4A5-85809AD2B970}"/>
    <cellStyle name="Вычисление 4 12 4 2 4" xfId="39469" xr:uid="{EC3BD20F-A5B0-471C-AA03-8F1C656E29F3}"/>
    <cellStyle name="Вычисление 4 12 4 3" xfId="15588" xr:uid="{F9F77ACE-6AC9-4389-BBD3-1520B314CBA6}"/>
    <cellStyle name="Вычисление 4 12 4 3 2" xfId="31715" xr:uid="{F34B3591-A167-43E5-881F-E274E4FBBB04}"/>
    <cellStyle name="Вычисление 4 12 4 3 3" xfId="45217" xr:uid="{357F2103-2117-473A-BD8D-09F27B920228}"/>
    <cellStyle name="Вычисление 4 12 4 4" xfId="23365" xr:uid="{8B73647A-3BC8-4CC2-86C0-1BE97604F9D2}"/>
    <cellStyle name="Вычисление 4 12 4 5" xfId="36446" xr:uid="{AACDA53F-7420-4312-A1C4-812DC5CEDF1B}"/>
    <cellStyle name="Вычисление 4 12 5" xfId="15380" xr:uid="{91F36CEA-58F1-4B57-9AF5-45CA843CBF2B}"/>
    <cellStyle name="Вычисление 4 12 5 2" xfId="31536" xr:uid="{021F2FCE-7671-4C03-9C7F-5B8DB8A731EC}"/>
    <cellStyle name="Вычисление 4 12 5 3" xfId="45023" xr:uid="{3FB6B4FB-FE92-407A-95F7-20BCFD8D1412}"/>
    <cellStyle name="Вычисление 4 12 6" xfId="21627" xr:uid="{F340B880-63ED-4CC5-8401-1EE839C9B060}"/>
    <cellStyle name="Вычисление 4 12 7" xfId="34681" xr:uid="{23A2B657-2E28-421A-863F-C9149AA159AE}"/>
    <cellStyle name="Вычисление 4 13" xfId="3697" xr:uid="{17A8FF4F-3DE6-481D-8555-EDA0042448EA}"/>
    <cellStyle name="Вычисление 4 13 2" xfId="3013" xr:uid="{5496D204-622E-4A86-8428-F7EE4EC0249B}"/>
    <cellStyle name="Вычисление 4 13 2 2" xfId="8309" xr:uid="{AC869712-2680-4B1F-998F-3F587F74031D}"/>
    <cellStyle name="Вычисление 4 13 2 2 2" xfId="16076" xr:uid="{2ABB56A9-AA47-4D0C-A5EF-6D10F0DDC00D}"/>
    <cellStyle name="Вычисление 4 13 2 2 2 2" xfId="32136" xr:uid="{2C0E6AFD-86CC-460E-B286-749104B79A86}"/>
    <cellStyle name="Вычисление 4 13 2 2 2 3" xfId="45656" xr:uid="{3902B0C9-838E-45D7-B69E-34F19865F742}"/>
    <cellStyle name="Вычисление 4 13 2 2 3" xfId="25813" xr:uid="{8BECD5D6-2D5E-4AF1-8989-5CDC887CC8AF}"/>
    <cellStyle name="Вычисление 4 13 2 2 4" xfId="38889" xr:uid="{CD0FB4F5-401F-416A-A1A8-9E7651BFAA30}"/>
    <cellStyle name="Вычисление 4 13 2 3" xfId="6676" xr:uid="{7DED2168-DA9D-4135-BF03-1A36338CB22B}"/>
    <cellStyle name="Вычисление 4 13 2 3 2" xfId="15078" xr:uid="{8D786B72-FE31-4841-8CF1-169F5F7F7496}"/>
    <cellStyle name="Вычисление 4 13 2 3 2 2" xfId="31287" xr:uid="{D7B63DC5-9BF8-4EC0-8726-29534F478D76}"/>
    <cellStyle name="Вычисление 4 13 2 3 2 3" xfId="44745" xr:uid="{56355DB1-338C-4C52-8C8F-4C012A4F52EB}"/>
    <cellStyle name="Вычисление 4 13 2 3 3" xfId="24304" xr:uid="{45917235-4067-46B0-82F7-3BA453CE7002}"/>
    <cellStyle name="Вычисление 4 13 2 3 4" xfId="37385" xr:uid="{1075CA67-4A27-4F4D-84C3-68CEC479BD16}"/>
    <cellStyle name="Вычисление 4 13 2 4" xfId="15674" xr:uid="{EDC8B08B-992B-4FD9-9539-B22048AB77E4}"/>
    <cellStyle name="Вычисление 4 13 2 4 2" xfId="31788" xr:uid="{FB988670-526E-4792-8C27-1410E97D35CB}"/>
    <cellStyle name="Вычисление 4 13 2 4 3" xfId="45295" xr:uid="{64DC0490-00A5-4892-B72B-94770763FABC}"/>
    <cellStyle name="Вычисление 4 13 2 5" xfId="21056" xr:uid="{F4782414-4C96-4A91-8F25-99975843EB09}"/>
    <cellStyle name="Вычисление 4 13 2 6" xfId="34079" xr:uid="{4F677BBE-DD71-4E8A-99A5-E9EFDC47AA02}"/>
    <cellStyle name="Вычисление 4 13 3" xfId="4727" xr:uid="{D7CEA59E-F003-489A-9FED-7DA0B449AD47}"/>
    <cellStyle name="Вычисление 4 13 3 2" xfId="7332" xr:uid="{EAA52E38-8882-4A88-8305-4D519A2567B5}"/>
    <cellStyle name="Вычисление 4 13 3 2 2" xfId="10624" xr:uid="{46F1212B-26FB-4ADB-A4BE-7FC60631BD49}"/>
    <cellStyle name="Вычисление 4 13 3 2 2 2" xfId="27483" xr:uid="{81D683A2-9800-4758-A0EA-F2550C7CB1EE}"/>
    <cellStyle name="Вычисление 4 13 3 2 2 3" xfId="40605" xr:uid="{C4458D5A-2608-46E5-9973-09B4AD92FFBD}"/>
    <cellStyle name="Вычисление 4 13 3 2 3" xfId="24891" xr:uid="{ECFC7AA8-85E0-48E6-8A99-CE029C77A1DF}"/>
    <cellStyle name="Вычисление 4 13 3 2 4" xfId="37971" xr:uid="{2832D767-0DC7-4882-93ED-CE2034681D26}"/>
    <cellStyle name="Вычисление 4 13 3 3" xfId="13254" xr:uid="{F32FB65A-AD43-4165-86A8-A2141219A12F}"/>
    <cellStyle name="Вычисление 4 13 3 3 2" xfId="29747" xr:uid="{BFF37BC9-3A8D-466A-8882-441EFF655F99}"/>
    <cellStyle name="Вычисление 4 13 3 3 3" xfId="43072" xr:uid="{12D5E5A5-B357-4C33-84DC-6C33D3869BD5}"/>
    <cellStyle name="Вычисление 4 13 3 4" xfId="22530" xr:uid="{AF1A9515-5691-4CF4-A50A-2861464C4372}"/>
    <cellStyle name="Вычисление 4 13 3 5" xfId="35583" xr:uid="{3AF5E153-4F0D-4E9E-BD53-99E13B06BDEC}"/>
    <cellStyle name="Вычисление 4 13 4" xfId="5704" xr:uid="{9B1E4CDC-D673-4DBD-BEC3-64236F261857}"/>
    <cellStyle name="Вычисление 4 13 4 2" xfId="8893" xr:uid="{7D5639C1-F5A2-4901-9095-1FCBAD19AAB5}"/>
    <cellStyle name="Вычисление 4 13 4 2 2" xfId="11828" xr:uid="{F13DECBA-469C-4B07-8686-F89086F7CD7C}"/>
    <cellStyle name="Вычисление 4 13 4 2 2 2" xfId="28548" xr:uid="{833C2BF1-71D9-47A5-A433-8C7B2AA13817}"/>
    <cellStyle name="Вычисление 4 13 4 2 2 3" xfId="41761" xr:uid="{6DB07B1C-1A79-4D08-922F-C14B16A49A8E}"/>
    <cellStyle name="Вычисление 4 13 4 2 3" xfId="26379" xr:uid="{8B9E29D9-9DDB-4745-A285-F9C89D130CCC}"/>
    <cellStyle name="Вычисление 4 13 4 2 4" xfId="39455" xr:uid="{ADCC9DA7-E09F-493A-A64E-6E2510B7FB64}"/>
    <cellStyle name="Вычисление 4 13 4 3" xfId="14064" xr:uid="{E257CCC2-228F-46ED-ABB7-C524A72A7F70}"/>
    <cellStyle name="Вычисление 4 13 4 3 2" xfId="30433" xr:uid="{07D2B62C-6013-4FC6-A715-E063904A1576}"/>
    <cellStyle name="Вычисление 4 13 4 3 3" xfId="43816" xr:uid="{6751C728-AF30-4596-8489-6DDBD015C971}"/>
    <cellStyle name="Вычисление 4 13 4 4" xfId="23351" xr:uid="{33AE4840-EB44-49DF-8114-3CAAD5105526}"/>
    <cellStyle name="Вычисление 4 13 4 5" xfId="36432" xr:uid="{FFFEC917-90E9-4886-B68D-AB5FDA348490}"/>
    <cellStyle name="Вычисление 4 13 5" xfId="14087" xr:uid="{916DF034-247D-4648-969D-2595D4EAA521}"/>
    <cellStyle name="Вычисление 4 13 5 2" xfId="30454" xr:uid="{194DA3E9-6198-4F72-9903-1FFBEE1F4C40}"/>
    <cellStyle name="Вычисление 4 13 5 3" xfId="43837" xr:uid="{14E3F092-2380-4CCB-BB8B-D8F0008ABB72}"/>
    <cellStyle name="Вычисление 4 13 6" xfId="21613" xr:uid="{6B11D4D3-83FA-4021-A3D4-058F46AC0BB5}"/>
    <cellStyle name="Вычисление 4 13 7" xfId="34667" xr:uid="{A88E2E18-6244-49F9-A839-02601E41AD6E}"/>
    <cellStyle name="Вычисление 4 14" xfId="3842" xr:uid="{670B85DD-6F20-45B5-A79D-FA8747D87BA4}"/>
    <cellStyle name="Вычисление 4 14 2" xfId="3105" xr:uid="{C1B8B43F-D38A-494C-BC1C-02B744267ADB}"/>
    <cellStyle name="Вычисление 4 14 2 2" xfId="8397" xr:uid="{84CFB02D-643F-4109-8F12-463140198D5D}"/>
    <cellStyle name="Вычисление 4 14 2 2 2" xfId="10835" xr:uid="{8408DD32-5293-477B-B61F-A870CA295BC5}"/>
    <cellStyle name="Вычисление 4 14 2 2 2 2" xfId="27665" xr:uid="{A1208075-B36D-4EEE-802A-5096241A058D}"/>
    <cellStyle name="Вычисление 4 14 2 2 2 3" xfId="40816" xr:uid="{F758FDAC-0439-453B-BACD-05F50976F577}"/>
    <cellStyle name="Вычисление 4 14 2 2 3" xfId="25899" xr:uid="{35319A71-BAB8-4081-800A-F1B4639C7FD5}"/>
    <cellStyle name="Вычисление 4 14 2 2 4" xfId="38975" xr:uid="{8BD0B7E6-F222-45FE-B017-747FE059DE86}"/>
    <cellStyle name="Вычисление 4 14 2 3" xfId="6764" xr:uid="{2238D541-B981-4360-AC32-767574D578B5}"/>
    <cellStyle name="Вычисление 4 14 2 3 2" xfId="16671" xr:uid="{2F013098-972A-4275-AD72-DB1EA84C2657}"/>
    <cellStyle name="Вычисление 4 14 2 3 2 2" xfId="32563" xr:uid="{A76CB7CC-3362-4549-81E7-A8F933976048}"/>
    <cellStyle name="Вычисление 4 14 2 3 2 3" xfId="46218" xr:uid="{067C61B4-8218-45F1-8BA4-3FF7E24D8DB8}"/>
    <cellStyle name="Вычисление 4 14 2 3 3" xfId="24390" xr:uid="{7F5F9DE5-95E8-43B2-9D4D-3464C081B9AE}"/>
    <cellStyle name="Вычисление 4 14 2 3 4" xfId="37471" xr:uid="{7552B5C3-7C85-48A6-9607-B0EA3D0949C3}"/>
    <cellStyle name="Вычисление 4 14 2 4" xfId="12490" xr:uid="{F7E592DA-4B70-4396-8BC5-203006E33432}"/>
    <cellStyle name="Вычисление 4 14 2 4 2" xfId="29126" xr:uid="{92822E06-35BE-4B1A-87ED-92E51D06316B}"/>
    <cellStyle name="Вычисление 4 14 2 4 3" xfId="42380" xr:uid="{E10AC13A-4C80-4A6F-A41C-72D9950F2D68}"/>
    <cellStyle name="Вычисление 4 14 2 5" xfId="21142" xr:uid="{E8144109-184B-4F29-B9B6-B9AF67A12D24}"/>
    <cellStyle name="Вычисление 4 14 2 6" xfId="34165" xr:uid="{978075B4-DECB-418C-A0D7-CB0DFEA6B3BB}"/>
    <cellStyle name="Вычисление 4 14 3" xfId="4787" xr:uid="{805D620E-719D-438D-9C76-6A45DD469B43}"/>
    <cellStyle name="Вычисление 4 14 3 2" xfId="7429" xr:uid="{9C198FAA-8780-4613-8B8A-8312ED0F01EB}"/>
    <cellStyle name="Вычисление 4 14 3 2 2" xfId="11093" xr:uid="{76699564-DE0C-4B39-8853-BFC03CBAA4A1}"/>
    <cellStyle name="Вычисление 4 14 3 2 2 2" xfId="27894" xr:uid="{52943307-BF1C-487E-9BE8-0901B44001C2}"/>
    <cellStyle name="Вычисление 4 14 3 2 2 3" xfId="41072" xr:uid="{7EB3C718-ED7B-4F13-9F82-6B75514B22BE}"/>
    <cellStyle name="Вычисление 4 14 3 2 3" xfId="24986" xr:uid="{FBE9C238-5F0E-4C68-AC73-EBBB0F91A278}"/>
    <cellStyle name="Вычисление 4 14 3 2 4" xfId="38062" xr:uid="{CF427847-539D-4737-A036-F19BE9A8A422}"/>
    <cellStyle name="Вычисление 4 14 3 3" xfId="17176" xr:uid="{9AB99C56-B73E-45C9-A4E9-1A495B62E4FA}"/>
    <cellStyle name="Вычисление 4 14 3 3 2" xfId="32939" xr:uid="{7D7C73F3-C17A-454C-A0AF-90F53FF42976}"/>
    <cellStyle name="Вычисление 4 14 3 3 3" xfId="46711" xr:uid="{8DB9FDA4-EB0F-4B4D-BC79-503051415A1B}"/>
    <cellStyle name="Вычисление 4 14 3 4" xfId="22589" xr:uid="{F59E5B67-C7D3-4E95-9D15-67B855C3E1C0}"/>
    <cellStyle name="Вычисление 4 14 3 5" xfId="35642" xr:uid="{17564F27-4065-41A8-8D3B-004CE14491E1}"/>
    <cellStyle name="Вычисление 4 14 4" xfId="5812" xr:uid="{D2C5DF00-BD08-423F-AA0A-D1A5F95214E8}"/>
    <cellStyle name="Вычисление 4 14 4 2" xfId="8973" xr:uid="{754A3C4C-C2B7-4E13-B280-9BDD3FFE35FB}"/>
    <cellStyle name="Вычисление 4 14 4 2 2" xfId="12654" xr:uid="{08D8976A-3166-4351-A152-16D9A9BA4A93}"/>
    <cellStyle name="Вычисление 4 14 4 2 2 2" xfId="29255" xr:uid="{19F628F4-BFF4-42E8-891F-071B4BD28E99}"/>
    <cellStyle name="Вычисление 4 14 4 2 2 3" xfId="42525" xr:uid="{802538A9-E2E8-4BD3-8C7C-3745F4B04FD7}"/>
    <cellStyle name="Вычисление 4 14 4 2 3" xfId="26458" xr:uid="{1E161453-F6D5-49A3-83CA-79C87C882481}"/>
    <cellStyle name="Вычисление 4 14 4 2 4" xfId="39534" xr:uid="{C4A7EBE4-2D73-47EE-82FD-79E738FDED23}"/>
    <cellStyle name="Вычисление 4 14 4 3" xfId="11972" xr:uid="{E5EF046C-AC66-41C0-B297-FD52D924FAD4}"/>
    <cellStyle name="Вычисление 4 14 4 3 2" xfId="28680" xr:uid="{CF1DAD46-1388-41A2-AE85-76083F2C8535}"/>
    <cellStyle name="Вычисление 4 14 4 3 3" xfId="41898" xr:uid="{E1AC2C53-1A79-4EBA-8A0A-7B51A38EDD0A}"/>
    <cellStyle name="Вычисление 4 14 4 4" xfId="23459" xr:uid="{A8EF1ACB-4A1E-4141-89F0-3C479203BBBE}"/>
    <cellStyle name="Вычисление 4 14 4 5" xfId="36540" xr:uid="{A6AC063A-0F3E-45B4-81BC-64BC39190F68}"/>
    <cellStyle name="Вычисление 4 14 5" xfId="16396" xr:uid="{DA0437E8-349D-4BC6-BBBE-9BBC113F5764}"/>
    <cellStyle name="Вычисление 4 14 5 2" xfId="32413" xr:uid="{1ED2DBD6-A0CA-4899-BAE2-077A75218F38}"/>
    <cellStyle name="Вычисление 4 14 5 3" xfId="45948" xr:uid="{DABEA536-1CDB-4F70-B7A9-A2113C3A138F}"/>
    <cellStyle name="Вычисление 4 14 6" xfId="21721" xr:uid="{D4D01054-9CEE-44DE-8226-E0EF671B8897}"/>
    <cellStyle name="Вычисление 4 14 7" xfId="34775" xr:uid="{9B3468BA-72B7-4B8F-9B49-7F4EEC932659}"/>
    <cellStyle name="Вычисление 4 15" xfId="3837" xr:uid="{A2814B4B-1BF0-4AA1-82C9-783F6556FB50}"/>
    <cellStyle name="Вычисление 4 15 2" xfId="3099" xr:uid="{01CB71C5-2C41-465D-A1F7-D6A7B4825802}"/>
    <cellStyle name="Вычисление 4 15 2 2" xfId="8391" xr:uid="{8BB5D542-5BE9-4548-80E7-0D8D5C870D79}"/>
    <cellStyle name="Вычисление 4 15 2 2 2" xfId="14921" xr:uid="{A3934C4C-B008-442F-B712-B34354BAF16F}"/>
    <cellStyle name="Вычисление 4 15 2 2 2 2" xfId="31167" xr:uid="{1BC54A39-6203-42B7-916D-59289D4CB3E8}"/>
    <cellStyle name="Вычисление 4 15 2 2 2 3" xfId="44610" xr:uid="{17D2BA47-3BF2-4134-BA7D-F9001F74CAC3}"/>
    <cellStyle name="Вычисление 4 15 2 2 3" xfId="25894" xr:uid="{D30CC94C-B7E7-47C4-80B5-F2EC20DDD437}"/>
    <cellStyle name="Вычисление 4 15 2 2 4" xfId="38970" xr:uid="{C75B78AB-5CCF-4339-8EF7-A92A0CCE2F9A}"/>
    <cellStyle name="Вычисление 4 15 2 3" xfId="6758" xr:uid="{5E083884-2461-4526-8F28-166914A97A18}"/>
    <cellStyle name="Вычисление 4 15 2 3 2" xfId="16391" xr:uid="{80151C27-4617-43A4-B854-692B8025AFAD}"/>
    <cellStyle name="Вычисление 4 15 2 3 2 2" xfId="32409" xr:uid="{94C2ADA8-BA3B-4738-9480-60EC44A2FAEB}"/>
    <cellStyle name="Вычисление 4 15 2 3 2 3" xfId="45944" xr:uid="{2F8AFDA1-7AE8-4714-880C-F0C9429BD99F}"/>
    <cellStyle name="Вычисление 4 15 2 3 3" xfId="24385" xr:uid="{682341EE-04CD-4F45-89C7-E32F97FE1A92}"/>
    <cellStyle name="Вычисление 4 15 2 3 4" xfId="37466" xr:uid="{1959B3EF-A861-4DA4-8F3C-34B7A9D66F08}"/>
    <cellStyle name="Вычисление 4 15 2 4" xfId="16429" xr:uid="{A42DA68C-086B-4E39-855C-18B629706B54}"/>
    <cellStyle name="Вычисление 4 15 2 4 2" xfId="32443" xr:uid="{FF0FB102-2454-4904-A83E-C17B164E628B}"/>
    <cellStyle name="Вычисление 4 15 2 4 3" xfId="45980" xr:uid="{EA98151B-DD18-4659-BB35-C946427591BC}"/>
    <cellStyle name="Вычисление 4 15 2 5" xfId="21137" xr:uid="{3EF40339-827A-4901-BED5-F1E16DDBE9E6}"/>
    <cellStyle name="Вычисление 4 15 2 6" xfId="34160" xr:uid="{4F85F103-0BFC-4595-B690-085EE323B839}"/>
    <cellStyle name="Вычисление 4 15 3" xfId="4782" xr:uid="{168FD337-E38A-460E-8348-0E112F03CCF3}"/>
    <cellStyle name="Вычисление 4 15 3 2" xfId="7424" xr:uid="{668A50CB-F13E-4C36-B0AA-CFB5ADB4063D}"/>
    <cellStyle name="Вычисление 4 15 3 2 2" xfId="16772" xr:uid="{710041F0-5631-4AC0-AF1A-63CC398FCC81}"/>
    <cellStyle name="Вычисление 4 15 3 2 2 2" xfId="32653" xr:uid="{54C89208-EB2F-4EAF-838F-EDC73F0A6EE0}"/>
    <cellStyle name="Вычисление 4 15 3 2 2 3" xfId="46315" xr:uid="{045C2C1D-6FD1-40F2-8CBB-8963A2A87D59}"/>
    <cellStyle name="Вычисление 4 15 3 2 3" xfId="24981" xr:uid="{EB1C8E2E-677C-45F1-A17A-08222A6762D6}"/>
    <cellStyle name="Вычисление 4 15 3 2 4" xfId="38057" xr:uid="{3D479F29-BE2B-481B-9136-1B1E36C7C562}"/>
    <cellStyle name="Вычисление 4 15 3 3" xfId="17250" xr:uid="{29069C7E-63FB-4170-AF63-3C05D0325394}"/>
    <cellStyle name="Вычисление 4 15 3 3 2" xfId="33009" xr:uid="{8A1FFFB1-82D1-41BD-883A-4EA1E9B2905D}"/>
    <cellStyle name="Вычисление 4 15 3 3 3" xfId="46784" xr:uid="{553B76DC-3836-4965-BD2E-4533456E9322}"/>
    <cellStyle name="Вычисление 4 15 3 4" xfId="22584" xr:uid="{4D99E966-9E95-4655-A9C2-9B389CAAC9D8}"/>
    <cellStyle name="Вычисление 4 15 3 5" xfId="35637" xr:uid="{C3AE2974-2CC7-4787-A1E1-AE76A341BCEE}"/>
    <cellStyle name="Вычисление 4 15 4" xfId="5807" xr:uid="{B03E2158-F71E-4C01-9F19-DD0509082790}"/>
    <cellStyle name="Вычисление 4 15 4 2" xfId="8968" xr:uid="{01DBC9AE-632D-4379-9782-ECEEDEDCC646}"/>
    <cellStyle name="Вычисление 4 15 4 2 2" xfId="17218" xr:uid="{41C2AACD-A71D-4733-9E14-4A257855B0D9}"/>
    <cellStyle name="Вычисление 4 15 4 2 2 2" xfId="32978" xr:uid="{8FDEBC5D-E7F0-46E7-BCC5-CA79293042E2}"/>
    <cellStyle name="Вычисление 4 15 4 2 2 3" xfId="46752" xr:uid="{E0606913-C99F-43E5-A981-429B90597102}"/>
    <cellStyle name="Вычисление 4 15 4 2 3" xfId="26453" xr:uid="{65D43960-0851-4BA1-8FF7-EBDC7BF9782A}"/>
    <cellStyle name="Вычисление 4 15 4 2 4" xfId="39529" xr:uid="{3B7E1BB2-8C40-4248-B65C-2B4E9AB4CC56}"/>
    <cellStyle name="Вычисление 4 15 4 3" xfId="10884" xr:uid="{E4CA6E33-CD18-459D-8571-A34E87D90088}"/>
    <cellStyle name="Вычисление 4 15 4 3 2" xfId="27708" xr:uid="{358E3903-A7F3-4B5E-977F-2E89C3933EF8}"/>
    <cellStyle name="Вычисление 4 15 4 3 3" xfId="40864" xr:uid="{A67A8C47-C9DE-49ED-B225-D18670E483D4}"/>
    <cellStyle name="Вычисление 4 15 4 4" xfId="23454" xr:uid="{3D737DB9-F123-4240-90EA-A1629F2A667E}"/>
    <cellStyle name="Вычисление 4 15 4 5" xfId="36535" xr:uid="{5B2B4551-0B33-48EE-8D69-4785B9EE2DB7}"/>
    <cellStyle name="Вычисление 4 15 5" xfId="12919" xr:uid="{D86077F7-8FD1-4B13-8B5A-2B1A91D1A34C}"/>
    <cellStyle name="Вычисление 4 15 5 2" xfId="29464" xr:uid="{8A97B0EC-30AA-4BBB-85EA-27B453B4C7F9}"/>
    <cellStyle name="Вычисление 4 15 5 3" xfId="42760" xr:uid="{64F6D88C-B952-4992-AD7E-3F78ACADC316}"/>
    <cellStyle name="Вычисление 4 15 6" xfId="21716" xr:uid="{8DAE8C12-E264-4C42-B6FB-2A2D826517B4}"/>
    <cellStyle name="Вычисление 4 15 7" xfId="34770" xr:uid="{A95F4D3D-A59B-4A8A-BE40-BB1D0AF9236D}"/>
    <cellStyle name="Вычисление 4 16" xfId="3886" xr:uid="{A8BB7F11-CC14-4199-A47F-41D84E1D4E61}"/>
    <cellStyle name="Вычисление 4 16 2" xfId="3147" xr:uid="{EDBF9A6E-8ED2-495D-B86F-8FCD404C1CE7}"/>
    <cellStyle name="Вычисление 4 16 2 2" xfId="8439" xr:uid="{8DA6BAAE-65D5-4D72-B908-CEB04CAE5AAD}"/>
    <cellStyle name="Вычисление 4 16 2 2 2" xfId="13990" xr:uid="{76AC8529-AF1F-48B6-BC16-498D4FDED775}"/>
    <cellStyle name="Вычисление 4 16 2 2 2 2" xfId="30376" xr:uid="{97E7F7D9-6B84-4DDA-B0D5-BDED2C86F038}"/>
    <cellStyle name="Вычисление 4 16 2 2 2 3" xfId="43754" xr:uid="{F357C2B6-F64C-4D42-9AF8-67D7BEC472BD}"/>
    <cellStyle name="Вычисление 4 16 2 2 3" xfId="25941" xr:uid="{B4AA3807-F3B3-4CED-BAF6-8C5447358BC7}"/>
    <cellStyle name="Вычисление 4 16 2 2 4" xfId="39017" xr:uid="{9EC9527A-4FC2-4D16-98D5-0AFA361B2EC5}"/>
    <cellStyle name="Вычисление 4 16 2 3" xfId="6806" xr:uid="{FE695922-F54B-4BD8-889C-D7CFE36EBFD7}"/>
    <cellStyle name="Вычисление 4 16 2 3 2" xfId="14314" xr:uid="{9A6991FB-C41F-4AFD-A932-A9FF8A2EC18A}"/>
    <cellStyle name="Вычисление 4 16 2 3 2 2" xfId="30651" xr:uid="{E8AAD3D6-D6E7-4151-9A02-E1EDFF1BF149}"/>
    <cellStyle name="Вычисление 4 16 2 3 2 3" xfId="44045" xr:uid="{11B130C4-CCDE-4AA5-A78A-E64DA9BC8EB5}"/>
    <cellStyle name="Вычисление 4 16 2 3 3" xfId="24432" xr:uid="{7136FAF8-6B9D-4C80-8B2F-4DABF129D423}"/>
    <cellStyle name="Вычисление 4 16 2 3 4" xfId="37513" xr:uid="{4EF74628-F4DB-4DFC-B23B-D42D2F03BD3A}"/>
    <cellStyle name="Вычисление 4 16 2 4" xfId="16827" xr:uid="{EE17F199-7187-4341-A8B4-637EA5D21A23}"/>
    <cellStyle name="Вычисление 4 16 2 4 2" xfId="32707" xr:uid="{9C138882-0490-41F3-A258-F3E4FE3CDA51}"/>
    <cellStyle name="Вычисление 4 16 2 4 3" xfId="46370" xr:uid="{E0E8D198-F32B-4E65-AF43-436D062A9F30}"/>
    <cellStyle name="Вычисление 4 16 2 5" xfId="21184" xr:uid="{A925F47B-1036-4D6F-A4FC-EA5BE7D7900B}"/>
    <cellStyle name="Вычисление 4 16 2 6" xfId="34207" xr:uid="{B15D2CAA-1CD7-46ED-B36A-3AA8D00D87CD}"/>
    <cellStyle name="Вычисление 4 16 3" xfId="4823" xr:uid="{161B9B84-868B-4E51-98E8-D63A48122A77}"/>
    <cellStyle name="Вычисление 4 16 3 2" xfId="7467" xr:uid="{132722B7-CE2A-4CCB-98E2-B91FACBA590C}"/>
    <cellStyle name="Вычисление 4 16 3 2 2" xfId="11779" xr:uid="{673C3371-E72E-46B0-8A13-BDBEEF82EC9D}"/>
    <cellStyle name="Вычисление 4 16 3 2 2 2" xfId="28503" xr:uid="{6B257F34-AB29-4068-8BD6-BF1190F6E257}"/>
    <cellStyle name="Вычисление 4 16 3 2 2 3" xfId="41714" xr:uid="{ABFAA64A-3746-4DE1-A81B-589445F3FAC8}"/>
    <cellStyle name="Вычисление 4 16 3 2 3" xfId="25024" xr:uid="{8FBE9BD3-00B7-4CA2-8168-E7048AAB93FA}"/>
    <cellStyle name="Вычисление 4 16 3 2 4" xfId="38100" xr:uid="{45877C4B-CA97-4B34-B9C4-3446B3C92648}"/>
    <cellStyle name="Вычисление 4 16 3 3" xfId="17332" xr:uid="{23902E08-6F2F-4852-BAED-267D7B196750}"/>
    <cellStyle name="Вычисление 4 16 3 3 2" xfId="33086" xr:uid="{5900765C-ECF1-41C2-9329-1ABF90D74138}"/>
    <cellStyle name="Вычисление 4 16 3 3 3" xfId="46862" xr:uid="{E66EF52A-0984-443E-986F-42C4137A4AF4}"/>
    <cellStyle name="Вычисление 4 16 3 4" xfId="22625" xr:uid="{D232D000-0896-4E0A-AA4D-985624356FB3}"/>
    <cellStyle name="Вычисление 4 16 3 5" xfId="35678" xr:uid="{8F2E2173-B208-47F4-9E23-B2CBA2075599}"/>
    <cellStyle name="Вычисление 4 16 4" xfId="5850" xr:uid="{610AB85B-60C1-49A6-8D2F-F023A7BF3E43}"/>
    <cellStyle name="Вычисление 4 16 4 2" xfId="9008" xr:uid="{3B3DADA5-63A2-42EF-962C-61EF4C241DAD}"/>
    <cellStyle name="Вычисление 4 16 4 2 2" xfId="12325" xr:uid="{C6473E7F-1376-46E6-960B-BD7A8CEE7056}"/>
    <cellStyle name="Вычисление 4 16 4 2 2 2" xfId="28993" xr:uid="{9A751772-7CEF-4C6B-B017-958FF433E97A}"/>
    <cellStyle name="Вычисление 4 16 4 2 2 3" xfId="42233" xr:uid="{3ACF3A25-CBAE-4303-92B1-B4CAC5AB34D8}"/>
    <cellStyle name="Вычисление 4 16 4 2 3" xfId="26493" xr:uid="{CADB1A4F-EC61-47E8-92AF-32963FAC6852}"/>
    <cellStyle name="Вычисление 4 16 4 2 4" xfId="39569" xr:uid="{B90C6F11-19FD-42A7-BAD6-B206FD0A2402}"/>
    <cellStyle name="Вычисление 4 16 4 3" xfId="13758" xr:uid="{B6A46D0C-BA42-4090-A8CF-DDA9B1619D12}"/>
    <cellStyle name="Вычисление 4 16 4 3 2" xfId="30168" xr:uid="{475F9446-8F3D-4368-8E16-0390000CE3B8}"/>
    <cellStyle name="Вычисление 4 16 4 3 3" xfId="43531" xr:uid="{1D8C3858-DAF0-46E9-81FF-3C8CC08EBF2F}"/>
    <cellStyle name="Вычисление 4 16 4 4" xfId="23497" xr:uid="{C757826B-C11B-44B9-90E8-8EBB570C9662}"/>
    <cellStyle name="Вычисление 4 16 4 5" xfId="36578" xr:uid="{B61EA9AA-517F-4962-B0EA-C56BA148D0F3}"/>
    <cellStyle name="Вычисление 4 16 5" xfId="16273" xr:uid="{36DDF1D1-CB92-4EA5-B004-9B55FBE79410}"/>
    <cellStyle name="Вычисление 4 16 5 2" xfId="32307" xr:uid="{6701F318-CFD6-45F0-B3FC-77C726E28B0B}"/>
    <cellStyle name="Вычисление 4 16 5 3" xfId="45836" xr:uid="{0B932184-FF6E-42A4-862A-7B4F44F3A50B}"/>
    <cellStyle name="Вычисление 4 16 6" xfId="21762" xr:uid="{68FE0992-EA12-43E3-999B-6635A9480F50}"/>
    <cellStyle name="Вычисление 4 16 7" xfId="34813" xr:uid="{A29008DB-6522-4051-A0C3-FBF2F7C45D67}"/>
    <cellStyle name="Вычисление 4 17" xfId="3977" xr:uid="{0944A807-4D36-4376-9032-5D94F0719639}"/>
    <cellStyle name="Вычисление 4 17 2" xfId="3273" xr:uid="{D35B109B-7707-4FFC-AFDA-B0E68EBE78CA}"/>
    <cellStyle name="Вычисление 4 17 2 2" xfId="8553" xr:uid="{A413039A-4E2D-4FA4-85F7-954F18E3B5A2}"/>
    <cellStyle name="Вычисление 4 17 2 2 2" xfId="10777" xr:uid="{A41AFA35-234D-4F0E-84F3-C6695F2E1E4C}"/>
    <cellStyle name="Вычисление 4 17 2 2 2 2" xfId="27612" xr:uid="{BBDA1067-9892-4332-94F6-733BF42A6CC6}"/>
    <cellStyle name="Вычисление 4 17 2 2 2 3" xfId="40758" xr:uid="{8D0215B6-3552-41EC-84AA-7D49C34DC834}"/>
    <cellStyle name="Вычисление 4 17 2 2 3" xfId="26051" xr:uid="{8DACBA76-1188-4A39-8633-04A43D954125}"/>
    <cellStyle name="Вычисление 4 17 2 2 4" xfId="39127" xr:uid="{2038EFF9-1806-41C2-8205-53AF2F25040A}"/>
    <cellStyle name="Вычисление 4 17 2 3" xfId="6928" xr:uid="{21AB6FB0-661B-4544-9493-981B85E52126}"/>
    <cellStyle name="Вычисление 4 17 2 3 2" xfId="16414" xr:uid="{17F357B8-3D7C-4899-AE77-7523FEB8D139}"/>
    <cellStyle name="Вычисление 4 17 2 3 2 2" xfId="32429" xr:uid="{DF914604-BF13-434D-9B83-A2ADF65DE0BE}"/>
    <cellStyle name="Вычисление 4 17 2 3 2 3" xfId="45965" xr:uid="{AF4A2D99-6C32-40E3-A4C6-9FB1DC31DC3D}"/>
    <cellStyle name="Вычисление 4 17 2 3 3" xfId="24550" xr:uid="{4FA75FFD-CA0E-4C8B-B70E-500ED4CFC530}"/>
    <cellStyle name="Вычисление 4 17 2 3 4" xfId="37631" xr:uid="{E7AC85CB-F0A4-4E58-997B-92EFA128095A}"/>
    <cellStyle name="Вычисление 4 17 2 4" xfId="13165" xr:uid="{4EFAAF69-65EF-41EB-B3FE-BD5BD2477586}"/>
    <cellStyle name="Вычисление 4 17 2 4 2" xfId="29677" xr:uid="{D2A587FE-4D15-4579-ACE7-7722DD031B3B}"/>
    <cellStyle name="Вычисление 4 17 2 4 3" xfId="42989" xr:uid="{5C96D935-9B45-4F4D-9B15-88C2EE135F48}"/>
    <cellStyle name="Вычисление 4 17 2 5" xfId="21302" xr:uid="{DF5C097B-3991-4858-BC85-081DBB53F2DD}"/>
    <cellStyle name="Вычисление 4 17 2 6" xfId="34325" xr:uid="{D77501E7-6055-47A2-BF75-28B541CAFA72}"/>
    <cellStyle name="Вычисление 4 17 3" xfId="4889" xr:uid="{DB3EC70C-8D79-4951-8A2F-7ED3E501C86A}"/>
    <cellStyle name="Вычисление 4 17 3 2" xfId="7557" xr:uid="{DF6D1D60-843F-49ED-9F18-7E354550AB5E}"/>
    <cellStyle name="Вычисление 4 17 3 2 2" xfId="15298" xr:uid="{415EF616-47DE-4B90-9FB3-DACC06CB3BDE}"/>
    <cellStyle name="Вычисление 4 17 3 2 2 2" xfId="31466" xr:uid="{8A7B91EB-298F-4DD4-BFB4-E5638A33DF9D}"/>
    <cellStyle name="Вычисление 4 17 3 2 2 3" xfId="44946" xr:uid="{9831162F-4F4A-4565-A00B-1A206A0AB40E}"/>
    <cellStyle name="Вычисление 4 17 3 2 3" xfId="25085" xr:uid="{CC8729CC-0899-4DFA-8643-3B4BA34AF4B9}"/>
    <cellStyle name="Вычисление 4 17 3 2 4" xfId="38161" xr:uid="{0BEB83EE-8C20-4FF2-A5D2-FBD8430A48FD}"/>
    <cellStyle name="Вычисление 4 17 3 3" xfId="13080" xr:uid="{F1F7D244-60A1-465D-AD24-A783A17C2780}"/>
    <cellStyle name="Вычисление 4 17 3 3 2" xfId="29601" xr:uid="{6D2205D8-DBEB-4BE0-9485-FB0460B6B4E7}"/>
    <cellStyle name="Вычисление 4 17 3 3 3" xfId="42910" xr:uid="{D9D77B74-2504-47CC-BE39-3B17AF87CA0A}"/>
    <cellStyle name="Вычисление 4 17 3 4" xfId="22686" xr:uid="{2E936E5D-F8D6-4F15-9DA6-89A0563AB71C}"/>
    <cellStyle name="Вычисление 4 17 3 5" xfId="35739" xr:uid="{FC713BB5-126F-47ED-AF79-D3F2CDA8C1A1}"/>
    <cellStyle name="Вычисление 4 17 4" xfId="5911" xr:uid="{1A1DB3EF-B32B-40C3-AEE2-C0CF4599089E}"/>
    <cellStyle name="Вычисление 4 17 4 2" xfId="9071" xr:uid="{8DF1F574-BD6F-476E-BA63-6EEFCF1A4A76}"/>
    <cellStyle name="Вычисление 4 17 4 2 2" xfId="16806" xr:uid="{FDDA393C-AD14-4663-A3C8-814BFFD24408}"/>
    <cellStyle name="Вычисление 4 17 4 2 2 2" xfId="32686" xr:uid="{81C7B7BB-4150-417D-8C9D-6EB94EC0026D}"/>
    <cellStyle name="Вычисление 4 17 4 2 2 3" xfId="46349" xr:uid="{D0B06511-CC5A-42DD-91D8-5259D578C0B2}"/>
    <cellStyle name="Вычисление 4 17 4 2 3" xfId="26552" xr:uid="{D577D1A8-6F68-439E-8BEB-3A32FC7A9CD6}"/>
    <cellStyle name="Вычисление 4 17 4 2 4" xfId="39628" xr:uid="{8A33A431-E471-4D01-A606-F53AED0F156E}"/>
    <cellStyle name="Вычисление 4 17 4 3" xfId="17274" xr:uid="{4CDB94A5-7B0E-465C-BEA3-AA3846FDE900}"/>
    <cellStyle name="Вычисление 4 17 4 3 2" xfId="33033" xr:uid="{2819150C-DB24-4969-9DC3-841B1BB2C85D}"/>
    <cellStyle name="Вычисление 4 17 4 3 3" xfId="46808" xr:uid="{5DDF86B2-8050-45E2-90A8-4C65B54632FE}"/>
    <cellStyle name="Вычисление 4 17 4 4" xfId="23558" xr:uid="{3CD41FEB-C1CB-4943-B554-89B0E193325E}"/>
    <cellStyle name="Вычисление 4 17 4 5" xfId="36639" xr:uid="{64C80C70-6B35-4B96-A8CB-B9EB11129252}"/>
    <cellStyle name="Вычисление 4 17 5" xfId="10626" xr:uid="{852A27BF-2969-46F3-A688-6CD4499E4653}"/>
    <cellStyle name="Вычисление 4 17 5 2" xfId="27485" xr:uid="{86C59AF1-F1A8-4C60-86E9-DDB2A861F13C}"/>
    <cellStyle name="Вычисление 4 17 5 3" xfId="40607" xr:uid="{C86DFC12-706B-4507-9701-E029BBFC3D29}"/>
    <cellStyle name="Вычисление 4 17 6" xfId="21824" xr:uid="{42C34DE5-1406-436B-9188-27EFFDA58D76}"/>
    <cellStyle name="Вычисление 4 17 7" xfId="34874" xr:uid="{CA25D566-016F-4F1B-81C6-D1C53E4D9226}"/>
    <cellStyle name="Вычисление 4 18" xfId="3876" xr:uid="{2E2BBEA3-2A60-47FC-B4F7-2D324BC815E9}"/>
    <cellStyle name="Вычисление 4 18 2" xfId="3133" xr:uid="{1B0F38CC-4452-4270-965F-02B6C235A5A2}"/>
    <cellStyle name="Вычисление 4 18 2 2" xfId="8425" xr:uid="{EA10CC74-E11B-4D40-9C46-5E9FFA208860}"/>
    <cellStyle name="Вычисление 4 18 2 2 2" xfId="10715" xr:uid="{C11B04AB-8387-473E-A343-E8783BDB0BC4}"/>
    <cellStyle name="Вычисление 4 18 2 2 2 2" xfId="27560" xr:uid="{BABDBF58-090F-4005-8E43-B8B31CD088BF}"/>
    <cellStyle name="Вычисление 4 18 2 2 2 3" xfId="40696" xr:uid="{731F35A2-5BEF-4C10-BD78-A249D5EA8F1F}"/>
    <cellStyle name="Вычисление 4 18 2 2 3" xfId="25927" xr:uid="{7272FB55-7825-4C79-BFD4-267BF53EBA71}"/>
    <cellStyle name="Вычисление 4 18 2 2 4" xfId="39003" xr:uid="{D2450053-E399-4472-A029-F5E49B28048F}"/>
    <cellStyle name="Вычисление 4 18 2 3" xfId="6792" xr:uid="{4B9FE92A-57AA-4BAD-AC70-FE802BAC5201}"/>
    <cellStyle name="Вычисление 4 18 2 3 2" xfId="17513" xr:uid="{CF251272-7445-473F-AB33-F1F265323B39}"/>
    <cellStyle name="Вычисление 4 18 2 3 2 2" xfId="33251" xr:uid="{E060A5EA-261E-42D2-B964-2DA45E5CA521}"/>
    <cellStyle name="Вычисление 4 18 2 3 2 3" xfId="47038" xr:uid="{EE5A767B-B97F-4BCB-9A6F-AA74E43DF543}"/>
    <cellStyle name="Вычисление 4 18 2 3 3" xfId="24418" xr:uid="{C6CACDC2-82B3-49B2-A36A-C5ED5B9291B8}"/>
    <cellStyle name="Вычисление 4 18 2 3 4" xfId="37499" xr:uid="{69606D45-6326-411F-A30E-53E702C44CFF}"/>
    <cellStyle name="Вычисление 4 18 2 4" xfId="15982" xr:uid="{E2478A72-1C36-452C-8109-43609ABEF231}"/>
    <cellStyle name="Вычисление 4 18 2 4 2" xfId="32056" xr:uid="{3CBC2D93-B5A2-41B2-A86A-1C43EE7B2109}"/>
    <cellStyle name="Вычисление 4 18 2 4 3" xfId="45575" xr:uid="{BB232EC8-2C0F-4E8F-8D02-06DE41F08616}"/>
    <cellStyle name="Вычисление 4 18 2 5" xfId="21170" xr:uid="{8E2AF08B-7EF3-425E-8C18-F5B0824361FD}"/>
    <cellStyle name="Вычисление 4 18 2 6" xfId="34193" xr:uid="{43A7801D-9868-4B70-8856-69B59E7A66C2}"/>
    <cellStyle name="Вычисление 4 18 3" xfId="4813" xr:uid="{F74CFA70-6AB3-4DC0-B8FB-AA8F98A471FF}"/>
    <cellStyle name="Вычисление 4 18 3 2" xfId="7457" xr:uid="{26796332-242B-49EB-8FB8-E69384302DE6}"/>
    <cellStyle name="Вычисление 4 18 3 2 2" xfId="16694" xr:uid="{98C56376-0F00-4D3D-A4CD-6197B0744AEB}"/>
    <cellStyle name="Вычисление 4 18 3 2 2 2" xfId="32580" xr:uid="{2B8F3118-838C-47D8-B471-45EE39F850DA}"/>
    <cellStyle name="Вычисление 4 18 3 2 2 3" xfId="46239" xr:uid="{3C9DFE0A-A98B-4643-9B55-84ADAC842A60}"/>
    <cellStyle name="Вычисление 4 18 3 2 3" xfId="25014" xr:uid="{E8F1B7CD-6207-457E-81F0-BA73FA14BFF7}"/>
    <cellStyle name="Вычисление 4 18 3 2 4" xfId="38090" xr:uid="{7AA455A8-519B-443B-B0AF-CD90ADE690CB}"/>
    <cellStyle name="Вычисление 4 18 3 3" xfId="16674" xr:uid="{A9508F93-2639-4242-A9CA-C3C079BE98F8}"/>
    <cellStyle name="Вычисление 4 18 3 3 2" xfId="32566" xr:uid="{8A8696A8-AA47-45B5-8E82-323A3858756D}"/>
    <cellStyle name="Вычисление 4 18 3 3 3" xfId="46221" xr:uid="{0816455D-4AB0-4E02-86C6-ABBADCF10869}"/>
    <cellStyle name="Вычисление 4 18 3 4" xfId="22615" xr:uid="{AE7912F4-6C28-455B-A141-711FA58374D3}"/>
    <cellStyle name="Вычисление 4 18 3 5" xfId="35668" xr:uid="{A53B61C9-D685-420A-88C2-3003593BE054}"/>
    <cellStyle name="Вычисление 4 18 4" xfId="5840" xr:uid="{A12C3241-52EE-44EF-81CF-6876648139DD}"/>
    <cellStyle name="Вычисление 4 18 4 2" xfId="8998" xr:uid="{5752E10E-3004-4B2C-80D0-322FDBD74795}"/>
    <cellStyle name="Вычисление 4 18 4 2 2" xfId="13564" xr:uid="{4A9BCE6A-BDE7-466A-ABF8-C57F599FCF3B}"/>
    <cellStyle name="Вычисление 4 18 4 2 2 2" xfId="30008" xr:uid="{D276D7E4-F0EF-4496-9BAF-916A1DEF1E3D}"/>
    <cellStyle name="Вычисление 4 18 4 2 2 3" xfId="43357" xr:uid="{53BAB108-BD60-48F7-8A1A-DED601ACA7DE}"/>
    <cellStyle name="Вычисление 4 18 4 2 3" xfId="26483" xr:uid="{E7F84C83-024B-4862-BC5A-26A769492F47}"/>
    <cellStyle name="Вычисление 4 18 4 2 4" xfId="39559" xr:uid="{7751BCCA-B495-43A3-902B-64BB7E27AE5C}"/>
    <cellStyle name="Вычисление 4 18 4 3" xfId="15629" xr:uid="{658F148F-5099-4753-B8E1-BEEB7240DFD1}"/>
    <cellStyle name="Вычисление 4 18 4 3 2" xfId="31749" xr:uid="{EF7BEF39-3490-496A-A58A-BA8248796FD4}"/>
    <cellStyle name="Вычисление 4 18 4 3 3" xfId="45253" xr:uid="{989CF73D-FF03-4685-AEFD-0C941423554D}"/>
    <cellStyle name="Вычисление 4 18 4 4" xfId="23487" xr:uid="{F30EAE08-48F1-4159-BDAE-0C39DC0E7DB4}"/>
    <cellStyle name="Вычисление 4 18 4 5" xfId="36568" xr:uid="{70AB62D8-C8B5-44ED-826E-CA6AE8D96FBE}"/>
    <cellStyle name="Вычисление 4 18 5" xfId="11802" xr:uid="{3FF82CBA-507A-4533-9BF6-A156D880E027}"/>
    <cellStyle name="Вычисление 4 18 5 2" xfId="28523" xr:uid="{95CCDC26-7B65-4588-9A76-0C34B93CEEF6}"/>
    <cellStyle name="Вычисление 4 18 5 3" xfId="41735" xr:uid="{ABB17FBA-9041-4666-BA94-328E5FF68D48}"/>
    <cellStyle name="Вычисление 4 18 6" xfId="21752" xr:uid="{3F6A2BA4-1778-4E4D-9336-CDDB614F4F7B}"/>
    <cellStyle name="Вычисление 4 18 7" xfId="34803" xr:uid="{9831830A-1268-47A2-BABC-F85C62CE0294}"/>
    <cellStyle name="Вычисление 4 19" xfId="3989" xr:uid="{E5ECD4D2-1C80-460B-9AB9-25A9FC560225}"/>
    <cellStyle name="Вычисление 4 19 2" xfId="3228" xr:uid="{FEBE19E3-6DC0-40A0-86B1-B1FC399217DF}"/>
    <cellStyle name="Вычисление 4 19 2 2" xfId="8519" xr:uid="{E00081B0-5BAB-4262-9AF3-4E9BCD13AFAE}"/>
    <cellStyle name="Вычисление 4 19 2 2 2" xfId="17419" xr:uid="{7C34488F-2E08-4489-BC81-1250A8DB3758}"/>
    <cellStyle name="Вычисление 4 19 2 2 2 2" xfId="33173" xr:uid="{71EF6107-1B45-4D84-99D5-8DBFDC744EDC}"/>
    <cellStyle name="Вычисление 4 19 2 2 2 3" xfId="46949" xr:uid="{44D1A60B-94D8-41C9-862A-8347D03A1D34}"/>
    <cellStyle name="Вычисление 4 19 2 2 3" xfId="26018" xr:uid="{5C585008-F6DC-407A-AC24-7DA5AD2DF2F1}"/>
    <cellStyle name="Вычисление 4 19 2 2 4" xfId="39094" xr:uid="{E362D86C-DFB2-4EF6-8BF4-CAB0F5D195DB}"/>
    <cellStyle name="Вычисление 4 19 2 3" xfId="6887" xr:uid="{2C21BBDC-C459-45B3-AA0F-0D3B00338034}"/>
    <cellStyle name="Вычисление 4 19 2 3 2" xfId="15102" xr:uid="{2763D9F9-20C7-4F00-A16E-2CF2FAF7290B}"/>
    <cellStyle name="Вычисление 4 19 2 3 2 2" xfId="31308" xr:uid="{1DF1E797-79C4-4D33-82F8-589F5F9B4FB7}"/>
    <cellStyle name="Вычисление 4 19 2 3 2 3" xfId="44769" xr:uid="{19C25DFD-C343-411B-8E42-7FA1BDF3FF77}"/>
    <cellStyle name="Вычисление 4 19 2 3 3" xfId="24510" xr:uid="{7936EF84-B32B-4314-A791-F55282449FED}"/>
    <cellStyle name="Вычисление 4 19 2 3 4" xfId="37591" xr:uid="{453ECA6C-982F-4A7B-822B-E07067BD3C16}"/>
    <cellStyle name="Вычисление 4 19 2 4" xfId="13152" xr:uid="{D67C46B3-8301-44EE-AFFF-FA858E545CD7}"/>
    <cellStyle name="Вычисление 4 19 2 4 2" xfId="29665" xr:uid="{6E70CB27-F509-4267-B6A6-B7A75F5A4DF2}"/>
    <cellStyle name="Вычисление 4 19 2 4 3" xfId="42977" xr:uid="{54A00F55-3E99-403B-BE0D-B7F222A0D715}"/>
    <cellStyle name="Вычисление 4 19 2 5" xfId="21262" xr:uid="{98CF8E83-E318-409C-B07F-88DE53791B79}"/>
    <cellStyle name="Вычисление 4 19 2 6" xfId="34285" xr:uid="{F90603F1-A095-4D50-A8DD-EFA59C7F5B4A}"/>
    <cellStyle name="Вычисление 4 19 3" xfId="4901" xr:uid="{B14CCE1C-67C6-43DD-B19B-64FE0F0E1001}"/>
    <cellStyle name="Вычисление 4 19 3 2" xfId="7569" xr:uid="{1DEE55F1-8385-4F4D-876D-7126FA109A5E}"/>
    <cellStyle name="Вычисление 4 19 3 2 2" xfId="11801" xr:uid="{373AA2FD-FDE1-42E5-839F-47B2ED7130BB}"/>
    <cellStyle name="Вычисление 4 19 3 2 2 2" xfId="28522" xr:uid="{9FD17DC8-A3BC-4E6F-A2C3-412525DA0287}"/>
    <cellStyle name="Вычисление 4 19 3 2 2 3" xfId="41734" xr:uid="{0F4FE475-3FFF-4E24-8D85-F00621D5B488}"/>
    <cellStyle name="Вычисление 4 19 3 2 3" xfId="25097" xr:uid="{DB26C106-FE73-4D6D-8CB0-D4088B717695}"/>
    <cellStyle name="Вычисление 4 19 3 2 4" xfId="38173" xr:uid="{1D232C7A-2464-4CE6-87E9-D882B77F0502}"/>
    <cellStyle name="Вычисление 4 19 3 3" xfId="14140" xr:uid="{3BE0317B-A89A-4ED8-982D-675035DB1341}"/>
    <cellStyle name="Вычисление 4 19 3 3 2" xfId="30503" xr:uid="{CAE360F5-80C5-4940-B481-42EB22C29735}"/>
    <cellStyle name="Вычисление 4 19 3 3 3" xfId="43887" xr:uid="{4FAD0E22-EF9D-454C-A687-7A985BDA0105}"/>
    <cellStyle name="Вычисление 4 19 3 4" xfId="22698" xr:uid="{1507E159-2FD9-498A-AF47-E85BAB08C349}"/>
    <cellStyle name="Вычисление 4 19 3 5" xfId="35751" xr:uid="{D71A426D-2E1F-401B-9814-8247FF4192D4}"/>
    <cellStyle name="Вычисление 4 19 4" xfId="5923" xr:uid="{7869B6B6-ED74-4D8C-A95C-7FB0EEC314C2}"/>
    <cellStyle name="Вычисление 4 19 4 2" xfId="9083" xr:uid="{666624DF-3C19-43B1-9467-5957AEBF6F68}"/>
    <cellStyle name="Вычисление 4 19 4 2 2" xfId="14875" xr:uid="{16CEC74C-1D1A-412E-87FE-95C25964CC85}"/>
    <cellStyle name="Вычисление 4 19 4 2 2 2" xfId="31126" xr:uid="{02AA13E5-4740-4B27-8C78-785964F0E129}"/>
    <cellStyle name="Вычисление 4 19 4 2 2 3" xfId="44567" xr:uid="{6DE46693-59D8-476B-BF9A-E858DB723A2E}"/>
    <cellStyle name="Вычисление 4 19 4 2 3" xfId="26564" xr:uid="{8D6D9E2A-2BC8-4E64-8464-21A6D7C2ED3E}"/>
    <cellStyle name="Вычисление 4 19 4 2 4" xfId="39640" xr:uid="{7A1A50F1-ABBD-4627-836B-8FEC7B4D9105}"/>
    <cellStyle name="Вычисление 4 19 4 3" xfId="17453" xr:uid="{8FFB2A97-43BB-45F7-B0A2-435FEC95698B}"/>
    <cellStyle name="Вычисление 4 19 4 3 2" xfId="33199" xr:uid="{30DBF80B-F561-45E3-B4AD-A299823221A7}"/>
    <cellStyle name="Вычисление 4 19 4 3 3" xfId="46982" xr:uid="{876EF3AA-79F1-462E-B47C-98AD2D9F9B87}"/>
    <cellStyle name="Вычисление 4 19 4 4" xfId="23570" xr:uid="{84BFFBE3-F8F9-451D-B408-07BCA8CF848D}"/>
    <cellStyle name="Вычисление 4 19 4 5" xfId="36651" xr:uid="{3F186881-418F-4194-B2C8-967236FD5C3D}"/>
    <cellStyle name="Вычисление 4 19 5" xfId="15095" xr:uid="{C5462483-3892-48B3-B90F-EE208AB8FBE2}"/>
    <cellStyle name="Вычисление 4 19 5 2" xfId="31301" xr:uid="{AAD1AA86-CEE8-475A-9B10-E86F4A84FDE4}"/>
    <cellStyle name="Вычисление 4 19 5 3" xfId="44762" xr:uid="{0E07EFF4-D337-43AB-828D-5AD070A07132}"/>
    <cellStyle name="Вычисление 4 19 6" xfId="21836" xr:uid="{13B3E45F-2C15-4287-B6E6-94B7BEEF099E}"/>
    <cellStyle name="Вычисление 4 19 7" xfId="34886" xr:uid="{2E7E06B9-642D-41E7-8C04-C110A99F1458}"/>
    <cellStyle name="Вычисление 4 2" xfId="3449" xr:uid="{70D34DAB-3F9D-42BE-B1B5-04752B59073D}"/>
    <cellStyle name="Вычисление 4 2 10" xfId="20501" xr:uid="{AA184C53-CBDB-4F68-B983-0E4346E21752}"/>
    <cellStyle name="Вычисление 4 2 11" xfId="34465" xr:uid="{5FA09FFA-4077-400A-A6AB-163CDE637259}"/>
    <cellStyle name="Вычисление 4 2 2" xfId="2791" xr:uid="{D4763C2D-656E-4E84-ACE3-724B775351F2}"/>
    <cellStyle name="Вычисление 4 2 2 2" xfId="5114" xr:uid="{63605203-49C0-40BA-876E-E36268AA4376}"/>
    <cellStyle name="Вычисление 4 2 2 2 2" xfId="8087" xr:uid="{FEC91F9E-A2F3-4F5D-A5D0-4661A0A8CDB3}"/>
    <cellStyle name="Вычисление 4 2 2 2 2 2" xfId="15445" xr:uid="{F8896DD1-3E63-4A2A-8C49-AEF9B6E32EC9}"/>
    <cellStyle name="Вычисление 4 2 2 2 2 2 2" xfId="31590" xr:uid="{19072491-C4F0-4305-8CA2-6E772D1A5301}"/>
    <cellStyle name="Вычисление 4 2 2 2 2 2 3" xfId="45085" xr:uid="{EA174DF1-961A-4498-8CD4-BFF1ECBBCF02}"/>
    <cellStyle name="Вычисление 4 2 2 2 2 3" xfId="25598" xr:uid="{6A1F7EBB-E1D2-4B5B-A8FE-B06457D8025F}"/>
    <cellStyle name="Вычисление 4 2 2 2 2 4" xfId="38674" xr:uid="{EC8586E9-30C1-413C-962B-9031BD4C76C4}"/>
    <cellStyle name="Вычисление 4 2 2 2 3" xfId="15299" xr:uid="{BFD22DB9-D428-47E9-B155-8AC84F956115}"/>
    <cellStyle name="Вычисление 4 2 2 2 3 2" xfId="31467" xr:uid="{400AAAC7-EA40-471D-A5DB-ABE2AE5002EC}"/>
    <cellStyle name="Вычисление 4 2 2 2 3 3" xfId="44947" xr:uid="{148F9218-CDAF-40D2-AC8E-EB8D1A74F9AB}"/>
    <cellStyle name="Вычисление 4 2 2 2 4" xfId="22838" xr:uid="{1CF34DD8-06E6-4737-8E4B-E8D7CF41CD03}"/>
    <cellStyle name="Вычисление 4 2 2 2 5" xfId="35907" xr:uid="{E4FDD2E5-5C0C-4D57-8FAF-96D8E7F4E62B}"/>
    <cellStyle name="Вычисление 4 2 2 3" xfId="6454" xr:uid="{16B3F9F9-7405-4FB5-960B-2913ECFFA794}"/>
    <cellStyle name="Вычисление 4 2 2 3 2" xfId="11914" xr:uid="{1B5E1910-85AF-4267-816E-8183F8BC8476}"/>
    <cellStyle name="Вычисление 4 2 2 3 2 2" xfId="28629" xr:uid="{A7066EC5-95DE-4683-B24F-188FB2149F76}"/>
    <cellStyle name="Вычисление 4 2 2 3 2 3" xfId="41845" xr:uid="{08F9BD35-FCD5-4479-B642-6D796A83D8CF}"/>
    <cellStyle name="Вычисление 4 2 2 3 3" xfId="24089" xr:uid="{01E3524A-A2EC-4802-9F1A-632D6A39B7A3}"/>
    <cellStyle name="Вычисление 4 2 2 3 4" xfId="37170" xr:uid="{E61B58BF-D90B-496F-8536-420493755440}"/>
    <cellStyle name="Вычисление 4 2 2 4" xfId="16220" xr:uid="{D9B3E5A1-3750-448E-9764-3C4E76211C6E}"/>
    <cellStyle name="Вычисление 4 2 2 4 2" xfId="32258" xr:uid="{1D5963C6-E19F-417C-92F1-5E5F5673DEE2}"/>
    <cellStyle name="Вычисление 4 2 2 4 3" xfId="45786" xr:uid="{5262CD2B-CDBB-44E7-B56A-67AB418F4522}"/>
    <cellStyle name="Вычисление 4 2 2 5" xfId="20841" xr:uid="{A81689FD-FA4B-470C-A0B7-9E94418EE01F}"/>
    <cellStyle name="Вычисление 4 2 2 6" xfId="33864" xr:uid="{E6B58C4D-8290-4E16-8766-72A96AC76811}"/>
    <cellStyle name="Вычисление 4 2 3" xfId="4057" xr:uid="{56A8BFDC-00D4-4AA1-BFFD-BE57135E1D01}"/>
    <cellStyle name="Вычисление 4 2 3 2" xfId="5209" xr:uid="{E381C442-15F2-45B3-B765-F95104459953}"/>
    <cellStyle name="Вычисление 4 2 3 2 2" xfId="9110" xr:uid="{31B7BD16-C437-439F-9110-50040713F201}"/>
    <cellStyle name="Вычисление 4 2 3 2 2 2" xfId="16847" xr:uid="{1196006C-140A-4034-A9C8-088F641B482C}"/>
    <cellStyle name="Вычисление 4 2 3 2 2 2 2" xfId="32724" xr:uid="{AA490044-FBAA-4D64-BA21-B4A8376D7C11}"/>
    <cellStyle name="Вычисление 4 2 3 2 2 2 3" xfId="46389" xr:uid="{1EF29853-E8CD-46C6-828E-501667E7ECA2}"/>
    <cellStyle name="Вычисление 4 2 3 2 2 3" xfId="26591" xr:uid="{3632BE32-3FDD-42FE-B0B7-460A7E888BAB}"/>
    <cellStyle name="Вычисление 4 2 3 2 2 4" xfId="39667" xr:uid="{45309E31-7138-4756-A98B-1B25B3158BE2}"/>
    <cellStyle name="Вычисление 4 2 3 2 3" xfId="15186" xr:uid="{E8F68052-88BA-4E6B-9B7A-A6FF063D310E}"/>
    <cellStyle name="Вычисление 4 2 3 2 3 2" xfId="31371" xr:uid="{B3CE38D3-0BEC-4E62-8E63-B3422F9399BD}"/>
    <cellStyle name="Вычисление 4 2 3 2 3 3" xfId="44841" xr:uid="{3A236F59-CC12-4380-92E2-44550477DE1F}"/>
    <cellStyle name="Вычисление 4 2 3 2 4" xfId="22884" xr:uid="{BBD7CB45-22FD-437F-91A4-BA0F27596E3E}"/>
    <cellStyle name="Вычисление 4 2 3 2 5" xfId="35953" xr:uid="{6BA86735-B7C2-4DCB-BC38-CCB5092315EB}"/>
    <cellStyle name="Вычисление 4 2 3 3" xfId="7622" xr:uid="{17309FEB-4506-40D4-B088-03AFC0A22F92}"/>
    <cellStyle name="Вычисление 4 2 3 3 2" xfId="12718" xr:uid="{F98F0535-E91B-4CFF-A6E8-EB804552D078}"/>
    <cellStyle name="Вычисление 4 2 3 3 2 2" xfId="29301" xr:uid="{DC255501-6766-4C35-A6B9-B364EA4E446B}"/>
    <cellStyle name="Вычисление 4 2 3 3 2 3" xfId="42578" xr:uid="{14008522-CDEB-4F6B-8D6F-3851D7FD3D3F}"/>
    <cellStyle name="Вычисление 4 2 3 3 3" xfId="25150" xr:uid="{6F1CFF60-6C2D-4AEA-87E1-286C75A470C9}"/>
    <cellStyle name="Вычисление 4 2 3 3 4" xfId="38226" xr:uid="{E1987F7F-D97F-4B29-9578-53F101A26A9B}"/>
    <cellStyle name="Вычисление 4 2 3 4" xfId="15061" xr:uid="{0C13BEBA-349E-43CD-8455-DCB56EBEDC64}"/>
    <cellStyle name="Вычисление 4 2 3 4 2" xfId="31272" xr:uid="{371092AD-41EA-4977-881B-9F95AFDDD388}"/>
    <cellStyle name="Вычисление 4 2 3 4 3" xfId="44728" xr:uid="{825D66EE-A7C6-4732-BA25-1D5420153FF1}"/>
    <cellStyle name="Вычисление 4 2 3 5" xfId="21891" xr:uid="{1C71EC8E-C96D-49F3-8BFC-DE7BFF039445}"/>
    <cellStyle name="Вычисление 4 2 3 6" xfId="34940" xr:uid="{FDE36C7F-645C-4289-AE87-64EFAE73DE7C}"/>
    <cellStyle name="Вычисление 4 2 4" xfId="2629" xr:uid="{1073AB0B-2129-473D-863E-C2EBCE56AA9C}"/>
    <cellStyle name="Вычисление 4 2 4 2" xfId="5021" xr:uid="{13EACD44-036D-4406-A06A-9DA052B1F1B1}"/>
    <cellStyle name="Вычисление 4 2 4 2 2" xfId="7926" xr:uid="{F52984FA-946A-4FD9-B2F1-CCA5EA2AEADA}"/>
    <cellStyle name="Вычисление 4 2 4 2 2 2" xfId="16641" xr:uid="{718F5B4B-7D1D-4C39-828A-FCE99AE07D1B}"/>
    <cellStyle name="Вычисление 4 2 4 2 2 2 2" xfId="32547" xr:uid="{6DFD676F-CD90-4E4B-8D5A-1046AE3E5BC2}"/>
    <cellStyle name="Вычисление 4 2 4 2 2 2 3" xfId="46188" xr:uid="{0A467A55-A589-4CA8-9D64-93AB9E12A0F4}"/>
    <cellStyle name="Вычисление 4 2 4 2 2 3" xfId="25442" xr:uid="{D7789CA2-7D6B-4737-A704-833350C9D5BA}"/>
    <cellStyle name="Вычисление 4 2 4 2 2 4" xfId="38518" xr:uid="{C20C1828-52F9-4FDF-8CF0-E905FD97C354}"/>
    <cellStyle name="Вычисление 4 2 4 2 3" xfId="15606" xr:uid="{F4D26939-9B4F-405C-9311-B361285D3015}"/>
    <cellStyle name="Вычисление 4 2 4 2 3 2" xfId="31730" xr:uid="{54412C5B-2378-41D3-98CC-BAA9F9D4E40A}"/>
    <cellStyle name="Вычисление 4 2 4 2 3 3" xfId="45233" xr:uid="{FD860029-F6B4-4F85-B0DD-4C56AC80EB7D}"/>
    <cellStyle name="Вычисление 4 2 4 2 4" xfId="22783" xr:uid="{32789D2D-8C41-4AF6-886E-AB12F24C09B6}"/>
    <cellStyle name="Вычисление 4 2 4 2 5" xfId="35844" xr:uid="{63F13291-90B1-4590-B680-713EF60E4677}"/>
    <cellStyle name="Вычисление 4 2 4 3" xfId="6293" xr:uid="{46A608AA-9A69-4DB9-A87D-C2031CCDA8A1}"/>
    <cellStyle name="Вычисление 4 2 4 3 2" xfId="12428" xr:uid="{C6A37ED5-2343-499C-A2F7-DAB43B77AFC4}"/>
    <cellStyle name="Вычисление 4 2 4 3 2 2" xfId="29082" xr:uid="{37B7D974-AA64-4AE4-98A5-D543CB3B8023}"/>
    <cellStyle name="Вычисление 4 2 4 3 2 3" xfId="42327" xr:uid="{395B8AD8-6CC9-4DDA-B137-28B21EAC60AF}"/>
    <cellStyle name="Вычисление 4 2 4 3 3" xfId="23933" xr:uid="{F789DE94-E2F1-408B-9D2B-819E4D447F44}"/>
    <cellStyle name="Вычисление 4 2 4 3 4" xfId="37014" xr:uid="{83F1173F-A971-4442-8559-D89B9DC1BCDB}"/>
    <cellStyle name="Вычисление 4 2 4 4" xfId="11518" xr:uid="{85B76763-5235-42B8-B8D9-487AFE81987D}"/>
    <cellStyle name="Вычисление 4 2 4 4 2" xfId="28277" xr:uid="{CD1E36FA-41D4-471C-8FEE-C0822C110B50}"/>
    <cellStyle name="Вычисление 4 2 4 4 3" xfId="41474" xr:uid="{DFF21356-334A-4428-B889-A8570DFE6B33}"/>
    <cellStyle name="Вычисление 4 2 4 5" xfId="20685" xr:uid="{ADEB5235-525A-4E1D-AD8D-2EEE0F5E3E7D}"/>
    <cellStyle name="Вычисление 4 2 4 6" xfId="33708" xr:uid="{C6BBE1CF-9004-4AD9-AE96-8BD78ACD4E4B}"/>
    <cellStyle name="Вычисление 4 2 5" xfId="4234" xr:uid="{FE73C6B7-3237-40B0-BC9C-C67F7DA27F6F}"/>
    <cellStyle name="Вычисление 4 2 5 2" xfId="5229" xr:uid="{DC44D2FD-A46B-4B99-9B84-93CFDB68F525}"/>
    <cellStyle name="Вычисление 4 2 5 2 2" xfId="9286" xr:uid="{951AC172-4DED-4E30-BE5C-5CF0E1FF2462}"/>
    <cellStyle name="Вычисление 4 2 5 2 2 2" xfId="17071" xr:uid="{956DAA20-E6AE-47E7-8C7F-59EED56ED562}"/>
    <cellStyle name="Вычисление 4 2 5 2 2 2 2" xfId="32842" xr:uid="{7DF30F17-AD95-42C7-8F8A-E5EA91F1DA62}"/>
    <cellStyle name="Вычисление 4 2 5 2 2 2 3" xfId="46612" xr:uid="{40B41111-3246-422F-9799-9B096FC1776D}"/>
    <cellStyle name="Вычисление 4 2 5 2 2 3" xfId="26759" xr:uid="{DEADDCE9-4A3C-43C1-B6EC-E3F6A0E92442}"/>
    <cellStyle name="Вычисление 4 2 5 2 2 4" xfId="39835" xr:uid="{79405233-C60B-43CC-BBBF-B6EDA3144A8A}"/>
    <cellStyle name="Вычисление 4 2 5 2 3" xfId="11907" xr:uid="{F6714515-8C28-4244-A5C7-2319D45503F7}"/>
    <cellStyle name="Вычисление 4 2 5 2 3 2" xfId="28622" xr:uid="{8653D0D8-7D15-462C-B70F-488644DAB78E}"/>
    <cellStyle name="Вычисление 4 2 5 2 3 3" xfId="41838" xr:uid="{FAC5DC52-0B3D-44FA-828F-C9A4CA308D9E}"/>
    <cellStyle name="Вычисление 4 2 5 2 4" xfId="22896" xr:uid="{DA6972ED-C294-47C1-A01D-5E8A7D38B628}"/>
    <cellStyle name="Вычисление 4 2 5 2 5" xfId="35969" xr:uid="{E4F6B57A-4BC9-4531-9853-1EC6A122895B}"/>
    <cellStyle name="Вычисление 4 2 5 3" xfId="7798" xr:uid="{66FB6F27-59D7-4AA3-815C-2676D3158823}"/>
    <cellStyle name="Вычисление 4 2 5 3 2" xfId="13148" xr:uid="{47B21952-B910-4003-9622-3FFFA4AA07F5}"/>
    <cellStyle name="Вычисление 4 2 5 3 2 2" xfId="29662" xr:uid="{7C2A2818-7B81-4E95-984F-BD32614BFAEB}"/>
    <cellStyle name="Вычисление 4 2 5 3 2 3" xfId="42974" xr:uid="{9796C853-4290-4A4E-88B5-3EBE089B9DDF}"/>
    <cellStyle name="Вычисление 4 2 5 3 3" xfId="25318" xr:uid="{288EB777-8EC5-4904-909B-98E2763DBF17}"/>
    <cellStyle name="Вычисление 4 2 5 3 4" xfId="38394" xr:uid="{6F35188C-A89A-4205-8786-CA9F61149F16}"/>
    <cellStyle name="Вычисление 4 2 5 4" xfId="17289" xr:uid="{EF3CDFE9-B1E0-4C3A-9CDF-B082C27934AF}"/>
    <cellStyle name="Вычисление 4 2 5 4 2" xfId="33047" xr:uid="{89401BC6-E956-471A-94D2-72B6B85F4E17}"/>
    <cellStyle name="Вычисление 4 2 5 4 3" xfId="46823" xr:uid="{6FEBD7A8-DAE7-4B31-AA07-0E4CBAAC86AD}"/>
    <cellStyle name="Вычисление 4 2 5 5" xfId="22059" xr:uid="{8CB4FEB6-C8A0-4EE2-9474-A006B259404B}"/>
    <cellStyle name="Вычисление 4 2 5 6" xfId="35108" xr:uid="{49510174-54F6-4F78-B931-53AC29361F7B}"/>
    <cellStyle name="Вычисление 4 2 6" xfId="4451" xr:uid="{8126139F-D3B3-410D-B4AB-51F20EC9C021}"/>
    <cellStyle name="Вычисление 4 2 6 2" xfId="7091" xr:uid="{9D7685EE-E29F-4B9D-8ADA-2B51630FC09D}"/>
    <cellStyle name="Вычисление 4 2 6 2 2" xfId="14181" xr:uid="{22A57AD8-5AFA-4D43-8ADF-3822B5E277F9}"/>
    <cellStyle name="Вычисление 4 2 6 2 2 2" xfId="30533" xr:uid="{9EF06F6B-22E6-4770-BAAF-E1189835EA35}"/>
    <cellStyle name="Вычисление 4 2 6 2 2 3" xfId="43920" xr:uid="{7A9F03E9-A22C-421D-81BB-38E8BBB6795C}"/>
    <cellStyle name="Вычисление 4 2 6 2 3" xfId="24690" xr:uid="{4D198936-E48B-458D-99E1-15FBF0E07ED6}"/>
    <cellStyle name="Вычисление 4 2 6 2 4" xfId="37771" xr:uid="{5D96AD9B-43B4-438E-8791-AC3F39523571}"/>
    <cellStyle name="Вычисление 4 2 6 3" xfId="11322" xr:uid="{59B63E19-D2D2-418E-86A1-C0D27D68CF53}"/>
    <cellStyle name="Вычисление 4 2 6 3 2" xfId="28101" xr:uid="{2A1DCE9F-E32B-4AAD-803C-E954106C2E01}"/>
    <cellStyle name="Вычисление 4 2 6 3 3" xfId="41289" xr:uid="{5E0521E2-FF50-49D3-AD63-6FCBA7F6FB88}"/>
    <cellStyle name="Вычисление 4 2 6 4" xfId="22269" xr:uid="{4616A3A1-811F-4246-9551-5E513435BA47}"/>
    <cellStyle name="Вычисление 4 2 6 5" xfId="35318" xr:uid="{5A7BCDFC-3F18-4C63-8F39-DAA998579FEB}"/>
    <cellStyle name="Вычисление 4 2 7" xfId="5504" xr:uid="{99523C7E-6001-406D-93A9-1DA18DD4A7F9}"/>
    <cellStyle name="Вычисление 4 2 7 2" xfId="8686" xr:uid="{E7A94591-7665-4DCE-88C3-3CB8327B40F8}"/>
    <cellStyle name="Вычисление 4 2 7 2 2" xfId="11043" xr:uid="{E5D0454E-5E04-4752-A7F4-F8A94B3F8A1C}"/>
    <cellStyle name="Вычисление 4 2 7 2 2 2" xfId="27849" xr:uid="{54E73D36-D1CF-4E0E-9838-8DD1C850D7F2}"/>
    <cellStyle name="Вычисление 4 2 7 2 2 3" xfId="41023" xr:uid="{4B8AC8E7-66C0-47D1-9C57-F4ADA6E31C58}"/>
    <cellStyle name="Вычисление 4 2 7 2 3" xfId="26179" xr:uid="{3D14DBB9-09A2-4F13-9526-4B90D78B4086}"/>
    <cellStyle name="Вычисление 4 2 7 2 4" xfId="39255" xr:uid="{04DDAEF6-A4DA-4BD1-A78B-4511FCC9C933}"/>
    <cellStyle name="Вычисление 4 2 7 3" xfId="15177" xr:uid="{D45DB23D-7CA1-43C4-ACD4-921EEB2CB69B}"/>
    <cellStyle name="Вычисление 4 2 7 3 2" xfId="31364" xr:uid="{3BA8AE2C-3EF1-47DF-8728-DF688C5FE79D}"/>
    <cellStyle name="Вычисление 4 2 7 3 3" xfId="44833" xr:uid="{154E0440-57C7-419F-8749-E2E54A8D4874}"/>
    <cellStyle name="Вычисление 4 2 7 4" xfId="23151" xr:uid="{FD8FA2A3-E1AD-4D78-868A-7BFE353F3E64}"/>
    <cellStyle name="Вычисление 4 2 7 5" xfId="36232" xr:uid="{9DFFC1FD-F72C-4E8B-BB1C-BB68FFE67401}"/>
    <cellStyle name="Вычисление 4 2 8" xfId="11638" xr:uid="{16F91A02-E8DB-4971-BE5B-6F503F290B26}"/>
    <cellStyle name="Вычисление 4 2 8 2" xfId="28381" xr:uid="{0D874B48-013C-4A67-A0B4-E949020D031C}"/>
    <cellStyle name="Вычисление 4 2 8 3" xfId="41585" xr:uid="{61C7932F-AAE3-453C-959E-00FDECB17268}"/>
    <cellStyle name="Вычисление 4 2 9" xfId="17748" xr:uid="{B57F21B1-FB82-460D-A727-99E400DB5FBD}"/>
    <cellStyle name="Вычисление 4 2 9 2" xfId="33470" xr:uid="{6270AAEE-2E22-4C4A-802F-D5EF98E93BA6}"/>
    <cellStyle name="Вычисление 4 2 9 3" xfId="47253" xr:uid="{5A6DDDCD-1541-4C06-9A1A-18AF9E24F2B4}"/>
    <cellStyle name="Вычисление 4 20" xfId="3157" xr:uid="{801E4E64-4CE7-4D9B-9AAC-1E9FE60826AD}"/>
    <cellStyle name="Вычисление 4 20 2" xfId="4995" xr:uid="{D957B781-FECA-43AF-A52E-A21BC4CEDC7E}"/>
    <cellStyle name="Вычисление 4 20 2 2" xfId="8449" xr:uid="{09A771EA-6D08-47D6-BAB3-DC40043811D9}"/>
    <cellStyle name="Вычисление 4 20 2 2 2" xfId="16895" xr:uid="{610A59C6-E845-4741-B873-8B1A4CD4FE40}"/>
    <cellStyle name="Вычисление 4 20 2 2 2 2" xfId="32771" xr:uid="{CE55796A-6920-4149-B512-72547A9E93AC}"/>
    <cellStyle name="Вычисление 4 20 2 2 2 3" xfId="46437" xr:uid="{AB343706-3B36-4532-83E6-76BE99A90E90}"/>
    <cellStyle name="Вычисление 4 20 2 2 3" xfId="25951" xr:uid="{0233ED20-C333-4C90-90CC-3CA2DB23E8FF}"/>
    <cellStyle name="Вычисление 4 20 2 2 4" xfId="39027" xr:uid="{A186F41D-AABD-4273-ACB5-05634125185C}"/>
    <cellStyle name="Вычисление 4 20 2 3" xfId="11244" xr:uid="{4016ED0F-7120-4B96-A431-1E26C9294F87}"/>
    <cellStyle name="Вычисление 4 20 2 3 2" xfId="28034" xr:uid="{167E19ED-CDDC-4B57-A6A7-41507CCC2D08}"/>
    <cellStyle name="Вычисление 4 20 2 3 3" xfId="41216" xr:uid="{58A37604-488F-4228-9A4D-E6665233037D}"/>
    <cellStyle name="Вычисление 4 20 2 4" xfId="22765" xr:uid="{5B7953CB-1FCD-486B-879C-DD650455F61B}"/>
    <cellStyle name="Вычисление 4 20 2 5" xfId="35824" xr:uid="{C5B85085-385F-4731-9DC7-348439D657DE}"/>
    <cellStyle name="Вычисление 4 20 3" xfId="6816" xr:uid="{D2181974-A49C-4382-950C-E57E7A0058CC}"/>
    <cellStyle name="Вычисление 4 20 3 2" xfId="14447" xr:uid="{1A5D434B-790A-4FBC-9ED7-1E8329EFA1A2}"/>
    <cellStyle name="Вычисление 4 20 3 2 2" xfId="30775" xr:uid="{25002673-B4F6-49FB-8EA6-777E68990670}"/>
    <cellStyle name="Вычисление 4 20 3 2 3" xfId="44176" xr:uid="{21D3ED34-6E03-4E4A-8A25-4BE94CDB68D1}"/>
    <cellStyle name="Вычисление 4 20 3 3" xfId="24442" xr:uid="{AD9F7B49-2910-4CEF-8B5F-96852915CC9C}"/>
    <cellStyle name="Вычисление 4 20 3 4" xfId="37523" xr:uid="{5C218242-D6D4-4E3E-B822-CCAB141D3ADD}"/>
    <cellStyle name="Вычисление 4 20 4" xfId="15091" xr:uid="{E70C6D86-401A-4516-A5E1-151F8A10B37A}"/>
    <cellStyle name="Вычисление 4 20 4 2" xfId="31297" xr:uid="{C36B08DA-255D-4192-8334-974F8307283E}"/>
    <cellStyle name="Вычисление 4 20 4 3" xfId="44758" xr:uid="{CC075516-B61E-4699-A858-84F041EA0732}"/>
    <cellStyle name="Вычисление 4 20 5" xfId="21194" xr:uid="{15DADD66-E299-45BB-AF41-431170143888}"/>
    <cellStyle name="Вычисление 4 20 6" xfId="34217" xr:uid="{CC4B4769-59E6-4EC5-B533-0B5379A0660E}"/>
    <cellStyle name="Вычисление 4 21" xfId="2649" xr:uid="{AC7B0E1E-D529-45F0-88A9-192F170077E1}"/>
    <cellStyle name="Вычисление 4 21 2" xfId="7946" xr:uid="{FBFD08DB-96CA-4F0A-8240-AE50831F5EF7}"/>
    <cellStyle name="Вычисление 4 21 2 2" xfId="11351" xr:uid="{ED1BAED4-5E02-4846-AC05-3D96ED8DB279}"/>
    <cellStyle name="Вычисление 4 21 2 2 2" xfId="28130" xr:uid="{B3961103-F98D-45A8-BB57-571713E8EE4A}"/>
    <cellStyle name="Вычисление 4 21 2 2 3" xfId="41318" xr:uid="{E51B0817-B0FB-4721-BA07-6B201803EC5A}"/>
    <cellStyle name="Вычисление 4 21 2 3" xfId="25462" xr:uid="{93B5E4FF-06D5-4439-96B4-A87587A2824F}"/>
    <cellStyle name="Вычисление 4 21 2 4" xfId="38538" xr:uid="{C8832BCE-3A5C-447F-9864-F62F9E7FF3EF}"/>
    <cellStyle name="Вычисление 4 21 3" xfId="6313" xr:uid="{93EF19BA-7235-4ED6-B66D-6684354AE3E8}"/>
    <cellStyle name="Вычисление 4 21 3 2" xfId="13862" xr:uid="{4113DC70-0221-4366-A05D-8AEF04708004}"/>
    <cellStyle name="Вычисление 4 21 3 2 2" xfId="30261" xr:uid="{5F408663-1F4D-4F06-A224-630EA742178D}"/>
    <cellStyle name="Вычисление 4 21 3 2 3" xfId="43632" xr:uid="{80C71D9C-9849-4E80-8A7F-80319C3C2AA0}"/>
    <cellStyle name="Вычисление 4 21 3 3" xfId="23953" xr:uid="{4D3B93A8-4662-46E6-B6DA-5E515A554DFD}"/>
    <cellStyle name="Вычисление 4 21 3 4" xfId="37034" xr:uid="{45B7BB62-9B5D-41D0-8974-CAF6B487458E}"/>
    <cellStyle name="Вычисление 4 21 4" xfId="13913" xr:uid="{1D35CA3F-042F-4A88-AFA9-E7DE70B11377}"/>
    <cellStyle name="Вычисление 4 21 4 2" xfId="30304" xr:uid="{58659844-5DB7-4F8C-A050-C28B5C8F936B}"/>
    <cellStyle name="Вычисление 4 21 4 3" xfId="43678" xr:uid="{3E589E53-8DF2-495D-B69E-440CEE43E457}"/>
    <cellStyle name="Вычисление 4 21 5" xfId="20705" xr:uid="{5AFB460C-7843-44D8-B935-D7188FC3A50A}"/>
    <cellStyle name="Вычисление 4 21 6" xfId="33728" xr:uid="{B6E6D3BE-DF33-41E9-85B1-FC3A2A59117B}"/>
    <cellStyle name="Вычисление 4 22" xfId="4103" xr:uid="{CAE0D07B-911E-45A7-88F2-AEFC2D3D01F2}"/>
    <cellStyle name="Вычисление 4 22 2" xfId="9155" xr:uid="{48409AEF-549E-4B5A-9F30-7796C0C5FB36}"/>
    <cellStyle name="Вычисление 4 22 2 2" xfId="11657" xr:uid="{48B54949-266B-45E6-BEBA-317830A797DE}"/>
    <cellStyle name="Вычисление 4 22 2 2 2" xfId="28398" xr:uid="{E8E759BD-9BF8-40B7-9DAB-3043D0BF1E45}"/>
    <cellStyle name="Вычисление 4 22 2 2 3" xfId="41602" xr:uid="{549A88C3-BFF5-49EF-B39B-DEDC98392086}"/>
    <cellStyle name="Вычисление 4 22 2 3" xfId="26636" xr:uid="{479BD899-A97D-41E0-BA79-E76C8DF1C2BB}"/>
    <cellStyle name="Вычисление 4 22 2 4" xfId="39712" xr:uid="{858B54AA-8485-43AF-933E-76AC94E34429}"/>
    <cellStyle name="Вычисление 4 22 3" xfId="7667" xr:uid="{37A3E3F3-7CF8-4075-BA3D-7EBC8E7B302F}"/>
    <cellStyle name="Вычисление 4 22 3 2" xfId="17043" xr:uid="{F97BFB7A-105B-4425-B5FE-90FB19B6723F}"/>
    <cellStyle name="Вычисление 4 22 3 2 2" xfId="32816" xr:uid="{BBC9A09F-7DA6-4BFD-8C34-B53D975E517B}"/>
    <cellStyle name="Вычисление 4 22 3 2 3" xfId="46585" xr:uid="{931F7056-0855-43D5-BF14-1D778BA4D8AB}"/>
    <cellStyle name="Вычисление 4 22 3 3" xfId="25195" xr:uid="{9D00869C-C682-40FF-AAF4-88DB8A011187}"/>
    <cellStyle name="Вычисление 4 22 3 4" xfId="38271" xr:uid="{05A927CB-3310-484C-83F3-316FDEB76E92}"/>
    <cellStyle name="Вычисление 4 22 4" xfId="11369" xr:uid="{7A7E5DA9-E5F1-48C3-8DA6-8E5E7A94DD84}"/>
    <cellStyle name="Вычисление 4 22 4 2" xfId="28146" xr:uid="{C8638230-CEAD-474E-8390-21B948EAA0AB}"/>
    <cellStyle name="Вычисление 4 22 4 3" xfId="41335" xr:uid="{8FECCF7A-355A-4C97-AAD8-1D3B11EA6A2F}"/>
    <cellStyle name="Вычисление 4 22 5" xfId="21936" xr:uid="{8B3938AE-C6D5-4944-92E7-3BB33263C47B}"/>
    <cellStyle name="Вычисление 4 22 6" xfId="34985" xr:uid="{306DE979-6C5D-47EB-87A0-9B7113B609FE}"/>
    <cellStyle name="Вычисление 4 23" xfId="2558" xr:uid="{371117F9-F238-4AB2-91EE-5A22ECA78E16}"/>
    <cellStyle name="Вычисление 4 23 2" xfId="7856" xr:uid="{2E6EE510-A049-4711-84F9-FC218A8BE718}"/>
    <cellStyle name="Вычисление 4 23 2 2" xfId="17494" xr:uid="{4A481B78-5247-46DF-924E-85B93AE18C91}"/>
    <cellStyle name="Вычисление 4 23 2 2 2" xfId="33237" xr:uid="{2D9CDC0A-A6E7-44D5-A8BD-FF299E7FA7B8}"/>
    <cellStyle name="Вычисление 4 23 2 2 3" xfId="47023" xr:uid="{437E937A-FA03-4E64-8E1E-E69AFB0C7CB1}"/>
    <cellStyle name="Вычисление 4 23 2 3" xfId="25375" xr:uid="{DF07B155-EC68-43A4-89F3-9FB0E63D0416}"/>
    <cellStyle name="Вычисление 4 23 2 4" xfId="38451" xr:uid="{E72E0C2B-7BB4-48CC-ABFB-55FC03435917}"/>
    <cellStyle name="Вычисление 4 23 3" xfId="6223" xr:uid="{15708DDC-EBED-48F0-ABF6-155EBC6EDA6D}"/>
    <cellStyle name="Вычисление 4 23 3 2" xfId="16346" xr:uid="{7F1C6733-2D2D-4169-9A7F-BF5A37633153}"/>
    <cellStyle name="Вычисление 4 23 3 2 2" xfId="32369" xr:uid="{6CE97D6B-F9E1-4AE9-BC4B-82D22857A9DF}"/>
    <cellStyle name="Вычисление 4 23 3 2 3" xfId="45901" xr:uid="{86BA9A35-CA35-4811-A6CC-E8FE673AEFEC}"/>
    <cellStyle name="Вычисление 4 23 3 3" xfId="23866" xr:uid="{7AA1AB31-8F3D-4BBB-9BED-5331C1144104}"/>
    <cellStyle name="Вычисление 4 23 3 4" xfId="36947" xr:uid="{A921CA4A-4A49-492E-98B6-A27F7ADACF8E}"/>
    <cellStyle name="Вычисление 4 23 4" xfId="12497" xr:uid="{D86B250F-4596-4CCB-B020-D8CB4D91DA3B}"/>
    <cellStyle name="Вычисление 4 23 4 2" xfId="29131" xr:uid="{BCDE277C-E42D-46A7-B133-0F65B1AB5005}"/>
    <cellStyle name="Вычисление 4 23 4 3" xfId="42385" xr:uid="{0233A818-46FF-484A-AE36-206C2A854AAA}"/>
    <cellStyle name="Вычисление 4 23 5" xfId="20618" xr:uid="{80B48B28-4FEF-45C4-8EEE-C122BC48F471}"/>
    <cellStyle name="Вычисление 4 23 6" xfId="33641" xr:uid="{81034905-596C-4CFE-AB02-ECD7EB745376}"/>
    <cellStyle name="Вычисление 4 24" xfId="4218" xr:uid="{074BED02-2550-4EFD-87C0-60D615FBC5A3}"/>
    <cellStyle name="Вычисление 4 24 2" xfId="9270" xr:uid="{6AB1BB04-2D87-4600-903E-7B63A2A70EA8}"/>
    <cellStyle name="Вычисление 4 24 2 2" xfId="15806" xr:uid="{0892D21F-6D2D-4A09-A50F-26A9B5075C4B}"/>
    <cellStyle name="Вычисление 4 24 2 2 2" xfId="31904" xr:uid="{38B61B73-EBFE-4E8D-B1E4-8C2C6217FB18}"/>
    <cellStyle name="Вычисление 4 24 2 2 3" xfId="45416" xr:uid="{FE8933E9-1A2C-4F00-ABF1-EF6FA3B03555}"/>
    <cellStyle name="Вычисление 4 24 2 3" xfId="26743" xr:uid="{D9F20FBD-B3D3-4976-828C-72C0BFFD5F9A}"/>
    <cellStyle name="Вычисление 4 24 2 4" xfId="39819" xr:uid="{CB7E773A-86CA-42FF-A5DD-207EB387D5D2}"/>
    <cellStyle name="Вычисление 4 24 3" xfId="7782" xr:uid="{04A7DDED-A9D4-422D-A01F-65A7F65CCFD0}"/>
    <cellStyle name="Вычисление 4 24 3 2" xfId="14486" xr:uid="{4530C68D-582C-43F7-BE7A-718BB2A68C40}"/>
    <cellStyle name="Вычисление 4 24 3 2 2" xfId="30809" xr:uid="{089929B0-CD22-4C39-8BEF-018A6995C940}"/>
    <cellStyle name="Вычисление 4 24 3 2 3" xfId="44215" xr:uid="{BFD9FBBD-E617-4459-9318-615B8AE4C0CF}"/>
    <cellStyle name="Вычисление 4 24 3 3" xfId="25302" xr:uid="{377516F7-39CE-4D75-BAF9-0CA596460FA1}"/>
    <cellStyle name="Вычисление 4 24 3 4" xfId="38378" xr:uid="{8C97CCB8-A5B0-4ADA-AAF3-1F90AC460B76}"/>
    <cellStyle name="Вычисление 4 24 4" xfId="13836" xr:uid="{E35B1985-9548-488A-9BC0-C8ADC42810C4}"/>
    <cellStyle name="Вычисление 4 24 4 2" xfId="30238" xr:uid="{B9171D03-8CFF-4529-A29E-D2747FB5A845}"/>
    <cellStyle name="Вычисление 4 24 4 3" xfId="43608" xr:uid="{BF0105E7-6669-4E59-A7B2-AF16898A9697}"/>
    <cellStyle name="Вычисление 4 24 5" xfId="22043" xr:uid="{BCC0982E-B995-4539-B2C4-D3534A0CCAA6}"/>
    <cellStyle name="Вычисление 4 24 6" xfId="35092" xr:uid="{07AB90DF-A79E-437D-BC51-4B83F9C126A4}"/>
    <cellStyle name="Вычисление 4 25" xfId="4299" xr:uid="{30281977-3223-4C3D-8D28-44B22953BD4C}"/>
    <cellStyle name="Вычисление 4 25 2" xfId="6168" xr:uid="{86698929-1D46-46E5-88E8-3E19297E78BC}"/>
    <cellStyle name="Вычисление 4 25 2 2" xfId="11422" xr:uid="{6816D6C2-1EE8-41A8-9FD6-BC3008DF7EEB}"/>
    <cellStyle name="Вычисление 4 25 2 2 2" xfId="28190" xr:uid="{09F8C4E0-2F2C-4E58-8949-D9DBCCC2E6B8}"/>
    <cellStyle name="Вычисление 4 25 2 2 3" xfId="41381" xr:uid="{6E9CA64B-6E1B-4635-B7C7-365EEAD26920}"/>
    <cellStyle name="Вычисление 4 25 2 3" xfId="23813" xr:uid="{DD8A0287-21A2-4783-BE6B-163F4C892D1F}"/>
    <cellStyle name="Вычисление 4 25 2 4" xfId="36894" xr:uid="{C8650D96-A08C-4152-8331-2A7ED2CEC4F8}"/>
    <cellStyle name="Вычисление 4 25 3" xfId="14901" xr:uid="{6751EFAC-E283-40DD-915B-6F11E082D7D9}"/>
    <cellStyle name="Вычисление 4 25 3 2" xfId="31149" xr:uid="{8EF52433-DCD9-4693-BB18-248008C7DCF1}"/>
    <cellStyle name="Вычисление 4 25 3 3" xfId="44592" xr:uid="{FFFC59C3-53F1-4781-9B3C-A047DB1759ED}"/>
    <cellStyle name="Вычисление 4 25 4" xfId="22120" xr:uid="{9844D38A-1245-4557-919B-FB36546297DB}"/>
    <cellStyle name="Вычисление 4 25 5" xfId="35169" xr:uid="{DCAF3A21-F8B3-4382-84A7-0C8EB183C63E}"/>
    <cellStyle name="Вычисление 4 26" xfId="5278" xr:uid="{3150A716-08F1-4701-A052-A206FD44B7EB}"/>
    <cellStyle name="Вычисление 4 26 2" xfId="9711" xr:uid="{F6ACE991-723F-4E11-B293-9FB2F57B6315}"/>
    <cellStyle name="Вычисление 4 26 2 2" xfId="14817" xr:uid="{163836FA-7854-4DF9-A767-2733E0E093F7}"/>
    <cellStyle name="Вычисление 4 26 2 2 2" xfId="31079" xr:uid="{A2291131-3792-4387-982E-A70F592A4E43}"/>
    <cellStyle name="Вычисление 4 26 2 2 3" xfId="44514" xr:uid="{ECEABEBB-A283-4896-A372-E67FFF63EE7E}"/>
    <cellStyle name="Вычисление 4 26 2 3" xfId="27011" xr:uid="{98385971-350C-41C9-BAA0-F38979844907}"/>
    <cellStyle name="Вычисление 4 26 2 4" xfId="40127" xr:uid="{FB0906C6-3D44-4C07-802A-FF0C0E5AD30B}"/>
    <cellStyle name="Вычисление 4 26 3" xfId="16614" xr:uid="{8DA03E0E-E1B4-41B6-AA74-2CD327A71DCC}"/>
    <cellStyle name="Вычисление 4 26 3 2" xfId="32522" xr:uid="{98D16131-881F-4F33-94D4-12178EE9A0D8}"/>
    <cellStyle name="Вычисление 4 26 3 3" xfId="46161" xr:uid="{1C133FD7-1603-49B1-BD9F-BF6DDE1A0070}"/>
    <cellStyle name="Вычисление 4 26 4" xfId="22930" xr:uid="{42027272-B174-45CB-A962-00F23EF9351C}"/>
    <cellStyle name="Вычисление 4 26 5" xfId="36008" xr:uid="{1BDECE18-B6FE-47F8-B6BB-093437D922D5}"/>
    <cellStyle name="Вычисление 4 27" xfId="10569" xr:uid="{C0F68E68-9842-4631-BD4A-096F610FC24E}"/>
    <cellStyle name="Вычисление 4 27 2" xfId="17614" xr:uid="{59907A44-C829-44EC-9041-6F3AFB0C6B7F}"/>
    <cellStyle name="Вычисление 4 27 2 2" xfId="33349" xr:uid="{F087E44E-F07D-4472-B0FF-5E33034BE087}"/>
    <cellStyle name="Вычисление 4 27 2 3" xfId="47139" xr:uid="{60B99E62-F5E6-4DBA-A4DF-8DD7D695CB61}"/>
    <cellStyle name="Вычисление 4 27 3" xfId="27428" xr:uid="{3376AF63-A5EB-483A-9C26-7E587B2C8CAC}"/>
    <cellStyle name="Вычисление 4 27 4" xfId="40550" xr:uid="{10427F46-4BB4-4F92-AF8B-A767DB3DA380}"/>
    <cellStyle name="Вычисление 4 28" xfId="11999" xr:uid="{825E56DE-29EB-4FAC-8983-E64C49817337}"/>
    <cellStyle name="Вычисление 4 28 2" xfId="28705" xr:uid="{DD90F50A-D492-439D-AA0A-A0E606C0B150}"/>
    <cellStyle name="Вычисление 4 28 3" xfId="41923" xr:uid="{BC1438D6-A4A3-4D10-A3AE-7B5C29179168}"/>
    <cellStyle name="Вычисление 4 29" xfId="13211" xr:uid="{1AF3C85B-B8EC-4348-B154-547DC1A5CE91}"/>
    <cellStyle name="Вычисление 4 29 2" xfId="29712" xr:uid="{239CE6FC-4977-46A1-A463-3D2422F3EED9}"/>
    <cellStyle name="Вычисление 4 29 3" xfId="43031" xr:uid="{F680FB41-0EFC-465F-BD16-255AD05D4E23}"/>
    <cellStyle name="Вычисление 4 3" xfId="3334" xr:uid="{AAA20D6B-4940-4087-9CBD-8A5EC18BFDBD}"/>
    <cellStyle name="Вычисление 4 3 10" xfId="34380" xr:uid="{94A9C350-9DD7-413B-BDF7-48A39D3673CA}"/>
    <cellStyle name="Вычисление 4 3 2" xfId="2696" xr:uid="{877158FA-AA21-4551-B5DB-1C23C6B89E67}"/>
    <cellStyle name="Вычисление 4 3 2 2" xfId="7992" xr:uid="{33977AD8-197C-4B20-95C8-CA9F579C7E6D}"/>
    <cellStyle name="Вычисление 4 3 2 2 2" xfId="14117" xr:uid="{DFF04864-001B-4C0C-95BD-2296C8080780}"/>
    <cellStyle name="Вычисление 4 3 2 2 2 2" xfId="30482" xr:uid="{B0FA7BEF-0E16-438F-89D1-4DDD8967C232}"/>
    <cellStyle name="Вычисление 4 3 2 2 2 3" xfId="43865" xr:uid="{80D5ADD3-FEA0-46BE-ADBE-C6EA619B2589}"/>
    <cellStyle name="Вычисление 4 3 2 2 3" xfId="25507" xr:uid="{9DA23099-4BED-44CC-B000-EDBD57D5A12A}"/>
    <cellStyle name="Вычисление 4 3 2 2 4" xfId="38583" xr:uid="{63950573-89FE-4E4C-A585-6FB82DE5ACCF}"/>
    <cellStyle name="Вычисление 4 3 2 3" xfId="6359" xr:uid="{4166E303-487A-4381-8A06-061A572C9410}"/>
    <cellStyle name="Вычисление 4 3 2 3 2" xfId="15501" xr:uid="{710FFBFD-4837-488C-9D43-E61B58445B58}"/>
    <cellStyle name="Вычисление 4 3 2 3 2 2" xfId="31640" xr:uid="{41059490-20E6-47C3-9932-1F86A9DA50D8}"/>
    <cellStyle name="Вычисление 4 3 2 3 2 3" xfId="45137" xr:uid="{8750D6CA-90CF-4473-B5C3-EF0A3AB146E4}"/>
    <cellStyle name="Вычисление 4 3 2 3 3" xfId="23998" xr:uid="{131DAB74-D192-42EA-9202-1D490B99E55F}"/>
    <cellStyle name="Вычисление 4 3 2 3 4" xfId="37079" xr:uid="{87EACC90-EC2B-4BDE-8DAD-144C5E573174}"/>
    <cellStyle name="Вычисление 4 3 2 4" xfId="16633" xr:uid="{AB52E785-305A-4308-9E33-1A0D4BAC087A}"/>
    <cellStyle name="Вычисление 4 3 2 4 2" xfId="32539" xr:uid="{AEAF7ADF-A464-48AD-8041-28146DFB2EBA}"/>
    <cellStyle name="Вычисление 4 3 2 4 3" xfId="46180" xr:uid="{54DAD922-29A8-4A6B-A56F-B6957DBD038F}"/>
    <cellStyle name="Вычисление 4 3 2 5" xfId="20750" xr:uid="{E67BDE12-26C2-4FC0-9964-C7DF4F05805F}"/>
    <cellStyle name="Вычисление 4 3 2 6" xfId="33773" xr:uid="{7F0DED78-031A-4986-8222-1D4B7145A28E}"/>
    <cellStyle name="Вычисление 4 3 3" xfId="2530" xr:uid="{7CDEDD60-307B-448B-9828-99495D075418}"/>
    <cellStyle name="Вычисление 4 3 3 2" xfId="6133" xr:uid="{DD027866-CC91-438A-ACBA-F3CAA3AAE91F}"/>
    <cellStyle name="Вычисление 4 3 3 2 2" xfId="11342" xr:uid="{6D54A3B7-98DA-4ED1-B4ED-592C2AB50D66}"/>
    <cellStyle name="Вычисление 4 3 3 2 2 2" xfId="28121" xr:uid="{3544DE4D-0CBD-4D6F-BCCB-5DE0A27E69D1}"/>
    <cellStyle name="Вычисление 4 3 3 2 2 3" xfId="41309" xr:uid="{57FAB6A1-FF67-488A-A565-8FD2295EEA0B}"/>
    <cellStyle name="Вычисление 4 3 3 2 3" xfId="23778" xr:uid="{988D481B-2F32-4E4F-8A66-C16A6B56C6A2}"/>
    <cellStyle name="Вычисление 4 3 3 2 4" xfId="36859" xr:uid="{F0D2529D-3777-487E-8A17-7A0970C63FB6}"/>
    <cellStyle name="Вычисление 4 3 3 3" xfId="6196" xr:uid="{DD54456E-C270-42D0-88AD-4D0E3761EB41}"/>
    <cellStyle name="Вычисление 4 3 3 3 2" xfId="16707" xr:uid="{92BE2C8A-6619-4684-9A03-525316E93997}"/>
    <cellStyle name="Вычисление 4 3 3 3 2 2" xfId="32591" xr:uid="{22D86C49-E236-41F6-8AF7-FB2E5C022432}"/>
    <cellStyle name="Вычисление 4 3 3 3 2 3" xfId="46251" xr:uid="{5DC46192-BB82-47D7-9F6F-C36B80147DCD}"/>
    <cellStyle name="Вычисление 4 3 3 3 3" xfId="23841" xr:uid="{2ACE4FC8-F137-4C76-8E4D-1E948C9DC883}"/>
    <cellStyle name="Вычисление 4 3 3 3 4" xfId="36922" xr:uid="{ACF0DA92-8CA7-4218-96D5-98F19DE08DEF}"/>
    <cellStyle name="Вычисление 4 3 3 4" xfId="17092" xr:uid="{865296B5-ADD0-4986-976A-3740E1731497}"/>
    <cellStyle name="Вычисление 4 3 3 4 2" xfId="32861" xr:uid="{FEC2B31B-00F3-4364-9532-14FA4FAF989E}"/>
    <cellStyle name="Вычисление 4 3 3 4 3" xfId="46632" xr:uid="{C676E0DD-9AFF-429A-8C72-84AC8DD4DCBA}"/>
    <cellStyle name="Вычисление 4 3 3 5" xfId="20593" xr:uid="{0758F809-5561-4C27-8B42-76AFF00864DE}"/>
    <cellStyle name="Вычисление 4 3 3 6" xfId="33616" xr:uid="{51D62231-7FF1-41F8-9019-42C06F49CE4C}"/>
    <cellStyle name="Вычисление 4 3 4" xfId="2576" xr:uid="{030FD408-9E35-482A-9C2E-C6902CFE1123}"/>
    <cellStyle name="Вычисление 4 3 4 2" xfId="7873" xr:uid="{EA75E5D8-58EB-4029-A615-0122180A7EDE}"/>
    <cellStyle name="Вычисление 4 3 4 2 2" xfId="17486" xr:uid="{52D1AF39-B0D2-4500-B645-9DF20D38D62B}"/>
    <cellStyle name="Вычисление 4 3 4 2 2 2" xfId="33229" xr:uid="{BCF656B2-22E1-4ED8-86DA-C7781D94ABAA}"/>
    <cellStyle name="Вычисление 4 3 4 2 2 3" xfId="47015" xr:uid="{3C97F739-301E-43E0-8B95-9D3D7C8C16AF}"/>
    <cellStyle name="Вычисление 4 3 4 2 3" xfId="25392" xr:uid="{4AB51A87-425C-4F4F-99DA-E64D2317A093}"/>
    <cellStyle name="Вычисление 4 3 4 2 4" xfId="38468" xr:uid="{AAD4D593-BC8C-4DB8-B1EC-770FA708D122}"/>
    <cellStyle name="Вычисление 4 3 4 3" xfId="6240" xr:uid="{3ECB6E29-4BEB-4ACA-BDE0-A1D44F5A5CC9}"/>
    <cellStyle name="Вычисление 4 3 4 3 2" xfId="13014" xr:uid="{DCD37A87-1C17-4E9C-B412-AA7354F87A45}"/>
    <cellStyle name="Вычисление 4 3 4 3 2 2" xfId="29546" xr:uid="{72FA5497-A60E-47E7-BA3F-28AB074FDC90}"/>
    <cellStyle name="Вычисление 4 3 4 3 2 3" xfId="42848" xr:uid="{3FAD4295-6AC9-46B1-AFD3-D13E66957F0F}"/>
    <cellStyle name="Вычисление 4 3 4 3 3" xfId="23883" xr:uid="{73971DB9-933E-40A9-80F8-0E60C52EC970}"/>
    <cellStyle name="Вычисление 4 3 4 3 4" xfId="36964" xr:uid="{62F94684-8957-4446-8CB0-4ACED3F29F04}"/>
    <cellStyle name="Вычисление 4 3 4 4" xfId="12754" xr:uid="{30FEFB05-2172-4831-9343-CC0E8D6445FB}"/>
    <cellStyle name="Вычисление 4 3 4 4 2" xfId="29331" xr:uid="{F4B7EE01-48DC-4D10-85EB-23C497DCFA28}"/>
    <cellStyle name="Вычисление 4 3 4 4 3" xfId="42611" xr:uid="{FBB8747E-CC03-4429-A74D-46914A91FD84}"/>
    <cellStyle name="Вычисление 4 3 4 5" xfId="20635" xr:uid="{27F485FA-8FB8-465B-87C0-808992EDA2C6}"/>
    <cellStyle name="Вычисление 4 3 4 6" xfId="33658" xr:uid="{AE803506-C51C-4B24-972B-F42BF6CECAA0}"/>
    <cellStyle name="Вычисление 4 3 5" xfId="4222" xr:uid="{4B22B2A0-6E5E-486B-8137-04A3C4A25290}"/>
    <cellStyle name="Вычисление 4 3 5 2" xfId="9274" xr:uid="{B7F8DE18-CBFC-409D-9DE8-4DD4ACF5A2F2}"/>
    <cellStyle name="Вычисление 4 3 5 2 2" xfId="11671" xr:uid="{1FE69566-6617-460A-9A5A-F1E40685632B}"/>
    <cellStyle name="Вычисление 4 3 5 2 2 2" xfId="28409" xr:uid="{4E5F1E5D-6242-4F4D-AD14-5A770721AB01}"/>
    <cellStyle name="Вычисление 4 3 5 2 2 3" xfId="41614" xr:uid="{55523A8B-5806-4C18-BF38-D5204A4E9F55}"/>
    <cellStyle name="Вычисление 4 3 5 2 3" xfId="26747" xr:uid="{4AA1B227-505B-4E95-951A-94E8F5191F4C}"/>
    <cellStyle name="Вычисление 4 3 5 2 4" xfId="39823" xr:uid="{F4B080B8-F1A0-47CD-A676-20CEFFDEB7B5}"/>
    <cellStyle name="Вычисление 4 3 5 3" xfId="7786" xr:uid="{4D7AA185-A376-4083-841D-9F8F86D6A468}"/>
    <cellStyle name="Вычисление 4 3 5 3 2" xfId="10671" xr:uid="{D30A1328-5421-462F-8F10-56E401E05218}"/>
    <cellStyle name="Вычисление 4 3 5 3 2 2" xfId="27521" xr:uid="{98C08F6A-36D0-4585-95D6-65C0C75F9524}"/>
    <cellStyle name="Вычисление 4 3 5 3 2 3" xfId="40652" xr:uid="{82A773C2-3758-47F2-8B2F-79948EAB6528}"/>
    <cellStyle name="Вычисление 4 3 5 3 3" xfId="25306" xr:uid="{05E18AFF-D318-444F-9E9C-5D0BB5475FAC}"/>
    <cellStyle name="Вычисление 4 3 5 3 4" xfId="38382" xr:uid="{D9C2180C-C0CE-434F-BC9B-1125C8E7CAEF}"/>
    <cellStyle name="Вычисление 4 3 5 4" xfId="11339" xr:uid="{C05A3A8D-6688-4B85-882C-CBF9B0FF1456}"/>
    <cellStyle name="Вычисление 4 3 5 4 2" xfId="28118" xr:uid="{DFB39C55-11BD-42D8-8F49-3AA57E544D2A}"/>
    <cellStyle name="Вычисление 4 3 5 4 3" xfId="41306" xr:uid="{A2D242EA-B321-4F5E-ADF0-A487208F717A}"/>
    <cellStyle name="Вычисление 4 3 5 5" xfId="22047" xr:uid="{E56FEDF1-4B16-4788-ABD7-D9E76FCBEF4C}"/>
    <cellStyle name="Вычисление 4 3 5 6" xfId="35096" xr:uid="{2F33009F-EA36-41D5-B07F-EAB9A8A44114}"/>
    <cellStyle name="Вычисление 4 3 6" xfId="4365" xr:uid="{3F2B2097-5657-41C9-96C3-77FFB1E56E22}"/>
    <cellStyle name="Вычисление 4 3 6 2" xfId="6984" xr:uid="{D76DE2C3-436B-4E7A-AB54-E0CB377828AB}"/>
    <cellStyle name="Вычисление 4 3 6 2 2" xfId="14675" xr:uid="{E24B6C99-E11C-4A00-A187-3F22F3C19AAF}"/>
    <cellStyle name="Вычисление 4 3 6 2 2 2" xfId="30968" xr:uid="{C18C6081-CD7E-4F91-83B9-A92CE51322DF}"/>
    <cellStyle name="Вычисление 4 3 6 2 2 3" xfId="44389" xr:uid="{3F69560E-65D9-4FDC-A511-B004EF9A9D72}"/>
    <cellStyle name="Вычисление 4 3 6 2 3" xfId="24605" xr:uid="{9D21239C-2179-440B-A246-FD220B1ACA56}"/>
    <cellStyle name="Вычисление 4 3 6 2 4" xfId="37686" xr:uid="{622867D8-F9BC-443E-8EE4-73E1A81369DF}"/>
    <cellStyle name="Вычисление 4 3 6 3" xfId="16410" xr:uid="{43F218E4-87F4-4F0B-9FBB-7A8AB9EEAFC3}"/>
    <cellStyle name="Вычисление 4 3 6 3 2" xfId="32425" xr:uid="{EB7A6894-D5C7-41E8-86D2-838BF5E38104}"/>
    <cellStyle name="Вычисление 4 3 6 3 3" xfId="45961" xr:uid="{25C33328-AD81-4C20-9EA7-2D97871E1A73}"/>
    <cellStyle name="Вычисление 4 3 6 4" xfId="22184" xr:uid="{DEA24BE1-3E54-432F-8444-04E423BE0F98}"/>
    <cellStyle name="Вычисление 4 3 6 5" xfId="35233" xr:uid="{5A8FB73C-4092-4D0B-ABE9-9C62C9E05106}"/>
    <cellStyle name="Вычисление 4 3 7" xfId="5419" xr:uid="{5967BAF8-D25F-4113-9949-EDF659D1D364}"/>
    <cellStyle name="Вычисление 4 3 7 2" xfId="8597" xr:uid="{18A9639A-E2DB-4D42-95F6-3BE2551F35E0}"/>
    <cellStyle name="Вычисление 4 3 7 2 2" xfId="14023" xr:uid="{7B4AC48B-1ECC-4C70-BB70-AC941504465F}"/>
    <cellStyle name="Вычисление 4 3 7 2 2 2" xfId="30402" xr:uid="{90373D6A-5F50-4998-92A6-9DF16C3255F3}"/>
    <cellStyle name="Вычисление 4 3 7 2 2 3" xfId="43782" xr:uid="{8D22114D-456A-4143-B294-DF30D3B29251}"/>
    <cellStyle name="Вычисление 4 3 7 2 3" xfId="26094" xr:uid="{6DCE4861-DA98-40D3-8E22-C4F83DA4F213}"/>
    <cellStyle name="Вычисление 4 3 7 2 4" xfId="39170" xr:uid="{F18B59B8-8CE2-49F5-B5EE-11B03A09D410}"/>
    <cellStyle name="Вычисление 4 3 7 3" xfId="13411" xr:uid="{8A0496E3-AF89-4541-BA71-98663A190D51}"/>
    <cellStyle name="Вычисление 4 3 7 3 2" xfId="29880" xr:uid="{CFCCD858-06C9-48D6-865A-EA39E112EA7D}"/>
    <cellStyle name="Вычисление 4 3 7 3 3" xfId="43215" xr:uid="{A943138D-9E34-4E93-BEC0-0639CBF84880}"/>
    <cellStyle name="Вычисление 4 3 7 4" xfId="23066" xr:uid="{FE74BCF4-89BE-41B9-9F3B-31D867E5F057}"/>
    <cellStyle name="Вычисление 4 3 7 5" xfId="36147" xr:uid="{1FEE4437-F06E-48F8-A254-45E4466217DF}"/>
    <cellStyle name="Вычисление 4 3 8" xfId="14589" xr:uid="{0503A87D-32D5-4B2C-9984-0D43676474E9}"/>
    <cellStyle name="Вычисление 4 3 8 2" xfId="30889" xr:uid="{556B1E98-35AF-4EB1-AAB5-76E0F3E0207F}"/>
    <cellStyle name="Вычисление 4 3 8 3" xfId="44308" xr:uid="{A9BAE6D3-2D03-45DC-975E-348652B2B999}"/>
    <cellStyle name="Вычисление 4 3 9" xfId="21357" xr:uid="{39AD9B77-2003-4D1F-8CE1-6B236A28D5EB}"/>
    <cellStyle name="Вычисление 4 30" xfId="14819" xr:uid="{7EBA93C1-9AEC-414E-B6D4-D272B4D7F250}"/>
    <cellStyle name="Вычисление 4 30 2" xfId="31080" xr:uid="{6E79A26E-89D6-4996-848A-C68CF5CF019B}"/>
    <cellStyle name="Вычисление 4 30 3" xfId="44516" xr:uid="{9D8C76B3-198F-461F-B384-125B0D5F2FEC}"/>
    <cellStyle name="Вычисление 4 31" xfId="17667" xr:uid="{2F7FB726-2982-45F4-BD00-03EA211F1890}"/>
    <cellStyle name="Вычисление 4 31 2" xfId="33390" xr:uid="{DC3CC239-0B8A-4215-884F-A2804B94A690}"/>
    <cellStyle name="Вычисление 4 31 3" xfId="47179" xr:uid="{C49A7086-7E55-4F1C-AE1B-98C2064C4B9A}"/>
    <cellStyle name="Вычисление 4 32" xfId="33568" xr:uid="{F203B38C-3D72-4E98-BB9C-20FBEAAEE806}"/>
    <cellStyle name="Вычисление 4 4" xfId="3471" xr:uid="{D6971A2A-868E-4473-BE3F-E6A6CB127BB7}"/>
    <cellStyle name="Вычисление 4 4 10" xfId="34487" xr:uid="{DE3FB68A-BFCB-4887-ABA0-51BB6061016C}"/>
    <cellStyle name="Вычисление 4 4 2" xfId="2813" xr:uid="{0A22917F-462F-4661-BC6E-0809CF2291DE}"/>
    <cellStyle name="Вычисление 4 4 2 2" xfId="8109" xr:uid="{2D0CAB2C-C5AA-40B3-887B-A9A401FCCE3E}"/>
    <cellStyle name="Вычисление 4 4 2 2 2" xfId="15448" xr:uid="{021473A4-D785-4816-9EF3-77198BF3266D}"/>
    <cellStyle name="Вычисление 4 4 2 2 2 2" xfId="31593" xr:uid="{C795F4A0-52EF-49E5-B866-9E66BE96A28D}"/>
    <cellStyle name="Вычисление 4 4 2 2 2 3" xfId="45088" xr:uid="{7A2D5D74-BE46-479A-8FD0-E8B129A3F5EA}"/>
    <cellStyle name="Вычисление 4 4 2 2 3" xfId="25620" xr:uid="{B51274F9-2E42-488B-AFD2-07209E85CB35}"/>
    <cellStyle name="Вычисление 4 4 2 2 4" xfId="38696" xr:uid="{5F624343-616B-42F8-B481-528B03E2A64A}"/>
    <cellStyle name="Вычисление 4 4 2 3" xfId="6476" xr:uid="{5646EB26-F8E1-437C-8F98-AAD155DE082A}"/>
    <cellStyle name="Вычисление 4 4 2 3 2" xfId="13296" xr:uid="{B93F04DA-1814-4E98-A9DB-A5DACDD617B0}"/>
    <cellStyle name="Вычисление 4 4 2 3 2 2" xfId="29784" xr:uid="{B55BC996-943F-4414-BCAF-D7124966B48D}"/>
    <cellStyle name="Вычисление 4 4 2 3 2 3" xfId="43112" xr:uid="{D19C2613-8A3E-4FA5-B38A-B8238CCFCEAA}"/>
    <cellStyle name="Вычисление 4 4 2 3 3" xfId="24111" xr:uid="{ADD41A43-D782-494A-8D5E-35E6C0E6D905}"/>
    <cellStyle name="Вычисление 4 4 2 3 4" xfId="37192" xr:uid="{211CF7ED-D653-4D4D-948A-78D4AB9159AE}"/>
    <cellStyle name="Вычисление 4 4 2 4" xfId="11092" xr:uid="{7472FF53-F578-4186-BAEB-D5254537ABAB}"/>
    <cellStyle name="Вычисление 4 4 2 4 2" xfId="27893" xr:uid="{F2253557-A918-4F24-B9CF-1CBEF98DA9FE}"/>
    <cellStyle name="Вычисление 4 4 2 4 3" xfId="41071" xr:uid="{C05A3A31-F53A-422E-AD94-60EA012F94E4}"/>
    <cellStyle name="Вычисление 4 4 2 5" xfId="20863" xr:uid="{0409EC07-4940-481E-A20B-4E44EC50DEF1}"/>
    <cellStyle name="Вычисление 4 4 2 6" xfId="33886" xr:uid="{1DA74387-EF8B-46BA-8EE6-3FF02477FEB5}"/>
    <cellStyle name="Вычисление 4 4 3" xfId="4174" xr:uid="{161170B1-EA60-4A54-9CE3-57C17D08B963}"/>
    <cellStyle name="Вычисление 4 4 3 2" xfId="9226" xr:uid="{EAFB1B87-C7EF-4B5E-97F4-AB6AFAED2402}"/>
    <cellStyle name="Вычисление 4 4 3 2 2" xfId="11581" xr:uid="{A5894F8E-9B87-47CF-A7EE-6125E439A7C1}"/>
    <cellStyle name="Вычисление 4 4 3 2 2 2" xfId="28332" xr:uid="{52655B51-89CE-4820-8EF3-F160BFFEFFE2}"/>
    <cellStyle name="Вычисление 4 4 3 2 2 3" xfId="41533" xr:uid="{3387C1AB-D5FA-451B-B17D-CD78A31594E9}"/>
    <cellStyle name="Вычисление 4 4 3 2 3" xfId="26701" xr:uid="{F04172BE-0CF5-47C1-ADF7-568295C1D26C}"/>
    <cellStyle name="Вычисление 4 4 3 2 4" xfId="39777" xr:uid="{9E1CB615-BB16-4060-AD2A-F53FBFA4664E}"/>
    <cellStyle name="Вычисление 4 4 3 3" xfId="7738" xr:uid="{A11D1373-A4D7-4866-9B1C-8810143CE575}"/>
    <cellStyle name="Вычисление 4 4 3 3 2" xfId="11890" xr:uid="{2B25B81C-4FE7-43D0-A065-760F9AC94A60}"/>
    <cellStyle name="Вычисление 4 4 3 3 2 2" xfId="28605" xr:uid="{81FCE096-40A7-424B-8E27-7F82D62A28EB}"/>
    <cellStyle name="Вычисление 4 4 3 3 2 3" xfId="41821" xr:uid="{34D42A0F-6B84-473D-9D35-D67B9FBF7995}"/>
    <cellStyle name="Вычисление 4 4 3 3 3" xfId="25260" xr:uid="{B4C24D00-DF9F-4EE1-9509-7B1D3206164A}"/>
    <cellStyle name="Вычисление 4 4 3 3 4" xfId="38336" xr:uid="{5863155E-E23B-441C-85B0-D6EB8194D5A2}"/>
    <cellStyle name="Вычисление 4 4 3 4" xfId="15012" xr:uid="{E1B524D2-C8EA-4E48-9158-3FBE958B9398}"/>
    <cellStyle name="Вычисление 4 4 3 4 2" xfId="31238" xr:uid="{EB108C52-4E6E-4EFC-B685-1A08ED8633C2}"/>
    <cellStyle name="Вычисление 4 4 3 4 3" xfId="44688" xr:uid="{1159640B-8071-4ED9-BF0F-26A62BA2CACF}"/>
    <cellStyle name="Вычисление 4 4 3 5" xfId="22001" xr:uid="{F6CDBC65-D70B-444A-9F04-FA334441CEF6}"/>
    <cellStyle name="Вычисление 4 4 3 6" xfId="35050" xr:uid="{C62D257F-A0E8-4DE9-A870-EA21C2BA011E}"/>
    <cellStyle name="Вычисление 4 4 4" xfId="2735" xr:uid="{556EDD7C-A377-4B6B-A799-9C2FF10D122A}"/>
    <cellStyle name="Вычисление 4 4 4 2" xfId="8031" xr:uid="{77419B25-5D37-4498-AF57-DACBA7BF8356}"/>
    <cellStyle name="Вычисление 4 4 4 2 2" xfId="15841" xr:uid="{082BA1A7-0F30-4405-B67A-0DCEA283A3AF}"/>
    <cellStyle name="Вычисление 4 4 4 2 2 2" xfId="31934" xr:uid="{2AD91D11-FB60-4793-8590-2F24A380A155}"/>
    <cellStyle name="Вычисление 4 4 4 2 2 3" xfId="45446" xr:uid="{EC6B8314-58AC-4434-B510-629688060139}"/>
    <cellStyle name="Вычисление 4 4 4 2 3" xfId="25544" xr:uid="{4C19B8E0-765A-4F3A-8D9F-5363010E7871}"/>
    <cellStyle name="Вычисление 4 4 4 2 4" xfId="38620" xr:uid="{F814395D-F8CD-4814-A09F-65FDDDCB5B70}"/>
    <cellStyle name="Вычисление 4 4 4 3" xfId="6398" xr:uid="{A6E0BF3A-7D89-4FFB-B286-35D866E0B05E}"/>
    <cellStyle name="Вычисление 4 4 4 3 2" xfId="11392" xr:uid="{DEFFFAA8-C3C0-4CB1-B5D9-F8D5533EF6CB}"/>
    <cellStyle name="Вычисление 4 4 4 3 2 2" xfId="28164" xr:uid="{DFCC5B5D-D758-47FD-BBE4-9A6E3E9E9F87}"/>
    <cellStyle name="Вычисление 4 4 4 3 2 3" xfId="41354" xr:uid="{DE5CCC12-E5FB-433A-B770-C40436DCA9B7}"/>
    <cellStyle name="Вычисление 4 4 4 3 3" xfId="24035" xr:uid="{3B4356A5-0E88-46A4-8FDE-E30880467304}"/>
    <cellStyle name="Вычисление 4 4 4 3 4" xfId="37116" xr:uid="{923FEB11-C4E1-45AD-A7B2-9AB44244E7C3}"/>
    <cellStyle name="Вычисление 4 4 4 4" xfId="15059" xr:uid="{EE06B157-7754-4F4E-A842-9CACB1589A33}"/>
    <cellStyle name="Вычисление 4 4 4 4 2" xfId="31271" xr:uid="{1465D10D-206E-44DF-BAEB-53B3A62BFB94}"/>
    <cellStyle name="Вычисление 4 4 4 4 3" xfId="44727" xr:uid="{16F5B015-ABD3-4F0E-B5BC-C906BA0FF35B}"/>
    <cellStyle name="Вычисление 4 4 4 5" xfId="20787" xr:uid="{C31D9A35-A6E6-40BB-A111-A779A30B6627}"/>
    <cellStyle name="Вычисление 4 4 4 6" xfId="33810" xr:uid="{02C3CDA3-EEE6-4D20-89AE-B7C3813B6E6D}"/>
    <cellStyle name="Вычисление 4 4 5" xfId="4180" xr:uid="{B0FB865B-6402-4346-8D4D-E795CA1012DF}"/>
    <cellStyle name="Вычисление 4 4 5 2" xfId="9232" xr:uid="{137EE9D5-8BF1-4316-835C-16A26DAD807C}"/>
    <cellStyle name="Вычисление 4 4 5 2 2" xfId="15943" xr:uid="{2B687CB8-ED14-48C7-9DE1-677EFECD288B}"/>
    <cellStyle name="Вычисление 4 4 5 2 2 2" xfId="32020" xr:uid="{7E9F9225-853A-40F7-81BA-EF610E341C4E}"/>
    <cellStyle name="Вычисление 4 4 5 2 2 3" xfId="45538" xr:uid="{5042D8F1-A57F-4BA2-B2C2-15D6D835410A}"/>
    <cellStyle name="Вычисление 4 4 5 2 3" xfId="26707" xr:uid="{34201FB3-7ACF-4ACA-A408-B87F56D5F64E}"/>
    <cellStyle name="Вычисление 4 4 5 2 4" xfId="39783" xr:uid="{7C4D57F9-1BAB-48CC-A253-C7382D1CBE46}"/>
    <cellStyle name="Вычисление 4 4 5 3" xfId="7744" xr:uid="{0597508C-AC7D-4921-AA02-A7E526343D22}"/>
    <cellStyle name="Вычисление 4 4 5 3 2" xfId="17220" xr:uid="{FB55B5CF-BE95-4B0F-BB2B-6AD789897000}"/>
    <cellStyle name="Вычисление 4 4 5 3 2 2" xfId="32980" xr:uid="{C3D27360-7B95-4C61-9622-F6E74A350BA3}"/>
    <cellStyle name="Вычисление 4 4 5 3 2 3" xfId="46754" xr:uid="{15C2367B-B9DC-4EE7-ADBB-D6B1D90D5678}"/>
    <cellStyle name="Вычисление 4 4 5 3 3" xfId="25266" xr:uid="{721C8DC2-A8AC-4DBF-88C1-B9FBEB490D9D}"/>
    <cellStyle name="Вычисление 4 4 5 3 4" xfId="38342" xr:uid="{DB142E2F-C732-4843-9AF2-02E91EE98223}"/>
    <cellStyle name="Вычисление 4 4 5 4" xfId="14647" xr:uid="{A893FE3B-1F8D-4F33-B95B-8CCE29242A8D}"/>
    <cellStyle name="Вычисление 4 4 5 4 2" xfId="30943" xr:uid="{82B4D414-9586-4EDF-9B2D-6954803AC8BF}"/>
    <cellStyle name="Вычисление 4 4 5 4 3" xfId="44364" xr:uid="{2797370E-B658-414B-9322-6A63E9EDAF36}"/>
    <cellStyle name="Вычисление 4 4 5 5" xfId="22007" xr:uid="{4D6F9AB0-EB6C-41F8-B957-394E6D61D4D8}"/>
    <cellStyle name="Вычисление 4 4 5 6" xfId="35056" xr:uid="{F14F867D-B5D1-4EA0-9BA6-FC4A8C1EB8C7}"/>
    <cellStyle name="Вычисление 4 4 6" xfId="4473" xr:uid="{7F280E61-DAE4-4330-B4E4-C0A6EB0F51C4}"/>
    <cellStyle name="Вычисление 4 4 6 2" xfId="7113" xr:uid="{E7C84F11-B765-4AB5-BAF7-8CF109D850D9}"/>
    <cellStyle name="Вычисление 4 4 6 2 2" xfId="17561" xr:uid="{0CD48184-9E33-4566-A130-409CAA272155}"/>
    <cellStyle name="Вычисление 4 4 6 2 2 2" xfId="33298" xr:uid="{CCF9AC89-400C-41DB-B54E-B713B55BF61B}"/>
    <cellStyle name="Вычисление 4 4 6 2 2 3" xfId="47086" xr:uid="{36B2EBF7-891F-4973-87E6-817437B62984}"/>
    <cellStyle name="Вычисление 4 4 6 2 3" xfId="24712" xr:uid="{82EF75F2-6F3D-45B2-B999-F1EE5F9AD0AD}"/>
    <cellStyle name="Вычисление 4 4 6 2 4" xfId="37793" xr:uid="{290F5810-6997-48AA-8640-F22CA17AF668}"/>
    <cellStyle name="Вычисление 4 4 6 3" xfId="15736" xr:uid="{940528DD-CD1A-458E-9503-4E54E811F762}"/>
    <cellStyle name="Вычисление 4 4 6 3 2" xfId="31845" xr:uid="{697949A8-63C9-4392-8A78-B8CD21CD8D28}"/>
    <cellStyle name="Вычисление 4 4 6 3 3" xfId="45355" xr:uid="{B2713F30-B71A-4ACE-A640-000712205393}"/>
    <cellStyle name="Вычисление 4 4 6 4" xfId="22291" xr:uid="{2D3B707D-5594-43BA-8B5A-109FFAD586AB}"/>
    <cellStyle name="Вычисление 4 4 6 5" xfId="35340" xr:uid="{21B3C971-6D1D-4A97-9A46-DF4143A0F22B}"/>
    <cellStyle name="Вычисление 4 4 7" xfId="5526" xr:uid="{67FC0013-3A4B-4F1C-843A-7A1891B104AB}"/>
    <cellStyle name="Вычисление 4 4 7 2" xfId="8708" xr:uid="{98CE8AE2-F9F9-40F2-BD2A-B18C551B9F96}"/>
    <cellStyle name="Вычисление 4 4 7 2 2" xfId="14845" xr:uid="{12FEB12F-BE5B-40A5-B1CE-1DB419540E07}"/>
    <cellStyle name="Вычисление 4 4 7 2 2 2" xfId="31102" xr:uid="{9378115B-086F-473F-829E-AB0DAC1081AD}"/>
    <cellStyle name="Вычисление 4 4 7 2 2 3" xfId="44540" xr:uid="{22821567-2E44-4391-9441-3B998A54099C}"/>
    <cellStyle name="Вычисление 4 4 7 2 3" xfId="26201" xr:uid="{26BC6AA3-E5F9-4D8B-A131-2B727F0B3AE9}"/>
    <cellStyle name="Вычисление 4 4 7 2 4" xfId="39277" xr:uid="{6FC70F7A-E66E-494B-8799-F9969363C10E}"/>
    <cellStyle name="Вычисление 4 4 7 3" xfId="16549" xr:uid="{A005D6DB-4584-4410-9EBD-A42BC2AD85CE}"/>
    <cellStyle name="Вычисление 4 4 7 3 2" xfId="32486" xr:uid="{FC80BF21-8928-496D-9615-32B37E05F147}"/>
    <cellStyle name="Вычисление 4 4 7 3 3" xfId="46096" xr:uid="{9C062311-0F07-4FD8-9D82-50A04FE7BEBF}"/>
    <cellStyle name="Вычисление 4 4 7 4" xfId="23173" xr:uid="{339CABCF-A6B2-465F-B01E-692B825C9234}"/>
    <cellStyle name="Вычисление 4 4 7 5" xfId="36254" xr:uid="{23E1F1B1-A8BE-48EB-8CB8-3EC90C6EAA9C}"/>
    <cellStyle name="Вычисление 4 4 8" xfId="10594" xr:uid="{11F1724A-765B-4B18-9CAF-2F261B165360}"/>
    <cellStyle name="Вычисление 4 4 8 2" xfId="27453" xr:uid="{70D45570-1499-4F90-B97C-7CBF8B9458BE}"/>
    <cellStyle name="Вычисление 4 4 8 3" xfId="40575" xr:uid="{FB8745ED-EFE1-4AFC-A654-D3FB4435144D}"/>
    <cellStyle name="Вычисление 4 4 9" xfId="21443" xr:uid="{FA8F7C5E-0C67-4940-B6EC-6CC0EFE2EB49}"/>
    <cellStyle name="Вычисление 4 5" xfId="3455" xr:uid="{7111D925-24BC-4453-BEF9-A9023FE1E2B1}"/>
    <cellStyle name="Вычисление 4 5 2" xfId="2797" xr:uid="{A63A1422-E0B3-4C87-A3A1-50A08EED7F29}"/>
    <cellStyle name="Вычисление 4 5 2 2" xfId="8093" xr:uid="{B0E7C341-91FE-4F59-A1D3-75EF0C836F0C}"/>
    <cellStyle name="Вычисление 4 5 2 2 2" xfId="15790" xr:uid="{C949829E-9380-4FB8-A920-10871EAF855A}"/>
    <cellStyle name="Вычисление 4 5 2 2 2 2" xfId="31891" xr:uid="{196095AF-DFAB-4D3D-B28E-B3B238C57BAF}"/>
    <cellStyle name="Вычисление 4 5 2 2 2 3" xfId="45402" xr:uid="{1BB7ABFE-673D-4126-BCDB-E0BFABE9A875}"/>
    <cellStyle name="Вычисление 4 5 2 2 3" xfId="25604" xr:uid="{F500DC25-AAD4-4D4C-BA1E-388BBF10061B}"/>
    <cellStyle name="Вычисление 4 5 2 2 4" xfId="38680" xr:uid="{CBE44E97-675C-4E18-B5DE-3AC9C18CD11C}"/>
    <cellStyle name="Вычисление 4 5 2 3" xfId="6460" xr:uid="{6B3AECDF-F0F8-4C4C-8974-E6A2C8FC3856}"/>
    <cellStyle name="Вычисление 4 5 2 3 2" xfId="14880" xr:uid="{A04F16DA-0FA6-4655-AA22-50EB3370DDE2}"/>
    <cellStyle name="Вычисление 4 5 2 3 2 2" xfId="31130" xr:uid="{621FBE9B-C439-4CFC-BC67-69C3A532B8D1}"/>
    <cellStyle name="Вычисление 4 5 2 3 2 3" xfId="44571" xr:uid="{28B7C569-C445-4AC0-BDAC-AF4F0CC138D9}"/>
    <cellStyle name="Вычисление 4 5 2 3 3" xfId="24095" xr:uid="{2C178C47-EB73-40F5-A19D-E5152E1F9392}"/>
    <cellStyle name="Вычисление 4 5 2 3 4" xfId="37176" xr:uid="{8671D9FB-6893-4FC1-9003-E84AB647461E}"/>
    <cellStyle name="Вычисление 4 5 2 4" xfId="13982" xr:uid="{84DA9DC0-FAB4-46C6-B845-4F0C0C635275}"/>
    <cellStyle name="Вычисление 4 5 2 4 2" xfId="30368" xr:uid="{6671594B-B503-4E95-8AAA-904B41709247}"/>
    <cellStyle name="Вычисление 4 5 2 4 3" xfId="43746" xr:uid="{8340C8D5-1BE8-4CD7-9B81-152295AB5F5C}"/>
    <cellStyle name="Вычисление 4 5 2 5" xfId="20847" xr:uid="{BA4A2CB7-F0F1-4C69-A76A-06A989CD0178}"/>
    <cellStyle name="Вычисление 4 5 2 6" xfId="33870" xr:uid="{6A23E546-E0D4-4E4A-BED2-1A8C2038AA41}"/>
    <cellStyle name="Вычисление 4 5 3" xfId="4457" xr:uid="{336E9970-84A7-4CDE-905D-BAD2C0225C9F}"/>
    <cellStyle name="Вычисление 4 5 3 2" xfId="7097" xr:uid="{3296A179-3FE1-4412-99AA-761532CE6072}"/>
    <cellStyle name="Вычисление 4 5 3 2 2" xfId="15705" xr:uid="{5187A9BE-E5FA-49EE-A0E0-EC8D2F634F02}"/>
    <cellStyle name="Вычисление 4 5 3 2 2 2" xfId="31817" xr:uid="{547066A2-964B-4375-AF8F-52703FB6381A}"/>
    <cellStyle name="Вычисление 4 5 3 2 2 3" xfId="45325" xr:uid="{B2AAA6DB-24E5-4576-8915-4E243BEC39E9}"/>
    <cellStyle name="Вычисление 4 5 3 2 3" xfId="24696" xr:uid="{61836957-07DA-473E-A378-7568EAA509D5}"/>
    <cellStyle name="Вычисление 4 5 3 2 4" xfId="37777" xr:uid="{0A8B4A5A-20DC-4415-8E00-EC2AC2A98F11}"/>
    <cellStyle name="Вычисление 4 5 3 3" xfId="12028" xr:uid="{47164C39-28E8-472C-94FB-3AAA3EA9AE9B}"/>
    <cellStyle name="Вычисление 4 5 3 3 2" xfId="28730" xr:uid="{4F2C611A-8C49-4EF6-842C-D9C029731DCE}"/>
    <cellStyle name="Вычисление 4 5 3 3 3" xfId="41948" xr:uid="{97FC384B-1785-47CD-AA32-6B2C5C2F115E}"/>
    <cellStyle name="Вычисление 4 5 3 4" xfId="22275" xr:uid="{12AE6806-E6A5-46CE-B792-BB70238ECCA7}"/>
    <cellStyle name="Вычисление 4 5 3 5" xfId="35324" xr:uid="{89782DC8-540D-46D0-B966-1904ECC1D631}"/>
    <cellStyle name="Вычисление 4 5 4" xfId="5510" xr:uid="{7CC85CE8-6C4F-40B6-85DC-9F021FD23BDC}"/>
    <cellStyle name="Вычисление 4 5 4 2" xfId="8692" xr:uid="{E7EC5CD6-1172-446D-A24D-C5B7D0E8FC4B}"/>
    <cellStyle name="Вычисление 4 5 4 2 2" xfId="12528" xr:uid="{321B1712-FEC4-4B52-B231-4F56DDB3266E}"/>
    <cellStyle name="Вычисление 4 5 4 2 2 2" xfId="29154" xr:uid="{EC562FF1-ECE8-47F0-A853-31046EE940E0}"/>
    <cellStyle name="Вычисление 4 5 4 2 2 3" xfId="42413" xr:uid="{C50E6D97-86AC-44B5-8E69-88334F51CFCA}"/>
    <cellStyle name="Вычисление 4 5 4 2 3" xfId="26185" xr:uid="{E7324D64-76D7-4B21-BA78-0AAE56B4F091}"/>
    <cellStyle name="Вычисление 4 5 4 2 4" xfId="39261" xr:uid="{9AFB4B0A-A1B5-41F9-838E-C5C5A2199A9C}"/>
    <cellStyle name="Вычисление 4 5 4 3" xfId="15520" xr:uid="{D3B09F99-1FC1-4B3B-AF9F-630A7A2980C7}"/>
    <cellStyle name="Вычисление 4 5 4 3 2" xfId="31657" xr:uid="{5580C0AD-9CED-4B11-A4BB-736F9A92A436}"/>
    <cellStyle name="Вычисление 4 5 4 3 3" xfId="45155" xr:uid="{9E424A20-E38A-448C-9BE5-DAF9EB0281C7}"/>
    <cellStyle name="Вычисление 4 5 4 4" xfId="23157" xr:uid="{5823A9E1-E8AA-473B-A59D-3E1A88386120}"/>
    <cellStyle name="Вычисление 4 5 4 5" xfId="36238" xr:uid="{4D4535D7-CC4F-42CF-AAF0-C6F40D7A8474}"/>
    <cellStyle name="Вычисление 4 5 5" xfId="13450" xr:uid="{D2723A36-0AE2-4159-8335-06D85FA5C8F4}"/>
    <cellStyle name="Вычисление 4 5 5 2" xfId="29914" xr:uid="{82E42586-7442-403A-B557-4A8231FCFF86}"/>
    <cellStyle name="Вычисление 4 5 5 3" xfId="43252" xr:uid="{7C9F466C-0277-4FCD-B093-D3B200881FEF}"/>
    <cellStyle name="Вычисление 4 5 6" xfId="21427" xr:uid="{318D3747-3BE3-4598-8FDC-537135B0DFC6}"/>
    <cellStyle name="Вычисление 4 5 7" xfId="34471" xr:uid="{9C98BC0A-3A24-43CB-9539-832179612293}"/>
    <cellStyle name="Вычисление 4 6" xfId="3521" xr:uid="{8AEAB43D-09FB-4328-B243-D9F9D205382F}"/>
    <cellStyle name="Вычисление 4 6 2" xfId="2862" xr:uid="{2D0EB731-59AC-41A6-BCB0-181C6C44A13E}"/>
    <cellStyle name="Вычисление 4 6 2 2" xfId="8158" xr:uid="{BBED2F86-E8FF-4E60-A28B-F2EF74B363E8}"/>
    <cellStyle name="Вычисление 4 6 2 2 2" xfId="12104" xr:uid="{AD37FD3E-4930-4A55-8BCC-43ED49F734D7}"/>
    <cellStyle name="Вычисление 4 6 2 2 2 2" xfId="28804" xr:uid="{9889E525-BEBA-403F-A594-F314C4806EB5}"/>
    <cellStyle name="Вычисление 4 6 2 2 2 3" xfId="42024" xr:uid="{795D22AD-F13E-402B-B7F3-45D7FB4A64FA}"/>
    <cellStyle name="Вычисление 4 6 2 2 3" xfId="25669" xr:uid="{01A4176A-0100-4C07-8F86-2C6D196787A4}"/>
    <cellStyle name="Вычисление 4 6 2 2 4" xfId="38745" xr:uid="{7870A347-C97F-4732-BE44-51378E78ACA0}"/>
    <cellStyle name="Вычисление 4 6 2 3" xfId="6525" xr:uid="{778A7EE8-25D9-4392-8317-342797355E9D}"/>
    <cellStyle name="Вычисление 4 6 2 3 2" xfId="14203" xr:uid="{63DD2C3D-57A9-4C71-9708-D0CCABB696C8}"/>
    <cellStyle name="Вычисление 4 6 2 3 2 2" xfId="30549" xr:uid="{BE2DC2CA-FA4E-4B7E-9DA2-9E88948B5371}"/>
    <cellStyle name="Вычисление 4 6 2 3 2 3" xfId="43940" xr:uid="{7FD942A8-001A-4CDF-BA4A-5D0901A70D3B}"/>
    <cellStyle name="Вычисление 4 6 2 3 3" xfId="24160" xr:uid="{9B021879-51EC-4610-B744-1817AD99A35C}"/>
    <cellStyle name="Вычисление 4 6 2 3 4" xfId="37241" xr:uid="{04571236-A7C7-4601-8144-042C7502877B}"/>
    <cellStyle name="Вычисление 4 6 2 4" xfId="13509" xr:uid="{9D635548-BDC7-4D73-905B-652C348BB61D}"/>
    <cellStyle name="Вычисление 4 6 2 4 2" xfId="29965" xr:uid="{97DBE731-99F8-43CA-8F06-3D9FAE41142E}"/>
    <cellStyle name="Вычисление 4 6 2 4 3" xfId="43306" xr:uid="{C5DE52E5-6022-4828-A223-4E1D65CE87DB}"/>
    <cellStyle name="Вычисление 4 6 2 5" xfId="20912" xr:uid="{28B9AFCD-ABFB-428C-B2AE-F5ADAA0BC666}"/>
    <cellStyle name="Вычисление 4 6 2 6" xfId="33935" xr:uid="{D15AA4E1-D350-4CB5-BD57-83B0BF100852}"/>
    <cellStyle name="Вычисление 4 6 3" xfId="4522" xr:uid="{E142A8BD-565A-453F-B4D0-40617E73171F}"/>
    <cellStyle name="Вычисление 4 6 3 2" xfId="7163" xr:uid="{CCCB476E-3962-4025-AD3C-61BEEFA5E33C}"/>
    <cellStyle name="Вычисление 4 6 3 2 2" xfId="11883" xr:uid="{97241FC0-72E0-4709-9304-CD60198C2402}"/>
    <cellStyle name="Вычисление 4 6 3 2 2 2" xfId="28599" xr:uid="{D00AE1A0-8321-40EF-B552-DFA503AC3A4B}"/>
    <cellStyle name="Вычисление 4 6 3 2 2 3" xfId="41815" xr:uid="{15B1F611-2858-4B6C-BE21-410B71C6B788}"/>
    <cellStyle name="Вычисление 4 6 3 2 3" xfId="24761" xr:uid="{8EFD3DD7-C7FB-411A-9A8A-ED677EA6E829}"/>
    <cellStyle name="Вычисление 4 6 3 2 4" xfId="37842" xr:uid="{8D67C461-138C-401F-BA14-FCB2E0793D67}"/>
    <cellStyle name="Вычисление 4 6 3 3" xfId="11424" xr:uid="{6A258927-BC4C-48EA-9DEE-BEEB34B31724}"/>
    <cellStyle name="Вычисление 4 6 3 3 2" xfId="28192" xr:uid="{FCD6F8F4-EB02-4FE1-A7E5-66CECE631EB3}"/>
    <cellStyle name="Вычисление 4 6 3 3 3" xfId="41383" xr:uid="{0561747D-E1FD-46F0-97A7-9BFBB08C0395}"/>
    <cellStyle name="Вычисление 4 6 3 4" xfId="22340" xr:uid="{A5499C98-8645-47EF-864B-19B9B6F5C94E}"/>
    <cellStyle name="Вычисление 4 6 3 5" xfId="35389" xr:uid="{5CBD2ECC-DB6D-41EF-AA9E-D43CA241732B}"/>
    <cellStyle name="Вычисление 4 6 4" xfId="5575" xr:uid="{607D0F43-A2B4-40FB-958F-96C1EEBBF160}"/>
    <cellStyle name="Вычисление 4 6 4 2" xfId="8757" xr:uid="{6D6AD2A7-D42F-498A-923E-A6C17CC72FDC}"/>
    <cellStyle name="Вычисление 4 6 4 2 2" xfId="14853" xr:uid="{5992FDA8-C7D1-45BF-90D5-10A8C3D0DDAC}"/>
    <cellStyle name="Вычисление 4 6 4 2 2 2" xfId="31109" xr:uid="{643CE2DD-88E6-407B-B1AE-453C69C5B374}"/>
    <cellStyle name="Вычисление 4 6 4 2 2 3" xfId="44548" xr:uid="{4298CD56-31C1-4C34-88EC-E1B7B651009B}"/>
    <cellStyle name="Вычисление 4 6 4 2 3" xfId="26250" xr:uid="{5F78FCBC-16E1-4798-B7B9-3D9146E44C65}"/>
    <cellStyle name="Вычисление 4 6 4 2 4" xfId="39326" xr:uid="{5DAB08A7-B2EC-4812-9CC7-CC996A66DAB7}"/>
    <cellStyle name="Вычисление 4 6 4 3" xfId="12799" xr:uid="{6B29222C-04D7-4D0A-B743-3D6ABD4EB44E}"/>
    <cellStyle name="Вычисление 4 6 4 3 2" xfId="29374" xr:uid="{C5B056E3-7EC4-45A1-A570-FE6ABD12B985}"/>
    <cellStyle name="Вычисление 4 6 4 3 3" xfId="42654" xr:uid="{08D1873C-FF78-4475-863C-33CB3A92C94E}"/>
    <cellStyle name="Вычисление 4 6 4 4" xfId="23222" xr:uid="{B7D52ADD-CBCF-4A29-A26F-251EC0E4B7C2}"/>
    <cellStyle name="Вычисление 4 6 4 5" xfId="36303" xr:uid="{3F169527-E95C-408F-B123-4AF02D963E13}"/>
    <cellStyle name="Вычисление 4 6 5" xfId="15598" xr:uid="{E664AE1A-64D6-4E8A-B5B1-D6DEA7EF3E70}"/>
    <cellStyle name="Вычисление 4 6 5 2" xfId="31724" xr:uid="{3439AF21-7ADC-4839-B5B1-52FCC4F0BF22}"/>
    <cellStyle name="Вычисление 4 6 5 3" xfId="45226" xr:uid="{26C07F63-62AC-4B06-BD98-989CC3A36CA8}"/>
    <cellStyle name="Вычисление 4 6 6" xfId="21484" xr:uid="{2433C3A8-993E-4C66-906A-A59041593DF8}"/>
    <cellStyle name="Вычисление 4 6 7" xfId="34536" xr:uid="{AB1EA162-63A6-4EF6-862D-3FBA836D4076}"/>
    <cellStyle name="Вычисление 4 7" xfId="3482" xr:uid="{26C7317C-56C9-4AD5-9EC4-7FB91D6DC39E}"/>
    <cellStyle name="Вычисление 4 7 2" xfId="2824" xr:uid="{D16F85AA-C749-4D98-935A-AD0B2B4FD40E}"/>
    <cellStyle name="Вычисление 4 7 2 2" xfId="8120" xr:uid="{6FE941A4-7DB8-4073-A782-32256D0EE355}"/>
    <cellStyle name="Вычисление 4 7 2 2 2" xfId="14348" xr:uid="{C189D6E2-0784-4B39-BB60-09EAC207AEED}"/>
    <cellStyle name="Вычисление 4 7 2 2 2 2" xfId="30682" xr:uid="{6643CA61-AA2D-469E-92C5-3FD99BF9EA9A}"/>
    <cellStyle name="Вычисление 4 7 2 2 2 3" xfId="44078" xr:uid="{83C3E65B-A376-4399-9067-4CF96A5FF82E}"/>
    <cellStyle name="Вычисление 4 7 2 2 3" xfId="25631" xr:uid="{B53E87EB-8320-416F-81DC-960F4F179C0E}"/>
    <cellStyle name="Вычисление 4 7 2 2 4" xfId="38707" xr:uid="{AE432967-6DFE-473F-A7AE-EA16D398B6D1}"/>
    <cellStyle name="Вычисление 4 7 2 3" xfId="6487" xr:uid="{BC411E2B-9421-40C7-A57D-9402CBF8E7CB}"/>
    <cellStyle name="Вычисление 4 7 2 3 2" xfId="12081" xr:uid="{EEDC5B71-88FE-4108-AD67-A68B48B92AF6}"/>
    <cellStyle name="Вычисление 4 7 2 3 2 2" xfId="28781" xr:uid="{7AC352C7-37E9-4FC1-B637-24977E6E8BA9}"/>
    <cellStyle name="Вычисление 4 7 2 3 2 3" xfId="42001" xr:uid="{17389206-E23B-421C-A0EC-44B4072EF8B2}"/>
    <cellStyle name="Вычисление 4 7 2 3 3" xfId="24122" xr:uid="{D6B6691E-A72A-45D2-B037-50EB4F5BC290}"/>
    <cellStyle name="Вычисление 4 7 2 3 4" xfId="37203" xr:uid="{1F40D8C7-ACD8-4FFE-97F0-4AB8BB6FCCCE}"/>
    <cellStyle name="Вычисление 4 7 2 4" xfId="17259" xr:uid="{8FCAE679-BDCF-4973-8BC3-C35C4A3EF202}"/>
    <cellStyle name="Вычисление 4 7 2 4 2" xfId="33018" xr:uid="{7AE1F722-AB52-4939-B73C-3698E2A3BD73}"/>
    <cellStyle name="Вычисление 4 7 2 4 3" xfId="46793" xr:uid="{0577B7B4-D099-4652-875E-BD90171B6C1B}"/>
    <cellStyle name="Вычисление 4 7 2 5" xfId="20874" xr:uid="{8D2F765C-C6F7-4AD4-A88B-926AAEBBFB90}"/>
    <cellStyle name="Вычисление 4 7 2 6" xfId="33897" xr:uid="{6F1E80A1-0D4B-4B2D-9844-693D8DC4C209}"/>
    <cellStyle name="Вычисление 4 7 3" xfId="4484" xr:uid="{C5EB06A8-387B-4ECE-B302-7B971B6CE47B}"/>
    <cellStyle name="Вычисление 4 7 3 2" xfId="7124" xr:uid="{265AC01E-2551-493E-9A56-108FC65D571F}"/>
    <cellStyle name="Вычисление 4 7 3 2 2" xfId="11790" xr:uid="{A2C21135-7BB2-418C-B702-88B9F3275CC4}"/>
    <cellStyle name="Вычисление 4 7 3 2 2 2" xfId="28512" xr:uid="{338DCD28-EBE2-489E-8E2A-96677CFE94D0}"/>
    <cellStyle name="Вычисление 4 7 3 2 2 3" xfId="41724" xr:uid="{DD56F221-0456-402F-9D53-CD16FDC7CDB1}"/>
    <cellStyle name="Вычисление 4 7 3 2 3" xfId="24723" xr:uid="{E8B8102C-9E8F-4BF2-BFF4-DDD98BAE2D61}"/>
    <cellStyle name="Вычисление 4 7 3 2 4" xfId="37804" xr:uid="{2634BA4E-9405-417A-B217-2839ED88B745}"/>
    <cellStyle name="Вычисление 4 7 3 3" xfId="14507" xr:uid="{756A82A7-1DFE-4A14-82DD-ABF56F204CBD}"/>
    <cellStyle name="Вычисление 4 7 3 3 2" xfId="30826" xr:uid="{D59EB962-416A-4DDB-A285-04B86519FAEC}"/>
    <cellStyle name="Вычисление 4 7 3 3 3" xfId="44235" xr:uid="{3097C1D9-8446-465E-8F97-C7A838FAB36E}"/>
    <cellStyle name="Вычисление 4 7 3 4" xfId="22302" xr:uid="{2CF2B38F-1123-4807-9577-4FA70D474B2B}"/>
    <cellStyle name="Вычисление 4 7 3 5" xfId="35351" xr:uid="{D7CDBF39-D6A7-477C-B22D-D6F2374D28F7}"/>
    <cellStyle name="Вычисление 4 7 4" xfId="5537" xr:uid="{2C49A022-15B3-4136-9CBF-9DE413010216}"/>
    <cellStyle name="Вычисление 4 7 4 2" xfId="8719" xr:uid="{249B6973-37E7-4ECB-845F-E2F3301D7C69}"/>
    <cellStyle name="Вычисление 4 7 4 2 2" xfId="11316" xr:uid="{3633BA5E-4B04-4F05-91B3-BCF102973C45}"/>
    <cellStyle name="Вычисление 4 7 4 2 2 2" xfId="28096" xr:uid="{2728A065-1F46-450E-BBDD-15EBE1A12660}"/>
    <cellStyle name="Вычисление 4 7 4 2 2 3" xfId="41283" xr:uid="{57801092-2862-406D-8D33-D745463E08EE}"/>
    <cellStyle name="Вычисление 4 7 4 2 3" xfId="26212" xr:uid="{E2BEA89D-AD3B-41F0-9CEF-C49A74B04C42}"/>
    <cellStyle name="Вычисление 4 7 4 2 4" xfId="39288" xr:uid="{6A799268-9DC3-4430-B1DF-6D094CE35AFE}"/>
    <cellStyle name="Вычисление 4 7 4 3" xfId="10590" xr:uid="{E661B3C0-5CA8-43F5-BD6C-7B0A9A83236D}"/>
    <cellStyle name="Вычисление 4 7 4 3 2" xfId="27449" xr:uid="{57AAC97E-9727-4A12-AE43-0AB5B5D74161}"/>
    <cellStyle name="Вычисление 4 7 4 3 3" xfId="40571" xr:uid="{AE30FC11-6E5A-42D9-A67D-AB754B09DE56}"/>
    <cellStyle name="Вычисление 4 7 4 4" xfId="23184" xr:uid="{42BED1DF-6176-4DA4-B408-24627EA916CF}"/>
    <cellStyle name="Вычисление 4 7 4 5" xfId="36265" xr:uid="{96DAEF12-E4F7-4C39-968F-8040A55608AC}"/>
    <cellStyle name="Вычисление 4 7 5" xfId="17122" xr:uid="{1350E752-7A1C-41E7-985A-5F76DD0E926C}"/>
    <cellStyle name="Вычисление 4 7 5 2" xfId="32886" xr:uid="{F0ED67E2-4211-4EA3-812D-2D95FDC343BE}"/>
    <cellStyle name="Вычисление 4 7 5 3" xfId="46658" xr:uid="{F5AE91EC-6B4A-452A-8F90-C7CF6E8CF01F}"/>
    <cellStyle name="Вычисление 4 7 6" xfId="21450" xr:uid="{9F636AB8-BCF2-4737-92A9-4CB4FA25E34B}"/>
    <cellStyle name="Вычисление 4 7 7" xfId="34498" xr:uid="{F571ABA4-370A-41B2-9933-4733727C5CE2}"/>
    <cellStyle name="Вычисление 4 8" xfId="3300" xr:uid="{7DBB5878-21D0-4861-8A10-50975F99E882}"/>
    <cellStyle name="Вычисление 4 8 2" xfId="2662" xr:uid="{08B4B749-E7A6-43F4-98CC-74815F2985F0}"/>
    <cellStyle name="Вычисление 4 8 2 2" xfId="7958" xr:uid="{5656EB6F-451B-4778-9F0B-26E0A799491F}"/>
    <cellStyle name="Вычисление 4 8 2 2 2" xfId="13369" xr:uid="{DBA7DD09-D70D-40A2-8267-A6098ADDB738}"/>
    <cellStyle name="Вычисление 4 8 2 2 2 2" xfId="29843" xr:uid="{E56DE0B6-42FE-4B25-B715-66C95F63B11D}"/>
    <cellStyle name="Вычисление 4 8 2 2 2 3" xfId="43178" xr:uid="{C21791B5-076A-46E1-B405-01B20A5B58F7}"/>
    <cellStyle name="Вычисление 4 8 2 2 3" xfId="25474" xr:uid="{B24DC01E-1F35-4943-9827-CB07EC1E0801}"/>
    <cellStyle name="Вычисление 4 8 2 2 4" xfId="38550" xr:uid="{DF7EA0F9-B077-4184-B9ED-7064AD36FB29}"/>
    <cellStyle name="Вычисление 4 8 2 3" xfId="6325" xr:uid="{D2EB51BC-30AF-437D-A925-2035866F65EC}"/>
    <cellStyle name="Вычисление 4 8 2 3 2" xfId="14539" xr:uid="{C1156689-E19E-4826-9DE8-F13434D66379}"/>
    <cellStyle name="Вычисление 4 8 2 3 2 2" xfId="30851" xr:uid="{207400DE-A120-4B3E-88F3-AEFAA74F3003}"/>
    <cellStyle name="Вычисление 4 8 2 3 2 3" xfId="44263" xr:uid="{A2041977-BE41-44AE-99A1-648271E433CE}"/>
    <cellStyle name="Вычисление 4 8 2 3 3" xfId="23965" xr:uid="{FBDC2BA6-FD67-4A4C-BD51-76A56818A5D7}"/>
    <cellStyle name="Вычисление 4 8 2 3 4" xfId="37046" xr:uid="{2C71CE1E-07EC-4428-AF64-39F10C4E8592}"/>
    <cellStyle name="Вычисление 4 8 2 4" xfId="11233" xr:uid="{7BE525F9-88E3-4EA8-9AB1-A5A45E528F02}"/>
    <cellStyle name="Вычисление 4 8 2 4 2" xfId="28026" xr:uid="{B470F43C-D57B-416D-954C-B83FE507BA25}"/>
    <cellStyle name="Вычисление 4 8 2 4 3" xfId="41208" xr:uid="{0CF9187A-105B-4F4A-B33B-4693908C78D4}"/>
    <cellStyle name="Вычисление 4 8 2 5" xfId="20717" xr:uid="{A60182B8-0715-4948-8A2C-86A71F0B9679}"/>
    <cellStyle name="Вычисление 4 8 2 6" xfId="33740" xr:uid="{90BC7039-D83F-4EF7-A542-952006F62CA2}"/>
    <cellStyle name="Вычисление 4 8 3" xfId="4331" xr:uid="{CCEC4DAD-398C-4C9A-A7B6-A7A49DA31A61}"/>
    <cellStyle name="Вычисление 4 8 3 2" xfId="6950" xr:uid="{D63E2F7F-2B04-49DD-8664-27D75CDE8393}"/>
    <cellStyle name="Вычисление 4 8 3 2 2" xfId="15372" xr:uid="{BBB1B64E-5FFF-4194-BDE7-AC638D0AB220}"/>
    <cellStyle name="Вычисление 4 8 3 2 2 2" xfId="31528" xr:uid="{D5D81F4E-6755-46DE-BCE3-3D4B1C74C796}"/>
    <cellStyle name="Вычисление 4 8 3 2 2 3" xfId="45015" xr:uid="{1272314A-69FB-4BCE-B617-87A335AFD47F}"/>
    <cellStyle name="Вычисление 4 8 3 2 3" xfId="24572" xr:uid="{C6D8762F-5989-49C1-95B7-2591955F363D}"/>
    <cellStyle name="Вычисление 4 8 3 2 4" xfId="37653" xr:uid="{7C281342-56D1-49D2-B413-78185109357E}"/>
    <cellStyle name="Вычисление 4 8 3 3" xfId="15563" xr:uid="{C672540B-E485-4168-AA19-F468FB93E5EC}"/>
    <cellStyle name="Вычисление 4 8 3 3 2" xfId="31693" xr:uid="{5818C936-43C9-4A30-AB43-D0897ADA8E05}"/>
    <cellStyle name="Вычисление 4 8 3 3 3" xfId="45195" xr:uid="{1615420A-93B1-457E-B32A-6E55E95D969D}"/>
    <cellStyle name="Вычисление 4 8 3 4" xfId="22151" xr:uid="{99DE84BB-0F92-47FB-B562-0486A9127B3F}"/>
    <cellStyle name="Вычисление 4 8 3 5" xfId="35200" xr:uid="{07F339D5-4BFD-43AE-ACFE-01B262352972}"/>
    <cellStyle name="Вычисление 4 8 4" xfId="5386" xr:uid="{53E89700-629B-4674-A775-6E614E725521}"/>
    <cellStyle name="Вычисление 4 8 4 2" xfId="8563" xr:uid="{4E98A9FB-2304-4641-8321-7D58B297AE38}"/>
    <cellStyle name="Вычисление 4 8 4 2 2" xfId="10832" xr:uid="{74C0D07A-C609-40A1-9553-D0AAD6A370E0}"/>
    <cellStyle name="Вычисление 4 8 4 2 2 2" xfId="27662" xr:uid="{7DEA354D-95FE-4ADA-A9DC-0364F8753741}"/>
    <cellStyle name="Вычисление 4 8 4 2 2 3" xfId="40813" xr:uid="{8288DADB-651B-4F54-8415-AADD62648132}"/>
    <cellStyle name="Вычисление 4 8 4 2 3" xfId="26061" xr:uid="{D44F7B6F-47B5-4E86-8554-75A456908EE0}"/>
    <cellStyle name="Вычисление 4 8 4 2 4" xfId="39137" xr:uid="{0789A730-B506-47F9-A13A-9FEEC70E05CC}"/>
    <cellStyle name="Вычисление 4 8 4 3" xfId="16005" xr:uid="{6DCF5CF1-EC07-4EC9-980C-A3A4DA0EE9D1}"/>
    <cellStyle name="Вычисление 4 8 4 3 2" xfId="32076" xr:uid="{C640F423-4130-4AE8-93D5-0A8CE1EC6F9F}"/>
    <cellStyle name="Вычисление 4 8 4 3 3" xfId="45595" xr:uid="{9905C047-702F-4EA5-952D-29A272A35E72}"/>
    <cellStyle name="Вычисление 4 8 4 4" xfId="23033" xr:uid="{78FA3E19-9571-44D2-BED2-8FFA68F70450}"/>
    <cellStyle name="Вычисление 4 8 4 5" xfId="36114" xr:uid="{E4066AAD-F068-4ED9-A0AF-6E0864A4F4FC}"/>
    <cellStyle name="Вычисление 4 8 5" xfId="11839" xr:uid="{F98F4B3D-E4A9-438F-AD6D-F0C908180641}"/>
    <cellStyle name="Вычисление 4 8 5 2" xfId="28559" xr:uid="{BEEB3D40-988B-4788-BBB9-77F66725AE1A}"/>
    <cellStyle name="Вычисление 4 8 5 3" xfId="41772" xr:uid="{C56B144F-4D2A-4596-AFD1-6FD1FA8ECD6A}"/>
    <cellStyle name="Вычисление 4 8 6" xfId="21324" xr:uid="{4A8A2F0A-BE07-41B4-BED3-CED80FD93B93}"/>
    <cellStyle name="Вычисление 4 8 7" xfId="34347" xr:uid="{32171FEE-C83F-4242-949D-FA5616EBB953}"/>
    <cellStyle name="Вычисление 4 9" xfId="3581" xr:uid="{47E90DE8-5244-4161-ACD1-22A173CA1EF3}"/>
    <cellStyle name="Вычисление 4 9 2" xfId="2916" xr:uid="{6C937961-2BD8-4ECF-B0C8-D3D431DB6493}"/>
    <cellStyle name="Вычисление 4 9 2 2" xfId="8212" xr:uid="{3A0403E7-5C19-47D0-9A87-4D6686DAB72A}"/>
    <cellStyle name="Вычисление 4 9 2 2 2" xfId="17383" xr:uid="{96DF7FA0-84E9-4918-90E9-7405F8E2CC82}"/>
    <cellStyle name="Вычисление 4 9 2 2 2 2" xfId="33137" xr:uid="{4A70B59B-4CBD-4083-93AC-1526933293BE}"/>
    <cellStyle name="Вычисление 4 9 2 2 2 3" xfId="46913" xr:uid="{60F51396-B6CC-46B5-A863-021FEDD49300}"/>
    <cellStyle name="Вычисление 4 9 2 2 3" xfId="25723" xr:uid="{D132737A-91DF-468B-A7F4-B6443F09FEAB}"/>
    <cellStyle name="Вычисление 4 9 2 2 4" xfId="38799" xr:uid="{295F9FF0-C55F-4C68-B2D6-B8BF88B7D1E2}"/>
    <cellStyle name="Вычисление 4 9 2 3" xfId="6579" xr:uid="{82F5E2F5-95DC-45CA-AF8B-3698AE6BD354}"/>
    <cellStyle name="Вычисление 4 9 2 3 2" xfId="11333" xr:uid="{6DBFB4B0-55B1-4B6D-970D-442641BD323B}"/>
    <cellStyle name="Вычисление 4 9 2 3 2 2" xfId="28112" xr:uid="{509DD124-162B-4043-9171-8110A34D089A}"/>
    <cellStyle name="Вычисление 4 9 2 3 2 3" xfId="41300" xr:uid="{4B9B59A9-B1B5-44C2-862B-75B8513D2C2B}"/>
    <cellStyle name="Вычисление 4 9 2 3 3" xfId="24214" xr:uid="{FFAF3CAA-C33C-4897-A8EF-FF732EB97A30}"/>
    <cellStyle name="Вычисление 4 9 2 3 4" xfId="37295" xr:uid="{E37AA3AA-DDE8-4B34-B914-444B7AF8450A}"/>
    <cellStyle name="Вычисление 4 9 2 4" xfId="16373" xr:uid="{397D50F9-E731-4DC7-BF07-1C0CBCECDC6F}"/>
    <cellStyle name="Вычисление 4 9 2 4 2" xfId="32393" xr:uid="{97DA1EF8-F6F0-45FD-9FCD-EFFA03B7E8F7}"/>
    <cellStyle name="Вычисление 4 9 2 4 3" xfId="45927" xr:uid="{2FAB9629-0120-454F-A076-CEB7CABB1B9C}"/>
    <cellStyle name="Вычисление 4 9 2 5" xfId="20966" xr:uid="{F12BA175-45E3-4BB7-9B3F-80CABCB64579}"/>
    <cellStyle name="Вычисление 4 9 2 6" xfId="33989" xr:uid="{A12AAE3C-6A34-4D3F-8A53-116A348687B9}"/>
    <cellStyle name="Вычисление 4 9 3" xfId="4556" xr:uid="{E02456EA-F99D-497B-822C-9287676DA925}"/>
    <cellStyle name="Вычисление 4 9 3 2" xfId="7218" xr:uid="{0E4D4DA3-105C-49CD-8B19-15A707291E26}"/>
    <cellStyle name="Вычисление 4 9 3 2 2" xfId="16100" xr:uid="{F6B0E62C-EBC5-4074-89FB-19EA0E40B4EB}"/>
    <cellStyle name="Вычисление 4 9 3 2 2 2" xfId="32158" xr:uid="{2BCFA6A2-67C8-4046-9077-7233F5486957}"/>
    <cellStyle name="Вычисление 4 9 3 2 2 3" xfId="45679" xr:uid="{A54152C4-36D4-48B9-B2BF-06E51E9DF750}"/>
    <cellStyle name="Вычисление 4 9 3 2 3" xfId="24812" xr:uid="{41723C20-91E3-4065-9407-06748EAF9213}"/>
    <cellStyle name="Вычисление 4 9 3 2 4" xfId="37893" xr:uid="{74A36AFC-9C44-49BF-88B4-0E5200D859D6}"/>
    <cellStyle name="Вычисление 4 9 3 3" xfId="15873" xr:uid="{B5C3A793-00DF-4A9C-A0A7-FECFA5D2D3D9}"/>
    <cellStyle name="Вычисление 4 9 3 3 2" xfId="31962" xr:uid="{6DE693C9-263B-4203-AD32-88559C6A17E2}"/>
    <cellStyle name="Вычисление 4 9 3 3 3" xfId="45476" xr:uid="{094E6D64-2373-4D7F-8BD7-10E39BD997A8}"/>
    <cellStyle name="Вычисление 4 9 3 4" xfId="22372" xr:uid="{DDF5797F-DC88-4199-91D2-69E5B372D3AF}"/>
    <cellStyle name="Вычисление 4 9 3 5" xfId="35421" xr:uid="{93EFB159-A7B9-4B55-9DF2-D9648C1D4661}"/>
    <cellStyle name="Вычисление 4 9 4" xfId="5626" xr:uid="{59D1BB76-BC14-4335-9454-07AE0303DEC9}"/>
    <cellStyle name="Вычисление 4 9 4 2" xfId="8808" xr:uid="{94B8E28B-8791-4693-B7F9-B0087F572465}"/>
    <cellStyle name="Вычисление 4 9 4 2 2" xfId="14475" xr:uid="{ADA8BB64-85D9-4BE5-8075-5A48B7A188EF}"/>
    <cellStyle name="Вычисление 4 9 4 2 2 2" xfId="30799" xr:uid="{D53CCC6B-D66D-4C6A-A5AC-94D955F54D7D}"/>
    <cellStyle name="Вычисление 4 9 4 2 2 3" xfId="44204" xr:uid="{67341012-15A1-4742-B2B9-1751981014AB}"/>
    <cellStyle name="Вычисление 4 9 4 2 3" xfId="26301" xr:uid="{F668DEB2-8977-43D2-82D2-10EA41CD3CFD}"/>
    <cellStyle name="Вычисление 4 9 4 2 4" xfId="39377" xr:uid="{98A2616F-3C9B-4405-A3F2-087AC890F1F0}"/>
    <cellStyle name="Вычисление 4 9 4 3" xfId="14635" xr:uid="{40E60149-7514-439A-91C1-F92411C20FB5}"/>
    <cellStyle name="Вычисление 4 9 4 3 2" xfId="30931" xr:uid="{91B3D6EA-9F12-4D57-9A17-A2631327EA0B}"/>
    <cellStyle name="Вычисление 4 9 4 3 3" xfId="44352" xr:uid="{1046EAF7-2F1A-4587-AACB-3F13AA6CD7BD}"/>
    <cellStyle name="Вычисление 4 9 4 4" xfId="23273" xr:uid="{3A5EF993-B28C-4ED9-A585-428EB433321E}"/>
    <cellStyle name="Вычисление 4 9 4 5" xfId="36354" xr:uid="{5A724BF8-3EDA-4958-A43B-C30B457A902A}"/>
    <cellStyle name="Вычисление 4 9 5" xfId="12331" xr:uid="{B37B6461-98E5-4C77-B64A-039A77E5D2E9}"/>
    <cellStyle name="Вычисление 4 9 5 2" xfId="28999" xr:uid="{79EEF2A1-2123-4FC5-ACD3-2AB51AD3704C}"/>
    <cellStyle name="Вычисление 4 9 5 3" xfId="42239" xr:uid="{77F8CD7A-011B-46B5-94BB-54113CA440D0}"/>
    <cellStyle name="Вычисление 4 9 6" xfId="21535" xr:uid="{D08001E5-2E52-40E0-B019-67AFBA2F13E2}"/>
    <cellStyle name="Вычисление 4 9 7" xfId="34588" xr:uid="{0F11491E-D252-4089-8D4A-3184B5E4B01C}"/>
    <cellStyle name="Гиперссылка 2" xfId="2306" xr:uid="{8BA3AE95-D8A3-420C-B3D2-8313B9238D9E}"/>
    <cellStyle name="Гиперссылка 2 2" xfId="3801" xr:uid="{49943156-4107-4190-B696-D5C990B72A44}"/>
    <cellStyle name="Гиперссылка 2 3" xfId="10387" xr:uid="{94165064-62BC-48AC-AC61-EEC093B26EEE}"/>
    <cellStyle name="Гиперссылка 3" xfId="10204" xr:uid="{C76156CA-C6E5-4830-9960-43DB258BB291}"/>
    <cellStyle name="Дата" xfId="2307" xr:uid="{7E2F013A-0BCA-49DB-BC09-66DBF26ED9AB}"/>
    <cellStyle name="Дата 1" xfId="2308" xr:uid="{32396322-5289-48AF-AD41-B8E239EC3E7D}"/>
    <cellStyle name="Дата 1 2" xfId="10389" xr:uid="{0CCBC3CB-DEC5-45CD-8AFE-7E09A46162A7}"/>
    <cellStyle name="Дата 2" xfId="2309" xr:uid="{F3EDE746-2F72-479E-9432-6872499EEDB2}"/>
    <cellStyle name="Дата 2 2" xfId="10390" xr:uid="{95DE001C-C887-490F-B2CE-D6AF89CABA12}"/>
    <cellStyle name="Дата 3" xfId="2310" xr:uid="{D25B1FE7-2351-4980-B5C8-448E8EADC0D9}"/>
    <cellStyle name="Дата 3 2" xfId="10391" xr:uid="{7B78830B-941A-4293-9AAB-057A7725BE23}"/>
    <cellStyle name="Дата 4" xfId="10388" xr:uid="{5B8BA255-460C-4B36-A803-9E6B87A65E24}"/>
    <cellStyle name="Дата UTL" xfId="2311" xr:uid="{9F8162A6-39D9-43CF-92E3-80E3A075B566}"/>
    <cellStyle name="Дата UTL 1" xfId="2312" xr:uid="{642532A7-2B2E-4FFD-A0E0-E2007FEF32E2}"/>
    <cellStyle name="Дата UTL 1 2" xfId="10393" xr:uid="{131F3ED4-1BAC-4115-84DB-A141DE5B3157}"/>
    <cellStyle name="Дата UTL 2" xfId="2313" xr:uid="{E315E4FC-9956-4BFE-8ECC-A8007BF0D641}"/>
    <cellStyle name="Дата UTL 2 2" xfId="10394" xr:uid="{8EF0ED99-467A-4EA0-B83F-86855E99B3F4}"/>
    <cellStyle name="Дата UTL 3" xfId="2314" xr:uid="{A3161199-C9CA-4A17-ACDE-8118658636AF}"/>
    <cellStyle name="Дата UTL 3 2" xfId="10395" xr:uid="{224EA73F-B6AB-495F-84E3-441BC2ACE357}"/>
    <cellStyle name="Дата UTL 4" xfId="10392" xr:uid="{34E09502-9486-4614-80F3-92F0B3E57BA0}"/>
    <cellStyle name="Дата_Выручка и осн показ" xfId="2315" xr:uid="{3ACF44C0-36AE-40E8-910F-85E1D591FEB6}"/>
    <cellStyle name="Денежный 2" xfId="33" xr:uid="{B669F522-66C3-4395-9A2E-126C9FFEC7CF}"/>
    <cellStyle name="Денежный 2 2" xfId="10396" xr:uid="{49DCB03F-B7C9-48AC-B2F0-74F5F5B36560}"/>
    <cellStyle name="Денежный 2 3" xfId="2316" xr:uid="{A65E1DB8-8662-42CC-9215-58350F1EB4B5}"/>
    <cellStyle name="Денежный 3" xfId="2317" xr:uid="{830F3EB1-7AC3-4EEF-97FC-9DCE0F78A5FA}"/>
    <cellStyle name="Денежный 3 2" xfId="5115" xr:uid="{FA1E8B41-1210-40E6-84A7-ACE82F12B9CD}"/>
    <cellStyle name="Денежный 3 3" xfId="10397" xr:uid="{BED216BA-67AA-4234-9580-438F5E52616D}"/>
    <cellStyle name="Денежный 4" xfId="3771" xr:uid="{DAFB2592-F5B7-44FC-89E4-19EF1E9622F3}"/>
    <cellStyle name="Денежный 4 10" xfId="17683" xr:uid="{2CB58701-ADBA-4BE4-8BA7-430F830825B8}"/>
    <cellStyle name="Денежный 4 10 2" xfId="19190" xr:uid="{66768773-3B7F-4AD5-8AAF-3957BF5934A9}"/>
    <cellStyle name="Денежный 4 10 3" xfId="20345" xr:uid="{D4DF8D28-4E0A-4D17-BF74-6E321548B04D}"/>
    <cellStyle name="Денежный 4 10 4" xfId="33406" xr:uid="{8AAE4855-E3B9-4D2D-80C7-5CCBE25AD333}"/>
    <cellStyle name="Денежный 4 10 5" xfId="47195" xr:uid="{892C3CB7-E18D-400D-90D2-D09F90626D17}"/>
    <cellStyle name="Денежный 4 11" xfId="17859" xr:uid="{E551C44C-EFAF-40CC-B922-3A489343DD09}"/>
    <cellStyle name="Денежный 4 12" xfId="19315" xr:uid="{135A63D6-E71E-4B34-9C56-1DDAD0181BA8}"/>
    <cellStyle name="Денежный 4 13" xfId="20437" xr:uid="{A4412294-88B7-46BA-9FCE-608C3A8464F5}"/>
    <cellStyle name="Денежный 4 14" xfId="21674" xr:uid="{0C53C081-CF13-4145-AB6A-FAC6A955F759}"/>
    <cellStyle name="Денежный 4 15" xfId="34728" xr:uid="{02D29938-2F2F-48D8-87D7-269506A22A02}"/>
    <cellStyle name="Денежный 4 2" xfId="4010" xr:uid="{6E124AAE-6D4A-4936-B69C-5BB67422097B}"/>
    <cellStyle name="Денежный 4 2 10" xfId="19345" xr:uid="{145F6D2A-1E5A-4BBC-BAA9-DD8519C4BDFF}"/>
    <cellStyle name="Денежный 4 2 11" xfId="20521" xr:uid="{DD5C80BB-9213-4F97-A6C9-5624EFB15607}"/>
    <cellStyle name="Денежный 4 2 12" xfId="21853" xr:uid="{B69863F0-89FC-4CAA-95EA-D522023E0EFC}"/>
    <cellStyle name="Денежный 4 2 13" xfId="34902" xr:uid="{EE6B9461-414E-4AAC-AA09-53F0F1344EC8}"/>
    <cellStyle name="Денежный 4 2 2" xfId="5162" xr:uid="{6C8A9D94-A2E8-459F-AEE1-5B360FF7BDCC}"/>
    <cellStyle name="Денежный 4 2 2 2" xfId="7585" xr:uid="{6E0805E8-59B4-4413-8D3E-3C9FB2BC5082}"/>
    <cellStyle name="Денежный 4 2 2 2 2" xfId="10120" xr:uid="{A1164A69-4327-4655-AC29-D39BF4B36F9D}"/>
    <cellStyle name="Денежный 4 2 2 2 2 2" xfId="19083" xr:uid="{D21CF81E-115C-4200-838D-090FF3A3AF17}"/>
    <cellStyle name="Денежный 4 2 2 2 2 3" xfId="20303" xr:uid="{550E16E6-A342-4BDD-9F64-17827985F618}"/>
    <cellStyle name="Денежный 4 2 2 2 2 4" xfId="27373" xr:uid="{2BAC90A3-E43B-4448-A5C2-26EF2061B3D5}"/>
    <cellStyle name="Денежный 4 2 2 2 2 5" xfId="40492" xr:uid="{364A81C1-281A-48AE-9445-78958EF55853}"/>
    <cellStyle name="Денежный 4 2 2 2 3" xfId="18378" xr:uid="{AE878288-C3EF-4D03-826D-4069CBEFF4ED}"/>
    <cellStyle name="Денежный 4 2 2 2 4" xfId="19776" xr:uid="{FB113BF4-AA5D-4803-B79A-59DC16E7EF6E}"/>
    <cellStyle name="Денежный 4 2 2 2 5" xfId="25113" xr:uid="{24296735-D9EE-4BD7-BB1B-9FDFA2B36F26}"/>
    <cellStyle name="Денежный 4 2 2 2 6" xfId="38189" xr:uid="{B2F1A374-F610-4372-9336-ED98D41E5F79}"/>
    <cellStyle name="Денежный 4 2 2 3" xfId="9663" xr:uid="{F9D55D4A-1C48-4FCC-98AA-EA8B9FA589F8}"/>
    <cellStyle name="Денежный 4 2 2 3 2" xfId="18710" xr:uid="{C357F45F-6E88-4EB9-9691-20CA0C0B78EA}"/>
    <cellStyle name="Денежный 4 2 2 3 3" xfId="19975" xr:uid="{405C6F87-6533-4227-B407-71080A0AD316}"/>
    <cellStyle name="Денежный 4 2 2 3 4" xfId="26977" xr:uid="{55ADC1DC-68DE-424C-80B4-D1C8537CFADE}"/>
    <cellStyle name="Денежный 4 2 2 3 5" xfId="40081" xr:uid="{8A31A306-FF52-47F6-B22B-C5F0CCA9AAFF}"/>
    <cellStyle name="Денежный 4 2 2 4" xfId="18008" xr:uid="{39F6342C-4880-4869-8D75-4D5DD71BE2BB}"/>
    <cellStyle name="Денежный 4 2 2 5" xfId="19448" xr:uid="{DB32697A-7A48-47DF-AE44-3A34274993C2}"/>
    <cellStyle name="Денежный 4 2 2 6" xfId="22852" xr:uid="{332C0F81-DCBE-400A-A1CE-02B47110EA87}"/>
    <cellStyle name="Денежный 4 2 2 7" xfId="35918" xr:uid="{BBE94010-055F-4B5C-8E7F-1F6CC7285547}"/>
    <cellStyle name="Денежный 4 2 3" xfId="4917" xr:uid="{79FCC661-B178-4466-91C3-335BCB40C3FC}"/>
    <cellStyle name="Денежный 4 2 3 2" xfId="9618" xr:uid="{8A2A1ECB-BE20-49ED-BE84-7D0C335EB321}"/>
    <cellStyle name="Денежный 4 2 3 2 2" xfId="18683" xr:uid="{94AB073D-65C0-4CDD-8E47-3516E7864343}"/>
    <cellStyle name="Денежный 4 2 3 2 3" xfId="19957" xr:uid="{5AF4BD98-E592-4DAF-A979-23C94E9688BB}"/>
    <cellStyle name="Денежный 4 2 3 2 4" xfId="26959" xr:uid="{7375E54E-8194-46AD-B53B-7D2090D7E987}"/>
    <cellStyle name="Денежный 4 2 3 2 5" xfId="40045" xr:uid="{6EB8A05C-469D-4FE6-B7EB-F6DB779B8101}"/>
    <cellStyle name="Денежный 4 2 3 3" xfId="17988" xr:uid="{D212D3A5-52EB-4D92-A6CE-DABA092EBA88}"/>
    <cellStyle name="Денежный 4 2 3 4" xfId="19430" xr:uid="{AA6C4E11-981B-4076-ABC4-D01C10813587}"/>
    <cellStyle name="Денежный 4 2 3 5" xfId="22714" xr:uid="{CFAC8059-8E06-47F6-A3A1-100BFFDEAE95}"/>
    <cellStyle name="Денежный 4 2 3 6" xfId="35767" xr:uid="{CECB7960-D19E-4155-95ED-40E508BB1896}"/>
    <cellStyle name="Денежный 4 2 4" xfId="5939" xr:uid="{FDA33F6A-97CD-4407-9768-C582F15194D5}"/>
    <cellStyle name="Денежный 4 2 4 2" xfId="9868" xr:uid="{53C29669-48EF-4530-A5FB-CF5211DF2B30}"/>
    <cellStyle name="Денежный 4 2 4 2 2" xfId="18832" xr:uid="{3C670384-D37D-4F56-8FF0-BF8172993119}"/>
    <cellStyle name="Денежный 4 2 4 2 3" xfId="20094" xr:uid="{F64DCB03-C16E-472D-B1E6-AEE424BA098C}"/>
    <cellStyle name="Денежный 4 2 4 2 4" xfId="27164" xr:uid="{8AF76213-3CAA-4F32-9D81-A1631DEFAB45}"/>
    <cellStyle name="Денежный 4 2 4 2 5" xfId="40283" xr:uid="{E6135D63-DC62-4F13-8F89-3B86AC7C2DCF}"/>
    <cellStyle name="Денежный 4 2 4 3" xfId="18128" xr:uid="{9D33BF73-9101-4A28-A899-8B30C8FE80F5}"/>
    <cellStyle name="Денежный 4 2 4 4" xfId="19567" xr:uid="{859BDF58-8B3E-45B5-B0AC-EAD841508642}"/>
    <cellStyle name="Денежный 4 2 4 5" xfId="23586" xr:uid="{F035E058-E7CF-4EC2-A7B1-E7407571B9C3}"/>
    <cellStyle name="Денежный 4 2 4 6" xfId="36667" xr:uid="{31186A1D-986A-4226-84A4-11D3AC681E27}"/>
    <cellStyle name="Денежный 4 2 5" xfId="6024" xr:uid="{96CC1180-2DE6-44D8-87FA-E91D352ADBBA}"/>
    <cellStyle name="Денежный 4 2 5 2" xfId="9943" xr:uid="{C72140EC-F5A3-4369-B632-99DFFD52D575}"/>
    <cellStyle name="Денежный 4 2 5 2 2" xfId="18907" xr:uid="{77EE593D-1287-4511-B02A-C44AC01518F2}"/>
    <cellStyle name="Денежный 4 2 5 2 3" xfId="20169" xr:uid="{D49CE61B-8D0D-4F62-AEEE-1531133D8933}"/>
    <cellStyle name="Денежный 4 2 5 2 4" xfId="27239" xr:uid="{DFA2EFB9-FCD1-4C14-BAC1-3791D301A66D}"/>
    <cellStyle name="Денежный 4 2 5 2 5" xfId="40358" xr:uid="{535E6ACA-34EC-4BCD-88A3-1C5D1DC064AF}"/>
    <cellStyle name="Денежный 4 2 5 3" xfId="18203" xr:uid="{DA0EA7B6-E734-445C-BF18-A81DA953BB4B}"/>
    <cellStyle name="Денежный 4 2 5 4" xfId="19642" xr:uid="{3874F290-1E89-477E-BEAB-0BEAFFF560C8}"/>
    <cellStyle name="Денежный 4 2 5 5" xfId="23670" xr:uid="{433F7FB9-00C1-4D44-9834-EA359FE889AC}"/>
    <cellStyle name="Денежный 4 2 5 6" xfId="36751" xr:uid="{632E7D16-6355-45AE-9E3E-B434CB7E3E85}"/>
    <cellStyle name="Денежный 4 2 6" xfId="6109" xr:uid="{C98BB052-35FE-4613-BADF-64C89F94A206}"/>
    <cellStyle name="Денежный 4 2 6 2" xfId="10018" xr:uid="{171DDBA9-50DB-4352-933F-93A0E41396B5}"/>
    <cellStyle name="Денежный 4 2 6 2 2" xfId="18982" xr:uid="{FD4E50A3-F850-4783-B1F0-3BCC50C48DD4}"/>
    <cellStyle name="Денежный 4 2 6 2 3" xfId="20244" xr:uid="{C0A33BB2-65B3-4EE0-84B7-7C3BEC7DB036}"/>
    <cellStyle name="Денежный 4 2 6 2 4" xfId="27314" xr:uid="{821F8F37-B98D-4C67-B23C-799AEBE2F14F}"/>
    <cellStyle name="Денежный 4 2 6 2 5" xfId="40433" xr:uid="{4ACB59B0-0C2A-4E17-924F-C02A496F6FD6}"/>
    <cellStyle name="Денежный 4 2 6 3" xfId="18278" xr:uid="{A7815261-0C85-4DD7-9E0E-825AB3C374F4}"/>
    <cellStyle name="Денежный 4 2 6 4" xfId="19717" xr:uid="{B314D97F-F2E3-49D5-B320-703CEB607531}"/>
    <cellStyle name="Денежный 4 2 6 5" xfId="23755" xr:uid="{583429E5-FB4D-4612-B5EA-99C11ECDB938}"/>
    <cellStyle name="Денежный 4 2 6 6" xfId="36836" xr:uid="{A725696F-9EE6-450D-AA72-0D2DE06D0440}"/>
    <cellStyle name="Денежный 4 2 7" xfId="9506" xr:uid="{08AEB53B-8C90-463F-B676-1B5C1397873D}"/>
    <cellStyle name="Денежный 4 2 7 2" xfId="18574" xr:uid="{8D7F4568-6F27-4FC3-A5C9-82C82BDB3853}"/>
    <cellStyle name="Денежный 4 2 7 3" xfId="19872" xr:uid="{E4A1D74C-CCBD-4495-908E-6E85E17D2FED}"/>
    <cellStyle name="Денежный 4 2 7 4" xfId="26874" xr:uid="{79885806-E5D0-442C-8CE5-F67B88C65518}"/>
    <cellStyle name="Денежный 4 2 7 5" xfId="39957" xr:uid="{71B09CB6-D69B-489D-88A6-9B1FAFC6E8B1}"/>
    <cellStyle name="Денежный 4 2 8" xfId="17768" xr:uid="{BA157008-A700-42FB-A231-D89DE0F9936D}"/>
    <cellStyle name="Денежный 4 2 8 2" xfId="19235" xr:uid="{31867D07-5238-4AAC-8FAD-43AB6D525B96}"/>
    <cellStyle name="Денежный 4 2 8 3" xfId="20390" xr:uid="{241A1835-50FB-4B0E-A94C-1B0373C5ADEA}"/>
    <cellStyle name="Денежный 4 2 8 4" xfId="33490" xr:uid="{385CA4C5-FE2A-418E-A853-4C74A7D9B487}"/>
    <cellStyle name="Денежный 4 2 8 5" xfId="47269" xr:uid="{228CEACC-6765-4A3B-9C83-EA1DFFF8D95E}"/>
    <cellStyle name="Денежный 4 2 9" xfId="17889" xr:uid="{7AACCABF-5F6B-4BE2-B210-01054ABEA88C}"/>
    <cellStyle name="Денежный 4 3" xfId="4578" xr:uid="{130DF909-9620-473F-99A7-A4321C450432}"/>
    <cellStyle name="Денежный 4 3 2" xfId="7395" xr:uid="{7710CC0B-5C7A-42D8-B8FA-A63E91526214}"/>
    <cellStyle name="Денежный 4 3 2 2" xfId="10099" xr:uid="{53F7E032-8A8C-4C20-A09F-9FC62C529FC1}"/>
    <cellStyle name="Денежный 4 3 2 2 2" xfId="19062" xr:uid="{8DCC898F-9C03-4F71-9780-89C2FDDD3A76}"/>
    <cellStyle name="Денежный 4 3 2 2 3" xfId="20288" xr:uid="{3DBA8012-416E-47CE-B6DA-31C1C4CEE34E}"/>
    <cellStyle name="Денежный 4 3 2 2 4" xfId="27358" xr:uid="{4CB9490B-8745-4D0A-981D-19B882395B09}"/>
    <cellStyle name="Денежный 4 3 2 2 5" xfId="40477" xr:uid="{3DD4E9FF-CE6A-486E-9BFC-D5DEFA5324F7}"/>
    <cellStyle name="Денежный 4 3 2 3" xfId="18357" xr:uid="{1D497203-BB8B-4819-B8E3-1105DFE5F017}"/>
    <cellStyle name="Денежный 4 3 2 4" xfId="19761" xr:uid="{8DF2331C-5022-41AA-BD79-3AE00C609BBE}"/>
    <cellStyle name="Денежный 4 3 2 5" xfId="24954" xr:uid="{10260C7F-6546-4785-8545-37DB3CE049D1}"/>
    <cellStyle name="Денежный 4 3 2 6" xfId="38030" xr:uid="{82C1531A-C97F-4C8F-9E07-DED685485E01}"/>
    <cellStyle name="Денежный 4 3 3" xfId="9571" xr:uid="{441DD764-2177-48D6-8ADA-E65B9DD06829}"/>
    <cellStyle name="Денежный 4 3 3 2" xfId="18639" xr:uid="{B8B031C8-AC09-48BC-92B4-5554D9B7892D}"/>
    <cellStyle name="Денежный 4 3 3 3" xfId="19926" xr:uid="{D142FDBA-FF08-4623-BA75-DC8915E563C8}"/>
    <cellStyle name="Денежный 4 3 3 4" xfId="26928" xr:uid="{882561C1-5315-4409-A7CB-4F62F901901D}"/>
    <cellStyle name="Денежный 4 3 3 5" xfId="40011" xr:uid="{C9E703F7-7EC9-47AB-A1C1-757CDE5C49F1}"/>
    <cellStyle name="Денежный 4 3 4" xfId="17945" xr:uid="{E8824AE8-32A2-48A5-9E65-CCB291B78006}"/>
    <cellStyle name="Денежный 4 3 5" xfId="19399" xr:uid="{1F2836B8-7FAA-48EF-85E4-C96BB3A0F42F}"/>
    <cellStyle name="Денежный 4 3 6" xfId="22392" xr:uid="{64781394-361F-4FF5-AD4E-FC4563CC0D54}"/>
    <cellStyle name="Денежный 4 3 7" xfId="35442" xr:uid="{F94F67C6-B89D-45EC-BD50-607A8B3B6A4F}"/>
    <cellStyle name="Денежный 4 4" xfId="5313" xr:uid="{36912D36-8799-4EF4-B451-16688D49D7F4}"/>
    <cellStyle name="Денежный 4 4 2" xfId="9745" xr:uid="{5D4DB729-AB49-444D-8CE1-832146497B92}"/>
    <cellStyle name="Денежный 4 4 2 2" xfId="18748" xr:uid="{184C7163-E2E9-44D7-BF30-71839987EB92}"/>
    <cellStyle name="Денежный 4 4 2 3" xfId="20011" xr:uid="{EB0F2AB0-76BC-44A2-84B8-F1A7AFF01A09}"/>
    <cellStyle name="Денежный 4 4 2 4" xfId="27042" xr:uid="{2BCF319E-9FC2-494F-B29D-6DFBF4880E68}"/>
    <cellStyle name="Денежный 4 4 2 5" xfId="40161" xr:uid="{F4322D2B-B291-4BAB-990A-74B825FC1861}"/>
    <cellStyle name="Денежный 4 4 3" xfId="18045" xr:uid="{4EE0A035-F751-4F68-8CC1-CE4A2CFD1E12}"/>
    <cellStyle name="Денежный 4 4 4" xfId="19484" xr:uid="{A2181718-7349-4C98-9473-9D22EB667785}"/>
    <cellStyle name="Денежный 4 4 5" xfId="22961" xr:uid="{F17D8FB3-3889-4699-AFCD-DC1BBB82E372}"/>
    <cellStyle name="Денежный 4 4 6" xfId="36042" xr:uid="{E9EB1D08-1E93-46D6-8EBC-DD07A588098B}"/>
    <cellStyle name="Денежный 4 5" xfId="5765" xr:uid="{54BC0F29-8E3A-496C-84D3-289D350F1B61}"/>
    <cellStyle name="Денежный 4 5 2" xfId="9828" xr:uid="{187834F8-9681-44B4-8995-C97779BDE020}"/>
    <cellStyle name="Денежный 4 5 2 2" xfId="18802" xr:uid="{E2041A2B-DA62-4B40-AAE7-B65DBBB1C99F}"/>
    <cellStyle name="Денежный 4 5 2 3" xfId="20064" xr:uid="{57C10AAF-749C-4AEF-B846-80CE16831882}"/>
    <cellStyle name="Денежный 4 5 2 4" xfId="27124" xr:uid="{27689335-B447-4CF0-BF93-F814B3BC94A1}"/>
    <cellStyle name="Денежный 4 5 2 5" xfId="40243" xr:uid="{4FDB0E7F-8599-4504-A2CA-760F299FF73D}"/>
    <cellStyle name="Денежный 4 5 3" xfId="18098" xr:uid="{9DB2DFA4-B7FB-4034-B90D-E77FF0CAC4DD}"/>
    <cellStyle name="Денежный 4 5 4" xfId="19537" xr:uid="{9EA7D4CB-C714-4D9A-973E-7F7D9613E5D6}"/>
    <cellStyle name="Денежный 4 5 5" xfId="23412" xr:uid="{0EF383CF-F9A3-40C6-8D5D-FCA38701215A}"/>
    <cellStyle name="Денежный 4 5 6" xfId="36493" xr:uid="{ABDCED04-9647-4073-A6FF-6274AF7BD0E9}"/>
    <cellStyle name="Денежный 4 6" xfId="5994" xr:uid="{A7F3A53A-C03E-4281-BE7E-CF3EC79EEA6F}"/>
    <cellStyle name="Денежный 4 6 2" xfId="9913" xr:uid="{34703BDE-D56A-42F3-A1C0-3ABE2880AF61}"/>
    <cellStyle name="Денежный 4 6 2 2" xfId="18877" xr:uid="{D13E316E-5F61-4839-B137-F823DBEB3E21}"/>
    <cellStyle name="Денежный 4 6 2 3" xfId="20139" xr:uid="{0C5775A6-3B90-4F10-A8D2-F958318DECE6}"/>
    <cellStyle name="Денежный 4 6 2 4" xfId="27209" xr:uid="{75BA88DB-21D2-4031-903C-207600E3C24A}"/>
    <cellStyle name="Денежный 4 6 2 5" xfId="40328" xr:uid="{DC20FA63-B94B-4055-A04D-CFFD2AF91A7C}"/>
    <cellStyle name="Денежный 4 6 3" xfId="18173" xr:uid="{1C2473F1-B7A8-4A68-ADC1-FF4C37BC3808}"/>
    <cellStyle name="Денежный 4 6 4" xfId="19612" xr:uid="{305E638F-62ED-4014-8D7F-1E1E921851AC}"/>
    <cellStyle name="Денежный 4 6 5" xfId="23640" xr:uid="{A181C7A0-236B-41A0-8490-8699BA14B48F}"/>
    <cellStyle name="Денежный 4 6 6" xfId="36721" xr:uid="{E6EA5D97-84EB-4951-8FA7-CF80AC9620D6}"/>
    <cellStyle name="Денежный 4 7" xfId="6069" xr:uid="{53F7FBB6-0B35-477E-897A-D62CF2DBC50E}"/>
    <cellStyle name="Денежный 4 7 2" xfId="9988" xr:uid="{C150175F-8AEE-4949-A567-A5139CA6117F}"/>
    <cellStyle name="Денежный 4 7 2 2" xfId="18952" xr:uid="{A1113CD6-ED97-48BA-B155-F2A11C2DA35A}"/>
    <cellStyle name="Денежный 4 7 2 3" xfId="20214" xr:uid="{18FAE93B-3D0A-4396-AFB4-2190A05663DE}"/>
    <cellStyle name="Денежный 4 7 2 4" xfId="27284" xr:uid="{47728F0F-4166-49D9-BE90-B19B54DBA746}"/>
    <cellStyle name="Денежный 4 7 2 5" xfId="40403" xr:uid="{B8ADF902-FC14-4E57-A8C3-DE457FABA356}"/>
    <cellStyle name="Денежный 4 7 3" xfId="18248" xr:uid="{97B4AD81-59AE-44EC-AAD7-50658C3D12D5}"/>
    <cellStyle name="Денежный 4 7 4" xfId="19687" xr:uid="{7BA15892-CB70-47F8-A9D0-8100401B90F3}"/>
    <cellStyle name="Денежный 4 7 5" xfId="23715" xr:uid="{5D4A84B0-8637-47AE-B995-8CCF14AB768F}"/>
    <cellStyle name="Денежный 4 7 6" xfId="36796" xr:uid="{95883FA6-F90E-4F95-9918-A0358D06180D}"/>
    <cellStyle name="Денежный 4 8" xfId="9470" xr:uid="{E1E6C23C-706A-473F-8FFD-B9D44FFF0BDD}"/>
    <cellStyle name="Денежный 4 8 2" xfId="18538" xr:uid="{E34CF3C6-124B-4393-B2F0-DBBEB012ACE8}"/>
    <cellStyle name="Денежный 4 8 3" xfId="19842" xr:uid="{74A33BF2-FAB1-40D1-BFAD-E47FB4B9FF46}"/>
    <cellStyle name="Денежный 4 8 4" xfId="26844" xr:uid="{260A9593-C7B2-4365-A958-0FBDE38CD5A9}"/>
    <cellStyle name="Денежный 4 8 5" xfId="39927" xr:uid="{AAF3F51D-4D1B-4224-A164-B4E1A383771F}"/>
    <cellStyle name="Денежный 4 9" xfId="10398" xr:uid="{67003718-8581-4F99-B616-9A42BC175261}"/>
    <cellStyle name="Денежный 5" xfId="3774" xr:uid="{3FE9C3C8-2240-4E62-90DC-4FD68D8ED5E0}"/>
    <cellStyle name="Денежный 5 10" xfId="17684" xr:uid="{22505BE8-D609-4CC8-B50F-201660F1B906}"/>
    <cellStyle name="Денежный 5 10 2" xfId="19191" xr:uid="{569F812D-1D4F-4897-87E8-F112AAEE56B5}"/>
    <cellStyle name="Денежный 5 10 3" xfId="20346" xr:uid="{5260CD47-A074-41E0-A55C-A59BF13C88DE}"/>
    <cellStyle name="Денежный 5 10 4" xfId="33407" xr:uid="{46F8730D-2465-42A1-8E6B-3F8A6C0C4244}"/>
    <cellStyle name="Денежный 5 10 5" xfId="47196" xr:uid="{D2325550-E5ED-4B33-B582-1810ABF65BE3}"/>
    <cellStyle name="Денежный 5 11" xfId="17860" xr:uid="{B1F935AC-A8A2-4D46-8905-752AECD8D5E8}"/>
    <cellStyle name="Денежный 5 12" xfId="19316" xr:uid="{8A2D2B61-AF62-40EF-A4F9-C2BC3C3F9734}"/>
    <cellStyle name="Денежный 5 13" xfId="20438" xr:uid="{4D67EFEE-9FB6-467B-9B9A-8608415C9CED}"/>
    <cellStyle name="Денежный 5 14" xfId="21675" xr:uid="{BB4EB94B-7DA0-4A77-B50F-29F13A706808}"/>
    <cellStyle name="Денежный 5 15" xfId="34729" xr:uid="{FB9B08E0-41D9-4A44-BB15-077330D0F7D6}"/>
    <cellStyle name="Денежный 5 2" xfId="4011" xr:uid="{E41C8224-9744-495A-91C7-DDD75E4F3389}"/>
    <cellStyle name="Денежный 5 2 10" xfId="19346" xr:uid="{417F204B-3EBB-4F9A-9EC5-4B5071E9AE84}"/>
    <cellStyle name="Денежный 5 2 11" xfId="20522" xr:uid="{AD984894-C5BF-4A9C-BB8A-EFE05ADE6A3C}"/>
    <cellStyle name="Денежный 5 2 12" xfId="21854" xr:uid="{25C51B17-08D2-4A05-89B7-FC63C6467963}"/>
    <cellStyle name="Денежный 5 2 13" xfId="34903" xr:uid="{4585BA31-520C-4A22-85F3-D404612B8C33}"/>
    <cellStyle name="Денежный 5 2 2" xfId="5163" xr:uid="{B3EDE5A6-8FA1-415D-B3B8-B1F152576EA5}"/>
    <cellStyle name="Денежный 5 2 2 2" xfId="7586" xr:uid="{1692A74E-3823-4DFC-BD96-E765755A9CEB}"/>
    <cellStyle name="Денежный 5 2 2 2 2" xfId="10121" xr:uid="{F7483EDC-7AB2-4517-A107-E1DF8EB7FC99}"/>
    <cellStyle name="Денежный 5 2 2 2 2 2" xfId="19084" xr:uid="{81405F4E-9BFE-4531-B505-4B9682F839DA}"/>
    <cellStyle name="Денежный 5 2 2 2 2 3" xfId="20304" xr:uid="{D459C60A-508B-4B5A-93CB-DEA158EC687A}"/>
    <cellStyle name="Денежный 5 2 2 2 2 4" xfId="27374" xr:uid="{74CE1BD0-12CB-4BC7-9CB9-053A88C73BE6}"/>
    <cellStyle name="Денежный 5 2 2 2 2 5" xfId="40493" xr:uid="{57D5A527-7EBB-47B3-9F39-94BFCBF9D327}"/>
    <cellStyle name="Денежный 5 2 2 2 3" xfId="18379" xr:uid="{BF41F37A-3132-4315-9D9B-324FD11F0A8F}"/>
    <cellStyle name="Денежный 5 2 2 2 4" xfId="19777" xr:uid="{32E25267-E1D8-4F88-B431-D7A230A40084}"/>
    <cellStyle name="Денежный 5 2 2 2 5" xfId="25114" xr:uid="{58FFEEA6-18F2-48E9-BA06-E4A86B33DB8B}"/>
    <cellStyle name="Денежный 5 2 2 2 6" xfId="38190" xr:uid="{17219C66-94DB-48F9-B113-FBF1E78BE745}"/>
    <cellStyle name="Денежный 5 2 2 3" xfId="9664" xr:uid="{EE1ACB5A-99EA-46D1-906E-BAD8991A51D0}"/>
    <cellStyle name="Денежный 5 2 2 3 2" xfId="18711" xr:uid="{94FCA6A4-0D43-44DE-B705-CAED0ADF992B}"/>
    <cellStyle name="Денежный 5 2 2 3 3" xfId="19976" xr:uid="{3360E86F-718C-4EEA-B0A2-1DE4857EE7B6}"/>
    <cellStyle name="Денежный 5 2 2 3 4" xfId="26978" xr:uid="{51014AAB-A33A-4854-BB09-7F8A6CC5514C}"/>
    <cellStyle name="Денежный 5 2 2 3 5" xfId="40082" xr:uid="{D268B0CA-E4AF-446B-B385-4A78B8482E56}"/>
    <cellStyle name="Денежный 5 2 2 4" xfId="18009" xr:uid="{97437681-E917-4E5E-B58D-A949CD9467D1}"/>
    <cellStyle name="Денежный 5 2 2 5" xfId="19449" xr:uid="{D99B6E79-A86D-42BF-9A7F-5E203CB6DBBB}"/>
    <cellStyle name="Денежный 5 2 2 6" xfId="22853" xr:uid="{80362381-7CDF-4348-8EE9-949779791A5D}"/>
    <cellStyle name="Денежный 5 2 2 7" xfId="35919" xr:uid="{6D022820-07C3-40FB-812E-456A521A3DE0}"/>
    <cellStyle name="Денежный 5 2 3" xfId="4918" xr:uid="{29427199-DEDA-4807-B704-C7C7C179067A}"/>
    <cellStyle name="Денежный 5 2 3 2" xfId="9619" xr:uid="{3CEC0956-A7E5-44DB-AB22-8768F28918C8}"/>
    <cellStyle name="Денежный 5 2 3 2 2" xfId="18684" xr:uid="{F94C847D-1FC7-48D9-9951-2018A4767CB8}"/>
    <cellStyle name="Денежный 5 2 3 2 3" xfId="19958" xr:uid="{85172452-0652-4EE0-A784-50F8434A1102}"/>
    <cellStyle name="Денежный 5 2 3 2 4" xfId="26960" xr:uid="{E6DC78B6-13A5-49A0-B335-766083C324ED}"/>
    <cellStyle name="Денежный 5 2 3 2 5" xfId="40046" xr:uid="{A74C53EF-D00B-4BA3-8DE6-89544A0E624E}"/>
    <cellStyle name="Денежный 5 2 3 3" xfId="17989" xr:uid="{6076E355-6CB6-42A6-A022-031A5B7AE909}"/>
    <cellStyle name="Денежный 5 2 3 4" xfId="19431" xr:uid="{420BE0FB-987F-4373-A28B-AA9936A8AE08}"/>
    <cellStyle name="Денежный 5 2 3 5" xfId="22715" xr:uid="{67DDD989-73FC-48FF-90DA-F9A492DE8412}"/>
    <cellStyle name="Денежный 5 2 3 6" xfId="35768" xr:uid="{69DACFC6-CD76-4FEE-956B-83F4B1F814A1}"/>
    <cellStyle name="Денежный 5 2 4" xfId="5940" xr:uid="{FAC51E58-C182-4704-945C-4924BC6CA1C5}"/>
    <cellStyle name="Денежный 5 2 4 2" xfId="9869" xr:uid="{F7526865-05A2-42F7-87E5-1D8C84615171}"/>
    <cellStyle name="Денежный 5 2 4 2 2" xfId="18833" xr:uid="{8F3555B1-8DA7-4FCD-9480-337CA7049D25}"/>
    <cellStyle name="Денежный 5 2 4 2 3" xfId="20095" xr:uid="{93A86FBC-9C10-497C-A34E-16F477C6AC6C}"/>
    <cellStyle name="Денежный 5 2 4 2 4" xfId="27165" xr:uid="{69A007C0-7698-4DB5-9D05-9003AE9418BC}"/>
    <cellStyle name="Денежный 5 2 4 2 5" xfId="40284" xr:uid="{4FEF1DA8-6AD4-4C55-925F-54C16B81441F}"/>
    <cellStyle name="Денежный 5 2 4 3" xfId="18129" xr:uid="{E5FB6246-5FBC-4C0C-AB81-A65ED3843601}"/>
    <cellStyle name="Денежный 5 2 4 4" xfId="19568" xr:uid="{218F806A-C617-4472-958F-1E67FD65EE68}"/>
    <cellStyle name="Денежный 5 2 4 5" xfId="23587" xr:uid="{85A5C3B3-B3E4-46F7-B5F4-3541CB0B50AE}"/>
    <cellStyle name="Денежный 5 2 4 6" xfId="36668" xr:uid="{AF7685BB-ED6C-48D8-BF03-5AEE5B6B9206}"/>
    <cellStyle name="Денежный 5 2 5" xfId="6025" xr:uid="{D35A4D94-8117-48D1-AE0A-E68AFEC1B754}"/>
    <cellStyle name="Денежный 5 2 5 2" xfId="9944" xr:uid="{0EDF9A8F-42BD-4D45-A256-2CD00EBC68C5}"/>
    <cellStyle name="Денежный 5 2 5 2 2" xfId="18908" xr:uid="{C8773D60-0563-41B6-BA22-78F5031CAD31}"/>
    <cellStyle name="Денежный 5 2 5 2 3" xfId="20170" xr:uid="{7BDE27A3-B52A-4F3A-84AA-BF2312FF26E9}"/>
    <cellStyle name="Денежный 5 2 5 2 4" xfId="27240" xr:uid="{3CE2523A-5770-4FD7-A9E3-C6143F01D1F3}"/>
    <cellStyle name="Денежный 5 2 5 2 5" xfId="40359" xr:uid="{E7A1FF2C-C8C4-404B-925A-FAF3FC4F4C34}"/>
    <cellStyle name="Денежный 5 2 5 3" xfId="18204" xr:uid="{C81E583A-AD5E-41A1-AADB-BF739E10B5BE}"/>
    <cellStyle name="Денежный 5 2 5 4" xfId="19643" xr:uid="{ADB515D5-C411-4FDA-9F3E-089178A69412}"/>
    <cellStyle name="Денежный 5 2 5 5" xfId="23671" xr:uid="{D851FF8D-5A0E-48CE-84FA-8CC189F559D0}"/>
    <cellStyle name="Денежный 5 2 5 6" xfId="36752" xr:uid="{AF3B1124-DD7E-496D-8EFA-7C68AEA7E2C8}"/>
    <cellStyle name="Денежный 5 2 6" xfId="6110" xr:uid="{0D2CE279-BBD1-4CB5-99A0-DE98CA6C3577}"/>
    <cellStyle name="Денежный 5 2 6 2" xfId="10019" xr:uid="{11755EE8-763D-4BBB-B592-106DC84DE3C7}"/>
    <cellStyle name="Денежный 5 2 6 2 2" xfId="18983" xr:uid="{03824F3C-E0B5-4B62-851C-6E0C8999B034}"/>
    <cellStyle name="Денежный 5 2 6 2 3" xfId="20245" xr:uid="{69D6A89A-A4BD-46C6-B12A-CECD256035EC}"/>
    <cellStyle name="Денежный 5 2 6 2 4" xfId="27315" xr:uid="{E12FE3EA-A817-40A2-BAB3-BA918C71AC94}"/>
    <cellStyle name="Денежный 5 2 6 2 5" xfId="40434" xr:uid="{683C1F1D-F571-410E-988C-CAD2459F58A8}"/>
    <cellStyle name="Денежный 5 2 6 3" xfId="18279" xr:uid="{019F8F1A-0613-4E83-991A-CF04A8B3E3B6}"/>
    <cellStyle name="Денежный 5 2 6 4" xfId="19718" xr:uid="{65542FE3-DB3C-440C-9DC6-07A33187072C}"/>
    <cellStyle name="Денежный 5 2 6 5" xfId="23756" xr:uid="{0C371228-543A-47D7-8F2C-EA452C675365}"/>
    <cellStyle name="Денежный 5 2 6 6" xfId="36837" xr:uid="{DB396C9A-5E78-4A61-86F9-D63FF8FDF03B}"/>
    <cellStyle name="Денежный 5 2 7" xfId="9507" xr:uid="{5D155698-8207-44E6-A8CF-21521C5A339E}"/>
    <cellStyle name="Денежный 5 2 7 2" xfId="18575" xr:uid="{D971FDEF-9D2C-4B2D-9DC9-4877386476DD}"/>
    <cellStyle name="Денежный 5 2 7 3" xfId="19873" xr:uid="{8E76FB95-2D09-43EC-AFC3-C04C0EB546FC}"/>
    <cellStyle name="Денежный 5 2 7 4" xfId="26875" xr:uid="{C284147B-21DB-4E15-AF69-9DC5CCA583DF}"/>
    <cellStyle name="Денежный 5 2 7 5" xfId="39958" xr:uid="{18CC42A4-3DD2-4F1B-9203-D40A873A6765}"/>
    <cellStyle name="Денежный 5 2 8" xfId="17769" xr:uid="{16416346-04C6-4ADB-BAB4-74B09C40A251}"/>
    <cellStyle name="Денежный 5 2 8 2" xfId="19236" xr:uid="{8738BC62-0AB4-4EC4-9E11-A765F3776B1F}"/>
    <cellStyle name="Денежный 5 2 8 3" xfId="20391" xr:uid="{AB2ED589-A863-4C10-BCBF-F8CDEB9E0205}"/>
    <cellStyle name="Денежный 5 2 8 4" xfId="33491" xr:uid="{FA14452D-54F0-4C59-A28A-4E0AE72A36E2}"/>
    <cellStyle name="Денежный 5 2 8 5" xfId="47270" xr:uid="{E278F812-5435-4FAF-B339-4B1609BD86D2}"/>
    <cellStyle name="Денежный 5 2 9" xfId="17890" xr:uid="{AAC0CB12-1FB3-4349-9A74-6B92A917E88C}"/>
    <cellStyle name="Денежный 5 3" xfId="4579" xr:uid="{DAE3868F-5556-4184-9E97-0FBDB01AC3D5}"/>
    <cellStyle name="Денежный 5 3 2" xfId="7396" xr:uid="{650B84D6-00F3-408A-B624-43A12368B2EF}"/>
    <cellStyle name="Денежный 5 3 2 2" xfId="10100" xr:uid="{9159A7DA-AC85-4B8B-B2D2-C1262DB338DF}"/>
    <cellStyle name="Денежный 5 3 2 2 2" xfId="19063" xr:uid="{281D0EDB-904C-4477-AFEF-CA182F474A0F}"/>
    <cellStyle name="Денежный 5 3 2 2 3" xfId="20289" xr:uid="{27E755F7-EF1D-4514-B120-BA55681E1BCB}"/>
    <cellStyle name="Денежный 5 3 2 2 4" xfId="27359" xr:uid="{996214F8-CD0E-49A1-80E0-F422CF17432C}"/>
    <cellStyle name="Денежный 5 3 2 2 5" xfId="40478" xr:uid="{3762A9B1-EB5D-4209-A317-3015BA934CFE}"/>
    <cellStyle name="Денежный 5 3 2 3" xfId="18358" xr:uid="{C2EAA42B-B0BA-4D0E-B1FB-D0A4FB03A410}"/>
    <cellStyle name="Денежный 5 3 2 4" xfId="19762" xr:uid="{87EB404A-DE91-4279-A75E-F3CA53EF037A}"/>
    <cellStyle name="Денежный 5 3 2 5" xfId="24955" xr:uid="{A6BC266A-FF5A-428D-8290-AAFD1C18ED64}"/>
    <cellStyle name="Денежный 5 3 2 6" xfId="38031" xr:uid="{06EFE825-17A2-4D51-9143-9706C5F000F0}"/>
    <cellStyle name="Денежный 5 3 3" xfId="9572" xr:uid="{4C6A4DFF-386B-4F6D-98B4-DD7278E55451}"/>
    <cellStyle name="Денежный 5 3 3 2" xfId="18640" xr:uid="{D5FC20A7-A24C-4EA2-A3D1-A7DEE41A0A44}"/>
    <cellStyle name="Денежный 5 3 3 3" xfId="19927" xr:uid="{A92E2C26-4800-4C5C-A1D6-C16E3DE2A91E}"/>
    <cellStyle name="Денежный 5 3 3 4" xfId="26929" xr:uid="{61357010-8136-42D9-8D87-B9BCBD921B7C}"/>
    <cellStyle name="Денежный 5 3 3 5" xfId="40012" xr:uid="{50F91A64-AAAF-4A26-A8FE-1E03DA08FC1C}"/>
    <cellStyle name="Денежный 5 3 4" xfId="17946" xr:uid="{B8FA6757-EF16-4274-BF4D-45874ED8DBE1}"/>
    <cellStyle name="Денежный 5 3 5" xfId="19400" xr:uid="{B67EA8EC-5597-4F00-BB13-DECA044D7B34}"/>
    <cellStyle name="Денежный 5 3 6" xfId="22393" xr:uid="{259953ED-36C1-4A37-B6AA-072CC3451735}"/>
    <cellStyle name="Денежный 5 3 7" xfId="35443" xr:uid="{9D7E4372-9974-4B6A-8C01-365C3A2D975B}"/>
    <cellStyle name="Денежный 5 4" xfId="5314" xr:uid="{2DDE73D1-EA07-44E5-A3BD-A6242D0DB612}"/>
    <cellStyle name="Денежный 5 4 2" xfId="9746" xr:uid="{10C3D2AE-53CC-4328-B975-1CECA025ABDC}"/>
    <cellStyle name="Денежный 5 4 2 2" xfId="18749" xr:uid="{3D6E67B3-F6C4-4731-B304-B8260C330C92}"/>
    <cellStyle name="Денежный 5 4 2 3" xfId="20012" xr:uid="{9FEFACF7-3039-4A79-A021-C1C00C6A527E}"/>
    <cellStyle name="Денежный 5 4 2 4" xfId="27043" xr:uid="{9917A564-2997-46A3-9B45-01DC3FA7C98D}"/>
    <cellStyle name="Денежный 5 4 2 5" xfId="40162" xr:uid="{DD3D4315-6596-4ED4-980F-A29E84999465}"/>
    <cellStyle name="Денежный 5 4 3" xfId="18046" xr:uid="{D6244F43-D08A-4928-8A2B-1007BA5F6C05}"/>
    <cellStyle name="Денежный 5 4 4" xfId="19485" xr:uid="{BB40C034-7F28-409D-B674-1B371D059306}"/>
    <cellStyle name="Денежный 5 4 5" xfId="22962" xr:uid="{0EDF2A00-733C-4D3D-B102-7C2D970063A9}"/>
    <cellStyle name="Денежный 5 4 6" xfId="36043" xr:uid="{F8B74DFC-F7D3-4F97-86E4-0988946DE8A3}"/>
    <cellStyle name="Денежный 5 5" xfId="5766" xr:uid="{1DC0D04F-A48B-442B-B742-1D79B800133A}"/>
    <cellStyle name="Денежный 5 5 2" xfId="9829" xr:uid="{4A1B994C-69E5-4F77-9BE2-97B3E26439FC}"/>
    <cellStyle name="Денежный 5 5 2 2" xfId="18803" xr:uid="{DBFC76D0-0A67-43F6-AEBF-811F44685A23}"/>
    <cellStyle name="Денежный 5 5 2 3" xfId="20065" xr:uid="{8D210CF5-C4E9-4748-A4F1-EBD2A834BDF1}"/>
    <cellStyle name="Денежный 5 5 2 4" xfId="27125" xr:uid="{7166A1E9-0EE2-4500-9E11-D9A97933CD5C}"/>
    <cellStyle name="Денежный 5 5 2 5" xfId="40244" xr:uid="{4B4AB50C-D9F0-4A6D-B69A-81198050C58D}"/>
    <cellStyle name="Денежный 5 5 3" xfId="18099" xr:uid="{595353B9-714A-4739-B171-7AB5F4988B50}"/>
    <cellStyle name="Денежный 5 5 4" xfId="19538" xr:uid="{BED880C0-A080-419E-AF8F-8ED93A414EB6}"/>
    <cellStyle name="Денежный 5 5 5" xfId="23413" xr:uid="{8878F5E6-D03C-48C2-BBA7-C601F2CE0155}"/>
    <cellStyle name="Денежный 5 5 6" xfId="36494" xr:uid="{C2F337AC-6111-490B-9AF7-F674324868D9}"/>
    <cellStyle name="Денежный 5 6" xfId="5995" xr:uid="{0D6F6F16-A351-4F63-B29B-138040268215}"/>
    <cellStyle name="Денежный 5 6 2" xfId="9914" xr:uid="{3BF931AC-FCE7-49EC-82A6-6E89B7956160}"/>
    <cellStyle name="Денежный 5 6 2 2" xfId="18878" xr:uid="{05882686-59AF-4441-9FB9-315B8BF6A923}"/>
    <cellStyle name="Денежный 5 6 2 3" xfId="20140" xr:uid="{28A58CE2-C497-4BE6-A440-0A6C04F19CDD}"/>
    <cellStyle name="Денежный 5 6 2 4" xfId="27210" xr:uid="{F3000B12-C3B7-4C96-ACA1-E9C93245E3D4}"/>
    <cellStyle name="Денежный 5 6 2 5" xfId="40329" xr:uid="{244ECCC6-B92D-4F5D-B473-5B6D67610BB8}"/>
    <cellStyle name="Денежный 5 6 3" xfId="18174" xr:uid="{41B0F834-1228-4774-8FA7-ADA51F34E745}"/>
    <cellStyle name="Денежный 5 6 4" xfId="19613" xr:uid="{51A60C8D-3762-4CED-B65B-00D818EA1B80}"/>
    <cellStyle name="Денежный 5 6 5" xfId="23641" xr:uid="{98A1263E-E55C-4EBC-8240-ECF686B80AB9}"/>
    <cellStyle name="Денежный 5 6 6" xfId="36722" xr:uid="{CA0636F7-8173-4435-A0C4-D34A6D76084F}"/>
    <cellStyle name="Денежный 5 7" xfId="6070" xr:uid="{E34AFBEE-BD9E-4352-A566-BC06697275B0}"/>
    <cellStyle name="Денежный 5 7 2" xfId="9989" xr:uid="{C572DA6D-5030-435D-BD13-89B342DA7EBC}"/>
    <cellStyle name="Денежный 5 7 2 2" xfId="18953" xr:uid="{C886A316-C5CD-4BD9-9E1E-0BFB153DCC0A}"/>
    <cellStyle name="Денежный 5 7 2 3" xfId="20215" xr:uid="{7BCBC115-7D18-49C1-B650-E24EE1EED18E}"/>
    <cellStyle name="Денежный 5 7 2 4" xfId="27285" xr:uid="{9B392C34-B09D-46C0-8C03-7AAB6D7F4ECB}"/>
    <cellStyle name="Денежный 5 7 2 5" xfId="40404" xr:uid="{1A392ACD-A197-466A-9F73-717DBD9DDDD7}"/>
    <cellStyle name="Денежный 5 7 3" xfId="18249" xr:uid="{118433EE-7E0B-4E81-A9F4-6227750D44DF}"/>
    <cellStyle name="Денежный 5 7 4" xfId="19688" xr:uid="{9BE9A630-EE69-4667-9375-FAAF6325999C}"/>
    <cellStyle name="Денежный 5 7 5" xfId="23716" xr:uid="{E4CE8A3F-437F-4E50-98ED-3D0FFF25A736}"/>
    <cellStyle name="Денежный 5 7 6" xfId="36797" xr:uid="{BE658FA7-35B2-4355-8029-01B651A449A7}"/>
    <cellStyle name="Денежный 5 8" xfId="9471" xr:uid="{D3E5E140-6628-403D-9F08-76C39B7E455F}"/>
    <cellStyle name="Денежный 5 8 2" xfId="18539" xr:uid="{2370A6CB-ED1F-4895-9BC7-EBE518F7E083}"/>
    <cellStyle name="Денежный 5 8 3" xfId="19843" xr:uid="{DB9F73A4-0DE5-4E55-8B78-907C0EFC2CA1}"/>
    <cellStyle name="Денежный 5 8 4" xfId="26845" xr:uid="{3AFBB050-BFAB-49D2-873C-C7CA6D8E9CE8}"/>
    <cellStyle name="Денежный 5 8 5" xfId="39928" xr:uid="{B8555E25-1529-4113-A9CE-C135F4DEE1AC}"/>
    <cellStyle name="Денежный 5 9" xfId="10399" xr:uid="{BB386299-757A-43BB-974D-A70E06697E3E}"/>
    <cellStyle name="Денежный 6" xfId="10202" xr:uid="{4E535B19-2709-4E86-80B4-4BAE4BE66B57}"/>
    <cellStyle name="Денежный 7" xfId="2318" xr:uid="{2F94BC50-B4AE-442D-9D42-8E3EA9060F4B}"/>
    <cellStyle name="Денежный 7 2" xfId="5116" xr:uid="{E7D09399-9A94-4F36-8F63-E11413076141}"/>
    <cellStyle name="Денежный 7 3" xfId="10400" xr:uid="{C616D171-1458-4CC5-B5D7-7EB7A46AFF3A}"/>
    <cellStyle name="Заглавие сводной таблицы" xfId="29" xr:uid="{B0F6FE11-14C1-4BC1-BE1F-419F1EDECEE1}"/>
    <cellStyle name="Заглавие сводной таблицы 2" xfId="10534" xr:uid="{85C70532-4680-4EB5-97D0-AD8E4E1C6FC7}"/>
    <cellStyle name="Заголовок 1 1" xfId="2319" xr:uid="{4FE7AB7C-003E-4C32-AF92-D9E531E3C407}"/>
    <cellStyle name="Заголовок 1 2" xfId="12" xr:uid="{797EB895-6362-4801-8A59-DA26FAEEABF9}"/>
    <cellStyle name="Заголовок 1 2 2" xfId="2320" xr:uid="{685AD9D9-ECE5-4617-BBAF-6B34EAAF2F96}"/>
    <cellStyle name="Заголовок 1 3" xfId="2321" xr:uid="{37F268C6-1226-4AE6-A9E7-687DF31730F2}"/>
    <cellStyle name="Заголовок 1 4" xfId="2322" xr:uid="{A56CBF5B-5069-45C7-ACCF-94CF61FE6EF8}"/>
    <cellStyle name="Заголовок 1 5" xfId="17629" xr:uid="{71CC3463-FA69-4330-9C62-A36C8CFF5AEA}"/>
    <cellStyle name="Заголовок 2 1" xfId="2323" xr:uid="{B2334B90-515B-4314-B727-6EC4E0BBE441}"/>
    <cellStyle name="Заголовок 2 2" xfId="2324" xr:uid="{4569DA0A-DFE1-4FB1-B4CB-54FB95CF5BE6}"/>
    <cellStyle name="Заголовок 2 3" xfId="2325" xr:uid="{290F0611-A6B8-4AEE-8F88-EF206949E957}"/>
    <cellStyle name="Заголовок 2 4" xfId="2326" xr:uid="{5A0CF4BC-7472-4E5E-B46B-C0B27D65A83A}"/>
    <cellStyle name="Заголовок 3 1" xfId="2327" xr:uid="{0779EA25-B433-4203-A169-DD058146DF2D}"/>
    <cellStyle name="Заголовок 3 1 2" xfId="3568" xr:uid="{E6CFAD6E-8C29-495C-A584-BA17CF8C7D15}"/>
    <cellStyle name="Заголовок 3 1 2 2" xfId="5117" xr:uid="{2839CDD5-2E33-4B96-8445-39E2F99CFEFA}"/>
    <cellStyle name="Заголовок 3 1 2 2 2" xfId="22839" xr:uid="{D46F8235-1C03-480F-A1CC-B35DCC2C7362}"/>
    <cellStyle name="Заголовок 3 1 2 3" xfId="4947" xr:uid="{5B324730-3710-4C92-8A4B-0BC6A2B7224B}"/>
    <cellStyle name="Заголовок 3 1 2 3 2" xfId="22738" xr:uid="{56024446-DC03-4684-AACA-AA982DC09A2B}"/>
    <cellStyle name="Заголовок 3 1 2 4" xfId="17749" xr:uid="{8BD14B61-FDE1-47ED-BD7A-2CDCECD62BE0}"/>
    <cellStyle name="Заголовок 3 1 2 4 2" xfId="33471" xr:uid="{51320A10-3730-4CBB-89DD-CC772603D85D}"/>
    <cellStyle name="Заголовок 3 1 2 5" xfId="17807" xr:uid="{6F8F0D5E-723D-49DA-B7CF-4B0DBA7C566B}"/>
    <cellStyle name="Заголовок 3 1 2 5 2" xfId="33528" xr:uid="{D4690194-F31E-4F48-AEC1-9FCD75E0DADD}"/>
    <cellStyle name="Заголовок 3 1 2 6" xfId="20502" xr:uid="{2B6B475D-360C-408B-99DE-548A8DE2A521}"/>
    <cellStyle name="Заголовок 3 1 3" xfId="3735" xr:uid="{9488E6AC-8F9B-45FD-8B19-E52465BC19E0}"/>
    <cellStyle name="Заголовок 3 1 3 2" xfId="7370" xr:uid="{1CF1A0DF-69F2-4690-846E-A9917F11E569}"/>
    <cellStyle name="Заголовок 3 1 3 2 2" xfId="24929" xr:uid="{2576A715-D2A5-4790-8C8C-3F84CB6DDCD8}"/>
    <cellStyle name="Заголовок 3 1 3 3" xfId="17725" xr:uid="{BA98AFE0-6A53-49ED-A2BA-8F626C5B6BF0}"/>
    <cellStyle name="Заголовок 3 1 3 3 2" xfId="33447" xr:uid="{AFBEF900-071B-4A90-A06C-BD78A5A3FB2A}"/>
    <cellStyle name="Заголовок 3 1 3 4" xfId="17804" xr:uid="{2B5DCA38-291E-443F-BFBF-EF044B0F65C1}"/>
    <cellStyle name="Заголовок 3 1 3 4 2" xfId="33525" xr:uid="{3384A4FA-D00E-4531-A727-75A33F60860F}"/>
    <cellStyle name="Заголовок 3 1 3 5" xfId="20478" xr:uid="{4B7065FE-2973-455F-B39E-760948E08748}"/>
    <cellStyle name="Заголовок 3 1 4" xfId="3871" xr:uid="{B843A37F-B042-4ED7-B84F-D1956F722D7D}"/>
    <cellStyle name="Заголовок 3 1 4 2" xfId="21747" xr:uid="{EA19C1BE-04E0-4E8D-BAE4-58AF4B1B9CEA}"/>
    <cellStyle name="Заголовок 3 2" xfId="2328" xr:uid="{AEDF8914-B78A-48D5-BD6C-7E2FFA108DE5}"/>
    <cellStyle name="Заголовок 3 2 2" xfId="3567" xr:uid="{D127AF22-3435-4FF4-87D0-869908A5F8EC}"/>
    <cellStyle name="Заголовок 3 2 2 2" xfId="5118" xr:uid="{9856B612-9BA1-4675-80B5-AA1DBE3A526B}"/>
    <cellStyle name="Заголовок 3 2 2 2 2" xfId="22840" xr:uid="{E26950E2-301E-4C78-BD8C-277773A2EDC6}"/>
    <cellStyle name="Заголовок 3 2 2 3" xfId="4946" xr:uid="{E2F66DDC-A6D1-40DC-9C50-648429505C6D}"/>
    <cellStyle name="Заголовок 3 2 2 3 2" xfId="22737" xr:uid="{A0918698-8684-4982-A95A-18724F3E9444}"/>
    <cellStyle name="Заголовок 3 2 2 4" xfId="17750" xr:uid="{4D191FA1-11A3-4511-9507-2FC24D3EE3B5}"/>
    <cellStyle name="Заголовок 3 2 2 4 2" xfId="33472" xr:uid="{0DDDBA13-97FD-4BA4-B42E-B4745B591BBB}"/>
    <cellStyle name="Заголовок 3 2 2 5" xfId="17808" xr:uid="{FA77CD30-5FF1-47E6-89CA-06FA096445E9}"/>
    <cellStyle name="Заголовок 3 2 2 5 2" xfId="33529" xr:uid="{8C7DA997-4E73-442F-87B0-70063635852C}"/>
    <cellStyle name="Заголовок 3 2 2 6" xfId="20503" xr:uid="{544517A7-634D-47B8-9D63-9DC486A990BE}"/>
    <cellStyle name="Заголовок 3 2 3" xfId="3736" xr:uid="{5A7270DB-F19E-4D13-9418-AAC485B957B3}"/>
    <cellStyle name="Заголовок 3 2 3 2" xfId="7371" xr:uid="{8DD53D30-DB58-4645-B1F0-09A7D9063EC7}"/>
    <cellStyle name="Заголовок 3 2 3 2 2" xfId="24930" xr:uid="{D2E87FE8-F8B2-4165-883B-74A29EC57998}"/>
    <cellStyle name="Заголовок 3 2 3 3" xfId="17724" xr:uid="{2B4B1293-0463-44AB-B23F-53B8CF8D6D93}"/>
    <cellStyle name="Заголовок 3 2 3 3 2" xfId="33446" xr:uid="{C3BF92F3-F7C1-49C3-859E-B4510F23478D}"/>
    <cellStyle name="Заголовок 3 2 3 4" xfId="17803" xr:uid="{6F3DFAFD-65F0-4A32-A275-8970FCB945CB}"/>
    <cellStyle name="Заголовок 3 2 3 4 2" xfId="33524" xr:uid="{FEA7B417-B3AA-4911-B06F-7F66EC20CB3A}"/>
    <cellStyle name="Заголовок 3 2 3 5" xfId="20477" xr:uid="{B43A3C79-DB64-4C83-AC2D-64C21163EBA7}"/>
    <cellStyle name="Заголовок 3 2 4" xfId="3870" xr:uid="{98AD4C51-AC5B-4A2D-BB08-A511B9073152}"/>
    <cellStyle name="Заголовок 3 2 4 2" xfId="21746" xr:uid="{B9A164E1-1B7F-45B7-88AE-417BF3770B29}"/>
    <cellStyle name="Заголовок 3 3" xfId="2329" xr:uid="{47237AD9-17DA-4CE5-BA90-60DC9F71FA8A}"/>
    <cellStyle name="Заголовок 3 3 2" xfId="3566" xr:uid="{FC6EDDEE-A804-40AF-ABE5-03C72C3D6CE0}"/>
    <cellStyle name="Заголовок 3 3 2 2" xfId="5119" xr:uid="{F9CD6DA6-F7FF-4600-8B3D-1627CD24B656}"/>
    <cellStyle name="Заголовок 3 3 2 2 2" xfId="22841" xr:uid="{DA3BE391-8BD2-4F36-B6D0-192CDA03FA4E}"/>
    <cellStyle name="Заголовок 3 3 2 3" xfId="4945" xr:uid="{EA90C57D-E00B-44D4-9995-B9DE991B1CB0}"/>
    <cellStyle name="Заголовок 3 3 2 3 2" xfId="22736" xr:uid="{7D95B773-7CA3-48D8-962C-3ECCE5C1775F}"/>
    <cellStyle name="Заголовок 3 3 2 4" xfId="17751" xr:uid="{F58AB62C-DF23-4491-B37D-822050CD22E9}"/>
    <cellStyle name="Заголовок 3 3 2 4 2" xfId="33473" xr:uid="{79FE4930-4A2F-4828-8130-38C155E8BAA1}"/>
    <cellStyle name="Заголовок 3 3 2 5" xfId="17809" xr:uid="{3BB9FD1E-5F22-4DB4-8494-B129BCF62F8B}"/>
    <cellStyle name="Заголовок 3 3 2 5 2" xfId="33530" xr:uid="{313E6AD2-1E31-4FA5-BC02-60FF63897D5A}"/>
    <cellStyle name="Заголовок 3 3 2 6" xfId="20504" xr:uid="{E375BD00-6E4C-493A-BF41-5EB24922952E}"/>
    <cellStyle name="Заголовок 3 3 3" xfId="3760" xr:uid="{32FF1BA3-9F21-45AB-97D2-0326F33B2A2B}"/>
    <cellStyle name="Заголовок 3 3 3 2" xfId="7392" xr:uid="{D3F09B0F-DE0F-4B23-93D4-9D30DCE9739E}"/>
    <cellStyle name="Заголовок 3 3 3 2 2" xfId="24951" xr:uid="{D21DA5DE-3FA7-431D-8C22-F008AAD3AD5A}"/>
    <cellStyle name="Заголовок 3 3 3 3" xfId="17723" xr:uid="{0ECBF9AC-B3C4-444B-9A73-7359BD847FC3}"/>
    <cellStyle name="Заголовок 3 3 3 3 2" xfId="33445" xr:uid="{48C2F06E-8C5F-4E12-B405-64964E7A5216}"/>
    <cellStyle name="Заголовок 3 3 3 4" xfId="17802" xr:uid="{A1EC50F0-793B-4072-AFDD-C4B899190C0C}"/>
    <cellStyle name="Заголовок 3 3 3 4 2" xfId="33523" xr:uid="{7A2F5885-1B08-4484-BAAE-30BB7BDE71C5}"/>
    <cellStyle name="Заголовок 3 3 3 5" xfId="20476" xr:uid="{6E6EEB7E-A5E0-42B7-84A6-C3834A548329}"/>
    <cellStyle name="Заголовок 3 3 4" xfId="3869" xr:uid="{E46CA44B-7B3A-4A99-B8CC-190273F749C0}"/>
    <cellStyle name="Заголовок 3 3 4 2" xfId="21745" xr:uid="{07BEAFC4-2A3C-48DE-996E-969A262DDA46}"/>
    <cellStyle name="Заголовок 3 4" xfId="2330" xr:uid="{8D43BECE-96F1-4CC4-8572-D2BFD65F85D5}"/>
    <cellStyle name="Заголовок 3 4 2" xfId="3565" xr:uid="{CE40B289-9ADF-4FAC-BA01-79F8550885B4}"/>
    <cellStyle name="Заголовок 3 4 2 2" xfId="5120" xr:uid="{77BD42D7-0A55-4734-B00C-2346787E090D}"/>
    <cellStyle name="Заголовок 3 4 2 2 2" xfId="22842" xr:uid="{F83A15AA-2A37-41E2-A884-D422A2E5D424}"/>
    <cellStyle name="Заголовок 3 4 2 3" xfId="4944" xr:uid="{66CC63CC-D23D-44A7-81D8-379EC246FC18}"/>
    <cellStyle name="Заголовок 3 4 2 3 2" xfId="22735" xr:uid="{0F67E1DD-4828-4C29-86C4-73425A48D584}"/>
    <cellStyle name="Заголовок 3 4 2 4" xfId="17752" xr:uid="{DF52DEA4-D33C-4F4D-AE14-DC0968470529}"/>
    <cellStyle name="Заголовок 3 4 2 4 2" xfId="33474" xr:uid="{5A5CF144-5342-4991-861C-5DDAC9BAF482}"/>
    <cellStyle name="Заголовок 3 4 2 5" xfId="17810" xr:uid="{68C86F91-374D-45B8-A9BD-773FE361F1EF}"/>
    <cellStyle name="Заголовок 3 4 2 5 2" xfId="33531" xr:uid="{DDC74A12-8735-4B32-8463-F83CC760F8E5}"/>
    <cellStyle name="Заголовок 3 4 2 6" xfId="20505" xr:uid="{136F3D59-D9E1-42F3-98D6-41D6AD2678F2}"/>
    <cellStyle name="Заголовок 3 4 3" xfId="3761" xr:uid="{6FA27BF7-38D4-421B-903A-FEE8467B095E}"/>
    <cellStyle name="Заголовок 3 4 3 2" xfId="7393" xr:uid="{503CA232-5695-439E-BE18-58032AB21A61}"/>
    <cellStyle name="Заголовок 3 4 3 2 2" xfId="24952" xr:uid="{7A1343A9-08DD-400D-88A9-7C258E3D46CA}"/>
    <cellStyle name="Заголовок 3 4 3 3" xfId="17722" xr:uid="{59F24626-0C48-4E42-9A4D-F806199B1387}"/>
    <cellStyle name="Заголовок 3 4 3 3 2" xfId="33444" xr:uid="{88C8A176-E051-48C9-828D-624963BC5CBD}"/>
    <cellStyle name="Заголовок 3 4 3 4" xfId="17801" xr:uid="{D0579FF9-05D6-4476-A597-7D5D7FBC6BCB}"/>
    <cellStyle name="Заголовок 3 4 3 4 2" xfId="33522" xr:uid="{50C85E88-8A53-41C9-B81D-92F4A0989D61}"/>
    <cellStyle name="Заголовок 3 4 3 5" xfId="20475" xr:uid="{CD76840E-FCF2-42D8-A713-6BEBA2C6643F}"/>
    <cellStyle name="Заголовок 3 4 4" xfId="4006" xr:uid="{3BC0610B-F42A-42E6-B94B-3C0B2470B7DA}"/>
    <cellStyle name="Заголовок 3 4 4 2" xfId="21850" xr:uid="{BFA1EBAB-26E8-4A3F-8544-87904BF87EF0}"/>
    <cellStyle name="Заголовок 4 1" xfId="2331" xr:uid="{BA87CE2B-F6F9-4892-B46F-E79A3FDBE06F}"/>
    <cellStyle name="Заголовок 4 2" xfId="2332" xr:uid="{30F432C3-A99F-4482-BF57-D1F01A5125D8}"/>
    <cellStyle name="Заголовок 4 3" xfId="2333" xr:uid="{7A68948A-2459-4EF5-A25B-4364E660C89C}"/>
    <cellStyle name="Заголовок 4 4" xfId="2334" xr:uid="{15AF9FE3-9895-4A71-8243-98C2F37EA42E}"/>
    <cellStyle name="Защитный" xfId="2335" xr:uid="{ABB17EF2-2948-422F-98CA-3D7E888ED1B6}"/>
    <cellStyle name="Защитный 2" xfId="3564" xr:uid="{96D9A6E1-C23F-4010-9795-212ECA162342}"/>
    <cellStyle name="Защитный 2 2" xfId="5044" xr:uid="{2F8FEF0C-4A04-45B1-9870-42B8BDCF619C}"/>
    <cellStyle name="Защитный 2 2 2" xfId="9647" xr:uid="{E1460C65-3BD3-4AC0-A355-ACAA0465BCF5}"/>
    <cellStyle name="Защитный 2 2 2 2" xfId="40067" xr:uid="{F6E2F5C0-A95C-4E71-B8CB-0B22E9CD4330}"/>
    <cellStyle name="Защитный 2 2 3" xfId="35859" xr:uid="{CA9CAAD2-5BA4-41DD-93DB-25D2A7578071}"/>
    <cellStyle name="Защитный 2 3" xfId="5015" xr:uid="{0A033D38-7B8B-42D9-A2CE-813F0B36F11D}"/>
    <cellStyle name="Защитный 2 3 2" xfId="9642" xr:uid="{1FFBED7C-C48C-4B6C-94F6-538F1D74D0C7}"/>
    <cellStyle name="Защитный 2 3 2 2" xfId="40064" xr:uid="{FAE2EF7E-54E7-45E9-9960-8E755BFE6CCC}"/>
    <cellStyle name="Защитный 2 3 3" xfId="35839" xr:uid="{6031C17B-F286-4C10-AE4B-F7FE44182FD2}"/>
    <cellStyle name="Защитный 2 4" xfId="5214" xr:uid="{685D40F7-7BF3-4729-BECC-C394FECCC14B}"/>
    <cellStyle name="Защитный 2 4 2" xfId="9677" xr:uid="{2E322373-DDD0-4F13-9866-5A368ABF1DC3}"/>
    <cellStyle name="Защитный 2 4 2 2" xfId="40094" xr:uid="{CAD59404-A484-418B-A9A4-D9668E41945E}"/>
    <cellStyle name="Защитный 2 4 3" xfId="35958" xr:uid="{6A8A5493-E3F4-4604-B3EE-2486D2C9ED78}"/>
    <cellStyle name="Защитный 2 5" xfId="5309" xr:uid="{F68F130C-9E84-4A16-843C-6C4A2C0FE0A9}"/>
    <cellStyle name="Защитный 2 5 2" xfId="9741" xr:uid="{4F3EE1AD-5A10-48AB-8108-FF9140DEC746}"/>
    <cellStyle name="Защитный 2 5 2 2" xfId="40157" xr:uid="{971207A7-099D-44EB-AF62-CC673C968C5E}"/>
    <cellStyle name="Защитный 2 5 3" xfId="36038" xr:uid="{9D29CF1A-163E-4CB0-8655-5B02A531F93C}"/>
    <cellStyle name="Защитный 2 6" xfId="9459" xr:uid="{C9D5B641-CEDF-489B-85D1-97FC7C918627}"/>
    <cellStyle name="Защитный 2 6 2" xfId="39923" xr:uid="{5312FCB1-0A29-4788-9C45-8F179087AF87}"/>
    <cellStyle name="Защитный 2 7" xfId="34575" xr:uid="{48E59800-7741-49FD-90E3-4DFA423DA486}"/>
    <cellStyle name="Защитный 3" xfId="5076" xr:uid="{582C474E-26CD-405D-94AA-6DDA8610BCAA}"/>
    <cellStyle name="Защитный 3 2" xfId="5070" xr:uid="{B3CE9584-AA52-4979-9381-B6FFED48E2EC}"/>
    <cellStyle name="Защитный 3 2 2" xfId="9652" xr:uid="{98A52477-5BDB-4B7E-AA4F-91FF965CBADE}"/>
    <cellStyle name="Защитный 3 2 2 2" xfId="40072" xr:uid="{16D5AD34-4B53-4C94-BD8E-FDDA233F3D13}"/>
    <cellStyle name="Защитный 3 2 3" xfId="35880" xr:uid="{62D1A0D0-DB92-4700-83C6-E88FABDB970F}"/>
    <cellStyle name="Защитный 3 3" xfId="5022" xr:uid="{36737DE8-59FC-414C-BA88-DCB5BF5657EC}"/>
    <cellStyle name="Защитный 3 3 2" xfId="9643" xr:uid="{60CAB690-45C5-474C-8B8F-D5AC106D8620}"/>
    <cellStyle name="Защитный 3 3 2 2" xfId="40065" xr:uid="{309EEE1A-BA57-4CCF-91AB-F8AAA4EFF7C7}"/>
    <cellStyle name="Защитный 3 3 3" xfId="35845" xr:uid="{96B8CB2E-83BB-4E0B-9608-05AE8601C98F}"/>
    <cellStyle name="Защитный 3 4" xfId="4965" xr:uid="{4125CFC1-9EED-4D4E-9450-5B83B07786D8}"/>
    <cellStyle name="Защитный 3 4 2" xfId="9637" xr:uid="{8FF868E3-C264-48EE-9C7A-6AD6A3469B6B}"/>
    <cellStyle name="Защитный 3 4 2 2" xfId="40061" xr:uid="{296E3AE0-7BBE-493E-BFE8-CEDE3B76CC15}"/>
    <cellStyle name="Защитный 3 4 3" xfId="35799" xr:uid="{7EFDDAF2-E9E9-4235-845E-2C17E0F2D6E2}"/>
    <cellStyle name="Защитный 3 5" xfId="9657" xr:uid="{4A106072-884C-4AAC-8463-2619A83859E5}"/>
    <cellStyle name="Защитный 3 5 2" xfId="40077" xr:uid="{4C8D6B68-0ED0-4DFC-A4C9-B3E2B76B9BD5}"/>
    <cellStyle name="Защитный 3 6" xfId="35885" xr:uid="{FA49C373-B320-49BD-A576-1BE8348D5A1E}"/>
    <cellStyle name="Защитный 4" xfId="5279" xr:uid="{EC5DF2FD-CA03-467E-ADDF-7227B214F7BD}"/>
    <cellStyle name="Защитный 4 2" xfId="9712" xr:uid="{1040B7B3-348D-4B7B-8038-A239C189657F}"/>
    <cellStyle name="Защитный 4 2 2" xfId="40128" xr:uid="{6B509C09-00EC-425F-8293-0BB1DF7B274A}"/>
    <cellStyle name="Защитный 4 3" xfId="36009" xr:uid="{CDA7B0A2-4C8A-4AAE-9755-B1B752D33069}"/>
    <cellStyle name="Защитный 5" xfId="9384" xr:uid="{04BBF76C-4E42-42FA-9700-E3721BDFDE15}"/>
    <cellStyle name="Защитный 5 2" xfId="39878" xr:uid="{3075FF64-9276-48B9-9464-F9BC9CFCEF9D}"/>
    <cellStyle name="Защитный 6" xfId="33569" xr:uid="{ED0AA181-CF37-4F8F-83F7-6F2F3ACE5799}"/>
    <cellStyle name="Значение сводной таблицы" xfId="26" xr:uid="{5AB693C1-4A41-433F-99DD-BFE9CE35D5D6}"/>
    <cellStyle name="Значение сводной таблицы 2" xfId="10535" xr:uid="{1904218A-79E1-4721-A523-499D5FA9E63B}"/>
    <cellStyle name="Итог 1" xfId="2336" xr:uid="{196D500A-8B6D-4C27-A721-A1AA80A243A8}"/>
    <cellStyle name="Итог 1 10" xfId="3741" xr:uid="{DC48EBD0-EB66-4B26-B8A4-9D5FE267025F}"/>
    <cellStyle name="Итог 1 10 2" xfId="3055" xr:uid="{ADE578EE-3C8F-4D3C-ABE9-757D650E5A74}"/>
    <cellStyle name="Итог 1 10 2 2" xfId="8351" xr:uid="{06BA7185-8021-4F6E-A683-E852F7B5E20A}"/>
    <cellStyle name="Итог 1 10 2 2 2" xfId="13360" xr:uid="{97B0D6BB-123E-4330-9ED8-0F910251655A}"/>
    <cellStyle name="Итог 1 10 2 2 2 2" xfId="29837" xr:uid="{9E83798A-C499-4083-AB10-490E48DB25AA}"/>
    <cellStyle name="Итог 1 10 2 2 2 3" xfId="43171" xr:uid="{AFC90C6B-D0B9-49A0-AF6C-665AB8106BBE}"/>
    <cellStyle name="Итог 1 10 2 2 3" xfId="25855" xr:uid="{9D8C0AC1-8637-4C00-B1DE-19F28A9E0877}"/>
    <cellStyle name="Итог 1 10 2 2 4" xfId="38931" xr:uid="{9B64F9A1-EE25-428A-ABAF-D962F22D779A}"/>
    <cellStyle name="Итог 1 10 2 3" xfId="6718" xr:uid="{F5761DB6-CA72-4FC5-AF05-539CBF5512B9}"/>
    <cellStyle name="Итог 1 10 2 3 2" xfId="13000" xr:uid="{242D25FF-9979-4EAF-ACEB-DD177D01DCCA}"/>
    <cellStyle name="Итог 1 10 2 3 2 2" xfId="29536" xr:uid="{291A8936-1EF6-44BB-B66F-B6C94F000A26}"/>
    <cellStyle name="Итог 1 10 2 3 2 3" xfId="42837" xr:uid="{6022CE3F-9A95-409C-AAE9-87D69AB5E464}"/>
    <cellStyle name="Итог 1 10 2 3 3" xfId="24346" xr:uid="{CA376DC8-DA2B-4D76-AA00-223CF9AD5811}"/>
    <cellStyle name="Итог 1 10 2 3 4" xfId="37427" xr:uid="{C0584A7A-45D9-4116-90D3-DC22AA3E3F73}"/>
    <cellStyle name="Итог 1 10 2 4" xfId="12191" xr:uid="{3DBEF16E-BD8C-4199-B24E-6D456F2A9EDD}"/>
    <cellStyle name="Итог 1 10 2 4 2" xfId="28883" xr:uid="{7EC3D2BC-E156-46C6-96DE-74F5DD8FB134}"/>
    <cellStyle name="Итог 1 10 2 4 3" xfId="42110" xr:uid="{5217C59F-5247-4AB6-AE4C-AF866A120242}"/>
    <cellStyle name="Итог 1 10 2 5" xfId="21098" xr:uid="{84530433-FF94-4BF3-8C23-5F657A59E247}"/>
    <cellStyle name="Итог 1 10 2 6" xfId="34121" xr:uid="{52D988B3-C348-43CF-9E0E-A18F74CEECE4}"/>
    <cellStyle name="Итог 1 10 3" xfId="4632" xr:uid="{44E79961-8603-4236-8B9E-21BCC64DBD8A}"/>
    <cellStyle name="Итог 1 10 3 2" xfId="7376" xr:uid="{8C59BDFB-BBE0-4AF6-BE79-BBD61B5D2965}"/>
    <cellStyle name="Итог 1 10 3 2 2" xfId="16838" xr:uid="{754C3E67-7FD9-4591-BAC0-055FCB0A51A8}"/>
    <cellStyle name="Итог 1 10 3 2 2 2" xfId="32716" xr:uid="{F9EE88D0-C0B3-4726-91BA-0D26152F9426}"/>
    <cellStyle name="Итог 1 10 3 2 2 3" xfId="46380" xr:uid="{59CA00C1-47D8-46DA-B739-99654E145E7C}"/>
    <cellStyle name="Итог 1 10 3 2 3" xfId="24935" xr:uid="{B4FE42B6-114A-4D69-8D54-E69B01715920}"/>
    <cellStyle name="Итог 1 10 3 2 4" xfId="38013" xr:uid="{09949B9D-406D-4548-8EA8-B3FB4AE7E01B}"/>
    <cellStyle name="Итог 1 10 3 3" xfId="15211" xr:uid="{E9905BB8-322D-4125-A244-098EDD7CEB77}"/>
    <cellStyle name="Итог 1 10 3 3 2" xfId="31392" xr:uid="{FA0C2260-C012-4968-85F3-C782C0383F6E}"/>
    <cellStyle name="Итог 1 10 3 3 3" xfId="44864" xr:uid="{98399EBD-6BF0-462C-B7C5-0CCB58321BB3}"/>
    <cellStyle name="Итог 1 10 3 4" xfId="22442" xr:uid="{345A2732-1FE4-4C4F-9F15-FB355400EBF0}"/>
    <cellStyle name="Итог 1 10 3 5" xfId="35495" xr:uid="{DBE14086-9CDD-41AC-835A-DE2935C2A818}"/>
    <cellStyle name="Итог 1 10 4" xfId="5746" xr:uid="{9F51CEAC-F6F5-48A8-8AB9-70F438012FB2}"/>
    <cellStyle name="Итог 1 10 4 2" xfId="8935" xr:uid="{7ED48AD0-F088-4354-A830-6813574D8B6C}"/>
    <cellStyle name="Итог 1 10 4 2 2" xfId="14590" xr:uid="{D143BC67-8C4F-45B4-AEFB-B2494BC26635}"/>
    <cellStyle name="Итог 1 10 4 2 2 2" xfId="30890" xr:uid="{463CA274-0188-4EB7-8BDA-2CB66C46D3AF}"/>
    <cellStyle name="Итог 1 10 4 2 2 3" xfId="44309" xr:uid="{7C907FD7-ACB1-4937-8F47-E7904B497D3A}"/>
    <cellStyle name="Итог 1 10 4 2 3" xfId="26421" xr:uid="{42B5195A-B96E-41BA-8F92-9B1C5F551E46}"/>
    <cellStyle name="Итог 1 10 4 2 4" xfId="39497" xr:uid="{152186C1-5CF8-407A-8A42-33318DA55047}"/>
    <cellStyle name="Итог 1 10 4 3" xfId="17183" xr:uid="{61FD86D5-04BD-4214-94FF-5B699951A8D9}"/>
    <cellStyle name="Итог 1 10 4 3 2" xfId="32946" xr:uid="{3EC77849-222C-40D6-9969-DCF1A2F57A0E}"/>
    <cellStyle name="Итог 1 10 4 3 3" xfId="46718" xr:uid="{9B87CEF1-503F-413B-8048-2C4785877848}"/>
    <cellStyle name="Итог 1 10 4 4" xfId="23393" xr:uid="{6D4474EE-ECDA-459E-B382-AD606F08106A}"/>
    <cellStyle name="Итог 1 10 4 5" xfId="36474" xr:uid="{3D36C562-32F0-4BAE-AAF1-04248D44FA01}"/>
    <cellStyle name="Итог 1 10 5" xfId="12850" xr:uid="{413CC3F8-03CA-4E2D-B54D-6B4A9FF2414B}"/>
    <cellStyle name="Итог 1 10 5 2" xfId="29418" xr:uid="{C63CCAAA-A34D-4014-8B68-79CB6C2946B2}"/>
    <cellStyle name="Итог 1 10 5 3" xfId="42703" xr:uid="{5C8498B2-9BB6-4A0A-A352-B078AAD82ED0}"/>
    <cellStyle name="Итог 1 10 6" xfId="21655" xr:uid="{1EAACF82-25D1-4BF9-AE8E-6C72E70DD904}"/>
    <cellStyle name="Итог 1 10 7" xfId="34709" xr:uid="{389BFB0A-778E-4420-9AEA-133F9ED9E24E}"/>
    <cellStyle name="Итог 1 11" xfId="3551" xr:uid="{3F70026F-EA8E-47C3-82FD-1177F88F4996}"/>
    <cellStyle name="Итог 1 11 2" xfId="2892" xr:uid="{513F390B-7AD2-42E8-9438-A8F1A8F2DBF8}"/>
    <cellStyle name="Итог 1 11 2 2" xfId="8188" xr:uid="{B91F98F4-8380-4F9E-9A55-4421E0F5F507}"/>
    <cellStyle name="Итог 1 11 2 2 2" xfId="16892" xr:uid="{3E558F12-8E00-4773-A693-2E0DF0944854}"/>
    <cellStyle name="Итог 1 11 2 2 2 2" xfId="32768" xr:uid="{127B1282-F095-4D17-9BCD-9A4A24AA09DE}"/>
    <cellStyle name="Итог 1 11 2 2 2 3" xfId="46434" xr:uid="{903D497B-0F8E-4731-8D56-F967BE11400C}"/>
    <cellStyle name="Итог 1 11 2 2 3" xfId="25699" xr:uid="{15ACAB67-37BE-42BA-9899-2FF1D68E35B6}"/>
    <cellStyle name="Итог 1 11 2 2 4" xfId="38775" xr:uid="{94BED03F-B677-4665-AAAC-5CCB1DF4C117}"/>
    <cellStyle name="Итог 1 11 2 3" xfId="6555" xr:uid="{93A54A5A-A01A-45D6-8F70-D6F2C9DF4868}"/>
    <cellStyle name="Итог 1 11 2 3 2" xfId="16669" xr:uid="{A47EE132-014E-44FF-B28D-3F4EA7EAFE05}"/>
    <cellStyle name="Итог 1 11 2 3 2 2" xfId="32562" xr:uid="{FB1411B8-C173-4615-A69D-34E10876CAB0}"/>
    <cellStyle name="Итог 1 11 2 3 2 3" xfId="46216" xr:uid="{B155972A-89A4-4AB7-8F6B-CD0EB53C7161}"/>
    <cellStyle name="Итог 1 11 2 3 3" xfId="24190" xr:uid="{7C52929E-A27B-4622-985F-301AEC619E2D}"/>
    <cellStyle name="Итог 1 11 2 3 4" xfId="37271" xr:uid="{CC03C332-4767-4DD6-B50D-907EFEDDAF0C}"/>
    <cellStyle name="Итог 1 11 2 4" xfId="13647" xr:uid="{9F7AE540-646B-4C05-8E6B-1CB3111589B0}"/>
    <cellStyle name="Итог 1 11 2 4 2" xfId="30077" xr:uid="{3A561F94-9A13-4A91-8827-27B03209DC9E}"/>
    <cellStyle name="Итог 1 11 2 4 3" xfId="43435" xr:uid="{CAC04332-92FB-4C7A-95B2-07CAB6129991}"/>
    <cellStyle name="Итог 1 11 2 5" xfId="20942" xr:uid="{FD5491A4-B8C7-4B3C-BBD7-65A08F3D93D7}"/>
    <cellStyle name="Итог 1 11 2 6" xfId="33965" xr:uid="{82938700-5D34-4FE1-BDD3-6998279C2B32}"/>
    <cellStyle name="Итог 1 11 3" xfId="4654" xr:uid="{8A8AD640-FC2D-4681-AFAE-B3B6A63F5EC7}"/>
    <cellStyle name="Итог 1 11 3 2" xfId="7193" xr:uid="{25449B13-197F-4E44-A3FC-1105D11FEDCB}"/>
    <cellStyle name="Итог 1 11 3 2 2" xfId="13106" xr:uid="{CBB65196-67CF-4CF5-82E3-0FB877996BD3}"/>
    <cellStyle name="Итог 1 11 3 2 2 2" xfId="29621" xr:uid="{95DB52AB-6C61-4189-B598-1F1054040CE1}"/>
    <cellStyle name="Итог 1 11 3 2 2 3" xfId="42932" xr:uid="{68E4E537-DCAE-4DC0-BB0D-3DC4919D49BF}"/>
    <cellStyle name="Итог 1 11 3 2 3" xfId="24790" xr:uid="{99AAAF04-A660-4C5A-9D89-C986AF815A72}"/>
    <cellStyle name="Итог 1 11 3 2 4" xfId="37871" xr:uid="{2236B310-5FE6-4557-B0A0-9230B6CEB153}"/>
    <cellStyle name="Итог 1 11 3 3" xfId="12072" xr:uid="{D241753A-A7E6-4049-8D19-FCA532B35F20}"/>
    <cellStyle name="Итог 1 11 3 3 2" xfId="28772" xr:uid="{DB5EDD0F-82F4-440D-808C-3CC17F46732F}"/>
    <cellStyle name="Итог 1 11 3 3 3" xfId="41992" xr:uid="{37BF6C60-E1EB-4AAB-88C0-C6233613E719}"/>
    <cellStyle name="Итог 1 11 3 4" xfId="22464" xr:uid="{1192CCAE-AC52-4D43-B19D-AF5959C91F28}"/>
    <cellStyle name="Итог 1 11 3 5" xfId="35517" xr:uid="{EB70DEEA-053C-452D-9F48-D447344F6F7B}"/>
    <cellStyle name="Итог 1 11 4" xfId="5604" xr:uid="{D501EE9E-5086-434A-9F8D-11F03C0CF3D1}"/>
    <cellStyle name="Итог 1 11 4 2" xfId="8786" xr:uid="{26BEF72A-E175-4E2D-895D-E80734F72DB9}"/>
    <cellStyle name="Итог 1 11 4 2 2" xfId="12776" xr:uid="{CCC5B0C3-6B50-4BE5-B0B5-B912449AF41F}"/>
    <cellStyle name="Итог 1 11 4 2 2 2" xfId="29351" xr:uid="{FDA4EEC5-FF25-47DD-A50E-3E3D0E57B26C}"/>
    <cellStyle name="Итог 1 11 4 2 2 3" xfId="42631" xr:uid="{5C03022D-33CA-4D4A-925A-D1BFCC54888B}"/>
    <cellStyle name="Итог 1 11 4 2 3" xfId="26279" xr:uid="{9758B474-4398-4AA3-9CDA-47CBE07B2905}"/>
    <cellStyle name="Итог 1 11 4 2 4" xfId="39355" xr:uid="{84CD770E-BF5A-46AA-A575-FEA37C8DC737}"/>
    <cellStyle name="Итог 1 11 4 3" xfId="14383" xr:uid="{09760CEF-1A6B-4A90-9E05-19FF54438F9A}"/>
    <cellStyle name="Итог 1 11 4 3 2" xfId="30715" xr:uid="{A24F8816-F782-41CA-87A0-AD6AB426C04C}"/>
    <cellStyle name="Итог 1 11 4 3 3" xfId="44113" xr:uid="{8044A51E-3A64-490E-9995-8B09034D2F5F}"/>
    <cellStyle name="Итог 1 11 4 4" xfId="23251" xr:uid="{855D1BF2-887A-4A80-A5B2-883EDD1B86FB}"/>
    <cellStyle name="Итог 1 11 4 5" xfId="36332" xr:uid="{102AF189-E08D-4F1E-8E5A-96DF0F68C713}"/>
    <cellStyle name="Итог 1 11 5" xfId="11353" xr:uid="{D1AB6D46-F8E4-4A53-8195-E87E77AE6991}"/>
    <cellStyle name="Итог 1 11 5 2" xfId="28132" xr:uid="{E326692E-F50A-4DD0-82CC-FE8CE5723430}"/>
    <cellStyle name="Итог 1 11 5 3" xfId="41320" xr:uid="{656A8000-873F-4DBD-A7CD-6B4A917C660A}"/>
    <cellStyle name="Итог 1 11 6" xfId="21513" xr:uid="{E27B3C24-0320-4861-BA4A-5ED534A7EC8D}"/>
    <cellStyle name="Итог 1 11 7" xfId="34565" xr:uid="{568F727A-DBC9-4108-832B-0AA578E79A75}"/>
    <cellStyle name="Итог 1 12" xfId="3737" xr:uid="{4A538F03-23DB-45DB-8C26-D40F054EAF20}"/>
    <cellStyle name="Итог 1 12 2" xfId="3051" xr:uid="{BE53BBA7-4006-4324-A103-3809C27BC92A}"/>
    <cellStyle name="Итог 1 12 2 2" xfId="8347" xr:uid="{5CD6C34A-D829-4C56-8E4D-B6D8F328DB39}"/>
    <cellStyle name="Итог 1 12 2 2 2" xfId="15263" xr:uid="{01AF2591-1C43-44E3-84E9-3438E82E8568}"/>
    <cellStyle name="Итог 1 12 2 2 2 2" xfId="31438" xr:uid="{CC42093D-8E89-44B2-8E6B-0564FB96BBAB}"/>
    <cellStyle name="Итог 1 12 2 2 2 3" xfId="44914" xr:uid="{4B85BE65-E852-43F4-9447-0D0FBAEA92FD}"/>
    <cellStyle name="Итог 1 12 2 2 3" xfId="25851" xr:uid="{857203AE-A057-4BE4-AE12-7D6D51FC128D}"/>
    <cellStyle name="Итог 1 12 2 2 4" xfId="38927" xr:uid="{49D8FD07-0DE2-43AB-9103-38CDE02A90EC}"/>
    <cellStyle name="Итог 1 12 2 3" xfId="6714" xr:uid="{53EE4E75-4ECD-41BA-B008-E0EA219AA2CA}"/>
    <cellStyle name="Итог 1 12 2 3 2" xfId="15681" xr:uid="{A119E39F-BEF6-489B-ACF4-B030BDE44925}"/>
    <cellStyle name="Итог 1 12 2 3 2 2" xfId="31794" xr:uid="{EA55E9CC-5B0C-4DE8-8BDA-5CB647DDE5FB}"/>
    <cellStyle name="Итог 1 12 2 3 2 3" xfId="45302" xr:uid="{6FB9AE4F-98D6-4C4E-857A-C6CB85C3B22D}"/>
    <cellStyle name="Итог 1 12 2 3 3" xfId="24342" xr:uid="{23583B1F-A782-4E0E-B639-453B1BCC1A07}"/>
    <cellStyle name="Итог 1 12 2 3 4" xfId="37423" xr:uid="{2BDA3865-80E5-476F-AEA0-D7FE98816A47}"/>
    <cellStyle name="Итог 1 12 2 4" xfId="16107" xr:uid="{6077B7CC-4DD4-498B-B29F-9D1D7FDB975D}"/>
    <cellStyle name="Итог 1 12 2 4 2" xfId="32165" xr:uid="{02F75BBA-A6E7-44A6-94E0-F794F1AB62F4}"/>
    <cellStyle name="Итог 1 12 2 4 3" xfId="45686" xr:uid="{D194E844-F3C3-4F69-9288-964389AE5C91}"/>
    <cellStyle name="Итог 1 12 2 5" xfId="21094" xr:uid="{68038420-FEB1-4E1A-ACE5-7640EA5BB812}"/>
    <cellStyle name="Итог 1 12 2 6" xfId="34117" xr:uid="{AC1AC486-9805-47E0-B709-15E9F24DA1BE}"/>
    <cellStyle name="Итог 1 12 3" xfId="4753" xr:uid="{FA3ADA42-6FA6-4952-A663-860A8E7DF700}"/>
    <cellStyle name="Итог 1 12 3 2" xfId="7372" xr:uid="{6B5A0722-D2CE-4D5D-BE1B-55FAFBD51BFC}"/>
    <cellStyle name="Итог 1 12 3 2 2" xfId="15434" xr:uid="{75B37E20-BB5C-4246-9564-404FF1FEEAE5}"/>
    <cellStyle name="Итог 1 12 3 2 2 2" xfId="31581" xr:uid="{C2AA9504-8B0C-4174-BAD3-26F9AC91121B}"/>
    <cellStyle name="Итог 1 12 3 2 2 3" xfId="45076" xr:uid="{EAC4778C-260B-4F43-8216-4307E9D55697}"/>
    <cellStyle name="Итог 1 12 3 2 3" xfId="24931" xr:uid="{8D87F96A-9537-48C5-8F52-5FED1279A0DA}"/>
    <cellStyle name="Итог 1 12 3 2 4" xfId="38009" xr:uid="{81CC9E56-A4DC-47AF-89EB-0F78CE401055}"/>
    <cellStyle name="Итог 1 12 3 3" xfId="14727" xr:uid="{5A3F02FD-2F74-4A12-AF9B-C6ECCB9D1339}"/>
    <cellStyle name="Итог 1 12 3 3 2" xfId="31010" xr:uid="{50B5C91A-06F1-41EA-AB01-68F3E02A8109}"/>
    <cellStyle name="Итог 1 12 3 3 3" xfId="44435" xr:uid="{205EF6CD-24B5-40C3-8A90-C780D1904BE3}"/>
    <cellStyle name="Итог 1 12 3 4" xfId="22556" xr:uid="{2CA0F988-8FAF-4857-8B47-453DAE82079A}"/>
    <cellStyle name="Итог 1 12 3 5" xfId="35609" xr:uid="{FC131056-0FFF-48FA-85FA-FEA51E882AAB}"/>
    <cellStyle name="Итог 1 12 4" xfId="5742" xr:uid="{2355F783-4185-4744-B13B-B24B5329C64A}"/>
    <cellStyle name="Итог 1 12 4 2" xfId="8931" xr:uid="{E6E24E3E-BD25-41E8-AEFB-933415F8AECC}"/>
    <cellStyle name="Итог 1 12 4 2 2" xfId="11428" xr:uid="{0E114830-55FC-441C-B56A-8AABE01D609F}"/>
    <cellStyle name="Итог 1 12 4 2 2 2" xfId="28196" xr:uid="{142CEBFB-6A33-464D-8127-2A6D735F1302}"/>
    <cellStyle name="Итог 1 12 4 2 2 3" xfId="41387" xr:uid="{7746C83A-469D-4144-BE35-DA8DC65CAB3E}"/>
    <cellStyle name="Итог 1 12 4 2 3" xfId="26417" xr:uid="{96DEBB10-5BEF-4E80-87EA-8EE683A39A65}"/>
    <cellStyle name="Итог 1 12 4 2 4" xfId="39493" xr:uid="{5644EB8C-F0A6-40A2-8D9D-31B655F1EB72}"/>
    <cellStyle name="Итог 1 12 4 3" xfId="12214" xr:uid="{DE4D5C85-E427-43ED-AC3D-13FE0817952C}"/>
    <cellStyle name="Итог 1 12 4 3 2" xfId="28901" xr:uid="{87C16DC5-E821-40C7-81C1-0FACA90709FF}"/>
    <cellStyle name="Итог 1 12 4 3 3" xfId="42131" xr:uid="{B7BFE8CD-162B-498C-910E-E256B6CB2A72}"/>
    <cellStyle name="Итог 1 12 4 4" xfId="23389" xr:uid="{0E0E7F0A-E6DC-4AA0-ABAE-8C53A2E9C1E2}"/>
    <cellStyle name="Итог 1 12 4 5" xfId="36470" xr:uid="{66DCA5CB-091C-4A10-B9BE-E3C1673AAB4E}"/>
    <cellStyle name="Итог 1 12 5" xfId="14668" xr:uid="{FACC2EFE-EAF8-4927-B9FC-B1ABEE5D5BC9}"/>
    <cellStyle name="Итог 1 12 5 2" xfId="30962" xr:uid="{EBBF005A-D700-4FD0-B1BD-F27BAC1DD58A}"/>
    <cellStyle name="Итог 1 12 5 3" xfId="44383" xr:uid="{1C4931D7-7FB1-485A-A5E9-7EE313417EC7}"/>
    <cellStyle name="Итог 1 12 6" xfId="21651" xr:uid="{F22E1A9A-F639-424B-8D75-DCA65B5ADDE0}"/>
    <cellStyle name="Итог 1 12 7" xfId="34705" xr:uid="{22AA1FBB-772B-4C5C-A629-3D65B5B5B250}"/>
    <cellStyle name="Итог 1 13" xfId="3731" xr:uid="{1A48CD39-D080-4E14-9431-BC9C9DAE996C}"/>
    <cellStyle name="Итог 1 13 2" xfId="3047" xr:uid="{32A4902B-06D7-47B0-8681-249227FF8383}"/>
    <cellStyle name="Итог 1 13 2 2" xfId="8343" xr:uid="{4AE5C052-6663-4C56-83B6-242B8175908B}"/>
    <cellStyle name="Итог 1 13 2 2 2" xfId="16083" xr:uid="{72BCB3F5-0C2D-46C2-A221-3DCE3A16181B}"/>
    <cellStyle name="Итог 1 13 2 2 2 2" xfId="32143" xr:uid="{02E38E9A-7AC7-4326-86BE-F69A37CEA191}"/>
    <cellStyle name="Итог 1 13 2 2 2 3" xfId="45663" xr:uid="{48AEE0A0-3420-4D79-A27A-7A482653BBD7}"/>
    <cellStyle name="Итог 1 13 2 2 3" xfId="25847" xr:uid="{C0E909F0-5588-449E-B9A2-9D6315494A65}"/>
    <cellStyle name="Итог 1 13 2 2 4" xfId="38923" xr:uid="{D6B24EAE-E066-4132-A14F-09CAEB275EFC}"/>
    <cellStyle name="Итог 1 13 2 3" xfId="6710" xr:uid="{4A9BDFDC-5E03-4339-A19F-8336A54D9DF6}"/>
    <cellStyle name="Итог 1 13 2 3 2" xfId="11013" xr:uid="{71247F2A-9F03-4BD0-8D74-F8A4E5A5B382}"/>
    <cellStyle name="Итог 1 13 2 3 2 2" xfId="27820" xr:uid="{F8652F33-C18A-46BE-96F8-2C54B97651C4}"/>
    <cellStyle name="Итог 1 13 2 3 2 3" xfId="40993" xr:uid="{FDBEB53E-6AD1-4AC7-8BFC-F306F56BF44A}"/>
    <cellStyle name="Итог 1 13 2 3 3" xfId="24338" xr:uid="{9D0CC2CA-390F-49F9-A73A-0AA223B8C159}"/>
    <cellStyle name="Итог 1 13 2 3 4" xfId="37419" xr:uid="{E7363414-62B9-4A5D-99E3-D615B288D478}"/>
    <cellStyle name="Итог 1 13 2 4" xfId="14508" xr:uid="{5EB14E44-27F6-4150-A961-4E1DA682D87D}"/>
    <cellStyle name="Итог 1 13 2 4 2" xfId="30827" xr:uid="{A11CC667-7FD1-4D2A-A8D9-AE7CF80C45B9}"/>
    <cellStyle name="Итог 1 13 2 4 3" xfId="44236" xr:uid="{2864E71A-F981-4D0E-8CE6-DD907C722F33}"/>
    <cellStyle name="Итог 1 13 2 5" xfId="21090" xr:uid="{A8552F61-E881-4902-B5B3-C784E4F56C11}"/>
    <cellStyle name="Итог 1 13 2 6" xfId="34113" xr:uid="{3DE0A519-32ED-4BF7-9852-82201DE97CB7}"/>
    <cellStyle name="Итог 1 13 3" xfId="4749" xr:uid="{36128CFB-0A6F-4F7C-92A6-A60DD2726E07}"/>
    <cellStyle name="Итог 1 13 3 2" xfId="7366" xr:uid="{121621EC-4B7F-4E78-8961-70845FF83108}"/>
    <cellStyle name="Итог 1 13 3 2 2" xfId="11146" xr:uid="{217590BC-7AA8-4A00-AABC-E83DF14DE1EE}"/>
    <cellStyle name="Итог 1 13 3 2 2 2" xfId="27943" xr:uid="{D5AEDB3E-9210-47BB-BFE6-047681830D61}"/>
    <cellStyle name="Итог 1 13 3 2 2 3" xfId="41124" xr:uid="{1D3E7B5C-438E-49B4-B96C-EEC7EF6AEF54}"/>
    <cellStyle name="Итог 1 13 3 2 3" xfId="24925" xr:uid="{87790C62-FABD-43DE-9009-0DBCEB51E693}"/>
    <cellStyle name="Итог 1 13 3 2 4" xfId="38005" xr:uid="{0F12992F-A0A6-42C7-98E0-D64A0571F299}"/>
    <cellStyle name="Итог 1 13 3 3" xfId="14161" xr:uid="{3C6E31BF-81CB-483D-9FEB-20EEF4AB084D}"/>
    <cellStyle name="Итог 1 13 3 3 2" xfId="30517" xr:uid="{223FAC8C-8071-4D40-92C7-2DD3A6B5F40D}"/>
    <cellStyle name="Итог 1 13 3 3 3" xfId="43903" xr:uid="{C4465D14-6C7E-43BC-917C-69F5B39AD8DA}"/>
    <cellStyle name="Итог 1 13 3 4" xfId="22552" xr:uid="{B78C6976-DB0C-4965-A5C0-7C803DEECCD3}"/>
    <cellStyle name="Итог 1 13 3 5" xfId="35605" xr:uid="{F512546F-A7F6-4E68-8872-2A1E2E2003E8}"/>
    <cellStyle name="Итог 1 13 4" xfId="5738" xr:uid="{6BB166E3-FF97-409F-AF2C-6BB9511308C6}"/>
    <cellStyle name="Итог 1 13 4 2" xfId="8927" xr:uid="{885ECCAB-6D2B-444C-89A4-487BE6747D33}"/>
    <cellStyle name="Итог 1 13 4 2 2" xfId="12309" xr:uid="{8693734A-E653-48EF-8DEA-CA81CC6211BB}"/>
    <cellStyle name="Итог 1 13 4 2 2 2" xfId="28981" xr:uid="{81C51965-5012-478E-A826-D5842002929D}"/>
    <cellStyle name="Итог 1 13 4 2 2 3" xfId="42218" xr:uid="{F11A5D1C-EB47-4BD1-A2F2-A46070CB3FF6}"/>
    <cellStyle name="Итог 1 13 4 2 3" xfId="26413" xr:uid="{527C9B1C-DE58-40AE-B1E3-1FAC1FCDBD5D}"/>
    <cellStyle name="Итог 1 13 4 2 4" xfId="39489" xr:uid="{A4F6A3FD-00FD-4B6E-BE07-D6ADEC229097}"/>
    <cellStyle name="Итог 1 13 4 3" xfId="13115" xr:uid="{720D3350-E191-48DB-A12B-BB93F0A9D7C4}"/>
    <cellStyle name="Итог 1 13 4 3 2" xfId="29630" xr:uid="{457ECB65-CFEE-47D6-9A03-56E24F436174}"/>
    <cellStyle name="Итог 1 13 4 3 3" xfId="42941" xr:uid="{12F3A54E-E6F4-47FE-B7FC-0C6E39D4A43B}"/>
    <cellStyle name="Итог 1 13 4 4" xfId="23385" xr:uid="{B2FCB409-E83B-4740-98E2-52396A937B43}"/>
    <cellStyle name="Итог 1 13 4 5" xfId="36466" xr:uid="{E51E2137-5B3C-449B-B3B4-ABAFF270BBB2}"/>
    <cellStyle name="Итог 1 13 5" xfId="14772" xr:uid="{A31EC76A-291E-47B3-A238-7751F9DFC7A6}"/>
    <cellStyle name="Итог 1 13 5 2" xfId="31042" xr:uid="{05A5ABC9-F461-44E9-AEBB-F8E025BF6CBE}"/>
    <cellStyle name="Итог 1 13 5 3" xfId="44473" xr:uid="{B8A8B1AB-F759-4ED8-84FB-5D7BC1AC22B3}"/>
    <cellStyle name="Итог 1 13 6" xfId="21647" xr:uid="{E0B45EDC-2A7E-4112-B1C6-1384E8D2D190}"/>
    <cellStyle name="Итог 1 13 7" xfId="34701" xr:uid="{A8DB8CFA-443E-4668-BC2A-39266E0108CC}"/>
    <cellStyle name="Итог 1 14" xfId="3838" xr:uid="{92ABAE5A-7A5A-4175-87BE-1FD74AD70D4D}"/>
    <cellStyle name="Итог 1 14 2" xfId="3101" xr:uid="{1B3124D7-1B68-4511-A48F-572E12290E7D}"/>
    <cellStyle name="Итог 1 14 2 2" xfId="8393" xr:uid="{CD368385-8E1A-40CC-BBAF-13F528B40AD9}"/>
    <cellStyle name="Итог 1 14 2 2 2" xfId="14098" xr:uid="{C8F85B84-9B42-439D-A38A-CA03930C6CB9}"/>
    <cellStyle name="Итог 1 14 2 2 2 2" xfId="30465" xr:uid="{199F6C63-CC70-4D0A-B302-89A239E34547}"/>
    <cellStyle name="Итог 1 14 2 2 2 3" xfId="43848" xr:uid="{E94B2FFC-EF5F-4209-9CB9-077A79B1178F}"/>
    <cellStyle name="Итог 1 14 2 2 3" xfId="25895" xr:uid="{6DDE8316-8759-4B99-88CB-16EDA6D27AC4}"/>
    <cellStyle name="Итог 1 14 2 2 4" xfId="38971" xr:uid="{E72D6151-662E-426E-B3EE-DE870FBB113F}"/>
    <cellStyle name="Итог 1 14 2 3" xfId="6760" xr:uid="{F05B083E-A594-4CEF-AE62-866A13E163A1}"/>
    <cellStyle name="Итог 1 14 2 3 2" xfId="12296" xr:uid="{63CCECAD-0F29-491B-9C03-915085FFE76E}"/>
    <cellStyle name="Итог 1 14 2 3 2 2" xfId="28970" xr:uid="{F995ED74-1BD5-4548-8A89-B5A8AF9D60D3}"/>
    <cellStyle name="Итог 1 14 2 3 2 3" xfId="42207" xr:uid="{249A4EC8-0900-4ABD-8214-4EFF5BDBB537}"/>
    <cellStyle name="Итог 1 14 2 3 3" xfId="24386" xr:uid="{39BF8D8D-D7FC-4EB6-BA8C-7F7B9A71217A}"/>
    <cellStyle name="Итог 1 14 2 3 4" xfId="37467" xr:uid="{228A98E9-EA66-4AC7-9AA9-10373CF967AF}"/>
    <cellStyle name="Итог 1 14 2 4" xfId="15658" xr:uid="{A3B9E153-6A8F-4119-8CC9-FC67AFE72115}"/>
    <cellStyle name="Итог 1 14 2 4 2" xfId="31776" xr:uid="{2FDC2C0F-6951-46B8-B031-27860FFC5BD6}"/>
    <cellStyle name="Итог 1 14 2 4 3" xfId="45281" xr:uid="{0D607825-3207-4A03-AF1B-39EC9369249B}"/>
    <cellStyle name="Итог 1 14 2 5" xfId="21138" xr:uid="{FCC7B27E-DB9F-41FD-AB47-E8A8D895D988}"/>
    <cellStyle name="Итог 1 14 2 6" xfId="34161" xr:uid="{14F66C52-222E-492C-B746-396031C142FC}"/>
    <cellStyle name="Итог 1 14 3" xfId="4783" xr:uid="{54DE523D-0550-414C-980B-D4BF40892260}"/>
    <cellStyle name="Итог 1 14 3 2" xfId="7425" xr:uid="{ACB6515A-E28D-45DC-AA38-1AE8CC36EE6F}"/>
    <cellStyle name="Итог 1 14 3 2 2" xfId="16262" xr:uid="{04FC3B8A-1980-4F9F-8F14-AE205D64AF79}"/>
    <cellStyle name="Итог 1 14 3 2 2 2" xfId="32296" xr:uid="{15B438E0-28E2-4E6A-9524-FCD37EB0C6B7}"/>
    <cellStyle name="Итог 1 14 3 2 2 3" xfId="45825" xr:uid="{7D13A087-4E90-4EAC-A668-F5D33BB4E935}"/>
    <cellStyle name="Итог 1 14 3 2 3" xfId="24982" xr:uid="{FD0F4EED-A28F-4928-ADB7-F387AC507EBF}"/>
    <cellStyle name="Итог 1 14 3 2 4" xfId="38058" xr:uid="{071E8804-3D2F-4EA4-8453-EDBDA8867434}"/>
    <cellStyle name="Итог 1 14 3 3" xfId="14317" xr:uid="{E9D493CC-5695-49D6-8265-CC8DC70B9CF5}"/>
    <cellStyle name="Итог 1 14 3 3 2" xfId="30654" xr:uid="{8199CF33-84EB-4DDC-A9EF-2335A88AB878}"/>
    <cellStyle name="Итог 1 14 3 3 3" xfId="44048" xr:uid="{0B806F5B-C65C-4C1D-9F76-BF6C846EAE89}"/>
    <cellStyle name="Итог 1 14 3 4" xfId="22585" xr:uid="{7B2A7B40-7EC9-4566-A270-2E4AE2C43040}"/>
    <cellStyle name="Итог 1 14 3 5" xfId="35638" xr:uid="{EC629F97-17C3-4811-97AD-280E073D220F}"/>
    <cellStyle name="Итог 1 14 4" xfId="5808" xr:uid="{44E5009D-D513-4EC7-9592-25E1B2F4C029}"/>
    <cellStyle name="Итог 1 14 4 2" xfId="8969" xr:uid="{5C76F0AD-B64F-47D8-8230-996D3DCE77ED}"/>
    <cellStyle name="Итог 1 14 4 2 2" xfId="13558" xr:uid="{D54C7B57-0DE1-44DC-A146-2109840E3BE8}"/>
    <cellStyle name="Итог 1 14 4 2 2 2" xfId="30002" xr:uid="{4F9A6879-CFD2-4ABB-819A-6FBD6AA53190}"/>
    <cellStyle name="Итог 1 14 4 2 2 3" xfId="43351" xr:uid="{8FF8310A-6B53-4532-AD6A-AD962A36370D}"/>
    <cellStyle name="Итог 1 14 4 2 3" xfId="26454" xr:uid="{310DFD80-C939-4080-B09E-E91EC987E30C}"/>
    <cellStyle name="Итог 1 14 4 2 4" xfId="39530" xr:uid="{8D028D3C-248D-4B3D-B2F3-11584742D3AE}"/>
    <cellStyle name="Итог 1 14 4 3" xfId="12642" xr:uid="{84D245D1-433C-4679-A6DC-C5DB366C97A5}"/>
    <cellStyle name="Итог 1 14 4 3 2" xfId="29245" xr:uid="{6AA31718-9F2D-41AF-9139-79C932CAE75E}"/>
    <cellStyle name="Итог 1 14 4 3 3" xfId="42513" xr:uid="{91760553-EFDC-4ED1-AEC3-C10A9CED2A30}"/>
    <cellStyle name="Итог 1 14 4 4" xfId="23455" xr:uid="{11A16130-203C-4B30-8F8D-9B24A33D0CFB}"/>
    <cellStyle name="Итог 1 14 4 5" xfId="36536" xr:uid="{4506C61F-95B4-430C-A031-6EE1FB634F00}"/>
    <cellStyle name="Итог 1 14 5" xfId="17293" xr:uid="{3304E717-A5D6-4B08-A26B-FC89927AA7CC}"/>
    <cellStyle name="Итог 1 14 5 2" xfId="33051" xr:uid="{396C4B5B-3279-42CC-8790-0564385DE121}"/>
    <cellStyle name="Итог 1 14 5 3" xfId="46827" xr:uid="{64BC43EA-F0D1-4974-84A6-CD769F354BCD}"/>
    <cellStyle name="Итог 1 14 6" xfId="21717" xr:uid="{BFECEFE0-4C62-485E-A2B5-550062B7C109}"/>
    <cellStyle name="Итог 1 14 7" xfId="34771" xr:uid="{B4B88446-2EDD-49A5-95D4-AB0BAA84BBA3}"/>
    <cellStyle name="Итог 1 15" xfId="3746" xr:uid="{0AF5E107-8FEC-4CA6-96CB-61859670F637}"/>
    <cellStyle name="Итог 1 15 2" xfId="3060" xr:uid="{41B1B541-A3AB-43D6-B019-E095582BB45B}"/>
    <cellStyle name="Итог 1 15 2 2" xfId="8356" xr:uid="{FF9DF6EB-B391-467A-94E1-4F1C2B3F34F7}"/>
    <cellStyle name="Итог 1 15 2 2 2" xfId="17405" xr:uid="{1200F68C-8B33-48C0-BEA0-81491FD99682}"/>
    <cellStyle name="Итог 1 15 2 2 2 2" xfId="33159" xr:uid="{3B0E98FA-18A7-48A1-A55A-3DCCE449CEE2}"/>
    <cellStyle name="Итог 1 15 2 2 2 3" xfId="46935" xr:uid="{B1443A80-4321-4568-AE8C-17534EB32B53}"/>
    <cellStyle name="Итог 1 15 2 2 3" xfId="25860" xr:uid="{2678581C-5E0A-48E4-B3B6-F933A9B990C5}"/>
    <cellStyle name="Итог 1 15 2 2 4" xfId="38936" xr:uid="{A0E1CDED-3763-4A63-9775-15E76DE23569}"/>
    <cellStyle name="Итог 1 15 2 3" xfId="6723" xr:uid="{22B2C179-CAB7-471F-B3A3-F8FECBACEF9B}"/>
    <cellStyle name="Итог 1 15 2 3 2" xfId="13736" xr:uid="{1F5431B8-FCA5-4259-924E-CAD4C3DB6830}"/>
    <cellStyle name="Итог 1 15 2 3 2 2" xfId="30151" xr:uid="{1B707902-4B64-40F1-B454-43AD4531E7EE}"/>
    <cellStyle name="Итог 1 15 2 3 2 3" xfId="43513" xr:uid="{34908478-B60F-4AEB-B3B3-A18077001485}"/>
    <cellStyle name="Итог 1 15 2 3 3" xfId="24351" xr:uid="{5BEE690D-BF20-43EA-8061-A6F1A7F36185}"/>
    <cellStyle name="Итог 1 15 2 3 4" xfId="37432" xr:uid="{184FE33F-44AA-4AA1-A079-0503CF4464AE}"/>
    <cellStyle name="Итог 1 15 2 4" xfId="11806" xr:uid="{A8AD9B35-4C63-4E7C-8BC9-F992DCD15230}"/>
    <cellStyle name="Итог 1 15 2 4 2" xfId="28527" xr:uid="{C852D23F-AFE4-4822-97DC-0F77361E15B0}"/>
    <cellStyle name="Итог 1 15 2 4 3" xfId="41739" xr:uid="{3F613C5C-322E-4BE7-905D-DAB11B9A6161}"/>
    <cellStyle name="Итог 1 15 2 5" xfId="21103" xr:uid="{F660332A-72B2-48E4-973C-034BE05CF8DB}"/>
    <cellStyle name="Итог 1 15 2 6" xfId="34126" xr:uid="{7AE05BE0-9992-41DC-8AD1-85A8237FBD6F}"/>
    <cellStyle name="Итог 1 15 3" xfId="4758" xr:uid="{24217E47-D1F5-4158-855F-8E05D0AF61FE}"/>
    <cellStyle name="Итог 1 15 3 2" xfId="7381" xr:uid="{C8729572-E941-422D-8B2C-F826DA40E6DA}"/>
    <cellStyle name="Итог 1 15 3 2 2" xfId="11252" xr:uid="{FACDE16E-B31D-4FDD-ACEB-6133E633073B}"/>
    <cellStyle name="Итог 1 15 3 2 2 2" xfId="28042" xr:uid="{3BF2D681-B46F-418F-A2A0-B1DF4F1ABDA9}"/>
    <cellStyle name="Итог 1 15 3 2 2 3" xfId="41224" xr:uid="{B43B5582-60B0-4368-BA96-851A6535D6E2}"/>
    <cellStyle name="Итог 1 15 3 2 3" xfId="24940" xr:uid="{7C8CF97A-070C-40D5-A537-B5CF7CC36216}"/>
    <cellStyle name="Итог 1 15 3 2 4" xfId="38018" xr:uid="{92A29DB8-F39C-4225-B77F-92FB81AB0F2F}"/>
    <cellStyle name="Итог 1 15 3 3" xfId="15724" xr:uid="{F8F610F5-6261-44D9-8656-7D25B10F50A5}"/>
    <cellStyle name="Итог 1 15 3 3 2" xfId="31834" xr:uid="{F61088DB-7EFF-4E8D-B483-C57D71D421E9}"/>
    <cellStyle name="Итог 1 15 3 3 3" xfId="45343" xr:uid="{BB945B88-36E0-4BFC-9F77-1887DC2C43F7}"/>
    <cellStyle name="Итог 1 15 3 4" xfId="22561" xr:uid="{02E329A2-D605-4E10-BCFD-13E6A31E7A12}"/>
    <cellStyle name="Итог 1 15 3 5" xfId="35614" xr:uid="{F582518C-BE00-4585-9020-864E03A0CDA2}"/>
    <cellStyle name="Итог 1 15 4" xfId="5751" xr:uid="{176549CA-042F-4FBE-917E-A88680FC25AF}"/>
    <cellStyle name="Итог 1 15 4 2" xfId="8940" xr:uid="{E3DD3EB8-F034-4CD3-9071-58FA6E879090}"/>
    <cellStyle name="Итог 1 15 4 2 2" xfId="13603" xr:uid="{0BD3BBE0-1C5E-4829-B1F1-3A54E6036D66}"/>
    <cellStyle name="Итог 1 15 4 2 2 2" xfId="30043" xr:uid="{4B21C8A9-0E09-4104-86D3-EF836A76A5A4}"/>
    <cellStyle name="Итог 1 15 4 2 2 3" xfId="43395" xr:uid="{26E04944-0522-431E-AA08-8F5169FBD749}"/>
    <cellStyle name="Итог 1 15 4 2 3" xfId="26426" xr:uid="{784ABA10-B543-499F-BE8A-739F1E8E6274}"/>
    <cellStyle name="Итог 1 15 4 2 4" xfId="39502" xr:uid="{FF270102-8E12-41EF-B91B-4B4D76F8E0A2}"/>
    <cellStyle name="Итог 1 15 4 3" xfId="13783" xr:uid="{841368D6-101D-4750-9759-17C33A583425}"/>
    <cellStyle name="Итог 1 15 4 3 2" xfId="30190" xr:uid="{DB3328E8-4487-4C2C-8E79-7E1B692B2704}"/>
    <cellStyle name="Итог 1 15 4 3 3" xfId="43556" xr:uid="{0828B361-49F0-4234-B850-0402B333ACF0}"/>
    <cellStyle name="Итог 1 15 4 4" xfId="23398" xr:uid="{F71C7473-031E-4D24-A213-36350ADAAA84}"/>
    <cellStyle name="Итог 1 15 4 5" xfId="36479" xr:uid="{4DE14CCE-1720-4538-B135-2CEA5EB690CF}"/>
    <cellStyle name="Итог 1 15 5" xfId="11242" xr:uid="{A43B4708-0B97-4888-ABA7-E8E51C3E9DF6}"/>
    <cellStyle name="Итог 1 15 5 2" xfId="28032" xr:uid="{1921912F-20E1-4F8C-8589-A7C8CE177878}"/>
    <cellStyle name="Итог 1 15 5 3" xfId="41214" xr:uid="{A4961B28-99E1-410C-AEC2-B5FC8B0A3E0C}"/>
    <cellStyle name="Итог 1 15 6" xfId="21660" xr:uid="{CFCEBA1D-DF90-40F2-9620-5ADA11F08FB9}"/>
    <cellStyle name="Итог 1 15 7" xfId="34714" xr:uid="{ADDB0DB0-1C07-4ED4-95FF-B7B8B34D0E1E}"/>
    <cellStyle name="Итог 1 16" xfId="3875" xr:uid="{10BA8705-52E5-4F6C-A5A6-EED15A74B92C}"/>
    <cellStyle name="Итог 1 16 2" xfId="3132" xr:uid="{9B7C1651-7BB3-4307-9361-F66334DFD6CE}"/>
    <cellStyle name="Итог 1 16 2 2" xfId="8424" xr:uid="{3C145060-840E-4C43-9DF7-180574D8CE76}"/>
    <cellStyle name="Итог 1 16 2 2 2" xfId="13804" xr:uid="{DDE7F303-F703-4F39-9A6A-9E879907518B}"/>
    <cellStyle name="Итог 1 16 2 2 2 2" xfId="30208" xr:uid="{ED30E495-0369-4D89-BCC6-AC29430560DB}"/>
    <cellStyle name="Итог 1 16 2 2 2 3" xfId="43576" xr:uid="{EBE192A2-5D1F-4EF6-A41B-17F1898B276F}"/>
    <cellStyle name="Итог 1 16 2 2 3" xfId="25926" xr:uid="{CB7FEAE5-D5A1-4867-AC51-DF15324ABD8E}"/>
    <cellStyle name="Итог 1 16 2 2 4" xfId="39002" xr:uid="{FBC0B4D2-D451-467A-9619-2A5A40F8CC21}"/>
    <cellStyle name="Итог 1 16 2 3" xfId="6791" xr:uid="{DE574A95-D3A6-4623-9C33-99EF34C51523}"/>
    <cellStyle name="Итог 1 16 2 3 2" xfId="17359" xr:uid="{72E517BE-F512-415C-9625-A2F586D97778}"/>
    <cellStyle name="Итог 1 16 2 3 2 2" xfId="33113" xr:uid="{5BA97ADE-7CF3-4AD7-B1D4-BA4CFDB42FBA}"/>
    <cellStyle name="Итог 1 16 2 3 2 3" xfId="46889" xr:uid="{685073E9-BC5D-4AFE-9E33-97383BE60A8A}"/>
    <cellStyle name="Итог 1 16 2 3 3" xfId="24417" xr:uid="{9E64F14B-661C-489C-8BAE-3E790AEF956D}"/>
    <cellStyle name="Итог 1 16 2 3 4" xfId="37498" xr:uid="{787A485A-E12C-49B2-8B75-7587A798575D}"/>
    <cellStyle name="Итог 1 16 2 4" xfId="11902" xr:uid="{FCCB9BD6-14C7-4F60-A4C1-FF4A6626AAB8}"/>
    <cellStyle name="Итог 1 16 2 4 2" xfId="28617" xr:uid="{8081421B-6DE7-4729-A3EA-A1A802884C23}"/>
    <cellStyle name="Итог 1 16 2 4 3" xfId="41833" xr:uid="{FE4942FB-AFA9-47A8-8BBB-2393A2FAFDF4}"/>
    <cellStyle name="Итог 1 16 2 5" xfId="21169" xr:uid="{4C9B30E4-9C62-41DC-9C65-9C529099BA47}"/>
    <cellStyle name="Итог 1 16 2 6" xfId="34192" xr:uid="{53EC874D-2267-4E94-A788-3EE5F6EE97C9}"/>
    <cellStyle name="Итог 1 16 3" xfId="4812" xr:uid="{296C796B-8A5B-40D0-8EE6-CE679D9C65D3}"/>
    <cellStyle name="Итог 1 16 3 2" xfId="7456" xr:uid="{535DFF1A-E987-4514-9F53-4CC5AE9AD3B5}"/>
    <cellStyle name="Итог 1 16 3 2 2" xfId="12910" xr:uid="{3AB0065C-0421-47B0-B72C-8FF2104F50AE}"/>
    <cellStyle name="Итог 1 16 3 2 2 2" xfId="29457" xr:uid="{C50B5FBA-BF62-4E60-B42D-B78ED2854603}"/>
    <cellStyle name="Итог 1 16 3 2 2 3" xfId="42751" xr:uid="{8F377E05-45C4-428D-8C9D-E1AA50382590}"/>
    <cellStyle name="Итог 1 16 3 2 3" xfId="25013" xr:uid="{63216637-7B9C-4183-A174-F333FD1DC1CC}"/>
    <cellStyle name="Итог 1 16 3 2 4" xfId="38089" xr:uid="{8FB6D5C5-D8B9-4878-82C6-CA059EBB00BE}"/>
    <cellStyle name="Итог 1 16 3 3" xfId="12145" xr:uid="{03202A46-0E64-41EB-B8DB-37787E0641C5}"/>
    <cellStyle name="Итог 1 16 3 3 2" xfId="28845" xr:uid="{42902CC4-B87A-4032-AF2A-0560849D5EE3}"/>
    <cellStyle name="Итог 1 16 3 3 3" xfId="42065" xr:uid="{CDD1B843-64BD-4E5B-8B32-1F2B29F40456}"/>
    <cellStyle name="Итог 1 16 3 4" xfId="22614" xr:uid="{66FBB70D-9A53-44F3-93F9-DC0F931D9E83}"/>
    <cellStyle name="Итог 1 16 3 5" xfId="35667" xr:uid="{27F16A6D-C780-473D-B5F0-9E529A5C6F68}"/>
    <cellStyle name="Итог 1 16 4" xfId="5839" xr:uid="{F0D07581-72B0-43C8-9799-7338F00C83E6}"/>
    <cellStyle name="Итог 1 16 4 2" xfId="8997" xr:uid="{34FAA673-64AC-4431-8501-035EA56ED1BF}"/>
    <cellStyle name="Итог 1 16 4 2 2" xfId="12270" xr:uid="{5968973D-4E48-48EF-9B6F-2F52466F6358}"/>
    <cellStyle name="Итог 1 16 4 2 2 2" xfId="28948" xr:uid="{8C568A05-7631-4CD2-A308-BA99B634A7D2}"/>
    <cellStyle name="Итог 1 16 4 2 2 3" xfId="42182" xr:uid="{35DB32DA-3AF1-404E-992C-DE8360092388}"/>
    <cellStyle name="Итог 1 16 4 2 3" xfId="26482" xr:uid="{8810660D-09FB-4F50-BD4E-1DB9EB67656D}"/>
    <cellStyle name="Итог 1 16 4 2 4" xfId="39558" xr:uid="{39117B4E-FC2D-4BAA-9A2D-2F075FB28B5B}"/>
    <cellStyle name="Итог 1 16 4 3" xfId="15277" xr:uid="{D9D6D3A6-5572-46E5-888D-65A459C9D211}"/>
    <cellStyle name="Итог 1 16 4 3 2" xfId="31450" xr:uid="{D8AD74CA-3A94-40F4-BB4E-C1A28D227899}"/>
    <cellStyle name="Итог 1 16 4 3 3" xfId="44927" xr:uid="{666803FE-438C-4F14-8CAC-A3C1AE2A97E2}"/>
    <cellStyle name="Итог 1 16 4 4" xfId="23486" xr:uid="{FC27C06A-8840-4010-A42F-22279A2AC838}"/>
    <cellStyle name="Итог 1 16 4 5" xfId="36567" xr:uid="{D0C0EC68-F4D4-4CE2-887B-4DA8AFA78D21}"/>
    <cellStyle name="Итог 1 16 5" xfId="15565" xr:uid="{B1E7FA4C-A979-4B99-BCA8-F3D0C2C4FBD2}"/>
    <cellStyle name="Итог 1 16 5 2" xfId="31695" xr:uid="{1D05A637-E334-48BC-A245-2D5AE083B81A}"/>
    <cellStyle name="Итог 1 16 5 3" xfId="45197" xr:uid="{D220BD0D-8EEE-49FD-BCE7-C3B8902EF1B4}"/>
    <cellStyle name="Итог 1 16 6" xfId="21751" xr:uid="{984733F4-6D73-49FC-8D94-FCEA8E19E0E3}"/>
    <cellStyle name="Итог 1 16 7" xfId="34802" xr:uid="{C8B6DB50-F68B-4F89-934B-F1C382CF5F8A}"/>
    <cellStyle name="Итог 1 17" xfId="3990" xr:uid="{684ACFF3-3540-4E17-AD47-7CE3D2D2EC62}"/>
    <cellStyle name="Итог 1 17 2" xfId="3276" xr:uid="{25B30BDC-8DC9-4621-B81D-50B6CD3A9564}"/>
    <cellStyle name="Итог 1 17 2 2" xfId="8555" xr:uid="{A444CCA0-5D95-4E43-8B47-5CFEFE95AB7C}"/>
    <cellStyle name="Итог 1 17 2 2 2" xfId="10735" xr:uid="{760F1609-F52C-4515-99EF-B5C9D4FDBA09}"/>
    <cellStyle name="Итог 1 17 2 2 2 2" xfId="27576" xr:uid="{DF58169A-39F2-4129-9015-F18055DA044B}"/>
    <cellStyle name="Итог 1 17 2 2 2 3" xfId="40716" xr:uid="{A8C1908B-C8B7-4D73-978D-0F1E3DC9F03B}"/>
    <cellStyle name="Итог 1 17 2 2 3" xfId="26053" xr:uid="{29660C2B-1823-4DD3-A90F-5EAF90B2C0D0}"/>
    <cellStyle name="Итог 1 17 2 2 4" xfId="39129" xr:uid="{ED184EB8-3073-4540-9674-0BD17E432419}"/>
    <cellStyle name="Итог 1 17 2 3" xfId="6930" xr:uid="{A65662D1-F8A3-4DE8-9402-88928B15D62B}"/>
    <cellStyle name="Итог 1 17 2 3 2" xfId="11523" xr:uid="{678D1019-1169-4807-9B22-9246A5F9FCF5}"/>
    <cellStyle name="Итог 1 17 2 3 2 2" xfId="28281" xr:uid="{26BCBA7E-DAB4-4B06-BBDF-C196BCEE0813}"/>
    <cellStyle name="Итог 1 17 2 3 2 3" xfId="41478" xr:uid="{572A2CA7-BC34-4FF9-A236-B1190D6149D4}"/>
    <cellStyle name="Итог 1 17 2 3 3" xfId="24552" xr:uid="{3B0CDF16-DF01-40C1-99B1-CFB833A7ABD8}"/>
    <cellStyle name="Итог 1 17 2 3 4" xfId="37633" xr:uid="{6DC3F25C-B42D-4D1B-82E4-713F2EC9E350}"/>
    <cellStyle name="Итог 1 17 2 4" xfId="13151" xr:uid="{7C10C0E0-1568-4C12-A49B-D1E4BB29F061}"/>
    <cellStyle name="Итог 1 17 2 4 2" xfId="29664" xr:uid="{DCE1FDA4-78C3-4A70-A1BD-20EF7E4095F9}"/>
    <cellStyle name="Итог 1 17 2 4 3" xfId="42976" xr:uid="{072001BD-4FEC-4AD7-B974-DD7B989E5D26}"/>
    <cellStyle name="Итог 1 17 2 5" xfId="21304" xr:uid="{363D0462-253B-443A-BEC8-02355BB57F80}"/>
    <cellStyle name="Итог 1 17 2 6" xfId="34327" xr:uid="{E2E4733F-4C1A-4A3A-A73D-0DB151FBC7B2}"/>
    <cellStyle name="Итог 1 17 3" xfId="4902" xr:uid="{CE618A08-9535-4E34-9463-514AFC5A91C0}"/>
    <cellStyle name="Итог 1 17 3 2" xfId="7570" xr:uid="{00B3557D-DB73-47CD-9006-45ADDFFC5555}"/>
    <cellStyle name="Итог 1 17 3 2 2" xfId="17077" xr:uid="{E05B779E-C8E6-42C3-9A3C-3BC4DC7BB744}"/>
    <cellStyle name="Итог 1 17 3 2 2 2" xfId="32847" xr:uid="{1D70209E-0DDE-4164-896E-5D04116195AC}"/>
    <cellStyle name="Итог 1 17 3 2 2 3" xfId="46617" xr:uid="{889D7A42-B5C2-4F5D-B580-B924D1A1CBDB}"/>
    <cellStyle name="Итог 1 17 3 2 3" xfId="25098" xr:uid="{354D1AD8-95F4-410C-A923-8FFB3AE6B233}"/>
    <cellStyle name="Итог 1 17 3 2 4" xfId="38174" xr:uid="{A505351D-6246-48BB-8416-432781ACAAC4}"/>
    <cellStyle name="Итог 1 17 3 3" xfId="17263" xr:uid="{790ADF8C-DEFF-4419-93E6-1242776DBAC9}"/>
    <cellStyle name="Итог 1 17 3 3 2" xfId="33022" xr:uid="{CDC5CCA7-5D0B-421C-ACDF-A393FADA6056}"/>
    <cellStyle name="Итог 1 17 3 3 3" xfId="46797" xr:uid="{112E8C89-CA97-4837-80DA-70AFFE5F023F}"/>
    <cellStyle name="Итог 1 17 3 4" xfId="22699" xr:uid="{C0DDE1CA-EDDB-4F4A-A336-D79CB6487F51}"/>
    <cellStyle name="Итог 1 17 3 5" xfId="35752" xr:uid="{467788C8-F025-47B9-88BE-EFFFE4361F77}"/>
    <cellStyle name="Итог 1 17 4" xfId="5924" xr:uid="{4FF7D684-95E8-49FD-9EEB-0B5BB63A5BE3}"/>
    <cellStyle name="Итог 1 17 4 2" xfId="9084" xr:uid="{900BA6A7-A707-4C6C-AEB4-CCD9C5D13821}"/>
    <cellStyle name="Итог 1 17 4 2 2" xfId="13657" xr:uid="{457CDF17-366D-46F2-8DDE-A84B69D54AEB}"/>
    <cellStyle name="Итог 1 17 4 2 2 2" xfId="30084" xr:uid="{57DC78C7-5AFB-4B63-B43F-BAB0DCAFE41D}"/>
    <cellStyle name="Итог 1 17 4 2 2 3" xfId="43442" xr:uid="{306A4FD1-9BFF-424B-B036-86BC1CAB3C3B}"/>
    <cellStyle name="Итог 1 17 4 2 3" xfId="26565" xr:uid="{9879A30B-35FC-4D34-A323-6AD94D4385DE}"/>
    <cellStyle name="Итог 1 17 4 2 4" xfId="39641" xr:uid="{97884ADB-0FB9-4BBB-B6E4-D7DC1408F9AA}"/>
    <cellStyle name="Итог 1 17 4 3" xfId="15377" xr:uid="{302C2E27-6EB5-4721-A3F3-0078A55E303A}"/>
    <cellStyle name="Итог 1 17 4 3 2" xfId="31533" xr:uid="{34076547-EFC1-46FD-B7FD-2139922F0ACC}"/>
    <cellStyle name="Итог 1 17 4 3 3" xfId="45020" xr:uid="{3BCABB0C-30E7-4E95-BD31-3E0A1C24DC9C}"/>
    <cellStyle name="Итог 1 17 4 4" xfId="23571" xr:uid="{B4E905D7-DB8F-40F7-B662-C70E56307B09}"/>
    <cellStyle name="Итог 1 17 4 5" xfId="36652" xr:uid="{DB5EA45C-C338-44AA-A557-CE36B0B5C6C1}"/>
    <cellStyle name="Итог 1 17 5" xfId="17129" xr:uid="{8A997233-EACF-4330-BE83-5F5C85815DEC}"/>
    <cellStyle name="Итог 1 17 5 2" xfId="32892" xr:uid="{F753AE6D-22E8-4D5B-B8FE-6620CB619517}"/>
    <cellStyle name="Итог 1 17 5 3" xfId="46664" xr:uid="{F76150D1-73F1-42D5-B233-C44549A1D7C6}"/>
    <cellStyle name="Итог 1 17 6" xfId="21837" xr:uid="{36302E94-96B4-441B-BD7B-BFC2AF82F792}"/>
    <cellStyle name="Итог 1 17 7" xfId="34887" xr:uid="{BDBC3771-271B-4011-9C48-8B54F79DF5C6}"/>
    <cellStyle name="Итог 1 18" xfId="3868" xr:uid="{8F24F468-D466-49CB-BD58-DE2737A3D818}"/>
    <cellStyle name="Итог 1 18 2" xfId="3128" xr:uid="{E2801932-6768-416B-A412-9CA9AAC634A0}"/>
    <cellStyle name="Итог 1 18 2 2" xfId="8420" xr:uid="{D380C999-C7E6-47C9-848D-B788D35A3DC6}"/>
    <cellStyle name="Итог 1 18 2 2 2" xfId="15866" xr:uid="{B11D36EE-4411-41DA-905A-A2CF35B75D8A}"/>
    <cellStyle name="Итог 1 18 2 2 2 2" xfId="31955" xr:uid="{70D6007B-FDDE-4941-A840-856AA31C21BE}"/>
    <cellStyle name="Итог 1 18 2 2 2 3" xfId="45469" xr:uid="{4C3DD05A-1636-4F32-B6DF-6152735F985C}"/>
    <cellStyle name="Итог 1 18 2 2 3" xfId="25922" xr:uid="{74F4ED41-F156-4C11-AEFF-5EA281EA03B7}"/>
    <cellStyle name="Итог 1 18 2 2 4" xfId="38998" xr:uid="{99BB50E8-F903-4D30-89F4-327094F47ACB}"/>
    <cellStyle name="Итог 1 18 2 3" xfId="6787" xr:uid="{EE3FB7AC-7D3C-4B17-B3E4-D4B68BC087F5}"/>
    <cellStyle name="Итог 1 18 2 3 2" xfId="11140" xr:uid="{05EAB41A-20C0-49FF-81BC-CA41F924F81E}"/>
    <cellStyle name="Итог 1 18 2 3 2 2" xfId="27938" xr:uid="{83BF0247-17AC-4D1E-8393-5141B2273BA7}"/>
    <cellStyle name="Итог 1 18 2 3 2 3" xfId="41118" xr:uid="{4E723A19-4874-4202-A069-37BDE293B2B8}"/>
    <cellStyle name="Итог 1 18 2 3 3" xfId="24413" xr:uid="{981962A0-3B24-4DF8-93BF-49FE858AD88F}"/>
    <cellStyle name="Итог 1 18 2 3 4" xfId="37494" xr:uid="{E1F50CC7-BAD5-4806-8604-6E6152936BEF}"/>
    <cellStyle name="Итог 1 18 2 4" xfId="13997" xr:uid="{F9578B45-43B7-4B51-8980-C79BA0E77358}"/>
    <cellStyle name="Итог 1 18 2 4 2" xfId="30381" xr:uid="{BD85A877-393F-42D0-A85D-C4E77CAE935F}"/>
    <cellStyle name="Итог 1 18 2 4 3" xfId="43759" xr:uid="{E3655A74-AEE0-4D8F-8031-E0A67AD648D4}"/>
    <cellStyle name="Итог 1 18 2 5" xfId="21165" xr:uid="{238FC1F5-D033-463A-9B36-90ADE3A530EC}"/>
    <cellStyle name="Итог 1 18 2 6" xfId="34188" xr:uid="{7D1A6CD3-45FE-4F7C-95E2-7B2EDC8EF9AD}"/>
    <cellStyle name="Итог 1 18 3" xfId="4808" xr:uid="{B93FCF7A-94D6-41BD-9652-C6EC3A6FA76B}"/>
    <cellStyle name="Итог 1 18 3 2" xfId="7452" xr:uid="{5FB467A0-E381-43C4-91C4-756560F048A5}"/>
    <cellStyle name="Итог 1 18 3 2 2" xfId="13602" xr:uid="{3BD64EA9-A106-4A8C-8BD2-EB48FB866F64}"/>
    <cellStyle name="Итог 1 18 3 2 2 2" xfId="30042" xr:uid="{0AB4D2DF-7678-48E6-936E-8ABB62456C59}"/>
    <cellStyle name="Итог 1 18 3 2 2 3" xfId="43394" xr:uid="{73CFE0D5-7E39-49BA-A79A-A8072C1D685E}"/>
    <cellStyle name="Итог 1 18 3 2 3" xfId="25009" xr:uid="{35797914-DE3E-4997-9C1E-2F1250CB4E6F}"/>
    <cellStyle name="Итог 1 18 3 2 4" xfId="38085" xr:uid="{E17E9B09-4089-41D3-A244-0ADB0A3F4E20}"/>
    <cellStyle name="Итог 1 18 3 3" xfId="11121" xr:uid="{73C8FE33-3755-4F14-824D-0EFD84B17D26}"/>
    <cellStyle name="Итог 1 18 3 3 2" xfId="27920" xr:uid="{C6365673-B8F5-4C5E-BC7C-BDA565B2D566}"/>
    <cellStyle name="Итог 1 18 3 3 3" xfId="41099" xr:uid="{0C65E847-D0E1-4576-83B7-81ABC5937123}"/>
    <cellStyle name="Итог 1 18 3 4" xfId="22610" xr:uid="{ACEFC1F1-FE64-49DF-8B00-C323DEC5BF39}"/>
    <cellStyle name="Итог 1 18 3 5" xfId="35663" xr:uid="{6826BA59-6A16-414F-894B-A53A977D2B58}"/>
    <cellStyle name="Итог 1 18 4" xfId="5835" xr:uid="{7562B3F3-0569-4B89-9590-5A06F8AFB2DD}"/>
    <cellStyle name="Итог 1 18 4 2" xfId="8993" xr:uid="{4F30265F-3BED-45A6-B570-954460C1A2EC}"/>
    <cellStyle name="Итог 1 18 4 2 2" xfId="16388" xr:uid="{D837CE6E-098D-4C2B-91F3-663054AE6616}"/>
    <cellStyle name="Итог 1 18 4 2 2 2" xfId="32407" xr:uid="{0FD8C02D-B106-454E-A6D2-AFC11C377211}"/>
    <cellStyle name="Итог 1 18 4 2 2 3" xfId="45942" xr:uid="{1BB16C57-1F5F-46C3-BD82-EFBCF82EA987}"/>
    <cellStyle name="Итог 1 18 4 2 3" xfId="26478" xr:uid="{3595F168-0981-4FD5-8B4D-B079B04D8A2F}"/>
    <cellStyle name="Итог 1 18 4 2 4" xfId="39554" xr:uid="{BB7BB8EF-8D6E-4968-A5E6-B9031BDBD1B4}"/>
    <cellStyle name="Итог 1 18 4 3" xfId="13275" xr:uid="{2D546F02-C11D-4B24-88DB-1B8AA7524BED}"/>
    <cellStyle name="Итог 1 18 4 3 2" xfId="29766" xr:uid="{33F9F3F4-F3EC-4556-BEE8-B421A47EE609}"/>
    <cellStyle name="Итог 1 18 4 3 3" xfId="43092" xr:uid="{7749D3A7-A88C-4ECC-B936-84B04F211305}"/>
    <cellStyle name="Итог 1 18 4 4" xfId="23482" xr:uid="{5E47BD63-4EFA-424E-8D5D-3F6A60EA2DC4}"/>
    <cellStyle name="Итог 1 18 4 5" xfId="36563" xr:uid="{3CB25F65-2B91-402B-BB77-89856B124043}"/>
    <cellStyle name="Итог 1 18 5" xfId="15261" xr:uid="{3A51B381-BF5F-4F3E-8C23-4FCA07526903}"/>
    <cellStyle name="Итог 1 18 5 2" xfId="31436" xr:uid="{F810DDA2-D288-45CA-84CA-65D2786B7755}"/>
    <cellStyle name="Итог 1 18 5 3" xfId="44912" xr:uid="{B49C42A8-8967-4FE4-92F1-FE4690DBC4D4}"/>
    <cellStyle name="Итог 1 18 6" xfId="21744" xr:uid="{EAC9102D-DA92-4F5C-BFC5-7D3C98820E63}"/>
    <cellStyle name="Итог 1 18 7" xfId="34798" xr:uid="{9FAA64A3-24A1-497D-9BDD-2277FC8E6465}"/>
    <cellStyle name="Итог 1 19" xfId="4008" xr:uid="{8F198439-55D0-4D1D-A26D-CDE6FD925F2E}"/>
    <cellStyle name="Итог 1 19 2" xfId="3238" xr:uid="{5F0E7ADA-1DED-4088-9433-92A3A94161CF}"/>
    <cellStyle name="Итог 1 19 2 2" xfId="8529" xr:uid="{28E83CA9-A864-4AC5-9138-64B74F50CB5A}"/>
    <cellStyle name="Итог 1 19 2 2 2" xfId="12586" xr:uid="{92644F27-9700-4E84-A3DD-C0AEBE56A11C}"/>
    <cellStyle name="Итог 1 19 2 2 2 2" xfId="29202" xr:uid="{B96403F7-6F46-422A-99EB-C9A324FAF4E7}"/>
    <cellStyle name="Итог 1 19 2 2 2 3" xfId="42465" xr:uid="{7533ADC6-F47E-4F17-9F09-46DDE0B4A6AD}"/>
    <cellStyle name="Итог 1 19 2 2 3" xfId="26028" xr:uid="{4D11CD74-0B91-46E1-AC1D-9B815D8A4D56}"/>
    <cellStyle name="Итог 1 19 2 2 4" xfId="39104" xr:uid="{E145EB62-B8E4-4F67-BA8D-9790EEF52FDC}"/>
    <cellStyle name="Итог 1 19 2 3" xfId="6897" xr:uid="{C7699140-063F-4930-9AC9-6DF1CBC5AD59}"/>
    <cellStyle name="Итог 1 19 2 3 2" xfId="14511" xr:uid="{6EEB8FE8-8421-44B8-A07C-7417AAD24CEF}"/>
    <cellStyle name="Итог 1 19 2 3 2 2" xfId="30829" xr:uid="{C1836E46-11C5-42A4-A8AC-9830D47563F8}"/>
    <cellStyle name="Итог 1 19 2 3 2 3" xfId="44239" xr:uid="{8F5F0AA0-B724-4F05-8EAE-0358BFE7466D}"/>
    <cellStyle name="Итог 1 19 2 3 3" xfId="24520" xr:uid="{1E9F33FC-58DB-4D43-A8D3-3A67BACE1B74}"/>
    <cellStyle name="Итог 1 19 2 3 4" xfId="37601" xr:uid="{75400196-3041-4651-8EF7-03B9BAEAAC39}"/>
    <cellStyle name="Итог 1 19 2 4" xfId="11259" xr:uid="{DF97F6F0-C8CB-45E9-B638-9D13C4062EE0}"/>
    <cellStyle name="Итог 1 19 2 4 2" xfId="28046" xr:uid="{46F2727B-9CE2-4151-801E-4BC050DF4B73}"/>
    <cellStyle name="Итог 1 19 2 4 3" xfId="41228" xr:uid="{7C1B09EF-5E55-4B49-99E3-DFCC482F6311}"/>
    <cellStyle name="Итог 1 19 2 5" xfId="21272" xr:uid="{F04BA63F-3A26-4164-9C40-61A14E721CE0}"/>
    <cellStyle name="Итог 1 19 2 6" xfId="34295" xr:uid="{9FB71610-B16E-4B73-9ED1-69C5D3BA0772}"/>
    <cellStyle name="Итог 1 19 3" xfId="4915" xr:uid="{E2AC6502-D453-4BD8-B054-7131694B8CA7}"/>
    <cellStyle name="Итог 1 19 3 2" xfId="7583" xr:uid="{180A61EE-A344-41F2-ABD0-8A6C93701743}"/>
    <cellStyle name="Итог 1 19 3 2 2" xfId="14548" xr:uid="{8665F02B-CFD1-4EC4-BE6D-DBF16EB4FD2D}"/>
    <cellStyle name="Итог 1 19 3 2 2 2" xfId="30859" xr:uid="{4753A338-798E-4BCB-9C52-AA78A2A0B30B}"/>
    <cellStyle name="Итог 1 19 3 2 2 3" xfId="44271" xr:uid="{09F02A3D-1052-4650-89C1-204D9075F235}"/>
    <cellStyle name="Итог 1 19 3 2 3" xfId="25111" xr:uid="{544BBB30-3F80-4B3C-8706-A1F161D93622}"/>
    <cellStyle name="Итог 1 19 3 2 4" xfId="38187" xr:uid="{57D92A21-DBF2-4738-B3CE-A3E89D49076D}"/>
    <cellStyle name="Итог 1 19 3 3" xfId="11195" xr:uid="{56BAE575-53C1-4A82-9601-E525C8D699B5}"/>
    <cellStyle name="Итог 1 19 3 3 2" xfId="27989" xr:uid="{AFDF94AB-466E-4D3E-AB3C-8FF4232C89E5}"/>
    <cellStyle name="Итог 1 19 3 3 3" xfId="41171" xr:uid="{B059DC50-0062-413D-B39D-A9830CB98284}"/>
    <cellStyle name="Итог 1 19 3 4" xfId="22712" xr:uid="{244536D9-5C33-4B84-8671-2296D4438951}"/>
    <cellStyle name="Итог 1 19 3 5" xfId="35765" xr:uid="{9473EC19-8047-4F2F-A47A-0BC088830CC5}"/>
    <cellStyle name="Итог 1 19 4" xfId="5937" xr:uid="{1C2746D8-AD40-4D3C-BCD7-726D518E4698}"/>
    <cellStyle name="Итог 1 19 4 2" xfId="9090" xr:uid="{0CE050D8-F584-42EB-B12A-6696C334AAC0}"/>
    <cellStyle name="Итог 1 19 4 2 2" xfId="14521" xr:uid="{DEDD1656-D877-4DCD-86B6-47A5EA5F04CD}"/>
    <cellStyle name="Итог 1 19 4 2 2 2" xfId="30837" xr:uid="{03855EBE-D1FA-47A4-A622-2EDCF4C8442B}"/>
    <cellStyle name="Итог 1 19 4 2 2 3" xfId="44248" xr:uid="{96E6968A-CBC6-446C-BB4A-91D9C4A74DEF}"/>
    <cellStyle name="Итог 1 19 4 2 3" xfId="26571" xr:uid="{6AC5BE8F-89AC-4185-8CB2-625339495993}"/>
    <cellStyle name="Итог 1 19 4 2 4" xfId="39647" xr:uid="{CFF66384-9DA9-4085-889F-D004B4A1CEF8}"/>
    <cellStyle name="Итог 1 19 4 3" xfId="10664" xr:uid="{2D414D1B-8CCE-4E5E-8E77-3DF0D16A98D2}"/>
    <cellStyle name="Итог 1 19 4 3 2" xfId="27514" xr:uid="{AF2DFFBC-13BA-4E4B-8EC1-B384B38D92CB}"/>
    <cellStyle name="Итог 1 19 4 3 3" xfId="40645" xr:uid="{0BF2FC45-C1E0-4F97-93B6-4D5BF570B58F}"/>
    <cellStyle name="Итог 1 19 4 4" xfId="23584" xr:uid="{0B1C0487-EB11-457E-B945-C689CD3701AF}"/>
    <cellStyle name="Итог 1 19 4 5" xfId="36665" xr:uid="{AD1CDBAF-86B8-487D-936A-46EC872E89BE}"/>
    <cellStyle name="Итог 1 19 5" xfId="13395" xr:uid="{C9D1CD7F-33AA-4807-8574-F98A1F052614}"/>
    <cellStyle name="Итог 1 19 5 2" xfId="29865" xr:uid="{AD3D0318-0636-49CE-8678-A3E5AF98D05A}"/>
    <cellStyle name="Итог 1 19 5 3" xfId="43200" xr:uid="{E89C1BC5-8547-4CB7-A38A-D8F0E0C72AB4}"/>
    <cellStyle name="Итог 1 19 6" xfId="21851" xr:uid="{58FC6969-7521-4B82-ADE4-F726A2FA062F}"/>
    <cellStyle name="Итог 1 19 7" xfId="34900" xr:uid="{0E5917D5-A159-4A09-8F43-FCD4FACE6EAA}"/>
    <cellStyle name="Итог 1 2" xfId="3473" xr:uid="{CCCC5BE2-2303-4263-814B-230762D4765C}"/>
    <cellStyle name="Итог 1 2 10" xfId="17753" xr:uid="{A8507076-32F0-4DB1-8E42-ED5FEE067FAA}"/>
    <cellStyle name="Итог 1 2 10 2" xfId="33475" xr:uid="{32423FCE-7F21-41E7-B9EB-E1957A9260BC}"/>
    <cellStyle name="Итог 1 2 10 3" xfId="47254" xr:uid="{5251935C-40D9-4B8D-8030-69D8B08275D8}"/>
    <cellStyle name="Итог 1 2 11" xfId="20506" xr:uid="{C919A01D-AA65-4CDB-AA7E-B9B8F359B60D}"/>
    <cellStyle name="Итог 1 2 12" xfId="34489" xr:uid="{99180BB6-059C-43B0-A9CB-D2BF32CEC892}"/>
    <cellStyle name="Итог 1 2 2" xfId="2815" xr:uid="{2D625F29-00B1-4243-B366-8058CA0C092E}"/>
    <cellStyle name="Итог 1 2 2 2" xfId="5121" xr:uid="{51BEE816-5EE8-4DE5-86AA-E0001BF48A6F}"/>
    <cellStyle name="Итог 1 2 2 2 2" xfId="8111" xr:uid="{55545AAC-F52F-4894-A171-5383D86646F5}"/>
    <cellStyle name="Итог 1 2 2 2 2 2" xfId="13439" xr:uid="{FAA5B6E1-8E72-4DE3-9218-A18A5E0D5977}"/>
    <cellStyle name="Итог 1 2 2 2 2 2 2" xfId="29903" xr:uid="{CFE79372-39BC-4D5F-A09A-A96FE43E4C9C}"/>
    <cellStyle name="Итог 1 2 2 2 2 2 3" xfId="43241" xr:uid="{0DEB3A73-9604-4D73-8017-577253710F5B}"/>
    <cellStyle name="Итог 1 2 2 2 2 3" xfId="25622" xr:uid="{4BB47866-A11D-4857-A980-D9A11D266640}"/>
    <cellStyle name="Итог 1 2 2 2 2 4" xfId="38698" xr:uid="{52E0A772-D62A-494F-B4F1-ADEAB64AB07F}"/>
    <cellStyle name="Итог 1 2 2 2 3" xfId="16729" xr:uid="{351DCF73-CF72-4591-BF04-E1B6735BAF50}"/>
    <cellStyle name="Итог 1 2 2 2 3 2" xfId="32612" xr:uid="{95159F40-7688-4F82-A941-3865FAC08C1F}"/>
    <cellStyle name="Итог 1 2 2 2 3 3" xfId="46272" xr:uid="{887FA865-B960-460E-A9E1-07913C2090D9}"/>
    <cellStyle name="Итог 1 2 2 2 4" xfId="22843" xr:uid="{C24D9A16-7EF4-4218-BBD0-A07F3E6BB285}"/>
    <cellStyle name="Итог 1 2 2 2 5" xfId="35908" xr:uid="{0259B5CD-35A7-4899-867D-47C0A363A130}"/>
    <cellStyle name="Итог 1 2 2 3" xfId="6478" xr:uid="{732A4A12-2370-4D62-9E65-B779F6D3C3EC}"/>
    <cellStyle name="Итог 1 2 2 3 2" xfId="16407" xr:uid="{65894387-0253-47E0-A595-74D7A16AD855}"/>
    <cellStyle name="Итог 1 2 2 3 2 2" xfId="32423" xr:uid="{EFC3257A-DFC7-4FC9-B4B6-D0114DB02391}"/>
    <cellStyle name="Итог 1 2 2 3 2 3" xfId="45958" xr:uid="{62BFEFDD-885B-44D3-B7D2-ED7FE03795B5}"/>
    <cellStyle name="Итог 1 2 2 3 3" xfId="24113" xr:uid="{67DB6767-8464-4534-9F37-B020C49128E3}"/>
    <cellStyle name="Итог 1 2 2 3 4" xfId="37194" xr:uid="{8597FE6A-2FA4-4E2B-AD4E-F820186D092A}"/>
    <cellStyle name="Итог 1 2 2 4" xfId="14182" xr:uid="{E98DA2D6-7A95-4FD7-B96D-DFB625395010}"/>
    <cellStyle name="Итог 1 2 2 4 2" xfId="30534" xr:uid="{86C060BD-9036-44B3-88E4-FF421D4CBD23}"/>
    <cellStyle name="Итог 1 2 2 4 3" xfId="43921" xr:uid="{7CD4D96F-D833-4650-9F81-84B63EF803A5}"/>
    <cellStyle name="Итог 1 2 2 5" xfId="20865" xr:uid="{E980A68E-6A14-4D8C-B8F4-4E4188D7B2DD}"/>
    <cellStyle name="Итог 1 2 2 6" xfId="33888" xr:uid="{DAB9D3E7-7278-4E53-AE03-3D2C6033B096}"/>
    <cellStyle name="Итог 1 2 3" xfId="4175" xr:uid="{6EAF119E-B739-4AF8-8F27-EADDDC2D91CD}"/>
    <cellStyle name="Итог 1 2 3 2" xfId="5210" xr:uid="{93816C7E-035B-46E1-9D20-2E1C0156256A}"/>
    <cellStyle name="Итог 1 2 3 2 2" xfId="9227" xr:uid="{3D8D66F4-7D88-4A8D-8518-967E0EB41B6C}"/>
    <cellStyle name="Итог 1 2 3 2 2 2" xfId="16283" xr:uid="{70812048-4963-45AD-A8BB-5B31DAB9C031}"/>
    <cellStyle name="Итог 1 2 3 2 2 2 2" xfId="32315" xr:uid="{97CDFDC7-C211-4D8B-A290-48BF4C8F1858}"/>
    <cellStyle name="Итог 1 2 3 2 2 2 3" xfId="45845" xr:uid="{166E045C-04AE-42CF-872A-6BDD2EB0CBCA}"/>
    <cellStyle name="Итог 1 2 3 2 2 3" xfId="26702" xr:uid="{ED8501D0-A369-4EFC-B589-2C20D7AC7C9E}"/>
    <cellStyle name="Итог 1 2 3 2 2 4" xfId="39778" xr:uid="{2081A77C-61D3-4E83-8819-8A6604EC1285}"/>
    <cellStyle name="Итог 1 2 3 2 3" xfId="10946" xr:uid="{1E151A22-DF49-44C9-853B-A0BF71813961}"/>
    <cellStyle name="Итог 1 2 3 2 3 2" xfId="27760" xr:uid="{D62E905F-F7D8-430B-B50E-6A0CAAA61A18}"/>
    <cellStyle name="Итог 1 2 3 2 3 3" xfId="40926" xr:uid="{59E41E50-B12A-4B0D-906D-BDD67C450921}"/>
    <cellStyle name="Итог 1 2 3 2 4" xfId="22885" xr:uid="{9F4DED36-0621-4F2E-8664-5EECEEF47034}"/>
    <cellStyle name="Итог 1 2 3 2 5" xfId="35954" xr:uid="{CAB1FD9F-7689-46E2-90BB-EBEF61534D41}"/>
    <cellStyle name="Итог 1 2 3 3" xfId="7739" xr:uid="{2BCD457F-F75C-4883-9090-463C1E379694}"/>
    <cellStyle name="Итог 1 2 3 3 2" xfId="11962" xr:uid="{28224EBB-9BFB-42DE-8D51-D9EA9AE24C49}"/>
    <cellStyle name="Итог 1 2 3 3 2 2" xfId="28671" xr:uid="{76B4ABAE-51D4-4A37-BB63-1FFB290288C8}"/>
    <cellStyle name="Итог 1 2 3 3 2 3" xfId="41889" xr:uid="{8842D082-C91D-4B63-959A-63148BE21653}"/>
    <cellStyle name="Итог 1 2 3 3 3" xfId="25261" xr:uid="{0094A30D-4480-4B17-86C5-127557A850A9}"/>
    <cellStyle name="Итог 1 2 3 3 4" xfId="38337" xr:uid="{D938E420-8EF8-4773-942A-CFDA80B97B27}"/>
    <cellStyle name="Итог 1 2 3 4" xfId="12820" xr:uid="{28B6CA0B-8A9B-44E1-B882-D0EAF11B8094}"/>
    <cellStyle name="Итог 1 2 3 4 2" xfId="29392" xr:uid="{400A4111-CF71-4415-8DAA-0FE72402AB94}"/>
    <cellStyle name="Итог 1 2 3 4 3" xfId="42674" xr:uid="{5E7460AA-BE6C-423B-823A-7103AE33A6E8}"/>
    <cellStyle name="Итог 1 2 3 5" xfId="22002" xr:uid="{B6206D7C-531B-4E55-B60A-D7D03D3A03F3}"/>
    <cellStyle name="Итог 1 2 3 6" xfId="35051" xr:uid="{5327D7B4-D7DB-4106-A30A-37EE354AB66A}"/>
    <cellStyle name="Итог 1 2 4" xfId="2947" xr:uid="{6A6D5800-B45B-4028-9176-ABC73240D5EF}"/>
    <cellStyle name="Итог 1 2 4 2" xfId="5045" xr:uid="{D39D7F12-F0EE-40E4-9D85-5869AC1371C4}"/>
    <cellStyle name="Итог 1 2 4 2 2" xfId="8243" xr:uid="{C4E79788-CF43-4C70-A173-2F52D4947C21}"/>
    <cellStyle name="Итог 1 2 4 2 2 2" xfId="15964" xr:uid="{1083C54A-9849-4545-909F-6842D5E82555}"/>
    <cellStyle name="Итог 1 2 4 2 2 2 2" xfId="32039" xr:uid="{3053EFBA-4556-4436-9DA6-650252914778}"/>
    <cellStyle name="Итог 1 2 4 2 2 2 3" xfId="45557" xr:uid="{C3931B0F-CAD4-4774-A31D-5842B30CFC5E}"/>
    <cellStyle name="Итог 1 2 4 2 2 3" xfId="25752" xr:uid="{589E6019-8B45-4E64-8F9B-8445483B2430}"/>
    <cellStyle name="Итог 1 2 4 2 2 4" xfId="38828" xr:uid="{7104BED5-5C46-4D51-871C-BC8100A1B5AD}"/>
    <cellStyle name="Итог 1 2 4 2 3" xfId="15810" xr:uid="{4FC32976-3AB3-4B32-B49F-6AF1645910F7}"/>
    <cellStyle name="Итог 1 2 4 2 3 2" xfId="31907" xr:uid="{7A37A18A-AA5E-43F6-A278-1D65ED2EB6E4}"/>
    <cellStyle name="Итог 1 2 4 2 3 3" xfId="45419" xr:uid="{E2915652-1048-47EC-A992-DFBB83E1EA1B}"/>
    <cellStyle name="Итог 1 2 4 2 4" xfId="22795" xr:uid="{CA5D3BBE-6F6F-47A7-BDBE-C5E7BEF228D6}"/>
    <cellStyle name="Итог 1 2 4 2 5" xfId="35860" xr:uid="{87E91D64-7859-4A85-B1DC-9353B454F823}"/>
    <cellStyle name="Итог 1 2 4 3" xfId="6610" xr:uid="{1C7638C9-D2B8-4AD0-9133-656F97244DAA}"/>
    <cellStyle name="Итог 1 2 4 3 2" xfId="15886" xr:uid="{116A4646-212A-4E44-A042-8271F0D604DB}"/>
    <cellStyle name="Итог 1 2 4 3 2 2" xfId="31971" xr:uid="{D8CBF51A-17AF-4D58-AFF7-291F392C388B}"/>
    <cellStyle name="Итог 1 2 4 3 2 3" xfId="45486" xr:uid="{9F845698-D353-40CF-9BF1-27622D38AEE1}"/>
    <cellStyle name="Итог 1 2 4 3 3" xfId="24243" xr:uid="{A9F36DCF-44AA-4903-8D4E-47093C697C51}"/>
    <cellStyle name="Итог 1 2 4 3 4" xfId="37324" xr:uid="{39EF7BEF-EADE-4871-819D-04EE079FEAF6}"/>
    <cellStyle name="Итог 1 2 4 4" xfId="15653" xr:uid="{44B9424F-22E4-457F-9838-C51E066CC85C}"/>
    <cellStyle name="Итог 1 2 4 4 2" xfId="31771" xr:uid="{D012E840-4B94-4C17-AFBE-C4FF9765C4A9}"/>
    <cellStyle name="Итог 1 2 4 4 3" xfId="45276" xr:uid="{484A2C78-E579-4DFF-9CD5-A1D5BBEBC5F1}"/>
    <cellStyle name="Итог 1 2 4 5" xfId="20995" xr:uid="{5AE8F50A-0B36-40E1-826B-37F492797B48}"/>
    <cellStyle name="Итог 1 2 4 6" xfId="34018" xr:uid="{1BAC9FF5-F4F0-4D63-8091-7D0FFAB0D28F}"/>
    <cellStyle name="Итог 1 2 5" xfId="4206" xr:uid="{10F17079-5FAA-4622-A76A-0F991A1CDB0E}"/>
    <cellStyle name="Итог 1 2 5 2" xfId="5016" xr:uid="{8B7D2F28-0A12-4DBF-8DFA-AD01CBAD57D7}"/>
    <cellStyle name="Итог 1 2 5 2 2" xfId="9258" xr:uid="{94A6EA99-F4D3-47FF-9EE0-41DBD283D7FB}"/>
    <cellStyle name="Итог 1 2 5 2 2 2" xfId="14528" xr:uid="{4130AECE-2B5F-405B-895E-408F82DD1C5C}"/>
    <cellStyle name="Итог 1 2 5 2 2 2 2" xfId="30842" xr:uid="{940D2652-F7AF-43C7-B95F-07FBDDF5943B}"/>
    <cellStyle name="Итог 1 2 5 2 2 2 3" xfId="44254" xr:uid="{FBEAAD54-5282-4ED6-9D69-6A863868553C}"/>
    <cellStyle name="Итог 1 2 5 2 2 3" xfId="26733" xr:uid="{7A5F3C77-834F-4355-ABAD-8049D3A136EA}"/>
    <cellStyle name="Итог 1 2 5 2 2 4" xfId="39809" xr:uid="{9EF24ADA-E9B0-463D-A59A-942721D59541}"/>
    <cellStyle name="Итог 1 2 5 2 3" xfId="15773" xr:uid="{CBD18C7B-994D-4239-89D5-71648CEEB512}"/>
    <cellStyle name="Итог 1 2 5 2 3 2" xfId="31875" xr:uid="{71C33F49-E1B8-499E-A386-68FD41944771}"/>
    <cellStyle name="Итог 1 2 5 2 3 3" xfId="45386" xr:uid="{20992707-B142-4E0B-80A6-7072E5B271C2}"/>
    <cellStyle name="Итог 1 2 5 2 4" xfId="22779" xr:uid="{2C64D2C1-DC84-4B1D-BE51-DE09079BD7E2}"/>
    <cellStyle name="Итог 1 2 5 2 5" xfId="35840" xr:uid="{4764F196-D0EB-41B2-8147-4DB6DD6E39FA}"/>
    <cellStyle name="Итог 1 2 5 3" xfId="7770" xr:uid="{05E8A611-A7F1-49F8-B7D8-4CCEC703A405}"/>
    <cellStyle name="Итог 1 2 5 3 2" xfId="11517" xr:uid="{94ADC194-A010-4071-8ED5-AF3CACC19EBD}"/>
    <cellStyle name="Итог 1 2 5 3 2 2" xfId="28276" xr:uid="{472659DA-D478-41D6-9E87-32FCFC8445BA}"/>
    <cellStyle name="Итог 1 2 5 3 2 3" xfId="41473" xr:uid="{1C91065D-A920-4116-A17E-7EE397F4BA9A}"/>
    <cellStyle name="Итог 1 2 5 3 3" xfId="25292" xr:uid="{0C898B5B-110D-4209-828B-3964E5F338E3}"/>
    <cellStyle name="Итог 1 2 5 3 4" xfId="38368" xr:uid="{CB61AE97-1900-4AE5-AE28-DDFA472D4572}"/>
    <cellStyle name="Итог 1 2 5 4" xfId="14533" xr:uid="{FD9F8B9A-DAD0-4C3C-AD2F-E973F2509193}"/>
    <cellStyle name="Итог 1 2 5 4 2" xfId="30846" xr:uid="{E52A1125-5186-42AF-A019-B1C8E16FEA76}"/>
    <cellStyle name="Итог 1 2 5 4 3" xfId="44258" xr:uid="{FC0CF534-60B4-4D9C-AC6B-6CCB20B87C33}"/>
    <cellStyle name="Итог 1 2 5 5" xfId="22033" xr:uid="{BA21FC40-5F6B-47E4-9908-164A6EFC0432}"/>
    <cellStyle name="Итог 1 2 5 6" xfId="35082" xr:uid="{BCBF52EA-D9D6-4122-B17F-D3CA43B8F6D6}"/>
    <cellStyle name="Итог 1 2 6" xfId="4475" xr:uid="{FBF2AA8E-6EAC-46DD-BCD6-A31209FF76C7}"/>
    <cellStyle name="Итог 1 2 6 2" xfId="7115" xr:uid="{229E956F-A59A-41E0-A1D1-B081C2619E22}"/>
    <cellStyle name="Итог 1 2 6 2 2" xfId="14444" xr:uid="{3EFE1773-5096-4A93-AB1C-B3654D876128}"/>
    <cellStyle name="Итог 1 2 6 2 2 2" xfId="30773" xr:uid="{57587AF3-5120-4A74-81BE-815B76C02A4E}"/>
    <cellStyle name="Итог 1 2 6 2 2 3" xfId="44173" xr:uid="{D815D001-F49A-4B82-A21D-6C5062730D18}"/>
    <cellStyle name="Итог 1 2 6 2 3" xfId="24714" xr:uid="{0932CB0B-251F-4747-9F3D-C92BFC1C9635}"/>
    <cellStyle name="Итог 1 2 6 2 4" xfId="37795" xr:uid="{E8C29404-3A94-4097-8D5D-ABDD3F1AF353}"/>
    <cellStyle name="Итог 1 2 6 3" xfId="13277" xr:uid="{AD59E841-5B99-4103-8918-E56589B891C0}"/>
    <cellStyle name="Итог 1 2 6 3 2" xfId="29768" xr:uid="{65AF5FA1-CDFF-4049-909A-1976602B89BF}"/>
    <cellStyle name="Итог 1 2 6 3 3" xfId="43094" xr:uid="{BC90EA2D-DE7F-4AAD-92BB-C57F39CD607C}"/>
    <cellStyle name="Итог 1 2 6 4" xfId="22293" xr:uid="{6850C618-2A40-4982-BF9D-6310F95B22C1}"/>
    <cellStyle name="Итог 1 2 6 5" xfId="35342" xr:uid="{059846E1-8233-45D4-8592-CE034C8983B5}"/>
    <cellStyle name="Итог 1 2 7" xfId="5241" xr:uid="{B0CB1106-F7ED-4C04-A8D5-3D73E488A34B}"/>
    <cellStyle name="Итог 1 2 7 2" xfId="8710" xr:uid="{AEE011A1-AEDA-451D-874D-C063CEAD972E}"/>
    <cellStyle name="Итог 1 2 7 2 2" xfId="12537" xr:uid="{2C38FD31-DCB8-4D8F-B540-2C22DA8CB80C}"/>
    <cellStyle name="Итог 1 2 7 2 2 2" xfId="29162" xr:uid="{DA4CC02D-4E67-410A-94E5-EA5910FCFDB1}"/>
    <cellStyle name="Итог 1 2 7 2 2 3" xfId="42421" xr:uid="{9AF63CF9-1B70-4B46-9226-E84145C77B46}"/>
    <cellStyle name="Итог 1 2 7 2 3" xfId="26203" xr:uid="{71EFABAC-AEDF-41D3-833B-1E941EF244F4}"/>
    <cellStyle name="Итог 1 2 7 2 4" xfId="39279" xr:uid="{3842C9AB-E532-4E46-B77A-4B7F62E97FAE}"/>
    <cellStyle name="Итог 1 2 7 3" xfId="17053" xr:uid="{FD1F1B4F-48E7-4D59-81A0-0BFB4CC5A830}"/>
    <cellStyle name="Итог 1 2 7 3 2" xfId="32824" xr:uid="{410F7FA8-6BB9-42DA-ABAD-0DDD5D1F0FB6}"/>
    <cellStyle name="Итог 1 2 7 3 3" xfId="46594" xr:uid="{D2959CF8-F31A-43DE-B066-4DD296E7FC28}"/>
    <cellStyle name="Итог 1 2 7 4" xfId="22904" xr:uid="{4749A758-0E0E-438F-8A16-D52502E476BD}"/>
    <cellStyle name="Итог 1 2 7 5" xfId="35978" xr:uid="{9A36E442-992F-4819-8F55-B21A72C481D3}"/>
    <cellStyle name="Итог 1 2 8" xfId="5528" xr:uid="{F875FB6E-D951-45E6-A867-2EEFF5F06060}"/>
    <cellStyle name="Итог 1 2 8 2" xfId="9822" xr:uid="{627F62C4-B8B9-4DF9-93EC-3BD9743DD215}"/>
    <cellStyle name="Итог 1 2 8 2 2" xfId="16028" xr:uid="{6528263A-CD52-4239-95B6-5BCA772948A6}"/>
    <cellStyle name="Итог 1 2 8 2 2 2" xfId="32094" xr:uid="{0F2D205E-213F-459E-AAC2-074334E6B972}"/>
    <cellStyle name="Итог 1 2 8 2 2 3" xfId="45613" xr:uid="{98DAC399-355D-4F60-9729-029E3DB96E8C}"/>
    <cellStyle name="Итог 1 2 8 2 3" xfId="27118" xr:uid="{BF30A650-F342-4001-991D-0AEC702E1EB0}"/>
    <cellStyle name="Итог 1 2 8 2 4" xfId="40237" xr:uid="{CC2E69FB-1A78-452D-BB21-29415260202D}"/>
    <cellStyle name="Итог 1 2 8 3" xfId="15596" xr:uid="{4D470F9D-E898-476A-A93C-0D3EC5FCF6C2}"/>
    <cellStyle name="Итог 1 2 8 3 2" xfId="31722" xr:uid="{4424E8FE-8930-451A-83C3-93263CFBD74C}"/>
    <cellStyle name="Итог 1 2 8 3 3" xfId="45224" xr:uid="{7C91F58E-91AF-4CF9-A101-4125B0C692B0}"/>
    <cellStyle name="Итог 1 2 8 4" xfId="23175" xr:uid="{70D1B2EA-45EB-41C1-9C17-60234AC0FB76}"/>
    <cellStyle name="Итог 1 2 8 5" xfId="36256" xr:uid="{8EC3EA44-E0CE-444A-9B5E-4603D46A13F3}"/>
    <cellStyle name="Итог 1 2 9" xfId="13274" xr:uid="{722B66F6-54BA-4D84-86CB-0C281FDB0ABC}"/>
    <cellStyle name="Итог 1 2 9 2" xfId="29765" xr:uid="{9E7205AB-3FEA-4E28-9BC5-1CBC98FBB7A9}"/>
    <cellStyle name="Итог 1 2 9 3" xfId="43091" xr:uid="{C9212A7E-9E1D-4FD9-9C64-DD8BD9F6E63E}"/>
    <cellStyle name="Итог 1 20" xfId="4009" xr:uid="{F3EC1125-23FD-4102-A8FE-77DE61F581E8}"/>
    <cellStyle name="Итог 1 20 2" xfId="3239" xr:uid="{DDA08C8D-55C8-4D19-8E75-BD3CE7C0AF1C}"/>
    <cellStyle name="Итог 1 20 2 2" xfId="8530" xr:uid="{7FDFD92F-655C-4C62-9830-720A855E4582}"/>
    <cellStyle name="Итог 1 20 2 2 2" xfId="10700" xr:uid="{F3D388D7-74B7-44CB-BBC2-7C1D9E4F1DA1}"/>
    <cellStyle name="Итог 1 20 2 2 2 2" xfId="27545" xr:uid="{70BFBB53-1264-45D5-89C2-FBD81BEB4BD5}"/>
    <cellStyle name="Итог 1 20 2 2 2 3" xfId="40681" xr:uid="{2BA2756F-60D1-411D-A08B-EE56718361A0}"/>
    <cellStyle name="Итог 1 20 2 2 3" xfId="26029" xr:uid="{F2A8F102-A230-4A54-A70F-8A13B70326CC}"/>
    <cellStyle name="Итог 1 20 2 2 4" xfId="39105" xr:uid="{9408D2A8-0297-422C-B1B1-DE3B89C3E740}"/>
    <cellStyle name="Итог 1 20 2 3" xfId="6898" xr:uid="{1553EE16-9149-4BAF-B145-6848831D44C8}"/>
    <cellStyle name="Итог 1 20 2 3 2" xfId="13628" xr:uid="{BBB40541-FE4B-4DD7-A314-994534BD23E6}"/>
    <cellStyle name="Итог 1 20 2 3 2 2" xfId="30064" xr:uid="{5C014618-52DD-4B12-9665-692CED9EE532}"/>
    <cellStyle name="Итог 1 20 2 3 2 3" xfId="43419" xr:uid="{B73BFFF4-7842-40BB-8514-381454D2E636}"/>
    <cellStyle name="Итог 1 20 2 3 3" xfId="24521" xr:uid="{7AF32C87-2CE1-4DD8-9CA8-A49AC8EFDCDF}"/>
    <cellStyle name="Итог 1 20 2 3 4" xfId="37602" xr:uid="{8E898F93-8DF6-4185-B8C5-A889B9FEC6D1}"/>
    <cellStyle name="Итог 1 20 2 4" xfId="14058" xr:uid="{24EAC74F-2ECF-40BD-941B-4EB7695FFC0A}"/>
    <cellStyle name="Итог 1 20 2 4 2" xfId="30428" xr:uid="{EF38A991-8F08-4F75-AAAA-3CABC5ABD598}"/>
    <cellStyle name="Итог 1 20 2 4 3" xfId="43811" xr:uid="{B4A628ED-21A6-4C85-B943-9A001B2A500B}"/>
    <cellStyle name="Итог 1 20 2 5" xfId="21273" xr:uid="{7C9A7EDE-0C95-4D68-AEB4-9F30430F0E87}"/>
    <cellStyle name="Итог 1 20 2 6" xfId="34296" xr:uid="{69306678-DC99-4B4E-AAEF-05A86CE3C238}"/>
    <cellStyle name="Итог 1 20 3" xfId="4916" xr:uid="{39FC7B4D-80E5-4CD2-BC93-E05D5A5C41D2}"/>
    <cellStyle name="Итог 1 20 3 2" xfId="7584" xr:uid="{FF9CC790-58D7-4AEB-8DD4-5AA7BB4E9313}"/>
    <cellStyle name="Итог 1 20 3 2 2" xfId="15119" xr:uid="{0AE83663-72E5-4E34-B01E-45E6D1976136}"/>
    <cellStyle name="Итог 1 20 3 2 2 2" xfId="31322" xr:uid="{A99064FD-CBC4-4B64-B58B-8CED813E136E}"/>
    <cellStyle name="Итог 1 20 3 2 2 3" xfId="44784" xr:uid="{EEFDD89E-CDCA-4F7F-8BF9-3DB5FCFFC9CF}"/>
    <cellStyle name="Итог 1 20 3 2 3" xfId="25112" xr:uid="{575B45BC-9D48-4148-800A-C1243D10A932}"/>
    <cellStyle name="Итог 1 20 3 2 4" xfId="38188" xr:uid="{1F3B3134-68FE-44D8-86FB-B3BCAB4FDA5C}"/>
    <cellStyle name="Итог 1 20 3 3" xfId="12532" xr:uid="{FA0E7D60-7D18-4C8F-BEC9-B0FFC8CFD835}"/>
    <cellStyle name="Итог 1 20 3 3 2" xfId="29157" xr:uid="{1467E940-D55B-4120-9975-95BDD2FDD034}"/>
    <cellStyle name="Итог 1 20 3 3 3" xfId="42416" xr:uid="{97C49A6C-B0DD-46F7-A0C5-A4EB7987DA0B}"/>
    <cellStyle name="Итог 1 20 3 4" xfId="22713" xr:uid="{35D42E07-C5B9-424A-A063-A20ABABA3EC2}"/>
    <cellStyle name="Итог 1 20 3 5" xfId="35766" xr:uid="{A0259517-0B69-44EE-98BD-C798165826DF}"/>
    <cellStyle name="Итог 1 20 4" xfId="5938" xr:uid="{5C05B5A8-C0AC-4780-9B7E-63D51D7755B8}"/>
    <cellStyle name="Итог 1 20 4 2" xfId="9867" xr:uid="{DEEC4B26-304E-4AD8-8581-29959B054EBD}"/>
    <cellStyle name="Итог 1 20 4 2 2" xfId="15350" xr:uid="{55C2E979-FB42-4395-84A2-B0A09F40C4C1}"/>
    <cellStyle name="Итог 1 20 4 2 2 2" xfId="31507" xr:uid="{759735B4-2C8C-4C80-AEC7-6AC4A8F422B0}"/>
    <cellStyle name="Итог 1 20 4 2 2 3" xfId="44993" xr:uid="{54331334-6A6F-4AC7-9F21-D9C7A42A12D0}"/>
    <cellStyle name="Итог 1 20 4 2 3" xfId="27163" xr:uid="{531495A6-2483-42B4-9543-2980E6A5563D}"/>
    <cellStyle name="Итог 1 20 4 2 4" xfId="40282" xr:uid="{425FA30B-6339-4926-B33B-13B6BB4372FF}"/>
    <cellStyle name="Итог 1 20 4 3" xfId="17273" xr:uid="{B44555DF-68FE-494F-ADF6-43920B6161B1}"/>
    <cellStyle name="Итог 1 20 4 3 2" xfId="33032" xr:uid="{B56CF0FF-C54C-4B67-9940-008F8CFCDDC1}"/>
    <cellStyle name="Итог 1 20 4 3 3" xfId="46807" xr:uid="{5308AD68-D26A-45C9-9D9E-AB2AECA50B2A}"/>
    <cellStyle name="Итог 1 20 4 4" xfId="23585" xr:uid="{1407E28A-ABD6-4CB3-8249-AF7A34CE92ED}"/>
    <cellStyle name="Итог 1 20 4 5" xfId="36666" xr:uid="{E789AA99-049A-4831-9EE3-18E55FE7902D}"/>
    <cellStyle name="Итог 1 20 5" xfId="6108" xr:uid="{F74561A6-19FD-4DC6-B2CD-AE561361D9D7}"/>
    <cellStyle name="Итог 1 20 5 2" xfId="14625" xr:uid="{D900E18F-8B6D-4A97-B044-EFEFF33FEFD0}"/>
    <cellStyle name="Итог 1 20 5 2 2" xfId="30922" xr:uid="{B70761A9-9C51-492D-A9E1-78FEF7E84D92}"/>
    <cellStyle name="Итог 1 20 5 2 3" xfId="44343" xr:uid="{B051CDEF-0E85-42D0-AB2B-CA6216C24B49}"/>
    <cellStyle name="Итог 1 20 5 3" xfId="23754" xr:uid="{3130501F-3715-4A8F-A2E5-666E811442DB}"/>
    <cellStyle name="Итог 1 20 5 4" xfId="36835" xr:uid="{04C0E5D1-1841-4FAD-BB86-7C9F1776BA92}"/>
    <cellStyle name="Итог 1 20 6" xfId="14149" xr:uid="{3448E08F-01A9-4FA7-AEF5-3B0B35DE4AE3}"/>
    <cellStyle name="Итог 1 20 6 2" xfId="30509" xr:uid="{7727058C-85D4-48A0-A3BE-3C0C43BF13AC}"/>
    <cellStyle name="Итог 1 20 6 3" xfId="43895" xr:uid="{67371701-B01F-497C-A796-A45C6EEA05B7}"/>
    <cellStyle name="Итог 1 20 7" xfId="21852" xr:uid="{D7B551BF-593F-4617-81BF-31DC0981DF19}"/>
    <cellStyle name="Итог 1 20 8" xfId="34901" xr:uid="{B747F973-6263-4C55-A45E-D22DD91D9DA4}"/>
    <cellStyle name="Итог 1 21" xfId="3182" xr:uid="{0FA90CFD-5FE4-4535-9C3D-D71C615B3827}"/>
    <cellStyle name="Итог 1 21 2" xfId="8474" xr:uid="{35037AE3-892E-41E1-8516-DE12AAC285D9}"/>
    <cellStyle name="Итог 1 21 2 2" xfId="12571" xr:uid="{0D9A3D85-77AC-4B1D-8470-4072A575335F}"/>
    <cellStyle name="Итог 1 21 2 2 2" xfId="29189" xr:uid="{D385EAEB-3F6C-4DB4-8B41-7D0D1E064713}"/>
    <cellStyle name="Итог 1 21 2 2 3" xfId="42451" xr:uid="{32AF8324-05B6-498B-AD7D-332E54A59F99}"/>
    <cellStyle name="Итог 1 21 2 3" xfId="25974" xr:uid="{50A3073E-968E-469B-9F0C-667BB3404D13}"/>
    <cellStyle name="Итог 1 21 2 4" xfId="39050" xr:uid="{B0218606-1222-4B3C-9D27-08A970EA4393}"/>
    <cellStyle name="Итог 1 21 3" xfId="6841" xr:uid="{E5AF9666-B0D7-4D5F-91B3-71B05DDF6E86}"/>
    <cellStyle name="Итог 1 21 3 2" xfId="16585" xr:uid="{DC5FB688-1DB4-4E60-8FC3-FD14A0DF5032}"/>
    <cellStyle name="Итог 1 21 3 2 2" xfId="32508" xr:uid="{A65FD5A7-210C-4A10-AFDA-2AEC3384ECD3}"/>
    <cellStyle name="Итог 1 21 3 2 3" xfId="46132" xr:uid="{E4F0CDD2-9C9C-457D-982D-90A97B709F17}"/>
    <cellStyle name="Итог 1 21 3 3" xfId="24465" xr:uid="{1B4110B6-B18F-497B-AF7E-E0F8FBDC608F}"/>
    <cellStyle name="Итог 1 21 3 4" xfId="37546" xr:uid="{B40300C5-03E2-4038-9436-D0AF222BADC6}"/>
    <cellStyle name="Итог 1 21 4" xfId="13932" xr:uid="{69194144-CFFA-429B-B34D-1EE5DC2AE727}"/>
    <cellStyle name="Итог 1 21 4 2" xfId="30321" xr:uid="{036D6413-BC02-4513-A881-FE8F57A4736A}"/>
    <cellStyle name="Итог 1 21 4 3" xfId="43697" xr:uid="{B80E787B-43CB-4562-A566-D2C410222589}"/>
    <cellStyle name="Итог 1 21 5" xfId="21217" xr:uid="{CD1F0EEA-B0EA-407F-9B66-029E411FF61B}"/>
    <cellStyle name="Итог 1 21 6" xfId="34240" xr:uid="{409B3557-6712-4ABB-B5C0-9D4FA44327EB}"/>
    <cellStyle name="Итог 1 22" xfId="2650" xr:uid="{3E0478FA-A7BB-4605-91F5-B57E84CC8BBC}"/>
    <cellStyle name="Итог 1 22 2" xfId="7947" xr:uid="{B4216764-E2EC-4BE3-98CF-1D584F35BD34}"/>
    <cellStyle name="Итог 1 22 2 2" xfId="12830" xr:uid="{BA6AEA1D-6BDD-48B4-A2C5-B09B2A239E7C}"/>
    <cellStyle name="Итог 1 22 2 2 2" xfId="29402" xr:uid="{2766F397-E769-400E-8826-8B6BCEDD4693}"/>
    <cellStyle name="Итог 1 22 2 2 3" xfId="42684" xr:uid="{3A29CC71-2820-4F3F-8F9C-9CE6D678E003}"/>
    <cellStyle name="Итог 1 22 2 3" xfId="25463" xr:uid="{7A6DD144-7923-4D2F-9711-0480CFB3A44B}"/>
    <cellStyle name="Итог 1 22 2 4" xfId="38539" xr:uid="{0DD464DF-622A-43AB-82E3-6ACC0D13AA87}"/>
    <cellStyle name="Итог 1 22 3" xfId="6314" xr:uid="{4E9C0481-4AF7-4FDB-A881-3398007D9E9A}"/>
    <cellStyle name="Итог 1 22 3 2" xfId="16831" xr:uid="{A4085195-C6FA-44FA-AB39-B2CA6B031E8D}"/>
    <cellStyle name="Итог 1 22 3 2 2" xfId="32711" xr:uid="{6B7212C7-7D84-40E9-A035-250E0F455B02}"/>
    <cellStyle name="Итог 1 22 3 2 3" xfId="46374" xr:uid="{B207B5C7-5EBD-45F3-9F6E-EB8845A7DC2C}"/>
    <cellStyle name="Итог 1 22 3 3" xfId="23954" xr:uid="{1D6903A2-AC4E-4244-991E-9EEBECE40ED2}"/>
    <cellStyle name="Итог 1 22 3 4" xfId="37035" xr:uid="{2E1FA2BE-88F0-486A-81B5-0A575AB5CE5C}"/>
    <cellStyle name="Итог 1 22 4" xfId="12741" xr:uid="{2DF1793F-884A-4046-9437-E0AD8F9626C8}"/>
    <cellStyle name="Итог 1 22 4 2" xfId="29320" xr:uid="{F81612AF-E451-4460-8EC6-111AFDDB59FB}"/>
    <cellStyle name="Итог 1 22 4 3" xfId="42599" xr:uid="{C39FC35F-7610-4BBE-BE74-A39F2D651FC9}"/>
    <cellStyle name="Итог 1 22 5" xfId="20706" xr:uid="{3BE16FC9-7A54-4A01-B35A-8ACCC3FEDDCE}"/>
    <cellStyle name="Итог 1 22 6" xfId="33729" xr:uid="{81522773-C5CE-42F5-8979-6637277C9660}"/>
    <cellStyle name="Итог 1 23" xfId="4154" xr:uid="{38107DB2-4DAA-4AF8-A7D1-96CC7F21EDE0}"/>
    <cellStyle name="Итог 1 23 2" xfId="9206" xr:uid="{940B36CD-2750-446B-9F53-7E0317C03935}"/>
    <cellStyle name="Итог 1 23 2 2" xfId="14979" xr:uid="{58D512BD-8009-438C-8468-ED6E2BD5AF9D}"/>
    <cellStyle name="Итог 1 23 2 2 2" xfId="31215" xr:uid="{48E8EE26-6700-4570-B913-E775B9365D34}"/>
    <cellStyle name="Итог 1 23 2 2 3" xfId="44663" xr:uid="{A987E63F-27F1-4576-9E5D-074EAD98E071}"/>
    <cellStyle name="Итог 1 23 2 3" xfId="26681" xr:uid="{D606C2CB-C3C9-4212-8595-3CC851D7DD70}"/>
    <cellStyle name="Итог 1 23 2 4" xfId="39757" xr:uid="{E8A1F441-E56B-4454-8BAF-4C198A2CB476}"/>
    <cellStyle name="Итог 1 23 3" xfId="7718" xr:uid="{11042D6B-A581-4733-A282-7F7FCEF061DD}"/>
    <cellStyle name="Итог 1 23 3 2" xfId="11158" xr:uid="{3F1446C9-F7EE-4E15-8B71-634DDE20295F}"/>
    <cellStyle name="Итог 1 23 3 2 2" xfId="27953" xr:uid="{8865DF7D-87C3-4E90-BE16-C55E02CD07E4}"/>
    <cellStyle name="Итог 1 23 3 2 3" xfId="41134" xr:uid="{19D0499A-0127-4652-BC78-C1F24FB1BFE1}"/>
    <cellStyle name="Итог 1 23 3 3" xfId="25240" xr:uid="{E01E9D1D-A1D8-47F7-9992-721815265774}"/>
    <cellStyle name="Итог 1 23 3 4" xfId="38316" xr:uid="{B4E95BCE-F8E2-4B3F-8690-C7B910A45FED}"/>
    <cellStyle name="Итог 1 23 4" xfId="12643" xr:uid="{E2B26FED-80C8-472D-AD8B-EF70E1B8AC4E}"/>
    <cellStyle name="Итог 1 23 4 2" xfId="29246" xr:uid="{039C84A5-B5BB-4A7D-A277-725CE3D0826D}"/>
    <cellStyle name="Итог 1 23 4 3" xfId="42514" xr:uid="{B364A1C8-68E9-4E7B-BFFC-9A78BD41853A}"/>
    <cellStyle name="Итог 1 23 5" xfId="21981" xr:uid="{BA973F7F-42D8-49D3-A57A-BC1CB66F84FF}"/>
    <cellStyle name="Итог 1 23 6" xfId="35030" xr:uid="{AA69B3DC-A4ED-4DC1-85A7-9ED5DAACC1F6}"/>
    <cellStyle name="Итог 1 24" xfId="2559" xr:uid="{E97A3F92-7B76-4DFC-B21B-D04DD6D95D8E}"/>
    <cellStyle name="Итог 1 24 2" xfId="7857" xr:uid="{7A52DFAF-9B4D-46A0-9501-A06D2355C7A3}"/>
    <cellStyle name="Итог 1 24 2 2" xfId="13734" xr:uid="{00FD097E-8C41-4C96-98E0-E72981957625}"/>
    <cellStyle name="Итог 1 24 2 2 2" xfId="30149" xr:uid="{EBF908A1-5CCC-482E-B212-0A89E27283ED}"/>
    <cellStyle name="Итог 1 24 2 2 3" xfId="43511" xr:uid="{B0CFACBF-743C-4039-A829-304FDD5BF79A}"/>
    <cellStyle name="Итог 1 24 2 3" xfId="25376" xr:uid="{EF75B8FE-E468-43D3-B016-A0ADAB28370A}"/>
    <cellStyle name="Итог 1 24 2 4" xfId="38452" xr:uid="{F6FEC7C3-F8E2-4D76-B472-7C3342086B22}"/>
    <cellStyle name="Итог 1 24 3" xfId="6224" xr:uid="{A71414CF-A832-4CF0-80AA-E8279760DC53}"/>
    <cellStyle name="Итог 1 24 3 2" xfId="12453" xr:uid="{5A93CFAC-9333-42A7-A448-E8531BE89E99}"/>
    <cellStyle name="Итог 1 24 3 2 2" xfId="29101" xr:uid="{CA4A2635-D308-4202-8E64-98C7AB8BF601}"/>
    <cellStyle name="Итог 1 24 3 2 3" xfId="42350" xr:uid="{35FC26B5-F8C7-4D06-8302-7CE0EEE350DE}"/>
    <cellStyle name="Итог 1 24 3 3" xfId="23867" xr:uid="{FBC23AFF-C0BE-4D5B-AFF1-B38BEE83874E}"/>
    <cellStyle name="Итог 1 24 3 4" xfId="36948" xr:uid="{E76C0505-98DD-4751-988C-F655F3267715}"/>
    <cellStyle name="Итог 1 24 4" xfId="12237" xr:uid="{8AB95833-1D54-4419-ABF2-D53DACCA5112}"/>
    <cellStyle name="Итог 1 24 4 2" xfId="28919" xr:uid="{0C424235-BE1B-4CAA-984C-80C367FE0E7D}"/>
    <cellStyle name="Итог 1 24 4 3" xfId="42152" xr:uid="{2BDF7BF7-DD6B-4B8C-9203-1BDDBF38DA98}"/>
    <cellStyle name="Итог 1 24 5" xfId="20619" xr:uid="{CF6953DD-941B-4F07-AF92-81B03E35F90A}"/>
    <cellStyle name="Итог 1 24 6" xfId="33642" xr:uid="{AB3C91CC-E353-447A-BC0C-2AF6205BC96C}"/>
    <cellStyle name="Итог 1 25" xfId="2529" xr:uid="{BC413771-8E47-4217-9068-5680078DF02D}"/>
    <cellStyle name="Итог 1 25 2" xfId="6134" xr:uid="{BFAF5098-E927-49D1-B54D-61C4886F6527}"/>
    <cellStyle name="Итог 1 25 2 2" xfId="12806" xr:uid="{0B172935-522D-4CFA-A736-A5AE615C3905}"/>
    <cellStyle name="Итог 1 25 2 2 2" xfId="29380" xr:uid="{9CC30EAA-F78F-4C9B-A221-E0C7C1508DB7}"/>
    <cellStyle name="Итог 1 25 2 2 3" xfId="42661" xr:uid="{7564AF96-37BD-4315-8190-E1767DD7BB4A}"/>
    <cellStyle name="Итог 1 25 2 3" xfId="23779" xr:uid="{085BECB7-6F80-4386-A93F-50F1E5946A3B}"/>
    <cellStyle name="Итог 1 25 2 4" xfId="36860" xr:uid="{305F56ED-8BEF-4C6A-887F-91C51FC47064}"/>
    <cellStyle name="Итог 1 25 3" xfId="6195" xr:uid="{700E8031-94E6-4B6D-B50E-3DAC8DCDF00C}"/>
    <cellStyle name="Итог 1 25 3 2" xfId="10628" xr:uid="{4FF973BC-90B1-4563-8F21-8AE3DF813552}"/>
    <cellStyle name="Итог 1 25 3 2 2" xfId="27487" xr:uid="{5743B279-8A67-4AF6-A700-E41AD200D528}"/>
    <cellStyle name="Итог 1 25 3 2 3" xfId="40609" xr:uid="{3C0A062A-4BCF-4BB1-BB7A-57CAAC5C194B}"/>
    <cellStyle name="Итог 1 25 3 3" xfId="23840" xr:uid="{D89CB809-2F73-49A9-A725-17598DA03BC9}"/>
    <cellStyle name="Итог 1 25 3 4" xfId="36921" xr:uid="{17611DD4-F061-45F4-84C9-2ECCF9B763A5}"/>
    <cellStyle name="Итог 1 25 4" xfId="13700" xr:uid="{D8F73F7E-B27F-40EA-BCCA-8E27961510C0}"/>
    <cellStyle name="Итог 1 25 4 2" xfId="30121" xr:uid="{63313E56-0FAF-4E1F-B4E5-17A9F3EF12FC}"/>
    <cellStyle name="Итог 1 25 4 3" xfId="43480" xr:uid="{93E4B6E5-54C4-4722-9C19-D41E08723E68}"/>
    <cellStyle name="Итог 1 25 5" xfId="20592" xr:uid="{7E4BF343-D71E-4094-9510-E238A979CF73}"/>
    <cellStyle name="Итог 1 25 6" xfId="33615" xr:uid="{084FFD3F-DAC1-499F-897B-BB647577C01D}"/>
    <cellStyle name="Итог 1 26" xfId="4300" xr:uid="{9518D2C6-6BD1-4D8B-8DE2-F96A7593AD99}"/>
    <cellStyle name="Итог 1 26 2" xfId="6169" xr:uid="{C45D70A8-C246-4A4D-A27D-75287A559731}"/>
    <cellStyle name="Итог 1 26 2 2" xfId="17208" xr:uid="{D81DA00E-4C97-412C-BB86-25E7133554E7}"/>
    <cellStyle name="Итог 1 26 2 2 2" xfId="32970" xr:uid="{D71937C0-144D-4FE7-9944-F50F94A5FE30}"/>
    <cellStyle name="Итог 1 26 2 2 3" xfId="46743" xr:uid="{EFF5190C-55CF-431C-8B83-BCC628BAC548}"/>
    <cellStyle name="Итог 1 26 2 3" xfId="23814" xr:uid="{2272026F-5D7B-4A40-87DD-B3517768B542}"/>
    <cellStyle name="Итог 1 26 2 4" xfId="36895" xr:uid="{9146CE76-8BF8-4584-8169-674F0C65D905}"/>
    <cellStyle name="Итог 1 26 3" xfId="11867" xr:uid="{AB718313-8C12-4555-8F86-E7953DEF27C0}"/>
    <cellStyle name="Итог 1 26 3 2" xfId="28583" xr:uid="{E31CCC24-52D8-42F3-AAB9-3A343088FB86}"/>
    <cellStyle name="Итог 1 26 3 3" xfId="41799" xr:uid="{D9C39EBC-7C1A-4BF1-9E64-42F797F96108}"/>
    <cellStyle name="Итог 1 26 4" xfId="22121" xr:uid="{8A863A92-AED3-4178-9894-F2C73463D245}"/>
    <cellStyle name="Итог 1 26 5" xfId="35170" xr:uid="{4AE7BE7C-7424-4DAC-BC3E-F2746EF635AA}"/>
    <cellStyle name="Итог 1 27" xfId="5280" xr:uid="{4FA91347-909E-4540-8F07-BA076F0C2D2F}"/>
    <cellStyle name="Итог 1 27 2" xfId="9713" xr:uid="{0CF85ECB-AA53-4372-B67B-978A4E5855FD}"/>
    <cellStyle name="Итог 1 27 2 2" xfId="10643" xr:uid="{F569AB7D-8C47-4CDE-A8D4-CB94A199C038}"/>
    <cellStyle name="Итог 1 27 2 2 2" xfId="27497" xr:uid="{756B8AC6-28A8-4D11-9EDE-D74624C59673}"/>
    <cellStyle name="Итог 1 27 2 2 3" xfId="40624" xr:uid="{62532084-22AD-4A4E-BAC8-20B579C43010}"/>
    <cellStyle name="Итог 1 27 2 3" xfId="27012" xr:uid="{5377D9F7-8522-464A-BD06-2B36F77B6294}"/>
    <cellStyle name="Итог 1 27 2 4" xfId="40129" xr:uid="{9CC6E717-8441-468C-BCCC-6DCAE5015F56}"/>
    <cellStyle name="Итог 1 27 3" xfId="12843" xr:uid="{512C9B84-8B90-4003-90FF-4D66E6755311}"/>
    <cellStyle name="Итог 1 27 3 2" xfId="29413" xr:uid="{D6B577DD-98FD-40A5-9F84-6BCF5F10D88D}"/>
    <cellStyle name="Итог 1 27 3 3" xfId="42696" xr:uid="{DFEF2535-C183-4F5A-9198-6405470C9B22}"/>
    <cellStyle name="Итог 1 27 4" xfId="22931" xr:uid="{BCEEBF67-2CCA-40F0-A3B4-3ACA3FDB18E2}"/>
    <cellStyle name="Итог 1 27 5" xfId="36010" xr:uid="{25702988-A818-4012-8839-4326B6D37FFC}"/>
    <cellStyle name="Итог 1 28" xfId="5356" xr:uid="{9631F513-A382-4FE8-8D74-458D95043A46}"/>
    <cellStyle name="Итог 1 28 2" xfId="9787" xr:uid="{282CBD48-6BC6-4846-A8D4-5DB6F651EA35}"/>
    <cellStyle name="Итог 1 28 2 2" xfId="10840" xr:uid="{D3A116C8-D8B5-4451-B7C1-54670D929FEE}"/>
    <cellStyle name="Итог 1 28 2 2 2" xfId="27670" xr:uid="{F14FD7BF-44DC-4166-9536-33CB95990E1D}"/>
    <cellStyle name="Итог 1 28 2 2 3" xfId="40821" xr:uid="{5C2A7AA1-8E50-4ABD-A9DF-8BCA32E0C339}"/>
    <cellStyle name="Итог 1 28 2 3" xfId="27084" xr:uid="{D8357666-591A-4E3F-986A-2EED379925C7}"/>
    <cellStyle name="Итог 1 28 2 4" xfId="40203" xr:uid="{2BA3EA3E-1826-4654-9209-29E5D5AB5D6F}"/>
    <cellStyle name="Итог 1 28 3" xfId="12233" xr:uid="{623094B9-F9A0-4015-AA7E-F8F97C31C893}"/>
    <cellStyle name="Итог 1 28 3 2" xfId="28915" xr:uid="{E5B37AF9-DFF2-475E-8CB5-31F8BC488F23}"/>
    <cellStyle name="Итог 1 28 3 3" xfId="42148" xr:uid="{8E01CCA8-ECCA-4EB3-AEDF-72F7F01CB526}"/>
    <cellStyle name="Итог 1 28 4" xfId="23003" xr:uid="{B3A0009D-A740-4699-9356-EEF0F41B369C}"/>
    <cellStyle name="Итог 1 28 5" xfId="36084" xr:uid="{36DBFFC2-B919-4D51-BA71-775F05A5F76C}"/>
    <cellStyle name="Итог 1 29" xfId="10570" xr:uid="{9A3D3B8D-EAB1-4A98-A1D8-5F02EAC4F8D6}"/>
    <cellStyle name="Итог 1 29 2" xfId="17615" xr:uid="{D6F3FBC9-F031-497C-85FB-636AB51E7AFE}"/>
    <cellStyle name="Итог 1 29 2 2" xfId="33350" xr:uid="{074EBEAB-A381-4294-BB54-3B9D4A118B4B}"/>
    <cellStyle name="Итог 1 29 2 3" xfId="47140" xr:uid="{CAACF493-A37F-4ACD-8E39-459D8E876BE8}"/>
    <cellStyle name="Итог 1 29 3" xfId="27429" xr:uid="{C96A98C2-9643-471D-8AEC-BEF00DDA9B10}"/>
    <cellStyle name="Итог 1 29 4" xfId="40551" xr:uid="{91CAED97-7144-46A7-83E4-F5BAEDFB7E9C}"/>
    <cellStyle name="Итог 1 3" xfId="3327" xr:uid="{5F5FAA5A-6F34-46DA-9A30-816D0987B234}"/>
    <cellStyle name="Итог 1 3 10" xfId="34374" xr:uid="{ADD5BCDD-E99D-492B-8E43-98F28F7336BC}"/>
    <cellStyle name="Итог 1 3 2" xfId="2689" xr:uid="{E12CEED1-E367-413B-B5F8-82910A8C2F55}"/>
    <cellStyle name="Итог 1 3 2 2" xfId="7985" xr:uid="{A228B1B0-0675-44BC-B227-486828EBC30A}"/>
    <cellStyle name="Итог 1 3 2 2 2" xfId="14472" xr:uid="{221D4695-B5BC-4069-B748-C88A8A686114}"/>
    <cellStyle name="Итог 1 3 2 2 2 2" xfId="30796" xr:uid="{57A090EA-B853-4EC6-809B-7353B1D9908C}"/>
    <cellStyle name="Итог 1 3 2 2 2 3" xfId="44201" xr:uid="{5CF6C57C-6E54-4230-81E7-3075C8583AE9}"/>
    <cellStyle name="Итог 1 3 2 2 3" xfId="25501" xr:uid="{595B1822-9DA0-4703-9F0C-51BFE084AB3F}"/>
    <cellStyle name="Итог 1 3 2 2 4" xfId="38577" xr:uid="{16F4A303-6593-4A01-A9E8-CB052B2A8808}"/>
    <cellStyle name="Итог 1 3 2 3" xfId="6352" xr:uid="{1EDEF2A7-2E51-4C32-BA83-738AD6F85C7C}"/>
    <cellStyle name="Итог 1 3 2 3 2" xfId="17140" xr:uid="{CB8110C3-405D-461D-B6AE-D4BB0898DE98}"/>
    <cellStyle name="Итог 1 3 2 3 2 2" xfId="32903" xr:uid="{8D8D73CE-26DC-4808-8066-316C480361E3}"/>
    <cellStyle name="Итог 1 3 2 3 2 3" xfId="46675" xr:uid="{9EE0FCAA-4A4F-4D17-A6FB-F085EB6223E2}"/>
    <cellStyle name="Итог 1 3 2 3 3" xfId="23992" xr:uid="{66BB3DB3-7109-4435-B53D-2B57FDED5E9C}"/>
    <cellStyle name="Итог 1 3 2 3 4" xfId="37073" xr:uid="{D9B3DEDB-F44E-4233-BB55-BCD0CFD48FDD}"/>
    <cellStyle name="Итог 1 3 2 4" xfId="16336" xr:uid="{D1438981-3D23-4100-AB06-27EA1E78B3B8}"/>
    <cellStyle name="Итог 1 3 2 4 2" xfId="32360" xr:uid="{23BD69C2-E5D8-48A4-997D-04677BAA1427}"/>
    <cellStyle name="Итог 1 3 2 4 3" xfId="45891" xr:uid="{7B2D84DB-2D1C-4B9D-8B58-7907EC65A43C}"/>
    <cellStyle name="Итог 1 3 2 5" xfId="20744" xr:uid="{BB0AF3F9-D025-4844-A98E-82CD2964224E}"/>
    <cellStyle name="Итог 1 3 2 6" xfId="33767" xr:uid="{AEDDA82E-E7A6-451B-A388-321D7C1E07AD}"/>
    <cellStyle name="Итог 1 3 3" xfId="4074" xr:uid="{DF7E56A4-6DEE-4C35-B449-D3F5FE738997}"/>
    <cellStyle name="Итог 1 3 3 2" xfId="9126" xr:uid="{85DD9B9E-97A5-47BD-B424-2942690C3297}"/>
    <cellStyle name="Итог 1 3 3 2 2" xfId="15476" xr:uid="{4AB99731-441E-4381-A5E8-30F4A7FAA097}"/>
    <cellStyle name="Итог 1 3 3 2 2 2" xfId="31618" xr:uid="{63AD8999-6501-45E3-B365-1876E6B497E5}"/>
    <cellStyle name="Итог 1 3 3 2 2 3" xfId="45115" xr:uid="{93EDA8B9-5C8D-4BF1-AB3D-B016855FDA11}"/>
    <cellStyle name="Итог 1 3 3 2 3" xfId="26607" xr:uid="{E4B997EB-AEFF-4768-9C99-B479B5036549}"/>
    <cellStyle name="Итог 1 3 3 2 4" xfId="39683" xr:uid="{442136E4-4905-40F9-ADB9-68B409531F62}"/>
    <cellStyle name="Итог 1 3 3 3" xfId="7638" xr:uid="{662C4674-197A-4004-922A-4560A838632C}"/>
    <cellStyle name="Итог 1 3 3 3 2" xfId="16196" xr:uid="{12BA8DCB-ABC6-4DA6-B2C5-6DB1428BACF4}"/>
    <cellStyle name="Итог 1 3 3 3 2 2" xfId="32240" xr:uid="{0F7B4C45-4C25-4B7F-93CB-75F7686A3437}"/>
    <cellStyle name="Итог 1 3 3 3 2 3" xfId="45764" xr:uid="{73D831FB-20ED-4CD3-907E-D200000A63FB}"/>
    <cellStyle name="Итог 1 3 3 3 3" xfId="25166" xr:uid="{6B75EC39-4BBC-4AA0-9B0F-947DF3D4C4AD}"/>
    <cellStyle name="Итог 1 3 3 3 4" xfId="38242" xr:uid="{DCC69BF9-D6B3-4B09-8B8B-7F6F2BB75E12}"/>
    <cellStyle name="Итог 1 3 3 4" xfId="11737" xr:uid="{0B1E6196-9079-4EE9-9A17-35AAD719093C}"/>
    <cellStyle name="Итог 1 3 3 4 2" xfId="28464" xr:uid="{05FD4C86-BB7F-4012-950D-C84647CF710F}"/>
    <cellStyle name="Итог 1 3 3 4 3" xfId="41675" xr:uid="{38053736-3D3A-4E2D-98EA-5B4756906D71}"/>
    <cellStyle name="Итог 1 3 3 5" xfId="21907" xr:uid="{F1B3572D-5D2A-48A0-8844-9748580FCCC0}"/>
    <cellStyle name="Итог 1 3 3 6" xfId="34956" xr:uid="{66CFD5CE-3914-455B-88EE-F3C1DF592445}"/>
    <cellStyle name="Итог 1 3 4" xfId="2575" xr:uid="{FC701010-7913-4E6B-9BF7-3D9384CD5265}"/>
    <cellStyle name="Итог 1 3 4 2" xfId="7872" xr:uid="{78629A09-6726-49DC-965A-C71339A72F12}"/>
    <cellStyle name="Итог 1 3 4 2 2" xfId="16687" xr:uid="{DC5524F4-E816-4E0C-9D3D-04B34FC0321E}"/>
    <cellStyle name="Итог 1 3 4 2 2 2" xfId="32574" xr:uid="{3BAACC90-E585-41FC-96BE-4DFB7BB759BA}"/>
    <cellStyle name="Итог 1 3 4 2 2 3" xfId="46232" xr:uid="{50046988-2B7F-4296-AD87-7E0FBD806930}"/>
    <cellStyle name="Итог 1 3 4 2 3" xfId="25391" xr:uid="{53858B8A-1371-4798-B607-F41821655D71}"/>
    <cellStyle name="Итог 1 3 4 2 4" xfId="38467" xr:uid="{B669AB91-903E-4DE4-92EB-55F6F7DDB0F0}"/>
    <cellStyle name="Итог 1 3 4 3" xfId="6239" xr:uid="{451A852E-E571-47DB-8D44-E8EE548C491F}"/>
    <cellStyle name="Итог 1 3 4 3 2" xfId="14265" xr:uid="{23A8EDF1-C92D-46E8-9B4F-62634C5DEB93}"/>
    <cellStyle name="Итог 1 3 4 3 2 2" xfId="30608" xr:uid="{92B540E7-AFA9-4BAC-88A0-6F79E79D8C49}"/>
    <cellStyle name="Итог 1 3 4 3 2 3" xfId="44001" xr:uid="{BB1E420C-9826-4D72-AC0E-E031939E158A}"/>
    <cellStyle name="Итог 1 3 4 3 3" xfId="23882" xr:uid="{D7B310A9-EBD9-46BF-9B2A-A86F8D968338}"/>
    <cellStyle name="Итог 1 3 4 3 4" xfId="36963" xr:uid="{4EA0F530-25CD-419F-95D7-218B24ED19E5}"/>
    <cellStyle name="Итог 1 3 4 4" xfId="12971" xr:uid="{BB801C49-846C-45EA-B9E3-E0120F813DAA}"/>
    <cellStyle name="Итог 1 3 4 4 2" xfId="29509" xr:uid="{17F5B795-C27C-48D7-A5DA-82332006CCCD}"/>
    <cellStyle name="Итог 1 3 4 4 3" xfId="42808" xr:uid="{4CD10794-851E-4427-86A1-01E7509C4986}"/>
    <cellStyle name="Итог 1 3 4 5" xfId="20634" xr:uid="{66E0B399-60C8-4165-920A-647CF3827A7E}"/>
    <cellStyle name="Итог 1 3 4 6" xfId="33657" xr:uid="{8729A853-13A3-4C64-8C6C-A4AABBFBD5FC}"/>
    <cellStyle name="Итог 1 3 5" xfId="4144" xr:uid="{76BD2B33-41CB-40E3-A014-25096F9B12A6}"/>
    <cellStyle name="Итог 1 3 5 2" xfId="9196" xr:uid="{DFA45456-36FF-4BAF-9E2D-07A6BA5C127E}"/>
    <cellStyle name="Итог 1 3 5 2 2" xfId="11579" xr:uid="{120B1CC5-9BEB-4EC5-AE95-59291FAC7888}"/>
    <cellStyle name="Итог 1 3 5 2 2 2" xfId="28331" xr:uid="{DEE5AB27-0F6C-42DA-814F-835DEB585C8F}"/>
    <cellStyle name="Итог 1 3 5 2 2 3" xfId="41531" xr:uid="{4D38A54D-9CA2-43A6-BF70-DC59CCA61F12}"/>
    <cellStyle name="Итог 1 3 5 2 3" xfId="26672" xr:uid="{FCC0931D-ED73-4689-A7D1-87E0F621206D}"/>
    <cellStyle name="Итог 1 3 5 2 4" xfId="39748" xr:uid="{E27FD5B8-B80A-4415-AB32-A7627DC9F8AE}"/>
    <cellStyle name="Итог 1 3 5 3" xfId="7708" xr:uid="{C3DA446F-4E37-4412-9C78-493B2507DE29}"/>
    <cellStyle name="Итог 1 3 5 3 2" xfId="14455" xr:uid="{A3F76A65-ED2A-4535-94C8-A97D8DA10B8D}"/>
    <cellStyle name="Итог 1 3 5 3 2 2" xfId="30783" xr:uid="{ED89BFAE-0BD3-47A8-BC40-21D7F137E0AC}"/>
    <cellStyle name="Итог 1 3 5 3 2 3" xfId="44184" xr:uid="{9F0403DE-8153-420A-981C-AD4ABF5103E5}"/>
    <cellStyle name="Итог 1 3 5 3 3" xfId="25231" xr:uid="{5C557C00-171C-4F0F-8BE6-A87E9A9175DF}"/>
    <cellStyle name="Итог 1 3 5 3 4" xfId="38307" xr:uid="{424BD418-3E8A-43E3-B986-5AEF59E2C598}"/>
    <cellStyle name="Итог 1 3 5 4" xfId="16087" xr:uid="{CE95A1E5-3EAA-4630-A77E-DF2CCA18480A}"/>
    <cellStyle name="Итог 1 3 5 4 2" xfId="32146" xr:uid="{A2FA3636-39FB-441B-86E8-3B8C2F64CE4A}"/>
    <cellStyle name="Итог 1 3 5 4 3" xfId="45667" xr:uid="{C0A2E618-2389-4009-AEF7-A68C16EB61E8}"/>
    <cellStyle name="Итог 1 3 5 5" xfId="21972" xr:uid="{7B184482-13A4-4361-B815-331D3974034F}"/>
    <cellStyle name="Итог 1 3 5 6" xfId="35021" xr:uid="{443E7223-DF39-4B84-8940-171DCAD2FF53}"/>
    <cellStyle name="Итог 1 3 6" xfId="4358" xr:uid="{3D88C38E-8F8E-4DC0-9336-1A44EDFDFDCC}"/>
    <cellStyle name="Итог 1 3 6 2" xfId="6977" xr:uid="{981A5B85-316B-477F-BBDA-7D063B855BE3}"/>
    <cellStyle name="Итог 1 3 6 2 2" xfId="12917" xr:uid="{F019B461-32B6-45E4-B839-69A1217C9169}"/>
    <cellStyle name="Итог 1 3 6 2 2 2" xfId="29462" xr:uid="{DAE97D6C-B976-495F-990C-97406EA21AE9}"/>
    <cellStyle name="Итог 1 3 6 2 2 3" xfId="42758" xr:uid="{D267AA8E-4C6D-48F6-A7B5-F6274B806AB5}"/>
    <cellStyle name="Итог 1 3 6 2 3" xfId="24599" xr:uid="{45924A51-3273-4E9B-97F7-750DB8436B0B}"/>
    <cellStyle name="Итог 1 3 6 2 4" xfId="37680" xr:uid="{840E4352-F5E7-428D-B4A0-07901BA861D7}"/>
    <cellStyle name="Итог 1 3 6 3" xfId="12339" xr:uid="{4A0DC44D-C9FF-460B-87EE-82B0F000DD77}"/>
    <cellStyle name="Итог 1 3 6 3 2" xfId="29007" xr:uid="{D971DEF0-2967-43F7-AEF0-79BAE4B4B89F}"/>
    <cellStyle name="Итог 1 3 6 3 3" xfId="42247" xr:uid="{96DDD341-0E31-45F6-97B1-211839DDEEA0}"/>
    <cellStyle name="Итог 1 3 6 4" xfId="22178" xr:uid="{5D23C7B8-3A49-49D8-A354-B368F8C260BE}"/>
    <cellStyle name="Итог 1 3 6 5" xfId="35227" xr:uid="{86D29A9E-9A61-42FE-941A-3033B1DC4CE1}"/>
    <cellStyle name="Итог 1 3 7" xfId="5413" xr:uid="{1CC32D11-B180-4CC6-8FC8-A6F684289B98}"/>
    <cellStyle name="Итог 1 3 7 2" xfId="8590" xr:uid="{103BD676-E14F-4336-A0AD-297C30573E10}"/>
    <cellStyle name="Итог 1 3 7 2 2" xfId="17449" xr:uid="{CC40D1C7-8CE0-4400-851B-9FE0CCBB9F7C}"/>
    <cellStyle name="Итог 1 3 7 2 2 2" xfId="33196" xr:uid="{5AE7217B-3CD0-4827-AD41-29E81E6B5148}"/>
    <cellStyle name="Итог 1 3 7 2 2 3" xfId="46979" xr:uid="{89AF661F-0513-440E-BC38-BEABF36B9F73}"/>
    <cellStyle name="Итог 1 3 7 2 3" xfId="26088" xr:uid="{281EA2A8-5CA8-4C7F-8180-5D10AE14765C}"/>
    <cellStyle name="Итог 1 3 7 2 4" xfId="39164" xr:uid="{54600DD7-E433-4A41-BB12-4D8BA4C82A6D}"/>
    <cellStyle name="Итог 1 3 7 3" xfId="12848" xr:uid="{07375E0D-7E64-4DF9-ABD6-61C0EC92EC4F}"/>
    <cellStyle name="Итог 1 3 7 3 2" xfId="29417" xr:uid="{EB83FFFD-57AA-4E58-969E-3562AEE3CE69}"/>
    <cellStyle name="Итог 1 3 7 3 3" xfId="42701" xr:uid="{7123A778-8C1A-48EF-B4C4-B57441D99C37}"/>
    <cellStyle name="Итог 1 3 7 4" xfId="23060" xr:uid="{5B905790-E501-49DA-9DEE-B544AB5CEC07}"/>
    <cellStyle name="Итог 1 3 7 5" xfId="36141" xr:uid="{AFCE1CC7-7841-4117-A3B0-4474E7926FC1}"/>
    <cellStyle name="Итог 1 3 8" xfId="11382" xr:uid="{62609F3C-FB77-4C9D-ADFF-ABE9863B0C1F}"/>
    <cellStyle name="Итог 1 3 8 2" xfId="28155" xr:uid="{B8271A6C-802E-4CED-BCD0-CA95CCC201DC}"/>
    <cellStyle name="Итог 1 3 8 3" xfId="41344" xr:uid="{6F556C74-74B5-4DE8-A830-16B532262EE2}"/>
    <cellStyle name="Итог 1 3 9" xfId="21351" xr:uid="{CC1D6C17-D587-4890-9A7A-B76C1D3B1779}"/>
    <cellStyle name="Итог 1 30" xfId="12019" xr:uid="{E1E97FBC-16FF-4BD0-9C48-48D87258D248}"/>
    <cellStyle name="Итог 1 30 2" xfId="28721" xr:uid="{62A24223-FBD8-4231-A955-74394B7BCD05}"/>
    <cellStyle name="Итог 1 30 3" xfId="41939" xr:uid="{ECF29FEE-A335-489E-8B17-F6BC3DD69F03}"/>
    <cellStyle name="Итог 1 31" xfId="13230" xr:uid="{F295BF7C-B900-4EDC-868B-13940FA91D50}"/>
    <cellStyle name="Итог 1 31 2" xfId="29727" xr:uid="{20F59D1F-15FC-4DCB-8D5B-BC028FA0777E}"/>
    <cellStyle name="Итог 1 31 3" xfId="43049" xr:uid="{C312C595-B204-4990-BD6C-7BCE9AC9BF0C}"/>
    <cellStyle name="Итог 1 32" xfId="14196" xr:uid="{4C07C220-AEEC-4966-9803-D2BAA6B5375A}"/>
    <cellStyle name="Итог 1 32 2" xfId="30545" xr:uid="{C0512E26-1B27-497F-90D5-AEC8CE2046A3}"/>
    <cellStyle name="Итог 1 32 3" xfId="43933" xr:uid="{80FE2A86-5B2B-48CE-A77B-A96112C2C346}"/>
    <cellStyle name="Итог 1 33" xfId="17668" xr:uid="{2EF6BEE2-A65D-4EAF-8948-923703A3BB1B}"/>
    <cellStyle name="Итог 1 33 2" xfId="33391" xr:uid="{C70786F7-64AB-490D-9903-159B454013E8}"/>
    <cellStyle name="Итог 1 33 3" xfId="47180" xr:uid="{40409EB2-BC2F-45C6-9D39-91C9DD1DAAD4}"/>
    <cellStyle name="Итог 1 34" xfId="33570" xr:uid="{99E467DB-3089-442A-A8F3-D48584D63487}"/>
    <cellStyle name="Итог 1 4" xfId="3487" xr:uid="{2A33E74B-B04E-49C2-8051-4684A0546B2A}"/>
    <cellStyle name="Итог 1 4 10" xfId="34503" xr:uid="{2275C289-D9F6-4B1B-9AD0-3E755CDF9571}"/>
    <cellStyle name="Итог 1 4 2" xfId="2829" xr:uid="{0AB05439-B625-4226-B159-5A2292539D7F}"/>
    <cellStyle name="Итог 1 4 2 2" xfId="8125" xr:uid="{2830DBCC-BF8C-40E1-9D3D-590BEA413D08}"/>
    <cellStyle name="Итог 1 4 2 2 2" xfId="10834" xr:uid="{3C8E8E6E-6EC0-4698-9F6A-34C5950C2426}"/>
    <cellStyle name="Итог 1 4 2 2 2 2" xfId="27664" xr:uid="{F1569E2A-92BA-4669-B95F-844E75E1B35C}"/>
    <cellStyle name="Итог 1 4 2 2 2 3" xfId="40815" xr:uid="{09B131EA-C63F-4FEA-8A9B-03F58003E5A2}"/>
    <cellStyle name="Итог 1 4 2 2 3" xfId="25636" xr:uid="{DC577C83-64EA-4C71-9184-01C17C116BCA}"/>
    <cellStyle name="Итог 1 4 2 2 4" xfId="38712" xr:uid="{E90DB908-9481-43FB-8497-B6B71128167F}"/>
    <cellStyle name="Итог 1 4 2 3" xfId="6492" xr:uid="{EF7CA5A7-EE67-492D-BBDC-59A6DF63AFB5}"/>
    <cellStyle name="Итог 1 4 2 3 2" xfId="14810" xr:uid="{D4DBD7E9-76ED-40C3-BEB0-1960C85F92A9}"/>
    <cellStyle name="Итог 1 4 2 3 2 2" xfId="31072" xr:uid="{70F0A807-E425-4909-89A2-9C2FB0929B90}"/>
    <cellStyle name="Итог 1 4 2 3 2 3" xfId="44507" xr:uid="{6362EFEB-A0C0-44EA-8F4F-0CDD418C691E}"/>
    <cellStyle name="Итог 1 4 2 3 3" xfId="24127" xr:uid="{E88A8FBD-BEB8-4E61-819D-CF2D272AC14C}"/>
    <cellStyle name="Итог 1 4 2 3 4" xfId="37208" xr:uid="{0F31E1D9-D6D1-47B1-8BE7-7DEB09860F5A}"/>
    <cellStyle name="Итог 1 4 2 4" xfId="17318" xr:uid="{D1837C9F-A47F-4C6D-ADE8-79EE01ED0022}"/>
    <cellStyle name="Итог 1 4 2 4 2" xfId="33072" xr:uid="{AA9B7C38-9792-412E-A2A8-8CA92FA5D190}"/>
    <cellStyle name="Итог 1 4 2 4 3" xfId="46848" xr:uid="{791581BF-78BA-4569-BCF3-234D6D8C1DC8}"/>
    <cellStyle name="Итог 1 4 2 5" xfId="20879" xr:uid="{4F7F89DB-BC3B-4232-A72C-9A76400C86D3}"/>
    <cellStyle name="Итог 1 4 2 6" xfId="33902" xr:uid="{E933BF5F-42F3-4683-BA91-AFB576D710E1}"/>
    <cellStyle name="Итог 1 4 3" xfId="4182" xr:uid="{F08445CE-90E8-4829-A422-8BD8EB9D12CC}"/>
    <cellStyle name="Итог 1 4 3 2" xfId="9234" xr:uid="{BB02A702-82F3-4ABD-8FAB-62AF6310DFF6}"/>
    <cellStyle name="Итог 1 4 3 2 2" xfId="14990" xr:uid="{4AAB68C3-A8E6-4D5B-86E3-AC94A65AAABC}"/>
    <cellStyle name="Итог 1 4 3 2 2 2" xfId="31222" xr:uid="{E8412C11-7D95-4AB6-8D36-B86E9EE3B7D1}"/>
    <cellStyle name="Итог 1 4 3 2 2 3" xfId="44672" xr:uid="{E3169A83-E47D-4509-B586-3F4D23E4CC8B}"/>
    <cellStyle name="Итог 1 4 3 2 3" xfId="26709" xr:uid="{0E19D28E-202A-4087-8BB7-8E224C24CC8D}"/>
    <cellStyle name="Итог 1 4 3 2 4" xfId="39785" xr:uid="{681D4975-0653-4B81-83BE-C421A19892A1}"/>
    <cellStyle name="Итог 1 4 3 3" xfId="7746" xr:uid="{8FE28BE6-D803-4DA0-9E7C-5FF1FDD6D379}"/>
    <cellStyle name="Итог 1 4 3 3 2" xfId="13344" xr:uid="{A6AAB3E7-2634-4F60-A6CF-B29DA27D9FF6}"/>
    <cellStyle name="Итог 1 4 3 3 2 2" xfId="29825" xr:uid="{BDA4B8E7-E52B-4545-AAC6-2CA6730EA826}"/>
    <cellStyle name="Итог 1 4 3 3 2 3" xfId="43157" xr:uid="{7CE31604-6DCA-4197-9228-5038F338E02F}"/>
    <cellStyle name="Итог 1 4 3 3 3" xfId="25268" xr:uid="{C8AD0C17-2C61-4268-AE8D-EAD16FB27AE2}"/>
    <cellStyle name="Итог 1 4 3 3 4" xfId="38344" xr:uid="{885B445D-76BD-415A-82BE-97E473DD8225}"/>
    <cellStyle name="Итог 1 4 3 4" xfId="14009" xr:uid="{E15D34FF-C465-46BD-96E7-0C63F29F172A}"/>
    <cellStyle name="Итог 1 4 3 4 2" xfId="30391" xr:uid="{DD9CE42F-14E4-4D48-96E5-F0A443C33170}"/>
    <cellStyle name="Итог 1 4 3 4 3" xfId="43770" xr:uid="{52721FC6-0EB1-4F47-9068-4BB5D856D0A6}"/>
    <cellStyle name="Итог 1 4 3 5" xfId="22009" xr:uid="{FB0B79ED-AACC-4982-80CD-66CDEDEA150A}"/>
    <cellStyle name="Итог 1 4 3 6" xfId="35058" xr:uid="{3705511F-F2BF-418F-ACA6-361D8AC20D65}"/>
    <cellStyle name="Итог 1 4 4" xfId="2937" xr:uid="{306E8727-31A3-409B-B9CF-BC5F49D3C22F}"/>
    <cellStyle name="Итог 1 4 4 2" xfId="8233" xr:uid="{ED1D7065-C115-450D-9960-164C4D5DC185}"/>
    <cellStyle name="Итог 1 4 4 2 2" xfId="14080" xr:uid="{AF1CA6F3-AC3A-4B92-B5F7-5A4EF6AE563B}"/>
    <cellStyle name="Итог 1 4 4 2 2 2" xfId="30447" xr:uid="{AFD9AEB4-CBB4-42EE-B152-E4BBD3819232}"/>
    <cellStyle name="Итог 1 4 4 2 2 3" xfId="43830" xr:uid="{140DEC41-0F7D-49F3-BBC0-C7454E7CD52C}"/>
    <cellStyle name="Итог 1 4 4 2 3" xfId="25742" xr:uid="{F1D8F089-8AD1-4730-9D2D-7A927F077131}"/>
    <cellStyle name="Итог 1 4 4 2 4" xfId="38818" xr:uid="{82A9046A-ED2C-4412-91C8-459FE8D639F0}"/>
    <cellStyle name="Итог 1 4 4 3" xfId="6600" xr:uid="{AFF2B251-0222-422C-9404-714A27E4E476}"/>
    <cellStyle name="Итог 1 4 4 3 2" xfId="15233" xr:uid="{0C47DF53-359B-478D-AB40-DE1A62534E82}"/>
    <cellStyle name="Итог 1 4 4 3 2 2" xfId="31409" xr:uid="{825BBCB3-0BA4-443F-ADED-43D9F7B670BF}"/>
    <cellStyle name="Итог 1 4 4 3 2 3" xfId="44884" xr:uid="{8E70E7E2-5DBE-4B6F-8D12-9F3F8FAB40D1}"/>
    <cellStyle name="Итог 1 4 4 3 3" xfId="24233" xr:uid="{E05B93AD-95FA-4911-9184-E65BE08A5E19}"/>
    <cellStyle name="Итог 1 4 4 3 4" xfId="37314" xr:uid="{FE866F3A-EF87-479E-9FE0-227527EC66C1}"/>
    <cellStyle name="Итог 1 4 4 4" xfId="12544" xr:uid="{161838CB-666D-422A-A930-FADD42818BD5}"/>
    <cellStyle name="Итог 1 4 4 4 2" xfId="29168" xr:uid="{8418D3D1-0E43-416F-8BC2-A9041395588F}"/>
    <cellStyle name="Итог 1 4 4 4 3" xfId="42427" xr:uid="{DAF2FB44-4C2A-4BC2-813E-5D37E2C48C8A}"/>
    <cellStyle name="Итог 1 4 4 5" xfId="20985" xr:uid="{FDD76B88-3957-4726-BB80-36F4ECCDA671}"/>
    <cellStyle name="Итог 1 4 4 6" xfId="34008" xr:uid="{60C269A9-2092-405C-9221-D9582A20B794}"/>
    <cellStyle name="Итог 1 4 5" xfId="4112" xr:uid="{2FC302EE-1189-4954-BF0B-956721B39AE4}"/>
    <cellStyle name="Итог 1 4 5 2" xfId="9164" xr:uid="{4882D1A2-C15B-4311-8CBB-C56052F460F2}"/>
    <cellStyle name="Итог 1 4 5 2 2" xfId="15392" xr:uid="{045D4730-02D6-4C68-9547-FC4653830CDE}"/>
    <cellStyle name="Итог 1 4 5 2 2 2" xfId="31546" xr:uid="{66D25E17-EBDD-4135-9BD1-D86454B186CC}"/>
    <cellStyle name="Итог 1 4 5 2 2 3" xfId="45034" xr:uid="{C4B1A253-B1E5-4C8F-9DAF-747289F5515C}"/>
    <cellStyle name="Итог 1 4 5 2 3" xfId="26645" xr:uid="{8D1B7258-A0EC-4C24-BA76-6BBF09DC56C7}"/>
    <cellStyle name="Итог 1 4 5 2 4" xfId="39721" xr:uid="{DF6BE3B8-E237-45E1-B1F5-AE4E52675D96}"/>
    <cellStyle name="Итог 1 4 5 3" xfId="7676" xr:uid="{1C88B4F5-7075-4C53-876B-DF6D08AAA7F1}"/>
    <cellStyle name="Итог 1 4 5 3 2" xfId="13416" xr:uid="{804FD4D8-07F8-44D0-A751-5BFCB1F18C26}"/>
    <cellStyle name="Итог 1 4 5 3 2 2" xfId="29885" xr:uid="{454FF96C-BD80-4CC2-8E97-BFE5252A8507}"/>
    <cellStyle name="Итог 1 4 5 3 2 3" xfId="43220" xr:uid="{E899601A-824E-441D-8C44-A6FF65396EF9}"/>
    <cellStyle name="Итог 1 4 5 3 3" xfId="25204" xr:uid="{947BE208-11AE-4751-BF31-FF98E16BBD12}"/>
    <cellStyle name="Итог 1 4 5 3 4" xfId="38280" xr:uid="{384410AC-C63F-44E6-8124-A92E86315BD8}"/>
    <cellStyle name="Итог 1 4 5 4" xfId="15181" xr:uid="{B89AE517-825C-4108-9634-E7B2B03E24B0}"/>
    <cellStyle name="Итог 1 4 5 4 2" xfId="31367" xr:uid="{D390F9DB-6069-437B-ACBA-180B65659089}"/>
    <cellStyle name="Итог 1 4 5 4 3" xfId="44837" xr:uid="{0A1494AC-E5BD-4244-9063-B3D9130A5052}"/>
    <cellStyle name="Итог 1 4 5 5" xfId="21945" xr:uid="{347FDB4C-136A-44DC-B4D5-0D1C5930015B}"/>
    <cellStyle name="Итог 1 4 5 6" xfId="34994" xr:uid="{ECA9441B-A297-4115-B308-98DA10C9AED1}"/>
    <cellStyle name="Итог 1 4 6" xfId="4489" xr:uid="{073D3EA6-F04A-4E7E-BD5F-CDDEF3131252}"/>
    <cellStyle name="Итог 1 4 6 2" xfId="7129" xr:uid="{1C980907-64F0-4E75-BA14-C434FD1C66DC}"/>
    <cellStyle name="Итог 1 4 6 2 2" xfId="11921" xr:uid="{A57CB79C-F919-47BF-9464-04B7E5A2E274}"/>
    <cellStyle name="Итог 1 4 6 2 2 2" xfId="28635" xr:uid="{D103C88E-A95E-45BA-9214-DD2B107B6202}"/>
    <cellStyle name="Итог 1 4 6 2 2 3" xfId="41852" xr:uid="{5EA97F8C-2709-4234-83CE-6C89A8719396}"/>
    <cellStyle name="Итог 1 4 6 2 3" xfId="24728" xr:uid="{D3130EB6-F26B-4461-9B01-24F8640D3DE3}"/>
    <cellStyle name="Итог 1 4 6 2 4" xfId="37809" xr:uid="{F1B23352-C5FE-4191-AF62-DF3D84CA90D7}"/>
    <cellStyle name="Итог 1 4 6 3" xfId="11379" xr:uid="{6762922F-EF6C-4FAC-91B4-FC7504C1EB29}"/>
    <cellStyle name="Итог 1 4 6 3 2" xfId="28153" xr:uid="{C929A67B-701C-43CD-97E8-82786673454D}"/>
    <cellStyle name="Итог 1 4 6 3 3" xfId="41342" xr:uid="{C77FBF27-2AAE-4174-9119-19B33EE0DE2B}"/>
    <cellStyle name="Итог 1 4 6 4" xfId="22307" xr:uid="{6519E37D-8FC8-4FCA-9B99-EFFFEFDDBF7B}"/>
    <cellStyle name="Итог 1 4 6 5" xfId="35356" xr:uid="{CF576AC6-4D09-4BE2-ACCA-D789C2FECE0D}"/>
    <cellStyle name="Итог 1 4 7" xfId="5542" xr:uid="{CF22CFAA-1683-48E5-817D-A7C5A402BC8E}"/>
    <cellStyle name="Итог 1 4 7 2" xfId="8724" xr:uid="{EFF3AA45-860F-4197-96F3-B16305E97900}"/>
    <cellStyle name="Итог 1 4 7 2 2" xfId="16252" xr:uid="{F571FB70-4B0D-4829-A071-4E32F28643E8}"/>
    <cellStyle name="Итог 1 4 7 2 2 2" xfId="32287" xr:uid="{9EF1AD81-02FC-45C5-BE25-5DD228117512}"/>
    <cellStyle name="Итог 1 4 7 2 2 3" xfId="45816" xr:uid="{5735F3B6-6C31-4C1F-A548-0D8A35F9F84F}"/>
    <cellStyle name="Итог 1 4 7 2 3" xfId="26217" xr:uid="{D212A741-E6C8-42B9-BD26-F14194850A59}"/>
    <cellStyle name="Итог 1 4 7 2 4" xfId="39293" xr:uid="{2EEE15E3-1DDB-4CFB-9E52-001BBD2AFE7A}"/>
    <cellStyle name="Итог 1 4 7 3" xfId="14632" xr:uid="{ACFD2628-9CFF-4123-97B6-1C487DAA1771}"/>
    <cellStyle name="Итог 1 4 7 3 2" xfId="30928" xr:uid="{2A845457-6462-4B46-B937-655F3A2CD672}"/>
    <cellStyle name="Итог 1 4 7 3 3" xfId="44349" xr:uid="{E92F4713-CCD4-4DAE-AA77-1C74A305986E}"/>
    <cellStyle name="Итог 1 4 7 4" xfId="23189" xr:uid="{FE1F22B1-2C2F-48FB-A348-5229ACD72087}"/>
    <cellStyle name="Итог 1 4 7 5" xfId="36270" xr:uid="{11BF5C60-5D0F-49EC-97BA-49EC1571EABA}"/>
    <cellStyle name="Итог 1 4 8" xfId="17074" xr:uid="{42443CF6-0C42-444D-8DF9-8C33111A273C}"/>
    <cellStyle name="Итог 1 4 8 2" xfId="32844" xr:uid="{42EBCD08-7245-4AEF-864B-7B2E14143E55}"/>
    <cellStyle name="Итог 1 4 8 3" xfId="46614" xr:uid="{53E4B9AF-3EE7-48E2-AE4D-AF18848B9F1E}"/>
    <cellStyle name="Итог 1 4 9" xfId="21455" xr:uid="{E022B38A-B8AB-4F85-8B4E-B23399E5FACA}"/>
    <cellStyle name="Итог 1 5" xfId="3484" xr:uid="{BC8CFD47-1280-4C5C-9CDD-8492CDC02EA1}"/>
    <cellStyle name="Итог 1 5 2" xfId="2826" xr:uid="{C56F244D-0E4D-4068-8C11-24BF305A7A76}"/>
    <cellStyle name="Итог 1 5 2 2" xfId="8122" xr:uid="{25CB3B01-73BE-49DA-A3F3-646E34E8BD04}"/>
    <cellStyle name="Итог 1 5 2 2 2" xfId="16792" xr:uid="{C53C8F88-77BE-4D02-B3D0-D9AFFE55F61A}"/>
    <cellStyle name="Итог 1 5 2 2 2 2" xfId="32673" xr:uid="{7BF1F76F-BB92-4169-8DFE-C17A9FE3210B}"/>
    <cellStyle name="Итог 1 5 2 2 2 3" xfId="46335" xr:uid="{2EBA2BDA-0A35-41F7-ADD7-2EB045C1C1BE}"/>
    <cellStyle name="Итог 1 5 2 2 3" xfId="25633" xr:uid="{C51C02F0-7405-436B-947E-CD65288CDD24}"/>
    <cellStyle name="Итог 1 5 2 2 4" xfId="38709" xr:uid="{5140FC09-8716-424F-A784-6E14DB37C5AF}"/>
    <cellStyle name="Итог 1 5 2 3" xfId="6489" xr:uid="{9E43A78D-77BF-4599-9663-B1F0CCB851A8}"/>
    <cellStyle name="Итог 1 5 2 3 2" xfId="17317" xr:uid="{FDAE5916-00A4-4E8A-87A8-782E1DD67CA7}"/>
    <cellStyle name="Итог 1 5 2 3 2 2" xfId="33071" xr:uid="{2B755686-CD97-407C-8004-49DC96389C9E}"/>
    <cellStyle name="Итог 1 5 2 3 2 3" xfId="46847" xr:uid="{60EEDBF2-4B50-49D2-8D5E-CEFA97B87B9D}"/>
    <cellStyle name="Итог 1 5 2 3 3" xfId="24124" xr:uid="{91B0AECD-F02C-4B62-B2DB-52AE93DE122C}"/>
    <cellStyle name="Итог 1 5 2 3 4" xfId="37205" xr:uid="{AE54E7D5-3172-4502-B4B3-F74ED3F6B8AA}"/>
    <cellStyle name="Итог 1 5 2 4" xfId="11275" xr:uid="{5D411BCC-9A3B-4F56-A345-7F84543D0215}"/>
    <cellStyle name="Итог 1 5 2 4 2" xfId="28062" xr:uid="{D9F40400-CED5-4B69-A14D-254BB95C30D0}"/>
    <cellStyle name="Итог 1 5 2 4 3" xfId="41244" xr:uid="{4BA67D04-B9EF-4265-A344-7930D0C6940E}"/>
    <cellStyle name="Итог 1 5 2 5" xfId="20876" xr:uid="{4490F6D4-BBDF-457B-B6AA-64E3F9B9242F}"/>
    <cellStyle name="Итог 1 5 2 6" xfId="33899" xr:uid="{91C11416-0362-4DC5-8692-5EDC81C69588}"/>
    <cellStyle name="Итог 1 5 3" xfId="4486" xr:uid="{5DCC0DFC-0F48-4E98-B89E-029663D5A0F6}"/>
    <cellStyle name="Итог 1 5 3 2" xfId="7126" xr:uid="{8EBE5B0F-D8FB-4887-9BA9-C9D635F0E702}"/>
    <cellStyle name="Итог 1 5 3 2 2" xfId="11632" xr:uid="{92BE35FA-EB74-43E2-8ACE-D12F0A34447A}"/>
    <cellStyle name="Итог 1 5 3 2 2 2" xfId="28377" xr:uid="{71A829DF-9BE1-44C8-9E8E-92498AB96AFC}"/>
    <cellStyle name="Итог 1 5 3 2 2 3" xfId="41580" xr:uid="{FF4C98C4-1972-4BD6-A046-2FAD65481F11}"/>
    <cellStyle name="Итог 1 5 3 2 3" xfId="24725" xr:uid="{936624FD-F8B7-425D-ADD1-C9A2EFC4CC6F}"/>
    <cellStyle name="Итог 1 5 3 2 4" xfId="37806" xr:uid="{41E62C21-6BC5-4A09-A393-A17FBF526211}"/>
    <cellStyle name="Итог 1 5 3 3" xfId="17571" xr:uid="{5D45313F-FEDE-4F7B-A794-67B0E6A6665D}"/>
    <cellStyle name="Итог 1 5 3 3 2" xfId="33308" xr:uid="{31811A81-19B0-44B9-BC67-7371827DA6E6}"/>
    <cellStyle name="Итог 1 5 3 3 3" xfId="47096" xr:uid="{DEE68123-B232-4CC5-BD33-8B313BFF7F9F}"/>
    <cellStyle name="Итог 1 5 3 4" xfId="22304" xr:uid="{747D2EE4-983C-4234-8983-EF94977B4253}"/>
    <cellStyle name="Итог 1 5 3 5" xfId="35353" xr:uid="{18E1D990-62E2-43A9-BF30-DB41C425E243}"/>
    <cellStyle name="Итог 1 5 4" xfId="5539" xr:uid="{973817F1-ED12-417F-94F0-BC161CF1A780}"/>
    <cellStyle name="Итог 1 5 4 2" xfId="8721" xr:uid="{47A6BBED-5E76-4F34-9095-9C570A0CE8D3}"/>
    <cellStyle name="Итог 1 5 4 2 2" xfId="16705" xr:uid="{E513DCDD-6FE0-4C6F-92D5-B6A255C451D9}"/>
    <cellStyle name="Итог 1 5 4 2 2 2" xfId="32589" xr:uid="{E9959FBA-FB2C-4920-A1DA-3AA68EAE045A}"/>
    <cellStyle name="Итог 1 5 4 2 2 3" xfId="46249" xr:uid="{2795D265-8B3C-4F5E-9203-15A210A3A813}"/>
    <cellStyle name="Итог 1 5 4 2 3" xfId="26214" xr:uid="{DCBD9957-4DFD-49CB-A682-60839F517895}"/>
    <cellStyle name="Итог 1 5 4 2 4" xfId="39290" xr:uid="{8AB05D5B-87CA-428D-8866-DCBFD0D4D7B0}"/>
    <cellStyle name="Итог 1 5 4 3" xfId="13097" xr:uid="{22AAC678-9515-4ADB-8CCF-D451FF508DB5}"/>
    <cellStyle name="Итог 1 5 4 3 2" xfId="29613" xr:uid="{85C0C7B6-475F-4D38-AA1A-4CC47DCBD1F7}"/>
    <cellStyle name="Итог 1 5 4 3 3" xfId="42924" xr:uid="{255C94CA-5E65-4475-8A9A-62A88B19F22A}"/>
    <cellStyle name="Итог 1 5 4 4" xfId="23186" xr:uid="{CFAD2D0F-CAFA-4927-9281-63F42162EF30}"/>
    <cellStyle name="Итог 1 5 4 5" xfId="36267" xr:uid="{BF2B9676-BF68-4923-A5CA-DFE833E4C208}"/>
    <cellStyle name="Итог 1 5 5" xfId="16134" xr:uid="{0EE98122-1E11-4B53-9001-0ECA6CD0A133}"/>
    <cellStyle name="Итог 1 5 5 2" xfId="32188" xr:uid="{6E67C98E-6B61-4EED-A7E1-1823C5F7B801}"/>
    <cellStyle name="Итог 1 5 5 3" xfId="45709" xr:uid="{E3EE4EAA-342E-4FB0-8FE0-2C8354290949}"/>
    <cellStyle name="Итог 1 5 6" xfId="21452" xr:uid="{E34992C2-D9D0-4B52-BE21-730C03A5CE24}"/>
    <cellStyle name="Итог 1 5 7" xfId="34500" xr:uid="{2A9747B0-1543-4598-AF2B-EAB1578FD645}"/>
    <cellStyle name="Итог 1 6" xfId="3310" xr:uid="{12CB2477-8843-4BCA-A67A-39EB307CF72E}"/>
    <cellStyle name="Итог 1 6 2" xfId="2672" xr:uid="{2A592A2D-470A-456C-AB51-1CC3EF0396B8}"/>
    <cellStyle name="Итог 1 6 2 2" xfId="7968" xr:uid="{F6A82C34-CB0A-4A2E-8F84-589B79607F64}"/>
    <cellStyle name="Итог 1 6 2 2 2" xfId="11855" xr:uid="{4C263861-FC79-4D7A-A285-AC3621958CC6}"/>
    <cellStyle name="Итог 1 6 2 2 2 2" xfId="28572" xr:uid="{8C4712A0-ADED-44FF-B39A-2B7B110EAB42}"/>
    <cellStyle name="Итог 1 6 2 2 2 3" xfId="41788" xr:uid="{8660F134-6B19-45E3-9FA4-BDD3DD7FB70D}"/>
    <cellStyle name="Итог 1 6 2 2 3" xfId="25484" xr:uid="{9E2F3B6C-FDC0-4ADB-870D-A0280AB3B938}"/>
    <cellStyle name="Итог 1 6 2 2 4" xfId="38560" xr:uid="{A7ACABDA-1395-435A-A44D-1E7F52331A4D}"/>
    <cellStyle name="Итог 1 6 2 3" xfId="6335" xr:uid="{FCD20111-41BB-4EB8-B7DF-D91F5D3D8FAD}"/>
    <cellStyle name="Итог 1 6 2 3 2" xfId="11188" xr:uid="{8AE7D11D-E61C-4CC5-B720-BF8351734E60}"/>
    <cellStyle name="Итог 1 6 2 3 2 2" xfId="27982" xr:uid="{A7D2C315-D64C-4121-AD88-A57E09C9D833}"/>
    <cellStyle name="Итог 1 6 2 3 2 3" xfId="41164" xr:uid="{147B7B0D-98E5-46EC-A2ED-830C6348AB9C}"/>
    <cellStyle name="Итог 1 6 2 3 3" xfId="23975" xr:uid="{62F4BB0B-59FC-4F50-BE0A-96FD8ADFC63C}"/>
    <cellStyle name="Итог 1 6 2 3 4" xfId="37056" xr:uid="{0BB95B52-9F93-4D85-8017-1FABFDC0099D}"/>
    <cellStyle name="Итог 1 6 2 4" xfId="17302" xr:uid="{F7E6D366-8940-4AAD-8D3C-2A95A876FA83}"/>
    <cellStyle name="Итог 1 6 2 4 2" xfId="33060" xr:uid="{205FC346-F4E2-4DD2-A799-78C4C7349176}"/>
    <cellStyle name="Итог 1 6 2 4 3" xfId="46836" xr:uid="{DA453717-949E-45C0-B902-386B3D2E6AA3}"/>
    <cellStyle name="Итог 1 6 2 5" xfId="20727" xr:uid="{86D3AA80-AE5E-45E4-87B2-B135ECD19003}"/>
    <cellStyle name="Итог 1 6 2 6" xfId="33750" xr:uid="{F37D1F70-1ECE-4078-B39A-B04AE249AD53}"/>
    <cellStyle name="Итог 1 6 3" xfId="4341" xr:uid="{A00A1670-2508-4D8D-8DA7-35E73E0778F6}"/>
    <cellStyle name="Итог 1 6 3 2" xfId="6960" xr:uid="{C90FBF18-250B-4982-AFAF-C6A3802A7BF4}"/>
    <cellStyle name="Итог 1 6 3 2 2" xfId="15907" xr:uid="{15F0DDF7-9667-4172-A5B6-BA892AFDB6F4}"/>
    <cellStyle name="Итог 1 6 3 2 2 2" xfId="31989" xr:uid="{8B3C792B-F7CB-46ED-ACAF-D984DB592DBC}"/>
    <cellStyle name="Итог 1 6 3 2 2 3" xfId="45505" xr:uid="{836A951E-26DF-4A0C-97CA-9235AD13025D}"/>
    <cellStyle name="Итог 1 6 3 2 3" xfId="24582" xr:uid="{169CF665-C137-4987-97D5-738E2A94D830}"/>
    <cellStyle name="Итог 1 6 3 2 4" xfId="37663" xr:uid="{57E3EF34-A707-4693-B882-AEA76601D576}"/>
    <cellStyle name="Итог 1 6 3 3" xfId="13186" xr:uid="{3A0EF7BD-639F-4915-9B7C-5C0E7406EBBD}"/>
    <cellStyle name="Итог 1 6 3 3 2" xfId="29692" xr:uid="{C130A068-1026-4B90-BDED-D004A297543E}"/>
    <cellStyle name="Итог 1 6 3 3 3" xfId="43009" xr:uid="{E0694EA4-DABD-4B4C-A4F6-7F8E2A2AD183}"/>
    <cellStyle name="Итог 1 6 3 4" xfId="22161" xr:uid="{D0929994-07F7-44AD-9C7F-970B036BCCA5}"/>
    <cellStyle name="Итог 1 6 3 5" xfId="35210" xr:uid="{27906888-D67F-4D60-BC64-64D7F672847C}"/>
    <cellStyle name="Итог 1 6 4" xfId="5396" xr:uid="{16ACB8CF-F65E-4F7B-B4FB-E83479AB3D08}"/>
    <cellStyle name="Итог 1 6 4 2" xfId="8573" xr:uid="{C9C281AF-C569-42CB-8B32-8507E71A31B8}"/>
    <cellStyle name="Итог 1 6 4 2 2" xfId="14197" xr:uid="{4A1AF513-5D65-48AE-81E5-22E532A08163}"/>
    <cellStyle name="Итог 1 6 4 2 2 2" xfId="30546" xr:uid="{04675E06-E983-435A-BD08-06937F11DF84}"/>
    <cellStyle name="Итог 1 6 4 2 2 3" xfId="43934" xr:uid="{5397030C-0570-4933-8688-50CDA04F9DFA}"/>
    <cellStyle name="Итог 1 6 4 2 3" xfId="26071" xr:uid="{7B9DC623-59BA-4032-B671-A363F0D94498}"/>
    <cellStyle name="Итог 1 6 4 2 4" xfId="39147" xr:uid="{90D49B48-4649-4EBD-9098-579BD4DA3D9F}"/>
    <cellStyle name="Итог 1 6 4 3" xfId="12763" xr:uid="{18A32E99-27F8-4B69-9308-2A38194F95FE}"/>
    <cellStyle name="Итог 1 6 4 3 2" xfId="29340" xr:uid="{199A51B1-8E76-413E-8422-C1C77E417417}"/>
    <cellStyle name="Итог 1 6 4 3 3" xfId="42620" xr:uid="{806F57C1-51DE-4AE6-B2DF-6284AA775100}"/>
    <cellStyle name="Итог 1 6 4 4" xfId="23043" xr:uid="{6A46FE2D-737D-4A76-BC25-3CC12F75010F}"/>
    <cellStyle name="Итог 1 6 4 5" xfId="36124" xr:uid="{6220BE91-531D-4B98-B9E5-996DA6D4D17A}"/>
    <cellStyle name="Итог 1 6 5" xfId="14492" xr:uid="{3CD9D79F-EAF1-4884-A96D-E3470AA25195}"/>
    <cellStyle name="Итог 1 6 5 2" xfId="30815" xr:uid="{96F79929-B807-43AE-BEFD-AB41B1FB8273}"/>
    <cellStyle name="Итог 1 6 5 3" xfId="44221" xr:uid="{67A81007-7567-4BAC-9C33-DE1E27B8EEEF}"/>
    <cellStyle name="Итог 1 6 6" xfId="21334" xr:uid="{0DE6D836-B592-4A0A-91A1-ED5850881AD5}"/>
    <cellStyle name="Итог 1 6 7" xfId="34357" xr:uid="{6741D55D-7EAF-4DDC-B624-96B6B21BB260}"/>
    <cellStyle name="Итог 1 7" xfId="3304" xr:uid="{3383BCBB-830F-41CA-9379-4A9F7C807B20}"/>
    <cellStyle name="Итог 1 7 2" xfId="2666" xr:uid="{E4E6F5E6-3FEF-4A7A-97B6-FD35DF85746D}"/>
    <cellStyle name="Итог 1 7 2 2" xfId="7962" xr:uid="{12740EE5-BCF2-4453-9412-EFEE2D373151}"/>
    <cellStyle name="Итог 1 7 2 2 2" xfId="16850" xr:uid="{2808C486-8AC8-4569-96BF-2806F7539FC7}"/>
    <cellStyle name="Итог 1 7 2 2 2 2" xfId="32727" xr:uid="{B7AC9660-FF05-4A06-9AA9-065307B92F4D}"/>
    <cellStyle name="Итог 1 7 2 2 2 3" xfId="46392" xr:uid="{7B0CE3A6-D642-46BB-9D34-98007FB68EDF}"/>
    <cellStyle name="Итог 1 7 2 2 3" xfId="25478" xr:uid="{607C870A-5C31-4B07-87C3-A2ECF07E335C}"/>
    <cellStyle name="Итог 1 7 2 2 4" xfId="38554" xr:uid="{C1550C4B-3E04-4534-9E59-4C5B04D08B6F}"/>
    <cellStyle name="Итог 1 7 2 3" xfId="6329" xr:uid="{AF665BD7-E085-4D52-B799-B7CE293311FC}"/>
    <cellStyle name="Итог 1 7 2 3 2" xfId="13889" xr:uid="{68C331A3-ACBF-4220-8EEA-30654A6B836A}"/>
    <cellStyle name="Итог 1 7 2 3 2 2" xfId="30284" xr:uid="{E1DEC2CD-8261-4D47-BD65-7B2B82B7D9ED}"/>
    <cellStyle name="Итог 1 7 2 3 2 3" xfId="43656" xr:uid="{25AA6367-CC7B-4854-B24D-135C96D6CE2A}"/>
    <cellStyle name="Итог 1 7 2 3 3" xfId="23969" xr:uid="{0D123195-D244-4864-8DE7-30B84489D3DD}"/>
    <cellStyle name="Итог 1 7 2 3 4" xfId="37050" xr:uid="{D430969F-D37D-41B1-A2FA-46374BA13FE7}"/>
    <cellStyle name="Итог 1 7 2 4" xfId="14561" xr:uid="{8143CF8E-E240-4186-836D-FD98BC04831A}"/>
    <cellStyle name="Итог 1 7 2 4 2" xfId="30868" xr:uid="{4365FE46-B786-4700-BA33-A7CCD6396858}"/>
    <cellStyle name="Итог 1 7 2 4 3" xfId="44282" xr:uid="{B4022E8D-1CE8-400E-AA57-56EC75FAE77F}"/>
    <cellStyle name="Итог 1 7 2 5" xfId="20721" xr:uid="{9346062B-27FF-4F0A-9940-DDD918382905}"/>
    <cellStyle name="Итог 1 7 2 6" xfId="33744" xr:uid="{91CE52D9-58B7-440C-A1CA-D12542718EC4}"/>
    <cellStyle name="Итог 1 7 3" xfId="4335" xr:uid="{36ACEAF9-1E56-42EB-9D1A-6413F83F2103}"/>
    <cellStyle name="Итог 1 7 3 2" xfId="6954" xr:uid="{4F4CFA0C-5838-4280-A8E1-D2CFCD2EA61A}"/>
    <cellStyle name="Итог 1 7 3 2 2" xfId="14708" xr:uid="{FD8D3AD1-0A01-4CED-B3BB-B9D9E6156795}"/>
    <cellStyle name="Итог 1 7 3 2 2 2" xfId="30997" xr:uid="{B3BA6ECE-C354-4CC5-BFE8-8302A2FC9BF5}"/>
    <cellStyle name="Итог 1 7 3 2 2 3" xfId="44419" xr:uid="{FA3F9A8A-F15A-49DF-A86E-8BDA25748CDF}"/>
    <cellStyle name="Итог 1 7 3 2 3" xfId="24576" xr:uid="{3CB5B3EA-9FA6-428F-A08D-EDD1BAACB2A6}"/>
    <cellStyle name="Итог 1 7 3 2 4" xfId="37657" xr:uid="{3C552F67-43F9-45DB-A56F-12E305BD7544}"/>
    <cellStyle name="Итог 1 7 3 3" xfId="11474" xr:uid="{6D8212DE-F6C5-486F-AA23-476FA69A8207}"/>
    <cellStyle name="Итог 1 7 3 3 2" xfId="28238" xr:uid="{6F6A0176-5F95-4507-B35B-E306D6EEC993}"/>
    <cellStyle name="Итог 1 7 3 3 3" xfId="41433" xr:uid="{BE423BA3-CEA0-4609-B385-A4B54849FC99}"/>
    <cellStyle name="Итог 1 7 3 4" xfId="22155" xr:uid="{109424F9-633E-42CF-95BC-31929B84C6CE}"/>
    <cellStyle name="Итог 1 7 3 5" xfId="35204" xr:uid="{EC956993-966C-455A-885D-B3E1A44D29B6}"/>
    <cellStyle name="Итог 1 7 4" xfId="5390" xr:uid="{D6DCAF29-80E1-45F7-8526-AFBF760B3AAE}"/>
    <cellStyle name="Итог 1 7 4 2" xfId="8567" xr:uid="{64CC9F4B-311B-4D53-9AA8-2DA184961C8D}"/>
    <cellStyle name="Итог 1 7 4 2 2" xfId="10741" xr:uid="{828D9886-DFB9-4782-8A5C-37FD86F50270}"/>
    <cellStyle name="Итог 1 7 4 2 2 2" xfId="27581" xr:uid="{59445980-F4E1-40AC-B77F-745F274AD6D7}"/>
    <cellStyle name="Итог 1 7 4 2 2 3" xfId="40722" xr:uid="{77E7ABC2-C67B-42DC-B16E-89CA3F43CF2E}"/>
    <cellStyle name="Итог 1 7 4 2 3" xfId="26065" xr:uid="{3DB456B8-D93E-4923-9D55-19A621C4DC8A}"/>
    <cellStyle name="Итог 1 7 4 2 4" xfId="39141" xr:uid="{AA3088E5-CA88-44B5-BFCB-5A5FC8405373}"/>
    <cellStyle name="Итог 1 7 4 3" xfId="15593" xr:uid="{A928CE99-DEA2-405D-999E-7F356B625775}"/>
    <cellStyle name="Итог 1 7 4 3 2" xfId="31719" xr:uid="{65579D1E-872A-4160-9D21-E4DB032BC528}"/>
    <cellStyle name="Итог 1 7 4 3 3" xfId="45221" xr:uid="{F558B780-A1C5-493A-BF91-0FE117B52356}"/>
    <cellStyle name="Итог 1 7 4 4" xfId="23037" xr:uid="{3171E8E2-1C28-4FF8-8DAD-C4233A340925}"/>
    <cellStyle name="Итог 1 7 4 5" xfId="36118" xr:uid="{B1388F77-BC9F-4093-B5FC-2F2CADCF4383}"/>
    <cellStyle name="Итог 1 7 5" xfId="11503" xr:uid="{89CD4440-EDC6-47C6-9C0C-2CE42E30B2A4}"/>
    <cellStyle name="Итог 1 7 5 2" xfId="28263" xr:uid="{16256290-B7AB-435D-BE01-C1B72688A019}"/>
    <cellStyle name="Итог 1 7 5 3" xfId="41459" xr:uid="{13B7D5AD-4656-4817-AD91-8FDC1FD4057A}"/>
    <cellStyle name="Итог 1 7 6" xfId="21328" xr:uid="{ED70DBC4-FD92-4637-AEB3-36C33C6F9EF9}"/>
    <cellStyle name="Итог 1 7 7" xfId="34351" xr:uid="{586D7F02-B648-4380-8F1D-ECAC784E2E9D}"/>
    <cellStyle name="Итог 1 8" xfId="3299" xr:uid="{C9EFBE2C-6289-403E-B24B-CEE7CCDE1B1B}"/>
    <cellStyle name="Итог 1 8 2" xfId="2661" xr:uid="{57DD11D5-A30D-42D4-A0EE-A281E4F0A6C5}"/>
    <cellStyle name="Итог 1 8 2 2" xfId="7957" xr:uid="{AC7C6440-FC96-4549-B9BE-2F0594D39763}"/>
    <cellStyle name="Итог 1 8 2 2 2" xfId="15794" xr:uid="{24D17733-8150-41FA-8BB3-C90EFDFEDB2B}"/>
    <cellStyle name="Итог 1 8 2 2 2 2" xfId="31894" xr:uid="{E9022D07-928A-4A7D-8C65-6C3FBC36D321}"/>
    <cellStyle name="Итог 1 8 2 2 2 3" xfId="45405" xr:uid="{6B1C41AA-BDC9-48CE-AED1-84CC3C6499A8}"/>
    <cellStyle name="Итог 1 8 2 2 3" xfId="25473" xr:uid="{8D07B635-F1EA-475C-8600-385EDE5A4BFF}"/>
    <cellStyle name="Итог 1 8 2 2 4" xfId="38549" xr:uid="{7F3D8AB8-25BB-4B2C-AC8D-AB2F72090C18}"/>
    <cellStyle name="Итог 1 8 2 3" xfId="6324" xr:uid="{3311525A-88D9-4A2F-ABA2-06924ED90C77}"/>
    <cellStyle name="Итог 1 8 2 3 2" xfId="11542" xr:uid="{D4413703-141D-42AC-AFD6-83ECBE69F347}"/>
    <cellStyle name="Итог 1 8 2 3 2 2" xfId="28299" xr:uid="{98954CD0-6188-4185-A028-CF2566A35C25}"/>
    <cellStyle name="Итог 1 8 2 3 2 3" xfId="41497" xr:uid="{9A0BDA7A-8E3E-438A-8F9D-F3384E557E65}"/>
    <cellStyle name="Итог 1 8 2 3 3" xfId="23964" xr:uid="{1DAF1853-91F8-4786-98C2-E72745D9208E}"/>
    <cellStyle name="Итог 1 8 2 3 4" xfId="37045" xr:uid="{2610EEF2-8747-4FB6-A4A3-487FCDEE3A6C}"/>
    <cellStyle name="Итог 1 8 2 4" xfId="11204" xr:uid="{1DF4865D-7E59-41E4-A0C9-2176402E5EFB}"/>
    <cellStyle name="Итог 1 8 2 4 2" xfId="27998" xr:uid="{ED6B3A77-C99E-4652-AEE4-B2BE6C81E6EB}"/>
    <cellStyle name="Итог 1 8 2 4 3" xfId="41180" xr:uid="{E659D7AE-DACB-49FF-A606-6DB862AB03D2}"/>
    <cellStyle name="Итог 1 8 2 5" xfId="20716" xr:uid="{ADE8692D-A6A5-4642-BD5D-802DF99183D7}"/>
    <cellStyle name="Итог 1 8 2 6" xfId="33739" xr:uid="{7A3A3BB5-1D02-4E3F-A5A3-861B3CA813A2}"/>
    <cellStyle name="Итог 1 8 3" xfId="4330" xr:uid="{906C0FB2-45FC-44E8-A520-AE863707FF79}"/>
    <cellStyle name="Итог 1 8 3 2" xfId="6949" xr:uid="{C86074EB-F67A-4EAA-955A-F4A9686E1097}"/>
    <cellStyle name="Итог 1 8 3 2 2" xfId="11570" xr:uid="{93B19DD4-C4D1-4B33-B810-CB4BE6345A9D}"/>
    <cellStyle name="Итог 1 8 3 2 2 2" xfId="28324" xr:uid="{5B88BDF0-DE84-4AD3-91E4-76AEE3C7F572}"/>
    <cellStyle name="Итог 1 8 3 2 2 3" xfId="41523" xr:uid="{D25B4844-BC6E-4728-96A4-BCA3BB5A95DD}"/>
    <cellStyle name="Итог 1 8 3 2 3" xfId="24571" xr:uid="{C39E7393-FE28-44D0-898D-71D67D41A3E2}"/>
    <cellStyle name="Итог 1 8 3 2 4" xfId="37652" xr:uid="{68D56E36-54A3-4EB0-AB6B-4A8B1C1447A7}"/>
    <cellStyle name="Итог 1 8 3 3" xfId="11193" xr:uid="{D56D1515-7DCF-4937-91A4-6469323DCB23}"/>
    <cellStyle name="Итог 1 8 3 3 2" xfId="27987" xr:uid="{D21E7C5A-691A-48F0-B8EF-3EA4B152C85B}"/>
    <cellStyle name="Итог 1 8 3 3 3" xfId="41169" xr:uid="{BDBF0883-1510-4921-B201-F10B6FE3F3E9}"/>
    <cellStyle name="Итог 1 8 3 4" xfId="22150" xr:uid="{A8B6C9E2-3238-44FE-A9A9-BA8D1CA59E01}"/>
    <cellStyle name="Итог 1 8 3 5" xfId="35199" xr:uid="{24E5CB12-A33B-4AA3-B426-3D11F656A697}"/>
    <cellStyle name="Итог 1 8 4" xfId="5385" xr:uid="{5F37AD9D-D7AD-47FD-98E0-3CF2B15F6EC6}"/>
    <cellStyle name="Итог 1 8 4 2" xfId="8562" xr:uid="{636AC7CF-3D63-422D-A09F-9F839119D866}"/>
    <cellStyle name="Итог 1 8 4 2 2" xfId="16720" xr:uid="{6ECAA355-0F92-432D-A4AE-FDE28ABBDCB2}"/>
    <cellStyle name="Итог 1 8 4 2 2 2" xfId="32604" xr:uid="{A6536F90-BAB4-412E-9FC2-8910D7150B93}"/>
    <cellStyle name="Итог 1 8 4 2 2 3" xfId="46264" xr:uid="{53807D38-1EE6-44A5-AE91-87CC49ABC01F}"/>
    <cellStyle name="Итог 1 8 4 2 3" xfId="26060" xr:uid="{8C1836E2-C849-4C46-8ED5-1B80D67977FC}"/>
    <cellStyle name="Итог 1 8 4 2 4" xfId="39136" xr:uid="{24516D3A-C0B3-4B51-ACF8-0B5338C0B46D}"/>
    <cellStyle name="Итог 1 8 4 3" xfId="13189" xr:uid="{AB61384E-FFB3-4215-AB8F-2A7578B784E7}"/>
    <cellStyle name="Итог 1 8 4 3 2" xfId="29694" xr:uid="{6A6A0334-394D-4062-B758-5CA4BA10E955}"/>
    <cellStyle name="Итог 1 8 4 3 3" xfId="43011" xr:uid="{265AD98C-62DD-45B4-82AA-A998757A7156}"/>
    <cellStyle name="Итог 1 8 4 4" xfId="23032" xr:uid="{7F199CEC-C89A-4788-8D2B-8A77F319C930}"/>
    <cellStyle name="Итог 1 8 4 5" xfId="36113" xr:uid="{85877027-1E46-46E8-BD78-484253902EC2}"/>
    <cellStyle name="Итог 1 8 5" xfId="13615" xr:uid="{27CFC9FC-4879-4B75-ADB1-FF5D3F8CB716}"/>
    <cellStyle name="Итог 1 8 5 2" xfId="30053" xr:uid="{0CA6A56E-E53B-4216-A74A-157215ED86A3}"/>
    <cellStyle name="Итог 1 8 5 3" xfId="43406" xr:uid="{73F17115-A748-4190-99E3-FFA180E09EAF}"/>
    <cellStyle name="Итог 1 8 6" xfId="21323" xr:uid="{4351BBC1-56F3-4D8E-8961-036D9DED9884}"/>
    <cellStyle name="Итог 1 8 7" xfId="34346" xr:uid="{B7D2B26D-4DAD-4DCB-BECD-3FEC1F932F6B}"/>
    <cellStyle name="Итог 1 9" xfId="3563" xr:uid="{3CC059A4-F19F-43C5-9D4B-5FAC241290E5}"/>
    <cellStyle name="Итог 1 9 2" xfId="2903" xr:uid="{4B6DB588-B53E-4D22-AFAA-FD80E951E38D}"/>
    <cellStyle name="Итог 1 9 2 2" xfId="8199" xr:uid="{70DED173-2541-495D-9094-9D47346B20B3}"/>
    <cellStyle name="Итог 1 9 2 2 2" xfId="10799" xr:uid="{293D4A89-915A-41F3-ABC2-CE4AABF8C5FE}"/>
    <cellStyle name="Итог 1 9 2 2 2 2" xfId="27633" xr:uid="{F4DEE0EF-584C-4615-92CE-67F9C6D301EB}"/>
    <cellStyle name="Итог 1 9 2 2 2 3" xfId="40780" xr:uid="{1629B29B-6DAB-4904-9BAB-4E6FB6CE59C0}"/>
    <cellStyle name="Итог 1 9 2 2 3" xfId="25710" xr:uid="{824B0FE0-FFBB-4A6B-8F96-C54A06272F46}"/>
    <cellStyle name="Итог 1 9 2 2 4" xfId="38786" xr:uid="{BC53C030-46D8-42EC-8646-FE3DB3935F69}"/>
    <cellStyle name="Итог 1 9 2 3" xfId="6566" xr:uid="{22943B55-8D68-4074-A8BB-13FB4B0DDAAF}"/>
    <cellStyle name="Итог 1 9 2 3 2" xfId="13571" xr:uid="{E4EDD0BE-BFA3-424E-80EE-EEBEC293DDA5}"/>
    <cellStyle name="Итог 1 9 2 3 2 2" xfId="30014" xr:uid="{28E35977-99C0-4753-B15A-6CCA2F1FF65B}"/>
    <cellStyle name="Итог 1 9 2 3 2 3" xfId="43364" xr:uid="{8E8989B1-3989-4A42-9AB8-328BFE4B9C98}"/>
    <cellStyle name="Итог 1 9 2 3 3" xfId="24201" xr:uid="{B7F59A60-AEB0-4DAF-B93F-0031135E1090}"/>
    <cellStyle name="Итог 1 9 2 3 4" xfId="37282" xr:uid="{D95B4B8E-222B-4847-976F-6083ABEB86E9}"/>
    <cellStyle name="Итог 1 9 2 4" xfId="13795" xr:uid="{5FA2DF37-42D5-43CB-B0D0-44396D10952B}"/>
    <cellStyle name="Итог 1 9 2 4 2" xfId="30201" xr:uid="{25289B1C-A0D7-4511-9CAA-3E423B244EDA}"/>
    <cellStyle name="Итог 1 9 2 4 3" xfId="43567" xr:uid="{FF5B67C6-E372-43A1-A4BF-5E4B75B28A08}"/>
    <cellStyle name="Итог 1 9 2 5" xfId="20953" xr:uid="{16C86511-26C4-438A-80EB-972F0E2B84D0}"/>
    <cellStyle name="Итог 1 9 2 6" xfId="33976" xr:uid="{EA7D3586-476E-4396-926C-FC46C9A3C5B2}"/>
    <cellStyle name="Итог 1 9 3" xfId="4557" xr:uid="{608F3D22-AD4B-4DA2-837F-274EB4E31CAA}"/>
    <cellStyle name="Итог 1 9 3 2" xfId="7205" xr:uid="{210F1180-58A6-4A64-957B-522808E61606}"/>
    <cellStyle name="Итог 1 9 3 2 2" xfId="15003" xr:uid="{3073126B-5868-45EA-A6F9-368BA8B2C2AD}"/>
    <cellStyle name="Итог 1 9 3 2 2 2" xfId="31232" xr:uid="{50DEF832-F820-4BD0-B6CA-AB5E4D183AA0}"/>
    <cellStyle name="Итог 1 9 3 2 2 3" xfId="44682" xr:uid="{CE117114-A2C3-4FDD-A0ED-C0C62684B6B1}"/>
    <cellStyle name="Итог 1 9 3 2 3" xfId="24799" xr:uid="{660EBDCF-E1BB-445D-ACD6-20C73ED80579}"/>
    <cellStyle name="Итог 1 9 3 2 4" xfId="37880" xr:uid="{EFEE8B74-D4D3-4401-8BF1-DA39F3A2FCB3}"/>
    <cellStyle name="Итог 1 9 3 3" xfId="15675" xr:uid="{82FC0AA6-695A-488C-B034-7264DFA6B06B}"/>
    <cellStyle name="Итог 1 9 3 3 2" xfId="31789" xr:uid="{93B047E3-D01B-428C-952B-46B47D88557B}"/>
    <cellStyle name="Итог 1 9 3 3 3" xfId="45296" xr:uid="{17E11371-E002-4FA6-800E-BEFA3EB3F765}"/>
    <cellStyle name="Итог 1 9 3 4" xfId="22373" xr:uid="{1503BB7E-AA01-4BD5-B7F3-787A0CAF586D}"/>
    <cellStyle name="Итог 1 9 3 5" xfId="35422" xr:uid="{B4195E05-833A-4813-AE02-E609E9D854DF}"/>
    <cellStyle name="Итог 1 9 4" xfId="5613" xr:uid="{D79678C4-19CB-4F5B-9483-00041748E2CC}"/>
    <cellStyle name="Итог 1 9 4 2" xfId="8795" xr:uid="{6D139BE9-A82D-4A7D-9B22-EAE5B9CBD81B}"/>
    <cellStyle name="Итог 1 9 4 2 2" xfId="15214" xr:uid="{4814A3E0-6BF5-4AE5-90C3-3BA19EA683B6}"/>
    <cellStyle name="Итог 1 9 4 2 2 2" xfId="31394" xr:uid="{00D683CB-D03F-462C-A3B4-FF72045F2379}"/>
    <cellStyle name="Итог 1 9 4 2 2 3" xfId="44866" xr:uid="{8E969C52-3961-438E-8387-D7CAAC4EF4EF}"/>
    <cellStyle name="Итог 1 9 4 2 3" xfId="26288" xr:uid="{0D15266C-8379-48E1-8776-652B849E14DD}"/>
    <cellStyle name="Итог 1 9 4 2 4" xfId="39364" xr:uid="{75D806AB-8DEB-49CA-9151-D9FF5A94886F}"/>
    <cellStyle name="Итог 1 9 4 3" xfId="15416" xr:uid="{95A045D0-0AD3-42E2-A67D-0D1E56AB304A}"/>
    <cellStyle name="Итог 1 9 4 3 2" xfId="31567" xr:uid="{A7E7395C-58F7-4525-9800-0F32E2B91591}"/>
    <cellStyle name="Итог 1 9 4 3 3" xfId="45058" xr:uid="{DB05F082-2924-4E5E-B089-1E3F8D0F65B4}"/>
    <cellStyle name="Итог 1 9 4 4" xfId="23260" xr:uid="{A4A04BBC-0C27-4C8D-9F4C-F8A0B40E1543}"/>
    <cellStyle name="Итог 1 9 4 5" xfId="36341" xr:uid="{56126687-8637-4773-AD4C-C93A9945AB1E}"/>
    <cellStyle name="Итог 1 9 5" xfId="15935" xr:uid="{C19C233F-862C-49FD-87DF-DF5FBC2DF24B}"/>
    <cellStyle name="Итог 1 9 5 2" xfId="32014" xr:uid="{73918083-4C06-449F-9A4C-27CFE1A5BCC2}"/>
    <cellStyle name="Итог 1 9 5 3" xfId="45531" xr:uid="{B53ACF12-549B-4C3C-B0F0-0090C9A50335}"/>
    <cellStyle name="Итог 1 9 6" xfId="21522" xr:uid="{C35089C6-4D2B-4B17-99E0-5C293AA705B0}"/>
    <cellStyle name="Итог 1 9 7" xfId="34574" xr:uid="{DFFFD92C-D293-4530-8975-A0F2007F4112}"/>
    <cellStyle name="Итог 2" xfId="2337" xr:uid="{79C1C2EF-1698-419C-963B-EBFF56403C90}"/>
    <cellStyle name="Итог 2 10" xfId="3742" xr:uid="{199CF643-95D5-418F-952D-124908F48E6C}"/>
    <cellStyle name="Итог 2 10 2" xfId="3056" xr:uid="{40E98943-8147-4A99-9CEB-04272170DCC3}"/>
    <cellStyle name="Итог 2 10 2 2" xfId="8352" xr:uid="{F3C7E3C6-D406-477C-82E4-956B387ED8F4}"/>
    <cellStyle name="Итог 2 10 2 2 2" xfId="17404" xr:uid="{F43D0655-6C7B-47CC-909F-661637999772}"/>
    <cellStyle name="Итог 2 10 2 2 2 2" xfId="33158" xr:uid="{44258218-7257-4C09-88D2-9C295C673EDB}"/>
    <cellStyle name="Итог 2 10 2 2 2 3" xfId="46934" xr:uid="{847B0C32-FE80-4967-82CA-6C5C7EADF0D5}"/>
    <cellStyle name="Итог 2 10 2 2 3" xfId="25856" xr:uid="{55D222C3-BAD9-44DB-9E33-7095756A1734}"/>
    <cellStyle name="Итог 2 10 2 2 4" xfId="38932" xr:uid="{F20E3B96-EA4E-4856-89BB-04EA6F5AB1D7}"/>
    <cellStyle name="Итог 2 10 2 3" xfId="6719" xr:uid="{006B6CBA-6338-45E0-A22D-508733F4E52D}"/>
    <cellStyle name="Итог 2 10 2 3 2" xfId="15695" xr:uid="{37D23C78-778B-4510-A5B4-7524E836D0CC}"/>
    <cellStyle name="Итог 2 10 2 3 2 2" xfId="31807" xr:uid="{F568EB6F-86C9-4A4E-A374-A215A8C35AFD}"/>
    <cellStyle name="Итог 2 10 2 3 2 3" xfId="45315" xr:uid="{2F690ADB-B8D2-4BE2-943A-BDB7F331B542}"/>
    <cellStyle name="Итог 2 10 2 3 3" xfId="24347" xr:uid="{134FEA9B-85A3-47E7-AB79-BD1B33E6C36B}"/>
    <cellStyle name="Итог 2 10 2 3 4" xfId="37428" xr:uid="{FE293D9A-099F-4140-8697-6B9B97501497}"/>
    <cellStyle name="Итог 2 10 2 4" xfId="12063" xr:uid="{EB13A07D-58D2-4208-8E2A-A61576E7E5E0}"/>
    <cellStyle name="Итог 2 10 2 4 2" xfId="28763" xr:uid="{4D59C05D-8901-4251-A976-89270381A3C6}"/>
    <cellStyle name="Итог 2 10 2 4 3" xfId="41983" xr:uid="{7C7631DD-CC93-45A1-8B45-DFD45E609CCB}"/>
    <cellStyle name="Итог 2 10 2 5" xfId="21099" xr:uid="{47CCE31C-F79D-430F-A3D2-8AD0077F6468}"/>
    <cellStyle name="Итог 2 10 2 6" xfId="34122" xr:uid="{C0261411-D31D-429C-AB68-9D3EC7A9DE34}"/>
    <cellStyle name="Итог 2 10 3" xfId="4633" xr:uid="{1CEAD0FC-9D16-48AC-B9A2-A0634E3A10EC}"/>
    <cellStyle name="Итог 2 10 3 2" xfId="7377" xr:uid="{FBCCF3E3-D1E2-4390-8BF1-BF99AE8EA9FA}"/>
    <cellStyle name="Итог 2 10 3 2 2" xfId="12921" xr:uid="{2C45CCF8-FC52-419C-8DCD-A0B5BCFB9AA1}"/>
    <cellStyle name="Итог 2 10 3 2 2 2" xfId="29466" xr:uid="{3BEA27AA-4D8E-4646-B193-2A3B80F508A1}"/>
    <cellStyle name="Итог 2 10 3 2 2 3" xfId="42762" xr:uid="{9F17A088-6934-44A0-B073-E735A2F591E9}"/>
    <cellStyle name="Итог 2 10 3 2 3" xfId="24936" xr:uid="{6480435E-3F12-40DC-B344-16756C3CE7EC}"/>
    <cellStyle name="Итог 2 10 3 2 4" xfId="38014" xr:uid="{523DEB55-7E2D-49B3-A508-8A79139C9A52}"/>
    <cellStyle name="Итог 2 10 3 3" xfId="14556" xr:uid="{D9AD3212-2FDB-48A0-9712-364C6BFE18EF}"/>
    <cellStyle name="Итог 2 10 3 3 2" xfId="30863" xr:uid="{31955135-3759-47D2-BEA5-455A560E7433}"/>
    <cellStyle name="Итог 2 10 3 3 3" xfId="44277" xr:uid="{D144946D-EEA1-4D3F-8F48-525FEF72798A}"/>
    <cellStyle name="Итог 2 10 3 4" xfId="22443" xr:uid="{75BE689B-732B-4C40-BB81-3BF94EBCECE1}"/>
    <cellStyle name="Итог 2 10 3 5" xfId="35496" xr:uid="{0FDE8EB4-C87E-417B-AAE1-27F1F9587827}"/>
    <cellStyle name="Итог 2 10 4" xfId="5747" xr:uid="{7FD36EF4-B233-4464-95A6-E631B33B0B1B}"/>
    <cellStyle name="Итог 2 10 4 2" xfId="8936" xr:uid="{BEAC7A6B-259D-418C-970B-D7B891FA3CBD}"/>
    <cellStyle name="Итог 2 10 4 2 2" xfId="15877" xr:uid="{68A20BE2-9993-4824-B1B1-3840495B84BE}"/>
    <cellStyle name="Итог 2 10 4 2 2 2" xfId="31963" xr:uid="{1AF82AC0-F964-43BE-B5F2-D06433932851}"/>
    <cellStyle name="Итог 2 10 4 2 2 3" xfId="45478" xr:uid="{C08E97D3-EAB4-4A1F-BA22-C416FA4C35E4}"/>
    <cellStyle name="Итог 2 10 4 2 3" xfId="26422" xr:uid="{919663B9-446D-4291-A290-3EE871646D4D}"/>
    <cellStyle name="Итог 2 10 4 2 4" xfId="39498" xr:uid="{116794DB-308B-4688-AFFD-6A7A72FE8C5B}"/>
    <cellStyle name="Итог 2 10 4 3" xfId="12412" xr:uid="{540FCE75-1B8B-42E3-9A05-DC26E6BC4A12}"/>
    <cellStyle name="Итог 2 10 4 3 2" xfId="29074" xr:uid="{BB8DD573-6BC8-469E-A566-AC1F5F744560}"/>
    <cellStyle name="Итог 2 10 4 3 3" xfId="42316" xr:uid="{4B31ECAC-8FC9-47B1-8DAC-8B61D81B8943}"/>
    <cellStyle name="Итог 2 10 4 4" xfId="23394" xr:uid="{F4B941A2-4333-4401-86A0-C5F9A50BC051}"/>
    <cellStyle name="Итог 2 10 4 5" xfId="36475" xr:uid="{DFB38951-6409-40DB-933C-CACF5C1C5CFC}"/>
    <cellStyle name="Итог 2 10 5" xfId="16583" xr:uid="{319AEC7F-F004-43F9-8E76-F5D8CC7BEF31}"/>
    <cellStyle name="Итог 2 10 5 2" xfId="32506" xr:uid="{F6432D3F-4B6A-4ED2-8EAB-37583D0ACCD3}"/>
    <cellStyle name="Итог 2 10 5 3" xfId="46130" xr:uid="{A3902451-0DB1-43B1-B829-F3C82A1379E1}"/>
    <cellStyle name="Итог 2 10 6" xfId="21656" xr:uid="{B1DA9E9C-4B73-4C08-B388-227F6A5D09E0}"/>
    <cellStyle name="Итог 2 10 7" xfId="34710" xr:uid="{E0A7EE25-1311-4E2C-AB74-3BFAC6BDE3BD}"/>
    <cellStyle name="Итог 2 11" xfId="3550" xr:uid="{A717BE60-ABAF-4D30-A153-10CF40D4EFFE}"/>
    <cellStyle name="Итог 2 11 2" xfId="2891" xr:uid="{CFF59676-1B2A-4AEC-A8BE-174DBE761209}"/>
    <cellStyle name="Итог 2 11 2 2" xfId="8187" xr:uid="{72CF44B6-E1CC-4122-872C-94244473D839}"/>
    <cellStyle name="Итог 2 11 2 2 2" xfId="14282" xr:uid="{818100A1-45D0-4C82-AC1E-B2F8CA287341}"/>
    <cellStyle name="Итог 2 11 2 2 2 2" xfId="30622" xr:uid="{1E432C5D-7608-439B-A8A7-C979D194DF83}"/>
    <cellStyle name="Итог 2 11 2 2 2 3" xfId="44015" xr:uid="{8061F4B0-6ACF-4D9C-A82B-E4813C6F79AA}"/>
    <cellStyle name="Итог 2 11 2 2 3" xfId="25698" xr:uid="{4704FF93-BABA-4F1C-BFBF-526F0AC45547}"/>
    <cellStyle name="Итог 2 11 2 2 4" xfId="38774" xr:uid="{462E18E3-9E3E-4731-A23C-009D6B2BDA44}"/>
    <cellStyle name="Итог 2 11 2 3" xfId="6554" xr:uid="{BF1947E5-D939-468C-9F85-057F53561EF2}"/>
    <cellStyle name="Итог 2 11 2 3 2" xfId="15714" xr:uid="{076F1915-F000-4484-B2E3-3ADE38D0AA87}"/>
    <cellStyle name="Итог 2 11 2 3 2 2" xfId="31824" xr:uid="{33E2BF57-02F0-4C67-90AB-0921C13F6544}"/>
    <cellStyle name="Итог 2 11 2 3 2 3" xfId="45333" xr:uid="{1DBD7EDB-92D8-4EEF-AE87-C35916AF3604}"/>
    <cellStyle name="Итог 2 11 2 3 3" xfId="24189" xr:uid="{ADDD36D4-106E-4024-9B63-C03B133BACEF}"/>
    <cellStyle name="Итог 2 11 2 3 4" xfId="37270" xr:uid="{B7A8238B-D71A-44E0-B1DD-5965A60BE240}"/>
    <cellStyle name="Итог 2 11 2 4" xfId="12988" xr:uid="{82293BB5-84F3-4EB0-8D87-D2FD62373855}"/>
    <cellStyle name="Итог 2 11 2 4 2" xfId="29525" xr:uid="{6360C805-1241-4DF9-8319-63367C2A012B}"/>
    <cellStyle name="Итог 2 11 2 4 3" xfId="42825" xr:uid="{24F2BB73-3EE3-43B0-8AA0-5FFA9ACCCCC1}"/>
    <cellStyle name="Итог 2 11 2 5" xfId="20941" xr:uid="{B3BA0B6F-DA8A-401E-8565-9016C9F42A05}"/>
    <cellStyle name="Итог 2 11 2 6" xfId="33964" xr:uid="{2BA83527-E563-4FF5-A9A0-141E325DFCA2}"/>
    <cellStyle name="Итог 2 11 3" xfId="4653" xr:uid="{D864A942-E782-441E-B368-2FAF0A930806}"/>
    <cellStyle name="Итог 2 11 3 2" xfId="7192" xr:uid="{BFE0E6B6-189B-4A65-BEE1-F6A29EE9E515}"/>
    <cellStyle name="Итог 2 11 3 2 2" xfId="14126" xr:uid="{BC6761D4-724D-4E4A-9E50-C822C58B577F}"/>
    <cellStyle name="Итог 2 11 3 2 2 2" xfId="30490" xr:uid="{6C6ED8EF-A2AC-425A-B6CF-3BB2B42767EC}"/>
    <cellStyle name="Итог 2 11 3 2 2 3" xfId="43874" xr:uid="{FF42A1E1-05EE-4164-A294-C667F4769520}"/>
    <cellStyle name="Итог 2 11 3 2 3" xfId="24789" xr:uid="{E0C3120E-F6C8-4B35-AD86-119B6F63C1D6}"/>
    <cellStyle name="Итог 2 11 3 2 4" xfId="37870" xr:uid="{4DDF043C-45DA-4222-8DC8-E67850A94015}"/>
    <cellStyle name="Итог 2 11 3 3" xfId="16060" xr:uid="{2419FB3E-DB55-4370-A66D-7A5829EFF3B4}"/>
    <cellStyle name="Итог 2 11 3 3 2" xfId="32121" xr:uid="{26A38411-25CA-4845-8557-322BC3E1033E}"/>
    <cellStyle name="Итог 2 11 3 3 3" xfId="45640" xr:uid="{32263577-AC7C-43A8-8179-8ABE7B151B1D}"/>
    <cellStyle name="Итог 2 11 3 4" xfId="22463" xr:uid="{0EB90C7B-3C13-482E-A3EB-AA103BD59C65}"/>
    <cellStyle name="Итог 2 11 3 5" xfId="35516" xr:uid="{8B33A3A9-5054-42C3-942E-BEEDC1C4A929}"/>
    <cellStyle name="Итог 2 11 4" xfId="5603" xr:uid="{5FC09BC9-93E8-4EA8-8D99-AE5F0F52E2CC}"/>
    <cellStyle name="Итог 2 11 4 2" xfId="8785" xr:uid="{18C07C08-025A-4B63-8D41-A6D6162CC67C}"/>
    <cellStyle name="Итог 2 11 4 2 2" xfId="12347" xr:uid="{88B9AD24-201A-4309-B9A4-C06F0FF05149}"/>
    <cellStyle name="Итог 2 11 4 2 2 2" xfId="29014" xr:uid="{8B0020EF-89BD-49C5-AF31-242DE5D16761}"/>
    <cellStyle name="Итог 2 11 4 2 2 3" xfId="42254" xr:uid="{50509798-7AE8-4BBF-A662-2D2245B91947}"/>
    <cellStyle name="Итог 2 11 4 2 3" xfId="26278" xr:uid="{DFA2C414-A41F-48B0-8D71-56390F0CED2C}"/>
    <cellStyle name="Итог 2 11 4 2 4" xfId="39354" xr:uid="{1D65E25C-3616-4151-A4C3-D2FE547BB349}"/>
    <cellStyle name="Итог 2 11 4 3" xfId="10593" xr:uid="{8ED5E2DE-B5F8-436C-B8E2-102C0129F490}"/>
    <cellStyle name="Итог 2 11 4 3 2" xfId="27452" xr:uid="{856A7A3E-54BD-402E-B406-F054DFB0C6AF}"/>
    <cellStyle name="Итог 2 11 4 3 3" xfId="40574" xr:uid="{A425E04B-6144-48AA-88B3-72F5BB8AF630}"/>
    <cellStyle name="Итог 2 11 4 4" xfId="23250" xr:uid="{0F1A2F75-A38E-4D9A-8B97-F65B08CFD78D}"/>
    <cellStyle name="Итог 2 11 4 5" xfId="36331" xr:uid="{F980D80E-E421-4F9C-BAEC-420780460090}"/>
    <cellStyle name="Итог 2 11 5" xfId="12589" xr:uid="{A0EDC673-5FE8-4285-A317-39F784A0D294}"/>
    <cellStyle name="Итог 2 11 5 2" xfId="29204" xr:uid="{BEF3372B-6F9A-4C89-8B90-C1BFF301A2A4}"/>
    <cellStyle name="Итог 2 11 5 3" xfId="42468" xr:uid="{61A8C128-E760-4559-BA36-BF9B05C6165B}"/>
    <cellStyle name="Итог 2 11 6" xfId="21512" xr:uid="{F5564D87-BE90-4606-A9C6-52D574C0AE49}"/>
    <cellStyle name="Итог 2 11 7" xfId="34564" xr:uid="{047ADF58-91BC-47CA-B390-44ED4B5D436C}"/>
    <cellStyle name="Итог 2 12" xfId="3738" xr:uid="{C4ACFF6F-A3BF-4CCA-80F7-15D7B47B801F}"/>
    <cellStyle name="Итог 2 12 2" xfId="3052" xr:uid="{C7F298F4-E44F-4FD3-ABA3-744D73B8BC69}"/>
    <cellStyle name="Итог 2 12 2 2" xfId="8348" xr:uid="{F002C651-389B-414C-B914-B73A29312244}"/>
    <cellStyle name="Итог 2 12 2 2 2" xfId="15037" xr:uid="{D26AF727-5B70-412E-985A-8537F96C46D9}"/>
    <cellStyle name="Итог 2 12 2 2 2 2" xfId="31254" xr:uid="{1C52CDF0-8ABE-4BA3-9185-29E9018DE562}"/>
    <cellStyle name="Итог 2 12 2 2 2 3" xfId="44710" xr:uid="{2D449888-51F0-404A-A31A-C550C999E383}"/>
    <cellStyle name="Итог 2 12 2 2 3" xfId="25852" xr:uid="{DC83DD79-C03C-4875-BA3A-8FE884BCC1B9}"/>
    <cellStyle name="Итог 2 12 2 2 4" xfId="38928" xr:uid="{8D22CEAC-7617-4277-89D0-2AF0EF0EDA4C}"/>
    <cellStyle name="Итог 2 12 2 3" xfId="6715" xr:uid="{3EF80A46-F478-4F94-91FD-C4E7DA6F0AB2}"/>
    <cellStyle name="Итог 2 12 2 3 2" xfId="15942" xr:uid="{F6EBC4E6-8FEC-4E12-A5E3-68B5A4DE90FA}"/>
    <cellStyle name="Итог 2 12 2 3 2 2" xfId="32019" xr:uid="{0D6DD73C-4488-4C4E-A183-D716F589C557}"/>
    <cellStyle name="Итог 2 12 2 3 2 3" xfId="45537" xr:uid="{EF75F6C4-6FEA-4F36-B819-11A74330BED1}"/>
    <cellStyle name="Итог 2 12 2 3 3" xfId="24343" xr:uid="{B28AF12C-7C7E-44A0-8AF1-5CFB6C9CA3C5}"/>
    <cellStyle name="Итог 2 12 2 3 4" xfId="37424" xr:uid="{18DE2AA1-4596-4E61-8A96-DB1E8CD93289}"/>
    <cellStyle name="Итог 2 12 2 4" xfId="15619" xr:uid="{2F7D35D5-A601-4766-B18A-8BB7022501CF}"/>
    <cellStyle name="Итог 2 12 2 4 2" xfId="31740" xr:uid="{D5782055-667F-44B8-B55A-FC09E6EC738B}"/>
    <cellStyle name="Итог 2 12 2 4 3" xfId="45244" xr:uid="{6C4AA8F5-DC25-45B3-9138-7F3087ADCFDC}"/>
    <cellStyle name="Итог 2 12 2 5" xfId="21095" xr:uid="{0F4B9F22-73B1-4497-B986-B53B94C0AFE9}"/>
    <cellStyle name="Итог 2 12 2 6" xfId="34118" xr:uid="{A87D5497-BBD2-4BCA-ACBA-CBBA0789716C}"/>
    <cellStyle name="Итог 2 12 3" xfId="4754" xr:uid="{FDB10A31-AD2B-4D63-8A78-36A147923345}"/>
    <cellStyle name="Итог 2 12 3 2" xfId="7373" xr:uid="{BBB0CDA8-E0B5-4A84-B8F6-6419A36E693D}"/>
    <cellStyle name="Итог 2 12 3 2 2" xfId="15429" xr:uid="{F2746604-B560-4F5F-9E62-91212AFB8902}"/>
    <cellStyle name="Итог 2 12 3 2 2 2" xfId="31576" xr:uid="{4AC4A10F-3E42-4E33-A55A-306B5A27CC54}"/>
    <cellStyle name="Итог 2 12 3 2 2 3" xfId="45071" xr:uid="{CF3812F7-981F-4C03-B9BD-9EA5D8851D74}"/>
    <cellStyle name="Итог 2 12 3 2 3" xfId="24932" xr:uid="{0ABA8674-74A2-42F5-B943-4338D86CA883}"/>
    <cellStyle name="Итог 2 12 3 2 4" xfId="38010" xr:uid="{8797154A-3DDE-465A-BF8D-5B4BEC9E00B6}"/>
    <cellStyle name="Итог 2 12 3 3" xfId="15763" xr:uid="{4946819F-2E00-4FF7-B328-35E0AA9EF8F8}"/>
    <cellStyle name="Итог 2 12 3 3 2" xfId="31868" xr:uid="{769867FC-6652-4176-AD01-6A6058A0C65A}"/>
    <cellStyle name="Итог 2 12 3 3 3" xfId="45379" xr:uid="{4A1A105D-804F-4668-BAB0-B6DE4EEE5824}"/>
    <cellStyle name="Итог 2 12 3 4" xfId="22557" xr:uid="{5A4B07C2-7B21-4A2D-BABF-280D26490848}"/>
    <cellStyle name="Итог 2 12 3 5" xfId="35610" xr:uid="{9F389610-D384-4A96-90F3-5D980321D094}"/>
    <cellStyle name="Итог 2 12 4" xfId="5743" xr:uid="{BA8AB262-A4F2-4D0E-98CB-EF82C03112F6}"/>
    <cellStyle name="Итог 2 12 4 2" xfId="8932" xr:uid="{D4DE98EE-CF44-4260-9193-D9AB63EB7110}"/>
    <cellStyle name="Итог 2 12 4 2 2" xfId="14060" xr:uid="{2694C848-41F5-4CB0-A536-0A1401F5F6F1}"/>
    <cellStyle name="Итог 2 12 4 2 2 2" xfId="30430" xr:uid="{AE431AE4-F52A-4AAA-87A1-C508C68733E5}"/>
    <cellStyle name="Итог 2 12 4 2 2 3" xfId="43813" xr:uid="{937C4AFA-20B7-4C7F-8C38-DEDFD2410869}"/>
    <cellStyle name="Итог 2 12 4 2 3" xfId="26418" xr:uid="{0BEF1C10-EEEF-4C72-8828-56BD04BD7E79}"/>
    <cellStyle name="Итог 2 12 4 2 4" xfId="39494" xr:uid="{CD752B8A-C4B5-4044-A1C8-0DFC93BABBDA}"/>
    <cellStyle name="Итог 2 12 4 3" xfId="13512" xr:uid="{E72A636E-9352-49F2-B270-5AE9ED7DE729}"/>
    <cellStyle name="Итог 2 12 4 3 2" xfId="29967" xr:uid="{C915E942-20A4-4E5F-9916-0DA44C1DAD80}"/>
    <cellStyle name="Итог 2 12 4 3 3" xfId="43309" xr:uid="{C08B46DC-DCFF-4DE0-AE7D-372B18CC72EF}"/>
    <cellStyle name="Итог 2 12 4 4" xfId="23390" xr:uid="{A2A50B25-087F-4933-B832-8125C390618C}"/>
    <cellStyle name="Итог 2 12 4 5" xfId="36471" xr:uid="{E8BE21E7-DBDB-46AF-83AB-3EFD73610D04}"/>
    <cellStyle name="Итог 2 12 5" xfId="14572" xr:uid="{4053B620-2980-46B3-9485-F97C1F63FA66}"/>
    <cellStyle name="Итог 2 12 5 2" xfId="30877" xr:uid="{411D86A9-2B8E-4BC2-A8D9-E3B273683BAC}"/>
    <cellStyle name="Итог 2 12 5 3" xfId="44293" xr:uid="{ED26355B-29B3-4C78-A69F-135CB780B64E}"/>
    <cellStyle name="Итог 2 12 6" xfId="21652" xr:uid="{3CB1348D-C583-4A8E-BCA6-E43981D3F2C0}"/>
    <cellStyle name="Итог 2 12 7" xfId="34706" xr:uid="{8975A73C-301B-4136-9FF6-08439C614413}"/>
    <cellStyle name="Итог 2 13" xfId="3732" xr:uid="{EA98AAFC-4FAB-41C3-8FA0-085D211D5940}"/>
    <cellStyle name="Итог 2 13 2" xfId="3048" xr:uid="{D08EF7DA-D75A-4FEB-8D5C-AF37FE2922AB}"/>
    <cellStyle name="Итог 2 13 2 2" xfId="8344" xr:uid="{F5998C47-E09C-41EB-B0F6-C03A9F1B3664}"/>
    <cellStyle name="Итог 2 13 2 2 2" xfId="12479" xr:uid="{0B56E8B9-F219-49D1-898F-8712430D08A8}"/>
    <cellStyle name="Итог 2 13 2 2 2 2" xfId="29118" xr:uid="{84D98203-0B79-43AF-B961-FCEAE1826722}"/>
    <cellStyle name="Итог 2 13 2 2 2 3" xfId="42371" xr:uid="{9F85A3DE-AB6E-4122-B8E5-F317E171311C}"/>
    <cellStyle name="Итог 2 13 2 2 3" xfId="25848" xr:uid="{5C1A8CED-185D-478F-A073-98A5328B2877}"/>
    <cellStyle name="Итог 2 13 2 2 4" xfId="38924" xr:uid="{5AB857FF-7F06-47A8-88D8-658A36713598}"/>
    <cellStyle name="Итог 2 13 2 3" xfId="6711" xr:uid="{2344D5E9-4A25-4D2B-A2C7-92FE3C05ED0F}"/>
    <cellStyle name="Итог 2 13 2 3 2" xfId="14324" xr:uid="{F22247CB-6590-4D24-B860-B73B030F967A}"/>
    <cellStyle name="Итог 2 13 2 3 2 2" xfId="30660" xr:uid="{CA7794FC-963D-4C8D-801E-F0E26411E526}"/>
    <cellStyle name="Итог 2 13 2 3 2 3" xfId="44054" xr:uid="{D514E836-B239-45E5-9AC8-4F21C02A4888}"/>
    <cellStyle name="Итог 2 13 2 3 3" xfId="24339" xr:uid="{2E0821B2-435E-4387-A290-995499B806D1}"/>
    <cellStyle name="Итог 2 13 2 3 4" xfId="37420" xr:uid="{3EEE1B55-E350-43EB-887D-A17C7965F686}"/>
    <cellStyle name="Итог 2 13 2 4" xfId="12120" xr:uid="{5B19BACF-230D-4343-9B6E-E20E302664E2}"/>
    <cellStyle name="Итог 2 13 2 4 2" xfId="28820" xr:uid="{2EA71DE9-4F9F-4AD8-92A1-AB312699DEAF}"/>
    <cellStyle name="Итог 2 13 2 4 3" xfId="42040" xr:uid="{1F835FE9-F6E0-44E9-B956-27382CA084BE}"/>
    <cellStyle name="Итог 2 13 2 5" xfId="21091" xr:uid="{D02425DE-02F8-47A6-B803-11C981F1F375}"/>
    <cellStyle name="Итог 2 13 2 6" xfId="34114" xr:uid="{ED13F28E-D485-43E7-A4A8-BB2B69CED776}"/>
    <cellStyle name="Итог 2 13 3" xfId="4750" xr:uid="{870F0EC0-FAB9-4DF7-BDD2-130593A7F807}"/>
    <cellStyle name="Итог 2 13 3 2" xfId="7367" xr:uid="{74630A4F-51C1-4FDA-AEDF-2790093C4158}"/>
    <cellStyle name="Итог 2 13 3 2 2" xfId="13126" xr:uid="{3F8CF16E-3E31-42E9-B4F1-7517B87DD0A5}"/>
    <cellStyle name="Итог 2 13 3 2 2 2" xfId="29640" xr:uid="{F7ACCD4B-8013-430F-A413-0FE8FBB07450}"/>
    <cellStyle name="Итог 2 13 3 2 2 3" xfId="42952" xr:uid="{4489EA4A-6445-4D51-B0A5-39129798A000}"/>
    <cellStyle name="Итог 2 13 3 2 3" xfId="24926" xr:uid="{B8578EA4-E86A-44D1-9DB4-A3D7B36EC5A6}"/>
    <cellStyle name="Итог 2 13 3 2 4" xfId="38006" xr:uid="{65606B00-1946-400E-A7DE-E980F1BE05B5}"/>
    <cellStyle name="Итог 2 13 3 3" xfId="17236" xr:uid="{80F3DFB0-D220-47F5-9BBB-66973EE0AE72}"/>
    <cellStyle name="Итог 2 13 3 3 2" xfId="32995" xr:uid="{DF58FA7B-A21B-4FA6-BDD2-B70A38FEFD45}"/>
    <cellStyle name="Итог 2 13 3 3 3" xfId="46770" xr:uid="{318B5623-E201-4465-84FD-02A625C2B1C4}"/>
    <cellStyle name="Итог 2 13 3 4" xfId="22553" xr:uid="{9B0A9840-8D2A-4FA6-9AE0-7E37EA21A51E}"/>
    <cellStyle name="Итог 2 13 3 5" xfId="35606" xr:uid="{E4A1B979-5C41-486E-A0EB-009897B31693}"/>
    <cellStyle name="Итог 2 13 4" xfId="5739" xr:uid="{23BF9F63-D7E1-418B-B563-48FEBAA146B5}"/>
    <cellStyle name="Итог 2 13 4 2" xfId="8928" xr:uid="{690BF1AD-0573-4216-8877-8ABBD6A54AC7}"/>
    <cellStyle name="Итог 2 13 4 2 2" xfId="15972" xr:uid="{10404718-249F-4DCF-B800-54BA45A6DB5C}"/>
    <cellStyle name="Итог 2 13 4 2 2 2" xfId="32047" xr:uid="{9F0DAE3A-99A1-4F7B-ACF3-0C9DBAE04DE3}"/>
    <cellStyle name="Итог 2 13 4 2 2 3" xfId="45565" xr:uid="{F1DE6E72-C4CA-4566-B589-5E40429FEDC7}"/>
    <cellStyle name="Итог 2 13 4 2 3" xfId="26414" xr:uid="{21D7D723-5544-4A29-A24E-6321EC643F16}"/>
    <cellStyle name="Итог 2 13 4 2 4" xfId="39490" xr:uid="{50020747-EA0B-451F-A218-2435F0520957}"/>
    <cellStyle name="Итог 2 13 4 3" xfId="11730" xr:uid="{F4CA238B-E80E-439E-97B7-59B85ADEC2AC}"/>
    <cellStyle name="Итог 2 13 4 3 2" xfId="28457" xr:uid="{050AB009-E9BC-409B-900A-0A139596D170}"/>
    <cellStyle name="Итог 2 13 4 3 3" xfId="41668" xr:uid="{0532EB66-4DEE-4FEF-B4B1-7F25B06EF50B}"/>
    <cellStyle name="Итог 2 13 4 4" xfId="23386" xr:uid="{7DCF9381-4CDF-4868-90B2-9CBB8580B150}"/>
    <cellStyle name="Итог 2 13 4 5" xfId="36467" xr:uid="{B84120CB-54A3-40C6-90EA-C388563BC961}"/>
    <cellStyle name="Итог 2 13 5" xfId="11061" xr:uid="{8FC69415-10A9-42F6-BD99-9E284F1E7422}"/>
    <cellStyle name="Итог 2 13 5 2" xfId="27864" xr:uid="{14202B97-9029-4E1A-919F-B97358E6EC91}"/>
    <cellStyle name="Итог 2 13 5 3" xfId="41040" xr:uid="{435BCA28-13E3-42E8-8E68-AF91A878CCAE}"/>
    <cellStyle name="Итог 2 13 6" xfId="21648" xr:uid="{28A4C634-4A72-4887-AABF-9EF1D03C21AB}"/>
    <cellStyle name="Итог 2 13 7" xfId="34702" xr:uid="{EEEBAF37-1375-4A62-8B1B-C1615A560396}"/>
    <cellStyle name="Итог 2 14" xfId="3840" xr:uid="{DBE0CB47-1D5B-466D-BE20-B39A79D7DCFF}"/>
    <cellStyle name="Итог 2 14 2" xfId="3103" xr:uid="{EAC57746-4CA4-4750-8FD1-C8BEB28E518B}"/>
    <cellStyle name="Итог 2 14 2 2" xfId="8395" xr:uid="{D42E90A5-2268-4922-BE53-CDD34EAD0697}"/>
    <cellStyle name="Итог 2 14 2 2 2" xfId="10939" xr:uid="{0D6E006A-1AD9-4BF6-8F4B-7EC858726F13}"/>
    <cellStyle name="Итог 2 14 2 2 2 2" xfId="27755" xr:uid="{8265A4A0-6AF8-44A2-8BDF-C93E45E2F32A}"/>
    <cellStyle name="Итог 2 14 2 2 2 3" xfId="40919" xr:uid="{01D41116-0C7D-4C3C-A7A9-D6C799854E42}"/>
    <cellStyle name="Итог 2 14 2 2 3" xfId="25897" xr:uid="{0130E5B3-571B-4006-AF6F-9FF8D252E0D6}"/>
    <cellStyle name="Итог 2 14 2 2 4" xfId="38973" xr:uid="{473C621B-89D6-4B4E-9310-0F3CB1829F29}"/>
    <cellStyle name="Итог 2 14 2 3" xfId="6762" xr:uid="{DA0652A7-F27D-4708-9BE5-CBC017437887}"/>
    <cellStyle name="Итог 2 14 2 3 2" xfId="17515" xr:uid="{D18D1D16-D9A6-4685-9585-DA26195B07DE}"/>
    <cellStyle name="Итог 2 14 2 3 2 2" xfId="33253" xr:uid="{6B390CBE-3F28-4138-9CD0-E2D95D77ED24}"/>
    <cellStyle name="Итог 2 14 2 3 2 3" xfId="47040" xr:uid="{FD6C4DC5-819F-4413-8923-5FA0882B24E9}"/>
    <cellStyle name="Итог 2 14 2 3 3" xfId="24388" xr:uid="{31001587-133E-45B5-AAE7-941DDB74221E}"/>
    <cellStyle name="Итог 2 14 2 3 4" xfId="37469" xr:uid="{44B0A521-AB97-427B-8B26-15266B52429E}"/>
    <cellStyle name="Итог 2 14 2 4" xfId="12264" xr:uid="{FD7AF51F-C6E3-4EC1-BB98-5352071C92D2}"/>
    <cellStyle name="Итог 2 14 2 4 2" xfId="28943" xr:uid="{EA6756F8-1AFE-49F8-9778-41908C10599B}"/>
    <cellStyle name="Итог 2 14 2 4 3" xfId="42176" xr:uid="{E7A65B15-7BE0-49D5-8CEA-CF513EBBC852}"/>
    <cellStyle name="Итог 2 14 2 5" xfId="21140" xr:uid="{CF721709-EF1B-4806-AB7D-2C73D6EB6C18}"/>
    <cellStyle name="Итог 2 14 2 6" xfId="34163" xr:uid="{33F0962F-5248-4EFC-B6B8-3DA7FF69842C}"/>
    <cellStyle name="Итог 2 14 3" xfId="4785" xr:uid="{B281C857-6C01-4190-8D42-6E8EEC330B14}"/>
    <cellStyle name="Итог 2 14 3 2" xfId="7427" xr:uid="{8723E4EF-39DA-42C5-A099-C73232D9E216}"/>
    <cellStyle name="Итог 2 14 3 2 2" xfId="17505" xr:uid="{3F84A83F-CA0F-4BC6-B1DF-7C3128166578}"/>
    <cellStyle name="Итог 2 14 3 2 2 2" xfId="33243" xr:uid="{DCBDB26D-CFC1-4F1D-9A51-E79F139917D6}"/>
    <cellStyle name="Итог 2 14 3 2 2 3" xfId="47030" xr:uid="{04B86373-4612-4BBA-B543-19951F63C8B5}"/>
    <cellStyle name="Итог 2 14 3 2 3" xfId="24984" xr:uid="{3C15B6C4-EC06-4605-9E39-98F0CE090DE9}"/>
    <cellStyle name="Итог 2 14 3 2 4" xfId="38060" xr:uid="{E80D4998-2FD2-4235-9BA2-FEA9675056A8}"/>
    <cellStyle name="Итог 2 14 3 3" xfId="13444" xr:uid="{EB5301FD-CCAC-4861-A9DB-84664363605A}"/>
    <cellStyle name="Итог 2 14 3 3 2" xfId="29908" xr:uid="{84E25D5F-BDE4-4FE0-977E-9B4FDAB39E24}"/>
    <cellStyle name="Итог 2 14 3 3 3" xfId="43246" xr:uid="{1A2705A7-4A0B-44E2-A11C-22F8C7703164}"/>
    <cellStyle name="Итог 2 14 3 4" xfId="22587" xr:uid="{5261707F-CE90-487C-B3BB-66B0FBED913F}"/>
    <cellStyle name="Итог 2 14 3 5" xfId="35640" xr:uid="{B612CCA3-1726-4E51-ADE6-EB37CC921F1A}"/>
    <cellStyle name="Итог 2 14 4" xfId="5810" xr:uid="{C5BDB4A6-9265-408C-86DB-457454B61C9D}"/>
    <cellStyle name="Итог 2 14 4 2" xfId="8971" xr:uid="{E00CE0AF-876B-47C6-B8C9-64F276BE5C14}"/>
    <cellStyle name="Итог 2 14 4 2 2" xfId="13227" xr:uid="{C028E399-B732-4FAE-8BEA-369B20EE9B42}"/>
    <cellStyle name="Итог 2 14 4 2 2 2" xfId="29726" xr:uid="{50F06B55-3FAF-4DFA-B940-7AF94FC51C70}"/>
    <cellStyle name="Итог 2 14 4 2 2 3" xfId="43046" xr:uid="{1E59F1A9-267E-4D38-826D-C8A3C623F583}"/>
    <cellStyle name="Итог 2 14 4 2 3" xfId="26456" xr:uid="{8820FDA6-E937-4515-8B5F-F299FEDD69BF}"/>
    <cellStyle name="Итог 2 14 4 2 4" xfId="39532" xr:uid="{6C936E23-EFCD-42C8-90A4-EDDAF7332D76}"/>
    <cellStyle name="Итог 2 14 4 3" xfId="12425" xr:uid="{7947EDED-4A42-4325-A762-4C6F56DDA222}"/>
    <cellStyle name="Итог 2 14 4 3 2" xfId="29079" xr:uid="{5386FC18-9B70-4304-94DC-0F8A89370F82}"/>
    <cellStyle name="Итог 2 14 4 3 3" xfId="42324" xr:uid="{0AFA1486-162C-4250-93AF-D85D936A547C}"/>
    <cellStyle name="Итог 2 14 4 4" xfId="23457" xr:uid="{B8D5D816-6A7E-4237-9F82-CBCD4E530DCB}"/>
    <cellStyle name="Итог 2 14 4 5" xfId="36538" xr:uid="{C4E38489-26AC-47F1-8291-DB6929088209}"/>
    <cellStyle name="Итог 2 14 5" xfId="13218" xr:uid="{255CE816-1156-42E2-AB6F-737B135C497E}"/>
    <cellStyle name="Итог 2 14 5 2" xfId="29719" xr:uid="{D490FBD2-4B00-43C4-9C9C-814138698AB7}"/>
    <cellStyle name="Итог 2 14 5 3" xfId="43038" xr:uid="{C59B2401-3149-4AB3-A28F-4EB4BA9B1800}"/>
    <cellStyle name="Итог 2 14 6" xfId="21719" xr:uid="{C13619B7-3A3F-4150-8641-070617383F4D}"/>
    <cellStyle name="Итог 2 14 7" xfId="34773" xr:uid="{6B9CAA23-E47A-4FEA-9C90-CD2EC069D08C}"/>
    <cellStyle name="Итог 2 15" xfId="3745" xr:uid="{D75F0A0B-8835-421E-996F-3901F550F2B3}"/>
    <cellStyle name="Итог 2 15 2" xfId="3059" xr:uid="{C9AFEC8E-A67D-4749-A2D1-B615775B894C}"/>
    <cellStyle name="Итог 2 15 2 2" xfId="8355" xr:uid="{EF5F56B0-CA0B-47C3-9D37-9C1491F315D3}"/>
    <cellStyle name="Итог 2 15 2 2 2" xfId="16925" xr:uid="{837381E2-63A8-4066-9161-D0C3BD5AFCCF}"/>
    <cellStyle name="Итог 2 15 2 2 2 2" xfId="32778" xr:uid="{98741561-9D26-44DA-BBC6-1F5BA5717E4E}"/>
    <cellStyle name="Итог 2 15 2 2 2 3" xfId="46467" xr:uid="{D7AAEDAE-DABE-4B35-8A57-2ACC678113CA}"/>
    <cellStyle name="Итог 2 15 2 2 3" xfId="25859" xr:uid="{949C4467-AF91-405C-A55C-AB7F7914FE9B}"/>
    <cellStyle name="Итог 2 15 2 2 4" xfId="38935" xr:uid="{51C958BC-838E-439A-AF50-B1A3DB7A4816}"/>
    <cellStyle name="Итог 2 15 2 3" xfId="6722" xr:uid="{25B38F29-834F-4B27-B507-F05192E0C9F5}"/>
    <cellStyle name="Итог 2 15 2 3 2" xfId="10873" xr:uid="{33A78295-9FDF-4545-8E07-513F13167A02}"/>
    <cellStyle name="Итог 2 15 2 3 2 2" xfId="27699" xr:uid="{535FF3BD-6368-4D01-92D5-159B8528BDDA}"/>
    <cellStyle name="Итог 2 15 2 3 2 3" xfId="40853" xr:uid="{8BE22878-8493-4601-9AEC-34E008831295}"/>
    <cellStyle name="Итог 2 15 2 3 3" xfId="24350" xr:uid="{FE1F5AEE-429E-4DB5-B2F0-530DB5E10D3B}"/>
    <cellStyle name="Итог 2 15 2 3 4" xfId="37431" xr:uid="{EBFDCFAB-BD64-4284-851F-5EB270128053}"/>
    <cellStyle name="Итог 2 15 2 4" xfId="12620" xr:uid="{2E51B384-4068-4131-BAD5-874C548818D7}"/>
    <cellStyle name="Итог 2 15 2 4 2" xfId="29230" xr:uid="{E4C2B0F7-AE07-4F50-B81F-43B4B8614D7A}"/>
    <cellStyle name="Итог 2 15 2 4 3" xfId="42495" xr:uid="{061868C7-F2FE-4D56-B2F2-6AA858BB8D77}"/>
    <cellStyle name="Итог 2 15 2 5" xfId="21102" xr:uid="{4540A3CF-BDA8-475A-AFC0-D4EAD581F402}"/>
    <cellStyle name="Итог 2 15 2 6" xfId="34125" xr:uid="{5543FBFD-304C-485B-98C1-3D6136AE1234}"/>
    <cellStyle name="Итог 2 15 3" xfId="4757" xr:uid="{43CA8A00-C8CD-471F-A264-6CF2B3120157}"/>
    <cellStyle name="Итог 2 15 3 2" xfId="7380" xr:uid="{1157E8C0-6289-48A2-A597-FDDD65D2090C}"/>
    <cellStyle name="Итог 2 15 3 2 2" xfId="10607" xr:uid="{14FEA44F-D577-443F-BC2D-E10467716E4C}"/>
    <cellStyle name="Итог 2 15 3 2 2 2" xfId="27466" xr:uid="{752E2F39-747D-42A7-8C50-59FE6A574CC4}"/>
    <cellStyle name="Итог 2 15 3 2 2 3" xfId="40588" xr:uid="{BA8FC32B-4C83-46F3-95E5-06326754CCF6}"/>
    <cellStyle name="Итог 2 15 3 2 3" xfId="24939" xr:uid="{165233AB-C17D-4C13-B9D6-DB9C50AAF954}"/>
    <cellStyle name="Итог 2 15 3 2 4" xfId="38017" xr:uid="{9224938F-9192-4725-9974-95180B5E3715}"/>
    <cellStyle name="Итог 2 15 3 3" xfId="14188" xr:uid="{9C4D1D1F-637E-4042-9461-F7F5D88458CB}"/>
    <cellStyle name="Итог 2 15 3 3 2" xfId="30537" xr:uid="{3D782E17-AF0A-4D72-9BCD-430FC28342EB}"/>
    <cellStyle name="Итог 2 15 3 3 3" xfId="43925" xr:uid="{21450A2E-4C85-4268-9C20-5ECDA1C5B47C}"/>
    <cellStyle name="Итог 2 15 3 4" xfId="22560" xr:uid="{3F85588A-88D0-49A4-B51C-5F03289D340C}"/>
    <cellStyle name="Итог 2 15 3 5" xfId="35613" xr:uid="{10FE9D33-48A6-48AF-8CB8-A1222A070B82}"/>
    <cellStyle name="Итог 2 15 4" xfId="5750" xr:uid="{063FD9BF-53D7-436C-BB3B-9718EA127E51}"/>
    <cellStyle name="Итог 2 15 4 2" xfId="8939" xr:uid="{AFABAE98-6935-44E8-A45E-92BFFAE5EB28}"/>
    <cellStyle name="Итог 2 15 4 2 2" xfId="11300" xr:uid="{4F2D5DA8-46BB-4CE7-8C90-CF5AD2F6B1BD}"/>
    <cellStyle name="Итог 2 15 4 2 2 2" xfId="28084" xr:uid="{3091851B-9BFA-4407-AEEE-2DDAD153557E}"/>
    <cellStyle name="Итог 2 15 4 2 2 3" xfId="41267" xr:uid="{2A33067B-E90B-424D-93C3-B18350868E14}"/>
    <cellStyle name="Итог 2 15 4 2 3" xfId="26425" xr:uid="{F0F15C04-D23F-4FB4-A414-4E06807C7574}"/>
    <cellStyle name="Итог 2 15 4 2 4" xfId="39501" xr:uid="{DEF4FFCD-E4B1-4343-B1EB-86F45B765F47}"/>
    <cellStyle name="Итог 2 15 4 3" xfId="14848" xr:uid="{2BFF028F-9577-459B-BD41-59CA022EB5CA}"/>
    <cellStyle name="Итог 2 15 4 3 2" xfId="31105" xr:uid="{A9E9DE6C-451D-4067-AB48-478567606001}"/>
    <cellStyle name="Итог 2 15 4 3 3" xfId="44543" xr:uid="{F2E41729-E16E-43F7-BC9E-6D3427BE1E0D}"/>
    <cellStyle name="Итог 2 15 4 4" xfId="23397" xr:uid="{95B98646-B5BC-4B90-8EB8-9D3E8045D0EC}"/>
    <cellStyle name="Итог 2 15 4 5" xfId="36478" xr:uid="{3C650B25-44D9-47A6-94BC-EF6D5326348F}"/>
    <cellStyle name="Итог 2 15 5" xfId="15696" xr:uid="{CEA22E7C-6451-4C37-956F-312AD5911CC6}"/>
    <cellStyle name="Итог 2 15 5 2" xfId="31808" xr:uid="{BA20A72F-E0DE-47BC-B0A4-A99302F4D187}"/>
    <cellStyle name="Итог 2 15 5 3" xfId="45316" xr:uid="{C8136EBE-EBD7-4F51-8E9E-700D4EF12E48}"/>
    <cellStyle name="Итог 2 15 6" xfId="21659" xr:uid="{34DF3A35-1C38-4F8B-8AF0-F644DD6FA619}"/>
    <cellStyle name="Итог 2 15 7" xfId="34713" xr:uid="{D5F1C985-4788-4E6A-ACCD-1D01F7221E4F}"/>
    <cellStyle name="Итог 2 16" xfId="3874" xr:uid="{EC363598-093F-49F4-A415-E20F6210D1C7}"/>
    <cellStyle name="Итог 2 16 2" xfId="3131" xr:uid="{CD8C1DEB-7DF5-45BB-9BB0-4B0892E460CF}"/>
    <cellStyle name="Итог 2 16 2 2" xfId="8423" xr:uid="{F4F31D1D-A13B-4DA1-9E01-2D62A17A782E}"/>
    <cellStyle name="Итог 2 16 2 2 2" xfId="10750" xr:uid="{D925AC0F-FF61-490C-BDB4-4A405614F565}"/>
    <cellStyle name="Итог 2 16 2 2 2 2" xfId="27590" xr:uid="{3704166D-F602-408E-818A-8A928528B90A}"/>
    <cellStyle name="Итог 2 16 2 2 2 3" xfId="40731" xr:uid="{C45ED628-8528-410A-A672-50E8B64774D4}"/>
    <cellStyle name="Итог 2 16 2 2 3" xfId="25925" xr:uid="{3248C1A2-F539-4A16-9143-D5AC5A7E159F}"/>
    <cellStyle name="Итог 2 16 2 2 4" xfId="39001" xr:uid="{26AE10DC-9679-4C88-B8CF-A6E753805EB4}"/>
    <cellStyle name="Итог 2 16 2 3" xfId="6790" xr:uid="{27BF63A1-D4B1-4F71-A27F-E4CF63CB55F4}"/>
    <cellStyle name="Итог 2 16 2 3 2" xfId="11961" xr:uid="{4A3874D5-136D-40EE-B212-6ECCC4F21FF1}"/>
    <cellStyle name="Итог 2 16 2 3 2 2" xfId="28670" xr:uid="{AB60DD84-B6FA-46CF-BD54-F44EAB6FD056}"/>
    <cellStyle name="Итог 2 16 2 3 2 3" xfId="41888" xr:uid="{69156FBB-86B6-4CD1-9A15-327FBED9D2A8}"/>
    <cellStyle name="Итог 2 16 2 3 3" xfId="24416" xr:uid="{26AD3782-357D-4FBF-BEDF-BE419651BF51}"/>
    <cellStyle name="Итог 2 16 2 3 4" xfId="37497" xr:uid="{BD7DCDB1-F47D-483E-B93C-A9B36FB362EF}"/>
    <cellStyle name="Итог 2 16 2 4" xfId="13415" xr:uid="{D4C64027-C38B-479E-8582-621E1C0C2BDA}"/>
    <cellStyle name="Итог 2 16 2 4 2" xfId="29884" xr:uid="{A721439B-5499-467B-909F-1C1E631BE4B3}"/>
    <cellStyle name="Итог 2 16 2 4 3" xfId="43219" xr:uid="{FAFED944-EA30-46A1-A298-0B9348F9C370}"/>
    <cellStyle name="Итог 2 16 2 5" xfId="21168" xr:uid="{490B816F-CDDF-47BE-A952-D6B11C7498F4}"/>
    <cellStyle name="Итог 2 16 2 6" xfId="34191" xr:uid="{0320FF29-A486-4E66-8432-12EAEAFE2E6D}"/>
    <cellStyle name="Итог 2 16 3" xfId="4811" xr:uid="{0740D4C8-BF37-40D1-942A-44DD32BC7D3A}"/>
    <cellStyle name="Итог 2 16 3 2" xfId="7455" xr:uid="{B236B30A-2950-4B81-AB1A-9C400E8475EF}"/>
    <cellStyle name="Итог 2 16 3 2 2" xfId="14102" xr:uid="{0DD57576-F61A-4661-AF31-84B33A9D9D98}"/>
    <cellStyle name="Итог 2 16 3 2 2 2" xfId="30469" xr:uid="{C0D9777E-7BF6-452B-93D0-67B62247B79E}"/>
    <cellStyle name="Итог 2 16 3 2 2 3" xfId="43852" xr:uid="{1322234F-91D2-4BE7-81C8-01E89A090D4A}"/>
    <cellStyle name="Итог 2 16 3 2 3" xfId="25012" xr:uid="{614E88B7-02A6-4DEC-93AB-C14C2BE459E9}"/>
    <cellStyle name="Итог 2 16 3 2 4" xfId="38088" xr:uid="{773044F7-1479-48FB-8058-393AD1BF4FD2}"/>
    <cellStyle name="Итог 2 16 3 3" xfId="13285" xr:uid="{BA9B166A-A4E6-4A7F-9478-71BA855A0C78}"/>
    <cellStyle name="Итог 2 16 3 3 2" xfId="29775" xr:uid="{B1C5E2B2-1F96-41DD-AE08-AD7C3FE8F1BD}"/>
    <cellStyle name="Итог 2 16 3 3 3" xfId="43102" xr:uid="{A8301A32-08B8-453B-9A34-F52CCE61689D}"/>
    <cellStyle name="Итог 2 16 3 4" xfId="22613" xr:uid="{1786738D-31EE-4475-8EA5-DB6D832F2431}"/>
    <cellStyle name="Итог 2 16 3 5" xfId="35666" xr:uid="{52D12DF9-A975-434C-BAEF-D5C32A5232AE}"/>
    <cellStyle name="Итог 2 16 4" xfId="5838" xr:uid="{9822C11E-9FB6-418C-8D66-257E3E4E345A}"/>
    <cellStyle name="Итог 2 16 4 2" xfId="8996" xr:uid="{2F87D1D9-F4C0-45FA-AA0E-BAD08575453A}"/>
    <cellStyle name="Итог 2 16 4 2 2" xfId="11224" xr:uid="{5454F96C-2A13-47D0-A209-20AD968667E1}"/>
    <cellStyle name="Итог 2 16 4 2 2 2" xfId="28018" xr:uid="{C09B5DEA-EC1C-447F-9BFB-686776262E8C}"/>
    <cellStyle name="Итог 2 16 4 2 2 3" xfId="41200" xr:uid="{A76562C7-651E-4259-9063-021086E2A6D5}"/>
    <cellStyle name="Итог 2 16 4 2 3" xfId="26481" xr:uid="{4A56147C-3808-46C2-A225-8C85614ACA87}"/>
    <cellStyle name="Итог 2 16 4 2 4" xfId="39557" xr:uid="{661C83B3-7B70-44C2-8250-BEEA1B332CAB}"/>
    <cellStyle name="Итог 2 16 4 3" xfId="16067" xr:uid="{D839D572-3E46-4A35-8064-06C4797A1979}"/>
    <cellStyle name="Итог 2 16 4 3 2" xfId="32127" xr:uid="{0E68DB18-FA4F-4AC1-89CD-C77E4BD15565}"/>
    <cellStyle name="Итог 2 16 4 3 3" xfId="45647" xr:uid="{08AF3090-4C49-48F0-A8A3-147B4F561A83}"/>
    <cellStyle name="Итог 2 16 4 4" xfId="23485" xr:uid="{08B957EA-91E9-431C-836C-3C2810835851}"/>
    <cellStyle name="Итог 2 16 4 5" xfId="36566" xr:uid="{51DF4750-FDF6-42D3-92DF-093F5E24FF33}"/>
    <cellStyle name="Итог 2 16 5" xfId="16863" xr:uid="{E69B2D55-C369-400D-AC92-21506CA3A184}"/>
    <cellStyle name="Итог 2 16 5 2" xfId="32740" xr:uid="{62B3726E-747E-4966-9586-84312C2EE9C9}"/>
    <cellStyle name="Итог 2 16 5 3" xfId="46405" xr:uid="{64655725-5D5C-4B37-BEDB-23813CDB1F10}"/>
    <cellStyle name="Итог 2 16 6" xfId="21750" xr:uid="{2A28CADE-B128-450F-BA03-6B55E9943E0D}"/>
    <cellStyle name="Итог 2 16 7" xfId="34801" xr:uid="{525D2353-2DF5-46EA-9543-6C4D00AA21B9}"/>
    <cellStyle name="Итог 2 17" xfId="3991" xr:uid="{6E251A18-0207-483F-AE16-369B8A2211F7}"/>
    <cellStyle name="Итог 2 17 2" xfId="3229" xr:uid="{578FED68-6F32-4D73-9062-F0B95CEAC17E}"/>
    <cellStyle name="Итог 2 17 2 2" xfId="8520" xr:uid="{56B0780F-F2BE-4A18-849A-94E846A577B3}"/>
    <cellStyle name="Итог 2 17 2 2 2" xfId="14185" xr:uid="{A40DCC94-B54F-48B6-ACE2-EBBA132C9E74}"/>
    <cellStyle name="Итог 2 17 2 2 2 2" xfId="30536" xr:uid="{027A1446-68AC-4880-A22C-31526AB96AE3}"/>
    <cellStyle name="Итог 2 17 2 2 2 3" xfId="43923" xr:uid="{72BB6B3E-1559-4AE9-AEB2-FC0B4D1DC042}"/>
    <cellStyle name="Итог 2 17 2 2 3" xfId="26019" xr:uid="{A1E78A60-B537-4829-A822-9410156EBD40}"/>
    <cellStyle name="Итог 2 17 2 2 4" xfId="39095" xr:uid="{02B1A25E-CE04-4AB3-B42E-E1FE1014DE73}"/>
    <cellStyle name="Итог 2 17 2 3" xfId="6888" xr:uid="{8AD91E19-EC15-441D-BAAF-4A2BCD3E19CD}"/>
    <cellStyle name="Итог 2 17 2 3 2" xfId="11185" xr:uid="{BDF56CC9-8CF3-4C8D-9F61-FB2FFC9AF7DB}"/>
    <cellStyle name="Итог 2 17 2 3 2 2" xfId="27979" xr:uid="{5A7666C8-9EBC-407E-9BE4-3B321A689BE1}"/>
    <cellStyle name="Итог 2 17 2 3 2 3" xfId="41161" xr:uid="{0B8BC886-1419-4BA7-894C-F2916EF4A800}"/>
    <cellStyle name="Итог 2 17 2 3 3" xfId="24511" xr:uid="{3A92D945-6996-4906-8343-4B4AADFDDC21}"/>
    <cellStyle name="Итог 2 17 2 3 4" xfId="37592" xr:uid="{6A51D011-B569-485F-B6B1-2BA2559FF399}"/>
    <cellStyle name="Итог 2 17 2 4" xfId="14035" xr:uid="{123BD30A-338F-4FFA-9D42-E9B1D5CBDFE4}"/>
    <cellStyle name="Итог 2 17 2 4 2" xfId="30411" xr:uid="{C923AD7F-2F32-4014-B3D7-17FBEF598261}"/>
    <cellStyle name="Итог 2 17 2 4 3" xfId="43792" xr:uid="{7A96CCAD-820F-44A6-B318-63E1D035A7BF}"/>
    <cellStyle name="Итог 2 17 2 5" xfId="21263" xr:uid="{C8EEDBE5-365F-4483-B77D-FC7F958F1B0C}"/>
    <cellStyle name="Итог 2 17 2 6" xfId="34286" xr:uid="{5E100A1F-E114-447C-BEC0-571991B5BC33}"/>
    <cellStyle name="Итог 2 17 3" xfId="4903" xr:uid="{2E475AA8-7290-46C0-A21E-79B845C6DC18}"/>
    <cellStyle name="Итог 2 17 3 2" xfId="7571" xr:uid="{93344C11-7BC6-4841-96B4-5D0D8834FF27}"/>
    <cellStyle name="Итог 2 17 3 2 2" xfId="11020" xr:uid="{682F1A66-8707-485B-9FCB-3001B3049264}"/>
    <cellStyle name="Итог 2 17 3 2 2 2" xfId="27827" xr:uid="{06C31852-A108-42C7-942D-D85EB5937A0D}"/>
    <cellStyle name="Итог 2 17 3 2 2 3" xfId="41000" xr:uid="{AA12F728-8BB5-4EC4-8F1B-635AAD4991D1}"/>
    <cellStyle name="Итог 2 17 3 2 3" xfId="25099" xr:uid="{A34DB435-051E-4F74-BE74-F20115AC0F9D}"/>
    <cellStyle name="Итог 2 17 3 2 4" xfId="38175" xr:uid="{0427C84B-0C66-498C-AE03-328332E9E6C9}"/>
    <cellStyle name="Итог 2 17 3 3" xfId="12505" xr:uid="{93D80D8D-C994-4AE4-9724-07FC883F3EBC}"/>
    <cellStyle name="Итог 2 17 3 3 2" xfId="29138" xr:uid="{47F3E4F0-5E01-4807-8361-C60CD46DD167}"/>
    <cellStyle name="Итог 2 17 3 3 3" xfId="42392" xr:uid="{F987BBF3-6671-458F-AEB6-69E737437440}"/>
    <cellStyle name="Итог 2 17 3 4" xfId="22700" xr:uid="{D80910E3-8C1A-4DF1-ADD1-1EAFD0B5DC9B}"/>
    <cellStyle name="Итог 2 17 3 5" xfId="35753" xr:uid="{BDEDD86D-EBCB-49A1-855D-DC7745535B71}"/>
    <cellStyle name="Итог 2 17 4" xfId="5925" xr:uid="{85123D5D-DB5B-40C7-AB38-C64F4B1A596D}"/>
    <cellStyle name="Итог 2 17 4 2" xfId="9085" xr:uid="{F807EDB6-92C6-488F-96CA-9D20537F6772}"/>
    <cellStyle name="Итог 2 17 4 2 2" xfId="11455" xr:uid="{0ABEB981-6FD9-492D-BC6E-AE76419CCC08}"/>
    <cellStyle name="Итог 2 17 4 2 2 2" xfId="28220" xr:uid="{7D7D5050-13F0-4204-BE97-AA7AB729F2D6}"/>
    <cellStyle name="Итог 2 17 4 2 2 3" xfId="41414" xr:uid="{68A42F9A-3536-4311-BCDA-2058ECE256C4}"/>
    <cellStyle name="Итог 2 17 4 2 3" xfId="26566" xr:uid="{E0F6100E-A3E5-4577-9E5A-14E7B4912757}"/>
    <cellStyle name="Итог 2 17 4 2 4" xfId="39642" xr:uid="{108CBFB8-9AB5-47B4-8B1C-E308F92534A0}"/>
    <cellStyle name="Итог 2 17 4 3" xfId="17521" xr:uid="{DA9A901E-4A7E-4E61-AC65-DD05A280E062}"/>
    <cellStyle name="Итог 2 17 4 3 2" xfId="33259" xr:uid="{31437F0F-768C-40BF-B3FF-0C5F80EECEBB}"/>
    <cellStyle name="Итог 2 17 4 3 3" xfId="47046" xr:uid="{8AB389C4-4B62-4D6F-9FFD-C80BF11F39BA}"/>
    <cellStyle name="Итог 2 17 4 4" xfId="23572" xr:uid="{7B4B3DD9-5101-47F1-8970-925C1C239D1B}"/>
    <cellStyle name="Итог 2 17 4 5" xfId="36653" xr:uid="{A07219FD-C6FB-4F15-A7A7-05F0914E9788}"/>
    <cellStyle name="Итог 2 17 5" xfId="14300" xr:uid="{129698C1-5E26-4E16-9CA2-BF094105A908}"/>
    <cellStyle name="Итог 2 17 5 2" xfId="30638" xr:uid="{3FAC0B75-7168-4264-A4A8-5BB665DA808B}"/>
    <cellStyle name="Итог 2 17 5 3" xfId="44032" xr:uid="{AE642B5A-B910-4608-A3B1-9E7D020037CB}"/>
    <cellStyle name="Итог 2 17 6" xfId="21838" xr:uid="{1D50FC4D-2567-4670-9676-EBC6B8FA9297}"/>
    <cellStyle name="Итог 2 17 7" xfId="34888" xr:uid="{AF4AE1D2-7787-4341-B55B-16C567747FD0}"/>
    <cellStyle name="Итог 2 18" xfId="3867" xr:uid="{91BB3F9C-DFC8-4C61-9E0D-605174049B3B}"/>
    <cellStyle name="Итог 2 18 2" xfId="3127" xr:uid="{A93BE5D6-F5CC-49C9-A370-0999C13C5E13}"/>
    <cellStyle name="Итог 2 18 2 2" xfId="8419" xr:uid="{ADE12366-3F0D-419E-B7B9-C5F6AC83D324}"/>
    <cellStyle name="Итог 2 18 2 2 2" xfId="10848" xr:uid="{E7E1238B-06B2-448F-A731-EECBB68E9500}"/>
    <cellStyle name="Итог 2 18 2 2 2 2" xfId="27677" xr:uid="{10B6D01B-E668-4AFC-88DE-A146146E03D7}"/>
    <cellStyle name="Итог 2 18 2 2 2 3" xfId="40829" xr:uid="{BD78F97E-529B-433C-B50C-7C99677C1DF3}"/>
    <cellStyle name="Итог 2 18 2 2 3" xfId="25921" xr:uid="{324F39E8-1CDF-463B-9E29-69B9FDADF944}"/>
    <cellStyle name="Итог 2 18 2 2 4" xfId="38997" xr:uid="{358F3FA0-8E7D-47B4-9B5C-35D44AED2F52}"/>
    <cellStyle name="Итог 2 18 2 3" xfId="6786" xr:uid="{F717C609-1D1B-494B-9D28-EE50068C9EB0}"/>
    <cellStyle name="Итог 2 18 2 3 2" xfId="17192" xr:uid="{B67BC5F3-1455-4EFF-BAF3-FD39CFC43B01}"/>
    <cellStyle name="Итог 2 18 2 3 2 2" xfId="32955" xr:uid="{3E4E62A1-90FB-4C15-8313-BE0B7D5D7AE4}"/>
    <cellStyle name="Итог 2 18 2 3 2 3" xfId="46727" xr:uid="{15CB853E-A822-4E89-8A04-10BE9B998363}"/>
    <cellStyle name="Итог 2 18 2 3 3" xfId="24412" xr:uid="{C5E1C504-B87B-47F8-81D9-547770F35E1C}"/>
    <cellStyle name="Итог 2 18 2 3 4" xfId="37493" xr:uid="{3CA7B64E-98CC-4D77-905E-437FBB7AFE1E}"/>
    <cellStyle name="Итог 2 18 2 4" xfId="13053" xr:uid="{21B219B6-7566-466C-B809-405D2E107F34}"/>
    <cellStyle name="Итог 2 18 2 4 2" xfId="29578" xr:uid="{C253A45F-C990-401B-BF59-65DE9DAC3087}"/>
    <cellStyle name="Итог 2 18 2 4 3" xfId="42883" xr:uid="{1EE5F410-887E-4FE3-B871-A347252D6CE2}"/>
    <cellStyle name="Итог 2 18 2 5" xfId="21164" xr:uid="{9BE05043-62D7-419A-AFAD-F82B290BF322}"/>
    <cellStyle name="Итог 2 18 2 6" xfId="34187" xr:uid="{6BABED88-9D54-45FE-89D5-DDEA69E8BEF2}"/>
    <cellStyle name="Итог 2 18 3" xfId="4807" xr:uid="{0D0032EC-0FE1-4D5B-B698-5B75BA59EEA0}"/>
    <cellStyle name="Итог 2 18 3 2" xfId="7451" xr:uid="{9825FB88-A643-4714-BB9F-ACBF6DC96672}"/>
    <cellStyle name="Итог 2 18 3 2 2" xfId="12389" xr:uid="{59C00B78-7C31-41D1-93C5-F16FC993341E}"/>
    <cellStyle name="Итог 2 18 3 2 2 2" xfId="29054" xr:uid="{E2481333-10F6-430D-92A3-20F9D8827919}"/>
    <cellStyle name="Итог 2 18 3 2 2 3" xfId="42295" xr:uid="{A14E92A6-CBD9-49EC-91EE-F9814482BBEA}"/>
    <cellStyle name="Итог 2 18 3 2 3" xfId="25008" xr:uid="{12FBFD31-A20C-4C17-9935-A0863BE19234}"/>
    <cellStyle name="Итог 2 18 3 2 4" xfId="38084" xr:uid="{8E7E756C-1512-4AE4-AEC9-BDB7F6A67CE1}"/>
    <cellStyle name="Итог 2 18 3 3" xfId="11629" xr:uid="{021B88D0-6494-4088-A5C1-B932D9E12572}"/>
    <cellStyle name="Итог 2 18 3 3 2" xfId="28375" xr:uid="{678612D9-1A41-4850-B106-2862F0BF648B}"/>
    <cellStyle name="Итог 2 18 3 3 3" xfId="41578" xr:uid="{CE84B176-BB93-42C7-A785-1C3293DE684D}"/>
    <cellStyle name="Итог 2 18 3 4" xfId="22609" xr:uid="{19097810-5F2B-41AF-9311-2136892E3C4B}"/>
    <cellStyle name="Итог 2 18 3 5" xfId="35662" xr:uid="{D1011CCE-CE88-48BD-AB4B-F23DF8A4841B}"/>
    <cellStyle name="Итог 2 18 4" xfId="5834" xr:uid="{ECE65E04-E3B6-4010-BD58-36C83707A9D6}"/>
    <cellStyle name="Итог 2 18 4 2" xfId="8992" xr:uid="{ABB64B76-136B-4885-9B1B-9AF444AE7C96}"/>
    <cellStyle name="Итог 2 18 4 2 2" xfId="16278" xr:uid="{D24DE42B-82A5-4816-8154-C60705E8E6F8}"/>
    <cellStyle name="Итог 2 18 4 2 2 2" xfId="32312" xr:uid="{C79E79B1-F420-4908-864F-AA4EAA098CD3}"/>
    <cellStyle name="Итог 2 18 4 2 2 3" xfId="45841" xr:uid="{F6ADA99F-4268-4294-8974-E998EB2BBAF0}"/>
    <cellStyle name="Итог 2 18 4 2 3" xfId="26477" xr:uid="{E5AFDE35-978E-4D4B-8E90-222AFCE55CB6}"/>
    <cellStyle name="Итог 2 18 4 2 4" xfId="39553" xr:uid="{971AA7D0-2EC9-4E4C-AEAF-DE52A547DA6A}"/>
    <cellStyle name="Итог 2 18 4 3" xfId="14885" xr:uid="{918FE3E0-49F2-4ECC-9F18-6CAF869CBE65}"/>
    <cellStyle name="Итог 2 18 4 3 2" xfId="31135" xr:uid="{76D4656A-A046-4462-A4B2-37B56F38F94B}"/>
    <cellStyle name="Итог 2 18 4 3 3" xfId="44576" xr:uid="{1C2998EC-B960-4CBF-88ED-866CDECC20C6}"/>
    <cellStyle name="Итог 2 18 4 4" xfId="23481" xr:uid="{048CA976-5D66-43AF-BB21-B6BB33D4A347}"/>
    <cellStyle name="Итог 2 18 4 5" xfId="36562" xr:uid="{C535CD75-FE33-4FA3-85CA-5CE31B69E6C2}"/>
    <cellStyle name="Итог 2 18 5" xfId="14316" xr:uid="{A1E2B1E0-7B62-42A3-93DF-6221973CFA15}"/>
    <cellStyle name="Итог 2 18 5 2" xfId="30653" xr:uid="{B2B040A9-5EAC-4092-AF60-F61132BE0049}"/>
    <cellStyle name="Итог 2 18 5 3" xfId="44047" xr:uid="{87B1F9F4-C506-47F8-8397-5B779E81EBF9}"/>
    <cellStyle name="Итог 2 18 6" xfId="21743" xr:uid="{A2205A7C-4405-4D9A-A932-962A7DC32652}"/>
    <cellStyle name="Итог 2 18 7" xfId="34797" xr:uid="{5395E3DD-FB2E-4228-B1B5-773A5F7799DD}"/>
    <cellStyle name="Итог 2 19" xfId="4003" xr:uid="{86EA02C8-D0EC-4406-A2CD-ECDE1D8B5181}"/>
    <cellStyle name="Итог 2 19 2" xfId="3236" xr:uid="{02A12C3C-5DFE-40E1-BBD1-750357B1DBC5}"/>
    <cellStyle name="Итог 2 19 2 2" xfId="8527" xr:uid="{1ED4539D-51ED-4AD7-BB58-C13EA802881A}"/>
    <cellStyle name="Итог 2 19 2 2 2" xfId="16769" xr:uid="{7978CE9D-5206-4E6C-A3F2-18AC37552952}"/>
    <cellStyle name="Итог 2 19 2 2 2 2" xfId="32651" xr:uid="{D88B3DF8-D461-4E69-B82A-C541A044D6A5}"/>
    <cellStyle name="Итог 2 19 2 2 2 3" xfId="46312" xr:uid="{CB2D5B93-9C2F-46EA-82FE-9C08B848BDE9}"/>
    <cellStyle name="Итог 2 19 2 2 3" xfId="26026" xr:uid="{09913B5E-6E8B-439F-A096-E4245EDF0F8B}"/>
    <cellStyle name="Итог 2 19 2 2 4" xfId="39102" xr:uid="{3E2C1ACD-CB15-4A8D-A992-09BF2BC036C9}"/>
    <cellStyle name="Итог 2 19 2 3" xfId="6895" xr:uid="{2B3BDBC7-7BE7-4A4A-A4CD-6974DEEF3299}"/>
    <cellStyle name="Итог 2 19 2 3 2" xfId="15551" xr:uid="{CA0E043B-31BC-4920-BD6C-EE01A3CF9043}"/>
    <cellStyle name="Итог 2 19 2 3 2 2" xfId="31684" xr:uid="{A33C3248-2E3E-47FE-8768-011052042CE1}"/>
    <cellStyle name="Итог 2 19 2 3 2 3" xfId="45183" xr:uid="{9FD494BA-C2A5-416B-A5C2-65C5F10FC322}"/>
    <cellStyle name="Итог 2 19 2 3 3" xfId="24518" xr:uid="{F439238C-EB14-4FD6-8DA6-B27CABA2B3CC}"/>
    <cellStyle name="Итог 2 19 2 3 4" xfId="37599" xr:uid="{90383285-D85B-4376-B86B-CCE65788B376}"/>
    <cellStyle name="Итог 2 19 2 4" xfId="16753" xr:uid="{05B62364-1770-41A0-B538-BF383C9F0D4E}"/>
    <cellStyle name="Итог 2 19 2 4 2" xfId="32635" xr:uid="{8DCA14E3-B2E4-4143-B1F4-B49733DE070B}"/>
    <cellStyle name="Итог 2 19 2 4 3" xfId="46296" xr:uid="{37597CE2-AC1A-4119-B66B-64B92FD38608}"/>
    <cellStyle name="Итог 2 19 2 5" xfId="21270" xr:uid="{88A5BB80-A640-4C86-BE5A-FB4E8B63F909}"/>
    <cellStyle name="Итог 2 19 2 6" xfId="34293" xr:uid="{33F3C69A-2A3E-460E-A1F9-500BE57AAC5F}"/>
    <cellStyle name="Итог 2 19 3" xfId="4913" xr:uid="{1507B475-6591-449C-8087-57D983DCD270}"/>
    <cellStyle name="Итог 2 19 3 2" xfId="7581" xr:uid="{F0799B54-B1C0-41C0-8670-E6D81825E794}"/>
    <cellStyle name="Итог 2 19 3 2 2" xfId="14477" xr:uid="{B741DBFF-69BC-405C-B561-4038B5E444DE}"/>
    <cellStyle name="Итог 2 19 3 2 2 2" xfId="30801" xr:uid="{A53C538B-AA81-4A11-8B3E-B582FA86DB2B}"/>
    <cellStyle name="Итог 2 19 3 2 2 3" xfId="44206" xr:uid="{77D8B492-9B63-476D-9653-D32A57E3C7DD}"/>
    <cellStyle name="Итог 2 19 3 2 3" xfId="25109" xr:uid="{F17E6219-AFA1-4EDB-8D69-807F67FAB612}"/>
    <cellStyle name="Итог 2 19 3 2 4" xfId="38185" xr:uid="{A96D67F4-E138-4389-8D62-B31FC472F2DA}"/>
    <cellStyle name="Итог 2 19 3 3" xfId="14754" xr:uid="{377A10E5-1A78-41FB-98F9-21A15ACF9C70}"/>
    <cellStyle name="Итог 2 19 3 3 2" xfId="31029" xr:uid="{5059B5C4-0FD3-46E3-BB8E-E56C2ED1BF0B}"/>
    <cellStyle name="Итог 2 19 3 3 3" xfId="44458" xr:uid="{7209EA7E-F777-4186-86ED-304D0D62950E}"/>
    <cellStyle name="Итог 2 19 3 4" xfId="22710" xr:uid="{A90EEF0A-DD54-405C-8B13-6B4B0D3482A8}"/>
    <cellStyle name="Итог 2 19 3 5" xfId="35763" xr:uid="{35F97D26-5EE9-4D48-AA51-5ADDF287D7DB}"/>
    <cellStyle name="Итог 2 19 4" xfId="5935" xr:uid="{75A8E083-CC7A-44FE-B19A-C85EFA0AAF2B}"/>
    <cellStyle name="Итог 2 19 4 2" xfId="9089" xr:uid="{7263D57D-5464-40DF-9B82-786169C15D86}"/>
    <cellStyle name="Итог 2 19 4 2 2" xfId="15755" xr:uid="{E47F87B9-3E93-42EB-BB5E-7881FE928580}"/>
    <cellStyle name="Итог 2 19 4 2 2 2" xfId="31861" xr:uid="{CA7FB942-8A3B-49C9-B00F-99DA14DB0A19}"/>
    <cellStyle name="Итог 2 19 4 2 2 3" xfId="45372" xr:uid="{0B39D55E-C1AD-4609-AA56-A4035CBCE51B}"/>
    <cellStyle name="Итог 2 19 4 2 3" xfId="26570" xr:uid="{10435036-0754-408A-87B9-E0CF86821424}"/>
    <cellStyle name="Итог 2 19 4 2 4" xfId="39646" xr:uid="{EB43503E-76AC-4AAC-B65B-ED0342BD3801}"/>
    <cellStyle name="Итог 2 19 4 3" xfId="15017" xr:uid="{085006EC-04AF-4341-8BCE-E20220ECDE80}"/>
    <cellStyle name="Итог 2 19 4 3 2" xfId="31242" xr:uid="{FA75915B-31E5-43E5-8BB2-FFC0E4375340}"/>
    <cellStyle name="Итог 2 19 4 3 3" xfId="44692" xr:uid="{AEECA383-1CE2-43AF-BB5C-490FA3624CCE}"/>
    <cellStyle name="Итог 2 19 4 4" xfId="23582" xr:uid="{5A640555-FF4C-4313-AA71-F9A1C5E1560A}"/>
    <cellStyle name="Итог 2 19 4 5" xfId="36663" xr:uid="{B8BA2AE5-5182-44CE-AA82-6F17B9A0B816}"/>
    <cellStyle name="Итог 2 19 5" xfId="11469" xr:uid="{42C0F66A-5B65-4907-A2C3-9D200CD217B9}"/>
    <cellStyle name="Итог 2 19 5 2" xfId="28233" xr:uid="{C86D4140-EEFC-4AB3-B1D7-ECCCE8DA847B}"/>
    <cellStyle name="Итог 2 19 5 3" xfId="41428" xr:uid="{DA78E8F3-D39E-4FE3-BA44-2224001F4F05}"/>
    <cellStyle name="Итог 2 19 6" xfId="21848" xr:uid="{36EC33FA-8E7A-433C-A805-4963DE12A846}"/>
    <cellStyle name="Итог 2 19 7" xfId="34898" xr:uid="{F1076A04-AEBE-45F0-ADB4-96A5F514AA2F}"/>
    <cellStyle name="Итог 2 2" xfId="3474" xr:uid="{45A589F1-D752-4EC4-ADC2-452354338444}"/>
    <cellStyle name="Итог 2 2 10" xfId="17754" xr:uid="{2DA8C9F6-10C1-4A90-8841-61BDAC7C0C13}"/>
    <cellStyle name="Итог 2 2 10 2" xfId="33476" xr:uid="{B702908B-6E1A-48D4-924F-23FD01974758}"/>
    <cellStyle name="Итог 2 2 10 3" xfId="47255" xr:uid="{08AD5809-E63F-48F0-A459-0DE8510F38E1}"/>
    <cellStyle name="Итог 2 2 11" xfId="20507" xr:uid="{F09C95BA-7A48-4A06-8D2D-97108CB82303}"/>
    <cellStyle name="Итог 2 2 12" xfId="34490" xr:uid="{9EF9C077-404A-49B8-8D89-484F90AEF43E}"/>
    <cellStyle name="Итог 2 2 2" xfId="2816" xr:uid="{F9D481DE-3A08-4E2C-AE1F-7DCF2B6FFF4D}"/>
    <cellStyle name="Итог 2 2 2 2" xfId="5122" xr:uid="{D2D9B352-6AD9-4E37-8515-993BB663498A}"/>
    <cellStyle name="Итог 2 2 2 2 2" xfId="8112" xr:uid="{4623C0BC-8505-4615-95B9-DF769402CBC9}"/>
    <cellStyle name="Итог 2 2 2 2 2 2" xfId="16578" xr:uid="{69264F2B-D81A-49A1-B813-99173F699018}"/>
    <cellStyle name="Итог 2 2 2 2 2 2 2" xfId="32501" xr:uid="{F37D328B-2673-472C-8A86-C8D459147754}"/>
    <cellStyle name="Итог 2 2 2 2 2 2 3" xfId="46125" xr:uid="{A5A27444-DCBF-4C55-B27B-6F4166BD1F11}"/>
    <cellStyle name="Итог 2 2 2 2 2 3" xfId="25623" xr:uid="{F7049550-8FA5-45A2-9836-96DC76BC0DBF}"/>
    <cellStyle name="Итог 2 2 2 2 2 4" xfId="38699" xr:uid="{4351B8C4-8690-486A-9304-E920236F5111}"/>
    <cellStyle name="Итог 2 2 2 2 3" xfId="16121" xr:uid="{7E41CA55-1ABB-4F4E-9086-C8AE8C3DA879}"/>
    <cellStyle name="Итог 2 2 2 2 3 2" xfId="32176" xr:uid="{BEF3DDD4-4117-434F-8A2B-FF53C8FAF4A5}"/>
    <cellStyle name="Итог 2 2 2 2 3 3" xfId="45697" xr:uid="{059E8D10-3DEB-44C8-AAAD-D8B68260CAC6}"/>
    <cellStyle name="Итог 2 2 2 2 4" xfId="22844" xr:uid="{64153442-00CD-443E-8C21-4C6482893515}"/>
    <cellStyle name="Итог 2 2 2 2 5" xfId="35909" xr:uid="{1A67F9F7-FFED-4822-8B5A-4DD8FD777DFA}"/>
    <cellStyle name="Итог 2 2 2 3" xfId="6479" xr:uid="{3F50CA37-4CBD-4D99-BF73-F719E3425781}"/>
    <cellStyle name="Итог 2 2 2 3 2" xfId="16615" xr:uid="{80191157-61D0-4F61-B687-EC70CBF59001}"/>
    <cellStyle name="Итог 2 2 2 3 2 2" xfId="32523" xr:uid="{524EE448-D1B7-4BFD-9DBC-E7C3253A01C8}"/>
    <cellStyle name="Итог 2 2 2 3 2 3" xfId="46162" xr:uid="{2C407B67-396D-4E56-AAD5-AB35F26C973B}"/>
    <cellStyle name="Итог 2 2 2 3 3" xfId="24114" xr:uid="{B4EFD9FA-AF2B-40F8-8200-AD4CAB3E66A8}"/>
    <cellStyle name="Итог 2 2 2 3 4" xfId="37195" xr:uid="{BD2ABE75-6D14-4CDF-9385-4215308BC569}"/>
    <cellStyle name="Итог 2 2 2 4" xfId="16828" xr:uid="{BD743D4E-0FAB-4806-91A4-734A32CCCCFD}"/>
    <cellStyle name="Итог 2 2 2 4 2" xfId="32708" xr:uid="{E57DB064-D89B-4E3E-80FC-D8FE5FA5DC2C}"/>
    <cellStyle name="Итог 2 2 2 4 3" xfId="46371" xr:uid="{1FD51C4E-4B9E-4E10-9444-E1C114E9DBE7}"/>
    <cellStyle name="Итог 2 2 2 5" xfId="20866" xr:uid="{F7D6BBCF-901F-4AF7-A088-E5C4A01A2CF6}"/>
    <cellStyle name="Итог 2 2 2 6" xfId="33889" xr:uid="{4F1BD738-45CC-4533-9A35-D1F48A6E5615}"/>
    <cellStyle name="Итог 2 2 3" xfId="4176" xr:uid="{8420170D-E0C0-4C44-BE1F-10369ECF5100}"/>
    <cellStyle name="Итог 2 2 3 2" xfId="5211" xr:uid="{08A3DFE5-6755-4793-A08F-FDFA335B2E04}"/>
    <cellStyle name="Итог 2 2 3 2 2" xfId="9228" xr:uid="{909F14C4-A9F5-4A4C-A1A5-4760EEAB138D}"/>
    <cellStyle name="Итог 2 2 3 2 2 2" xfId="15833" xr:uid="{04C9635A-6AC8-4B3D-B6B5-BB45A3EAFBEF}"/>
    <cellStyle name="Итог 2 2 3 2 2 2 2" xfId="31926" xr:uid="{E1C64532-2F9E-4DCB-944E-6E85F9A3FF1F}"/>
    <cellStyle name="Итог 2 2 3 2 2 2 3" xfId="45438" xr:uid="{ECF5C37C-4484-4FE9-BEF7-93EBB07988EE}"/>
    <cellStyle name="Итог 2 2 3 2 2 3" xfId="26703" xr:uid="{CAC41174-84FB-4581-9437-9284D506F8F0}"/>
    <cellStyle name="Итог 2 2 3 2 2 4" xfId="39779" xr:uid="{495637EE-CED9-4ABF-A237-C52DA0807F42}"/>
    <cellStyle name="Итог 2 2 3 2 3" xfId="16789" xr:uid="{1F7ECF28-2440-495D-A09D-D8B5B93302F1}"/>
    <cellStyle name="Итог 2 2 3 2 3 2" xfId="32670" xr:uid="{D592C75D-57CA-4517-A6E9-F6C00EC95393}"/>
    <cellStyle name="Итог 2 2 3 2 3 3" xfId="46332" xr:uid="{775F2368-43A7-4DFA-8D1F-84CE74E4A2AA}"/>
    <cellStyle name="Итог 2 2 3 2 4" xfId="22886" xr:uid="{8A9FC566-DD7E-41D3-9827-754CD38D86D4}"/>
    <cellStyle name="Итог 2 2 3 2 5" xfId="35955" xr:uid="{DA6836E8-C11F-4C73-BADA-9932B79BCFA2}"/>
    <cellStyle name="Итог 2 2 3 3" xfId="7740" xr:uid="{506FC35E-6120-4BDA-A7BA-CCDACC5AB31C}"/>
    <cellStyle name="Итог 2 2 3 3 2" xfId="13554" xr:uid="{9F94340E-FFC5-43B4-909E-0C5A87D97E88}"/>
    <cellStyle name="Итог 2 2 3 3 2 2" xfId="29999" xr:uid="{3AA00372-CE53-4063-A828-5368E36FE143}"/>
    <cellStyle name="Итог 2 2 3 3 2 3" xfId="43348" xr:uid="{1A942C96-3496-43FC-ACAE-E26D037EC5AF}"/>
    <cellStyle name="Итог 2 2 3 3 3" xfId="25262" xr:uid="{59126967-B82F-4619-B9AA-F27F001B24DD}"/>
    <cellStyle name="Итог 2 2 3 3 4" xfId="38338" xr:uid="{0B0D2D45-BF69-410E-805E-5D569E56A064}"/>
    <cellStyle name="Итог 2 2 3 4" xfId="11497" xr:uid="{8DD59D0A-4089-4C2C-A757-339FDDC0FC1B}"/>
    <cellStyle name="Итог 2 2 3 4 2" xfId="28258" xr:uid="{646FCAA3-42B3-4A32-8998-85A5A8DE9B5C}"/>
    <cellStyle name="Итог 2 2 3 4 3" xfId="41454" xr:uid="{08524573-F148-47F1-A889-295832C5F0A9}"/>
    <cellStyle name="Итог 2 2 3 5" xfId="22003" xr:uid="{1FB3B1BA-63EF-4F3F-84D1-00EC7BBCC021}"/>
    <cellStyle name="Итог 2 2 3 6" xfId="35052" xr:uid="{637F254B-E2A9-4B9E-A645-692BD33BBB09}"/>
    <cellStyle name="Итог 2 2 4" xfId="2864" xr:uid="{07F8488E-32A0-4D06-AF2B-83D8085767E1}"/>
    <cellStyle name="Итог 2 2 4 2" xfId="5046" xr:uid="{3F8CE1BB-132C-4BB9-B7E1-1D19B0146A77}"/>
    <cellStyle name="Итог 2 2 4 2 2" xfId="8160" xr:uid="{5206EEEA-AB81-49AE-A76B-3C91F8349127}"/>
    <cellStyle name="Итог 2 2 4 2 2 2" xfId="17203" xr:uid="{28C241B8-7323-4355-9596-D51E93CAC451}"/>
    <cellStyle name="Итог 2 2 4 2 2 2 2" xfId="32966" xr:uid="{E0664436-0792-4433-9D2B-8341D2B05973}"/>
    <cellStyle name="Итог 2 2 4 2 2 2 3" xfId="46738" xr:uid="{94E33935-797F-40C7-891D-23A89F08D9B4}"/>
    <cellStyle name="Итог 2 2 4 2 2 3" xfId="25671" xr:uid="{4C0B69E2-4A09-42B2-B71E-35F076343036}"/>
    <cellStyle name="Итог 2 2 4 2 2 4" xfId="38747" xr:uid="{BE623CAE-A355-4020-A9C1-A8E45DE56BC6}"/>
    <cellStyle name="Итог 2 2 4 2 3" xfId="11725" xr:uid="{D44D5B2A-D19E-4483-9E68-2DC67DF8ABDB}"/>
    <cellStyle name="Итог 2 2 4 2 3 2" xfId="28454" xr:uid="{EE6EBDEC-0C37-422E-9AC5-DD9E3928560C}"/>
    <cellStyle name="Итог 2 2 4 2 3 3" xfId="41664" xr:uid="{3F41E319-BE2C-4199-8880-FF079F293B97}"/>
    <cellStyle name="Итог 2 2 4 2 4" xfId="22796" xr:uid="{078C0180-C4EA-46D3-B226-4A42AD51DC2D}"/>
    <cellStyle name="Итог 2 2 4 2 5" xfId="35861" xr:uid="{21E040B5-04F8-40E9-9C40-0DAC17A921D2}"/>
    <cellStyle name="Итог 2 2 4 3" xfId="6527" xr:uid="{39F5446D-36EB-4221-8542-BD3C4699903A}"/>
    <cellStyle name="Итог 2 2 4 3 2" xfId="16901" xr:uid="{C252BC3F-8C51-46F9-BE4E-B88ECD082F57}"/>
    <cellStyle name="Итог 2 2 4 3 2 2" xfId="32776" xr:uid="{45489395-3FA1-4DF1-B202-CD5EBBB0C632}"/>
    <cellStyle name="Итог 2 2 4 3 2 3" xfId="46443" xr:uid="{AE500284-8290-43C7-AAF1-A86E8979146D}"/>
    <cellStyle name="Итог 2 2 4 3 3" xfId="24162" xr:uid="{7C2992F7-4EF0-4664-A875-A207BD9C554D}"/>
    <cellStyle name="Итог 2 2 4 3 4" xfId="37243" xr:uid="{DFFE8B43-F238-4459-ABF4-C115252D2106}"/>
    <cellStyle name="Итог 2 2 4 4" xfId="17170" xr:uid="{B8F17964-CF0D-4272-B9C6-FE8DF0233E80}"/>
    <cellStyle name="Итог 2 2 4 4 2" xfId="32933" xr:uid="{19503927-3573-4010-BEBE-38C3ACE4548A}"/>
    <cellStyle name="Итог 2 2 4 4 3" xfId="46705" xr:uid="{319592F8-9731-4F07-B58E-642BB1B8BDA1}"/>
    <cellStyle name="Итог 2 2 4 5" xfId="20914" xr:uid="{5A7888EB-2046-489A-A735-4C7BF09844C4}"/>
    <cellStyle name="Итог 2 2 4 6" xfId="33937" xr:uid="{2CACD34A-AB56-4D5E-9818-6F7325EC9025}"/>
    <cellStyle name="Итог 2 2 5" xfId="4239" xr:uid="{211D4520-4110-4509-8F6D-E64A69C9837A}"/>
    <cellStyle name="Итог 2 2 5 2" xfId="5017" xr:uid="{A116DD3E-3A15-486E-9C28-3CDCA529A67C}"/>
    <cellStyle name="Итог 2 2 5 2 2" xfId="9291" xr:uid="{86FBE3F3-7003-42C3-B2FC-E31957AD1E2D}"/>
    <cellStyle name="Итог 2 2 5 2 2 2" xfId="11465" xr:uid="{A5D51E3F-AF8F-4E12-88C8-3AB35A6DCA2E}"/>
    <cellStyle name="Итог 2 2 5 2 2 2 2" xfId="28229" xr:uid="{27CB775C-0589-4562-A81D-9B82701FF97E}"/>
    <cellStyle name="Итог 2 2 5 2 2 2 3" xfId="41424" xr:uid="{7C865D06-C4F7-407F-BA19-6E9514A9B35B}"/>
    <cellStyle name="Итог 2 2 5 2 2 3" xfId="26764" xr:uid="{12F0C884-1893-4380-95A0-CAFC62E5112A}"/>
    <cellStyle name="Итог 2 2 5 2 2 4" xfId="39840" xr:uid="{CE3075ED-A3D3-452D-BAB9-44CFD4E73EEA}"/>
    <cellStyle name="Итог 2 2 5 2 3" xfId="14879" xr:uid="{FE65F2FD-F8AD-42EA-9F4A-AD3CC86044E3}"/>
    <cellStyle name="Итог 2 2 5 2 3 2" xfId="31129" xr:uid="{97B6C833-7996-4529-AB82-8C5CFBA68672}"/>
    <cellStyle name="Итог 2 2 5 2 3 3" xfId="44570" xr:uid="{217FEEA1-9BB5-4A46-8C3A-4C33A1541CF3}"/>
    <cellStyle name="Итог 2 2 5 2 4" xfId="22780" xr:uid="{3FD6A1FF-45DF-44DF-BB00-63441224CF6C}"/>
    <cellStyle name="Итог 2 2 5 2 5" xfId="35841" xr:uid="{8279EC50-9773-4360-A860-7A5AD475769D}"/>
    <cellStyle name="Итог 2 2 5 3" xfId="7803" xr:uid="{E4D26F18-EBAD-4C36-A002-3FDDCF2E03AE}"/>
    <cellStyle name="Итог 2 2 5 3 2" xfId="17267" xr:uid="{5EDA17A4-2576-478C-AFAE-0D810EAB799E}"/>
    <cellStyle name="Итог 2 2 5 3 2 2" xfId="33026" xr:uid="{6A3431C4-BEAE-4D67-B70E-ACCD49974A41}"/>
    <cellStyle name="Итог 2 2 5 3 2 3" xfId="46801" xr:uid="{BCF8CAA0-2A2D-41A8-B9B3-6468DABC2939}"/>
    <cellStyle name="Итог 2 2 5 3 3" xfId="25323" xr:uid="{D6516BC1-5B12-406E-903D-43D258429B1B}"/>
    <cellStyle name="Итог 2 2 5 3 4" xfId="38399" xr:uid="{F80CFB89-7A52-4EAB-8C76-F2CBC93EF13D}"/>
    <cellStyle name="Итог 2 2 5 4" xfId="11768" xr:uid="{C26A834A-5FB5-44DD-9C17-9308057CA7DC}"/>
    <cellStyle name="Итог 2 2 5 4 2" xfId="28493" xr:uid="{243F16C0-164B-4951-A2F5-E4D1746970A4}"/>
    <cellStyle name="Итог 2 2 5 4 3" xfId="41704" xr:uid="{C2188FD7-74EB-40A4-81A7-8DE7886C06B2}"/>
    <cellStyle name="Итог 2 2 5 5" xfId="22064" xr:uid="{8D2938C5-A764-4400-8E05-F65A97B1C2E7}"/>
    <cellStyle name="Итог 2 2 5 6" xfId="35113" xr:uid="{54370221-734D-4CC4-89F1-E29E2EB2D4D6}"/>
    <cellStyle name="Итог 2 2 6" xfId="4476" xr:uid="{2CE9FC21-CF02-4CA1-BCD9-8AE76DF9B086}"/>
    <cellStyle name="Итог 2 2 6 2" xfId="7116" xr:uid="{02859303-53FD-427E-9325-B0EEDEBB0EBC}"/>
    <cellStyle name="Итог 2 2 6 2 2" xfId="14066" xr:uid="{51B1D491-5319-4EF5-9843-061E91B08EAB}"/>
    <cellStyle name="Итог 2 2 6 2 2 2" xfId="30435" xr:uid="{2C23C70D-BEC5-4CF9-879E-E5BCFC28D0C8}"/>
    <cellStyle name="Итог 2 2 6 2 2 3" xfId="43818" xr:uid="{5D586263-9C88-4B25-8E3D-3731DB0F56CF}"/>
    <cellStyle name="Итог 2 2 6 2 3" xfId="24715" xr:uid="{80936CBC-37DD-448B-986D-F59664F956D5}"/>
    <cellStyle name="Итог 2 2 6 2 4" xfId="37796" xr:uid="{29571167-65C8-40F2-9C00-5DC77A81755A}"/>
    <cellStyle name="Итог 2 2 6 3" xfId="11533" xr:uid="{11735EEB-5C82-4BE3-AD22-31E45C2375B5}"/>
    <cellStyle name="Итог 2 2 6 3 2" xfId="28291" xr:uid="{CE61C118-48A0-418D-914B-1C6CBC64BAB7}"/>
    <cellStyle name="Итог 2 2 6 3 3" xfId="41488" xr:uid="{53AE871C-EEC6-4396-9C77-EEAB1C69D04A}"/>
    <cellStyle name="Итог 2 2 6 4" xfId="22294" xr:uid="{4370989F-53A3-4FA7-BEDA-7D2253928552}"/>
    <cellStyle name="Итог 2 2 6 5" xfId="35343" xr:uid="{B3E3E804-369F-4836-BFD5-A0BA00B0FF19}"/>
    <cellStyle name="Итог 2 2 7" xfId="4939" xr:uid="{DEC2BC0E-CC83-46F5-B677-A4E0DC08B0AA}"/>
    <cellStyle name="Итог 2 2 7 2" xfId="8711" xr:uid="{0FA7C2A9-976F-4B2A-B073-09EF4DCBF52C}"/>
    <cellStyle name="Итог 2 2 7 2 2" xfId="14301" xr:uid="{91AADE1E-FF14-4DFD-B16D-8511418E15A4}"/>
    <cellStyle name="Итог 2 2 7 2 2 2" xfId="30639" xr:uid="{D669594D-74E7-4A3A-8685-832E462E5FA7}"/>
    <cellStyle name="Итог 2 2 7 2 2 3" xfId="44033" xr:uid="{BB8CC53D-D29F-4DBC-A3C1-34F8C8EA8979}"/>
    <cellStyle name="Итог 2 2 7 2 3" xfId="26204" xr:uid="{677CC6BA-9B29-4357-950A-5276DCD4FB4B}"/>
    <cellStyle name="Итог 2 2 7 2 4" xfId="39280" xr:uid="{4E17FF68-D677-47CE-AD1F-F2702BCCFFC7}"/>
    <cellStyle name="Итог 2 2 7 3" xfId="13315" xr:uid="{96C52E8F-61BE-4CC5-8A3A-59EDE45765A1}"/>
    <cellStyle name="Итог 2 2 7 3 2" xfId="29800" xr:uid="{37E322C9-34F3-419D-8F5D-9E9C2DC0FB70}"/>
    <cellStyle name="Итог 2 2 7 3 3" xfId="43130" xr:uid="{0F2BDFCB-9E3C-4BDD-B0D1-2D2AD3EDD486}"/>
    <cellStyle name="Итог 2 2 7 4" xfId="22734" xr:uid="{C08FE5B6-7637-4A1D-B52C-3A023DBC3412}"/>
    <cellStyle name="Итог 2 2 7 5" xfId="35788" xr:uid="{B0676E45-90F9-4EE6-A517-CCA4862E6906}"/>
    <cellStyle name="Итог 2 2 8" xfId="5529" xr:uid="{E097E459-1896-488D-8D01-665A1A17BE17}"/>
    <cellStyle name="Итог 2 2 8 2" xfId="9823" xr:uid="{E074E8EC-F5F5-4171-B12B-1F8D183D67C7}"/>
    <cellStyle name="Итог 2 2 8 2 2" xfId="10724" xr:uid="{D1C1C70B-352A-4BBC-ADF3-0BDAB80D7DAA}"/>
    <cellStyle name="Итог 2 2 8 2 2 2" xfId="27568" xr:uid="{F5CFFCA4-331C-4B6F-881E-B2A27B356873}"/>
    <cellStyle name="Итог 2 2 8 2 2 3" xfId="40705" xr:uid="{891EB417-070E-4C67-B5F1-3F0EBFC85E48}"/>
    <cellStyle name="Итог 2 2 8 2 3" xfId="27119" xr:uid="{0A6BDA04-507B-4E7C-AF06-74034976A7C3}"/>
    <cellStyle name="Итог 2 2 8 2 4" xfId="40238" xr:uid="{CBA6EEC0-5140-460E-8229-02018BB7B75B}"/>
    <cellStyle name="Итог 2 2 8 3" xfId="16231" xr:uid="{CA5E6EF0-EDDD-4C2F-8C77-96B2D140BEED}"/>
    <cellStyle name="Итог 2 2 8 3 2" xfId="32268" xr:uid="{ECEBF5FF-2A4F-4C39-897C-5280F2602DBE}"/>
    <cellStyle name="Итог 2 2 8 3 3" xfId="45796" xr:uid="{9302F7C6-E47D-456E-BBFB-FC317E501360}"/>
    <cellStyle name="Итог 2 2 8 4" xfId="23176" xr:uid="{6658136E-E063-49AC-995D-B7335DABEA5C}"/>
    <cellStyle name="Итог 2 2 8 5" xfId="36257" xr:uid="{5A47CACE-84CD-4F2D-8D84-89AFBFA48E28}"/>
    <cellStyle name="Итог 2 2 9" xfId="15924" xr:uid="{1162FB8B-6469-4BAD-9980-1C7206466E85}"/>
    <cellStyle name="Итог 2 2 9 2" xfId="32005" xr:uid="{6BE08289-4305-4907-92BB-C7FC3302D613}"/>
    <cellStyle name="Итог 2 2 9 3" xfId="45521" xr:uid="{96E3E8B5-83A5-483F-AF64-F7AF0BFD310B}"/>
    <cellStyle name="Итог 2 20" xfId="4004" xr:uid="{BBDF3425-5FFE-4414-986F-FC3667FD9DE3}"/>
    <cellStyle name="Итог 2 20 2" xfId="3237" xr:uid="{BA989B96-F5E6-4977-8CAD-16986FB75A84}"/>
    <cellStyle name="Итог 2 20 2 2" xfId="8528" xr:uid="{17C4D161-CDD2-4421-88E5-8492E3C7F60A}"/>
    <cellStyle name="Итог 2 20 2 2 2" xfId="10736" xr:uid="{3242F1CD-BC32-4E26-B577-67F5061FD82F}"/>
    <cellStyle name="Итог 2 20 2 2 2 2" xfId="27577" xr:uid="{7843B2A1-04CD-41C2-8850-232015502B4A}"/>
    <cellStyle name="Итог 2 20 2 2 2 3" xfId="40717" xr:uid="{45E25690-568F-45A0-A7AD-0D8155A78A57}"/>
    <cellStyle name="Итог 2 20 2 2 3" xfId="26027" xr:uid="{3D1F6319-3469-4422-8CFD-CDA31ACFC3C3}"/>
    <cellStyle name="Итог 2 20 2 2 4" xfId="39103" xr:uid="{880A70CA-4A7B-4DB5-ACA9-8D5AB2E7AEF3}"/>
    <cellStyle name="Итог 2 20 2 3" xfId="6896" xr:uid="{FBDBEB2A-0CB6-4EFE-8EB6-564ED25F08F7}"/>
    <cellStyle name="Итог 2 20 2 3 2" xfId="12455" xr:uid="{874B4F8B-124E-4184-AEB2-1CC0FB3F93EE}"/>
    <cellStyle name="Итог 2 20 2 3 2 2" xfId="29102" xr:uid="{91ED7E0A-B540-4F6F-8194-F5ACC3DA196B}"/>
    <cellStyle name="Итог 2 20 2 3 2 3" xfId="42351" xr:uid="{A4E26444-D129-4B9C-B8E2-94534A5A030D}"/>
    <cellStyle name="Итог 2 20 2 3 3" xfId="24519" xr:uid="{9ED89C7A-B3CD-492C-B23F-6E9F17C47A8C}"/>
    <cellStyle name="Итог 2 20 2 3 4" xfId="37600" xr:uid="{686DEDE5-CCB5-4E5D-A228-9A0120BD3AC5}"/>
    <cellStyle name="Итог 2 20 2 4" xfId="15206" xr:uid="{F8D71AF4-B085-4064-8B21-4480E5D02CFE}"/>
    <cellStyle name="Итог 2 20 2 4 2" xfId="31387" xr:uid="{AB1309E5-AF89-41EA-876F-5C03B52E86A6}"/>
    <cellStyle name="Итог 2 20 2 4 3" xfId="44859" xr:uid="{A09B763A-0F8E-4EC3-BDDB-283BB2B8E83F}"/>
    <cellStyle name="Итог 2 20 2 5" xfId="21271" xr:uid="{E2D4EFD9-6317-4B70-B641-C76CA77CACB8}"/>
    <cellStyle name="Итог 2 20 2 6" xfId="34294" xr:uid="{A5CC7645-DD0E-48D9-9CD3-C3C7B617B4AB}"/>
    <cellStyle name="Итог 2 20 3" xfId="4914" xr:uid="{19CDF494-29DD-4DB7-B7BD-7F0A3197A16D}"/>
    <cellStyle name="Итог 2 20 3 2" xfId="7582" xr:uid="{39D91EA2-ADB6-41F7-A901-283BF37890DB}"/>
    <cellStyle name="Итог 2 20 3 2 2" xfId="14715" xr:uid="{3CAB7B88-3BEA-486F-95CE-806E990A4650}"/>
    <cellStyle name="Итог 2 20 3 2 2 2" xfId="31002" xr:uid="{EDA43BC0-956B-4997-B49E-00F36D519A59}"/>
    <cellStyle name="Итог 2 20 3 2 2 3" xfId="44425" xr:uid="{1A274097-95A6-4531-AE59-3EE338417C99}"/>
    <cellStyle name="Итог 2 20 3 2 3" xfId="25110" xr:uid="{57B5BE04-6AA8-4923-BE5B-3C4130E22C4C}"/>
    <cellStyle name="Итог 2 20 3 2 4" xfId="38186" xr:uid="{6227C914-FD2F-4D08-99F4-4273D1AEBB3D}"/>
    <cellStyle name="Итог 2 20 3 3" xfId="11268" xr:uid="{4B3D0282-C72E-49FB-AEEC-720953F41286}"/>
    <cellStyle name="Итог 2 20 3 3 2" xfId="28055" xr:uid="{51281418-C2EC-4A5B-AB55-BB15CC51902C}"/>
    <cellStyle name="Итог 2 20 3 3 3" xfId="41237" xr:uid="{858B05A0-DF4E-4320-971C-4A00EFFD1264}"/>
    <cellStyle name="Итог 2 20 3 4" xfId="22711" xr:uid="{05EE9885-6D05-4AE5-91C6-4DDBD6ABCD6F}"/>
    <cellStyle name="Итог 2 20 3 5" xfId="35764" xr:uid="{F9E057CC-CCC6-47BA-87F4-9D8B6F8C4AD9}"/>
    <cellStyle name="Итог 2 20 4" xfId="5936" xr:uid="{C3DC0B23-769D-4477-ACE3-010CD478AD22}"/>
    <cellStyle name="Итог 2 20 4 2" xfId="9866" xr:uid="{DF960136-CB0B-4547-8C7C-66A1D2120C23}"/>
    <cellStyle name="Итог 2 20 4 2 2" xfId="10772" xr:uid="{C0CB7B6A-F706-482D-8D9E-AA4BE61AD09A}"/>
    <cellStyle name="Итог 2 20 4 2 2 2" xfId="27607" xr:uid="{0758317C-1B5D-432F-9432-0C4BA0BDB9CE}"/>
    <cellStyle name="Итог 2 20 4 2 2 3" xfId="40753" xr:uid="{C148BA32-6F19-4C28-90D2-4817C27C3348}"/>
    <cellStyle name="Итог 2 20 4 2 3" xfId="27162" xr:uid="{0EC352D5-FAD4-4FA4-99C6-E9EBC41FB014}"/>
    <cellStyle name="Итог 2 20 4 2 4" xfId="40281" xr:uid="{BE045614-0215-4A9B-AC47-40929FDB647C}"/>
    <cellStyle name="Итог 2 20 4 3" xfId="14105" xr:uid="{BFC400EB-02E4-4025-AA2A-C5A4E873CC40}"/>
    <cellStyle name="Итог 2 20 4 3 2" xfId="30472" xr:uid="{9CBA41A4-FA4B-46E0-AF67-058D0CB9DFCC}"/>
    <cellStyle name="Итог 2 20 4 3 3" xfId="43855" xr:uid="{36D0CC6C-BE55-421B-9FF5-F1CAE74AB4D4}"/>
    <cellStyle name="Итог 2 20 4 4" xfId="23583" xr:uid="{22E821D2-014C-4572-ADB6-954CFFDA1CF3}"/>
    <cellStyle name="Итог 2 20 4 5" xfId="36664" xr:uid="{44329910-0878-4EEB-88BD-AD9E158D0036}"/>
    <cellStyle name="Итог 2 20 5" xfId="6107" xr:uid="{94BA9DCB-B5B3-4506-B7BC-FEE7BEC26AEE}"/>
    <cellStyle name="Итог 2 20 5 2" xfId="16747" xr:uid="{69FB9C70-2D72-4EAE-AEDA-A52FAC4F6495}"/>
    <cellStyle name="Итог 2 20 5 2 2" xfId="32629" xr:uid="{42BCE991-B84A-406D-8BF4-D14380F1E1E0}"/>
    <cellStyle name="Итог 2 20 5 2 3" xfId="46290" xr:uid="{21519090-646C-463E-B499-3535DDA272A9}"/>
    <cellStyle name="Итог 2 20 5 3" xfId="23753" xr:uid="{AFB46D60-64F3-4129-AFC4-FA05E34FD4A1}"/>
    <cellStyle name="Итог 2 20 5 4" xfId="36834" xr:uid="{D0781506-B5CA-4B51-A16B-A85CA033F1E4}"/>
    <cellStyle name="Итог 2 20 6" xfId="11334" xr:uid="{BA336730-08B2-4E20-98DD-016096530126}"/>
    <cellStyle name="Итог 2 20 6 2" xfId="28113" xr:uid="{13F7F080-C5BA-4F38-A246-C99DDDB698F3}"/>
    <cellStyle name="Итог 2 20 6 3" xfId="41301" xr:uid="{6B18FC39-9D98-4A65-9BBB-482F8EF6E8F8}"/>
    <cellStyle name="Итог 2 20 7" xfId="21849" xr:uid="{F024637C-FA3A-4BBD-BFF3-D537E3EE72CE}"/>
    <cellStyle name="Итог 2 20 8" xfId="34899" xr:uid="{BC78BC0B-66EE-4708-9507-7ACA24B138D5}"/>
    <cellStyle name="Итог 2 21" xfId="3183" xr:uid="{17A8F732-D398-4142-821A-75F724961E54}"/>
    <cellStyle name="Итог 2 21 2" xfId="8475" xr:uid="{747D28C9-0D82-4CAB-AE70-159DF7981864}"/>
    <cellStyle name="Итог 2 21 2 2" xfId="10662" xr:uid="{0FA039FB-E20C-4C43-A61A-491E7FF07F90}"/>
    <cellStyle name="Итог 2 21 2 2 2" xfId="27512" xr:uid="{8267A5AD-6E7D-4349-8723-51BED62A00C0}"/>
    <cellStyle name="Итог 2 21 2 2 3" xfId="40643" xr:uid="{7D60D079-17C9-414D-BD51-A3483FCA7243}"/>
    <cellStyle name="Итог 2 21 2 3" xfId="25975" xr:uid="{BC392D22-3254-4BAA-BB0E-BCB9C621AA49}"/>
    <cellStyle name="Итог 2 21 2 4" xfId="39051" xr:uid="{619377EA-88E6-4226-BA46-5E5E998E21D9}"/>
    <cellStyle name="Итог 2 21 3" xfId="6842" xr:uid="{93F016B7-89BC-4B71-95BA-92616C5EA41E}"/>
    <cellStyle name="Итог 2 21 3 2" xfId="13018" xr:uid="{5C7AEC11-9DF2-4C63-B0AF-898B57249B74}"/>
    <cellStyle name="Итог 2 21 3 2 2" xfId="29550" xr:uid="{E6A8131D-8BDD-4555-8459-CC7D02E5575A}"/>
    <cellStyle name="Итог 2 21 3 2 3" xfId="42852" xr:uid="{6B3E5F45-592D-4F60-89A1-C307283109EE}"/>
    <cellStyle name="Итог 2 21 3 3" xfId="24466" xr:uid="{639500EB-CFFD-4760-B8B9-CF36F8FF331B}"/>
    <cellStyle name="Итог 2 21 3 4" xfId="37547" xr:uid="{E986C0E9-B46C-42E5-838C-BDB3BA025DA0}"/>
    <cellStyle name="Итог 2 21 4" xfId="12622" xr:uid="{A73AA41E-CA98-4FDC-9BAB-9C9208DF061E}"/>
    <cellStyle name="Итог 2 21 4 2" xfId="29231" xr:uid="{45CA0115-A6AF-4E52-81C4-66F76585A16E}"/>
    <cellStyle name="Итог 2 21 4 3" xfId="42496" xr:uid="{615B218A-2ED6-448E-A331-816363AC08A6}"/>
    <cellStyle name="Итог 2 21 5" xfId="21218" xr:uid="{DB1A4B35-4635-4BD1-A8A5-233D542A5D60}"/>
    <cellStyle name="Итог 2 21 6" xfId="34241" xr:uid="{7879480B-6440-4E42-93C2-37312E630050}"/>
    <cellStyle name="Итог 2 22" xfId="2651" xr:uid="{A16768C0-02EB-4ECB-9A3D-D36FA437B5D9}"/>
    <cellStyle name="Итог 2 22 2" xfId="7948" xr:uid="{422DCF47-F682-4D8D-B5D1-1350CB7E7330}"/>
    <cellStyle name="Итог 2 22 2 2" xfId="14250" xr:uid="{CE35CE75-4535-4EC0-9E1C-0D8DF82CEAC2}"/>
    <cellStyle name="Итог 2 22 2 2 2" xfId="30594" xr:uid="{C11C7B51-4382-482E-8DC2-C12F569883FC}"/>
    <cellStyle name="Итог 2 22 2 2 3" xfId="43986" xr:uid="{068688BE-F0A9-407A-94B4-6BDF7CE03C5F}"/>
    <cellStyle name="Итог 2 22 2 3" xfId="25464" xr:uid="{952FBDA6-9B83-4E7F-A83E-C4DECD3D9CC0}"/>
    <cellStyle name="Итог 2 22 2 4" xfId="38540" xr:uid="{FFCF0AB9-874E-4B69-BACB-E7B2A0CF7CC4}"/>
    <cellStyle name="Итог 2 22 3" xfId="6315" xr:uid="{330C5106-AAEE-4A95-9D86-954E0462FD11}"/>
    <cellStyle name="Итог 2 22 3 2" xfId="11130" xr:uid="{F2BF8C6B-4815-49BB-B255-F60AC3BCF0CF}"/>
    <cellStyle name="Итог 2 22 3 2 2" xfId="27928" xr:uid="{FF8D4BB2-6778-4798-9C65-475A3E4EC031}"/>
    <cellStyle name="Итог 2 22 3 2 3" xfId="41108" xr:uid="{61097831-631F-428C-B14B-2025520FCF9E}"/>
    <cellStyle name="Итог 2 22 3 3" xfId="23955" xr:uid="{B5027E81-5185-483A-A21C-96C537B5BB5A}"/>
    <cellStyle name="Итог 2 22 3 4" xfId="37036" xr:uid="{A90C6FE1-6197-4406-A69C-0C9B98C6F2B3}"/>
    <cellStyle name="Итог 2 22 4" xfId="15251" xr:uid="{D001FB61-9EAE-4694-850C-90EDEF710FB3}"/>
    <cellStyle name="Итог 2 22 4 2" xfId="31426" xr:uid="{AF287F40-E5BC-4ADC-8EE3-F05CB6228293}"/>
    <cellStyle name="Итог 2 22 4 3" xfId="44902" xr:uid="{9E39CA54-9008-485E-BE73-4642CDB8E1A1}"/>
    <cellStyle name="Итог 2 22 5" xfId="20707" xr:uid="{40EC0A0E-21A6-4D8B-A5F3-15ED565116E3}"/>
    <cellStyle name="Итог 2 22 6" xfId="33730" xr:uid="{32793A09-B949-4A51-BB6C-8A9BF5AB6077}"/>
    <cellStyle name="Итог 2 23" xfId="4082" xr:uid="{9C014833-0DA2-4E20-B90D-CFA3B3DBEF43}"/>
    <cellStyle name="Итог 2 23 2" xfId="9134" xr:uid="{D2E272E0-31B7-44C6-90E3-7AE503AEC7DF}"/>
    <cellStyle name="Итог 2 23 2 2" xfId="14775" xr:uid="{2EE5DD05-266B-478E-9BB2-54E65E5FC6AA}"/>
    <cellStyle name="Итог 2 23 2 2 2" xfId="31043" xr:uid="{513A5E09-590C-4A70-9FE7-11C2D2D4FBFF}"/>
    <cellStyle name="Итог 2 23 2 2 3" xfId="44474" xr:uid="{F6F34DEE-C55C-44C9-9CE5-58280DB679C5}"/>
    <cellStyle name="Итог 2 23 2 3" xfId="26615" xr:uid="{ED56336A-B359-4362-9F50-99705278A052}"/>
    <cellStyle name="Итог 2 23 2 4" xfId="39691" xr:uid="{204DFA5E-6B48-4238-962D-95A04A8DC955}"/>
    <cellStyle name="Итог 2 23 3" xfId="7646" xr:uid="{D548C5A6-BD80-4D07-A07A-C44BB0848D60}"/>
    <cellStyle name="Итог 2 23 3 2" xfId="11590" xr:uid="{DBC995BC-B2AB-4E2A-9730-BFF2C2AA53EF}"/>
    <cellStyle name="Итог 2 23 3 2 2" xfId="28341" xr:uid="{82BFDBBF-40A2-4BB3-A09B-129018EA96E8}"/>
    <cellStyle name="Итог 2 23 3 2 3" xfId="41542" xr:uid="{7128CA77-29C0-4E57-AC77-C8BFADCD1FE6}"/>
    <cellStyle name="Итог 2 23 3 3" xfId="25174" xr:uid="{50E4CD2B-9A5C-4E2E-BB28-008CFCFAE0B0}"/>
    <cellStyle name="Итог 2 23 3 4" xfId="38250" xr:uid="{A774DB1F-57C0-4EE6-B4F9-01C5A4500523}"/>
    <cellStyle name="Итог 2 23 4" xfId="15671" xr:uid="{76365E24-2BEA-44C5-8265-5468F384D74C}"/>
    <cellStyle name="Итог 2 23 4 2" xfId="31785" xr:uid="{3F8B3891-1963-4B2D-B318-D333D4AFDEB6}"/>
    <cellStyle name="Итог 2 23 4 3" xfId="45292" xr:uid="{4287467E-EC31-4DD8-A48A-2D78AFF9003D}"/>
    <cellStyle name="Итог 2 23 5" xfId="21915" xr:uid="{3DB2BADF-A9DD-4E28-A576-86B3C4DC173D}"/>
    <cellStyle name="Итог 2 23 6" xfId="34964" xr:uid="{BE92D338-17B9-4FE0-B812-4BE3B1418DED}"/>
    <cellStyle name="Итог 2 24" xfId="2560" xr:uid="{924F655E-F9F7-4D7B-A000-28FC094BDBF2}"/>
    <cellStyle name="Итог 2 24 2" xfId="7858" xr:uid="{CAE4FEDE-B5BA-4C41-A074-35CAE553B47A}"/>
    <cellStyle name="Итог 2 24 2 2" xfId="17493" xr:uid="{1E2711ED-BD47-4BC2-8942-E44CCC50DD93}"/>
    <cellStyle name="Итог 2 24 2 2 2" xfId="33236" xr:uid="{A283BEDB-414E-441C-9F26-F1414321B69F}"/>
    <cellStyle name="Итог 2 24 2 2 3" xfId="47022" xr:uid="{FD969366-8797-4B19-AA79-774C3EB61A49}"/>
    <cellStyle name="Итог 2 24 2 3" xfId="25377" xr:uid="{004F0833-158C-4C7D-91C5-A61E5DF75DB4}"/>
    <cellStyle name="Итог 2 24 2 4" xfId="38453" xr:uid="{9F43EBE7-E9AF-42C9-B360-CC02CBAC79E2}"/>
    <cellStyle name="Итог 2 24 3" xfId="6225" xr:uid="{9C594D58-51A1-43A2-95FB-CDCD28517AD1}"/>
    <cellStyle name="Итог 2 24 3 2" xfId="15455" xr:uid="{45DB4043-1691-48A8-B688-DA0A3ABD63B7}"/>
    <cellStyle name="Итог 2 24 3 2 2" xfId="31600" xr:uid="{EF4FB8CD-E988-4EA5-A14E-4C5240374C20}"/>
    <cellStyle name="Итог 2 24 3 2 3" xfId="45095" xr:uid="{60716827-223D-4DFA-AA2F-5FE4311FAD8C}"/>
    <cellStyle name="Итог 2 24 3 3" xfId="23868" xr:uid="{B52CBB7F-AEAA-4707-BBB0-B3F9C49C5819}"/>
    <cellStyle name="Итог 2 24 3 4" xfId="36949" xr:uid="{EA831E9F-97A7-4EF5-9A3B-3B589BD6596E}"/>
    <cellStyle name="Итог 2 24 4" xfId="12399" xr:uid="{1B8017B6-E2D6-425B-8180-B2CF93115110}"/>
    <cellStyle name="Итог 2 24 4 2" xfId="29064" xr:uid="{17D44EA0-065B-408C-9047-85F6A1171803}"/>
    <cellStyle name="Итог 2 24 4 3" xfId="42305" xr:uid="{C2CFAA20-CF7C-4709-B920-5FA5538F311F}"/>
    <cellStyle name="Итог 2 24 5" xfId="20620" xr:uid="{D677D1CF-C316-498E-8A77-50720331389A}"/>
    <cellStyle name="Итог 2 24 6" xfId="33643" xr:uid="{59456214-0753-4FFF-B058-E896632399EC}"/>
    <cellStyle name="Итог 2 25" xfId="2525" xr:uid="{6831CEDF-8F6E-4CBF-9450-6FC6A4F150D8}"/>
    <cellStyle name="Итог 2 25 2" xfId="6138" xr:uid="{BB1A954B-2C11-40B4-A530-EBA70324C726}"/>
    <cellStyle name="Итог 2 25 2 2" xfId="12612" xr:uid="{1D705692-6BC1-424A-9416-FC9EA577766C}"/>
    <cellStyle name="Итог 2 25 2 2 2" xfId="29223" xr:uid="{F268C0E3-22EF-4BD8-9380-AF76C63C2E3F}"/>
    <cellStyle name="Итог 2 25 2 2 3" xfId="42487" xr:uid="{B83ECB0E-0A93-456D-B3DC-084D073A0BE8}"/>
    <cellStyle name="Итог 2 25 2 3" xfId="23783" xr:uid="{46FBB391-97EE-4F16-8E93-A3E3DE216331}"/>
    <cellStyle name="Итог 2 25 2 4" xfId="36864" xr:uid="{8A1BEBE6-74C8-462F-8108-B56080A98DDB}"/>
    <cellStyle name="Итог 2 25 3" xfId="6191" xr:uid="{6971AA1E-D9FA-4451-8287-36C969663DA3}"/>
    <cellStyle name="Итог 2 25 3 2" xfId="11665" xr:uid="{74E54B96-780B-4C18-B512-489B6DB7B1BE}"/>
    <cellStyle name="Итог 2 25 3 2 2" xfId="28404" xr:uid="{88DF8C19-9C38-41BA-88E4-1DBA90112D0E}"/>
    <cellStyle name="Итог 2 25 3 2 3" xfId="41608" xr:uid="{7DF5D6AA-F8FF-405F-A3E2-28C6E2774D70}"/>
    <cellStyle name="Итог 2 25 3 3" xfId="23836" xr:uid="{F11DD934-5753-417B-B156-7559B6BCE8AE}"/>
    <cellStyle name="Итог 2 25 3 4" xfId="36917" xr:uid="{9D96BD8C-62A3-4D4A-8F0D-02FECCB3B865}"/>
    <cellStyle name="Итог 2 25 4" xfId="17580" xr:uid="{318B243E-B074-41A4-AC6E-E0C3F8182230}"/>
    <cellStyle name="Итог 2 25 4 2" xfId="33317" xr:uid="{CC3AFF0F-FE70-44EB-A813-319B84E3376C}"/>
    <cellStyle name="Итог 2 25 4 3" xfId="47105" xr:uid="{9140BF62-7D8D-4DA1-B561-1E06276436A3}"/>
    <cellStyle name="Итог 2 25 5" xfId="20588" xr:uid="{D826B18A-6D8E-4176-BB21-6F9E106C67FD}"/>
    <cellStyle name="Итог 2 25 6" xfId="33611" xr:uid="{3C846C9B-7FFD-41B2-9086-BD8E29AFC2E1}"/>
    <cellStyle name="Итог 2 26" xfId="4301" xr:uid="{7DB6BEFC-7F18-499F-B64F-997E7D2B3F41}"/>
    <cellStyle name="Итог 2 26 2" xfId="6170" xr:uid="{479E1667-4F8D-4B5B-91E4-B85C56F3E29E}"/>
    <cellStyle name="Итог 2 26 2 2" xfId="11085" xr:uid="{71438871-667B-4252-9910-921CB0ED5BE3}"/>
    <cellStyle name="Итог 2 26 2 2 2" xfId="27886" xr:uid="{846DB6D4-C50B-4817-9054-63AEF988035F}"/>
    <cellStyle name="Итог 2 26 2 2 3" xfId="41064" xr:uid="{3C854CD9-02CB-4CC8-8D36-5B97F7674B44}"/>
    <cellStyle name="Итог 2 26 2 3" xfId="23815" xr:uid="{78ED3678-0CE1-467B-84F0-F7803A34842B}"/>
    <cellStyle name="Итог 2 26 2 4" xfId="36896" xr:uid="{3A2FA8F3-FB2A-42EF-A8E1-A5C4DB43D82B}"/>
    <cellStyle name="Итог 2 26 3" xfId="14631" xr:uid="{F24AA337-749F-4C18-8F34-FB27ED8E99D9}"/>
    <cellStyle name="Итог 2 26 3 2" xfId="30927" xr:uid="{E41A137B-44FA-4B66-B2BA-DC3D482A630F}"/>
    <cellStyle name="Итог 2 26 3 3" xfId="44348" xr:uid="{6BCB7C3E-DD43-4D3C-B19D-9BACA6F4DC85}"/>
    <cellStyle name="Итог 2 26 4" xfId="22122" xr:uid="{991A6D56-430C-4ED0-9599-850A9B839233}"/>
    <cellStyle name="Итог 2 26 5" xfId="35171" xr:uid="{775A7B35-8CE6-4251-BD89-7612D5C02C6E}"/>
    <cellStyle name="Итог 2 27" xfId="5281" xr:uid="{AE4187AA-F28F-4893-BCFC-2E7BD8127F96}"/>
    <cellStyle name="Итог 2 27 2" xfId="9714" xr:uid="{ED999D31-22E8-49A9-A0DA-7F8C6EF43B06}"/>
    <cellStyle name="Итог 2 27 2 2" xfId="10926" xr:uid="{9096249D-5F55-4E66-BF48-417363145A54}"/>
    <cellStyle name="Итог 2 27 2 2 2" xfId="27744" xr:uid="{F9CD37C9-9BDD-4AFE-A23D-E1D41FCAB2D3}"/>
    <cellStyle name="Итог 2 27 2 2 3" xfId="40906" xr:uid="{F674BA91-780B-4D91-928A-567BFE342B52}"/>
    <cellStyle name="Итог 2 27 2 3" xfId="27013" xr:uid="{BF2E7DC9-A453-49AE-9492-80CD22D6E26F}"/>
    <cellStyle name="Итог 2 27 2 4" xfId="40130" xr:uid="{3988B46B-25B6-4012-8D8B-712F5BF3310A}"/>
    <cellStyle name="Итог 2 27 3" xfId="12996" xr:uid="{7E63B423-2488-41AC-8A37-598537DBCD32}"/>
    <cellStyle name="Итог 2 27 3 2" xfId="29532" xr:uid="{44A93C3B-F735-4191-9DC7-9F77892F57FE}"/>
    <cellStyle name="Итог 2 27 3 3" xfId="42833" xr:uid="{94144A2C-3641-42E7-A6B9-A68552282124}"/>
    <cellStyle name="Итог 2 27 4" xfId="22932" xr:uid="{4172AB07-F786-41E6-A12F-6F2A12E00E45}"/>
    <cellStyle name="Итог 2 27 5" xfId="36011" xr:uid="{C3EF7AF5-BF3C-411C-8AB3-1CAC436DC9E6}"/>
    <cellStyle name="Итог 2 28" xfId="5357" xr:uid="{83BBE875-F2AA-4F13-84F3-E99C5475E8CF}"/>
    <cellStyle name="Итог 2 28 2" xfId="9788" xr:uid="{3F3093B2-C541-43BA-ADE1-EB533F4F6274}"/>
    <cellStyle name="Итог 2 28 2 2" xfId="12221" xr:uid="{3C1BA506-90B0-4A0E-94E3-D94B1A2E17FA}"/>
    <cellStyle name="Итог 2 28 2 2 2" xfId="28905" xr:uid="{5420338F-9F4D-4B11-8313-96B30D71FC4E}"/>
    <cellStyle name="Итог 2 28 2 2 3" xfId="42138" xr:uid="{19C89B13-4169-4045-8245-45257F96D4B1}"/>
    <cellStyle name="Итог 2 28 2 3" xfId="27085" xr:uid="{4D712C01-66E6-43B8-8A29-4A3C81FD0B83}"/>
    <cellStyle name="Итог 2 28 2 4" xfId="40204" xr:uid="{A00C3F93-2E24-4B9C-A1E1-D59B11B4BFC1}"/>
    <cellStyle name="Итог 2 28 3" xfId="14813" xr:uid="{1696A36E-8F3C-471F-8F66-ECCD4BCCC6E5}"/>
    <cellStyle name="Итог 2 28 3 2" xfId="31075" xr:uid="{AB597132-CEF1-4567-8549-63FDFA1501D0}"/>
    <cellStyle name="Итог 2 28 3 3" xfId="44510" xr:uid="{1B1CC89E-43F4-4C64-A734-8806A23B147A}"/>
    <cellStyle name="Итог 2 28 4" xfId="23004" xr:uid="{CA7EF900-EB70-4A3C-B59F-897B8CBA9454}"/>
    <cellStyle name="Итог 2 28 5" xfId="36085" xr:uid="{2AE6F2D3-AABF-418A-BA45-0215EC01651B}"/>
    <cellStyle name="Итог 2 29" xfId="10571" xr:uid="{741BA35D-DC05-42AB-933A-2BFFA7532C72}"/>
    <cellStyle name="Итог 2 29 2" xfId="17616" xr:uid="{0C816D9C-53AC-496A-A6F8-B012F6D5EB9B}"/>
    <cellStyle name="Итог 2 29 2 2" xfId="33351" xr:uid="{0F940DAB-FFDE-429E-A6D5-F59C7B2E99BB}"/>
    <cellStyle name="Итог 2 29 2 3" xfId="47141" xr:uid="{8F00E696-1DA4-4891-9944-17BA766E77AE}"/>
    <cellStyle name="Итог 2 29 3" xfId="27430" xr:uid="{D298FEF3-16E4-4566-99F6-163FA4DD2058}"/>
    <cellStyle name="Итог 2 29 4" xfId="40552" xr:uid="{8B1AD32E-D055-4207-B52D-D3ECBFB200EF}"/>
    <cellStyle name="Итог 2 3" xfId="3326" xr:uid="{6D897C90-6673-441E-AE5B-7A17785A954C}"/>
    <cellStyle name="Итог 2 3 10" xfId="34373" xr:uid="{229E8334-9842-42C8-8661-BAB1C203CFA5}"/>
    <cellStyle name="Итог 2 3 2" xfId="2688" xr:uid="{AFB2AC60-F3CB-4524-97AF-8BB77B510D44}"/>
    <cellStyle name="Итог 2 3 2 2" xfId="7984" xr:uid="{5B97475F-90D4-4A9A-918C-3A823941501A}"/>
    <cellStyle name="Итог 2 3 2 2 2" xfId="12038" xr:uid="{35C1F00C-9A0D-4C8E-B456-15C5CE3FA7D3}"/>
    <cellStyle name="Итог 2 3 2 2 2 2" xfId="28739" xr:uid="{9F6F7D4C-DAB8-45FE-A63B-A4F4D20E473A}"/>
    <cellStyle name="Итог 2 3 2 2 2 3" xfId="41958" xr:uid="{E043C7C4-7D13-479C-A9F2-B4F136EF3AF5}"/>
    <cellStyle name="Итог 2 3 2 2 3" xfId="25500" xr:uid="{58CE8B88-FB7E-4DFC-A67F-1F7741AA8131}"/>
    <cellStyle name="Итог 2 3 2 2 4" xfId="38576" xr:uid="{5CE24613-94BE-451A-86DA-5061D662EA94}"/>
    <cellStyle name="Итог 2 3 2 3" xfId="6351" xr:uid="{4CACB0DD-686C-418D-BFA1-203831CB415E}"/>
    <cellStyle name="Итог 2 3 2 3 2" xfId="14695" xr:uid="{8D44F9CC-EC44-468D-8D6D-49F264898AB5}"/>
    <cellStyle name="Итог 2 3 2 3 2 2" xfId="30985" xr:uid="{C246EBA5-376D-468A-98EA-789B889EA61C}"/>
    <cellStyle name="Итог 2 3 2 3 2 3" xfId="44407" xr:uid="{FEA6AE0D-0FAE-453B-823F-B5A5E5EFE306}"/>
    <cellStyle name="Итог 2 3 2 3 3" xfId="23991" xr:uid="{570BF1A7-645A-4778-90E1-D2CAC69FFEC0}"/>
    <cellStyle name="Итог 2 3 2 3 4" xfId="37072" xr:uid="{1BFBDBDE-31A6-47F0-8591-45CBC36DDE28}"/>
    <cellStyle name="Итог 2 3 2 4" xfId="17288" xr:uid="{75D12480-0DEE-4645-9D06-3BAE289097AA}"/>
    <cellStyle name="Итог 2 3 2 4 2" xfId="33046" xr:uid="{0AB02DC0-D8CE-4A26-9272-9E3A1C5E9AD4}"/>
    <cellStyle name="Итог 2 3 2 4 3" xfId="46822" xr:uid="{5E3830A9-04F0-4AC0-8AF7-6DA70C0C2172}"/>
    <cellStyle name="Итог 2 3 2 5" xfId="20743" xr:uid="{50CBD035-B3AE-4F2F-8FBB-440E6A2FA649}"/>
    <cellStyle name="Итог 2 3 2 6" xfId="33766" xr:uid="{343DFD9F-C4F1-4689-84F8-5A4F58850FA4}"/>
    <cellStyle name="Итог 2 3 3" xfId="4088" xr:uid="{BD2E9CA5-7C81-4F91-916B-CC959BDD3AC0}"/>
    <cellStyle name="Итог 2 3 3 2" xfId="9140" xr:uid="{314BFF20-3FCA-43AC-8BD2-F17F4544ECB8}"/>
    <cellStyle name="Итог 2 3 3 2 2" xfId="13607" xr:uid="{42554DC3-AEDE-471D-865C-C35E491FFB20}"/>
    <cellStyle name="Итог 2 3 3 2 2 2" xfId="30046" xr:uid="{D8CFFF9D-217D-425C-9CC6-39304606668F}"/>
    <cellStyle name="Итог 2 3 3 2 2 3" xfId="43398" xr:uid="{9C496225-3993-4221-887C-E8A827E3DABF}"/>
    <cellStyle name="Итог 2 3 3 2 3" xfId="26621" xr:uid="{4AA79445-401C-475B-B4D5-46AFC5E4ED77}"/>
    <cellStyle name="Итог 2 3 3 2 4" xfId="39697" xr:uid="{7A135F3F-6009-4DD4-B265-96380BF411DB}"/>
    <cellStyle name="Итог 2 3 3 3" xfId="7652" xr:uid="{07A19ED7-8ADB-4D6E-BFFC-E29E899E164A}"/>
    <cellStyle name="Итог 2 3 3 3 2" xfId="11759" xr:uid="{F248014D-0482-44EB-8C21-DB0D793D5ACE}"/>
    <cellStyle name="Итог 2 3 3 3 2 2" xfId="28484" xr:uid="{F44AB38E-8BC8-4D55-9A5E-A25AFC3FEE14}"/>
    <cellStyle name="Итог 2 3 3 3 2 3" xfId="41695" xr:uid="{37ECA6AC-17C4-4628-ACC9-32DB97AF2DCB}"/>
    <cellStyle name="Итог 2 3 3 3 3" xfId="25180" xr:uid="{272D4084-A973-437B-875F-8F55D069571C}"/>
    <cellStyle name="Итог 2 3 3 3 4" xfId="38256" xr:uid="{8C0ED5E7-CAC7-4C5E-87F7-C56B75DAF53A}"/>
    <cellStyle name="Итог 2 3 3 4" xfId="13929" xr:uid="{6552CACF-070B-4F3C-8B3D-AE5026B89732}"/>
    <cellStyle name="Итог 2 3 3 4 2" xfId="30318" xr:uid="{FEE68BC5-27EF-4667-9261-327280708F80}"/>
    <cellStyle name="Итог 2 3 3 4 3" xfId="43694" xr:uid="{ED755526-E3B1-492F-A8BB-D8137B4883B4}"/>
    <cellStyle name="Итог 2 3 3 5" xfId="21921" xr:uid="{C8882803-9C86-4905-99D4-0EB46F41A43E}"/>
    <cellStyle name="Итог 2 3 3 6" xfId="34970" xr:uid="{B4C6E64A-452F-46E1-BABE-2C9724BF47F2}"/>
    <cellStyle name="Итог 2 3 4" xfId="2574" xr:uid="{F9CF81DF-7985-4A7E-BD7E-5854A1EDE897}"/>
    <cellStyle name="Итог 2 3 4 2" xfId="7871" xr:uid="{EF81D8B3-E2EE-4E9F-A532-61F0EFB93D52}"/>
    <cellStyle name="Итог 2 3 4 2 2" xfId="17371" xr:uid="{C7C8CE08-D093-46B2-9220-5830A799D4B7}"/>
    <cellStyle name="Итог 2 3 4 2 2 2" xfId="33125" xr:uid="{0EC1927F-706A-4580-9E0C-AC568BC4D095}"/>
    <cellStyle name="Итог 2 3 4 2 2 3" xfId="46901" xr:uid="{AA77CAE1-2796-47CF-8D34-75105CE9E4F9}"/>
    <cellStyle name="Итог 2 3 4 2 3" xfId="25390" xr:uid="{46ECC35C-9FDB-4817-99DE-E92271531EBC}"/>
    <cellStyle name="Итог 2 3 4 2 4" xfId="38466" xr:uid="{62A39F06-4E21-46B6-AF76-D60E960D0C41}"/>
    <cellStyle name="Итог 2 3 4 3" xfId="6238" xr:uid="{3E92701A-9F95-4071-8CFF-C1405C1A2020}"/>
    <cellStyle name="Итог 2 3 4 3 2" xfId="12745" xr:uid="{A2174146-12C3-450B-95B8-98BA397A4E67}"/>
    <cellStyle name="Итог 2 3 4 3 2 2" xfId="29323" xr:uid="{5B66C20D-6A27-49A2-86C4-0319C9F5453F}"/>
    <cellStyle name="Итог 2 3 4 3 2 3" xfId="42602" xr:uid="{52468EED-8635-4520-B7C9-31B8F4F595C3}"/>
    <cellStyle name="Итог 2 3 4 3 3" xfId="23881" xr:uid="{05678F5E-B759-4A20-84EE-74718E1E449E}"/>
    <cellStyle name="Итог 2 3 4 3 4" xfId="36962" xr:uid="{ED71BA8B-7863-4CE7-8D4B-F15E6015C156}"/>
    <cellStyle name="Итог 2 3 4 4" xfId="14614" xr:uid="{643FEE1D-A7D7-4043-B1C1-8DC67BF3DD9E}"/>
    <cellStyle name="Итог 2 3 4 4 2" xfId="30913" xr:uid="{4BB38E38-C7EF-4869-8E95-A9BAC91C52AA}"/>
    <cellStyle name="Итог 2 3 4 4 3" xfId="44333" xr:uid="{4D8C5ADD-10BE-4E7F-A2C2-5B1E20C1EE7F}"/>
    <cellStyle name="Итог 2 3 4 5" xfId="20633" xr:uid="{7A93F8C6-52CC-4885-B82F-CFDB4B73C8B3}"/>
    <cellStyle name="Итог 2 3 4 6" xfId="33656" xr:uid="{A9AB859C-E080-4CAF-8B53-BC3CE8461714}"/>
    <cellStyle name="Итог 2 3 5" xfId="4171" xr:uid="{80AFC42C-1ACE-41F6-A26B-76022BED6737}"/>
    <cellStyle name="Итог 2 3 5 2" xfId="9223" xr:uid="{C8ED5F29-E190-4C6D-B64C-1C19CB4459F4}"/>
    <cellStyle name="Итог 2 3 5 2 2" xfId="11461" xr:uid="{905B2D24-C54D-4F71-9F75-AC85482FD337}"/>
    <cellStyle name="Итог 2 3 5 2 2 2" xfId="28225" xr:uid="{4FF60FC8-09A7-4EFB-9D11-F40C216890F5}"/>
    <cellStyle name="Итог 2 3 5 2 2 3" xfId="41420" xr:uid="{95AEB319-D743-41BB-9E8C-F5A4F66A2FC1}"/>
    <cellStyle name="Итог 2 3 5 2 3" xfId="26698" xr:uid="{F2DBF553-E1FB-4633-A297-C3617879CB9E}"/>
    <cellStyle name="Итог 2 3 5 2 4" xfId="39774" xr:uid="{8B969B5F-4D5E-4DF1-9AD6-1261C4A740B3}"/>
    <cellStyle name="Итог 2 3 5 3" xfId="7735" xr:uid="{C0BC3AF5-7770-47A2-AFAC-495AC8BD0EEE}"/>
    <cellStyle name="Итог 2 3 5 3 2" xfId="16150" xr:uid="{82CD50CA-1135-4532-B458-6E9B4A2E5F73}"/>
    <cellStyle name="Итог 2 3 5 3 2 2" xfId="32201" xr:uid="{BBBA455C-4AC2-4CD4-B9E2-C5AB413BE8E7}"/>
    <cellStyle name="Итог 2 3 5 3 2 3" xfId="45723" xr:uid="{EE9ACE3C-4036-48EA-8F21-7D1D40F0F785}"/>
    <cellStyle name="Итог 2 3 5 3 3" xfId="25257" xr:uid="{0F4E4283-2731-49F1-8203-532BF960D992}"/>
    <cellStyle name="Итог 2 3 5 3 4" xfId="38333" xr:uid="{0FD023E9-42D6-499A-A73B-57586F290B63}"/>
    <cellStyle name="Итог 2 3 5 4" xfId="16160" xr:uid="{3872D2EA-45A7-47A3-8256-027C862246E7}"/>
    <cellStyle name="Итог 2 3 5 4 2" xfId="32210" xr:uid="{87BC77FE-B0FC-4B3C-A7A1-4E68B5ABF76C}"/>
    <cellStyle name="Итог 2 3 5 4 3" xfId="45732" xr:uid="{1550E605-46C3-4072-BC09-F0E6FBFBBFBB}"/>
    <cellStyle name="Итог 2 3 5 5" xfId="21998" xr:uid="{413898DA-07B9-4C9F-AFB0-C8BC0D2142F4}"/>
    <cellStyle name="Итог 2 3 5 6" xfId="35047" xr:uid="{70A0F4CC-9224-4861-A812-36B4A2AFF22A}"/>
    <cellStyle name="Итог 2 3 6" xfId="4357" xr:uid="{02DAFC99-AA41-4FE1-B5B6-647C6374BCC4}"/>
    <cellStyle name="Итог 2 3 6 2" xfId="6976" xr:uid="{F345B353-944C-4F2D-BF8E-FB925E2735E8}"/>
    <cellStyle name="Итог 2 3 6 2 2" xfId="16566" xr:uid="{7767A47C-043F-4EF4-8837-03E1ED86537E}"/>
    <cellStyle name="Итог 2 3 6 2 2 2" xfId="32496" xr:uid="{4A8EEDFB-8416-4DB4-AB83-D3CE04DDD240}"/>
    <cellStyle name="Итог 2 3 6 2 2 3" xfId="46113" xr:uid="{5CD45318-9CEE-4F28-9FDD-206943572BFE}"/>
    <cellStyle name="Итог 2 3 6 2 3" xfId="24598" xr:uid="{17044994-2937-46AC-850D-E93CCB373170}"/>
    <cellStyle name="Итог 2 3 6 2 4" xfId="37679" xr:uid="{0FF4FD21-0FE9-4581-91DD-BF380CF65691}"/>
    <cellStyle name="Итог 2 3 6 3" xfId="17251" xr:uid="{3B6C884A-A39A-4FF1-9721-4D18373B09A1}"/>
    <cellStyle name="Итог 2 3 6 3 2" xfId="33010" xr:uid="{3E55DC21-6A36-494E-8073-C8D6CB3D2A6F}"/>
    <cellStyle name="Итог 2 3 6 3 3" xfId="46785" xr:uid="{0954942A-6E97-4F45-BAB9-8BF0B31C4E41}"/>
    <cellStyle name="Итог 2 3 6 4" xfId="22177" xr:uid="{85DF95AE-2706-4F51-9AC1-3929B510EE21}"/>
    <cellStyle name="Итог 2 3 6 5" xfId="35226" xr:uid="{CA6A5D53-7D97-4593-B6BD-88F537400D81}"/>
    <cellStyle name="Итог 2 3 7" xfId="5412" xr:uid="{3550D14A-2A28-4274-82B2-E36091461C4D}"/>
    <cellStyle name="Итог 2 3 7 2" xfId="8589" xr:uid="{91A3C28C-7AD3-492D-A2F7-7C5246847778}"/>
    <cellStyle name="Итог 2 3 7 2 2" xfId="15592" xr:uid="{ADB3711D-FDB0-4257-9555-87734099058A}"/>
    <cellStyle name="Итог 2 3 7 2 2 2" xfId="31718" xr:uid="{63E31D69-A981-4D8D-B50D-4E811B91EEBB}"/>
    <cellStyle name="Итог 2 3 7 2 2 3" xfId="45220" xr:uid="{5B60EFC1-4D9C-4F17-9591-AF67BA62689D}"/>
    <cellStyle name="Итог 2 3 7 2 3" xfId="26087" xr:uid="{3ABC64DA-D3DC-4FDA-A4F1-AFD34ACA64F4}"/>
    <cellStyle name="Итог 2 3 7 2 4" xfId="39163" xr:uid="{8FE4B4C8-2DEC-4D1E-8D4B-9B29513135C3}"/>
    <cellStyle name="Итог 2 3 7 3" xfId="17336" xr:uid="{3BFA1990-CA78-475F-ADFF-36808938B749}"/>
    <cellStyle name="Итог 2 3 7 3 2" xfId="33090" xr:uid="{8482C465-287F-4088-9E13-E4F3015F8CF1}"/>
    <cellStyle name="Итог 2 3 7 3 3" xfId="46866" xr:uid="{AE95C7E6-2403-4FBE-818B-30A14A2B15DA}"/>
    <cellStyle name="Итог 2 3 7 4" xfId="23059" xr:uid="{7EB841E8-7263-44CB-89B1-922E8880B68E}"/>
    <cellStyle name="Итог 2 3 7 5" xfId="36140" xr:uid="{9539E289-B0DB-4F9B-BC67-82CFB73C81A1}"/>
    <cellStyle name="Итог 2 3 8" xfId="16210" xr:uid="{96FBA7DD-DCFE-41CD-BF50-6C615DC76BE9}"/>
    <cellStyle name="Итог 2 3 8 2" xfId="32250" xr:uid="{CC503E27-F076-4B98-A5EF-CA8C0A48BDEF}"/>
    <cellStyle name="Итог 2 3 8 3" xfId="45777" xr:uid="{777B62CE-9B42-4B9F-8D4F-A457953EE419}"/>
    <cellStyle name="Итог 2 3 9" xfId="21350" xr:uid="{CF002322-DDD0-4BA5-844C-2D52FF662338}"/>
    <cellStyle name="Итог 2 30" xfId="12020" xr:uid="{907F04BC-1156-4D89-8454-2F47CBC81D14}"/>
    <cellStyle name="Итог 2 30 2" xfId="28722" xr:uid="{49DED066-ECA5-467E-A069-90338BCD8501}"/>
    <cellStyle name="Итог 2 30 3" xfId="41940" xr:uid="{DF09B5AF-FE2B-46DA-9F74-6CBD6620EFDF}"/>
    <cellStyle name="Итог 2 31" xfId="14480" xr:uid="{5244EF76-D26F-4756-81D8-D0D8BF466B30}"/>
    <cellStyle name="Итог 2 31 2" xfId="30804" xr:uid="{7D5AF229-DEB3-44AA-AE1F-CA3A5D5C199E}"/>
    <cellStyle name="Итог 2 31 3" xfId="44209" xr:uid="{9CC010A6-237B-403F-8EA2-507A7F38F01E}"/>
    <cellStyle name="Итог 2 32" xfId="14466" xr:uid="{521A1F71-DB70-4607-80A2-4B789EB36220}"/>
    <cellStyle name="Итог 2 32 2" xfId="30791" xr:uid="{88DFC9AC-087C-4D8E-AD74-1E88875B2208}"/>
    <cellStyle name="Итог 2 32 3" xfId="44195" xr:uid="{361A5AA1-B8D0-4A16-B2EA-8371D5EFC185}"/>
    <cellStyle name="Итог 2 33" xfId="17669" xr:uid="{1DC03E21-BBBB-40FB-90B0-7B8E036BACB6}"/>
    <cellStyle name="Итог 2 33 2" xfId="33392" xr:uid="{3EA9ACEE-3396-4007-AC3F-30F16E80CE4B}"/>
    <cellStyle name="Итог 2 33 3" xfId="47181" xr:uid="{D78FD486-3A4F-4ED6-A604-C163246F442B}"/>
    <cellStyle name="Итог 2 34" xfId="33571" xr:uid="{9C439763-2844-4BBC-86B0-975FB885B199}"/>
    <cellStyle name="Итог 2 4" xfId="3488" xr:uid="{C1364AA5-7107-4316-A8AB-174E420B5E42}"/>
    <cellStyle name="Итог 2 4 10" xfId="34504" xr:uid="{159A0D2D-1E3E-45B7-AC82-9367597DFD87}"/>
    <cellStyle name="Итог 2 4 2" xfId="2830" xr:uid="{31E2CCD9-8A11-4873-A96B-CA0E4DAAC788}"/>
    <cellStyle name="Итог 2 4 2 2" xfId="8126" xr:uid="{9690CF3A-85C5-4AB8-8FCF-98425C131558}"/>
    <cellStyle name="Итог 2 4 2 2 2" xfId="14218" xr:uid="{62AA5CE9-F1D9-4A4E-AB52-30DC9D6A1241}"/>
    <cellStyle name="Итог 2 4 2 2 2 2" xfId="30563" xr:uid="{26368AB5-F7B9-4F63-A7FB-7976305E93FC}"/>
    <cellStyle name="Итог 2 4 2 2 2 3" xfId="43955" xr:uid="{1D2EF732-5204-4A90-BE09-6F1681E3AEC8}"/>
    <cellStyle name="Итог 2 4 2 2 3" xfId="25637" xr:uid="{FC41664F-3674-4211-A97A-6D2BFB273727}"/>
    <cellStyle name="Итог 2 4 2 2 4" xfId="38713" xr:uid="{AA203F42-DE92-44FE-AF6D-74AA44C106D0}"/>
    <cellStyle name="Итог 2 4 2 3" xfId="6493" xr:uid="{F6AC7343-8A25-4A74-AC01-100B74192C72}"/>
    <cellStyle name="Итог 2 4 2 3 2" xfId="13105" xr:uid="{440A8666-075A-4F68-B6F7-A50C2E5D6ABE}"/>
    <cellStyle name="Итог 2 4 2 3 2 2" xfId="29620" xr:uid="{C616DDA5-F7EC-4E83-927E-0D3FFEE42BA0}"/>
    <cellStyle name="Итог 2 4 2 3 2 3" xfId="42931" xr:uid="{35BFF5E7-E6CE-4D1D-A448-146F9C8F6388}"/>
    <cellStyle name="Итог 2 4 2 3 3" xfId="24128" xr:uid="{B0305AC6-FD44-4650-90A4-D1E7630C558B}"/>
    <cellStyle name="Итог 2 4 2 3 4" xfId="37209" xr:uid="{93D521AE-E244-4EE3-8AFB-943C09BE2E72}"/>
    <cellStyle name="Итог 2 4 2 4" xfId="14557" xr:uid="{BC71A9E2-9623-449F-95F2-0DF204F05533}"/>
    <cellStyle name="Итог 2 4 2 4 2" xfId="30864" xr:uid="{B7A34490-81F0-44B1-B16E-9459132D1F86}"/>
    <cellStyle name="Итог 2 4 2 4 3" xfId="44278" xr:uid="{BE02C531-AC44-478A-8269-9B00C8073DC5}"/>
    <cellStyle name="Итог 2 4 2 5" xfId="20880" xr:uid="{A5B95781-C694-4047-A1E8-46EAD0A92B4D}"/>
    <cellStyle name="Итог 2 4 2 6" xfId="33903" xr:uid="{65126930-6602-4B8B-92E9-A8CA5E901983}"/>
    <cellStyle name="Итог 2 4 3" xfId="4183" xr:uid="{248AEB18-C28C-45DF-B21B-4DF4111305BF}"/>
    <cellStyle name="Итог 2 4 3 2" xfId="9235" xr:uid="{9133A2C2-D493-451E-86EE-AEE0A3959910}"/>
    <cellStyle name="Итог 2 4 3 2 2" xfId="13221" xr:uid="{3B6C0ACD-E7C5-4264-B93F-F71999789FBD}"/>
    <cellStyle name="Итог 2 4 3 2 2 2" xfId="29721" xr:uid="{A5E39AB8-042F-4581-84AA-8EF999DEA2CD}"/>
    <cellStyle name="Итог 2 4 3 2 2 3" xfId="43040" xr:uid="{7A0B20DC-ACFA-426F-A96B-F1FC7E4125BE}"/>
    <cellStyle name="Итог 2 4 3 2 3" xfId="26710" xr:uid="{8864C9B0-359C-485D-858C-FA337D0EDA56}"/>
    <cellStyle name="Итог 2 4 3 2 4" xfId="39786" xr:uid="{2CBAF0E2-1AA8-4C74-9E49-0C09A74774CC}"/>
    <cellStyle name="Итог 2 4 3 3" xfId="7747" xr:uid="{A1B8DA92-9EEA-4FF7-883E-6936E7277DCC}"/>
    <cellStyle name="Итог 2 4 3 3 2" xfId="17095" xr:uid="{65410352-E608-4D98-AD8B-31699C01D517}"/>
    <cellStyle name="Итог 2 4 3 3 2 2" xfId="32864" xr:uid="{18946010-6F0B-49D6-A075-2C86E88C0C07}"/>
    <cellStyle name="Итог 2 4 3 3 2 3" xfId="46635" xr:uid="{A7A72B4E-79D2-49F0-B73D-F3C0C8E743F2}"/>
    <cellStyle name="Итог 2 4 3 3 3" xfId="25269" xr:uid="{D97FA8B8-D2A3-4A2A-98FF-A574189C844F}"/>
    <cellStyle name="Итог 2 4 3 3 4" xfId="38345" xr:uid="{756D8D1D-4264-47B9-8BD5-9ABB944BCB23}"/>
    <cellStyle name="Итог 2 4 3 4" xfId="16144" xr:uid="{230A1BEA-CF81-481B-BD89-8FF1A1EAE08A}"/>
    <cellStyle name="Итог 2 4 3 4 2" xfId="32198" xr:uid="{5C7D3536-38B2-4C3F-AFF4-9393628B18B8}"/>
    <cellStyle name="Итог 2 4 3 4 3" xfId="45719" xr:uid="{ADE0EDDD-7EFC-4C43-83ED-14E6F21F6A37}"/>
    <cellStyle name="Итог 2 4 3 5" xfId="22010" xr:uid="{379F2F6A-9151-4FCA-9CE8-83B46963EB9C}"/>
    <cellStyle name="Итог 2 4 3 6" xfId="35059" xr:uid="{CE6AC273-58F5-4DEA-B219-27620252F767}"/>
    <cellStyle name="Итог 2 4 4" xfId="2972" xr:uid="{A883C300-FCDA-4221-ADA0-F1FDA9097F41}"/>
    <cellStyle name="Итог 2 4 4 2" xfId="8268" xr:uid="{56BEB525-822D-4681-B60B-4A7CED48078D}"/>
    <cellStyle name="Итог 2 4 4 2 2" xfId="10943" xr:uid="{39089C8F-F237-4842-927B-183E302F0BC2}"/>
    <cellStyle name="Итог 2 4 4 2 2 2" xfId="27759" xr:uid="{83C7065F-9EAF-4354-A580-6F1055196DE6}"/>
    <cellStyle name="Итог 2 4 4 2 2 3" xfId="40923" xr:uid="{93E88D5F-DDFD-4A9C-AF3D-0FEDCB92BD05}"/>
    <cellStyle name="Итог 2 4 4 2 3" xfId="25776" xr:uid="{6BB78419-68F4-4FD4-A564-001E46188A37}"/>
    <cellStyle name="Итог 2 4 4 2 4" xfId="38852" xr:uid="{E859940D-27A5-46C4-990A-D670F51C851C}"/>
    <cellStyle name="Итог 2 4 4 3" xfId="6635" xr:uid="{775AA617-BBE8-4501-9DF5-6417FE4BD1A2}"/>
    <cellStyle name="Итог 2 4 4 3 2" xfId="12725" xr:uid="{D595F0D2-84EE-4599-92F4-F742E55CA3F5}"/>
    <cellStyle name="Итог 2 4 4 3 2 2" xfId="29308" xr:uid="{E12CC12D-69DA-44AA-85DC-4F929AB854DF}"/>
    <cellStyle name="Итог 2 4 4 3 2 3" xfId="42585" xr:uid="{FBF1DE56-E177-46D3-86A1-BEC08A45B164}"/>
    <cellStyle name="Итог 2 4 4 3 3" xfId="24267" xr:uid="{1BB06812-8D69-4471-A963-F77EB9254DF2}"/>
    <cellStyle name="Итог 2 4 4 3 4" xfId="37348" xr:uid="{22A62FF8-6194-4808-80A0-6D7E1A46A46E}"/>
    <cellStyle name="Итог 2 4 4 4" xfId="14370" xr:uid="{891DC837-7525-4EBF-99BA-272F5CAFC8EF}"/>
    <cellStyle name="Итог 2 4 4 4 2" xfId="30702" xr:uid="{A78287C9-F924-41D1-BF4A-D8E216019E1F}"/>
    <cellStyle name="Итог 2 4 4 4 3" xfId="44100" xr:uid="{E5523C34-6681-40EF-9635-DC121CAD1C4E}"/>
    <cellStyle name="Итог 2 4 4 5" xfId="21019" xr:uid="{BCCEBAD3-94E5-46F8-AD0D-22F19BF4C0D3}"/>
    <cellStyle name="Итог 2 4 4 6" xfId="34042" xr:uid="{E9E8977E-250B-4124-85BE-5BB9DEE4B265}"/>
    <cellStyle name="Итог 2 4 5" xfId="4205" xr:uid="{12358B11-BFB0-40DF-9985-03DD57273148}"/>
    <cellStyle name="Итог 2 4 5 2" xfId="9257" xr:uid="{9D92D455-C5AC-46AB-8FE6-AF9A437CFA10}"/>
    <cellStyle name="Итог 2 4 5 2 2" xfId="15506" xr:uid="{3CE2F1AE-A211-49DF-9733-722D85FA31E3}"/>
    <cellStyle name="Итог 2 4 5 2 2 2" xfId="31644" xr:uid="{CFD29DD1-3A6D-4DA3-923D-5FF3A9E78CF2}"/>
    <cellStyle name="Итог 2 4 5 2 2 3" xfId="45142" xr:uid="{2295BCEF-7369-4E4B-AC0D-C3C831432E19}"/>
    <cellStyle name="Итог 2 4 5 2 3" xfId="26732" xr:uid="{EEE15209-6DF1-4F0D-B9D5-9A7DA5241206}"/>
    <cellStyle name="Итог 2 4 5 2 4" xfId="39808" xr:uid="{47CC0BFE-BEA2-47CE-BC1C-B620C408101B}"/>
    <cellStyle name="Итог 2 4 5 3" xfId="7769" xr:uid="{A251189E-F902-4CF8-B71F-FF7BAC62DD8D}"/>
    <cellStyle name="Итог 2 4 5 3 2" xfId="12506" xr:uid="{6B58CAE8-62F4-4A68-8093-1F51DAD6C1B3}"/>
    <cellStyle name="Итог 2 4 5 3 2 2" xfId="29139" xr:uid="{68654A06-5A6B-4DE7-8E12-E4E63C65719C}"/>
    <cellStyle name="Итог 2 4 5 3 2 3" xfId="42393" xr:uid="{0F126F61-A419-415A-B81B-F145C932BF5D}"/>
    <cellStyle name="Итог 2 4 5 3 3" xfId="25291" xr:uid="{FBF74A36-B9CC-4FB8-A35F-3C23EB7F4B3E}"/>
    <cellStyle name="Итог 2 4 5 3 4" xfId="38367" xr:uid="{455C1076-8835-403A-9E79-D350BCD45D9D}"/>
    <cellStyle name="Итог 2 4 5 4" xfId="13212" xr:uid="{C484FB37-E7A3-40AF-9CA7-7FBBF8D0C3AB}"/>
    <cellStyle name="Итог 2 4 5 4 2" xfId="29713" xr:uid="{90434AC8-8EE3-4BB7-8FC0-8462B85D43D6}"/>
    <cellStyle name="Итог 2 4 5 4 3" xfId="43032" xr:uid="{BE05DC99-2866-45D2-88CD-CC078B4BB16A}"/>
    <cellStyle name="Итог 2 4 5 5" xfId="22032" xr:uid="{F271A14C-53D6-418C-84B8-32E58786A9F6}"/>
    <cellStyle name="Итог 2 4 5 6" xfId="35081" xr:uid="{DDF3CD4A-E340-452D-8A85-C661231697DA}"/>
    <cellStyle name="Итог 2 4 6" xfId="4490" xr:uid="{6CD5DF3B-CD16-46DB-B816-D30EBBBF2C27}"/>
    <cellStyle name="Итог 2 4 6 2" xfId="7130" xr:uid="{D06C7AE2-C876-419B-BACA-F8EADEB42459}"/>
    <cellStyle name="Итог 2 4 6 2 2" xfId="14739" xr:uid="{50E107BB-21D5-4CC5-9FB9-791B59517FFB}"/>
    <cellStyle name="Итог 2 4 6 2 2 2" xfId="31019" xr:uid="{C623FDFB-21DE-45BA-BF33-D95A13556AC6}"/>
    <cellStyle name="Итог 2 4 6 2 2 3" xfId="44444" xr:uid="{F1FAEBE0-C8C9-451F-B395-ECA11B381EC5}"/>
    <cellStyle name="Итог 2 4 6 2 3" xfId="24729" xr:uid="{05CEA642-D386-439E-A373-E4089D3DCB5B}"/>
    <cellStyle name="Итог 2 4 6 2 4" xfId="37810" xr:uid="{4FD5922E-1EAB-490C-903C-446E448558D8}"/>
    <cellStyle name="Итог 2 4 6 3" xfId="12003" xr:uid="{D5106AA5-C958-4389-A5DD-F5E7D8C85422}"/>
    <cellStyle name="Итог 2 4 6 3 2" xfId="28707" xr:uid="{A6556886-2132-4CB3-9D65-E2D234902023}"/>
    <cellStyle name="Итог 2 4 6 3 3" xfId="41925" xr:uid="{8A5A1011-E2B4-4C03-B6F0-C1635C1A9738}"/>
    <cellStyle name="Итог 2 4 6 4" xfId="22308" xr:uid="{6C2CAD70-BCA6-4548-9FD2-E0EC7C1D386E}"/>
    <cellStyle name="Итог 2 4 6 5" xfId="35357" xr:uid="{65F0ECF3-2B65-4D5B-AC36-C91E48CC8DF5}"/>
    <cellStyle name="Итог 2 4 7" xfId="5543" xr:uid="{FC40816A-3075-4631-BD7B-CBD04273D359}"/>
    <cellStyle name="Итог 2 4 7 2" xfId="8725" xr:uid="{DD6E0ECF-27D1-401A-829B-D8AD0840E19A}"/>
    <cellStyle name="Итог 2 4 7 2 2" xfId="12303" xr:uid="{AEC2D72C-7DCB-4883-AE1D-7417A3BBC782}"/>
    <cellStyle name="Итог 2 4 7 2 2 2" xfId="28975" xr:uid="{DFD6E9F0-CB10-480C-9390-F05723C26C56}"/>
    <cellStyle name="Итог 2 4 7 2 2 3" xfId="42212" xr:uid="{987ED210-24F5-4CB1-9FA3-92E19A08CEA3}"/>
    <cellStyle name="Итог 2 4 7 2 3" xfId="26218" xr:uid="{E688D6BF-961F-46C2-9E1A-1CE86BE7726D}"/>
    <cellStyle name="Итог 2 4 7 2 4" xfId="39294" xr:uid="{664408E0-3AEA-48C8-A8F7-883582B18300}"/>
    <cellStyle name="Итог 2 4 7 3" xfId="12372" xr:uid="{C8838A70-D9A4-4155-9BFB-B31000BD1CC1}"/>
    <cellStyle name="Итог 2 4 7 3 2" xfId="29038" xr:uid="{7F67DF41-7445-46C2-B844-C7F0024B6A6F}"/>
    <cellStyle name="Итог 2 4 7 3 3" xfId="42278" xr:uid="{15BCC9ED-29F7-4DE1-B3BD-16F62BE158F7}"/>
    <cellStyle name="Итог 2 4 7 4" xfId="23190" xr:uid="{169F0FDD-03CB-4AB6-801D-2B2E332283E1}"/>
    <cellStyle name="Итог 2 4 7 5" xfId="36271" xr:uid="{C1671C6C-17C7-462D-935E-22B496A7A67F}"/>
    <cellStyle name="Итог 2 4 8" xfId="12321" xr:uid="{BB8AEF9E-5465-4EDE-929F-C8AC2DDC0D47}"/>
    <cellStyle name="Итог 2 4 8 2" xfId="28989" xr:uid="{CCBBB810-AC2B-42C6-A05B-F214BDA22893}"/>
    <cellStyle name="Итог 2 4 8 3" xfId="42229" xr:uid="{AD5B410B-FD8A-49FD-A16D-D4CC4B1E555C}"/>
    <cellStyle name="Итог 2 4 9" xfId="21456" xr:uid="{74C02387-7D95-4BAD-A204-0569E400357C}"/>
    <cellStyle name="Итог 2 5" xfId="3485" xr:uid="{663314C9-CBAD-45FE-8264-50974A881FEF}"/>
    <cellStyle name="Итог 2 5 2" xfId="2827" xr:uid="{9E3E2EF5-2A1E-4140-A104-C97C8C8D9A22}"/>
    <cellStyle name="Итог 2 5 2 2" xfId="8123" xr:uid="{71E94805-5B5F-42B9-8603-2BEA3211AEB8}"/>
    <cellStyle name="Итог 2 5 2 2 2" xfId="10938" xr:uid="{591972FC-8E71-4393-B7A3-7A3D98116DBD}"/>
    <cellStyle name="Итог 2 5 2 2 2 2" xfId="27754" xr:uid="{CC05F49B-B2D5-45AA-B67A-5487688E3106}"/>
    <cellStyle name="Итог 2 5 2 2 2 3" xfId="40918" xr:uid="{A13374AB-14AF-4343-97C2-3BC17DE5CE5F}"/>
    <cellStyle name="Итог 2 5 2 2 3" xfId="25634" xr:uid="{2D0A0782-3738-40D1-837F-1DF7B9ACA9B1}"/>
    <cellStyle name="Итог 2 5 2 2 4" xfId="38710" xr:uid="{B105F47D-F9DE-44E3-84B3-37A5F80E52CE}"/>
    <cellStyle name="Итог 2 5 2 3" xfId="6490" xr:uid="{74F58403-689C-46BA-9AD4-611E09C1A6DC}"/>
    <cellStyle name="Итог 2 5 2 3 2" xfId="12116" xr:uid="{7DF51F84-B5A8-4C39-82E4-1381A8006942}"/>
    <cellStyle name="Итог 2 5 2 3 2 2" xfId="28816" xr:uid="{FAADB8D3-984E-4E66-ADA6-D08A6C45F560}"/>
    <cellStyle name="Итог 2 5 2 3 2 3" xfId="42036" xr:uid="{871076BF-71DA-45B7-82CD-C8BF71F4131B}"/>
    <cellStyle name="Итог 2 5 2 3 3" xfId="24125" xr:uid="{77A099C9-F1E3-4FEA-BC34-C22567C5C451}"/>
    <cellStyle name="Итог 2 5 2 3 4" xfId="37206" xr:uid="{47E1E0E0-B27A-40FC-A338-FB72B078C9ED}"/>
    <cellStyle name="Итог 2 5 2 4" xfId="14251" xr:uid="{B245EC26-8804-4DEF-8DE9-FEDC733052F3}"/>
    <cellStyle name="Итог 2 5 2 4 2" xfId="30595" xr:uid="{8C9712DF-9AC9-48B8-90CB-EB0466912A46}"/>
    <cellStyle name="Итог 2 5 2 4 3" xfId="43987" xr:uid="{7DF134D2-9C5E-4FE4-98E6-E1F6F92193A6}"/>
    <cellStyle name="Итог 2 5 2 5" xfId="20877" xr:uid="{CBAC2415-CB6D-4F06-A3E4-0843A080135D}"/>
    <cellStyle name="Итог 2 5 2 6" xfId="33900" xr:uid="{E1B142E4-EEEF-47A2-AFA7-5F9A3C7655D6}"/>
    <cellStyle name="Итог 2 5 3" xfId="4487" xr:uid="{65BF813E-2A51-4877-B223-7B44F5F6677E}"/>
    <cellStyle name="Итог 2 5 3 2" xfId="7127" xr:uid="{E5F37B60-7385-4214-8CE8-5C6B56859FED}"/>
    <cellStyle name="Итог 2 5 3 2 2" xfId="10618" xr:uid="{F3160BC1-AFB1-451A-AB21-E922579928DC}"/>
    <cellStyle name="Итог 2 5 3 2 2 2" xfId="27477" xr:uid="{0123876D-121F-4F4F-B017-8F9AF7C4A57E}"/>
    <cellStyle name="Итог 2 5 3 2 2 3" xfId="40599" xr:uid="{6DBCA63F-80AF-4859-964A-3093E2536867}"/>
    <cellStyle name="Итог 2 5 3 2 3" xfId="24726" xr:uid="{2CFFBF43-8B7B-4AFA-B952-4129B10BFA90}"/>
    <cellStyle name="Итог 2 5 3 2 4" xfId="37807" xr:uid="{F75243D4-A391-4E7C-A3F5-50798777DC21}"/>
    <cellStyle name="Итог 2 5 3 3" xfId="16605" xr:uid="{A3967CAC-0E29-45DD-A766-8861CB51D1C3}"/>
    <cellStyle name="Итог 2 5 3 3 2" xfId="32521" xr:uid="{38796D2C-025A-4E50-8EB9-3A3C37E2B4E1}"/>
    <cellStyle name="Итог 2 5 3 3 3" xfId="46152" xr:uid="{A03AF55E-D5BA-4A60-A908-D556EF97F107}"/>
    <cellStyle name="Итог 2 5 3 4" xfId="22305" xr:uid="{EEA25074-CFC0-4617-A03E-530425875638}"/>
    <cellStyle name="Итог 2 5 3 5" xfId="35354" xr:uid="{435E9081-CF3A-443E-B3AE-C6DB7B002F06}"/>
    <cellStyle name="Итог 2 5 4" xfId="5540" xr:uid="{3CD2067F-9E11-47D0-84FD-B2E0B57DE22A}"/>
    <cellStyle name="Итог 2 5 4 2" xfId="8722" xr:uid="{7CE87A47-A48B-4028-8ACC-70AED7B4B218}"/>
    <cellStyle name="Итог 2 5 4 2 2" xfId="11672" xr:uid="{EA935290-0B5B-4376-B23F-E97FB017850F}"/>
    <cellStyle name="Итог 2 5 4 2 2 2" xfId="28410" xr:uid="{493642E1-14A1-402D-B4F0-D7BDA1E3ACCF}"/>
    <cellStyle name="Итог 2 5 4 2 2 3" xfId="41615" xr:uid="{228F6F1C-014C-4A89-AA59-FA169988CDA8}"/>
    <cellStyle name="Итог 2 5 4 2 3" xfId="26215" xr:uid="{DCB6C3FE-E8E6-42EC-A36D-13D9792FE403}"/>
    <cellStyle name="Итог 2 5 4 2 4" xfId="39291" xr:uid="{D854E8CA-2DC1-46EF-8AC7-3C54E87CA02E}"/>
    <cellStyle name="Итог 2 5 4 3" xfId="14592" xr:uid="{8138C67C-A323-48E3-A272-EB59C9B3D017}"/>
    <cellStyle name="Итог 2 5 4 3 2" xfId="30892" xr:uid="{6EF766A4-435E-48B2-8535-F5A4E1F88600}"/>
    <cellStyle name="Итог 2 5 4 3 3" xfId="44311" xr:uid="{C9FBB88E-BC3F-40E4-96F9-1ECEA791C66C}"/>
    <cellStyle name="Итог 2 5 4 4" xfId="23187" xr:uid="{8A3429CC-E1F0-498A-8FB9-61A07558E29F}"/>
    <cellStyle name="Итог 2 5 4 5" xfId="36268" xr:uid="{65F9C30C-92C1-4AE9-A72F-0E4E6649F79B}"/>
    <cellStyle name="Итог 2 5 5" xfId="11372" xr:uid="{9D29E383-FE88-4943-9E34-701AE1220BF6}"/>
    <cellStyle name="Итог 2 5 5 2" xfId="28148" xr:uid="{F8C326AA-84F8-4F4E-AF91-FCBEE034FF46}"/>
    <cellStyle name="Итог 2 5 5 3" xfId="41337" xr:uid="{C1E8FFC7-8A84-491F-A8BC-9541D7FBBE49}"/>
    <cellStyle name="Итог 2 5 6" xfId="21453" xr:uid="{B47E80E6-7249-4B5A-A4A5-CC545D4682E5}"/>
    <cellStyle name="Итог 2 5 7" xfId="34501" xr:uid="{29C8E8B8-2C22-4230-BEDC-6E7237BC00E9}"/>
    <cellStyle name="Итог 2 6" xfId="3514" xr:uid="{F01AF009-A90E-4D69-B741-C0BD60B8C71B}"/>
    <cellStyle name="Итог 2 6 2" xfId="2855" xr:uid="{44ED607A-77E3-4D5F-9D55-36603FB26274}"/>
    <cellStyle name="Итог 2 6 2 2" xfId="8151" xr:uid="{BA394D5E-A12E-4E31-9988-A3E942F36BB1}"/>
    <cellStyle name="Итог 2 6 2 2 2" xfId="15237" xr:uid="{2E0A8870-2876-4A70-9352-55EB2390E60B}"/>
    <cellStyle name="Итог 2 6 2 2 2 2" xfId="31413" xr:uid="{E675442B-AED9-4938-883D-47231E26377D}"/>
    <cellStyle name="Итог 2 6 2 2 2 3" xfId="44888" xr:uid="{85DE35AB-6220-4263-BFA6-355570C88099}"/>
    <cellStyle name="Итог 2 6 2 2 3" xfId="25662" xr:uid="{2A2978D9-A629-40C1-8757-0C403ED64215}"/>
    <cellStyle name="Итог 2 6 2 2 4" xfId="38738" xr:uid="{6194733F-F165-44AA-B220-444CEE0A798B}"/>
    <cellStyle name="Итог 2 6 2 3" xfId="6518" xr:uid="{4C715170-ADB3-43F6-87B4-E8A444B01835}"/>
    <cellStyle name="Итог 2 6 2 3 2" xfId="14193" xr:uid="{528EBCA7-EB3A-416D-ADFD-EC4FD20E80EF}"/>
    <cellStyle name="Итог 2 6 2 3 2 2" xfId="30542" xr:uid="{06FD8E91-057F-4B7E-B7F2-2A4AE4298258}"/>
    <cellStyle name="Итог 2 6 2 3 2 3" xfId="43930" xr:uid="{D7ABF3B6-970C-4F57-8323-FD1429AF0530}"/>
    <cellStyle name="Итог 2 6 2 3 3" xfId="24153" xr:uid="{47FFA270-2BFB-44C9-9F7E-77FC94A9FEFE}"/>
    <cellStyle name="Итог 2 6 2 3 4" xfId="37234" xr:uid="{DEA849D4-5E17-4C87-88CD-73FC7C514AC6}"/>
    <cellStyle name="Итог 2 6 2 4" xfId="10972" xr:uid="{4D68E552-8253-4521-90A9-2548D5265B57}"/>
    <cellStyle name="Итог 2 6 2 4 2" xfId="27782" xr:uid="{B03EFBDF-2406-42DC-8F46-CE0E47194A99}"/>
    <cellStyle name="Итог 2 6 2 4 3" xfId="40952" xr:uid="{B2C46F0E-B284-4706-BB73-42E81A22713F}"/>
    <cellStyle name="Итог 2 6 2 5" xfId="20905" xr:uid="{1CA0A64D-4DC3-4F28-AA7E-48B04B57B792}"/>
    <cellStyle name="Итог 2 6 2 6" xfId="33928" xr:uid="{9C621AD3-C20E-4E3C-8C46-82C07D8B13A1}"/>
    <cellStyle name="Итог 2 6 3" xfId="4515" xr:uid="{5AE7A250-32FC-4CB5-B46A-A449946F6B51}"/>
    <cellStyle name="Итог 2 6 3 2" xfId="7156" xr:uid="{F65FD2D6-8DF6-4CC6-8281-6EBC4465CB7B}"/>
    <cellStyle name="Итог 2 6 3 2 2" xfId="16043" xr:uid="{81FF24B4-1745-4BA8-8D79-01E5D088CF96}"/>
    <cellStyle name="Итог 2 6 3 2 2 2" xfId="32107" xr:uid="{3AD25E37-0C1D-4958-8CEA-76C9ABF29624}"/>
    <cellStyle name="Итог 2 6 3 2 2 3" xfId="45626" xr:uid="{11672F29-986D-483A-B1F0-D818F1FDE3F8}"/>
    <cellStyle name="Итог 2 6 3 2 3" xfId="24754" xr:uid="{47121050-B4AE-45CB-9CF4-76CDBE35703F}"/>
    <cellStyle name="Итог 2 6 3 2 4" xfId="37835" xr:uid="{5F593C3D-488F-4AF1-BCC5-BF3D476444B3}"/>
    <cellStyle name="Итог 2 6 3 3" xfId="16731" xr:uid="{7ACDE14B-355A-429B-9FF7-1FFC07E4DB52}"/>
    <cellStyle name="Итог 2 6 3 3 2" xfId="32614" xr:uid="{4C2EF3E3-CDD6-4257-B25E-5E262D595B3B}"/>
    <cellStyle name="Итог 2 6 3 3 3" xfId="46274" xr:uid="{9667A95E-5FFF-4E18-8EA3-F1F463F2A6A7}"/>
    <cellStyle name="Итог 2 6 3 4" xfId="22333" xr:uid="{5CAB6DFA-B44C-4203-A6CB-17371EB42EDD}"/>
    <cellStyle name="Итог 2 6 3 5" xfId="35382" xr:uid="{EBA3B637-BE90-4B12-9C4F-6FC63F081FCF}"/>
    <cellStyle name="Итог 2 6 4" xfId="5568" xr:uid="{1AF26491-7286-4DCF-BE29-CE374D5BA799}"/>
    <cellStyle name="Итог 2 6 4 2" xfId="8750" xr:uid="{3E037E4B-567D-496B-BC9F-1AB85B52B14D}"/>
    <cellStyle name="Итог 2 6 4 2 2" xfId="15926" xr:uid="{0ADCDC6A-536B-45C5-AA3A-7EED2D7B6FA0}"/>
    <cellStyle name="Итог 2 6 4 2 2 2" xfId="32007" xr:uid="{33E4F498-FD82-49E3-A727-976ADEF2E3EE}"/>
    <cellStyle name="Итог 2 6 4 2 2 3" xfId="45523" xr:uid="{5BC47940-43C9-4A32-A9DC-D7A16DB43848}"/>
    <cellStyle name="Итог 2 6 4 2 3" xfId="26243" xr:uid="{F4F083D3-1BFC-4A0E-B586-3E40EA115D2C}"/>
    <cellStyle name="Итог 2 6 4 2 4" xfId="39319" xr:uid="{025A89AF-5906-496B-A454-3B8F71A1FFE0}"/>
    <cellStyle name="Итог 2 6 4 3" xfId="13037" xr:uid="{B723FBA0-C2E6-4747-A300-95FBC562C710}"/>
    <cellStyle name="Итог 2 6 4 3 2" xfId="29565" xr:uid="{A3456846-2208-40C6-9544-6BE2DC9C7D44}"/>
    <cellStyle name="Итог 2 6 4 3 3" xfId="42868" xr:uid="{7A77C015-1D26-4C4F-81F9-79686840F707}"/>
    <cellStyle name="Итог 2 6 4 4" xfId="23215" xr:uid="{2B0F4AA3-DF86-4D18-8D21-45BD9C8FE14D}"/>
    <cellStyle name="Итог 2 6 4 5" xfId="36296" xr:uid="{32A6887B-9445-4834-84C3-BCE66C83C935}"/>
    <cellStyle name="Итог 2 6 5" xfId="11803" xr:uid="{CC430C9D-8180-4825-9A00-7246B0A018CF}"/>
    <cellStyle name="Итог 2 6 5 2" xfId="28524" xr:uid="{64FE790A-C4D5-4025-86BC-243ABC45A874}"/>
    <cellStyle name="Итог 2 6 5 3" xfId="41736" xr:uid="{931903FD-BBC1-4628-98AC-C7ACDF08CD37}"/>
    <cellStyle name="Итог 2 6 6" xfId="21477" xr:uid="{2BB38901-1964-4D49-A479-71714A957FBD}"/>
    <cellStyle name="Итог 2 6 7" xfId="34529" xr:uid="{4B2022F9-EA99-43AA-968E-8DCA6778EE8E}"/>
    <cellStyle name="Итог 2 7" xfId="3491" xr:uid="{F5C8CA82-6EA5-411B-B985-008696F15629}"/>
    <cellStyle name="Итог 2 7 2" xfId="2833" xr:uid="{585568BF-2FF0-465F-82D9-B37A5F72814A}"/>
    <cellStyle name="Итог 2 7 2 2" xfId="8129" xr:uid="{77A6EF74-B12E-484A-9241-9592CD890C1B}"/>
    <cellStyle name="Итог 2 7 2 2 2" xfId="12202" xr:uid="{C77AF35A-3A6A-4BD2-9D89-6EA5629DFEFA}"/>
    <cellStyle name="Итог 2 7 2 2 2 2" xfId="28892" xr:uid="{74DE60C0-D542-41EA-A79C-9025CCD300F6}"/>
    <cellStyle name="Итог 2 7 2 2 2 3" xfId="42120" xr:uid="{3754B2EA-E45D-4F5D-8F3C-8AD385EFEEF7}"/>
    <cellStyle name="Итог 2 7 2 2 3" xfId="25640" xr:uid="{C8D3D1EF-296D-46F2-BEE5-6D0D60606A76}"/>
    <cellStyle name="Итог 2 7 2 2 4" xfId="38716" xr:uid="{781F6236-6B37-4BA4-A60D-30B95B33960D}"/>
    <cellStyle name="Итог 2 7 2 3" xfId="6496" xr:uid="{8A9028D5-A436-4347-A2BB-1790365A443F}"/>
    <cellStyle name="Итог 2 7 2 3 2" xfId="15916" xr:uid="{93A9AE38-7187-4EBC-BD7C-9A59E7189861}"/>
    <cellStyle name="Итог 2 7 2 3 2 2" xfId="31998" xr:uid="{93083031-E25A-4C3D-B875-E0F5D80D043A}"/>
    <cellStyle name="Итог 2 7 2 3 2 3" xfId="45514" xr:uid="{596534CB-FE94-4CF1-AB87-06D172FD843C}"/>
    <cellStyle name="Итог 2 7 2 3 3" xfId="24131" xr:uid="{1CD383AD-36D9-4660-B761-2BCFA02942B5}"/>
    <cellStyle name="Итог 2 7 2 3 4" xfId="37212" xr:uid="{39A670FD-AF07-49E4-B23A-1F63BE223B49}"/>
    <cellStyle name="Итог 2 7 2 4" xfId="15842" xr:uid="{B31448B5-AF47-4CDD-B981-497536D1E763}"/>
    <cellStyle name="Итог 2 7 2 4 2" xfId="31935" xr:uid="{BFE545AF-8DF2-4D64-B363-035FB0E21326}"/>
    <cellStyle name="Итог 2 7 2 4 3" xfId="45447" xr:uid="{22379520-15AE-4C8E-82ED-53C18ADE38E9}"/>
    <cellStyle name="Итог 2 7 2 5" xfId="20883" xr:uid="{C45F9D83-1431-4C9B-9B22-FDC18534B66E}"/>
    <cellStyle name="Итог 2 7 2 6" xfId="33906" xr:uid="{E4EE930F-96D9-4F6D-AFDB-B4CE886441CD}"/>
    <cellStyle name="Итог 2 7 3" xfId="4493" xr:uid="{6DED30AC-587E-4D56-A904-4CDEFC5183FC}"/>
    <cellStyle name="Итог 2 7 3 2" xfId="7133" xr:uid="{CFF03A08-86CD-4774-8EE2-17073135D275}"/>
    <cellStyle name="Итог 2 7 3 2 2" xfId="15308" xr:uid="{D070B200-5528-4D68-9F21-3A50A35C05CB}"/>
    <cellStyle name="Итог 2 7 3 2 2 2" xfId="31473" xr:uid="{636F67DE-0B16-4036-B841-F59FC897A474}"/>
    <cellStyle name="Итог 2 7 3 2 2 3" xfId="44954" xr:uid="{89C93A82-91B5-41A1-A0B8-EB3609AD5C32}"/>
    <cellStyle name="Итог 2 7 3 2 3" xfId="24732" xr:uid="{EFAA2B87-F472-4A3D-B6EB-9D4FD1B7D8E1}"/>
    <cellStyle name="Итог 2 7 3 2 4" xfId="37813" xr:uid="{0EA6CDFD-9545-45C1-AEEE-E5D2C6F4FBF6}"/>
    <cellStyle name="Итог 2 7 3 3" xfId="11094" xr:uid="{F9BB32FF-407C-4EEA-8549-E96C03E769E6}"/>
    <cellStyle name="Итог 2 7 3 3 2" xfId="27895" xr:uid="{7BB04457-7D12-4DB7-A192-A9EED9C55447}"/>
    <cellStyle name="Итог 2 7 3 3 3" xfId="41073" xr:uid="{1ACCCC88-0F23-4A08-859B-F4C7D899BEB3}"/>
    <cellStyle name="Итог 2 7 3 4" xfId="22311" xr:uid="{07EA8BD2-4437-4BC1-861A-F90694A3BDAD}"/>
    <cellStyle name="Итог 2 7 3 5" xfId="35360" xr:uid="{DBA84F51-E806-4EFA-8EAF-8A4087E045BC}"/>
    <cellStyle name="Итог 2 7 4" xfId="5546" xr:uid="{72B85D1A-B34A-4039-A796-7D6326D7DC29}"/>
    <cellStyle name="Итог 2 7 4 2" xfId="8728" xr:uid="{821183DC-1FE6-4DC8-8DD0-1696DC77F85C}"/>
    <cellStyle name="Итог 2 7 4 2 2" xfId="12598" xr:uid="{0907187A-4799-4975-B0CD-9B05CA981129}"/>
    <cellStyle name="Итог 2 7 4 2 2 2" xfId="29213" xr:uid="{2E1B680C-E1E6-4E2C-BA0E-620A4D8CAE5E}"/>
    <cellStyle name="Итог 2 7 4 2 2 3" xfId="42477" xr:uid="{FB42469A-7905-46F4-8326-2012B71DDF5C}"/>
    <cellStyle name="Итог 2 7 4 2 3" xfId="26221" xr:uid="{F21A48A1-8338-4303-820A-388BCF3D8449}"/>
    <cellStyle name="Итог 2 7 4 2 4" xfId="39297" xr:uid="{238E3690-6EFD-4D07-AA18-EB072445E439}"/>
    <cellStyle name="Итог 2 7 4 3" xfId="12155" xr:uid="{561D91E6-B0EC-4253-AD16-5DF0BD27E7C5}"/>
    <cellStyle name="Итог 2 7 4 3 2" xfId="28854" xr:uid="{88096C7E-D160-46D4-9CBD-6A794C71068A}"/>
    <cellStyle name="Итог 2 7 4 3 3" xfId="42075" xr:uid="{6B1DB3DD-F2E1-4578-948B-E29C59014169}"/>
    <cellStyle name="Итог 2 7 4 4" xfId="23193" xr:uid="{941E4604-F143-455A-A400-5215306B6D48}"/>
    <cellStyle name="Итог 2 7 4 5" xfId="36274" xr:uid="{BE52269C-009F-40D2-A9E1-1A09F87A24F0}"/>
    <cellStyle name="Итог 2 7 5" xfId="14846" xr:uid="{51AF7C1E-6D73-48AD-A69C-2C48CA4B3881}"/>
    <cellStyle name="Итог 2 7 5 2" xfId="31103" xr:uid="{81416FF7-9619-45CB-9295-7CAFEB4F9DF2}"/>
    <cellStyle name="Итог 2 7 5 3" xfId="44541" xr:uid="{B642C7E7-DDA2-4A9A-B60D-22EF088328E6}"/>
    <cellStyle name="Итог 2 7 6" xfId="21459" xr:uid="{8CAAC480-A981-4E4A-8ECC-4E2FE788A785}"/>
    <cellStyle name="Итог 2 7 7" xfId="34507" xr:uid="{85447A75-C802-4D3B-A91F-3BE3F0DCB7A7}"/>
    <cellStyle name="Итог 2 8" xfId="3303" xr:uid="{B942CC19-F451-48B6-B2F6-D18F3665CD67}"/>
    <cellStyle name="Итог 2 8 2" xfId="2665" xr:uid="{9F3F88A1-5CAB-452E-B145-6A010A010630}"/>
    <cellStyle name="Итог 2 8 2 2" xfId="7961" xr:uid="{E8A67846-9525-47FE-9B62-21FFF7EAECE4}"/>
    <cellStyle name="Итог 2 8 2 2 2" xfId="17482" xr:uid="{A291E1CE-1A36-4BBB-B2A2-CD068C447222}"/>
    <cellStyle name="Итог 2 8 2 2 2 2" xfId="33225" xr:uid="{855A8CA3-3C0A-40C9-BA66-51AA4D30D29D}"/>
    <cellStyle name="Итог 2 8 2 2 2 3" xfId="47011" xr:uid="{A3A2C076-3F4E-444C-8D2F-F117F72274E4}"/>
    <cellStyle name="Итог 2 8 2 2 3" xfId="25477" xr:uid="{BF0064C2-0DBB-4717-9185-535D8C2F3C7D}"/>
    <cellStyle name="Итог 2 8 2 2 4" xfId="38553" xr:uid="{B0C146B1-F7ED-41F7-9DAB-1024A3A616BE}"/>
    <cellStyle name="Итог 2 8 2 3" xfId="6328" xr:uid="{3F79C64E-DA1A-4EC6-B808-DEC47855930F}"/>
    <cellStyle name="Итог 2 8 2 3 2" xfId="17081" xr:uid="{78F7A11D-B1AC-41F4-8EE1-5C90D55ECB0A}"/>
    <cellStyle name="Итог 2 8 2 3 2 2" xfId="32851" xr:uid="{89294584-F735-4BBF-9909-DEFF9BCB3B2B}"/>
    <cellStyle name="Итог 2 8 2 3 2 3" xfId="46621" xr:uid="{597AB66A-3C0B-4A0A-8E58-FC388395D49E}"/>
    <cellStyle name="Итог 2 8 2 3 3" xfId="23968" xr:uid="{B61D1D4B-F700-4B46-8468-BB3F2BC71CA0}"/>
    <cellStyle name="Итог 2 8 2 3 4" xfId="37049" xr:uid="{52B7A9A7-0B4B-4411-9CFD-8FF993EC232A}"/>
    <cellStyle name="Итог 2 8 2 4" xfId="17226" xr:uid="{9D9FAE35-7891-42E7-8818-A9AF9892366F}"/>
    <cellStyle name="Итог 2 8 2 4 2" xfId="32985" xr:uid="{E9B0C222-4586-421F-A84D-BDD4B8A3A7FD}"/>
    <cellStyle name="Итог 2 8 2 4 3" xfId="46760" xr:uid="{8A7F3971-C918-4535-BC9E-4A2F2E255092}"/>
    <cellStyle name="Итог 2 8 2 5" xfId="20720" xr:uid="{7ED5D15E-FF74-43A0-AF34-EEB197E1F4BD}"/>
    <cellStyle name="Итог 2 8 2 6" xfId="33743" xr:uid="{A3B3226A-2AE3-4FAA-8D2E-38599CB588DE}"/>
    <cellStyle name="Итог 2 8 3" xfId="4334" xr:uid="{B2A99EE4-5127-41EC-92EF-381A624B6526}"/>
    <cellStyle name="Итог 2 8 3 2" xfId="6953" xr:uid="{76764E5E-FBD5-41CF-8B50-B32E76ABB1B1}"/>
    <cellStyle name="Итог 2 8 3 2 2" xfId="11704" xr:uid="{FB2FB553-D527-40A2-A396-D61D87E5FB70}"/>
    <cellStyle name="Итог 2 8 3 2 2 2" xfId="28436" xr:uid="{CA03D92A-F0F4-4B2A-AD9D-2629907143E3}"/>
    <cellStyle name="Итог 2 8 3 2 2 3" xfId="41646" xr:uid="{3B64A15E-C1EB-4253-9F19-A8099D93DB18}"/>
    <cellStyle name="Итог 2 8 3 2 3" xfId="24575" xr:uid="{2B30FD64-E9EE-42B1-AF94-2D1486F67B25}"/>
    <cellStyle name="Итог 2 8 3 2 4" xfId="37656" xr:uid="{A825C86F-E7FF-4D91-950A-1412225B6E9E}"/>
    <cellStyle name="Итог 2 8 3 3" xfId="11963" xr:uid="{5621B293-5AF1-46B4-98EF-6D070B1DDB73}"/>
    <cellStyle name="Итог 2 8 3 3 2" xfId="28672" xr:uid="{2242AFFE-68AB-424A-96CD-EA176AF070EE}"/>
    <cellStyle name="Итог 2 8 3 3 3" xfId="41890" xr:uid="{BC5F67C2-9D27-4C1A-81B6-AE1C7A9A3B3E}"/>
    <cellStyle name="Итог 2 8 3 4" xfId="22154" xr:uid="{E5B9B734-3A2F-472B-A698-FB56491C55FB}"/>
    <cellStyle name="Итог 2 8 3 5" xfId="35203" xr:uid="{646E79FE-3FC0-43F7-B73B-C51C6C15B4CD}"/>
    <cellStyle name="Итог 2 8 4" xfId="5389" xr:uid="{45030EFF-8C44-4AED-9D1A-2B4A48EAFDA8}"/>
    <cellStyle name="Итог 2 8 4 2" xfId="8566" xr:uid="{D7DB6B61-28F7-477F-A50B-FD22C3FAC429}"/>
    <cellStyle name="Итог 2 8 4 2 2" xfId="13173" xr:uid="{0793B32B-94E5-43A6-A7F0-ECD73EDA21DF}"/>
    <cellStyle name="Итог 2 8 4 2 2 2" xfId="29683" xr:uid="{C7B3A77F-BBD9-47ED-B2BF-DEC893C0DBA2}"/>
    <cellStyle name="Итог 2 8 4 2 2 3" xfId="42997" xr:uid="{99BD5171-6208-48BA-88CC-622C4F026A7C}"/>
    <cellStyle name="Итог 2 8 4 2 3" xfId="26064" xr:uid="{EBEEB4CD-DB19-4AA7-8360-FB3A56A0238B}"/>
    <cellStyle name="Итог 2 8 4 2 4" xfId="39140" xr:uid="{3BE73F5C-4D7E-4EF8-A871-07CBA3569418}"/>
    <cellStyle name="Итог 2 8 4 3" xfId="17138" xr:uid="{705512FB-EE73-4FA3-B459-ADAB4F140031}"/>
    <cellStyle name="Итог 2 8 4 3 2" xfId="32901" xr:uid="{F007CAC6-CDBA-4BA7-8EB7-203FFF771C45}"/>
    <cellStyle name="Итог 2 8 4 3 3" xfId="46673" xr:uid="{58D1CF60-67A2-4B25-AF1D-4B4161068970}"/>
    <cellStyle name="Итог 2 8 4 4" xfId="23036" xr:uid="{A93226FD-2DCD-44ED-B14F-E70FF29A1128}"/>
    <cellStyle name="Итог 2 8 4 5" xfId="36117" xr:uid="{D6BC81EC-514C-4274-B5E6-B9C06D8F3FF0}"/>
    <cellStyle name="Итог 2 8 5" xfId="13465" xr:uid="{76A43399-4767-4EF4-8728-7A5B40E6B4F2}"/>
    <cellStyle name="Итог 2 8 5 2" xfId="29928" xr:uid="{40B61CAF-4A26-4A67-A44C-A45B2B0B522F}"/>
    <cellStyle name="Итог 2 8 5 3" xfId="43267" xr:uid="{7A9353FB-80BD-43B0-8903-7D705030737E}"/>
    <cellStyle name="Итог 2 8 6" xfId="21327" xr:uid="{69AB73EC-59AD-4497-8DBF-4FED02F2E20B}"/>
    <cellStyle name="Итог 2 8 7" xfId="34350" xr:uid="{BBB78966-1080-47FD-8350-FFB3A1676042}"/>
    <cellStyle name="Итог 2 9" xfId="3562" xr:uid="{8E777D0C-5705-48FB-BB43-E2F354F0871D}"/>
    <cellStyle name="Итог 2 9 2" xfId="2902" xr:uid="{0099053E-9700-4155-9484-326528A9D40C}"/>
    <cellStyle name="Итог 2 9 2 2" xfId="8198" xr:uid="{74DF70BB-7AEA-4E6A-B715-149D5E69020F}"/>
    <cellStyle name="Итог 2 9 2 2 2" xfId="14364" xr:uid="{98157309-B1EB-4F9E-83FF-A06864B7C584}"/>
    <cellStyle name="Итог 2 9 2 2 2 2" xfId="30697" xr:uid="{2B32D650-14EC-4A69-AAB9-0B4DB6E3F66C}"/>
    <cellStyle name="Итог 2 9 2 2 2 3" xfId="44094" xr:uid="{E8F47707-2F2B-496E-B670-0EDA96899A0D}"/>
    <cellStyle name="Итог 2 9 2 2 3" xfId="25709" xr:uid="{6F4A0CC1-0EB9-4524-9D1A-0BB0DA8857C9}"/>
    <cellStyle name="Итог 2 9 2 2 4" xfId="38785" xr:uid="{65CBA994-B201-4F69-B383-D8766FC842E4}"/>
    <cellStyle name="Итог 2 9 2 3" xfId="6565" xr:uid="{555EBB37-1F09-463F-91F7-03989F5DAF2C}"/>
    <cellStyle name="Итог 2 9 2 3 2" xfId="16640" xr:uid="{F07F9823-9099-4A6F-90F3-42A6F6C168C1}"/>
    <cellStyle name="Итог 2 9 2 3 2 2" xfId="32546" xr:uid="{412D2450-B26B-41FE-A401-F5A1B9E29AAB}"/>
    <cellStyle name="Итог 2 9 2 3 2 3" xfId="46187" xr:uid="{479DF1D4-2B47-46C4-B3A8-8F93B7A911C6}"/>
    <cellStyle name="Итог 2 9 2 3 3" xfId="24200" xr:uid="{A4181D59-2430-49B9-8E8D-E48F0D0C22BF}"/>
    <cellStyle name="Итог 2 9 2 3 4" xfId="37281" xr:uid="{2731A1B2-4C26-459F-98F0-E7DB193D3F4C}"/>
    <cellStyle name="Итог 2 9 2 4" xfId="17469" xr:uid="{D481EAC8-5D9B-4429-A80B-D47114781C7A}"/>
    <cellStyle name="Итог 2 9 2 4 2" xfId="33212" xr:uid="{360E4415-6B4C-49B9-9482-8C1D1F24EA12}"/>
    <cellStyle name="Итог 2 9 2 4 3" xfId="46998" xr:uid="{92E54352-128E-4F17-8066-1FD19C3677CC}"/>
    <cellStyle name="Итог 2 9 2 5" xfId="20952" xr:uid="{82AF4B46-5FAE-4449-8BFD-E52B229891A0}"/>
    <cellStyle name="Итог 2 9 2 6" xfId="33975" xr:uid="{AA8AB109-1413-4FA3-BE01-453047EC8F38}"/>
    <cellStyle name="Итог 2 9 3" xfId="4558" xr:uid="{921CBD0C-2ADE-4E68-B33B-74D82A790A44}"/>
    <cellStyle name="Итог 2 9 3 2" xfId="7204" xr:uid="{6A27029B-B97A-438B-A205-701BFF0DEAB6}"/>
    <cellStyle name="Итог 2 9 3 2 2" xfId="13494" xr:uid="{81C084D0-8421-49DF-918A-D5D07CACB727}"/>
    <cellStyle name="Итог 2 9 3 2 2 2" xfId="29954" xr:uid="{3A740244-092A-4D09-9F5E-CDACF155DB2A}"/>
    <cellStyle name="Итог 2 9 3 2 2 3" xfId="43294" xr:uid="{C84C6A81-9628-4D36-A781-D404C4106077}"/>
    <cellStyle name="Итог 2 9 3 2 3" xfId="24798" xr:uid="{1F0AB1B7-DC6B-4720-81BB-33B03D8F412B}"/>
    <cellStyle name="Итог 2 9 3 2 4" xfId="37879" xr:uid="{7CA58F02-0EB1-41C5-B94C-3D7AD3710F22}"/>
    <cellStyle name="Итог 2 9 3 3" xfId="16094" xr:uid="{6794A9ED-6F92-4B6C-81F1-14F1D85BFD4F}"/>
    <cellStyle name="Итог 2 9 3 3 2" xfId="32152" xr:uid="{65AE35E6-CC1C-422C-A2E9-F2C201CCCAF8}"/>
    <cellStyle name="Итог 2 9 3 3 3" xfId="45673" xr:uid="{93E32BA5-CD06-442A-90FB-312C9D8E7D61}"/>
    <cellStyle name="Итог 2 9 3 4" xfId="22374" xr:uid="{DCFE4EC6-0E02-4F85-B3BC-02996FF4C0F5}"/>
    <cellStyle name="Итог 2 9 3 5" xfId="35423" xr:uid="{77B1A88D-A45F-47B7-91BD-5C00CEE112ED}"/>
    <cellStyle name="Итог 2 9 4" xfId="5612" xr:uid="{A88159F8-60C4-4A5F-B1D4-E68A7AE3F622}"/>
    <cellStyle name="Итог 2 9 4 2" xfId="8794" xr:uid="{831A7FCF-A655-47DA-80F5-EAFB9396B238}"/>
    <cellStyle name="Итог 2 9 4 2 2" xfId="15604" xr:uid="{BB34FA76-ED07-49A5-8311-7554663B1BC8}"/>
    <cellStyle name="Итог 2 9 4 2 2 2" xfId="31728" xr:uid="{6FA4715C-A274-4909-9E32-71DF79B71727}"/>
    <cellStyle name="Итог 2 9 4 2 2 3" xfId="45231" xr:uid="{4A38C837-8BD1-4279-A7A1-17EAB3A2FCA5}"/>
    <cellStyle name="Итог 2 9 4 2 3" xfId="26287" xr:uid="{C1E9F621-6CF6-4352-ADFC-7E12F25C8320}"/>
    <cellStyle name="Итог 2 9 4 2 4" xfId="39363" xr:uid="{29780CC6-4B32-4161-8C7E-6E957659AAA9}"/>
    <cellStyle name="Итог 2 9 4 3" xfId="13922" xr:uid="{4F0BCC03-A434-49C8-8DB5-4F72F11E4211}"/>
    <cellStyle name="Итог 2 9 4 3 2" xfId="30313" xr:uid="{23A21D4B-9F59-4DB0-B6F1-B02448A36D4C}"/>
    <cellStyle name="Итог 2 9 4 3 3" xfId="43687" xr:uid="{A9E29BF4-621D-4B82-B3EE-48763AEB9258}"/>
    <cellStyle name="Итог 2 9 4 4" xfId="23259" xr:uid="{713995C9-3E01-46AE-B417-BFCAC1D23E0B}"/>
    <cellStyle name="Итог 2 9 4 5" xfId="36340" xr:uid="{F24641C3-59CE-43CA-826A-1118DA53577F}"/>
    <cellStyle name="Итог 2 9 5" xfId="15603" xr:uid="{4716FB0B-35B2-4974-92F0-03B809365F62}"/>
    <cellStyle name="Итог 2 9 5 2" xfId="31727" xr:uid="{5F0E0BB9-3B41-4129-9928-F321C29056C9}"/>
    <cellStyle name="Итог 2 9 5 3" xfId="45230" xr:uid="{60D887D4-763D-4720-8353-D9B175E34CDA}"/>
    <cellStyle name="Итог 2 9 6" xfId="21521" xr:uid="{A8551223-717A-48CC-92DF-12DF96F0FC17}"/>
    <cellStyle name="Итог 2 9 7" xfId="34573" xr:uid="{DDC92A24-DAE1-441A-BBC4-E202861EA09E}"/>
    <cellStyle name="Итог 3" xfId="2338" xr:uid="{2E357241-DE46-4D74-9952-D6D59C23B723}"/>
    <cellStyle name="Итог 3 10" xfId="3743" xr:uid="{0ABF2DA9-93AA-4504-AAA6-DB4E99F8EBD6}"/>
    <cellStyle name="Итог 3 10 2" xfId="3057" xr:uid="{5A45ACAB-9C8F-410E-B2B0-BC4AB52F59CD}"/>
    <cellStyle name="Итог 3 10 2 2" xfId="8353" xr:uid="{F255009B-FDA2-41EE-A122-DA9E0604AD00}"/>
    <cellStyle name="Итог 3 10 2 2 2" xfId="14842" xr:uid="{7860ADF2-1B49-4B79-B26E-2F3E21078B33}"/>
    <cellStyle name="Итог 3 10 2 2 2 2" xfId="31099" xr:uid="{2CBAA569-E4F0-4D48-9486-899F9379748C}"/>
    <cellStyle name="Итог 3 10 2 2 2 3" xfId="44537" xr:uid="{ED927F4D-75A1-4DFE-B650-BCD6CB1EF6C7}"/>
    <cellStyle name="Итог 3 10 2 2 3" xfId="25857" xr:uid="{2B9F5EA3-273E-4622-9A67-3D47C3BDB1F4}"/>
    <cellStyle name="Итог 3 10 2 2 4" xfId="38933" xr:uid="{6E35AB83-6F6C-48AD-B1DA-9CE1DED9349B}"/>
    <cellStyle name="Итог 3 10 2 3" xfId="6720" xr:uid="{81592131-3C97-44F9-BCD1-2FF5B2716840}"/>
    <cellStyle name="Итог 3 10 2 3 2" xfId="12087" xr:uid="{D1F27D14-187F-4295-9B26-E3AFF8B866F3}"/>
    <cellStyle name="Итог 3 10 2 3 2 2" xfId="28787" xr:uid="{964690BD-2918-4C52-B240-817A1257C989}"/>
    <cellStyle name="Итог 3 10 2 3 2 3" xfId="42007" xr:uid="{97A15A7C-EC28-4FBE-B6EC-95F3A86E24E9}"/>
    <cellStyle name="Итог 3 10 2 3 3" xfId="24348" xr:uid="{7E7C0748-A465-4C0D-B243-39674FC8E40C}"/>
    <cellStyle name="Итог 3 10 2 3 4" xfId="37429" xr:uid="{E218FB5A-CD2F-4E17-AD44-9346412BCC45}"/>
    <cellStyle name="Итог 3 10 2 4" xfId="11327" xr:uid="{FE8AA071-EC9C-48B1-BD8A-D7071EB6642D}"/>
    <cellStyle name="Итог 3 10 2 4 2" xfId="28106" xr:uid="{3C2F8A64-75F0-4BE2-95CD-5551BE8DE7B8}"/>
    <cellStyle name="Итог 3 10 2 4 3" xfId="41294" xr:uid="{5B3E2BBB-80B2-4EDA-9DCB-63467D29D878}"/>
    <cellStyle name="Итог 3 10 2 5" xfId="21100" xr:uid="{D4E425CB-A87B-4C15-8E69-5F2657598716}"/>
    <cellStyle name="Итог 3 10 2 6" xfId="34123" xr:uid="{094369BB-C1C8-4CF8-9F26-7EDCCC66152B}"/>
    <cellStyle name="Итог 3 10 3" xfId="4634" xr:uid="{29CB820B-697B-4583-BC7C-DABD8D5F0204}"/>
    <cellStyle name="Итог 3 10 3 2" xfId="7378" xr:uid="{AF9C9CB0-BCF3-4246-B2A0-A231791ACB3C}"/>
    <cellStyle name="Итог 3 10 3 2 2" xfId="11742" xr:uid="{4366E220-1D8F-4EFD-9B2C-93A5EAE14FF0}"/>
    <cellStyle name="Итог 3 10 3 2 2 2" xfId="28469" xr:uid="{511FE172-DFC7-4831-9D77-756D5E813D92}"/>
    <cellStyle name="Итог 3 10 3 2 2 3" xfId="41680" xr:uid="{7987B053-1531-4AE1-B3B3-03937D987B66}"/>
    <cellStyle name="Итог 3 10 3 2 3" xfId="24937" xr:uid="{CCD8A9D8-B14A-426C-9B24-D72B75A627EA}"/>
    <cellStyle name="Итог 3 10 3 2 4" xfId="38015" xr:uid="{45ABD96D-406B-458C-BBC6-0FCE428C415B}"/>
    <cellStyle name="Итог 3 10 3 3" xfId="11396" xr:uid="{24AFA932-3C47-47D8-A3F9-10D240044298}"/>
    <cellStyle name="Итог 3 10 3 3 2" xfId="28168" xr:uid="{F70D065B-B1C3-4F76-B881-F5F5D5963A43}"/>
    <cellStyle name="Итог 3 10 3 3 3" xfId="41358" xr:uid="{484C01C6-7867-4D77-8A9A-6EF9B6FEF509}"/>
    <cellStyle name="Итог 3 10 3 4" xfId="22444" xr:uid="{EB59ACEF-5969-48EA-89F7-BD9D227623B9}"/>
    <cellStyle name="Итог 3 10 3 5" xfId="35497" xr:uid="{F03FF30D-3671-4121-8CC4-5874BD4C4571}"/>
    <cellStyle name="Итог 3 10 4" xfId="5748" xr:uid="{BF2EF37E-AAC3-4DB7-B932-27F1EF475B43}"/>
    <cellStyle name="Итог 3 10 4 2" xfId="8937" xr:uid="{B3D3DF63-5681-478F-A2BF-11EB199BBCFB}"/>
    <cellStyle name="Итог 3 10 4 2 2" xfId="14941" xr:uid="{E26791AF-87F6-42C9-AFA1-D0B5DBF0C507}"/>
    <cellStyle name="Итог 3 10 4 2 2 2" xfId="31181" xr:uid="{460CBFD2-07B8-46F5-9834-938BA74E6293}"/>
    <cellStyle name="Итог 3 10 4 2 2 3" xfId="44628" xr:uid="{9160AFCD-74A4-4C0A-83C0-45D5D95A61A1}"/>
    <cellStyle name="Итог 3 10 4 2 3" xfId="26423" xr:uid="{95D3A896-0129-412E-B3D1-014F57946DE0}"/>
    <cellStyle name="Итог 3 10 4 2 4" xfId="39499" xr:uid="{19461C5B-4EF4-4346-85A2-BB443143A778}"/>
    <cellStyle name="Итог 3 10 4 3" xfId="12923" xr:uid="{9EC4637C-0AD1-4EAF-9292-6E597B4D3E25}"/>
    <cellStyle name="Итог 3 10 4 3 2" xfId="29468" xr:uid="{D4D8A771-6CEF-459E-8BAC-1A176C8A771D}"/>
    <cellStyle name="Итог 3 10 4 3 3" xfId="42764" xr:uid="{8D6BF9E3-F666-4B7F-87C0-37370738F2EC}"/>
    <cellStyle name="Итог 3 10 4 4" xfId="23395" xr:uid="{632F6067-7DAF-4BA4-98CA-A5DC3F3AEAC9}"/>
    <cellStyle name="Итог 3 10 4 5" xfId="36476" xr:uid="{E24EA334-A296-4043-93FE-005953D008AC}"/>
    <cellStyle name="Итог 3 10 5" xfId="13408" xr:uid="{CBE8E4E3-28AA-47CB-B1F7-04791A8F203A}"/>
    <cellStyle name="Итог 3 10 5 2" xfId="29877" xr:uid="{E6C5F41A-A504-40E4-B125-4515DDCDFF2A}"/>
    <cellStyle name="Итог 3 10 5 3" xfId="43212" xr:uid="{E35EC6FC-FCF7-4DFD-BB2C-E3F950058547}"/>
    <cellStyle name="Итог 3 10 6" xfId="21657" xr:uid="{1772334C-FB96-4E33-BFAB-C893C9A30F88}"/>
    <cellStyle name="Итог 3 10 7" xfId="34711" xr:uid="{E1CD52CD-2EED-49B5-9966-97268634F843}"/>
    <cellStyle name="Итог 3 11" xfId="3549" xr:uid="{A707CDB1-E89D-4EA4-8312-16CA0417EDC3}"/>
    <cellStyle name="Итог 3 11 2" xfId="2890" xr:uid="{C24627AE-3A75-4B39-A37D-97A34270F9A9}"/>
    <cellStyle name="Итог 3 11 2 2" xfId="8186" xr:uid="{A28CA44C-79E2-4693-8BAF-70121F5D827B}"/>
    <cellStyle name="Итог 3 11 2 2 2" xfId="16048" xr:uid="{DCD7BF8A-7C3B-45A6-AF3C-BF7932E9239C}"/>
    <cellStyle name="Итог 3 11 2 2 2 2" xfId="32111" xr:uid="{3310571B-C806-4A4C-A935-AB66495B902C}"/>
    <cellStyle name="Итог 3 11 2 2 2 3" xfId="45630" xr:uid="{69440BDF-7494-4723-A6B8-723D224D6A9C}"/>
    <cellStyle name="Итог 3 11 2 2 3" xfId="25697" xr:uid="{B47A22F5-5552-4F6B-9C27-BABEDAB4F7C4}"/>
    <cellStyle name="Итог 3 11 2 2 4" xfId="38773" xr:uid="{77C2DC1F-241F-4F82-B93C-99248C7C715C}"/>
    <cellStyle name="Итог 3 11 2 3" xfId="6553" xr:uid="{014024D6-EC18-41E3-BE29-482026779F5B}"/>
    <cellStyle name="Итог 3 11 2 3 2" xfId="14777" xr:uid="{AB1A99DF-7C41-489A-B093-7DEC96F6C997}"/>
    <cellStyle name="Итог 3 11 2 3 2 2" xfId="31045" xr:uid="{74DA820D-895F-4F7B-B18D-2B65F4D87D9F}"/>
    <cellStyle name="Итог 3 11 2 3 2 3" xfId="44476" xr:uid="{0EBA6264-A14A-44C1-984B-8145E6811AA3}"/>
    <cellStyle name="Итог 3 11 2 3 3" xfId="24188" xr:uid="{B936A28C-99C8-408C-9BE8-4FE4DEACE5DD}"/>
    <cellStyle name="Итог 3 11 2 3 4" xfId="37269" xr:uid="{125E7869-6566-409B-B5FC-8D27DF099BC0}"/>
    <cellStyle name="Итог 3 11 2 4" xfId="16033" xr:uid="{A4746322-42B5-43DF-AAEE-46A79E028671}"/>
    <cellStyle name="Итог 3 11 2 4 2" xfId="32098" xr:uid="{44CDD683-A97B-4222-95E9-BBBE39B7C5AD}"/>
    <cellStyle name="Итог 3 11 2 4 3" xfId="45617" xr:uid="{2BA41C26-8960-4B7D-A7DA-FADE4C9BAF8D}"/>
    <cellStyle name="Итог 3 11 2 5" xfId="20940" xr:uid="{C1D23EEA-EA59-459F-BACF-2BB63722E9B4}"/>
    <cellStyle name="Итог 3 11 2 6" xfId="33963" xr:uid="{D6F1DA58-624D-4B1B-81E4-E76A911FDE51}"/>
    <cellStyle name="Итог 3 11 3" xfId="4652" xr:uid="{5754ED06-0FC1-4644-BA60-A5684F9D323E}"/>
    <cellStyle name="Итог 3 11 3 2" xfId="7191" xr:uid="{B7744DF5-07D9-4757-A2E9-207FFD252791}"/>
    <cellStyle name="Итог 3 11 3 2 2" xfId="14402" xr:uid="{D37C1A00-9D5A-4D50-9E6A-793CE3EB87F4}"/>
    <cellStyle name="Итог 3 11 3 2 2 2" xfId="30733" xr:uid="{B8271F34-26B8-41FA-9BF5-757A8E348F33}"/>
    <cellStyle name="Итог 3 11 3 2 2 3" xfId="44132" xr:uid="{A177765F-F5DB-4AE0-8081-C913D996652A}"/>
    <cellStyle name="Итог 3 11 3 2 3" xfId="24788" xr:uid="{7B731061-16A9-4CCA-B1B6-5681B6B0E967}"/>
    <cellStyle name="Итог 3 11 3 2 4" xfId="37869" xr:uid="{34323A9F-DBDF-4FBB-8C33-78A0B55C46C8}"/>
    <cellStyle name="Итог 3 11 3 3" xfId="16727" xr:uid="{39CF9C36-0B70-48A6-BCF3-5EFE8C9180BD}"/>
    <cellStyle name="Итог 3 11 3 3 2" xfId="32610" xr:uid="{D07D8103-0600-47C0-9069-3D9EA0627569}"/>
    <cellStyle name="Итог 3 11 3 3 3" xfId="46270" xr:uid="{589F66C2-DB9B-47DE-BF0C-1EEB0EADD41C}"/>
    <cellStyle name="Итог 3 11 3 4" xfId="22462" xr:uid="{2AC8C23B-CC34-4808-AEC7-98142169A443}"/>
    <cellStyle name="Итог 3 11 3 5" xfId="35515" xr:uid="{03AEF8C8-8ACE-49E3-9898-7A9580B38FE1}"/>
    <cellStyle name="Итог 3 11 4" xfId="5602" xr:uid="{0E5815AA-E60A-421A-B34C-79181D3FF7E2}"/>
    <cellStyle name="Итог 3 11 4 2" xfId="8784" xr:uid="{C67FEA38-CE5A-4CF7-B14A-4A3308AE6EDB}"/>
    <cellStyle name="Итог 3 11 4 2 2" xfId="11219" xr:uid="{E639273E-FD2C-4C6A-8EBA-49B479A62134}"/>
    <cellStyle name="Итог 3 11 4 2 2 2" xfId="28013" xr:uid="{50C241D2-2859-4B29-912A-AA5643F3A303}"/>
    <cellStyle name="Итог 3 11 4 2 2 3" xfId="41195" xr:uid="{B6CD792C-B92E-46B0-B8D1-C50344EC92C6}"/>
    <cellStyle name="Итог 3 11 4 2 3" xfId="26277" xr:uid="{753D2EBA-313B-4CA0-A56C-B6AFA6EC3554}"/>
    <cellStyle name="Итог 3 11 4 2 4" xfId="39353" xr:uid="{9058FE0E-78A0-473B-AC21-5E3D37D03599}"/>
    <cellStyle name="Итог 3 11 4 3" xfId="15785" xr:uid="{D135AA83-FFF2-47DC-95DE-6FC257578022}"/>
    <cellStyle name="Итог 3 11 4 3 2" xfId="31886" xr:uid="{E334E245-3596-422C-82D1-F8E54352BB3F}"/>
    <cellStyle name="Итог 3 11 4 3 3" xfId="45397" xr:uid="{EC947151-7560-449E-9A3D-A104F051A72A}"/>
    <cellStyle name="Итог 3 11 4 4" xfId="23249" xr:uid="{92E0FBF9-E7B2-4848-BA40-98685FB47DD1}"/>
    <cellStyle name="Итог 3 11 4 5" xfId="36330" xr:uid="{A27F03AA-B683-4437-9B6B-4FCF6467ADDD}"/>
    <cellStyle name="Итог 3 11 5" xfId="14710" xr:uid="{CAB53122-48AC-4891-9CEA-A84952B33002}"/>
    <cellStyle name="Итог 3 11 5 2" xfId="30999" xr:uid="{9331255F-1E50-4E7C-B5BE-0691EB0211ED}"/>
    <cellStyle name="Итог 3 11 5 3" xfId="44421" xr:uid="{F2D515AB-8DB0-40B6-A488-CF84D9845793}"/>
    <cellStyle name="Итог 3 11 6" xfId="21511" xr:uid="{8B00EBD4-B71A-45B1-964B-3BB2DA985ED1}"/>
    <cellStyle name="Итог 3 11 7" xfId="34563" xr:uid="{59E2ABEA-B075-4E7D-8F02-FC929D1FF269}"/>
    <cellStyle name="Итог 3 12" xfId="3739" xr:uid="{43C344B2-522F-46C3-892B-A98EDBC03702}"/>
    <cellStyle name="Итог 3 12 2" xfId="3053" xr:uid="{40BC61D2-482D-4266-B5F7-E3506FCAF334}"/>
    <cellStyle name="Итог 3 12 2 2" xfId="8349" xr:uid="{77647342-7783-40F1-8CB9-5DDE37AEC348}"/>
    <cellStyle name="Итог 3 12 2 2 2" xfId="17403" xr:uid="{15BAA386-3E68-49F8-B7EA-81BA259CF16F}"/>
    <cellStyle name="Итог 3 12 2 2 2 2" xfId="33157" xr:uid="{E6D8198E-ADE5-497E-A9CB-E919236FDDC0}"/>
    <cellStyle name="Итог 3 12 2 2 2 3" xfId="46933" xr:uid="{AE60B33A-DE35-4E6B-A0D7-D3B921BE1B2E}"/>
    <cellStyle name="Итог 3 12 2 2 3" xfId="25853" xr:uid="{3113F87E-964F-442B-98BC-D7FE6D34724B}"/>
    <cellStyle name="Итог 3 12 2 2 4" xfId="38929" xr:uid="{28E37EA8-7EA7-4781-ACF2-B440EBD0DBCE}"/>
    <cellStyle name="Итог 3 12 2 3" xfId="6716" xr:uid="{6AF5D75A-3A59-4316-8A4A-3A755161402E}"/>
    <cellStyle name="Итог 3 12 2 3 2" xfId="13976" xr:uid="{A64B7C69-3187-4949-BCD5-1CB49EC9858B}"/>
    <cellStyle name="Итог 3 12 2 3 2 2" xfId="30363" xr:uid="{B7B1A03C-5F17-44E5-8A7D-3E49A2CED8A6}"/>
    <cellStyle name="Итог 3 12 2 3 2 3" xfId="43740" xr:uid="{333F08FE-6FA0-4D85-B38B-32FEC3345BE3}"/>
    <cellStyle name="Итог 3 12 2 3 3" xfId="24344" xr:uid="{5E82017B-847B-4B22-91BB-924E17171973}"/>
    <cellStyle name="Итог 3 12 2 3 4" xfId="37425" xr:uid="{284E94BA-CFC0-469A-9BEA-1C7FA6BCE3EB}"/>
    <cellStyle name="Итог 3 12 2 4" xfId="16982" xr:uid="{C006C72E-A5C3-4364-92BB-2236839F6C45}"/>
    <cellStyle name="Итог 3 12 2 4 2" xfId="32805" xr:uid="{7C37EBEA-CA42-4E35-875D-B16AA7E74DC8}"/>
    <cellStyle name="Итог 3 12 2 4 3" xfId="46524" xr:uid="{036178A6-FD5F-4E09-A48A-A8D5528EF4C4}"/>
    <cellStyle name="Итог 3 12 2 5" xfId="21096" xr:uid="{0BE93022-BB66-487E-9C09-BB45EFD2E2C6}"/>
    <cellStyle name="Итог 3 12 2 6" xfId="34119" xr:uid="{5FDBCA00-3383-4B8E-AB84-2D40F51DA7DF}"/>
    <cellStyle name="Итог 3 12 3" xfId="4755" xr:uid="{CBB52D34-708E-48BF-AC8E-8A4C6901EF40}"/>
    <cellStyle name="Итог 3 12 3 2" xfId="7374" xr:uid="{4AF75DCF-6A50-4A28-A6DD-A11E4EDC0974}"/>
    <cellStyle name="Итог 3 12 3 2 2" xfId="15062" xr:uid="{DF580252-1546-4933-953B-1AB3B229AF9C}"/>
    <cellStyle name="Итог 3 12 3 2 2 2" xfId="31273" xr:uid="{45235273-502B-4D2A-BCF7-AA33214394A7}"/>
    <cellStyle name="Итог 3 12 3 2 2 3" xfId="44729" xr:uid="{8BC5B83B-7E5D-4483-BED3-F48877424AE2}"/>
    <cellStyle name="Итог 3 12 3 2 3" xfId="24933" xr:uid="{6A751EB3-00EE-4E84-BD5F-A3A029709B54}"/>
    <cellStyle name="Итог 3 12 3 2 4" xfId="38011" xr:uid="{90993E8A-93F8-492F-832E-24E8FDA75B82}"/>
    <cellStyle name="Итог 3 12 3 3" xfId="13409" xr:uid="{D7A7D98D-9A58-4932-AA54-536A4FE6438A}"/>
    <cellStyle name="Итог 3 12 3 3 2" xfId="29878" xr:uid="{D047AF11-05DC-40F9-B86A-DE5271BCA635}"/>
    <cellStyle name="Итог 3 12 3 3 3" xfId="43213" xr:uid="{E33918A9-646A-4AC9-9B61-8180A00335AE}"/>
    <cellStyle name="Итог 3 12 3 4" xfId="22558" xr:uid="{8383FA9F-90A5-46FA-8681-B0A29163E364}"/>
    <cellStyle name="Итог 3 12 3 5" xfId="35611" xr:uid="{AB0590C6-AEC8-4A6C-8045-FDFEBFBCFD41}"/>
    <cellStyle name="Итог 3 12 4" xfId="5744" xr:uid="{3659996B-1B69-4CED-BB18-2311DDA1A0AF}"/>
    <cellStyle name="Итог 3 12 4 2" xfId="8933" xr:uid="{7EAEC40D-D926-4E10-AA01-2FAF0384917F}"/>
    <cellStyle name="Итог 3 12 4 2 2" xfId="12826" xr:uid="{FB44F5BB-3E4A-4B78-9898-9862F64CB5A6}"/>
    <cellStyle name="Итог 3 12 4 2 2 2" xfId="29398" xr:uid="{555F8F60-EDCD-4B1A-9529-CC76B0A33A7D}"/>
    <cellStyle name="Итог 3 12 4 2 2 3" xfId="42680" xr:uid="{1E8430AE-E8DA-46FC-8931-0792570DF4EE}"/>
    <cellStyle name="Итог 3 12 4 2 3" xfId="26419" xr:uid="{3BEF0933-4D9F-4982-B5FE-252CE7EF19C6}"/>
    <cellStyle name="Итог 3 12 4 2 4" xfId="39495" xr:uid="{430BEA44-3D09-4CE4-BD5D-0DC386E4EA21}"/>
    <cellStyle name="Итог 3 12 4 3" xfId="15035" xr:uid="{F7330B60-C6E7-45E9-85E2-5130B8E29BFC}"/>
    <cellStyle name="Итог 3 12 4 3 2" xfId="31253" xr:uid="{08CC2C10-ADEE-4FA6-812D-31007AAEB9F8}"/>
    <cellStyle name="Итог 3 12 4 3 3" xfId="44708" xr:uid="{7A38454C-1202-41C4-994D-F8F6E03192CB}"/>
    <cellStyle name="Итог 3 12 4 4" xfId="23391" xr:uid="{A661D7A4-C1B5-4B49-AB38-9AD2B8BE6DFE}"/>
    <cellStyle name="Итог 3 12 4 5" xfId="36472" xr:uid="{AED1EE1E-659E-44BF-9DFB-8706FAB52C94}"/>
    <cellStyle name="Итог 3 12 5" xfId="11378" xr:uid="{2F42776E-5F0A-4FD3-98CD-D22819695AE9}"/>
    <cellStyle name="Итог 3 12 5 2" xfId="28152" xr:uid="{9538B56E-2535-4881-9E2E-A03234D7E1BE}"/>
    <cellStyle name="Итог 3 12 5 3" xfId="41341" xr:uid="{0BADD2FC-99DA-43D6-BF8F-EE214D47B5B7}"/>
    <cellStyle name="Итог 3 12 6" xfId="21653" xr:uid="{456182C1-4EAB-4990-B13E-5F920393B030}"/>
    <cellStyle name="Итог 3 12 7" xfId="34707" xr:uid="{C1576800-71C1-4447-9F15-CD97C5DD4F80}"/>
    <cellStyle name="Итог 3 13" xfId="3733" xr:uid="{11439659-7E54-4817-AD8E-2271C1F70DDE}"/>
    <cellStyle name="Итог 3 13 2" xfId="3049" xr:uid="{D6619F64-7157-405B-A88A-664594E821D9}"/>
    <cellStyle name="Итог 3 13 2 2" xfId="8345" xr:uid="{0281EDE4-46D2-41CF-82B0-59ED20157DC5}"/>
    <cellStyle name="Итог 3 13 2 2 2" xfId="14593" xr:uid="{7132F1BA-09AD-4F6D-87E4-35776D5537E3}"/>
    <cellStyle name="Итог 3 13 2 2 2 2" xfId="30893" xr:uid="{12B870C4-9C27-4555-AD80-9802B34EC28F}"/>
    <cellStyle name="Итог 3 13 2 2 2 3" xfId="44312" xr:uid="{8B00F6A0-C8B6-4A6D-942B-F66225B0CA9B}"/>
    <cellStyle name="Итог 3 13 2 2 3" xfId="25849" xr:uid="{4236DECD-8F64-4912-AEEB-B896E7904686}"/>
    <cellStyle name="Итог 3 13 2 2 4" xfId="38925" xr:uid="{0AD096A8-66F6-41D5-BDCC-9D0B7967B724}"/>
    <cellStyle name="Итог 3 13 2 3" xfId="6712" xr:uid="{86E0E3E5-BBA3-44A7-8687-041C434EC60D}"/>
    <cellStyle name="Итог 3 13 2 3 2" xfId="15849" xr:uid="{9A91CCCD-43BE-4C3F-BAC4-23458BD9F0B3}"/>
    <cellStyle name="Итог 3 13 2 3 2 2" xfId="31942" xr:uid="{0D888BCC-B488-4BCB-BC1E-7473F2E47EC0}"/>
    <cellStyle name="Итог 3 13 2 3 2 3" xfId="45454" xr:uid="{87B56D81-0985-4140-8ECC-9300177F167E}"/>
    <cellStyle name="Итог 3 13 2 3 3" xfId="24340" xr:uid="{B894195B-104D-46F2-930E-48CAC332C8FA}"/>
    <cellStyle name="Итог 3 13 2 3 4" xfId="37421" xr:uid="{F19138A5-503B-41AF-8D6A-4F676DBCB1A5}"/>
    <cellStyle name="Итог 3 13 2 4" xfId="14000" xr:uid="{ECFB2E3C-0441-47EB-A8E1-32CEF18FC7E7}"/>
    <cellStyle name="Итог 3 13 2 4 2" xfId="30384" xr:uid="{6AEDCC09-96E8-4189-87A2-63962329DB01}"/>
    <cellStyle name="Итог 3 13 2 4 3" xfId="43762" xr:uid="{A4F31C2A-48FE-45D6-9682-DAE0DFAE206C}"/>
    <cellStyle name="Итог 3 13 2 5" xfId="21092" xr:uid="{67E0DCBA-70E4-4DC4-80F4-4997BCB61FBA}"/>
    <cellStyle name="Итог 3 13 2 6" xfId="34115" xr:uid="{FD527FEB-7203-468E-8DEA-466071571538}"/>
    <cellStyle name="Итог 3 13 3" xfId="4751" xr:uid="{9C83983A-F102-4DC3-9970-A881EBDEF47E}"/>
    <cellStyle name="Итог 3 13 3 2" xfId="7368" xr:uid="{2348C3E2-4162-4B55-BDC8-D8FDC37345A9}"/>
    <cellStyle name="Итог 3 13 3 2 2" xfId="16844" xr:uid="{F523DE57-6A8B-447E-997F-25042B0FC904}"/>
    <cellStyle name="Итог 3 13 3 2 2 2" xfId="32721" xr:uid="{8FE00CE3-3581-4879-82AD-FDB912D149CF}"/>
    <cellStyle name="Итог 3 13 3 2 2 3" xfId="46386" xr:uid="{28D19687-63C3-417D-BBFB-863936BD115F}"/>
    <cellStyle name="Итог 3 13 3 2 3" xfId="24927" xr:uid="{747F9707-DF1B-4472-9F5B-0CC190B999AE}"/>
    <cellStyle name="Итог 3 13 3 2 4" xfId="38007" xr:uid="{77D12B51-705C-4060-B20F-6259685648A6}"/>
    <cellStyle name="Итог 3 13 3 3" xfId="11791" xr:uid="{3C1AB096-1EC1-4A2D-86A9-9C78A20526A9}"/>
    <cellStyle name="Итог 3 13 3 3 2" xfId="28513" xr:uid="{6694BFBD-4120-4B01-8216-B2F7E9013381}"/>
    <cellStyle name="Итог 3 13 3 3 3" xfId="41725" xr:uid="{C93421F4-F998-4235-8B19-D6B90B9C776D}"/>
    <cellStyle name="Итог 3 13 3 4" xfId="22554" xr:uid="{89ED4A52-B965-488C-8C2B-09F27DACDE59}"/>
    <cellStyle name="Итог 3 13 3 5" xfId="35607" xr:uid="{818C46A5-6392-4B23-A5B6-F5380D02B37F}"/>
    <cellStyle name="Итог 3 13 4" xfId="5740" xr:uid="{5AE61C1B-4557-4751-86E0-CEE95F0B6695}"/>
    <cellStyle name="Итог 3 13 4 2" xfId="8929" xr:uid="{5A6F070C-9A7F-4F8B-B524-2062E3EB5054}"/>
    <cellStyle name="Итог 3 13 4 2 2" xfId="12819" xr:uid="{CDF729DF-84C2-42E8-A861-F724B23B07C2}"/>
    <cellStyle name="Итог 3 13 4 2 2 2" xfId="29391" xr:uid="{59F4022C-907B-4311-9D6F-9FB14BB92AE4}"/>
    <cellStyle name="Итог 3 13 4 2 2 3" xfId="42673" xr:uid="{A6372A03-DD37-42CC-92E9-BE55DEFC0BD8}"/>
    <cellStyle name="Итог 3 13 4 2 3" xfId="26415" xr:uid="{D8FA5E78-E9A9-4A35-98F0-FAD119A5AC7F}"/>
    <cellStyle name="Итог 3 13 4 2 4" xfId="39491" xr:uid="{4AC33C90-8BF7-41C5-8724-79570F9C6A54}"/>
    <cellStyle name="Итог 3 13 4 3" xfId="15946" xr:uid="{B09F9F95-A5AF-40CE-B713-D323329725ED}"/>
    <cellStyle name="Итог 3 13 4 3 2" xfId="32023" xr:uid="{E20D16DF-2E0A-40A0-B17B-D9E78001A762}"/>
    <cellStyle name="Итог 3 13 4 3 3" xfId="45541" xr:uid="{EF321E8B-69E4-4A38-A949-CF8204A5016F}"/>
    <cellStyle name="Итог 3 13 4 4" xfId="23387" xr:uid="{E6B0A489-AC4E-493A-892A-9036BF04B9EE}"/>
    <cellStyle name="Итог 3 13 4 5" xfId="36468" xr:uid="{5488F0B6-10D8-4115-9C16-42189B91CA19}"/>
    <cellStyle name="Итог 3 13 5" xfId="14333" xr:uid="{23D52AE3-30C8-4588-AD47-F47B73B416C8}"/>
    <cellStyle name="Итог 3 13 5 2" xfId="30667" xr:uid="{C4DCE61F-24EF-4D9C-832D-BE4F3113B102}"/>
    <cellStyle name="Итог 3 13 5 3" xfId="44063" xr:uid="{CC84DB5A-9E0E-4540-9B1C-29284FC92740}"/>
    <cellStyle name="Итог 3 13 6" xfId="21649" xr:uid="{FBFC1E97-9202-4640-80D7-B09D5C129265}"/>
    <cellStyle name="Итог 3 13 7" xfId="34703" xr:uid="{E0F3D7EE-2142-485A-8500-006C049F85DD}"/>
    <cellStyle name="Итог 3 14" xfId="3537" xr:uid="{CC78C4C8-4B64-4889-BA85-5435FD8C6C9A}"/>
    <cellStyle name="Итог 3 14 2" xfId="2878" xr:uid="{ED8A8611-E16C-4353-B8DF-76E7AB02ED87}"/>
    <cellStyle name="Итог 3 14 2 2" xfId="8174" xr:uid="{E105493C-27F5-4A17-92E4-B2542988B100}"/>
    <cellStyle name="Итог 3 14 2 2 2" xfId="10949" xr:uid="{E04EC749-19FA-40F8-BBBD-E4C6E0C85877}"/>
    <cellStyle name="Итог 3 14 2 2 2 2" xfId="27763" xr:uid="{1D023C32-D728-4DAE-A311-DB9284AF1B3D}"/>
    <cellStyle name="Итог 3 14 2 2 2 3" xfId="40929" xr:uid="{4D305927-AA88-49F2-A989-478C8B9E5A00}"/>
    <cellStyle name="Итог 3 14 2 2 3" xfId="25685" xr:uid="{881A8D00-7A5C-48FC-9E96-E3080EB72C7A}"/>
    <cellStyle name="Итог 3 14 2 2 4" xfId="38761" xr:uid="{7E296E56-E350-4F78-BD01-4C2FD5F2A867}"/>
    <cellStyle name="Итог 3 14 2 3" xfId="6541" xr:uid="{82A71596-29A8-408B-B41A-B783EEAFB0EA}"/>
    <cellStyle name="Итог 3 14 2 3 2" xfId="12494" xr:uid="{893D0D7E-1776-4FC3-839C-AEDE0C75507B}"/>
    <cellStyle name="Итог 3 14 2 3 2 2" xfId="29128" xr:uid="{20F14B2C-5A5A-4FE0-AEEB-F84478693308}"/>
    <cellStyle name="Итог 3 14 2 3 2 3" xfId="42382" xr:uid="{997A2B65-96B9-41E7-A013-0BC1026E9BD6}"/>
    <cellStyle name="Итог 3 14 2 3 3" xfId="24176" xr:uid="{0880E7AB-0969-44D8-861C-7D690A7C83BF}"/>
    <cellStyle name="Итог 3 14 2 3 4" xfId="37257" xr:uid="{DD0356B1-285D-4B71-A7F6-D2B2A83FE162}"/>
    <cellStyle name="Итог 3 14 2 4" xfId="15388" xr:uid="{E5086D45-6653-4FE4-B720-57F47A412DB7}"/>
    <cellStyle name="Итог 3 14 2 4 2" xfId="31543" xr:uid="{3E9E796B-9476-4A65-AC45-6774ADA41A5C}"/>
    <cellStyle name="Итог 3 14 2 4 3" xfId="45030" xr:uid="{C5226CC1-3618-40D0-8CBE-F79891B9E3C8}"/>
    <cellStyle name="Итог 3 14 2 5" xfId="20928" xr:uid="{F5F966C5-B6F6-4EAC-8202-7374D184C029}"/>
    <cellStyle name="Итог 3 14 2 6" xfId="33951" xr:uid="{A56387D0-7B7D-45CA-AE94-9546DD97E9E0}"/>
    <cellStyle name="Итог 3 14 3" xfId="4644" xr:uid="{25577469-924B-42AC-BC42-0B2D1F809659}"/>
    <cellStyle name="Итог 3 14 3 2" xfId="7179" xr:uid="{C96C08B3-CAEF-424E-96B5-D87A91818036}"/>
    <cellStyle name="Итог 3 14 3 2 2" xfId="15437" xr:uid="{DA18F602-BF4D-487C-9634-D20356C91DB4}"/>
    <cellStyle name="Итог 3 14 3 2 2 2" xfId="31583" xr:uid="{FC2DE76D-CFF4-4E8C-B4CA-219107DC3DFE}"/>
    <cellStyle name="Итог 3 14 3 2 2 3" xfId="45078" xr:uid="{6148A6EF-6B55-407D-B688-81DC14B836D3}"/>
    <cellStyle name="Итог 3 14 3 2 3" xfId="24776" xr:uid="{2C2FAA9F-4B91-4B90-B5AE-672F49361E78}"/>
    <cellStyle name="Итог 3 14 3 2 4" xfId="37857" xr:uid="{0F9D9401-E133-482B-B9B9-F3A88AD46B57}"/>
    <cellStyle name="Итог 3 14 3 3" xfId="13246" xr:uid="{2DB00241-5AD7-4616-8FF6-74D4F6ADCFBC}"/>
    <cellStyle name="Итог 3 14 3 3 2" xfId="29740" xr:uid="{E8C97036-3934-4053-800A-51DCF3A14F5B}"/>
    <cellStyle name="Итог 3 14 3 3 3" xfId="43064" xr:uid="{A1E0D1E4-BFD9-4B91-A3E6-A06E3A9DA7EE}"/>
    <cellStyle name="Итог 3 14 3 4" xfId="22454" xr:uid="{165EF7F3-3009-4339-BBF9-BDE3A473C900}"/>
    <cellStyle name="Итог 3 14 3 5" xfId="35507" xr:uid="{7512BEFC-27DE-4872-8988-3DE2C27935D1}"/>
    <cellStyle name="Итог 3 14 4" xfId="5590" xr:uid="{3AD2910E-D74F-4137-95E9-5E25622D92DD}"/>
    <cellStyle name="Итог 3 14 4 2" xfId="8772" xr:uid="{7822EA7C-2699-41AD-A9BA-9F502A40AF75}"/>
    <cellStyle name="Итог 3 14 4 2 2" xfId="14943" xr:uid="{CF90AC76-9595-478A-A50E-F80D51311FD3}"/>
    <cellStyle name="Итог 3 14 4 2 2 2" xfId="31183" xr:uid="{5D89ECAE-6A61-4ABB-B017-6190FEAC01E7}"/>
    <cellStyle name="Итог 3 14 4 2 2 3" xfId="44630" xr:uid="{82531BE4-0C97-4847-9E4B-BA27E8661456}"/>
    <cellStyle name="Итог 3 14 4 2 3" xfId="26265" xr:uid="{CB9FA69F-DF5C-464C-B8AA-79BBA6B9B376}"/>
    <cellStyle name="Итог 3 14 4 2 4" xfId="39341" xr:uid="{EC697F89-3299-4E9E-9798-9FC93A79353C}"/>
    <cellStyle name="Итог 3 14 4 3" xfId="11123" xr:uid="{24513931-2A9C-45CD-A9CC-90096506B086}"/>
    <cellStyle name="Итог 3 14 4 3 2" xfId="27922" xr:uid="{09C6515C-2898-400B-99E0-0F2AB9338550}"/>
    <cellStyle name="Итог 3 14 4 3 3" xfId="41101" xr:uid="{336A677F-A6E6-496E-86D5-E9576BFF82E4}"/>
    <cellStyle name="Итог 3 14 4 4" xfId="23237" xr:uid="{8E5EDC9E-BB22-4662-B8B3-B1296CCA88E7}"/>
    <cellStyle name="Итог 3 14 4 5" xfId="36318" xr:uid="{C5B69093-B162-43A6-9A1C-A34932B60FF0}"/>
    <cellStyle name="Итог 3 14 5" xfId="13250" xr:uid="{65CCAF16-2229-4E8D-AFA2-BB1289C5C457}"/>
    <cellStyle name="Итог 3 14 5 2" xfId="29744" xr:uid="{5AADD4AD-B313-4FD1-8E75-55E8B6768D29}"/>
    <cellStyle name="Итог 3 14 5 3" xfId="43068" xr:uid="{B3C9DE0F-8D3A-4040-B076-A7E4DBB8D466}"/>
    <cellStyle name="Итог 3 14 6" xfId="21499" xr:uid="{C7677A78-0AEA-492D-A1D7-89E114BEB3C1}"/>
    <cellStyle name="Итог 3 14 7" xfId="34551" xr:uid="{4A7B2042-4506-45D4-9FB6-15BDAD6AC292}"/>
    <cellStyle name="Итог 3 15" xfId="3835" xr:uid="{C1B1FB5D-12EB-4E31-A10D-189A1475D2CB}"/>
    <cellStyle name="Итог 3 15 2" xfId="3097" xr:uid="{6E495033-48E1-4C25-9EC0-D41BDF50C9BA}"/>
    <cellStyle name="Итог 3 15 2 2" xfId="8389" xr:uid="{66908842-F633-49D9-9384-06C9B652E9CF}"/>
    <cellStyle name="Итог 3 15 2 2 2" xfId="13737" xr:uid="{387167D7-3666-42D7-A265-D1971306441E}"/>
    <cellStyle name="Итог 3 15 2 2 2 2" xfId="30152" xr:uid="{EAEF1472-6BC7-4D74-8BD1-EBC73687A821}"/>
    <cellStyle name="Итог 3 15 2 2 2 3" xfId="43514" xr:uid="{F04A3C37-7E92-45F8-B680-8F2375F0CC7E}"/>
    <cellStyle name="Итог 3 15 2 2 3" xfId="25892" xr:uid="{E88250F7-27AB-4D00-ACFF-9331A59912DA}"/>
    <cellStyle name="Итог 3 15 2 2 4" xfId="38968" xr:uid="{60E78869-285F-4AA1-9D0C-AB4F6F3CFDC8}"/>
    <cellStyle name="Итог 3 15 2 3" xfId="6756" xr:uid="{ED3A77B4-C512-465D-93EF-61660BCBAC7E}"/>
    <cellStyle name="Итог 3 15 2 3 2" xfId="16518" xr:uid="{6612BBB7-1749-470B-9001-584250C537AE}"/>
    <cellStyle name="Итог 3 15 2 3 2 2" xfId="32476" xr:uid="{C558029F-DEC5-47BC-BC11-D5F9CC600EBD}"/>
    <cellStyle name="Итог 3 15 2 3 2 3" xfId="46065" xr:uid="{00A2ED1D-0F1E-4D49-9A2E-15069F06DBBE}"/>
    <cellStyle name="Итог 3 15 2 3 3" xfId="24383" xr:uid="{6A016644-4DEC-48E0-8D38-FD2DBDFDA714}"/>
    <cellStyle name="Итог 3 15 2 3 4" xfId="37464" xr:uid="{5E10C9B1-F068-4A5E-BA24-E39FA7F4C679}"/>
    <cellStyle name="Итог 3 15 2 4" xfId="11125" xr:uid="{559359F1-7A67-4290-B65B-787C3D131897}"/>
    <cellStyle name="Итог 3 15 2 4 2" xfId="27923" xr:uid="{98E868CB-0F75-4E2A-9FE5-0A0AEFE973A2}"/>
    <cellStyle name="Итог 3 15 2 4 3" xfId="41103" xr:uid="{B3D3B1E7-458A-4A2F-BEB1-A3C1A4F24223}"/>
    <cellStyle name="Итог 3 15 2 5" xfId="21135" xr:uid="{9548B269-9769-4AC5-8C3C-D02E8D40FA53}"/>
    <cellStyle name="Итог 3 15 2 6" xfId="34158" xr:uid="{97C46712-EFEB-4490-A359-99A63847CA3A}"/>
    <cellStyle name="Итог 3 15 3" xfId="4780" xr:uid="{A3279576-E877-401C-9D7F-47EF71A3C01A}"/>
    <cellStyle name="Итог 3 15 3 2" xfId="7422" xr:uid="{30AEC912-9316-469D-8CE5-E3AC5C697049}"/>
    <cellStyle name="Итог 3 15 3 2 2" xfId="14653" xr:uid="{58CDA26F-C95F-43FC-9BA2-DB4E31A77D91}"/>
    <cellStyle name="Итог 3 15 3 2 2 2" xfId="30947" xr:uid="{560A1ECB-144C-4229-B9FF-D51BC9D7B6A2}"/>
    <cellStyle name="Итог 3 15 3 2 2 3" xfId="44368" xr:uid="{ED3AE493-34E5-4FFB-B349-79D6BCAD1C44}"/>
    <cellStyle name="Итог 3 15 3 2 3" xfId="24979" xr:uid="{BB76BEFF-2C04-4F0F-B4F8-97C10C091052}"/>
    <cellStyle name="Итог 3 15 3 2 4" xfId="38055" xr:uid="{E6AC6347-14FA-42F2-A29A-490A489A5383}"/>
    <cellStyle name="Итог 3 15 3 3" xfId="12198" xr:uid="{B060045B-8507-42BC-A8FA-86FF210FD638}"/>
    <cellStyle name="Итог 3 15 3 3 2" xfId="28889" xr:uid="{C166058E-97B3-47FE-A7DC-909022C8782C}"/>
    <cellStyle name="Итог 3 15 3 3 3" xfId="42116" xr:uid="{55DDF50B-C4F8-46EA-A2A6-63C95B4BEC0D}"/>
    <cellStyle name="Итог 3 15 3 4" xfId="22582" xr:uid="{3D4D0ECF-209A-4243-AB96-27A114639641}"/>
    <cellStyle name="Итог 3 15 3 5" xfId="35635" xr:uid="{2BD18A50-828A-4EDC-AD42-C9FD6499B9BA}"/>
    <cellStyle name="Итог 3 15 4" xfId="5805" xr:uid="{61728FA8-8CD0-4813-9526-F5C9FD0074D1}"/>
    <cellStyle name="Итог 3 15 4 2" xfId="8966" xr:uid="{9CB7DFA1-BD91-4887-9317-C1B1FF5C2AE0}"/>
    <cellStyle name="Итог 3 15 4 2 2" xfId="12828" xr:uid="{593EECF7-D2AD-4C91-B477-53C49EAD02D9}"/>
    <cellStyle name="Итог 3 15 4 2 2 2" xfId="29400" xr:uid="{A1B7AD9D-2B29-4F54-B78D-1F804FBF369E}"/>
    <cellStyle name="Итог 3 15 4 2 2 3" xfId="42682" xr:uid="{771A1349-2EF7-44E6-83C4-15DEAA8B2C7E}"/>
    <cellStyle name="Итог 3 15 4 2 3" xfId="26451" xr:uid="{6F232A2D-50DA-4D20-A28B-286BAF66D0B2}"/>
    <cellStyle name="Итог 3 15 4 2 4" xfId="39527" xr:uid="{AD5142B7-4494-4406-A06D-37123842E1A2}"/>
    <cellStyle name="Итог 3 15 4 3" xfId="12294" xr:uid="{0BB3CF35-54C9-48F5-840D-66E531C6EE41}"/>
    <cellStyle name="Итог 3 15 4 3 2" xfId="28968" xr:uid="{9338F778-358E-4516-B421-564F4172C319}"/>
    <cellStyle name="Итог 3 15 4 3 3" xfId="42205" xr:uid="{362A838C-41EF-416E-910A-B2A54F0A5285}"/>
    <cellStyle name="Итог 3 15 4 4" xfId="23452" xr:uid="{ECC3157F-1A00-43C6-ABC7-5820EFA73C52}"/>
    <cellStyle name="Итог 3 15 4 5" xfId="36533" xr:uid="{1AE98E49-57CB-4F2A-B58D-6F21540B163C}"/>
    <cellStyle name="Итог 3 15 5" xfId="14198" xr:uid="{95A27B5A-AD82-4470-AF74-DA7F975E704F}"/>
    <cellStyle name="Итог 3 15 5 2" xfId="30547" xr:uid="{5F5EC69D-6352-410E-BA5B-0F95ADE6A4C9}"/>
    <cellStyle name="Итог 3 15 5 3" xfId="43935" xr:uid="{734E33EE-C0C8-4559-89B4-C4C2C9A19552}"/>
    <cellStyle name="Итог 3 15 6" xfId="21714" xr:uid="{D29219A1-1008-44FB-8DC4-2C599AB4D107}"/>
    <cellStyle name="Итог 3 15 7" xfId="34768" xr:uid="{5AD695FD-CB1C-42BC-9491-0B59422B7863}"/>
    <cellStyle name="Итог 3 16" xfId="3873" xr:uid="{0FAF69D7-ECD3-4A4D-A191-9BE961B56E73}"/>
    <cellStyle name="Итог 3 16 2" xfId="3130" xr:uid="{EAB8E10D-2022-43C4-A232-8AAD5F84096B}"/>
    <cellStyle name="Итог 3 16 2 2" xfId="8422" xr:uid="{304E5C09-59E7-43BC-9AF9-BA3B24683AD2}"/>
    <cellStyle name="Итог 3 16 2 2 2" xfId="16389" xr:uid="{D932FC08-8669-438D-BD26-2D108E4A7259}"/>
    <cellStyle name="Итог 3 16 2 2 2 2" xfId="32408" xr:uid="{85EB6F47-E499-48D7-8431-CC8FBF3CBD7C}"/>
    <cellStyle name="Итог 3 16 2 2 2 3" xfId="45943" xr:uid="{985C0ADD-3BA9-4395-9326-7519C1E2E0EF}"/>
    <cellStyle name="Итог 3 16 2 2 3" xfId="25924" xr:uid="{F20BF7AA-D791-492A-9852-5B243DFE2291}"/>
    <cellStyle name="Итог 3 16 2 2 4" xfId="39000" xr:uid="{738B26AC-EC36-4B24-91F7-3323422FD567}"/>
    <cellStyle name="Итог 3 16 2 3" xfId="6789" xr:uid="{AB917328-9EAF-4624-AA63-6A8134E27B44}"/>
    <cellStyle name="Итог 3 16 2 3 2" xfId="15642" xr:uid="{0FBCA5AB-A107-428D-A8CD-8605C4CA553A}"/>
    <cellStyle name="Итог 3 16 2 3 2 2" xfId="31761" xr:uid="{9A480B54-DE25-45ED-AD44-2A28F727B9FB}"/>
    <cellStyle name="Итог 3 16 2 3 2 3" xfId="45266" xr:uid="{C44CEB22-1F43-4915-A91F-CAC534A8B4C7}"/>
    <cellStyle name="Итог 3 16 2 3 3" xfId="24415" xr:uid="{4F525763-A204-4F40-8FB9-4C8E9D6CA4BE}"/>
    <cellStyle name="Итог 3 16 2 3 4" xfId="37496" xr:uid="{B3ABBF93-B2A5-452C-839E-662703E9D159}"/>
    <cellStyle name="Итог 3 16 2 4" xfId="14041" xr:uid="{F1EC9D68-4144-42FB-A94D-625D18341E57}"/>
    <cellStyle name="Итог 3 16 2 4 2" xfId="30416" xr:uid="{6160880D-DABA-48A6-9996-C0DBE2FCB0A4}"/>
    <cellStyle name="Итог 3 16 2 4 3" xfId="43797" xr:uid="{4B0A06CF-7342-41AF-BB25-DF18F785076E}"/>
    <cellStyle name="Итог 3 16 2 5" xfId="21167" xr:uid="{C2E5685D-3D28-4E71-8222-DFD539D092BD}"/>
    <cellStyle name="Итог 3 16 2 6" xfId="34190" xr:uid="{DF4C9A57-51E7-41F7-A5C8-785418596B15}"/>
    <cellStyle name="Итог 3 16 3" xfId="4810" xr:uid="{0CF246A3-018B-4E79-9D42-FFC6662BBD86}"/>
    <cellStyle name="Итог 3 16 3 2" xfId="7454" xr:uid="{72CADD03-D45C-4B3D-A80F-0D6085FD2E2D}"/>
    <cellStyle name="Итог 3 16 3 2 2" xfId="17311" xr:uid="{6F8CC94A-272A-4980-8D53-E561A06385C6}"/>
    <cellStyle name="Итог 3 16 3 2 2 2" xfId="33069" xr:uid="{71D10897-F6AE-40B5-A6E0-23002464AAC8}"/>
    <cellStyle name="Итог 3 16 3 2 2 3" xfId="46845" xr:uid="{9B71120F-E176-437D-BD06-032793B0B8B9}"/>
    <cellStyle name="Итог 3 16 3 2 3" xfId="25011" xr:uid="{AB2A902B-2DEE-42D1-9025-427DF215BD63}"/>
    <cellStyle name="Итог 3 16 3 2 4" xfId="38087" xr:uid="{B2AE7280-B544-4C9F-ACE8-2B968EABFEB3}"/>
    <cellStyle name="Итог 3 16 3 3" xfId="12016" xr:uid="{8DAA4956-9B54-4CC6-9F90-3972DF2A15E1}"/>
    <cellStyle name="Итог 3 16 3 3 2" xfId="28719" xr:uid="{024D4A97-5E00-4B57-B2FF-17537A87991A}"/>
    <cellStyle name="Итог 3 16 3 3 3" xfId="41937" xr:uid="{1CFDC4EF-1110-4151-AD36-7EFB6919AC5C}"/>
    <cellStyle name="Итог 3 16 3 4" xfId="22612" xr:uid="{E40CE794-5AB8-45C1-BDA1-2E50461337A0}"/>
    <cellStyle name="Итог 3 16 3 5" xfId="35665" xr:uid="{EA0A9ACF-FD7F-4CB3-884A-635BCB36696C}"/>
    <cellStyle name="Итог 3 16 4" xfId="5837" xr:uid="{DA20E654-115D-4711-ABD9-8647F0FF8B4D}"/>
    <cellStyle name="Итог 3 16 4 2" xfId="8995" xr:uid="{53D03FAE-4E00-4061-A72F-221E7F7B189F}"/>
    <cellStyle name="Итог 3 16 4 2 2" xfId="13311" xr:uid="{F2350F40-69EF-4FD0-B0F7-F7064F8EAF88}"/>
    <cellStyle name="Итог 3 16 4 2 2 2" xfId="29797" xr:uid="{DB0A1175-0D28-4AE8-8DF3-46A868BE6852}"/>
    <cellStyle name="Итог 3 16 4 2 2 3" xfId="43126" xr:uid="{E86240A1-DA58-420B-B2C5-1344326B623C}"/>
    <cellStyle name="Итог 3 16 4 2 3" xfId="26480" xr:uid="{93B103F7-FF41-4EF2-BD5A-55FDA3346215}"/>
    <cellStyle name="Итог 3 16 4 2 4" xfId="39556" xr:uid="{237CC8E8-D702-4FF3-B075-A68CAED9EABF}"/>
    <cellStyle name="Итог 3 16 4 3" xfId="15362" xr:uid="{5FE5A705-634F-438C-928C-F6EFC660D9BD}"/>
    <cellStyle name="Итог 3 16 4 3 2" xfId="31519" xr:uid="{17F5A884-FA51-4A70-B5A2-EE7C8BDFD579}"/>
    <cellStyle name="Итог 3 16 4 3 3" xfId="45005" xr:uid="{F193C4F3-3A8D-445E-8AA6-A6667674D152}"/>
    <cellStyle name="Итог 3 16 4 4" xfId="23484" xr:uid="{E4AC723A-BF63-4AE5-BD89-B667EB67FD8C}"/>
    <cellStyle name="Итог 3 16 4 5" xfId="36565" xr:uid="{F820BBF5-2454-4AE3-804C-52493D18A7A9}"/>
    <cellStyle name="Итог 3 16 5" xfId="11916" xr:uid="{B99ED2A1-FCBD-46AB-AF06-C1D4AB52D364}"/>
    <cellStyle name="Итог 3 16 5 2" xfId="28631" xr:uid="{050B2739-ECF6-4533-8CB5-D25C2BBF53DC}"/>
    <cellStyle name="Итог 3 16 5 3" xfId="41847" xr:uid="{1BBFA88F-EC85-4930-87D8-F2A5E1AFE1B6}"/>
    <cellStyle name="Итог 3 16 6" xfId="21749" xr:uid="{C3E10906-1479-47DB-B7B6-9DA520CFEB4B}"/>
    <cellStyle name="Итог 3 16 7" xfId="34800" xr:uid="{577C0143-7DB6-4BD6-BAF8-1FDAFB3AA36C}"/>
    <cellStyle name="Итог 3 17" xfId="3992" xr:uid="{C12CE74F-FD0C-4F92-847B-73BC96DA5425}"/>
    <cellStyle name="Итог 3 17 2" xfId="3230" xr:uid="{1956EC2C-6EDF-4E1E-9ADE-D7E07EC546AE}"/>
    <cellStyle name="Итог 3 17 2 2" xfId="8521" xr:uid="{B4AE8371-CDC7-4D36-8695-72136590D7D8}"/>
    <cellStyle name="Итог 3 17 2 2 2" xfId="13559" xr:uid="{4996AD2C-0C69-43BF-8EA6-10EB4CDC3A83}"/>
    <cellStyle name="Итог 3 17 2 2 2 2" xfId="30003" xr:uid="{FEEF17A2-6F8A-4D08-9A74-13BFA1DAC539}"/>
    <cellStyle name="Итог 3 17 2 2 2 3" xfId="43352" xr:uid="{63D0E09A-B7D7-40AF-A888-062D859F5455}"/>
    <cellStyle name="Итог 3 17 2 2 3" xfId="26020" xr:uid="{3728B62C-59A4-4E0A-A2B0-4E9EB638C61F}"/>
    <cellStyle name="Итог 3 17 2 2 4" xfId="39096" xr:uid="{6713932E-D32C-4317-B7EA-EE60EC5AAFCA}"/>
    <cellStyle name="Итог 3 17 2 3" xfId="6889" xr:uid="{6DFF1D92-42A3-41B7-97EC-6948CD03236A}"/>
    <cellStyle name="Итог 3 17 2 3 2" xfId="11866" xr:uid="{1290D1D2-3C41-4049-8563-98B1B5DD07AC}"/>
    <cellStyle name="Итог 3 17 2 3 2 2" xfId="28582" xr:uid="{D1CD9B70-6D1B-485A-9552-80371D23E7BE}"/>
    <cellStyle name="Итог 3 17 2 3 2 3" xfId="41798" xr:uid="{37DD3AC4-324C-4A2D-915B-776A2B3530A7}"/>
    <cellStyle name="Итог 3 17 2 3 3" xfId="24512" xr:uid="{AB91AA4E-5C55-4BBD-9F70-D5DAC6FBDA53}"/>
    <cellStyle name="Итог 3 17 2 3 4" xfId="37593" xr:uid="{B519E153-74C0-4988-AE7C-3B7B829CAB2D}"/>
    <cellStyle name="Итог 3 17 2 4" xfId="11212" xr:uid="{0B628F8D-1FE6-4FCF-A604-9360063A0DA3}"/>
    <cellStyle name="Итог 3 17 2 4 2" xfId="28006" xr:uid="{2BA5402C-2093-40FA-9B91-3BDBDD286F54}"/>
    <cellStyle name="Итог 3 17 2 4 3" xfId="41188" xr:uid="{3ABACECD-C6DB-4E71-B5BC-ECA96BF43CB7}"/>
    <cellStyle name="Итог 3 17 2 5" xfId="21264" xr:uid="{669208A1-2B9E-45F8-B740-497F19D1DB19}"/>
    <cellStyle name="Итог 3 17 2 6" xfId="34287" xr:uid="{64134840-AD1D-42F0-A96E-874438138820}"/>
    <cellStyle name="Итог 3 17 3" xfId="4904" xr:uid="{183A3965-3ED7-4076-A4B5-812D8F8A5177}"/>
    <cellStyle name="Итог 3 17 3 2" xfId="7572" xr:uid="{9D7E2037-3C11-4CD1-86E1-44541CD64022}"/>
    <cellStyle name="Итог 3 17 3 2 2" xfId="16522" xr:uid="{8343D89C-5459-43D5-9A7B-1ACFB3B56FBB}"/>
    <cellStyle name="Итог 3 17 3 2 2 2" xfId="32480" xr:uid="{B8985F68-A098-4A2B-AB8B-7E4A1D400541}"/>
    <cellStyle name="Итог 3 17 3 2 2 3" xfId="46069" xr:uid="{B492557B-EEEC-44B2-9AB9-A8CD316578E6}"/>
    <cellStyle name="Итог 3 17 3 2 3" xfId="25100" xr:uid="{B1717DEB-9A4D-4D37-940F-F05A2AD42ADB}"/>
    <cellStyle name="Итог 3 17 3 2 4" xfId="38176" xr:uid="{385EB53F-C182-45B2-82F8-41E141B065B4}"/>
    <cellStyle name="Итог 3 17 3 3" xfId="11215" xr:uid="{5FDC8016-A2B1-4DB4-A6A8-C6D253C3966C}"/>
    <cellStyle name="Итог 3 17 3 3 2" xfId="28009" xr:uid="{3CC12D17-142C-4786-8F7E-E6530D4B2B1F}"/>
    <cellStyle name="Итог 3 17 3 3 3" xfId="41191" xr:uid="{043A53A1-0FDB-4E34-91EB-E700EECA3573}"/>
    <cellStyle name="Итог 3 17 3 4" xfId="22701" xr:uid="{E65A3DE3-EBF5-4F5F-9099-C179D52428F7}"/>
    <cellStyle name="Итог 3 17 3 5" xfId="35754" xr:uid="{611A032A-FB8F-4563-A350-AAD60F1CBE98}"/>
    <cellStyle name="Итог 3 17 4" xfId="5926" xr:uid="{A2ADA6C4-6FB9-482D-85EA-31266BAB48E0}"/>
    <cellStyle name="Итог 3 17 4 2" xfId="9086" xr:uid="{9E5B065E-B58E-4178-AF3B-684BC26CCE1A}"/>
    <cellStyle name="Итог 3 17 4 2 2" xfId="14440" xr:uid="{DFFBCF21-6D03-43B0-A32B-6B157986FC9F}"/>
    <cellStyle name="Итог 3 17 4 2 2 2" xfId="30769" xr:uid="{9C390147-E9E7-4C60-AB9A-AE9A796D035F}"/>
    <cellStyle name="Итог 3 17 4 2 2 3" xfId="44169" xr:uid="{E70DB48E-E464-4888-B991-06875C4A7870}"/>
    <cellStyle name="Итог 3 17 4 2 3" xfId="26567" xr:uid="{8F05FBA9-3F5F-407F-94A9-1005D29CCAC3}"/>
    <cellStyle name="Итог 3 17 4 2 4" xfId="39643" xr:uid="{B6840E93-1161-4E52-9951-FFCCD2F74138}"/>
    <cellStyle name="Итог 3 17 4 3" xfId="17524" xr:uid="{AEF36625-970D-4F87-B921-7DA556721EED}"/>
    <cellStyle name="Итог 3 17 4 3 2" xfId="33262" xr:uid="{553FD344-0820-4CF6-9E5A-9466C0BF6D33}"/>
    <cellStyle name="Итог 3 17 4 3 3" xfId="47049" xr:uid="{CF0089D4-B72A-404D-89C3-D9C508A2B116}"/>
    <cellStyle name="Итог 3 17 4 4" xfId="23573" xr:uid="{B396D8E1-382F-4C76-A0D1-0C594C9EB941}"/>
    <cellStyle name="Итог 3 17 4 5" xfId="36654" xr:uid="{8D71757C-C326-4649-A6CE-0F521C878B93}"/>
    <cellStyle name="Итог 3 17 5" xfId="16358" xr:uid="{9BE25D7B-FF7A-48BD-BACB-EBCCA73846B3}"/>
    <cellStyle name="Итог 3 17 5 2" xfId="32379" xr:uid="{7367B821-549B-47E1-9A48-2562EA581078}"/>
    <cellStyle name="Итог 3 17 5 3" xfId="45912" xr:uid="{60CC21A6-3D35-454A-B11C-3D77BB4FCEE9}"/>
    <cellStyle name="Итог 3 17 6" xfId="21839" xr:uid="{69622E3D-B299-40D4-9EC7-6B25EEE600AF}"/>
    <cellStyle name="Итог 3 17 7" xfId="34889" xr:uid="{54D11344-F3C1-440A-B3BC-6D5AA9B52C0F}"/>
    <cellStyle name="Итог 3 18" xfId="3866" xr:uid="{4191EC81-2362-414F-B4FF-407AC605C933}"/>
    <cellStyle name="Итог 3 18 2" xfId="3126" xr:uid="{D0E8CBBF-59CE-4D00-BD3A-68259635FE05}"/>
    <cellStyle name="Итог 3 18 2 2" xfId="8418" xr:uid="{48C5F36D-633E-40A2-AEAC-D49BBB900DD1}"/>
    <cellStyle name="Итог 3 18 2 2 2" xfId="12335" xr:uid="{2D43B1BC-E90B-4679-9BB0-301456FC298F}"/>
    <cellStyle name="Итог 3 18 2 2 2 2" xfId="29003" xr:uid="{E2A05491-A34D-4DDE-8446-BCF68A7C2498}"/>
    <cellStyle name="Итог 3 18 2 2 2 3" xfId="42243" xr:uid="{21236FF0-2AF5-4C19-B472-EEE7690A7BFC}"/>
    <cellStyle name="Итог 3 18 2 2 3" xfId="25920" xr:uid="{7EA4A328-0162-41D5-9118-ECC319351853}"/>
    <cellStyle name="Итог 3 18 2 2 4" xfId="38996" xr:uid="{5B245B87-51D9-4C15-BAB1-0F682AB6A3AE}"/>
    <cellStyle name="Итог 3 18 2 3" xfId="6785" xr:uid="{7EF64BEB-FC3E-428F-BFC3-1CE451C26CF8}"/>
    <cellStyle name="Итог 3 18 2 3 2" xfId="14526" xr:uid="{E1BB5FBC-686F-4E46-8198-2C69D8D48320}"/>
    <cellStyle name="Итог 3 18 2 3 2 2" xfId="30841" xr:uid="{4CDFDEF5-B70B-4A9E-8E09-FD7C59A807A2}"/>
    <cellStyle name="Итог 3 18 2 3 2 3" xfId="44253" xr:uid="{5AAA73C9-1C5D-4619-91BE-388EEBC28548}"/>
    <cellStyle name="Итог 3 18 2 3 3" xfId="24411" xr:uid="{24812AAB-F069-414F-877B-571E31C04DC6}"/>
    <cellStyle name="Итог 3 18 2 3 4" xfId="37492" xr:uid="{A09F0BE2-0415-4858-8C69-2DFC0EF866FB}"/>
    <cellStyle name="Итог 3 18 2 4" xfId="13649" xr:uid="{F6476186-226D-41B7-97B5-EFE216218CAB}"/>
    <cellStyle name="Итог 3 18 2 4 2" xfId="30078" xr:uid="{592CE9DC-1931-4F60-BAFF-9EB3985AA8DE}"/>
    <cellStyle name="Итог 3 18 2 4 3" xfId="43436" xr:uid="{9C82BE7D-F48C-434B-8782-F49AA6DD267D}"/>
    <cellStyle name="Итог 3 18 2 5" xfId="21163" xr:uid="{6D171E93-A08A-4554-A318-CD3B43A311BC}"/>
    <cellStyle name="Итог 3 18 2 6" xfId="34186" xr:uid="{86A3AB65-CDCD-487E-98D9-C511F2473E9D}"/>
    <cellStyle name="Итог 3 18 3" xfId="4806" xr:uid="{B4634444-9A4B-4335-AFE0-C29E79D0A14D}"/>
    <cellStyle name="Итог 3 18 3 2" xfId="7450" xr:uid="{CEDA2599-549F-4C37-8FD0-861E151DD252}"/>
    <cellStyle name="Итог 3 18 3 2 2" xfId="13462" xr:uid="{85CB888C-B899-4E2E-A959-F00E3D90D119}"/>
    <cellStyle name="Итог 3 18 3 2 2 2" xfId="29925" xr:uid="{A079B9D2-5EA7-491B-8D94-24BE38ED2EEE}"/>
    <cellStyle name="Итог 3 18 3 2 2 3" xfId="43264" xr:uid="{EC9397E2-E147-46AD-9B47-7A48979E7539}"/>
    <cellStyle name="Итог 3 18 3 2 3" xfId="25007" xr:uid="{790ADEF2-2581-4A1E-8704-B7724FC723F1}"/>
    <cellStyle name="Итог 3 18 3 2 4" xfId="38083" xr:uid="{E8D6F17E-98E3-46C4-BA4A-2BF7AAB027F3}"/>
    <cellStyle name="Итог 3 18 3 3" xfId="12617" xr:uid="{82C4B75F-B837-41BE-8CFC-DB66EE4A67E7}"/>
    <cellStyle name="Итог 3 18 3 3 2" xfId="29227" xr:uid="{22E26EF7-C9D3-4D67-BAE7-BD2DA8D45C4C}"/>
    <cellStyle name="Итог 3 18 3 3 3" xfId="42492" xr:uid="{63B2CD94-3643-49FD-937C-D61CB44767DB}"/>
    <cellStyle name="Итог 3 18 3 4" xfId="22608" xr:uid="{481862D5-7F45-48CA-8EC7-A48F192DBC28}"/>
    <cellStyle name="Итог 3 18 3 5" xfId="35661" xr:uid="{A596077C-F874-40A4-8098-899AE0877ADC}"/>
    <cellStyle name="Итог 3 18 4" xfId="5833" xr:uid="{AFEC1015-1259-46A0-97BD-BECD519B05CF}"/>
    <cellStyle name="Итог 3 18 4 2" xfId="8991" xr:uid="{916A15F2-186D-4F3A-A020-B2D850F20701}"/>
    <cellStyle name="Итог 3 18 4 2 2" xfId="11573" xr:uid="{33EAD897-B1B4-4826-800F-6DE42A38B568}"/>
    <cellStyle name="Итог 3 18 4 2 2 2" xfId="28325" xr:uid="{1EAFE076-07E6-4A7C-A77A-03844999D9B4}"/>
    <cellStyle name="Итог 3 18 4 2 2 3" xfId="41525" xr:uid="{21FE7877-D966-4CA0-A139-1F14AE9655F6}"/>
    <cellStyle name="Итог 3 18 4 2 3" xfId="26476" xr:uid="{B4C6FD59-3270-4F67-A736-468981F2167D}"/>
    <cellStyle name="Итог 3 18 4 2 4" xfId="39552" xr:uid="{B0979151-6ED9-4D0A-B5AE-38670B10AAA5}"/>
    <cellStyle name="Итог 3 18 4 3" xfId="11679" xr:uid="{D458AF39-5431-4D3A-A6D5-C140D25119AA}"/>
    <cellStyle name="Итог 3 18 4 3 2" xfId="28416" xr:uid="{36FCC801-AF17-4F53-B901-4F65B532947D}"/>
    <cellStyle name="Итог 3 18 4 3 3" xfId="41622" xr:uid="{5DC67D57-6231-4D58-B000-D270B87729F3}"/>
    <cellStyle name="Итог 3 18 4 4" xfId="23480" xr:uid="{8F0DBB32-6028-4A15-A7FC-8634DBB37A7D}"/>
    <cellStyle name="Итог 3 18 4 5" xfId="36561" xr:uid="{290FAE22-CAF8-4E30-B0D4-482D2A29BC33}"/>
    <cellStyle name="Итог 3 18 5" xfId="16944" xr:uid="{BFF909DA-A7FE-4855-AE6C-8DACBBDD385F}"/>
    <cellStyle name="Итог 3 18 5 2" xfId="32784" xr:uid="{C5141132-11E3-46E7-A685-7C7484448067}"/>
    <cellStyle name="Итог 3 18 5 3" xfId="46486" xr:uid="{53533CDF-FBCD-4185-9222-F66CE5956F04}"/>
    <cellStyle name="Итог 3 18 6" xfId="21742" xr:uid="{D44FD8C1-407E-480F-AC46-1C71D718E09D}"/>
    <cellStyle name="Итог 3 18 7" xfId="34796" xr:uid="{7002B7CA-39E6-4C9F-A1F4-25DBBFFA495C}"/>
    <cellStyle name="Итог 3 19" xfId="3997" xr:uid="{A9CFD18F-981B-4CB7-B8A2-CC58CFD092D8}"/>
    <cellStyle name="Итог 3 19 2" xfId="3278" xr:uid="{593D32DA-3403-4CC3-86CC-BF88FF3B6A5A}"/>
    <cellStyle name="Итог 3 19 2 2" xfId="8556" xr:uid="{0EE9AEFC-0242-4897-B12E-2A72B78FCAF8}"/>
    <cellStyle name="Итог 3 19 2 2 2" xfId="16266" xr:uid="{31732A6E-2242-40E4-836D-5CB04F725B12}"/>
    <cellStyle name="Итог 3 19 2 2 2 2" xfId="32300" xr:uid="{B419CBF3-9B85-4701-9232-5E04F7F0D4B6}"/>
    <cellStyle name="Итог 3 19 2 2 2 3" xfId="45829" xr:uid="{ED0E8885-BD8C-4DD5-91C2-035A522ACBA8}"/>
    <cellStyle name="Итог 3 19 2 2 3" xfId="26054" xr:uid="{EBA2DCAE-61A2-417D-8CCE-A90B34D9F9A2}"/>
    <cellStyle name="Итог 3 19 2 2 4" xfId="39130" xr:uid="{C816CAAC-D1EC-400F-9B7C-D62BE14EE539}"/>
    <cellStyle name="Итог 3 19 2 3" xfId="6932" xr:uid="{A498D8CE-4557-469C-B661-6A00109A4902}"/>
    <cellStyle name="Итог 3 19 2 3 2" xfId="15777" xr:uid="{DD306D04-811C-4CD8-92F5-B373B737C5CE}"/>
    <cellStyle name="Итог 3 19 2 3 2 2" xfId="31878" xr:uid="{C3A14E9F-3461-4F5A-B2CF-E851532AB0EB}"/>
    <cellStyle name="Итог 3 19 2 3 2 3" xfId="45389" xr:uid="{F70EA807-72EB-4E17-A867-98F903D252BF}"/>
    <cellStyle name="Итог 3 19 2 3 3" xfId="24554" xr:uid="{C6A7CA2B-6F36-475B-A865-B1E3D082881B}"/>
    <cellStyle name="Итог 3 19 2 3 4" xfId="37635" xr:uid="{3D94231C-7E9F-4322-B114-B4C352E6516E}"/>
    <cellStyle name="Итог 3 19 2 4" xfId="16274" xr:uid="{3E42A9EE-E373-40BA-9CBB-D615540D2C96}"/>
    <cellStyle name="Итог 3 19 2 4 2" xfId="32308" xr:uid="{3F4DB66D-4D06-443D-92E3-D93CA687953A}"/>
    <cellStyle name="Итог 3 19 2 4 3" xfId="45837" xr:uid="{C8814840-A57F-49A8-9FEF-25F838EC1B25}"/>
    <cellStyle name="Итог 3 19 2 5" xfId="21306" xr:uid="{2706A88D-6BDD-442F-BA77-FC84BB7D0D59}"/>
    <cellStyle name="Итог 3 19 2 6" xfId="34329" xr:uid="{FADFF679-6EB2-4C34-852F-9745F138202C}"/>
    <cellStyle name="Итог 3 19 3" xfId="4909" xr:uid="{BD605A78-E810-48A2-B001-9AB5EAF4D953}"/>
    <cellStyle name="Итог 3 19 3 2" xfId="7577" xr:uid="{16C0D0C6-69EF-4985-9EFB-E26FD5C48A4E}"/>
    <cellStyle name="Итог 3 19 3 2 2" xfId="15370" xr:uid="{948AFD39-8650-4A94-A2AC-1C6D49D64A01}"/>
    <cellStyle name="Итог 3 19 3 2 2 2" xfId="31526" xr:uid="{6A9BA4AD-3931-4060-8045-CCE6062DEA64}"/>
    <cellStyle name="Итог 3 19 3 2 2 3" xfId="45013" xr:uid="{1394F425-A878-4AD3-AD2E-40BFEB124B59}"/>
    <cellStyle name="Итог 3 19 3 2 3" xfId="25105" xr:uid="{528B3EBF-5AF4-4872-93B9-13CFA634AAD5}"/>
    <cellStyle name="Итог 3 19 3 2 4" xfId="38181" xr:uid="{F2B0AC64-EFC6-4FD2-A904-A50511873BC9}"/>
    <cellStyle name="Итог 3 19 3 3" xfId="13818" xr:uid="{32BD9F04-E091-4EE2-A869-F779BB9A8533}"/>
    <cellStyle name="Итог 3 19 3 3 2" xfId="30220" xr:uid="{9903B9A6-0598-43D9-8641-9BF85E5B4F81}"/>
    <cellStyle name="Итог 3 19 3 3 3" xfId="43590" xr:uid="{5DDBFDF8-B896-4065-A2EF-A320E18EA202}"/>
    <cellStyle name="Итог 3 19 3 4" xfId="22706" xr:uid="{75E68FB1-E9D7-4258-B951-9A9E57987AC5}"/>
    <cellStyle name="Итог 3 19 3 5" xfId="35759" xr:uid="{EB266CC5-A91D-47A7-B7F8-53823D2D268F}"/>
    <cellStyle name="Итог 3 19 4" xfId="5931" xr:uid="{70FB887C-2F1C-482A-A42E-210BB0F2FA80}"/>
    <cellStyle name="Итог 3 19 4 2" xfId="9087" xr:uid="{F29839EB-692B-46CC-98AE-35C8B7B05AD0}"/>
    <cellStyle name="Итог 3 19 4 2 2" xfId="15966" xr:uid="{8138A99E-E389-4331-82A5-8DBD0C194525}"/>
    <cellStyle name="Итог 3 19 4 2 2 2" xfId="32041" xr:uid="{79B9AE67-A8D4-4DFD-B3FF-8FAED0B61102}"/>
    <cellStyle name="Итог 3 19 4 2 2 3" xfId="45559" xr:uid="{2B4E7F42-F65C-4A76-9993-39C4EEEA7619}"/>
    <cellStyle name="Итог 3 19 4 2 3" xfId="26568" xr:uid="{5B6BCD12-A5D8-4E8C-8BFB-6ECA4AE43DC6}"/>
    <cellStyle name="Итог 3 19 4 2 4" xfId="39644" xr:uid="{692AA29F-743B-4E35-84E2-451A37121CF1}"/>
    <cellStyle name="Итог 3 19 4 3" xfId="13137" xr:uid="{D5C93D70-7D32-4455-8883-9E775D884C37}"/>
    <cellStyle name="Итог 3 19 4 3 2" xfId="29651" xr:uid="{37927F0D-8A88-4530-A8BC-CA847686D260}"/>
    <cellStyle name="Итог 3 19 4 3 3" xfId="42963" xr:uid="{6CD96C8A-F8FF-4907-BB01-33BE2F93600E}"/>
    <cellStyle name="Итог 3 19 4 4" xfId="23578" xr:uid="{BD10D62E-CC70-4C83-B372-59D65EAFE555}"/>
    <cellStyle name="Итог 3 19 4 5" xfId="36659" xr:uid="{7B4D2660-0D39-4D3C-B441-76BF90341744}"/>
    <cellStyle name="Итог 3 19 5" xfId="14659" xr:uid="{45B0582E-CD23-46C1-B7BD-4864996AA00E}"/>
    <cellStyle name="Итог 3 19 5 2" xfId="30953" xr:uid="{83F7EA09-8739-49AB-9B7D-66A37C7DC9AA}"/>
    <cellStyle name="Итог 3 19 5 3" xfId="44374" xr:uid="{A1863344-FC41-4CAB-877E-1A5CB986EA27}"/>
    <cellStyle name="Итог 3 19 6" xfId="21844" xr:uid="{F696186D-161B-4065-82BF-ED3730CFD013}"/>
    <cellStyle name="Итог 3 19 7" xfId="34894" xr:uid="{3FAA3977-870A-4E37-AB9A-D455F958D3AC}"/>
    <cellStyle name="Итог 3 2" xfId="3475" xr:uid="{8AC35AEA-974F-417E-99A3-B643C3B9790B}"/>
    <cellStyle name="Итог 3 2 10" xfId="17755" xr:uid="{B1DF069C-8C59-4A30-98C0-A555CE6805CC}"/>
    <cellStyle name="Итог 3 2 10 2" xfId="33477" xr:uid="{3253A02A-E6A2-429F-BE01-99E6DE856B47}"/>
    <cellStyle name="Итог 3 2 10 3" xfId="47256" xr:uid="{D33E1ECA-2028-4D15-8612-6A83EA8482BD}"/>
    <cellStyle name="Итог 3 2 11" xfId="20508" xr:uid="{92D705DF-4DE6-4785-9066-C304698DD981}"/>
    <cellStyle name="Итог 3 2 12" xfId="34491" xr:uid="{4FB2D5CA-C351-41DE-BDE5-9F11540B8AD6}"/>
    <cellStyle name="Итог 3 2 2" xfId="2817" xr:uid="{E408A461-B0C2-4D9E-B3AD-836D6B047506}"/>
    <cellStyle name="Итог 3 2 2 2" xfId="5123" xr:uid="{722B4257-D53D-47FF-BEBB-5B3A88136E2F}"/>
    <cellStyle name="Итог 3 2 2 2 2" xfId="8113" xr:uid="{A5EFC6AA-DABE-4FB5-BD7B-0E7C72A3A2BA}"/>
    <cellStyle name="Итог 3 2 2 2 2 2" xfId="13491" xr:uid="{0C2E9EB3-E7B4-4D1D-A492-72BE967C2923}"/>
    <cellStyle name="Итог 3 2 2 2 2 2 2" xfId="29952" xr:uid="{E94BBAE0-D052-46A0-8997-C801258879DC}"/>
    <cellStyle name="Итог 3 2 2 2 2 2 3" xfId="43292" xr:uid="{80242524-6877-44A3-8FB4-25CA8D020F99}"/>
    <cellStyle name="Итог 3 2 2 2 2 3" xfId="25624" xr:uid="{139AC92F-0F51-498A-ADAB-443C1D991C67}"/>
    <cellStyle name="Итог 3 2 2 2 2 4" xfId="38700" xr:uid="{4A6CB594-63EE-476E-A4F2-02A1EC2DF826}"/>
    <cellStyle name="Итог 3 2 2 2 3" xfId="14089" xr:uid="{9CB36D23-DA82-432D-8151-8FA153B5F0F4}"/>
    <cellStyle name="Итог 3 2 2 2 3 2" xfId="30456" xr:uid="{D02BDA1D-4375-4FA8-B774-827EE8C27AC5}"/>
    <cellStyle name="Итог 3 2 2 2 3 3" xfId="43839" xr:uid="{1E0BAC94-2707-4935-AB9D-85F9BE668133}"/>
    <cellStyle name="Итог 3 2 2 2 4" xfId="22845" xr:uid="{7B426506-1D03-4AB5-8473-E19823C75B05}"/>
    <cellStyle name="Итог 3 2 2 2 5" xfId="35910" xr:uid="{A9A8E70D-74A8-4875-8A03-2EC92CA74C89}"/>
    <cellStyle name="Итог 3 2 2 3" xfId="6480" xr:uid="{C2E2D7BE-7A7C-4DB2-A2F6-DA6F3F3CBF64}"/>
    <cellStyle name="Итог 3 2 2 3 2" xfId="16511" xr:uid="{8004C78F-2C17-4FC3-9A8F-679650AC1FA1}"/>
    <cellStyle name="Итог 3 2 2 3 2 2" xfId="32471" xr:uid="{BED61AFC-490E-4417-9DF0-17DC083C7704}"/>
    <cellStyle name="Итог 3 2 2 3 2 3" xfId="46059" xr:uid="{57EF6625-23B7-4AE5-8565-A5400743B615}"/>
    <cellStyle name="Итог 3 2 2 3 3" xfId="24115" xr:uid="{FC22EB30-280F-46FE-BA9A-C0778785F940}"/>
    <cellStyle name="Итог 3 2 2 3 4" xfId="37196" xr:uid="{53EAF142-E32D-4AE4-BC85-78E1C766A2F9}"/>
    <cellStyle name="Итог 3 2 2 4" xfId="12265" xr:uid="{14C1E577-42ED-42EB-BCDA-93FA91FFEE25}"/>
    <cellStyle name="Итог 3 2 2 4 2" xfId="28944" xr:uid="{F45B1E48-20B8-4C9C-97AD-8BDF1023C293}"/>
    <cellStyle name="Итог 3 2 2 4 3" xfId="42177" xr:uid="{C6F359A1-7797-44EB-83FA-4F2B80A6D9E4}"/>
    <cellStyle name="Итог 3 2 2 5" xfId="20867" xr:uid="{BC40A6DD-1788-423C-A093-300A4FB8B761}"/>
    <cellStyle name="Итог 3 2 2 6" xfId="33890" xr:uid="{D9470AC4-98A4-477A-A64C-B553E2D07C37}"/>
    <cellStyle name="Итог 3 2 3" xfId="4177" xr:uid="{D7284285-2E7D-4FE1-91C2-666115CD5B6F}"/>
    <cellStyle name="Итог 3 2 3 2" xfId="5212" xr:uid="{F376DF10-119F-4D4A-9D33-5F49C9E8CE77}"/>
    <cellStyle name="Итог 3 2 3 2 2" xfId="9229" xr:uid="{AE33BA94-A4A0-4360-81CC-578A3DFF1F6E}"/>
    <cellStyle name="Итог 3 2 3 2 2 2" xfId="12431" xr:uid="{A1F84DAB-E303-4C6A-9FC5-426B52F88230}"/>
    <cellStyle name="Итог 3 2 3 2 2 2 2" xfId="29085" xr:uid="{92937DAE-A8CC-4519-864C-37C2DAEC7F04}"/>
    <cellStyle name="Итог 3 2 3 2 2 2 3" xfId="42330" xr:uid="{DD791E99-26F4-4E5A-93DF-899600A46D87}"/>
    <cellStyle name="Итог 3 2 3 2 2 3" xfId="26704" xr:uid="{F6CC5085-DC4B-4A75-9A36-2A082B422CD7}"/>
    <cellStyle name="Итог 3 2 3 2 2 4" xfId="39780" xr:uid="{4456A63D-DC80-4E4A-8AAE-14D393F18F5A}"/>
    <cellStyle name="Итог 3 2 3 2 3" xfId="14762" xr:uid="{CCF15F30-A25D-4B91-9D6F-DD1D87C122FF}"/>
    <cellStyle name="Итог 3 2 3 2 3 2" xfId="31034" xr:uid="{5AB98B21-26EC-4395-AB9C-8C016D018D7A}"/>
    <cellStyle name="Итог 3 2 3 2 3 3" xfId="44464" xr:uid="{FA2B59A5-74D5-4AA9-B728-BE712EA0830A}"/>
    <cellStyle name="Итог 3 2 3 2 4" xfId="22887" xr:uid="{C346364D-2C00-467E-8EC2-CBF204517D75}"/>
    <cellStyle name="Итог 3 2 3 2 5" xfId="35956" xr:uid="{B6BBFF05-4158-4ACF-8EE8-B6B0E9DEC368}"/>
    <cellStyle name="Итог 3 2 3 3" xfId="7741" xr:uid="{BDEB2FE4-F6EF-4817-B6DB-09B5714D6B9D}"/>
    <cellStyle name="Итог 3 2 3 3 2" xfId="11738" xr:uid="{D64FB312-8CDB-4B5B-8F9E-0F37316FAFB4}"/>
    <cellStyle name="Итог 3 2 3 3 2 2" xfId="28465" xr:uid="{E5D36546-FD5F-4641-B636-0BC68A1F6B3E}"/>
    <cellStyle name="Итог 3 2 3 3 2 3" xfId="41676" xr:uid="{860F0934-5E74-424B-971E-7E8B793CF755}"/>
    <cellStyle name="Итог 3 2 3 3 3" xfId="25263" xr:uid="{762A83BC-F9EC-4D05-9034-553B9F502BF6}"/>
    <cellStyle name="Итог 3 2 3 3 4" xfId="38339" xr:uid="{AA78A086-BBB5-45F0-9BF8-C4BFCF49F5DB}"/>
    <cellStyle name="Итог 3 2 3 4" xfId="14844" xr:uid="{56582C33-255D-46D1-B350-04F50419EEF7}"/>
    <cellStyle name="Итог 3 2 3 4 2" xfId="31101" xr:uid="{036C82A1-53B4-477B-97A0-C0D2B109390F}"/>
    <cellStyle name="Итог 3 2 3 4 3" xfId="44539" xr:uid="{E8D94A61-6F5E-477D-88F1-C98D6E8E888E}"/>
    <cellStyle name="Итог 3 2 3 5" xfId="22004" xr:uid="{FB409F83-1EEB-405F-A1E7-1A63B618BA1D}"/>
    <cellStyle name="Итог 3 2 3 6" xfId="35053" xr:uid="{D22CFBF6-74F0-43C4-8522-266F4202FB5D}"/>
    <cellStyle name="Итог 3 2 4" xfId="2948" xr:uid="{0156E11F-3A24-4A2D-AED6-37CFB96FA8E5}"/>
    <cellStyle name="Итог 3 2 4 2" xfId="5047" xr:uid="{C888897D-3884-4ABB-8941-DF5FDB181763}"/>
    <cellStyle name="Итог 3 2 4 2 2" xfId="8244" xr:uid="{07A6CF9D-BCB6-48B0-82DD-8F39264F2F34}"/>
    <cellStyle name="Итог 3 2 4 2 2 2" xfId="14217" xr:uid="{5DB6B4B8-F6D3-4205-A7C6-D8E879293208}"/>
    <cellStyle name="Итог 3 2 4 2 2 2 2" xfId="30562" xr:uid="{2DB68793-99C0-4CF9-81FA-DAD571F06EAC}"/>
    <cellStyle name="Итог 3 2 4 2 2 2 3" xfId="43954" xr:uid="{E31C7669-ED7C-4978-A422-8FF0DBAE6330}"/>
    <cellStyle name="Итог 3 2 4 2 2 3" xfId="25753" xr:uid="{FCBA1B2C-863B-44D1-85F8-92186A1ABA3F}"/>
    <cellStyle name="Итог 3 2 4 2 2 4" xfId="38829" xr:uid="{38D40370-F537-4569-A99B-EE0831532029}"/>
    <cellStyle name="Итог 3 2 4 2 3" xfId="17167" xr:uid="{94C54730-047B-4659-A3BF-E32E1B5962FB}"/>
    <cellStyle name="Итог 3 2 4 2 3 2" xfId="32930" xr:uid="{112119E2-047D-488E-94E2-9C86A8304D69}"/>
    <cellStyle name="Итог 3 2 4 2 3 3" xfId="46702" xr:uid="{5B786CBD-FD02-484F-8274-3F1379AC25E6}"/>
    <cellStyle name="Итог 3 2 4 2 4" xfId="22797" xr:uid="{64C177E0-8540-4581-B626-5ADB7BD6FBA7}"/>
    <cellStyle name="Итог 3 2 4 2 5" xfId="35862" xr:uid="{67BA8C5B-14A0-4A5D-9386-0DED0CC1294A}"/>
    <cellStyle name="Итог 3 2 4 3" xfId="6611" xr:uid="{9AB8C243-F5C8-41BA-833D-8564889B5390}"/>
    <cellStyle name="Итог 3 2 4 3 2" xfId="14012" xr:uid="{4475ABD1-EF14-4E0A-8363-58E0DC017C0D}"/>
    <cellStyle name="Итог 3 2 4 3 2 2" xfId="30393" xr:uid="{A475B4CD-34FD-4D64-A2D3-2C8920D2FA32}"/>
    <cellStyle name="Итог 3 2 4 3 2 3" xfId="43772" xr:uid="{D9D560B8-3C4C-4183-BFC7-3409C74BD6C7}"/>
    <cellStyle name="Итог 3 2 4 3 3" xfId="24244" xr:uid="{FCC33A3A-EF0A-41C9-A981-291AC566D58C}"/>
    <cellStyle name="Итог 3 2 4 3 4" xfId="37325" xr:uid="{43A88862-6541-4AED-8B3B-651299398C01}"/>
    <cellStyle name="Итог 3 2 4 4" xfId="13702" xr:uid="{E7045C02-5961-4623-8426-3EBB53CB81FE}"/>
    <cellStyle name="Итог 3 2 4 4 2" xfId="30123" xr:uid="{E93F7CDE-7F2E-4182-A5BE-5FA293E1D7E3}"/>
    <cellStyle name="Итог 3 2 4 4 3" xfId="43482" xr:uid="{4BB04DA1-F54A-4E15-99E8-5591C134A5AC}"/>
    <cellStyle name="Итог 3 2 4 5" xfId="20996" xr:uid="{2FB38EE4-2EDA-4182-9BA9-701F4AA3B8BB}"/>
    <cellStyle name="Итог 3 2 4 6" xfId="34019" xr:uid="{DA13C39D-2B21-47D3-9EA1-164BB02B932F}"/>
    <cellStyle name="Итог 3 2 5" xfId="4201" xr:uid="{78858C66-D634-415B-8623-0EB33F6B0D3A}"/>
    <cellStyle name="Итог 3 2 5 2" xfId="5018" xr:uid="{4CAABE6B-B01D-4AB3-892C-3778CC7DCE8E}"/>
    <cellStyle name="Итог 3 2 5 2 2" xfId="9253" xr:uid="{E7DF03F0-8082-4770-A68E-94A6509E1AD7}"/>
    <cellStyle name="Итог 3 2 5 2 2 2" xfId="17228" xr:uid="{99B573BF-113B-4E44-AA45-180959E0B017}"/>
    <cellStyle name="Итог 3 2 5 2 2 2 2" xfId="32987" xr:uid="{CD24060E-248F-4277-8A0F-FC2C19191A91}"/>
    <cellStyle name="Итог 3 2 5 2 2 2 3" xfId="46762" xr:uid="{885415C1-CF78-45A6-9671-63E2C3274ED2}"/>
    <cellStyle name="Итог 3 2 5 2 2 3" xfId="26728" xr:uid="{19E65CD5-FA4B-4FA9-B15A-4E2AB114F24F}"/>
    <cellStyle name="Итог 3 2 5 2 2 4" xfId="39804" xr:uid="{D39FC525-68CB-468A-9C0A-E566344E929B}"/>
    <cellStyle name="Итог 3 2 5 2 3" xfId="14073" xr:uid="{162E2876-3B6F-4074-A453-07B70651A292}"/>
    <cellStyle name="Итог 3 2 5 2 3 2" xfId="30441" xr:uid="{1A92BAE0-8F9F-470F-B6B5-8F58D98BA534}"/>
    <cellStyle name="Итог 3 2 5 2 3 3" xfId="43824" xr:uid="{60CF92E2-112C-4B8E-8596-CE8073775949}"/>
    <cellStyle name="Итог 3 2 5 2 4" xfId="22781" xr:uid="{B8E4C57C-B641-4024-85D1-49B368652850}"/>
    <cellStyle name="Итог 3 2 5 2 5" xfId="35842" xr:uid="{29085602-D9C2-4F20-9450-E97135B35AC0}"/>
    <cellStyle name="Итог 3 2 5 3" xfId="7765" xr:uid="{A1B53ECB-BED9-4447-823C-48BA37DFFD67}"/>
    <cellStyle name="Итог 3 2 5 3 2" xfId="12594" xr:uid="{2FA4131A-DA66-4605-8161-383BD06C34B9}"/>
    <cellStyle name="Итог 3 2 5 3 2 2" xfId="29209" xr:uid="{AC344792-4F78-45DC-850B-82DB0264B679}"/>
    <cellStyle name="Итог 3 2 5 3 2 3" xfId="42473" xr:uid="{DB2DC38B-A630-4972-8BEB-9FADBA744D58}"/>
    <cellStyle name="Итог 3 2 5 3 3" xfId="25287" xr:uid="{27C5A609-D2E2-4147-94BA-6F3A683214C2}"/>
    <cellStyle name="Итог 3 2 5 3 4" xfId="38363" xr:uid="{BCE697B7-A73C-435B-B80B-10C87B496630}"/>
    <cellStyle name="Итог 3 2 5 4" xfId="11067" xr:uid="{73046CEB-F27B-4436-85DA-2AAF7E18A7EE}"/>
    <cellStyle name="Итог 3 2 5 4 2" xfId="27870" xr:uid="{25D59690-93F9-46E5-B081-14614079A40F}"/>
    <cellStyle name="Итог 3 2 5 4 3" xfId="41046" xr:uid="{C7245D85-3BD5-4F0C-A0C7-0AA203CC56FF}"/>
    <cellStyle name="Итог 3 2 5 5" xfId="22028" xr:uid="{366B22A6-0FEA-4F7E-B458-92A86835E982}"/>
    <cellStyle name="Итог 3 2 5 6" xfId="35077" xr:uid="{EAC02BBE-F4EE-4A71-8AE1-65E12EB41403}"/>
    <cellStyle name="Итог 3 2 6" xfId="4477" xr:uid="{A14272EB-EDEC-4C87-B9A4-CBF7EE6FF3EB}"/>
    <cellStyle name="Итог 3 2 6 2" xfId="7117" xr:uid="{D545A212-2C31-418A-B3BA-51CE66050010}"/>
    <cellStyle name="Итог 3 2 6 2 2" xfId="16832" xr:uid="{052C33EE-1AA1-4560-800B-75B35FEACA3A}"/>
    <cellStyle name="Итог 3 2 6 2 2 2" xfId="32712" xr:uid="{794D2058-E6E8-4C90-82AF-219FF16EBD46}"/>
    <cellStyle name="Итог 3 2 6 2 2 3" xfId="46375" xr:uid="{E3F3F67F-677F-4B99-BF29-925D22AA7C04}"/>
    <cellStyle name="Итог 3 2 6 2 3" xfId="24716" xr:uid="{F77FA8EF-9512-41CD-885F-797E3DBE6974}"/>
    <cellStyle name="Итог 3 2 6 2 4" xfId="37797" xr:uid="{55ABCCD2-C172-4443-AA79-5992015AF7CB}"/>
    <cellStyle name="Итог 3 2 6 3" xfId="16779" xr:uid="{3E29D8B2-622F-4F3F-A465-0505BDDC71A6}"/>
    <cellStyle name="Итог 3 2 6 3 2" xfId="32660" xr:uid="{CABF7789-49FA-4988-92CA-BD2F18F95A9E}"/>
    <cellStyle name="Итог 3 2 6 3 3" xfId="46322" xr:uid="{5A173C10-A47D-4DB1-9FA7-2DF996E5C8D8}"/>
    <cellStyle name="Итог 3 2 6 4" xfId="22295" xr:uid="{66207601-FD76-4A67-BE2E-01D8BF23791D}"/>
    <cellStyle name="Итог 3 2 6 5" xfId="35344" xr:uid="{882E12BF-777B-4BA0-AA96-FA3799552891}"/>
    <cellStyle name="Итог 3 2 7" xfId="5225" xr:uid="{F1563810-32DB-4BC3-991D-97378770593E}"/>
    <cellStyle name="Итог 3 2 7 2" xfId="8712" xr:uid="{BD8465EB-C2CD-4DC0-91D6-A546798861A4}"/>
    <cellStyle name="Итог 3 2 7 2 2" xfId="12396" xr:uid="{2E2B3E51-6122-4634-A5B1-90A63A3AE844}"/>
    <cellStyle name="Итог 3 2 7 2 2 2" xfId="29061" xr:uid="{FDDD183F-56E2-4DCE-A988-2CA31094F599}"/>
    <cellStyle name="Итог 3 2 7 2 2 3" xfId="42302" xr:uid="{0FCAEA1E-2DAA-462E-8322-123CE272790D}"/>
    <cellStyle name="Итог 3 2 7 2 3" xfId="26205" xr:uid="{A19A4EBA-F98D-4714-9E0A-7AE8DF63AD52}"/>
    <cellStyle name="Итог 3 2 7 2 4" xfId="39281" xr:uid="{E846710F-A2D9-42A4-9966-F75D5B366D12}"/>
    <cellStyle name="Итог 3 2 7 3" xfId="12944" xr:uid="{1692FC2E-020F-4C64-A9C6-03C210275F2D}"/>
    <cellStyle name="Итог 3 2 7 3 2" xfId="29484" xr:uid="{E69043C1-8382-4DEA-AFD9-8BF3361E8019}"/>
    <cellStyle name="Итог 3 2 7 3 3" xfId="42782" xr:uid="{5D0352F6-DA78-4F55-96AC-D1925D3406F8}"/>
    <cellStyle name="Итог 3 2 7 4" xfId="22894" xr:uid="{EF61736A-6856-46C9-8B9D-D966B6923715}"/>
    <cellStyle name="Итог 3 2 7 5" xfId="35967" xr:uid="{5EFFAF40-EF3B-435C-858E-AFD68C7CB3DB}"/>
    <cellStyle name="Итог 3 2 8" xfId="5530" xr:uid="{B514F759-CBF5-4036-8858-2781D66D7454}"/>
    <cellStyle name="Итог 3 2 8 2" xfId="9824" xr:uid="{5DB90C06-BF77-4D5E-A5FD-A4F77235C701}"/>
    <cellStyle name="Итог 3 2 8 2 2" xfId="16135" xr:uid="{A49B50FF-D83F-4EC0-80AC-C6310E1986B0}"/>
    <cellStyle name="Итог 3 2 8 2 2 2" xfId="32189" xr:uid="{647C5377-54D6-46EE-87D7-7BAC8F0155B1}"/>
    <cellStyle name="Итог 3 2 8 2 2 3" xfId="45710" xr:uid="{CF790C02-B363-49B7-9E35-87B4C7A05509}"/>
    <cellStyle name="Итог 3 2 8 2 3" xfId="27120" xr:uid="{1A3428EB-1EAB-4748-8F17-77F374D07DB5}"/>
    <cellStyle name="Итог 3 2 8 2 4" xfId="40239" xr:uid="{98E35A7C-700C-4775-8276-0BCA223DE8C0}"/>
    <cellStyle name="Итог 3 2 8 3" xfId="16629" xr:uid="{594CF26C-6192-44FD-AC02-FB7CCC776CED}"/>
    <cellStyle name="Итог 3 2 8 3 2" xfId="32535" xr:uid="{75756DDB-190E-4891-9F5A-CF76639ACD44}"/>
    <cellStyle name="Итог 3 2 8 3 3" xfId="46176" xr:uid="{C39A6F15-4F0F-4F61-B004-BF843E808967}"/>
    <cellStyle name="Итог 3 2 8 4" xfId="23177" xr:uid="{2D4FBD2D-2927-45D0-B12C-904CAE7EA4F3}"/>
    <cellStyle name="Итог 3 2 8 5" xfId="36258" xr:uid="{A22E879C-EE4B-4168-ADA9-D1DB5979F5B1}"/>
    <cellStyle name="Итог 3 2 9" xfId="13759" xr:uid="{B48BA3B6-17C2-48BE-B0AE-031B503A7819}"/>
    <cellStyle name="Итог 3 2 9 2" xfId="30169" xr:uid="{CF4B4FE6-7B7F-4CD7-934D-C02AEBE728CA}"/>
    <cellStyle name="Итог 3 2 9 3" xfId="43532" xr:uid="{442DC731-7411-476C-A82F-F985ECCA4F1F}"/>
    <cellStyle name="Итог 3 20" xfId="3999" xr:uid="{0019A84E-1F89-47E3-ADAB-DC692F3B96B4}"/>
    <cellStyle name="Итог 3 20 2" xfId="3235" xr:uid="{063C9CD3-9A73-4192-A2B9-61A3B57B6767}"/>
    <cellStyle name="Итог 3 20 2 2" xfId="8526" xr:uid="{5D095D58-23E7-4929-B49D-06F01F1DB643}"/>
    <cellStyle name="Итог 3 20 2 2 2" xfId="10778" xr:uid="{33F48914-D459-4D08-96F4-32108C4E1109}"/>
    <cellStyle name="Итог 3 20 2 2 2 2" xfId="27613" xr:uid="{294808C4-3C4A-42E0-86C9-19A81CD0CC5C}"/>
    <cellStyle name="Итог 3 20 2 2 2 3" xfId="40759" xr:uid="{CB9B2E49-23EF-4AF0-8B5A-0E614A2B76DB}"/>
    <cellStyle name="Итог 3 20 2 2 3" xfId="26025" xr:uid="{1EFD5F56-CF05-46D1-BAF7-B8CCC3F053F6}"/>
    <cellStyle name="Итог 3 20 2 2 4" xfId="39101" xr:uid="{81B13741-9A4A-4974-857E-046EEE193BDD}"/>
    <cellStyle name="Итог 3 20 2 3" xfId="6894" xr:uid="{CBEE64B6-C2E9-4135-A606-085E12F162F6}"/>
    <cellStyle name="Итог 3 20 2 3 2" xfId="10865" xr:uid="{EC6C477F-97D0-4BC6-93DC-537FCE55A720}"/>
    <cellStyle name="Итог 3 20 2 3 2 2" xfId="27692" xr:uid="{02D33093-168F-4BF5-9F00-2631E4D70149}"/>
    <cellStyle name="Итог 3 20 2 3 2 3" xfId="40845" xr:uid="{C0DBE45F-8050-4B84-9AE2-08364B3F2BC9}"/>
    <cellStyle name="Итог 3 20 2 3 3" xfId="24517" xr:uid="{BA54BB98-8AAF-4509-9615-F22E1BB63532}"/>
    <cellStyle name="Итог 3 20 2 3 4" xfId="37598" xr:uid="{DAE1CE79-5CD4-4AA2-9FEC-0956FEE6D039}"/>
    <cellStyle name="Итог 3 20 2 4" xfId="13258" xr:uid="{94C8494C-A470-4D85-8CB4-D8569DC60606}"/>
    <cellStyle name="Итог 3 20 2 4 2" xfId="29750" xr:uid="{436B9DD1-E7B0-4F3E-9429-256477C21107}"/>
    <cellStyle name="Итог 3 20 2 4 3" xfId="43076" xr:uid="{A1A37EB9-076A-4070-BBE2-7E2650BCF8A9}"/>
    <cellStyle name="Итог 3 20 2 5" xfId="21269" xr:uid="{93E4BE96-9F99-4962-882D-19FE03E50DEA}"/>
    <cellStyle name="Итог 3 20 2 6" xfId="34292" xr:uid="{DBC7BDE8-4C32-47C2-A57B-CB5EB73B3047}"/>
    <cellStyle name="Итог 3 20 3" xfId="4911" xr:uid="{0B73C68D-7C3D-4243-A606-B71D982413E0}"/>
    <cellStyle name="Итог 3 20 3 2" xfId="7579" xr:uid="{5F61621C-F3F7-4C2F-B182-F3FC8FD9350B}"/>
    <cellStyle name="Итог 3 20 3 2 2" xfId="14051" xr:uid="{074BCD30-703E-4817-A32F-CC2A19B37A7F}"/>
    <cellStyle name="Итог 3 20 3 2 2 2" xfId="30421" xr:uid="{2C6A8B2C-13E6-466F-856F-E22A6F6F4FB8}"/>
    <cellStyle name="Итог 3 20 3 2 2 3" xfId="43804" xr:uid="{1455F879-7B84-4E46-BA5B-AA76249F2335}"/>
    <cellStyle name="Итог 3 20 3 2 3" xfId="25107" xr:uid="{56039594-7367-468F-9459-224D9263E4E6}"/>
    <cellStyle name="Итог 3 20 3 2 4" xfId="38183" xr:uid="{838DAC21-F81D-42D5-B665-130BB611385C}"/>
    <cellStyle name="Итог 3 20 3 3" xfId="12066" xr:uid="{1B8EDA75-8265-4B21-84C8-153044CBBB48}"/>
    <cellStyle name="Итог 3 20 3 3 2" xfId="28766" xr:uid="{9B3D5FA0-066C-4A09-802F-39289BD737FC}"/>
    <cellStyle name="Итог 3 20 3 3 3" xfId="41986" xr:uid="{4F844F5E-2948-4AF8-BAB5-8A1950875285}"/>
    <cellStyle name="Итог 3 20 3 4" xfId="22708" xr:uid="{4662B794-C742-44A4-BEDF-969E3D3C0A41}"/>
    <cellStyle name="Итог 3 20 3 5" xfId="35761" xr:uid="{0E73AC72-B7C4-45DD-9724-CB3B9ED9BACF}"/>
    <cellStyle name="Итог 3 20 4" xfId="5933" xr:uid="{D520E39E-37AD-4604-A29B-E10879A9B51D}"/>
    <cellStyle name="Итог 3 20 4 2" xfId="9864" xr:uid="{CF0CA328-8993-455C-85F3-ED9B1CACAB51}"/>
    <cellStyle name="Итог 3 20 4 2 2" xfId="10820" xr:uid="{8E5978BA-5124-4CD8-BE02-C1937CFB77F2}"/>
    <cellStyle name="Итог 3 20 4 2 2 2" xfId="27652" xr:uid="{FDB8AA2F-EDC5-4DCC-9264-8D7B42C27526}"/>
    <cellStyle name="Итог 3 20 4 2 2 3" xfId="40801" xr:uid="{C5EB92BC-215E-4380-AAC3-82F79583F060}"/>
    <cellStyle name="Итог 3 20 4 2 3" xfId="27160" xr:uid="{8D8C5DA8-C37E-4E64-A496-78319CD48609}"/>
    <cellStyle name="Итог 3 20 4 2 4" xfId="40279" xr:uid="{E21ECA43-C671-4EAA-802F-1297AB1E48AC}"/>
    <cellStyle name="Итог 3 20 4 3" xfId="15368" xr:uid="{ED9FB200-6426-40D7-A5CB-AE921A3CDB6A}"/>
    <cellStyle name="Итог 3 20 4 3 2" xfId="31524" xr:uid="{E42DCF34-C1CE-4C04-ADE1-FDE5CE5BD76F}"/>
    <cellStyle name="Итог 3 20 4 3 3" xfId="45011" xr:uid="{4DDB7E48-C614-44B6-ABC8-91D45591BD6F}"/>
    <cellStyle name="Итог 3 20 4 4" xfId="23580" xr:uid="{8EE3F0D1-9340-42B7-A566-12BE78EE9CA0}"/>
    <cellStyle name="Итог 3 20 4 5" xfId="36661" xr:uid="{9390D86A-9EF9-4C52-A5C0-353C69B447AE}"/>
    <cellStyle name="Итог 3 20 5" xfId="6105" xr:uid="{40B03583-E8B7-4110-8DF6-A0A1DE45DD15}"/>
    <cellStyle name="Итог 3 20 5 2" xfId="11234" xr:uid="{6E70088B-C458-4BED-9271-33F9AE2BEE43}"/>
    <cellStyle name="Итог 3 20 5 2 2" xfId="28027" xr:uid="{D13AB3A1-A7DF-4B61-956B-2E83C94F854F}"/>
    <cellStyle name="Итог 3 20 5 2 3" xfId="41209" xr:uid="{6BFF8BA7-AB25-4700-94BE-0F7B30A744B8}"/>
    <cellStyle name="Итог 3 20 5 3" xfId="23751" xr:uid="{450BCC81-2FEA-4023-AC01-BB35BD2D7061}"/>
    <cellStyle name="Итог 3 20 5 4" xfId="36832" xr:uid="{C33D7D23-EA6F-4B6E-85FD-FAA016C5E4AB}"/>
    <cellStyle name="Итог 3 20 6" xfId="15646" xr:uid="{3CDC6FB6-72D8-4891-A56A-E1970D69E2BD}"/>
    <cellStyle name="Итог 3 20 6 2" xfId="31765" xr:uid="{817FF542-6E62-44A6-9B53-7FA7EA850CAF}"/>
    <cellStyle name="Итог 3 20 6 3" xfId="45270" xr:uid="{CD19EAD7-C969-4818-A3AF-3356826D95FB}"/>
    <cellStyle name="Итог 3 20 7" xfId="21846" xr:uid="{F0B83C03-78B0-4CD6-8CC8-92D6C2EAE388}"/>
    <cellStyle name="Итог 3 20 8" xfId="34896" xr:uid="{06B9FD0D-9FF4-4244-9D58-AB69629384DD}"/>
    <cellStyle name="Итог 3 21" xfId="3184" xr:uid="{E87FAFD1-A92C-4775-83C0-9F5C9E4BAF23}"/>
    <cellStyle name="Итог 3 21 2" xfId="8476" xr:uid="{4D0F3A60-14B8-4989-A8A4-C551806A8E68}"/>
    <cellStyle name="Итог 3 21 2 2" xfId="11011" xr:uid="{D8ABD2FB-6775-4340-A8E1-A54BDA3381E3}"/>
    <cellStyle name="Итог 3 21 2 2 2" xfId="27818" xr:uid="{8ED12701-CE16-4E17-8E30-766A88A3417A}"/>
    <cellStyle name="Итог 3 21 2 2 3" xfId="40991" xr:uid="{33D3FFB7-CF42-4FEB-9635-A56DF1CD5C84}"/>
    <cellStyle name="Итог 3 21 2 3" xfId="25976" xr:uid="{DA6DB0BD-56C5-48DA-BD14-D34C6CF63EFA}"/>
    <cellStyle name="Итог 3 21 2 4" xfId="39052" xr:uid="{D90CEA3B-8DEA-4A7A-A042-829CA00CBC62}"/>
    <cellStyle name="Итог 3 21 3" xfId="6843" xr:uid="{36AB2CC5-A457-4806-BDDE-935F1842FB29}"/>
    <cellStyle name="Итог 3 21 3 2" xfId="15897" xr:uid="{99A7662C-863A-47D1-AFFC-10A18B919CB7}"/>
    <cellStyle name="Итог 3 21 3 2 2" xfId="31980" xr:uid="{F2977B39-55E9-4440-AD37-2FE5087A1EA1}"/>
    <cellStyle name="Итог 3 21 3 2 3" xfId="45496" xr:uid="{863EFF8A-82F7-4F15-8075-35B1038EDAF7}"/>
    <cellStyle name="Итог 3 21 3 3" xfId="24467" xr:uid="{2D4806E7-B1AA-41BF-AC8C-D8AC8DD58834}"/>
    <cellStyle name="Итог 3 21 3 4" xfId="37548" xr:uid="{93F2D33F-826A-4DB4-8CF4-20A3522E11D8}"/>
    <cellStyle name="Итог 3 21 4" xfId="12406" xr:uid="{B7896877-35E3-4F06-8DA6-3771F1A708FB}"/>
    <cellStyle name="Итог 3 21 4 2" xfId="29070" xr:uid="{C7A017C9-0ECA-4B3F-A879-6F2735BC9898}"/>
    <cellStyle name="Итог 3 21 4 3" xfId="42311" xr:uid="{B7F1F622-1545-416E-B0BB-978869DE39C9}"/>
    <cellStyle name="Итог 3 21 5" xfId="21219" xr:uid="{622508EF-07DE-47E7-995B-53F97D2A1E34}"/>
    <cellStyle name="Итог 3 21 6" xfId="34242" xr:uid="{084A52FD-4C94-45F5-9C50-AA2C2A515511}"/>
    <cellStyle name="Итог 3 22" xfId="2652" xr:uid="{359F075D-6123-4C7B-B908-6F397F1DEAC5}"/>
    <cellStyle name="Итог 3 22 2" xfId="7949" xr:uid="{38F7D39B-A0E3-4116-8F7C-CFD9667DBA1B}"/>
    <cellStyle name="Итог 3 22 2 2" xfId="15064" xr:uid="{A9378706-845D-4F07-B230-4A277EA0AF7C}"/>
    <cellStyle name="Итог 3 22 2 2 2" xfId="31275" xr:uid="{EB46283B-3E4C-431F-BEA9-93E1D633B865}"/>
    <cellStyle name="Итог 3 22 2 2 3" xfId="44731" xr:uid="{FFF47140-32E7-4778-BFC6-D0F3A5443DA6}"/>
    <cellStyle name="Итог 3 22 2 3" xfId="25465" xr:uid="{BABE80E2-AFC4-41B5-A169-84309611D494}"/>
    <cellStyle name="Итог 3 22 2 4" xfId="38541" xr:uid="{A63284C3-973F-4739-8215-DEFE619DF9DA}"/>
    <cellStyle name="Итог 3 22 3" xfId="6316" xr:uid="{529F4447-C040-46B5-ABD9-86E59DE986AA}"/>
    <cellStyle name="Итог 3 22 3 2" xfId="15710" xr:uid="{A9B4DDE2-EA43-4830-81CC-6F4AFBE51846}"/>
    <cellStyle name="Итог 3 22 3 2 2" xfId="31821" xr:uid="{2CF1AFE8-C20D-4F13-B7B5-B530B0B2E895}"/>
    <cellStyle name="Итог 3 22 3 2 3" xfId="45329" xr:uid="{46DB113E-02B9-4BAB-813D-FD1486539541}"/>
    <cellStyle name="Итог 3 22 3 3" xfId="23956" xr:uid="{055EDA07-75C6-48B2-87F1-E7441192C645}"/>
    <cellStyle name="Итог 3 22 3 4" xfId="37037" xr:uid="{0FE20687-B0C6-4023-8730-E27FB706CAE6}"/>
    <cellStyle name="Итог 3 22 4" xfId="16430" xr:uid="{2F542C84-2EB7-49FC-A185-72F353E35726}"/>
    <cellStyle name="Итог 3 22 4 2" xfId="32444" xr:uid="{D808F643-5B4A-446D-A6EA-47260CBB3FD4}"/>
    <cellStyle name="Итог 3 22 4 3" xfId="45981" xr:uid="{BA6C334F-DB9D-4C36-954E-398C416D9723}"/>
    <cellStyle name="Итог 3 22 5" xfId="20708" xr:uid="{564CF7F3-709B-4615-8F60-72F62B7A92D1}"/>
    <cellStyle name="Итог 3 22 6" xfId="33731" xr:uid="{FFB2FB7F-B10A-41F7-8C8C-44E4A8D4213B}"/>
    <cellStyle name="Итог 3 23" xfId="4155" xr:uid="{4817BFDB-EC7D-40D2-AB6E-F37B8BD3C252}"/>
    <cellStyle name="Итог 3 23 2" xfId="9207" xr:uid="{49E13D31-B6D8-401C-A255-C9A119B6A6B4}"/>
    <cellStyle name="Итог 3 23 2 2" xfId="12995" xr:uid="{D67932FB-E3FB-45A6-85E4-1D0C779BFB75}"/>
    <cellStyle name="Итог 3 23 2 2 2" xfId="29531" xr:uid="{8D227C4E-2166-4C93-8F93-A7E1121DB19B}"/>
    <cellStyle name="Итог 3 23 2 2 3" xfId="42832" xr:uid="{A26BAF22-0277-4A93-BE7F-DBA0919172E7}"/>
    <cellStyle name="Итог 3 23 2 3" xfId="26682" xr:uid="{A2B0F956-DC4F-4B7D-968C-9E7F0365EDF4}"/>
    <cellStyle name="Итог 3 23 2 4" xfId="39758" xr:uid="{D1D83898-F627-41B0-AB96-4B0D6A67586D}"/>
    <cellStyle name="Итог 3 23 3" xfId="7719" xr:uid="{8C657E35-8C96-417C-979B-EE479CF41BFF}"/>
    <cellStyle name="Итог 3 23 3 2" xfId="16380" xr:uid="{49FF8A52-EA9F-409C-B64B-395B3E517969}"/>
    <cellStyle name="Итог 3 23 3 2 2" xfId="32400" xr:uid="{B2706C22-DE4F-4E4A-8045-34EF1E7560D0}"/>
    <cellStyle name="Итог 3 23 3 2 3" xfId="45934" xr:uid="{9ADC3DB0-4E0E-4CCF-91B2-529CCAA302B8}"/>
    <cellStyle name="Итог 3 23 3 3" xfId="25241" xr:uid="{D006BB3C-FCFE-4610-93B3-303BE9071992}"/>
    <cellStyle name="Итог 3 23 3 4" xfId="38317" xr:uid="{4683856C-FF19-438E-8848-2105A7F8BB69}"/>
    <cellStyle name="Итог 3 23 4" xfId="12188" xr:uid="{C8D7E101-641F-401E-8B24-B65D06C5D797}"/>
    <cellStyle name="Итог 3 23 4 2" xfId="28881" xr:uid="{2AC08C07-F903-4C1B-8D09-A07D668EA837}"/>
    <cellStyle name="Итог 3 23 4 3" xfId="42108" xr:uid="{57C3CD89-A4E0-40CC-8ADE-456D3744FEF9}"/>
    <cellStyle name="Итог 3 23 5" xfId="21982" xr:uid="{082FC5E2-2233-4FDF-86B7-C34FBC1208FC}"/>
    <cellStyle name="Итог 3 23 6" xfId="35031" xr:uid="{FE235294-1C35-46F2-BC05-145C54091100}"/>
    <cellStyle name="Итог 3 24" xfId="2561" xr:uid="{63C32A34-DB24-4BCB-9E89-1C0D5984FD09}"/>
    <cellStyle name="Итог 3 24 2" xfId="7859" xr:uid="{D81F547F-1032-4A64-8982-A5BA79D91449}"/>
    <cellStyle name="Итог 3 24 2 2" xfId="10720" xr:uid="{B201DE65-B8FC-4E07-9BD7-FF963E4A05E6}"/>
    <cellStyle name="Итог 3 24 2 2 2" xfId="27564" xr:uid="{91F66FB5-FBC0-49E0-9F5C-99A177720A6E}"/>
    <cellStyle name="Итог 3 24 2 2 3" xfId="40701" xr:uid="{100D0907-3A95-42B3-BC0C-AA00CF1CB113}"/>
    <cellStyle name="Итог 3 24 2 3" xfId="25378" xr:uid="{7950026A-D6B7-421C-A778-3806C5CF8650}"/>
    <cellStyle name="Итог 3 24 2 4" xfId="38454" xr:uid="{7ED0B1C2-391E-48C3-8F63-7E9C81A3C1C8}"/>
    <cellStyle name="Итог 3 24 3" xfId="6226" xr:uid="{3212514B-D89F-492A-B54E-7FC91A7AF37C}"/>
    <cellStyle name="Итог 3 24 3 2" xfId="13742" xr:uid="{02E704CE-9D69-4A48-AA54-F1332A1BD0A7}"/>
    <cellStyle name="Итог 3 24 3 2 2" xfId="30155" xr:uid="{7CD5988D-0110-4B34-9F70-00FBDA6BBA3B}"/>
    <cellStyle name="Итог 3 24 3 2 3" xfId="43517" xr:uid="{56C43383-133B-43EB-98DD-FCCE0497BC47}"/>
    <cellStyle name="Итог 3 24 3 3" xfId="23869" xr:uid="{08567452-F2F9-4E73-9CB4-6CD3E77116F5}"/>
    <cellStyle name="Итог 3 24 3 4" xfId="36950" xr:uid="{21C2497C-3745-4DD8-ACBE-62E8BC03D84C}"/>
    <cellStyle name="Итог 3 24 4" xfId="11613" xr:uid="{E3264A22-0128-465F-9238-E883D28CD84B}"/>
    <cellStyle name="Итог 3 24 4 2" xfId="28360" xr:uid="{95DEE43E-C2F1-4543-A67C-6BC2274B6949}"/>
    <cellStyle name="Итог 3 24 4 3" xfId="41562" xr:uid="{66CA9D85-D98E-4E02-BE10-2DFC67E6EFBD}"/>
    <cellStyle name="Итог 3 24 5" xfId="20621" xr:uid="{858596D8-5635-4F1F-B2CB-C0695074E42A}"/>
    <cellStyle name="Итог 3 24 6" xfId="33644" xr:uid="{E2545B6D-79B6-45BD-8B2C-A79AD40A13C1}"/>
    <cellStyle name="Итог 3 25" xfId="4086" xr:uid="{27EF65AC-29DC-4726-A103-2ECF6DF2DED4}"/>
    <cellStyle name="Итог 3 25 2" xfId="9138" xr:uid="{5520F010-6798-4B32-A429-F866D1323887}"/>
    <cellStyle name="Итог 3 25 2 2" xfId="11668" xr:uid="{64F38837-08F8-45F3-AC6E-060980BA23D1}"/>
    <cellStyle name="Итог 3 25 2 2 2" xfId="28407" xr:uid="{DAA237BD-28D8-430B-86BB-672516DC1ADD}"/>
    <cellStyle name="Итог 3 25 2 2 3" xfId="41611" xr:uid="{A921D782-C76E-4239-AFA1-5CD059FD610A}"/>
    <cellStyle name="Итог 3 25 2 3" xfId="26619" xr:uid="{70B32009-A977-45B7-8201-BF8CE1917C12}"/>
    <cellStyle name="Итог 3 25 2 4" xfId="39695" xr:uid="{EB7F77C6-9C1B-4F93-A83A-D63CF8352036}"/>
    <cellStyle name="Итог 3 25 3" xfId="7650" xr:uid="{75C61A2E-63AD-431C-9576-748969BFDC41}"/>
    <cellStyle name="Итог 3 25 3 2" xfId="13346" xr:uid="{D4EA99F0-2EAA-4FB1-B4D9-F112433F6B4D}"/>
    <cellStyle name="Итог 3 25 3 2 2" xfId="29827" xr:uid="{BC14E210-AEB9-428C-A348-770923DDB007}"/>
    <cellStyle name="Итог 3 25 3 2 3" xfId="43159" xr:uid="{6546500C-EF94-4E52-ACE5-8772448CDEB8}"/>
    <cellStyle name="Итог 3 25 3 3" xfId="25178" xr:uid="{8BF87F6A-9E17-4C20-B155-5145CFA7E8A9}"/>
    <cellStyle name="Итог 3 25 3 4" xfId="38254" xr:uid="{D91D6870-7A9C-4E02-AA15-F979E5FF42ED}"/>
    <cellStyle name="Итог 3 25 4" xfId="15490" xr:uid="{011CFDF0-6D1A-4BB8-A927-A3CABC38CF5C}"/>
    <cellStyle name="Итог 3 25 4 2" xfId="31629" xr:uid="{4A803FAE-1A70-4022-8238-A1A3790EF611}"/>
    <cellStyle name="Итог 3 25 4 3" xfId="45126" xr:uid="{516E3AF1-DDE3-4194-89EF-7B5481D3FB85}"/>
    <cellStyle name="Итог 3 25 5" xfId="21919" xr:uid="{F9F8799D-3A01-42A4-B266-AD85E1F53239}"/>
    <cellStyle name="Итог 3 25 6" xfId="34968" xr:uid="{A16A3A0B-6AD9-4CFB-835A-C49BA6E031C2}"/>
    <cellStyle name="Итог 3 26" xfId="4302" xr:uid="{F29DFBEE-273B-4D4B-9849-132BFFDD8CF3}"/>
    <cellStyle name="Итог 3 26 2" xfId="6171" xr:uid="{4D601727-6EF7-447B-8205-BB4D2D271DB8}"/>
    <cellStyle name="Итог 3 26 2 2" xfId="15316" xr:uid="{782830E4-DEEE-422B-BF94-8A76EB65D08D}"/>
    <cellStyle name="Итог 3 26 2 2 2" xfId="31477" xr:uid="{5B404BB6-89AA-41E7-98B0-1CBB2DCFAAD2}"/>
    <cellStyle name="Итог 3 26 2 2 3" xfId="44962" xr:uid="{2397DB12-9B4D-4855-B064-FE20BD5F21AC}"/>
    <cellStyle name="Итог 3 26 2 3" xfId="23816" xr:uid="{F3C5E5EF-E073-4736-9588-F630ABFEE833}"/>
    <cellStyle name="Итог 3 26 2 4" xfId="36897" xr:uid="{A05D94B6-B3CA-4004-86AD-0466A776DDC0}"/>
    <cellStyle name="Итог 3 26 3" xfId="12340" xr:uid="{2E6A0AE9-D81A-4E71-B60D-F2E3AE5435B8}"/>
    <cellStyle name="Итог 3 26 3 2" xfId="29008" xr:uid="{8411F68E-7526-4541-BFDD-67041BAFBC80}"/>
    <cellStyle name="Итог 3 26 3 3" xfId="42248" xr:uid="{556210F6-1EF3-4BEE-9E79-BF931967E8FA}"/>
    <cellStyle name="Итог 3 26 4" xfId="22123" xr:uid="{3C204FAB-8BF5-406E-A89B-824954F0E269}"/>
    <cellStyle name="Итог 3 26 5" xfId="35172" xr:uid="{EDBB82BC-450E-4B78-BE3A-D4A3FD03BCD3}"/>
    <cellStyle name="Итог 3 27" xfId="5282" xr:uid="{EA7D9B8E-FA53-4808-A9CD-9314B88B4DA7}"/>
    <cellStyle name="Итог 3 27 2" xfId="9715" xr:uid="{D44777B8-4508-4660-99AA-F49A45F07531}"/>
    <cellStyle name="Итог 3 27 2 2" xfId="12235" xr:uid="{605A002B-4D54-4432-A9B6-4F45D42BB758}"/>
    <cellStyle name="Итог 3 27 2 2 2" xfId="28917" xr:uid="{9925997C-CA53-4899-B5CE-2ABC46E8995F}"/>
    <cellStyle name="Итог 3 27 2 2 3" xfId="42150" xr:uid="{49E02E84-97C6-4FD2-A4F7-20729BF134EB}"/>
    <cellStyle name="Итог 3 27 2 3" xfId="27014" xr:uid="{A3EC6DF7-4F98-45CE-B298-ADBF73278489}"/>
    <cellStyle name="Итог 3 27 2 4" xfId="40131" xr:uid="{421963DA-1DA6-45A5-82C9-92C6A85C7806}"/>
    <cellStyle name="Итог 3 27 3" xfId="11175" xr:uid="{7801D9CD-BE86-46C3-B01B-9EACB7EAFFC2}"/>
    <cellStyle name="Итог 3 27 3 2" xfId="27969" xr:uid="{0B61D49E-87C9-444D-B71C-9C4790785429}"/>
    <cellStyle name="Итог 3 27 3 3" xfId="41151" xr:uid="{4EF6A6F2-4B0A-4643-B34A-936363E3D49F}"/>
    <cellStyle name="Итог 3 27 4" xfId="22933" xr:uid="{EE330DB4-DE33-4B37-80C7-7C8C570475BA}"/>
    <cellStyle name="Итог 3 27 5" xfId="36012" xr:uid="{394F79F9-6ED5-4621-80C5-18D94E20A04B}"/>
    <cellStyle name="Итог 3 28" xfId="5358" xr:uid="{F001BF53-1EB7-446E-B1CC-386F309F52FE}"/>
    <cellStyle name="Итог 3 28 2" xfId="9789" xr:uid="{067E9CF9-1AAA-4F1F-B0E1-833A48FD77A5}"/>
    <cellStyle name="Итог 3 28 2 2" xfId="10789" xr:uid="{21D0B047-161A-4687-ACDD-F684C52A86FA}"/>
    <cellStyle name="Итог 3 28 2 2 2" xfId="27623" xr:uid="{C91BCA7C-CFD0-4A50-9FB9-26A8B2CA3974}"/>
    <cellStyle name="Итог 3 28 2 2 3" xfId="40770" xr:uid="{4D3C1400-E58A-453B-BD9E-0004764D6467}"/>
    <cellStyle name="Итог 3 28 2 3" xfId="27086" xr:uid="{FE93C0C4-1443-43B3-819D-3F127639A928}"/>
    <cellStyle name="Итог 3 28 2 4" xfId="40205" xr:uid="{951A21F9-BB39-4C2D-92B7-0262571D9FD9}"/>
    <cellStyle name="Итог 3 28 3" xfId="14289" xr:uid="{0D0AC4D2-432F-428D-A26D-365D6A67F1E2}"/>
    <cellStyle name="Итог 3 28 3 2" xfId="30628" xr:uid="{D36B07DF-9A82-44B7-892D-23BFE4F6C648}"/>
    <cellStyle name="Итог 3 28 3 3" xfId="44022" xr:uid="{024247F3-47E8-4F34-AB2F-F42375B0EA67}"/>
    <cellStyle name="Итог 3 28 4" xfId="23005" xr:uid="{065FAE84-4432-4E8E-8C85-3B76FD462390}"/>
    <cellStyle name="Итог 3 28 5" xfId="36086" xr:uid="{C2299B8C-7E92-4D8D-85BC-7A0326FD8E75}"/>
    <cellStyle name="Итог 3 29" xfId="10572" xr:uid="{349C041C-D2F6-43BD-928B-E2CFD13781ED}"/>
    <cellStyle name="Итог 3 29 2" xfId="17617" xr:uid="{B72B535C-C356-43DD-8C39-E4D4923E4256}"/>
    <cellStyle name="Итог 3 29 2 2" xfId="33352" xr:uid="{00E64664-70A7-429A-B901-9B3B1A61F4B4}"/>
    <cellStyle name="Итог 3 29 2 3" xfId="47142" xr:uid="{BCC9C3ED-43BD-4583-91E0-1DEBE62CFA91}"/>
    <cellStyle name="Итог 3 29 3" xfId="27431" xr:uid="{65124C3C-3EDF-4D7A-847F-CEB499CE34D7}"/>
    <cellStyle name="Итог 3 29 4" xfId="40553" xr:uid="{91152EE3-AC4E-47FB-94C8-3AA5BF50721B}"/>
    <cellStyle name="Итог 3 3" xfId="3325" xr:uid="{E773B773-3462-48E2-A978-F857E5F3E0BC}"/>
    <cellStyle name="Итог 3 3 10" xfId="34372" xr:uid="{B3D4152C-A453-40BD-9B79-2688FB57C477}"/>
    <cellStyle name="Итог 3 3 2" xfId="2687" xr:uid="{D6F661A7-3EAA-4AB1-A117-295FE831E70B}"/>
    <cellStyle name="Итог 3 3 2 2" xfId="7983" xr:uid="{394B3A82-A2FC-4234-A711-3D88C0769EA6}"/>
    <cellStyle name="Итог 3 3 2 2 2" xfId="13812" xr:uid="{206B6A12-3591-471E-8F82-A7BFC3CC6644}"/>
    <cellStyle name="Итог 3 3 2 2 2 2" xfId="30215" xr:uid="{0FB07A0E-D60A-4D33-9FC8-27D9C3E5B373}"/>
    <cellStyle name="Итог 3 3 2 2 2 3" xfId="43584" xr:uid="{26CEFFE8-1087-478E-AD8F-CCAAF5507642}"/>
    <cellStyle name="Итог 3 3 2 2 3" xfId="25499" xr:uid="{3C1EE626-CC5C-4178-9F5E-3BCA3487B9F4}"/>
    <cellStyle name="Итог 3 3 2 2 4" xfId="38575" xr:uid="{28CFF8C7-5309-4CDA-BDFD-CF22B292BA8C}"/>
    <cellStyle name="Итог 3 3 2 3" xfId="6350" xr:uid="{945B9EA5-F2E0-46C4-8B20-000192251334}"/>
    <cellStyle name="Итог 3 3 2 3 2" xfId="14330" xr:uid="{9683951B-1EF5-4713-AC64-33CBA5E5D607}"/>
    <cellStyle name="Итог 3 3 2 3 2 2" xfId="30665" xr:uid="{664EFCDC-1B18-4F86-B348-3AEF2EA6ECB1}"/>
    <cellStyle name="Итог 3 3 2 3 2 3" xfId="44060" xr:uid="{CD6F319B-BD88-4D10-BC30-4F3D5B7A9249}"/>
    <cellStyle name="Итог 3 3 2 3 3" xfId="23990" xr:uid="{112E497C-A70D-4ED1-84FA-2B03EC3B0BD2}"/>
    <cellStyle name="Итог 3 3 2 3 4" xfId="37071" xr:uid="{7F9B35D6-C349-45BC-892F-FC4151609EF1}"/>
    <cellStyle name="Итог 3 3 2 4" xfId="12832" xr:uid="{58AD45E4-41B4-4EDE-95B6-02E3DE9CFC77}"/>
    <cellStyle name="Итог 3 3 2 4 2" xfId="29404" xr:uid="{9034F3CB-D5E7-46C3-86C1-A4CC34F04E91}"/>
    <cellStyle name="Итог 3 3 2 4 3" xfId="42686" xr:uid="{C34B2DE7-CD7B-4A01-BD84-D0ECAF80BF77}"/>
    <cellStyle name="Итог 3 3 2 5" xfId="20742" xr:uid="{F58D8499-EDFB-4860-A4FB-D31085331AF4}"/>
    <cellStyle name="Итог 3 3 2 6" xfId="33765" xr:uid="{6B2950B9-8525-49D5-B767-72C68DBF6D21}"/>
    <cellStyle name="Итог 3 3 3" xfId="4159" xr:uid="{022EA722-3258-4A37-AB13-B87394DD695F}"/>
    <cellStyle name="Итог 3 3 3 2" xfId="9211" xr:uid="{41C1FB89-E495-430D-971B-336C3E2FECB6}"/>
    <cellStyle name="Итог 3 3 3 2 2" xfId="16853" xr:uid="{DFB2D4A6-59F2-4604-8887-B2205C7C537D}"/>
    <cellStyle name="Итог 3 3 3 2 2 2" xfId="32730" xr:uid="{B76CA513-6776-48BF-982A-46830CCC3BE4}"/>
    <cellStyle name="Итог 3 3 3 2 2 3" xfId="46395" xr:uid="{0552DE1C-4765-49E5-A013-5EBAB139BFB6}"/>
    <cellStyle name="Итог 3 3 3 2 3" xfId="26686" xr:uid="{3F8CABA5-5AB8-4EAE-A03D-B4EC74DBD6F6}"/>
    <cellStyle name="Итог 3 3 3 2 4" xfId="39762" xr:uid="{DB87CD27-BF71-4B20-9B61-08CADB93395C}"/>
    <cellStyle name="Итог 3 3 3 3" xfId="7723" xr:uid="{06994395-32C0-4B7C-88F5-51C65D8CF58F}"/>
    <cellStyle name="Итог 3 3 3 3 2" xfId="12277" xr:uid="{7EAA85AF-D654-43EE-9DCB-83B5B8C30AEE}"/>
    <cellStyle name="Итог 3 3 3 3 2 2" xfId="28955" xr:uid="{2DB815E7-B59C-464E-B2B8-57DFB64D6FBC}"/>
    <cellStyle name="Итог 3 3 3 3 2 3" xfId="42189" xr:uid="{3FDCCC55-0238-44D9-A45B-DC7721BE5BF1}"/>
    <cellStyle name="Итог 3 3 3 3 3" xfId="25245" xr:uid="{1814903D-D4F9-4127-9417-5EC573BB610A}"/>
    <cellStyle name="Итог 3 3 3 3 4" xfId="38321" xr:uid="{A4905079-5298-4B18-9808-954A128263DD}"/>
    <cellStyle name="Итог 3 3 3 4" xfId="13794" xr:uid="{37A88B6F-940A-4AE9-A57D-DEB9BEE1222D}"/>
    <cellStyle name="Итог 3 3 3 4 2" xfId="30200" xr:uid="{D7D72492-7D01-4544-B8AB-16DD630DA30C}"/>
    <cellStyle name="Итог 3 3 3 4 3" xfId="43566" xr:uid="{5A42F533-B675-44A3-9C28-D5ACBF802793}"/>
    <cellStyle name="Итог 3 3 3 5" xfId="21986" xr:uid="{FAA444BD-BA2D-43C8-BAF3-FB4960E1D6CD}"/>
    <cellStyle name="Итог 3 3 3 6" xfId="35035" xr:uid="{BE8D583A-5787-429A-BE2E-EEB896415ED4}"/>
    <cellStyle name="Итог 3 3 4" xfId="2573" xr:uid="{61B11642-5E7B-41EB-A361-5A9538CC74E2}"/>
    <cellStyle name="Итог 3 3 4 2" xfId="7870" xr:uid="{ECADDB95-041C-42DA-BC7A-23D922D09114}"/>
    <cellStyle name="Итог 3 3 4 2 2" xfId="13271" xr:uid="{CA6200FB-1F23-4827-9FEE-C8805871004C}"/>
    <cellStyle name="Итог 3 3 4 2 2 2" xfId="29762" xr:uid="{9BAA5F58-6B2D-4A4E-8230-05A1DA52F283}"/>
    <cellStyle name="Итог 3 3 4 2 2 3" xfId="43088" xr:uid="{F7ED9A88-0AD1-4EA9-AD32-BA7B41B73266}"/>
    <cellStyle name="Итог 3 3 4 2 3" xfId="25389" xr:uid="{D8444A7E-CC20-4165-AEB3-34EC3BC229B5}"/>
    <cellStyle name="Итог 3 3 4 2 4" xfId="38465" xr:uid="{1A594CA3-9BEE-4813-946B-8DE066C2769F}"/>
    <cellStyle name="Итог 3 3 4 3" xfId="6237" xr:uid="{E6F74DA7-5744-4619-B5A4-492D875D800F}"/>
    <cellStyle name="Итог 3 3 4 3 2" xfId="16790" xr:uid="{A2E05988-3B31-49F8-B88E-FF309347005F}"/>
    <cellStyle name="Итог 3 3 4 3 2 2" xfId="32671" xr:uid="{B31E22FE-121C-41F7-99E5-38C003A5CEE4}"/>
    <cellStyle name="Итог 3 3 4 3 2 3" xfId="46333" xr:uid="{FFFE9389-6DD6-4945-8DE5-BE49E267DC7F}"/>
    <cellStyle name="Итог 3 3 4 3 3" xfId="23880" xr:uid="{D0D1B22C-5789-4120-846B-16AB52B90763}"/>
    <cellStyle name="Итог 3 3 4 3 4" xfId="36961" xr:uid="{25441D17-D4FC-4BDD-97ED-AC1E5F83D288}"/>
    <cellStyle name="Итог 3 3 4 4" xfId="11935" xr:uid="{7328F40D-36E4-4766-8C6D-223E2B2F8DE8}"/>
    <cellStyle name="Итог 3 3 4 4 2" xfId="28647" xr:uid="{0014603A-D926-4DA9-99EB-1357C772DE17}"/>
    <cellStyle name="Итог 3 3 4 4 3" xfId="41865" xr:uid="{1FD77366-E8E5-4713-A488-5854559EFE39}"/>
    <cellStyle name="Итог 3 3 4 5" xfId="20632" xr:uid="{399A9FB7-E128-4E1D-B08A-E3FCE67D88EB}"/>
    <cellStyle name="Итог 3 3 4 6" xfId="33655" xr:uid="{273BE65E-E57B-44BB-B34B-8580AF96D346}"/>
    <cellStyle name="Итог 3 3 5" xfId="4265" xr:uid="{024B852E-8AD2-48E6-B1F9-1E14182A0176}"/>
    <cellStyle name="Итог 3 3 5 2" xfId="9317" xr:uid="{08EEA64F-BB75-455C-B511-63CC70FA2AC2}"/>
    <cellStyle name="Итог 3 3 5 2 2" xfId="15576" xr:uid="{C61E155A-1FBD-4E98-98CE-6F8920E41FC6}"/>
    <cellStyle name="Итог 3 3 5 2 2 2" xfId="31705" xr:uid="{F00CC0B1-508B-42DC-B625-0DC96D345D5D}"/>
    <cellStyle name="Итог 3 3 5 2 2 3" xfId="45207" xr:uid="{2D84CDA5-EC12-4663-A62A-B2CFFBFA9E4B}"/>
    <cellStyle name="Итог 3 3 5 2 3" xfId="26790" xr:uid="{4BF61C63-98BC-488D-80B9-B6E53E0BEFC9}"/>
    <cellStyle name="Итог 3 3 5 2 4" xfId="39866" xr:uid="{429AF004-CF6D-4AE9-8419-2676AAEC4200}"/>
    <cellStyle name="Итог 3 3 5 3" xfId="7829" xr:uid="{A89765A9-4A26-4FA9-B56F-913B80BA27A3}"/>
    <cellStyle name="Итог 3 3 5 3 2" xfId="11945" xr:uid="{E5A8D57C-3A96-49EA-9801-F1463A1B8ACB}"/>
    <cellStyle name="Итог 3 3 5 3 2 2" xfId="28655" xr:uid="{5A171793-C06E-42D6-BEE2-FCA317AC131A}"/>
    <cellStyle name="Итог 3 3 5 3 2 3" xfId="41873" xr:uid="{18850C84-4EEF-4EA5-93D6-DEDF5F08D35A}"/>
    <cellStyle name="Итог 3 3 5 3 3" xfId="25349" xr:uid="{B7777496-6E47-448A-A4A2-5ED7B6C3D0F2}"/>
    <cellStyle name="Итог 3 3 5 3 4" xfId="38425" xr:uid="{213BCEEB-C07F-460C-BD7A-A2A227153F09}"/>
    <cellStyle name="Итог 3 3 5 4" xfId="13205" xr:uid="{0F657B9A-3128-46CE-8097-19E58BF6C4B2}"/>
    <cellStyle name="Итог 3 3 5 4 2" xfId="29706" xr:uid="{F270B2DE-A334-40BA-BBAD-77244D7141A5}"/>
    <cellStyle name="Итог 3 3 5 4 3" xfId="43025" xr:uid="{A5C01194-41F7-403B-AE03-510F55D4BC5F}"/>
    <cellStyle name="Итог 3 3 5 5" xfId="22090" xr:uid="{DED8B9CF-D863-4923-88CF-5F5D55DE02F3}"/>
    <cellStyle name="Итог 3 3 5 6" xfId="35139" xr:uid="{464F1363-4656-402C-8FF4-D1089AF417B5}"/>
    <cellStyle name="Итог 3 3 6" xfId="4356" xr:uid="{0F5F9659-7350-41DD-86B0-63CAC817A487}"/>
    <cellStyle name="Итог 3 3 6 2" xfId="6975" xr:uid="{698AB06C-89E6-46FD-9A82-EDD4BD7BA62F}"/>
    <cellStyle name="Итог 3 3 6 2 2" xfId="14776" xr:uid="{2EA2C289-F44C-4E59-A0FF-753B1AD8090F}"/>
    <cellStyle name="Итог 3 3 6 2 2 2" xfId="31044" xr:uid="{3078E1B6-5EEC-4522-BA22-DC6FB6C07600}"/>
    <cellStyle name="Итог 3 3 6 2 2 3" xfId="44475" xr:uid="{0C48D3D1-5DBF-42CF-B081-B450B49F56E2}"/>
    <cellStyle name="Итог 3 3 6 2 3" xfId="24597" xr:uid="{BD203F20-9CF3-464C-9438-5F1A685AAEBD}"/>
    <cellStyle name="Итог 3 3 6 2 4" xfId="37678" xr:uid="{A12133BB-4FB6-4435-A739-ABED3073B0AF}"/>
    <cellStyle name="Итог 3 3 6 3" xfId="12171" xr:uid="{0D5D6D00-A8DA-46D6-A294-CDAA2C2971F2}"/>
    <cellStyle name="Итог 3 3 6 3 2" xfId="28866" xr:uid="{0E9D38B6-1304-4C7A-91B9-66590D8A2A72}"/>
    <cellStyle name="Итог 3 3 6 3 3" xfId="42091" xr:uid="{50EED778-849E-444A-93E4-E34DAD3AD1A4}"/>
    <cellStyle name="Итог 3 3 6 4" xfId="22176" xr:uid="{FEE792AF-59E2-4C73-A840-ACB0A9B9CF3D}"/>
    <cellStyle name="Итог 3 3 6 5" xfId="35225" xr:uid="{98B90ED9-DA40-4E9D-9B16-A2127D67DB76}"/>
    <cellStyle name="Итог 3 3 7" xfId="5411" xr:uid="{386B0E40-FFFE-4DC4-97D9-00899C830C4D}"/>
    <cellStyle name="Итог 3 3 7 2" xfId="8588" xr:uid="{7AEC7EE0-CEC5-4E05-8C7E-58CDD95D7C4E}"/>
    <cellStyle name="Итог 3 3 7 2 2" xfId="17431" xr:uid="{45C1EABE-C6F7-4EC3-9BFE-2E118D053D6B}"/>
    <cellStyle name="Итог 3 3 7 2 2 2" xfId="33185" xr:uid="{818270D4-0219-4230-BFD7-63E9C66E98A6}"/>
    <cellStyle name="Итог 3 3 7 2 2 3" xfId="46961" xr:uid="{CF556E3B-8245-45DF-A0ED-B037AFB42F37}"/>
    <cellStyle name="Итог 3 3 7 2 3" xfId="26086" xr:uid="{9C48BB14-2FD3-4803-A023-43A9979888D8}"/>
    <cellStyle name="Итог 3 3 7 2 4" xfId="39162" xr:uid="{E1020AB5-4C1D-41F8-A835-F801DE962E51}"/>
    <cellStyle name="Итог 3 3 7 3" xfId="13400" xr:uid="{19D32E65-3CB1-4009-863C-ED7D9CED3D1E}"/>
    <cellStyle name="Итог 3 3 7 3 2" xfId="29869" xr:uid="{FE65362A-F841-4CC5-BDA7-C0D3222B5906}"/>
    <cellStyle name="Итог 3 3 7 3 3" xfId="43204" xr:uid="{C99583A6-1B27-4D99-9DFF-90DC674DED10}"/>
    <cellStyle name="Итог 3 3 7 4" xfId="23058" xr:uid="{4A56CB79-B4E9-4F86-802D-C11B96B5EF03}"/>
    <cellStyle name="Итог 3 3 7 5" xfId="36139" xr:uid="{65DB053B-8398-4D2C-8ECA-100FF184F9A4}"/>
    <cellStyle name="Итог 3 3 8" xfId="13609" xr:uid="{F4A66672-44EB-44A4-8DCB-52293D6EC382}"/>
    <cellStyle name="Итог 3 3 8 2" xfId="30048" xr:uid="{D942C0C7-E90A-4299-BE57-F08618ED5350}"/>
    <cellStyle name="Итог 3 3 8 3" xfId="43400" xr:uid="{1C5FA951-DA4A-4C61-BB6E-FE201ADC7A94}"/>
    <cellStyle name="Итог 3 3 9" xfId="21349" xr:uid="{6B590D06-8309-416D-B5B8-577F4259D296}"/>
    <cellStyle name="Итог 3 30" xfId="12021" xr:uid="{2AB74657-F293-4E29-9A67-26262A31DBCF}"/>
    <cellStyle name="Итог 3 30 2" xfId="28723" xr:uid="{8ED82FEF-9537-4A3D-9988-4B003FA2B8E8}"/>
    <cellStyle name="Итог 3 30 3" xfId="41941" xr:uid="{1BDA34DD-643E-4EED-9AA2-A485E3C72A00}"/>
    <cellStyle name="Итог 3 31" xfId="15521" xr:uid="{DFD9BF53-F962-410F-ABF4-FAB34575D8E4}"/>
    <cellStyle name="Итог 3 31 2" xfId="31658" xr:uid="{26734C76-DCE6-4035-9D75-7C2F99608CD0}"/>
    <cellStyle name="Итог 3 31 3" xfId="45156" xr:uid="{55E9D1F1-C1CB-4823-9CE4-E2E9B53EFA48}"/>
    <cellStyle name="Итог 3 32" xfId="14426" xr:uid="{F60BC9FC-FB99-4AD7-9CE5-6AA6406687F2}"/>
    <cellStyle name="Итог 3 32 2" xfId="30756" xr:uid="{50F0BDCC-B3F0-4941-B28F-99A1415FE3BB}"/>
    <cellStyle name="Итог 3 32 3" xfId="44156" xr:uid="{9DF104AC-3DDF-46EC-A92E-6D80C5957DE3}"/>
    <cellStyle name="Итог 3 33" xfId="17670" xr:uid="{91BC74E7-6019-432B-BD69-5DEA1ADCF373}"/>
    <cellStyle name="Итог 3 33 2" xfId="33393" xr:uid="{5F585A56-4562-4C9A-B9B1-D51C7C0BB614}"/>
    <cellStyle name="Итог 3 33 3" xfId="47182" xr:uid="{164D9A8C-A980-459F-8203-DF3D4936A8C4}"/>
    <cellStyle name="Итог 3 34" xfId="33572" xr:uid="{E1DBB51C-03C7-470E-9337-9F8F88952AE5}"/>
    <cellStyle name="Итог 3 4" xfId="3489" xr:uid="{812F9C0E-6334-4A41-B743-F39F34668F6E}"/>
    <cellStyle name="Итог 3 4 10" xfId="34505" xr:uid="{0A6D0D63-E22A-4E18-AAB4-E9BA3DAB5447}"/>
    <cellStyle name="Итог 3 4 2" xfId="2831" xr:uid="{D8ECACB9-CE16-41BF-915E-5A345A2B3038}"/>
    <cellStyle name="Итог 3 4 2 2" xfId="8127" xr:uid="{A9E180C2-7B28-4C26-8206-EA40C7148521}"/>
    <cellStyle name="Итог 3 4 2 2 2" xfId="15997" xr:uid="{1D6CDD3E-F944-44CC-89BF-92B372A04123}"/>
    <cellStyle name="Итог 3 4 2 2 2 2" xfId="32068" xr:uid="{6897EB36-A958-4105-8BC6-846194562C69}"/>
    <cellStyle name="Итог 3 4 2 2 2 3" xfId="45587" xr:uid="{1C3B7602-D9AF-4862-816B-8B67B680EFB1}"/>
    <cellStyle name="Итог 3 4 2 2 3" xfId="25638" xr:uid="{E5E2E921-91EF-4915-89B2-25497964FC48}"/>
    <cellStyle name="Итог 3 4 2 2 4" xfId="38714" xr:uid="{DD971FD2-28C1-4403-BD71-F0E3E9F4CF84}"/>
    <cellStyle name="Итог 3 4 2 3" xfId="6494" xr:uid="{C9A4676B-0443-4CFE-87D4-9FDBECEC8E8A}"/>
    <cellStyle name="Итог 3 4 2 3 2" xfId="14020" xr:uid="{88C9CE04-9A9F-4702-846C-F35DFCAA7B3A}"/>
    <cellStyle name="Итог 3 4 2 3 2 2" xfId="30400" xr:uid="{0BD3D755-4926-43B3-A6EE-104F2B7036FA}"/>
    <cellStyle name="Итог 3 4 2 3 2 3" xfId="43779" xr:uid="{6DFD1913-BDAA-489A-AAA2-946150FA1867}"/>
    <cellStyle name="Итог 3 4 2 3 3" xfId="24129" xr:uid="{00036669-A607-4A9E-A7FA-2ED6A3F7FA1C}"/>
    <cellStyle name="Итог 3 4 2 3 4" xfId="37210" xr:uid="{980E85C0-FFBF-46EC-BE0F-05AAAE209749}"/>
    <cellStyle name="Итог 3 4 2 4" xfId="17323" xr:uid="{41DBAF14-8F10-463D-B778-9E6BCC2985FF}"/>
    <cellStyle name="Итог 3 4 2 4 2" xfId="33077" xr:uid="{FAC47646-F092-4049-89CB-E9D9D8933AE6}"/>
    <cellStyle name="Итог 3 4 2 4 3" xfId="46853" xr:uid="{513B03CA-6D87-47B8-B75C-494D53B214E0}"/>
    <cellStyle name="Итог 3 4 2 5" xfId="20881" xr:uid="{6D4323FA-AA1B-46FC-9908-C46BF605E835}"/>
    <cellStyle name="Итог 3 4 2 6" xfId="33904" xr:uid="{0CEEFAE2-F750-4218-B752-F9FE1C7A7585}"/>
    <cellStyle name="Итог 3 4 3" xfId="4184" xr:uid="{E72C0CAE-A4BE-4DB2-8C7E-BC9092F2E4ED}"/>
    <cellStyle name="Итог 3 4 3 2" xfId="9236" xr:uid="{1E109FD2-7C54-44A1-A0AF-5D7099F8C241}"/>
    <cellStyle name="Итог 3 4 3 2 2" xfId="16449" xr:uid="{0070A52A-FFAE-4ABC-8FB4-537979116F8C}"/>
    <cellStyle name="Итог 3 4 3 2 2 2" xfId="32457" xr:uid="{EBE02209-614F-49C3-BCD6-ED427A141885}"/>
    <cellStyle name="Итог 3 4 3 2 2 3" xfId="45997" xr:uid="{208028EC-C89C-44F7-8D67-886ADBD57A73}"/>
    <cellStyle name="Итог 3 4 3 2 3" xfId="26711" xr:uid="{CC7708F2-DC15-4865-BDFD-DB88F76BA7CB}"/>
    <cellStyle name="Итог 3 4 3 2 4" xfId="39787" xr:uid="{CF1A71CE-0EF1-427E-BE0D-9D43C7D40B03}"/>
    <cellStyle name="Итог 3 4 3 3" xfId="7748" xr:uid="{D8BB5A8A-44C9-4E55-A86C-2C8CAE17C516}"/>
    <cellStyle name="Итог 3 4 3 3 2" xfId="16209" xr:uid="{468632BB-1F9C-4C2E-B2E1-D96D9FDDEDA8}"/>
    <cellStyle name="Итог 3 4 3 3 2 2" xfId="32249" xr:uid="{3656EC9D-78D0-4A13-BCC9-CF995242EFDF}"/>
    <cellStyle name="Итог 3 4 3 3 2 3" xfId="45776" xr:uid="{7DDFE012-6DF4-4146-829B-F24A5CE7CB51}"/>
    <cellStyle name="Итог 3 4 3 3 3" xfId="25270" xr:uid="{45C26706-8232-4461-8F0E-84E805A0D56E}"/>
    <cellStyle name="Итог 3 4 3 3 4" xfId="38346" xr:uid="{C9D332EA-9466-48C2-B76B-ACF593E6075C}"/>
    <cellStyle name="Итог 3 4 3 4" xfId="14017" xr:uid="{164E870B-87B9-44FF-BD6F-E60565CAD05C}"/>
    <cellStyle name="Итог 3 4 3 4 2" xfId="30397" xr:uid="{5748B851-DA8D-4BFF-8028-493DB1FB94F9}"/>
    <cellStyle name="Итог 3 4 3 4 3" xfId="43776" xr:uid="{D05BCF17-1D75-4F72-B549-E8EF9CA50583}"/>
    <cellStyle name="Итог 3 4 3 5" xfId="22011" xr:uid="{ED2215AF-19F1-4828-BB7B-5291C6E6D95C}"/>
    <cellStyle name="Итог 3 4 3 6" xfId="35060" xr:uid="{099643EF-28AF-43AC-B6F1-4B84E025396A}"/>
    <cellStyle name="Итог 3 4 4" xfId="2956" xr:uid="{CDC038E6-5DE4-480C-9657-2F5A4192378D}"/>
    <cellStyle name="Итог 3 4 4 2" xfId="8252" xr:uid="{B9713A0E-6C6C-40ED-B83E-0E47A18AE142}"/>
    <cellStyle name="Итог 3 4 4 2 2" xfId="10795" xr:uid="{A0B1F856-0649-4F5A-A9AD-0DE6D190F43D}"/>
    <cellStyle name="Итог 3 4 4 2 2 2" xfId="27629" xr:uid="{275EFB01-7960-4431-9374-FA301EF6FA22}"/>
    <cellStyle name="Итог 3 4 4 2 2 3" xfId="40776" xr:uid="{65E2E6E4-1010-42C8-93E5-3AE70CE11F75}"/>
    <cellStyle name="Итог 3 4 4 2 3" xfId="25761" xr:uid="{931B2201-EBED-4AB6-AA86-48555CCF4414}"/>
    <cellStyle name="Итог 3 4 4 2 4" xfId="38837" xr:uid="{617021EF-BDD8-4DAC-8475-414DFA799098}"/>
    <cellStyle name="Итог 3 4 4 3" xfId="6619" xr:uid="{2B155681-996B-4F75-A488-305E4799F051}"/>
    <cellStyle name="Итог 3 4 4 3 2" xfId="14155" xr:uid="{E390C9A4-46FA-4299-9867-24637574932C}"/>
    <cellStyle name="Итог 3 4 4 3 2 2" xfId="30512" xr:uid="{CB06E141-42FF-4B1E-98E3-62878E22863F}"/>
    <cellStyle name="Итог 3 4 4 3 2 3" xfId="43898" xr:uid="{F0F8CE54-8760-4726-AC3B-F6BB4A1D729D}"/>
    <cellStyle name="Итог 3 4 4 3 3" xfId="24252" xr:uid="{4CA7162D-9993-46C1-B650-46A188BDB310}"/>
    <cellStyle name="Итог 3 4 4 3 4" xfId="37333" xr:uid="{F0D0DA39-905F-4471-8E1D-C03A99A3126E}"/>
    <cellStyle name="Итог 3 4 4 4" xfId="11643" xr:uid="{A7707AB3-9F79-41D6-AF3D-B76CD499EBC4}"/>
    <cellStyle name="Итог 3 4 4 4 2" xfId="28386" xr:uid="{41AD3EC4-1404-4D71-AB84-E770490C94E9}"/>
    <cellStyle name="Итог 3 4 4 4 3" xfId="41590" xr:uid="{2309F769-78A5-42FA-AFCE-66602120DC9A}"/>
    <cellStyle name="Итог 3 4 4 5" xfId="21004" xr:uid="{5C731616-E9E1-44F8-B05F-9874A988BEE8}"/>
    <cellStyle name="Итог 3 4 4 6" xfId="34027" xr:uid="{27BB6A1A-2FA4-4265-86B7-48D4513EE6C3}"/>
    <cellStyle name="Итог 3 4 5" xfId="2532" xr:uid="{F9D8F10C-AD60-47B4-80CA-476BFA72EF86}"/>
    <cellStyle name="Итог 3 4 5 2" xfId="6132" xr:uid="{E1B1ED4F-9BD5-420F-9558-6BE4FF194F56}"/>
    <cellStyle name="Итог 3 4 5 2 2" xfId="13662" xr:uid="{E641B011-2C02-4512-9D90-9AB388CF4006}"/>
    <cellStyle name="Итог 3 4 5 2 2 2" xfId="30088" xr:uid="{28EBCA16-6CA3-4FD4-94B5-D794176D61A6}"/>
    <cellStyle name="Итог 3 4 5 2 2 3" xfId="43447" xr:uid="{BB23BC2E-FA66-4AE2-8AFD-13799796F3FD}"/>
    <cellStyle name="Итог 3 4 5 2 3" xfId="23777" xr:uid="{017FDE88-45BF-4091-A4A4-A4E094603FC0}"/>
    <cellStyle name="Итог 3 4 5 2 4" xfId="36858" xr:uid="{0210D3E2-BC46-4673-9ADB-D09E8DE3BF1D}"/>
    <cellStyle name="Итог 3 4 5 3" xfId="6197" xr:uid="{52EE511B-B6A4-43B9-AA52-EBC5BC3FF449}"/>
    <cellStyle name="Итог 3 4 5 3 2" xfId="12812" xr:uid="{4271AB85-86D4-4843-ABB9-9EB1E6B1A250}"/>
    <cellStyle name="Итог 3 4 5 3 2 2" xfId="29386" xr:uid="{966BFF6C-4DD1-43B1-AB7E-F106C56367F7}"/>
    <cellStyle name="Итог 3 4 5 3 2 3" xfId="42667" xr:uid="{9C27643E-916C-450A-A3A2-53389E8BF83E}"/>
    <cellStyle name="Итог 3 4 5 3 3" xfId="23842" xr:uid="{CBACB839-9605-4B24-9F20-71389F9566A8}"/>
    <cellStyle name="Итог 3 4 5 3 4" xfId="36923" xr:uid="{5EF1C1E3-B2BE-4F6A-8405-9E964DCD7D2C}"/>
    <cellStyle name="Итог 3 4 5 4" xfId="15197" xr:uid="{864CCC2A-6EEA-4E83-93E2-6D28B462F4D9}"/>
    <cellStyle name="Итог 3 4 5 4 2" xfId="31381" xr:uid="{4698C449-62B5-427C-8BFA-91640C547441}"/>
    <cellStyle name="Итог 3 4 5 4 3" xfId="44852" xr:uid="{FA42A241-63A3-4151-86BC-78B401CA2701}"/>
    <cellStyle name="Итог 3 4 5 5" xfId="20594" xr:uid="{55C1DCD4-4437-4A16-B94D-D40967FA3C57}"/>
    <cellStyle name="Итог 3 4 5 6" xfId="33617" xr:uid="{17EFD8AA-992F-47D4-A845-091E6DB17E07}"/>
    <cellStyle name="Итог 3 4 6" xfId="4491" xr:uid="{8F676488-E29E-4140-AA8B-88C1FE76B781}"/>
    <cellStyle name="Итог 3 4 6 2" xfId="7131" xr:uid="{8896AE7B-9E3A-49F6-A6C6-A2418EFD9718}"/>
    <cellStyle name="Итог 3 4 6 2 2" xfId="14394" xr:uid="{8EF3F9B5-A778-4A4B-BA65-6A1C9BB5D553}"/>
    <cellStyle name="Итог 3 4 6 2 2 2" xfId="30726" xr:uid="{1A975716-E6E9-4CB3-B9B4-22E1911F7FC5}"/>
    <cellStyle name="Итог 3 4 6 2 2 3" xfId="44124" xr:uid="{1442F729-6253-4E6D-AAFD-D69038D07F73}"/>
    <cellStyle name="Итог 3 4 6 2 3" xfId="24730" xr:uid="{DD118402-1C93-4364-BB58-479EB0F74FDE}"/>
    <cellStyle name="Итог 3 4 6 2 4" xfId="37811" xr:uid="{3140C7B7-2F6D-4984-8F5E-CD96F904A794}"/>
    <cellStyle name="Итог 3 4 6 3" xfId="12043" xr:uid="{3C75B7A8-BB71-4DF1-A62E-49F7CA1AAD5B}"/>
    <cellStyle name="Итог 3 4 6 3 2" xfId="28744" xr:uid="{DA853F24-E8BF-400C-8D4D-17E7A80BCF36}"/>
    <cellStyle name="Итог 3 4 6 3 3" xfId="41963" xr:uid="{97E8E8EB-B237-4D0E-9F5F-55D1E63E1B4B}"/>
    <cellStyle name="Итог 3 4 6 4" xfId="22309" xr:uid="{7CD89545-87CB-4E17-B281-E3ED52B9B50F}"/>
    <cellStyle name="Итог 3 4 6 5" xfId="35358" xr:uid="{28657C44-30CE-4639-BFC0-6FF6B2483F32}"/>
    <cellStyle name="Итог 3 4 7" xfId="5544" xr:uid="{7396BE7B-8D0B-446A-BE96-4CC4A39D9FBD}"/>
    <cellStyle name="Итог 3 4 7 2" xfId="8726" xr:uid="{74BEE48B-1A1E-4E1F-B2D0-9A38BE1A5FEE}"/>
    <cellStyle name="Итог 3 4 7 2 2" xfId="15511" xr:uid="{310BF5FE-47C5-435D-A8D8-D0D2994CE0CF}"/>
    <cellStyle name="Итог 3 4 7 2 2 2" xfId="31649" xr:uid="{03970997-F492-4C56-A208-7CFBE01F8164}"/>
    <cellStyle name="Итог 3 4 7 2 2 3" xfId="45147" xr:uid="{C48C5042-49AD-4E78-B9CD-BB5512224B06}"/>
    <cellStyle name="Итог 3 4 7 2 3" xfId="26219" xr:uid="{CA67D6E3-0D06-4C5F-87AD-092BA85D4EE3}"/>
    <cellStyle name="Итог 3 4 7 2 4" xfId="39295" xr:uid="{F43D468C-AB51-4A04-81C7-1A4B0EF847A2}"/>
    <cellStyle name="Итог 3 4 7 3" xfId="12008" xr:uid="{FA00A4DB-DDB4-44EE-BECF-3A99B5E86BE6}"/>
    <cellStyle name="Итог 3 4 7 3 2" xfId="28712" xr:uid="{CCD84F4A-4F33-4F4C-BB23-4E6A5E720B6A}"/>
    <cellStyle name="Итог 3 4 7 3 3" xfId="41930" xr:uid="{35765E8C-4893-4CDC-881F-63F778513052}"/>
    <cellStyle name="Итог 3 4 7 4" xfId="23191" xr:uid="{6B16C1F9-AB47-46E0-8C25-42C06408AE9D}"/>
    <cellStyle name="Итог 3 4 7 5" xfId="36272" xr:uid="{2396176F-9E80-4B24-A054-FA13B6A1742B}"/>
    <cellStyle name="Итог 3 4 8" xfId="17151" xr:uid="{BEE8C655-25E1-460F-BFDA-C95A0171B5B4}"/>
    <cellStyle name="Итог 3 4 8 2" xfId="32914" xr:uid="{8F92528B-BBC6-41BD-A342-480C8A7D8BD1}"/>
    <cellStyle name="Итог 3 4 8 3" xfId="46686" xr:uid="{7878775A-8590-4CBB-8881-3B285E6C5BF4}"/>
    <cellStyle name="Итог 3 4 9" xfId="21457" xr:uid="{8C08B637-D50D-46D5-A36D-C1EFF91D9613}"/>
    <cellStyle name="Итог 3 5" xfId="3291" xr:uid="{D5A17987-A0A2-4300-8DBF-44212E8DF3FD}"/>
    <cellStyle name="Итог 3 5 2" xfId="2660" xr:uid="{7D3584AC-BB39-46A4-AAC7-B3881A43DF08}"/>
    <cellStyle name="Итог 3 5 2 2" xfId="7956" xr:uid="{784A2EFE-AAA4-4A2A-AE31-CCF38F89DE57}"/>
    <cellStyle name="Итог 3 5 2 2 2" xfId="11077" xr:uid="{586BACEB-CFAF-4AAD-B4B3-CC32EC138470}"/>
    <cellStyle name="Итог 3 5 2 2 2 2" xfId="27878" xr:uid="{D0EC7A01-3846-460A-9405-2F1628DAEE32}"/>
    <cellStyle name="Итог 3 5 2 2 2 3" xfId="41056" xr:uid="{6C1C7E4C-3BFC-4EE0-9061-6F34A5ED7632}"/>
    <cellStyle name="Итог 3 5 2 2 3" xfId="25472" xr:uid="{1B11B3FA-180E-451E-8010-0DB60ECB1B3C}"/>
    <cellStyle name="Итог 3 5 2 2 4" xfId="38548" xr:uid="{C88C7F62-405E-4348-AAE3-7581B0E37D5B}"/>
    <cellStyle name="Итог 3 5 2 3" xfId="6323" xr:uid="{A1334B82-5357-4F73-80B9-86884F962F72}"/>
    <cellStyle name="Итог 3 5 2 3 2" xfId="14847" xr:uid="{6488B46A-01C2-4821-9A19-549455E93F91}"/>
    <cellStyle name="Итог 3 5 2 3 2 2" xfId="31104" xr:uid="{73BE0821-151B-4D83-9259-D69186CB7F87}"/>
    <cellStyle name="Итог 3 5 2 3 2 3" xfId="44542" xr:uid="{4E31E0E6-1960-410B-BCD6-1158580339AA}"/>
    <cellStyle name="Итог 3 5 2 3 3" xfId="23963" xr:uid="{4DD10883-87CC-4959-A522-584F426626D5}"/>
    <cellStyle name="Итог 3 5 2 3 4" xfId="37044" xr:uid="{F974B8F3-C784-4039-BBA9-DE9B06431060}"/>
    <cellStyle name="Итог 3 5 2 4" xfId="11731" xr:uid="{BE7893C4-8641-44EF-89BE-8E511A90699F}"/>
    <cellStyle name="Итог 3 5 2 4 2" xfId="28458" xr:uid="{5716F987-0F19-447E-BF4F-C5505FF46906}"/>
    <cellStyle name="Итог 3 5 2 4 3" xfId="41669" xr:uid="{89A19850-9E3B-42A6-B3E5-92B1BD110BA5}"/>
    <cellStyle name="Итог 3 5 2 5" xfId="20715" xr:uid="{195F1790-D76C-47E7-9390-F716662A6636}"/>
    <cellStyle name="Итог 3 5 2 6" xfId="33738" xr:uid="{16736B6B-231C-4A06-A6BC-C3787C366760}"/>
    <cellStyle name="Итог 3 5 3" xfId="4327" xr:uid="{E33CDB3E-3EF9-42F4-B6C2-B35F1C443171}"/>
    <cellStyle name="Итог 3 5 3 2" xfId="6942" xr:uid="{65DD5BE1-B523-4853-B30E-878FDB3E3C2D}"/>
    <cellStyle name="Итог 3 5 3 2 2" xfId="15527" xr:uid="{1DDA1162-7108-4515-9EDC-29568C5497BC}"/>
    <cellStyle name="Итог 3 5 3 2 2 2" xfId="31663" xr:uid="{13AF911F-47B8-47AD-BD1D-CA496F7236BA}"/>
    <cellStyle name="Итог 3 5 3 2 2 3" xfId="45162" xr:uid="{E31A7D41-2B65-4DEE-AC17-E623D7FBEA8F}"/>
    <cellStyle name="Итог 3 5 3 2 3" xfId="24564" xr:uid="{50C46C23-C5D0-47EE-AED3-4F3367AF652B}"/>
    <cellStyle name="Итог 3 5 3 2 4" xfId="37645" xr:uid="{13AE9E96-4FB2-4CB7-A275-52AFD498844C}"/>
    <cellStyle name="Итог 3 5 3 3" xfId="16047" xr:uid="{463DD710-5B19-4EF9-AE33-35AE8D7CF2EC}"/>
    <cellStyle name="Итог 3 5 3 3 2" xfId="32110" xr:uid="{2A5DB3C1-EE75-48D2-B589-545589731C7D}"/>
    <cellStyle name="Итог 3 5 3 3 3" xfId="45629" xr:uid="{4EB7E40F-0D44-4FCE-806B-627BAD8BB39E}"/>
    <cellStyle name="Итог 3 5 3 4" xfId="22147" xr:uid="{F340CB39-7659-40CA-A1B6-9D660B9BF962}"/>
    <cellStyle name="Итог 3 5 3 5" xfId="35196" xr:uid="{3AE0D1A8-C510-4DB9-8917-8E332A4EAEE9}"/>
    <cellStyle name="Итог 3 5 4" xfId="5382" xr:uid="{FC520642-375D-4B44-B853-D67391916562}"/>
    <cellStyle name="Итог 3 5 4 2" xfId="8557" xr:uid="{7DEB626F-49C4-400D-9C93-2BB2B915491A}"/>
    <cellStyle name="Итог 3 5 4 2 2" xfId="10699" xr:uid="{ADA2FB0A-DDAF-4A18-8ED6-A413E798B4DA}"/>
    <cellStyle name="Итог 3 5 4 2 2 2" xfId="27544" xr:uid="{406F8E11-8759-40AC-8095-F110A33AF492}"/>
    <cellStyle name="Итог 3 5 4 2 2 3" xfId="40680" xr:uid="{6ADB9939-838B-430D-A152-C238BFBBF7D7}"/>
    <cellStyle name="Итог 3 5 4 2 3" xfId="26055" xr:uid="{33EBF25A-601F-4CA0-91F3-67BE30DFB4DE}"/>
    <cellStyle name="Итог 3 5 4 2 4" xfId="39131" xr:uid="{E13FB5D2-1038-4E09-B846-ECEEA774FCA6}"/>
    <cellStyle name="Итог 3 5 4 3" xfId="13492" xr:uid="{71A96F81-2569-4580-937A-58A1F69F53B9}"/>
    <cellStyle name="Итог 3 5 4 3 2" xfId="29953" xr:uid="{172A807A-094D-4B83-ABE5-64D45ECADEC1}"/>
    <cellStyle name="Итог 3 5 4 3 3" xfId="43293" xr:uid="{F85042B1-76A0-4E2C-9DEF-E454111F23FC}"/>
    <cellStyle name="Итог 3 5 4 4" xfId="23029" xr:uid="{F14FE11B-1F51-4962-B8B9-4044C45815D2}"/>
    <cellStyle name="Итог 3 5 4 5" xfId="36110" xr:uid="{B1985193-8037-42E3-8E2E-19EBD13AAB6D}"/>
    <cellStyle name="Итог 3 5 5" xfId="16190" xr:uid="{48516D9F-27FE-4344-B3AB-6BC211942401}"/>
    <cellStyle name="Итог 3 5 5 2" xfId="32235" xr:uid="{03D2E0AF-8450-4C7F-939E-F7C243B8783D}"/>
    <cellStyle name="Итог 3 5 5 3" xfId="45758" xr:uid="{8464472A-7610-4A68-8DF3-18B7C681D6AD}"/>
    <cellStyle name="Итог 3 5 6" xfId="21316" xr:uid="{9ED0BF3D-1A5E-47B2-ACEC-DF588A770BD2}"/>
    <cellStyle name="Итог 3 5 7" xfId="34339" xr:uid="{D40650E1-CE44-4B78-BE32-1A705B34FE3A}"/>
    <cellStyle name="Итог 3 6" xfId="3500" xr:uid="{41A16D56-E843-451F-BF4A-E20BF884A655}"/>
    <cellStyle name="Итог 3 6 2" xfId="2841" xr:uid="{6770F25F-FEFE-45EB-ABC5-F1154ABCE4F6}"/>
    <cellStyle name="Итог 3 6 2 2" xfId="8137" xr:uid="{96F42E92-C726-499C-A826-2D01A8A0D021}"/>
    <cellStyle name="Итог 3 6 2 2 2" xfId="14655" xr:uid="{932BB17F-3A49-4FCD-8E8D-A37BF829540D}"/>
    <cellStyle name="Итог 3 6 2 2 2 2" xfId="30949" xr:uid="{19F1BB9D-D417-443A-9BD0-10A5D827E303}"/>
    <cellStyle name="Итог 3 6 2 2 2 3" xfId="44370" xr:uid="{76C6373B-0F29-466B-97FA-76EE0962D506}"/>
    <cellStyle name="Итог 3 6 2 2 3" xfId="25648" xr:uid="{DDCA2A26-ECB5-4C94-9F11-E06B601AA19D}"/>
    <cellStyle name="Итог 3 6 2 2 4" xfId="38724" xr:uid="{0FDB87D0-CAAB-4EA0-94E3-BF06D249CF23}"/>
    <cellStyle name="Итог 3 6 2 3" xfId="6504" xr:uid="{31297C4C-D299-487A-B3D8-B6023054CE78}"/>
    <cellStyle name="Итог 3 6 2 3 2" xfId="13299" xr:uid="{C9E92B39-2FB2-4CC2-8C6D-1F1182A03AA7}"/>
    <cellStyle name="Итог 3 6 2 3 2 2" xfId="29787" xr:uid="{4C4994BD-6B30-4DCC-90F5-7C6970FA2AAF}"/>
    <cellStyle name="Итог 3 6 2 3 2 3" xfId="43115" xr:uid="{83EAE114-B2F9-48A3-B8EC-BC62822C506B}"/>
    <cellStyle name="Итог 3 6 2 3 3" xfId="24139" xr:uid="{82ADAD69-38EF-410D-9943-42D27B555CF8}"/>
    <cellStyle name="Итог 3 6 2 3 4" xfId="37220" xr:uid="{BD71A777-088B-46BF-BB4C-CAE51AF06983}"/>
    <cellStyle name="Итог 3 6 2 4" xfId="11698" xr:uid="{333DE5F8-D03C-4F8C-B5C8-EDCC96799090}"/>
    <cellStyle name="Итог 3 6 2 4 2" xfId="28431" xr:uid="{DED3E98A-1F06-41F9-B7B0-CFC3310EFDF6}"/>
    <cellStyle name="Итог 3 6 2 4 3" xfId="41641" xr:uid="{E701B5A4-2B07-450F-86AF-E5D4F9F242F1}"/>
    <cellStyle name="Итог 3 6 2 5" xfId="20891" xr:uid="{13A6A55B-B08C-4CEB-A063-E195428C7191}"/>
    <cellStyle name="Итог 3 6 2 6" xfId="33914" xr:uid="{997B73DE-D2CC-4BB5-A372-ED5E6E538215}"/>
    <cellStyle name="Итог 3 6 3" xfId="4501" xr:uid="{05B48157-17D2-40F8-901D-1585B56FAD1E}"/>
    <cellStyle name="Итог 3 6 3 2" xfId="7142" xr:uid="{3CE25B5B-BB26-4084-ACA8-7DA822B86F8F}"/>
    <cellStyle name="Итог 3 6 3 2 2" xfId="16316" xr:uid="{6555F187-6E9A-4A2E-8673-5AE155FEEEC4}"/>
    <cellStyle name="Итог 3 6 3 2 2 2" xfId="32342" xr:uid="{AB58E226-2F55-4B1A-B78F-28C14F48EDF5}"/>
    <cellStyle name="Итог 3 6 3 2 2 3" xfId="45873" xr:uid="{3B30D45C-3265-49B4-B11A-05687F496493}"/>
    <cellStyle name="Итог 3 6 3 2 3" xfId="24740" xr:uid="{3528F1F4-6733-404B-B89B-CC3FD2FFE4BD}"/>
    <cellStyle name="Итог 3 6 3 2 4" xfId="37821" xr:uid="{86329888-F65C-4EAD-9737-A1A909361E2E}"/>
    <cellStyle name="Итог 3 6 3 3" xfId="17119" xr:uid="{744F66C2-ED1C-4A45-BAB1-EBBEF0900C05}"/>
    <cellStyle name="Итог 3 6 3 3 2" xfId="32883" xr:uid="{B623B6DE-86CA-489A-B6B9-68D761BEB0FF}"/>
    <cellStyle name="Итог 3 6 3 3 3" xfId="46655" xr:uid="{A42968D4-F627-4FE6-A67F-8E7996D50965}"/>
    <cellStyle name="Итог 3 6 3 4" xfId="22319" xr:uid="{B1B6A5E5-DC7C-4608-95A9-A8F415AFFC4B}"/>
    <cellStyle name="Итог 3 6 3 5" xfId="35368" xr:uid="{D7C86DB6-FB54-4E30-9019-A4BD07B49BF2}"/>
    <cellStyle name="Итог 3 6 4" xfId="5554" xr:uid="{2EF116AE-595A-495F-98A0-336EA97709B6}"/>
    <cellStyle name="Итог 3 6 4 2" xfId="8736" xr:uid="{E482FDA0-1811-4F91-87B2-EF1F900CD7D3}"/>
    <cellStyle name="Итог 3 6 4 2 2" xfId="15269" xr:uid="{F3C60F51-927D-437F-B5D9-FAF5E9F3BCAD}"/>
    <cellStyle name="Итог 3 6 4 2 2 2" xfId="31444" xr:uid="{6D967B0B-E110-4F49-893B-E58845DED9CD}"/>
    <cellStyle name="Итог 3 6 4 2 2 3" xfId="44920" xr:uid="{0EE2E4FC-2056-4489-A434-6099CAC0AA84}"/>
    <cellStyle name="Итог 3 6 4 2 3" xfId="26229" xr:uid="{90E09390-CF30-4300-8ABE-265DCF3EB4CE}"/>
    <cellStyle name="Итог 3 6 4 2 4" xfId="39305" xr:uid="{CCA3D9B1-8349-4578-B940-1225810BA5D5}"/>
    <cellStyle name="Итог 3 6 4 3" xfId="10678" xr:uid="{3D9E24AD-B940-401A-81CA-B61105D0C861}"/>
    <cellStyle name="Итог 3 6 4 3 2" xfId="27528" xr:uid="{09DBBD14-7474-4BBE-8595-0320A1D73A31}"/>
    <cellStyle name="Итог 3 6 4 3 3" xfId="40659" xr:uid="{8B352080-E64D-4F1C-824C-19AF14E0DB59}"/>
    <cellStyle name="Итог 3 6 4 4" xfId="23201" xr:uid="{146CA475-9516-4DD3-80DA-E9FEB402E69C}"/>
    <cellStyle name="Итог 3 6 4 5" xfId="36282" xr:uid="{A6C4CA83-16AD-4F6F-B006-67CB57174520}"/>
    <cellStyle name="Итог 3 6 5" xfId="12555" xr:uid="{BC3B81F9-40FD-4736-B006-62B0B0DF92D5}"/>
    <cellStyle name="Итог 3 6 5 2" xfId="29177" xr:uid="{3C00171B-B65D-4056-978E-CB0052EAB1D2}"/>
    <cellStyle name="Итог 3 6 5 3" xfId="42436" xr:uid="{B57E34AF-FA99-4869-B944-AA8927180AE6}"/>
    <cellStyle name="Итог 3 6 6" xfId="21463" xr:uid="{34296EF3-7445-4413-A2D8-27376277FC29}"/>
    <cellStyle name="Итог 3 6 7" xfId="34515" xr:uid="{434163FF-8CDB-40F5-8DE2-FD2CE19A004A}"/>
    <cellStyle name="Итог 3 7" xfId="3492" xr:uid="{CFC19829-EE7A-49EF-BBFE-311B40E08C98}"/>
    <cellStyle name="Итог 3 7 2" xfId="2834" xr:uid="{978FFF55-24F3-4F56-978E-07AF376A05DC}"/>
    <cellStyle name="Итог 3 7 2 2" xfId="8130" xr:uid="{8156A711-6800-42FD-872B-AFCD6D52B71D}"/>
    <cellStyle name="Итог 3 7 2 2 2" xfId="10743" xr:uid="{E50F4C29-9FAD-4CCC-B09C-7CE1A0933D8D}"/>
    <cellStyle name="Итог 3 7 2 2 2 2" xfId="27583" xr:uid="{7ED726E1-E388-4121-AC9E-3A73270A8A38}"/>
    <cellStyle name="Итог 3 7 2 2 2 3" xfId="40724" xr:uid="{FCFFC560-7B76-4E32-9ADC-522E8D0E377C}"/>
    <cellStyle name="Итог 3 7 2 2 3" xfId="25641" xr:uid="{086E645D-57D1-44AC-9FA3-089F4C315E9C}"/>
    <cellStyle name="Итог 3 7 2 2 4" xfId="38717" xr:uid="{2A2D79D4-EA46-4ACD-A245-63B841317960}"/>
    <cellStyle name="Итог 3 7 2 3" xfId="6497" xr:uid="{96D7CDB6-8C02-42A1-AF54-934C44CFE29D}"/>
    <cellStyle name="Итог 3 7 2 3 2" xfId="13951" xr:uid="{047F3059-CAE0-4F5F-90E1-721D0A6A69B5}"/>
    <cellStyle name="Итог 3 7 2 3 2 2" xfId="30339" xr:uid="{C4B3DD49-D68C-46C7-A1FA-BC2021168EDB}"/>
    <cellStyle name="Итог 3 7 2 3 2 3" xfId="43716" xr:uid="{A2CE54DF-9F14-4C09-AA04-7DA2B58AED12}"/>
    <cellStyle name="Итог 3 7 2 3 3" xfId="24132" xr:uid="{D5D010C1-EE04-4FB2-BBAC-DE64FC90F8FB}"/>
    <cellStyle name="Итог 3 7 2 3 4" xfId="37213" xr:uid="{D9F102E3-21C1-44F3-ADA2-4B366F5122F6}"/>
    <cellStyle name="Итог 3 7 2 4" xfId="12768" xr:uid="{B1078DD2-65E0-4308-BB52-6353789156BC}"/>
    <cellStyle name="Итог 3 7 2 4 2" xfId="29343" xr:uid="{C201612A-BB04-41B8-BF66-5F50193F0DB7}"/>
    <cellStyle name="Итог 3 7 2 4 3" xfId="42623" xr:uid="{6BDB550D-1052-43CB-A7E8-DD1068FF7EEE}"/>
    <cellStyle name="Итог 3 7 2 5" xfId="20884" xr:uid="{926A101F-4E91-4DDD-865D-C012A371B701}"/>
    <cellStyle name="Итог 3 7 2 6" xfId="33907" xr:uid="{BE62E248-BB6B-4AAC-9952-DB884F6BC90D}"/>
    <cellStyle name="Итог 3 7 3" xfId="4494" xr:uid="{0B964ED2-C913-4C37-BCEF-007375B56DF0}"/>
    <cellStyle name="Итог 3 7 3 2" xfId="7134" xr:uid="{46B4DF07-A749-4AFB-90C5-F7DE84B906F8}"/>
    <cellStyle name="Итог 3 7 3 2 2" xfId="14757" xr:uid="{AA820FC5-ED79-45D9-BF7C-DF5DF2901291}"/>
    <cellStyle name="Итог 3 7 3 2 2 2" xfId="31031" xr:uid="{D6A7747C-3EEF-45AA-AE5E-99062226C9EC}"/>
    <cellStyle name="Итог 3 7 3 2 2 3" xfId="44460" xr:uid="{3DCD6C04-332E-431E-9F26-8ACA230D853C}"/>
    <cellStyle name="Итог 3 7 3 2 3" xfId="24733" xr:uid="{630B4C7B-A181-4DB0-976D-5FBF34C5B96B}"/>
    <cellStyle name="Итог 3 7 3 2 4" xfId="37814" xr:uid="{9A7C5859-AF15-4BBC-8F82-0EFDF77E530E}"/>
    <cellStyle name="Итог 3 7 3 3" xfId="16131" xr:uid="{0EF723BA-51C2-41C2-A7D1-3DA3D8DB5B74}"/>
    <cellStyle name="Итог 3 7 3 3 2" xfId="32185" xr:uid="{2793C79E-762A-4EDE-BC9E-EEAD6E5C2EA1}"/>
    <cellStyle name="Итог 3 7 3 3 3" xfId="45706" xr:uid="{B2EE2BA1-9455-4004-B7DC-2AFB7E6140E4}"/>
    <cellStyle name="Итог 3 7 3 4" xfId="22312" xr:uid="{6C4C4FAE-B55B-44F2-BA7D-77DC35AF7D4A}"/>
    <cellStyle name="Итог 3 7 3 5" xfId="35361" xr:uid="{ECD82216-E0D8-4F80-A6E2-47BC630AB6F2}"/>
    <cellStyle name="Итог 3 7 4" xfId="5547" xr:uid="{191921BB-0D7E-412E-B1A0-C6DF9534D8B9}"/>
    <cellStyle name="Итог 3 7 4 2" xfId="8729" xr:uid="{5017DDFF-DB79-4477-B756-A2092675764D}"/>
    <cellStyle name="Итог 3 7 4 2 2" xfId="13484" xr:uid="{95BAF20D-6409-4A03-AA5D-F3A139809F3F}"/>
    <cellStyle name="Итог 3 7 4 2 2 2" xfId="29945" xr:uid="{317C5E54-2EB5-405B-A9FB-918447D17CDA}"/>
    <cellStyle name="Итог 3 7 4 2 2 3" xfId="43285" xr:uid="{629D8F7F-1D6E-403E-9B07-A27DA4D0DDC7}"/>
    <cellStyle name="Итог 3 7 4 2 3" xfId="26222" xr:uid="{A2DCB558-EC07-43E1-913D-0901463F1CE9}"/>
    <cellStyle name="Итог 3 7 4 2 4" xfId="39298" xr:uid="{D836E4C0-2159-48D7-82AE-8B0AA3CB01D6}"/>
    <cellStyle name="Итог 3 7 4 3" xfId="15384" xr:uid="{27F14396-3376-4D97-A0AB-0B5E28AA4F1D}"/>
    <cellStyle name="Итог 3 7 4 3 2" xfId="31540" xr:uid="{8EB3737F-A7F3-40E3-A65E-87768C068F26}"/>
    <cellStyle name="Итог 3 7 4 3 3" xfId="45027" xr:uid="{9E7BE643-9864-4438-8C13-45E97F4886C7}"/>
    <cellStyle name="Итог 3 7 4 4" xfId="23194" xr:uid="{41BECF00-8D59-4E02-8ECF-B96D46CE5C0B}"/>
    <cellStyle name="Итог 3 7 4 5" xfId="36275" xr:uid="{8FED8CE5-63A2-467D-95CA-A938079A0E3F}"/>
    <cellStyle name="Итог 3 7 5" xfId="16223" xr:uid="{AB7E2429-0442-47B1-84DD-EC68E70FBE5C}"/>
    <cellStyle name="Итог 3 7 5 2" xfId="32261" xr:uid="{59BE5C25-5BB8-4FD7-8601-1113B64DCD23}"/>
    <cellStyle name="Итог 3 7 5 3" xfId="45789" xr:uid="{0E0D2115-8240-4E3E-966D-60F990AA635B}"/>
    <cellStyle name="Итог 3 7 6" xfId="21460" xr:uid="{8E71A427-0582-4C60-98A1-ACAB5D8387A3}"/>
    <cellStyle name="Итог 3 7 7" xfId="34508" xr:uid="{8DF7E97A-51AA-4898-9E56-FFD6FF69C408}"/>
    <cellStyle name="Итог 3 8" xfId="3505" xr:uid="{E704D8F3-B6DF-45AB-A213-AAD89566B975}"/>
    <cellStyle name="Итог 3 8 2" xfId="2846" xr:uid="{28E32FF1-8645-451C-95A7-0E4250422616}"/>
    <cellStyle name="Итог 3 8 2 2" xfId="8142" xr:uid="{01353D7B-AE4D-463C-AAE8-A9BB4CA3E027}"/>
    <cellStyle name="Итог 3 8 2 2 2" xfId="15048" xr:uid="{042D9D3A-66AF-4EFF-A5C4-CA9912BF7207}"/>
    <cellStyle name="Итог 3 8 2 2 2 2" xfId="31262" xr:uid="{36860B6A-9827-4978-A744-B397417861D0}"/>
    <cellStyle name="Итог 3 8 2 2 2 3" xfId="44718" xr:uid="{5DAAEB4A-4464-4DB8-92DB-FC0D50CD58E8}"/>
    <cellStyle name="Итог 3 8 2 2 3" xfId="25653" xr:uid="{C77ABE01-632B-4C94-9E2F-4924FCC03C45}"/>
    <cellStyle name="Итог 3 8 2 2 4" xfId="38729" xr:uid="{14672505-5A07-4569-BF19-7724394800BF}"/>
    <cellStyle name="Итог 3 8 2 3" xfId="6509" xr:uid="{B44E551D-DF0E-44A1-87FF-80BE2A7B838A}"/>
    <cellStyle name="Итог 3 8 2 3 2" xfId="17566" xr:uid="{B27AC3FA-EDEC-477E-B397-CCE18EC1CFCB}"/>
    <cellStyle name="Итог 3 8 2 3 2 2" xfId="33303" xr:uid="{007A2400-2298-48CE-A281-BA157FBCDAE8}"/>
    <cellStyle name="Итог 3 8 2 3 2 3" xfId="47091" xr:uid="{1D33F610-7830-413A-ABA2-81990EA6FE7E}"/>
    <cellStyle name="Итог 3 8 2 3 3" xfId="24144" xr:uid="{6A778E09-754A-4557-9879-67C8CB601511}"/>
    <cellStyle name="Итог 3 8 2 3 4" xfId="37225" xr:uid="{59FB2716-9359-4F1D-8177-D4A5DF1F2F4D}"/>
    <cellStyle name="Итог 3 8 2 4" xfId="15915" xr:uid="{4E90CD08-2A23-42FF-B591-8E13CA8083D4}"/>
    <cellStyle name="Итог 3 8 2 4 2" xfId="31997" xr:uid="{A5CAD949-0742-4ABF-B0BD-8B58102EF5C6}"/>
    <cellStyle name="Итог 3 8 2 4 3" xfId="45513" xr:uid="{0FC00E3D-CF77-477A-852D-FD2055CCDAAD}"/>
    <cellStyle name="Итог 3 8 2 5" xfId="20896" xr:uid="{E264113B-F8DB-458D-B516-EEBD038E8308}"/>
    <cellStyle name="Итог 3 8 2 6" xfId="33919" xr:uid="{29B5EB81-C126-4A40-86B3-17550B79A3EA}"/>
    <cellStyle name="Итог 3 8 3" xfId="4506" xr:uid="{F7D41F43-AE77-4AB2-A256-A64DC40D2209}"/>
    <cellStyle name="Итог 3 8 3 2" xfId="7147" xr:uid="{55415B02-746F-4BD3-8C15-85AD6E37BEA2}"/>
    <cellStyle name="Итог 3 8 3 2 2" xfId="14224" xr:uid="{370EDA80-ECF0-469F-8600-293561E95D51}"/>
    <cellStyle name="Итог 3 8 3 2 2 2" xfId="30569" xr:uid="{F4A393B8-014F-4EDF-8661-629466AB3D86}"/>
    <cellStyle name="Итог 3 8 3 2 2 3" xfId="43961" xr:uid="{3270782F-609D-4255-BE78-5B05D4F16E0A}"/>
    <cellStyle name="Итог 3 8 3 2 3" xfId="24745" xr:uid="{B811BF91-4B97-4203-BE54-944BDF097177}"/>
    <cellStyle name="Итог 3 8 3 2 4" xfId="37826" xr:uid="{A2C178C1-16D3-40DC-84C4-659E70B8EB00}"/>
    <cellStyle name="Итог 3 8 3 3" xfId="14101" xr:uid="{BE13D2F0-19C7-4FE4-BF42-5FF3D4FA8A5F}"/>
    <cellStyle name="Итог 3 8 3 3 2" xfId="30468" xr:uid="{C4468F5C-9F62-406D-8BA8-B048AF13D37E}"/>
    <cellStyle name="Итог 3 8 3 3 3" xfId="43851" xr:uid="{B180EC31-3A51-4491-B6DA-25440AA72FED}"/>
    <cellStyle name="Итог 3 8 3 4" xfId="22324" xr:uid="{36D14517-089E-4335-82E5-460ED63C1DBE}"/>
    <cellStyle name="Итог 3 8 3 5" xfId="35373" xr:uid="{F1AAEB3E-E81B-49B7-9D5B-1E26264A461E}"/>
    <cellStyle name="Итог 3 8 4" xfId="5559" xr:uid="{07340951-627D-4210-A275-3D5A331FBD5E}"/>
    <cellStyle name="Итог 3 8 4 2" xfId="8741" xr:uid="{22E3DA66-F774-4BBB-B2E7-EF23A5F1913E}"/>
    <cellStyle name="Итог 3 8 4 2 2" xfId="13159" xr:uid="{D4A469F6-A51E-44B7-A489-C334B22FB6B3}"/>
    <cellStyle name="Итог 3 8 4 2 2 2" xfId="29672" xr:uid="{6527E96F-68DD-4877-8BB0-23FD2FDE2689}"/>
    <cellStyle name="Итог 3 8 4 2 2 3" xfId="42984" xr:uid="{A61EC4AA-4716-45B9-8598-CE2E1EB9A835}"/>
    <cellStyle name="Итог 3 8 4 2 3" xfId="26234" xr:uid="{A78952B9-BFA8-4002-86D7-DD09C0EB51F5}"/>
    <cellStyle name="Итог 3 8 4 2 4" xfId="39310" xr:uid="{6924ED70-EA34-4615-81B4-EF94C891BAA0}"/>
    <cellStyle name="Итог 3 8 4 3" xfId="16352" xr:uid="{D15D195D-23C6-4216-9EF0-AB8672BA532C}"/>
    <cellStyle name="Итог 3 8 4 3 2" xfId="32373" xr:uid="{BE6591E2-DC19-43FA-BACE-5E07771CC95A}"/>
    <cellStyle name="Итог 3 8 4 3 3" xfId="45906" xr:uid="{A72F5A04-87AF-48D5-B410-24487EDEF4CC}"/>
    <cellStyle name="Итог 3 8 4 4" xfId="23206" xr:uid="{53E78F67-8D4D-458A-A148-C4857D56EC7F}"/>
    <cellStyle name="Итог 3 8 4 5" xfId="36287" xr:uid="{540DD18F-949B-41E8-9B38-069DA87D613B}"/>
    <cellStyle name="Итог 3 8 5" xfId="15479" xr:uid="{1D5231B8-B807-4C53-B2AA-DB19B6EB3C04}"/>
    <cellStyle name="Итог 3 8 5 2" xfId="31621" xr:uid="{D7DB599C-B9CA-494C-838F-556B8229F93F}"/>
    <cellStyle name="Итог 3 8 5 3" xfId="45118" xr:uid="{94414547-883A-44BF-AD4E-C27C83A9501A}"/>
    <cellStyle name="Итог 3 8 6" xfId="21468" xr:uid="{36209C1C-B361-4CC2-8334-B85419280458}"/>
    <cellStyle name="Итог 3 8 7" xfId="34520" xr:uid="{5FA3D3B7-60EE-4BFA-8886-F73A50A72377}"/>
    <cellStyle name="Итог 3 9" xfId="3561" xr:uid="{D8E0C588-DA49-42FF-9A4A-685F40048FE3}"/>
    <cellStyle name="Итог 3 9 2" xfId="2901" xr:uid="{739C1BC0-9ABD-4613-9734-CDCC6998DEAB}"/>
    <cellStyle name="Итог 3 9 2 2" xfId="8197" xr:uid="{96E0A432-36C3-4D31-AF37-990588E307FD}"/>
    <cellStyle name="Итог 3 9 2 2 2" xfId="15959" xr:uid="{C686333E-0154-47BC-8B84-61B6747B78F3}"/>
    <cellStyle name="Итог 3 9 2 2 2 2" xfId="32035" xr:uid="{9866CB2E-D9AE-4CF1-ABDC-B0847DD6168E}"/>
    <cellStyle name="Итог 3 9 2 2 2 3" xfId="45553" xr:uid="{2FFDF682-AE04-40CF-B6BB-F8625D927395}"/>
    <cellStyle name="Итог 3 9 2 2 3" xfId="25708" xr:uid="{6F129F91-4AB5-427E-B1FA-43958B2C63C5}"/>
    <cellStyle name="Итог 3 9 2 2 4" xfId="38784" xr:uid="{F98B1A05-AF66-40B7-A371-77FB871E2791}"/>
    <cellStyle name="Итог 3 9 2 3" xfId="6564" xr:uid="{FF3E6758-DF12-419F-9344-9F115F4ED06E}"/>
    <cellStyle name="Итог 3 9 2 3 2" xfId="16032" xr:uid="{6085D1B3-8550-43C4-96C0-0C14DF2A4BD4}"/>
    <cellStyle name="Итог 3 9 2 3 2 2" xfId="32097" xr:uid="{C6A2B54A-131F-4500-A690-DF01527425AC}"/>
    <cellStyle name="Итог 3 9 2 3 2 3" xfId="45616" xr:uid="{88A05A4F-243C-41C7-B1DA-393E6BC15F28}"/>
    <cellStyle name="Итог 3 9 2 3 3" xfId="24199" xr:uid="{2603D765-CEE9-4FDC-8E87-14FB813E3DD2}"/>
    <cellStyle name="Итог 3 9 2 3 4" xfId="37280" xr:uid="{5A6082D9-D506-46B8-A2FC-3B9575732C20}"/>
    <cellStyle name="Итог 3 9 2 4" xfId="15889" xr:uid="{C72DDA9A-898F-4847-B5C8-2FD5EA14523F}"/>
    <cellStyle name="Итог 3 9 2 4 2" xfId="31974" xr:uid="{4E8C110B-EF64-4A77-99D7-5F5501B4CF1E}"/>
    <cellStyle name="Итог 3 9 2 4 3" xfId="45489" xr:uid="{43DDB0E1-DBB0-4C46-9F34-FFC4A7DF9E78}"/>
    <cellStyle name="Итог 3 9 2 5" xfId="20951" xr:uid="{A8D24B34-328A-4660-AB8A-7743BADE9F84}"/>
    <cellStyle name="Итог 3 9 2 6" xfId="33974" xr:uid="{D8D83108-3983-4131-AF34-3B9713FCDFF9}"/>
    <cellStyle name="Итог 3 9 3" xfId="4559" xr:uid="{FC07E3D9-60E2-46B0-9FD1-F34C711DBBC8}"/>
    <cellStyle name="Итог 3 9 3 2" xfId="7203" xr:uid="{227A4408-EF1C-4D7E-A024-9B2F57B91262}"/>
    <cellStyle name="Итог 3 9 3 2 2" xfId="11893" xr:uid="{7AC06D0B-5928-402B-8276-1E13C6C4BB63}"/>
    <cellStyle name="Итог 3 9 3 2 2 2" xfId="28608" xr:uid="{47DB331C-9C83-488C-8BDC-2C1CB6954B68}"/>
    <cellStyle name="Итог 3 9 3 2 2 3" xfId="41824" xr:uid="{7F6358A6-8382-48A6-A997-E9BC6F95C95A}"/>
    <cellStyle name="Итог 3 9 3 2 3" xfId="24797" xr:uid="{B3B60C01-572C-4A75-A181-37C1AD2C2B09}"/>
    <cellStyle name="Итог 3 9 3 2 4" xfId="37878" xr:uid="{163FCDF6-EB1C-490F-A7E7-8C8FEABA9A5E}"/>
    <cellStyle name="Итог 3 9 3 3" xfId="15815" xr:uid="{0EB1587A-99CF-4800-AAEA-E10C16BE3C2F}"/>
    <cellStyle name="Итог 3 9 3 3 2" xfId="31910" xr:uid="{F2A93857-37D0-4758-B0BD-01EE73EE2D00}"/>
    <cellStyle name="Итог 3 9 3 3 3" xfId="45422" xr:uid="{EAC9AE66-BE3E-4999-A2D8-87A39078D650}"/>
    <cellStyle name="Итог 3 9 3 4" xfId="22375" xr:uid="{79EFA185-4DAA-4BF8-85AB-627E1FCC4FD8}"/>
    <cellStyle name="Итог 3 9 3 5" xfId="35424" xr:uid="{A5BC0AA6-258A-41F2-A218-4E0D1505C6DD}"/>
    <cellStyle name="Итог 3 9 4" xfId="5611" xr:uid="{D12FF1DA-404B-4A1B-AE32-9CBFC1F0382F}"/>
    <cellStyle name="Итог 3 9 4 2" xfId="8793" xr:uid="{924C3E90-ED1D-4BAA-8E4B-EC72D5158CBD}"/>
    <cellStyle name="Итог 3 9 4 2 2" xfId="11218" xr:uid="{4EE69A97-D473-470C-A1F1-59277FAFE01B}"/>
    <cellStyle name="Итог 3 9 4 2 2 2" xfId="28012" xr:uid="{F09927E6-047F-40D0-97B5-1BADE45C6B92}"/>
    <cellStyle name="Итог 3 9 4 2 2 3" xfId="41194" xr:uid="{851A4DFC-4567-4A0B-B399-29A6B3C4746C}"/>
    <cellStyle name="Итог 3 9 4 2 3" xfId="26286" xr:uid="{3BDDBE57-96B1-4187-AB68-BCD7940A9148}"/>
    <cellStyle name="Итог 3 9 4 2 4" xfId="39362" xr:uid="{D3CDBD52-CED8-4609-914E-FF9CEA5C53C3}"/>
    <cellStyle name="Итог 3 9 4 3" xfId="10672" xr:uid="{A5163269-CD57-4A89-B105-B7AFCEFF8888}"/>
    <cellStyle name="Итог 3 9 4 3 2" xfId="27522" xr:uid="{F614C872-CF21-408A-9285-625387EC5AC7}"/>
    <cellStyle name="Итог 3 9 4 3 3" xfId="40653" xr:uid="{7E2B56ED-7798-4977-A6D0-FDE10EB5D5C6}"/>
    <cellStyle name="Итог 3 9 4 4" xfId="23258" xr:uid="{1DFCF565-387D-44B8-B892-EA45B97775D5}"/>
    <cellStyle name="Итог 3 9 4 5" xfId="36339" xr:uid="{3FEF1420-0423-47AE-8A48-511136B7F614}"/>
    <cellStyle name="Итог 3 9 5" xfId="15394" xr:uid="{3CE0C623-35AC-4A1B-BD30-643D74C1DCF6}"/>
    <cellStyle name="Итог 3 9 5 2" xfId="31548" xr:uid="{0FB67F99-2F5A-4B8C-A032-E836B0FE00D5}"/>
    <cellStyle name="Итог 3 9 5 3" xfId="45036" xr:uid="{F9E68B67-FF76-4A94-8182-FDCCF9F28F3E}"/>
    <cellStyle name="Итог 3 9 6" xfId="21520" xr:uid="{9440D265-5475-4177-81A6-A49595D14557}"/>
    <cellStyle name="Итог 3 9 7" xfId="34572" xr:uid="{8FAD9316-F1B8-4FCE-9802-B5BDAB6A5A39}"/>
    <cellStyle name="Итог 4" xfId="2339" xr:uid="{BD4ECF94-DFBF-4828-8230-B69674EBF5AD}"/>
    <cellStyle name="Итог 4 10" xfId="3744" xr:uid="{CDDE3746-9802-46F7-B44D-A566B5F0339A}"/>
    <cellStyle name="Итог 4 10 2" xfId="3058" xr:uid="{FFB849B9-6E81-4E99-ABBC-CA9E920545CD}"/>
    <cellStyle name="Итог 4 10 2 2" xfId="8354" xr:uid="{DB247CB4-90ED-4781-BA8C-84BBC68919DC}"/>
    <cellStyle name="Итог 4 10 2 2 2" xfId="15431" xr:uid="{9EC966BA-17F3-4A84-A44A-01CEC29F9858}"/>
    <cellStyle name="Итог 4 10 2 2 2 2" xfId="31578" xr:uid="{2C7BE0F3-FBEF-49DC-A45A-DD3BE16DC7A1}"/>
    <cellStyle name="Итог 4 10 2 2 2 3" xfId="45073" xr:uid="{9F4C6C3D-B5B9-4036-85FD-0F86465AB906}"/>
    <cellStyle name="Итог 4 10 2 2 3" xfId="25858" xr:uid="{51452F0B-5C65-4157-8A6A-8B9F3D45C695}"/>
    <cellStyle name="Итог 4 10 2 2 4" xfId="38934" xr:uid="{F694CF42-912C-4538-8A45-8B7FEA501B24}"/>
    <cellStyle name="Итог 4 10 2 3" xfId="6721" xr:uid="{40B0E028-5AB5-4F79-B4B2-4A9C52CBE110}"/>
    <cellStyle name="Итог 4 10 2 3 2" xfId="16898" xr:uid="{D2D65419-7D2C-4066-803F-CE5FA0EE35BD}"/>
    <cellStyle name="Итог 4 10 2 3 2 2" xfId="32773" xr:uid="{4BFE47FA-FCB2-4770-A81B-113F1894DC10}"/>
    <cellStyle name="Итог 4 10 2 3 2 3" xfId="46440" xr:uid="{FBF5C456-CD36-4C4B-8547-9431FCCDF392}"/>
    <cellStyle name="Итог 4 10 2 3 3" xfId="24349" xr:uid="{D1542C4B-6138-4ABB-9C34-46B952F83E6C}"/>
    <cellStyle name="Итог 4 10 2 3 4" xfId="37430" xr:uid="{CBCA8051-D982-476F-B63E-84C5C8EF177A}"/>
    <cellStyle name="Итог 4 10 2 4" xfId="11230" xr:uid="{2047622D-F373-46B1-85B3-D04F1814FEE9}"/>
    <cellStyle name="Итог 4 10 2 4 2" xfId="28024" xr:uid="{0EEF4499-0634-4563-84BD-4CF7EE2E084A}"/>
    <cellStyle name="Итог 4 10 2 4 3" xfId="41206" xr:uid="{878840A7-57C4-475F-A576-0E1655222E40}"/>
    <cellStyle name="Итог 4 10 2 5" xfId="21101" xr:uid="{3F647100-77B6-467E-BC30-E626D0CB808F}"/>
    <cellStyle name="Итог 4 10 2 6" xfId="34124" xr:uid="{7929B49F-4CF1-498F-B3E0-98B372A4813A}"/>
    <cellStyle name="Итог 4 10 3" xfId="4635" xr:uid="{E304AB14-12CC-4262-9E17-CC8A824D5391}"/>
    <cellStyle name="Итог 4 10 3 2" xfId="7379" xr:uid="{546C8AB2-D0F6-4600-A22E-5817D6B7B58B}"/>
    <cellStyle name="Итог 4 10 3 2 2" xfId="14036" xr:uid="{E694BE82-03CF-411D-B9E4-88A71A364537}"/>
    <cellStyle name="Итог 4 10 3 2 2 2" xfId="30412" xr:uid="{BE5E9C1A-04E9-484D-A023-E164CC4FA95B}"/>
    <cellStyle name="Итог 4 10 3 2 2 3" xfId="43793" xr:uid="{B1A2CECB-4E83-487A-B8C0-64D549AD8966}"/>
    <cellStyle name="Итог 4 10 3 2 3" xfId="24938" xr:uid="{5336DA4A-0D37-4061-9AAC-850BB9C503BC}"/>
    <cellStyle name="Итог 4 10 3 2 4" xfId="38016" xr:uid="{21F57710-C955-424D-B94F-F1D9713BF14E}"/>
    <cellStyle name="Итог 4 10 3 3" xfId="17168" xr:uid="{006BCA02-4D62-4165-87AE-FA266401BB02}"/>
    <cellStyle name="Итог 4 10 3 3 2" xfId="32931" xr:uid="{32A6D9D2-A442-4BF0-B9E0-22FAA94BAFB1}"/>
    <cellStyle name="Итог 4 10 3 3 3" xfId="46703" xr:uid="{6F0D131E-ADF6-4765-884B-F5BC5F12439C}"/>
    <cellStyle name="Итог 4 10 3 4" xfId="22445" xr:uid="{A51CE59E-102A-4021-A775-CC396DFBBB96}"/>
    <cellStyle name="Итог 4 10 3 5" xfId="35498" xr:uid="{8634AA9B-5D61-4CE2-B931-915B48EB60F2}"/>
    <cellStyle name="Итог 4 10 4" xfId="5749" xr:uid="{6CEA2480-616F-4B9A-A4A2-926D5E1EE54F}"/>
    <cellStyle name="Итог 4 10 4 2" xfId="8938" xr:uid="{E90DDA62-37D1-4FBE-B5AD-B74879BC1E37}"/>
    <cellStyle name="Итог 4 10 4 2 2" xfId="14530" xr:uid="{7616C0D4-4DD3-4558-821B-E719FDE72C0F}"/>
    <cellStyle name="Итог 4 10 4 2 2 2" xfId="30844" xr:uid="{5A074B45-5A2F-4FA7-863C-826614DB71C9}"/>
    <cellStyle name="Итог 4 10 4 2 2 3" xfId="44256" xr:uid="{DC3BE798-16BD-4322-93F9-F76684B269A0}"/>
    <cellStyle name="Итог 4 10 4 2 3" xfId="26424" xr:uid="{464C5DEC-32C5-4F26-B863-70875EAD93C7}"/>
    <cellStyle name="Итог 4 10 4 2 4" xfId="39500" xr:uid="{85A2DB10-62E4-43B6-80B2-0A0FCE733A67}"/>
    <cellStyle name="Итог 4 10 4 3" xfId="13337" xr:uid="{7D39E9D6-9304-4E3C-B79E-050F18DDF213}"/>
    <cellStyle name="Итог 4 10 4 3 2" xfId="29819" xr:uid="{40D11717-B456-4960-8C7D-1D4C628CAD7F}"/>
    <cellStyle name="Итог 4 10 4 3 3" xfId="43150" xr:uid="{DD740A7A-1117-4164-AAF2-B894456F7E51}"/>
    <cellStyle name="Итог 4 10 4 4" xfId="23396" xr:uid="{52AD0616-5642-400A-9A42-E3FFE78E6ECD}"/>
    <cellStyle name="Итог 4 10 4 5" xfId="36477" xr:uid="{A06CFF09-7D63-49AF-9D99-9DBC692FB3BD}"/>
    <cellStyle name="Итог 4 10 5" xfId="13019" xr:uid="{C8392BA6-5ED4-4F0F-A30D-769ACBFB95C4}"/>
    <cellStyle name="Итог 4 10 5 2" xfId="29551" xr:uid="{2EE7F6D8-B0AE-45B7-B34F-AA58C78F0371}"/>
    <cellStyle name="Итог 4 10 5 3" xfId="42853" xr:uid="{61EAC405-88E8-45A7-9645-D1C8A7363837}"/>
    <cellStyle name="Итог 4 10 6" xfId="21658" xr:uid="{3B13004B-D7B2-4916-9C9B-C7D45AADB9B2}"/>
    <cellStyle name="Итог 4 10 7" xfId="34712" xr:uid="{345EC29C-86EB-45B1-816B-D6B7F589BBBD}"/>
    <cellStyle name="Итог 4 11" xfId="3548" xr:uid="{B1343177-B7DA-416D-B10A-A6799C6F75B6}"/>
    <cellStyle name="Итог 4 11 2" xfId="2889" xr:uid="{B9187586-C8CA-4FEC-83C6-BE38C0341ED5}"/>
    <cellStyle name="Итог 4 11 2 2" xfId="8185" xr:uid="{609F2790-4165-4824-9A8E-3A1E94115DB5}"/>
    <cellStyle name="Итог 4 11 2 2 2" xfId="11035" xr:uid="{770E9EE4-F317-44EB-933B-F156D1A51BEA}"/>
    <cellStyle name="Итог 4 11 2 2 2 2" xfId="27841" xr:uid="{F1106987-0AEE-4A66-945F-E7CCA2C481F6}"/>
    <cellStyle name="Итог 4 11 2 2 2 3" xfId="41015" xr:uid="{9D6D1676-2B35-4B99-B3D5-38C4FAD9A1D0}"/>
    <cellStyle name="Итог 4 11 2 2 3" xfId="25696" xr:uid="{E3F5504D-2094-4520-A758-CF12E7EA4B83}"/>
    <cellStyle name="Итог 4 11 2 2 4" xfId="38772" xr:uid="{C60DCA2F-CD6A-4967-AEF6-1D9BBBDF6E12}"/>
    <cellStyle name="Итог 4 11 2 3" xfId="6552" xr:uid="{DA73E139-060C-45A6-9ECD-623704DC12C8}"/>
    <cellStyle name="Итог 4 11 2 3 2" xfId="14697" xr:uid="{5B729A92-8D2D-43D8-9868-1FED5E153837}"/>
    <cellStyle name="Итог 4 11 2 3 2 2" xfId="30987" xr:uid="{240900B0-E2E4-404F-BADD-381A61C21E68}"/>
    <cellStyle name="Итог 4 11 2 3 2 3" xfId="44409" xr:uid="{54747425-3ABF-49BF-A51A-26593D1041EA}"/>
    <cellStyle name="Итог 4 11 2 3 3" xfId="24187" xr:uid="{E47EB07B-4ACF-4B5D-83A7-46E63D60A0C5}"/>
    <cellStyle name="Итог 4 11 2 3 4" xfId="37268" xr:uid="{60B5542C-5532-4FA8-B7AA-B6DD9B0EF1F2}"/>
    <cellStyle name="Итог 4 11 2 4" xfId="12150" xr:uid="{DC819741-7783-4084-A2CD-F6EC616AA23A}"/>
    <cellStyle name="Итог 4 11 2 4 2" xfId="28849" xr:uid="{A7E30678-DD01-4138-BFB7-6B9D5E9E98C7}"/>
    <cellStyle name="Итог 4 11 2 4 3" xfId="42070" xr:uid="{ACD325EC-6A3A-4FF9-B3A7-B6FB040446C7}"/>
    <cellStyle name="Итог 4 11 2 5" xfId="20939" xr:uid="{085A0F61-F7AB-4B5E-AA87-62BB7C243DB1}"/>
    <cellStyle name="Итог 4 11 2 6" xfId="33962" xr:uid="{F08C2CA0-23F8-4752-B0EE-8AA3B254F1F3}"/>
    <cellStyle name="Итог 4 11 3" xfId="4651" xr:uid="{8D5502F5-A4F9-4E83-ACC7-1F5F22FAE641}"/>
    <cellStyle name="Итог 4 11 3 2" xfId="7190" xr:uid="{5828C57C-F80C-461E-9B03-2D104710B9F2}"/>
    <cellStyle name="Итог 4 11 3 2 2" xfId="17506" xr:uid="{3C7060BE-FBA1-4F29-B3F0-FB2C3639257F}"/>
    <cellStyle name="Итог 4 11 3 2 2 2" xfId="33244" xr:uid="{9EA2BFAC-FA4C-4591-8EA4-A11FA87432FC}"/>
    <cellStyle name="Итог 4 11 3 2 2 3" xfId="47031" xr:uid="{3CEA13BF-5BC0-44D7-BA9C-D0D1CEA1FAF9}"/>
    <cellStyle name="Итог 4 11 3 2 3" xfId="24787" xr:uid="{D9D6E75A-9D90-4B58-A1A9-E6E2FAFECA49}"/>
    <cellStyle name="Итог 4 11 3 2 4" xfId="37868" xr:uid="{5D1B6E9F-5712-428C-97D4-6CF0FA12F573}"/>
    <cellStyle name="Итог 4 11 3 3" xfId="14595" xr:uid="{95412FF3-2BEC-4DE1-BDD6-7C6E70EEEE02}"/>
    <cellStyle name="Итог 4 11 3 3 2" xfId="30895" xr:uid="{E42AF7AE-BA24-4804-803C-82448C23DBFD}"/>
    <cellStyle name="Итог 4 11 3 3 3" xfId="44314" xr:uid="{2D2030D4-C656-4F4B-A2F8-4B9F4B415048}"/>
    <cellStyle name="Итог 4 11 3 4" xfId="22461" xr:uid="{5755EA67-482E-4645-93A7-7CF75CD311D0}"/>
    <cellStyle name="Итог 4 11 3 5" xfId="35514" xr:uid="{594BA351-528D-4310-86E2-F1F0C539CD4E}"/>
    <cellStyle name="Итог 4 11 4" xfId="5601" xr:uid="{BFA6D1E2-C4CB-4C5A-9BB6-1CD96F86BAB0}"/>
    <cellStyle name="Итог 4 11 4 2" xfId="8783" xr:uid="{5CB906F2-5DA7-4087-9104-051C04FE8CD0}"/>
    <cellStyle name="Итог 4 11 4 2 2" xfId="14967" xr:uid="{0BCDBAC6-5F27-4BAE-A772-201D1DF4E5E6}"/>
    <cellStyle name="Итог 4 11 4 2 2 2" xfId="31204" xr:uid="{1FA311C1-36D2-4CC9-AD88-C6C8B0B8671E}"/>
    <cellStyle name="Итог 4 11 4 2 2 3" xfId="44651" xr:uid="{A7EE3A19-2882-4C2C-BDA1-83324A14D925}"/>
    <cellStyle name="Итог 4 11 4 2 3" xfId="26276" xr:uid="{27BE11EF-24A5-4B9C-9D87-46E4C3761ED6}"/>
    <cellStyle name="Итог 4 11 4 2 4" xfId="39352" xr:uid="{727DDC57-AA59-4A86-9BB0-4DF0BA64C88C}"/>
    <cellStyle name="Итог 4 11 4 3" xfId="16341" xr:uid="{8F5BF0A7-3E08-420D-A71D-2A02D48048FC}"/>
    <cellStyle name="Итог 4 11 4 3 2" xfId="32365" xr:uid="{B808B161-4334-43E0-8F59-49E8BF9C979B}"/>
    <cellStyle name="Итог 4 11 4 3 3" xfId="45896" xr:uid="{7E69C60A-0AB2-481A-8EB4-25752ED4DDA9}"/>
    <cellStyle name="Итог 4 11 4 4" xfId="23248" xr:uid="{03ACAFAD-B06E-4AE5-89EF-F5ADF26CCEE4}"/>
    <cellStyle name="Итог 4 11 4 5" xfId="36329" xr:uid="{1514EE07-083E-4D01-9D43-47AA8C4C174B}"/>
    <cellStyle name="Итог 4 11 5" xfId="13841" xr:uid="{670C5D7D-1F97-4A79-A2ED-8E0F261E8473}"/>
    <cellStyle name="Итог 4 11 5 2" xfId="30243" xr:uid="{EA9BF0E3-B1EE-4556-AC9F-4893B06D7611}"/>
    <cellStyle name="Итог 4 11 5 3" xfId="43613" xr:uid="{3D3CDAD6-F087-4AB4-BD82-B87E83E11E2A}"/>
    <cellStyle name="Итог 4 11 6" xfId="21510" xr:uid="{0F97BC67-515A-4840-A129-73BA1205B21F}"/>
    <cellStyle name="Итог 4 11 7" xfId="34562" xr:uid="{5BD79471-1A10-459A-B193-05D388B5D1DF}"/>
    <cellStyle name="Итог 4 12" xfId="3740" xr:uid="{BF996E4E-1912-4F53-95AA-59462E391B30}"/>
    <cellStyle name="Итог 4 12 2" xfId="3054" xr:uid="{C36E326A-7310-41D8-BF40-18EB640A16FB}"/>
    <cellStyle name="Итог 4 12 2 2" xfId="8350" xr:uid="{F2B98522-AB0B-4591-B03F-06687DD9637C}"/>
    <cellStyle name="Итог 4 12 2 2 2" xfId="13597" xr:uid="{95FFA9C5-B5D7-401A-A27E-80176413DF17}"/>
    <cellStyle name="Итог 4 12 2 2 2 2" xfId="30037" xr:uid="{B8692595-5C6C-4860-96DC-E87FCA8A9E86}"/>
    <cellStyle name="Итог 4 12 2 2 2 3" xfId="43389" xr:uid="{51A0F224-4F94-45E5-B4A3-836C4FFAAA2E}"/>
    <cellStyle name="Итог 4 12 2 2 3" xfId="25854" xr:uid="{517F828B-1B21-4A54-9085-1F1D9CAAB4FB}"/>
    <cellStyle name="Итог 4 12 2 2 4" xfId="38930" xr:uid="{9F6F7868-0A45-401E-97B4-D40B687A6070}"/>
    <cellStyle name="Итог 4 12 2 3" xfId="6717" xr:uid="{694C3C05-089F-4D43-AF0D-0DC758C7E9BF}"/>
    <cellStyle name="Итог 4 12 2 3 2" xfId="13104" xr:uid="{C844B585-F066-4CFB-82F6-E0224761C3D3}"/>
    <cellStyle name="Итог 4 12 2 3 2 2" xfId="29619" xr:uid="{646C6848-81FA-4B7F-A71F-7717ADAC4A33}"/>
    <cellStyle name="Итог 4 12 2 3 2 3" xfId="42930" xr:uid="{7D23FB66-976B-45CE-AEE4-506B03A122D1}"/>
    <cellStyle name="Итог 4 12 2 3 3" xfId="24345" xr:uid="{783A1384-82DE-4120-840C-693B1CE6A0BE}"/>
    <cellStyle name="Итог 4 12 2 3 4" xfId="37426" xr:uid="{80316C42-0D28-42D6-84D2-FAF2F58DE44F}"/>
    <cellStyle name="Итог 4 12 2 4" xfId="15284" xr:uid="{66E63333-109B-4F63-B1B9-62FA90839321}"/>
    <cellStyle name="Итог 4 12 2 4 2" xfId="31455" xr:uid="{CD70A8C2-74AA-4408-951A-29FD64D17684}"/>
    <cellStyle name="Итог 4 12 2 4 3" xfId="44933" xr:uid="{01F220FC-9CC6-4934-96F4-C9D4B739C782}"/>
    <cellStyle name="Итог 4 12 2 5" xfId="21097" xr:uid="{59117707-46C9-4604-8E61-FEC036F13A9C}"/>
    <cellStyle name="Итог 4 12 2 6" xfId="34120" xr:uid="{4C60045A-0DA5-4189-90A4-09ED1E51ABFB}"/>
    <cellStyle name="Итог 4 12 3" xfId="4756" xr:uid="{B72CC436-364B-409D-A9DC-27F8DC980D59}"/>
    <cellStyle name="Итог 4 12 3 2" xfId="7375" xr:uid="{386F7CB6-5E8B-489D-83D9-D74DC5C473AF}"/>
    <cellStyle name="Итог 4 12 3 2 2" xfId="17060" xr:uid="{5FBA9B3C-54CB-4152-BC9A-C5660C7B10AC}"/>
    <cellStyle name="Итог 4 12 3 2 2 2" xfId="32831" xr:uid="{B5DD6404-D18D-422E-9945-7D6936D8CD2B}"/>
    <cellStyle name="Итог 4 12 3 2 2 3" xfId="46601" xr:uid="{44DEF7DC-59F1-40DD-88EB-33A8A930A7F4}"/>
    <cellStyle name="Итог 4 12 3 2 3" xfId="24934" xr:uid="{6BE45DA0-0C83-4A31-A5E6-41E9AD09E4B7}"/>
    <cellStyle name="Итог 4 12 3 2 4" xfId="38012" xr:uid="{8361EE12-A6CE-4819-85C7-B00F27B7F133}"/>
    <cellStyle name="Итог 4 12 3 3" xfId="12216" xr:uid="{B25A3FEF-8E1C-430B-AD90-3B56923A4DE4}"/>
    <cellStyle name="Итог 4 12 3 3 2" xfId="28902" xr:uid="{63E104A3-34B1-4A30-93F3-26A660C56A22}"/>
    <cellStyle name="Итог 4 12 3 3 3" xfId="42133" xr:uid="{88F45099-96E6-4DAD-B6FA-CF028754F819}"/>
    <cellStyle name="Итог 4 12 3 4" xfId="22559" xr:uid="{E574D6F8-AA1D-4306-B319-B735F46A83E2}"/>
    <cellStyle name="Итог 4 12 3 5" xfId="35612" xr:uid="{F6196762-20B9-4D2E-B7AD-CC334D1A2431}"/>
    <cellStyle name="Итог 4 12 4" xfId="5745" xr:uid="{4972FAD0-F37B-4550-9A10-9C8C7428A0B2}"/>
    <cellStyle name="Итог 4 12 4 2" xfId="8934" xr:uid="{445668FB-93B7-4A53-9D94-747777899668}"/>
    <cellStyle name="Итог 4 12 4 2 2" xfId="11666" xr:uid="{7D5E0CB3-81D9-4D2C-9CFE-45C888175D08}"/>
    <cellStyle name="Итог 4 12 4 2 2 2" xfId="28405" xr:uid="{8B90F618-4BD2-4A2F-AAEA-E07738F66ED3}"/>
    <cellStyle name="Итог 4 12 4 2 2 3" xfId="41609" xr:uid="{95106DD9-7A73-4686-8045-7AD2B0656CA4}"/>
    <cellStyle name="Итог 4 12 4 2 3" xfId="26420" xr:uid="{16883E91-6D0D-4153-A353-A68053D99D80}"/>
    <cellStyle name="Итог 4 12 4 2 4" xfId="39496" xr:uid="{F2A4B731-E445-4468-80B6-0213D4E9D385}"/>
    <cellStyle name="Итог 4 12 4 3" xfId="15699" xr:uid="{9FCDC8D7-C8BE-477F-BA82-39BB6548D466}"/>
    <cellStyle name="Итог 4 12 4 3 2" xfId="31811" xr:uid="{97E47D4F-EC92-49D8-8349-1922F0AFFEA3}"/>
    <cellStyle name="Итог 4 12 4 3 3" xfId="45319" xr:uid="{4C2A4550-6A43-4014-AE7B-4D458487FB79}"/>
    <cellStyle name="Итог 4 12 4 4" xfId="23392" xr:uid="{0670FF92-6E13-4176-8089-C2E15EEA422D}"/>
    <cellStyle name="Итог 4 12 4 5" xfId="36473" xr:uid="{2C1850A8-5AC6-4B8F-A422-5BA9A9354F94}"/>
    <cellStyle name="Итог 4 12 5" xfId="11114" xr:uid="{661F8719-12DA-4F42-9C0F-EA52CB1F0EDE}"/>
    <cellStyle name="Итог 4 12 5 2" xfId="27915" xr:uid="{3113D839-C140-465A-9130-7D05E3A7EAD9}"/>
    <cellStyle name="Итог 4 12 5 3" xfId="41093" xr:uid="{EE426539-FC8D-414C-81EF-EF1CEA507C54}"/>
    <cellStyle name="Итог 4 12 6" xfId="21654" xr:uid="{44E56765-89AF-4731-864A-B20956E235F8}"/>
    <cellStyle name="Итог 4 12 7" xfId="34708" xr:uid="{2F7463FC-0DB9-437D-BB18-6308B42659F8}"/>
    <cellStyle name="Итог 4 13" xfId="3734" xr:uid="{6F2827B7-1D5B-4AC5-A57B-30862950EAE5}"/>
    <cellStyle name="Итог 4 13 2" xfId="3050" xr:uid="{600CB27C-2FE7-42D6-AF21-15E215F9D911}"/>
    <cellStyle name="Итог 4 13 2 2" xfId="8346" xr:uid="{6B5C9ECE-24AF-4F96-9F86-0A2826A48919}"/>
    <cellStyle name="Итог 4 13 2 2 2" xfId="17402" xr:uid="{AB9AA419-2E8A-4E76-97A9-2BF68F1546D6}"/>
    <cellStyle name="Итог 4 13 2 2 2 2" xfId="33156" xr:uid="{10ACDD4B-3427-4398-9A2F-FBF771F4BBDB}"/>
    <cellStyle name="Итог 4 13 2 2 2 3" xfId="46932" xr:uid="{652F32C7-D0CC-435C-AE07-46B9E558032F}"/>
    <cellStyle name="Итог 4 13 2 2 3" xfId="25850" xr:uid="{A880A6A9-BB07-4068-A53D-9E4F6BBE6E16}"/>
    <cellStyle name="Итог 4 13 2 2 4" xfId="38926" xr:uid="{B7447274-BA29-47CB-8BB5-204E67A502A9}"/>
    <cellStyle name="Итог 4 13 2 3" xfId="6713" xr:uid="{07690A9E-A655-4670-9FCD-3EE0DC243D62}"/>
    <cellStyle name="Итог 4 13 2 3 2" xfId="12055" xr:uid="{C01C0BA2-C2E5-4162-AE66-70B99A8BC2CE}"/>
    <cellStyle name="Итог 4 13 2 3 2 2" xfId="28755" xr:uid="{E4EDDF99-06E1-41A1-B2A1-85075929F327}"/>
    <cellStyle name="Итог 4 13 2 3 2 3" xfId="41975" xr:uid="{78E06E7D-C346-49CB-BB32-AADF4A15A763}"/>
    <cellStyle name="Итог 4 13 2 3 3" xfId="24341" xr:uid="{E4CAD62D-E9AE-4D7C-A0C8-6B33AF80E73B}"/>
    <cellStyle name="Итог 4 13 2 3 4" xfId="37422" xr:uid="{FDDBE390-A6F9-4306-87BD-7B856E6FCC7C}"/>
    <cellStyle name="Итог 4 13 2 4" xfId="13987" xr:uid="{ED4F941B-1382-43F4-9554-B6E5B30B196C}"/>
    <cellStyle name="Итог 4 13 2 4 2" xfId="30373" xr:uid="{C8520D37-837F-4991-BE9D-830E943C52D5}"/>
    <cellStyle name="Итог 4 13 2 4 3" xfId="43751" xr:uid="{569D459F-FEC9-449C-9A57-9EC37E12F426}"/>
    <cellStyle name="Итог 4 13 2 5" xfId="21093" xr:uid="{DF28EA8C-9DD1-4F5E-82A2-724C91427F9D}"/>
    <cellStyle name="Итог 4 13 2 6" xfId="34116" xr:uid="{7D0398EF-F030-44AD-BA13-311091BB18A3}"/>
    <cellStyle name="Итог 4 13 3" xfId="4752" xr:uid="{F527AC86-DD31-4892-91A5-55B986850AB8}"/>
    <cellStyle name="Итог 4 13 3 2" xfId="7369" xr:uid="{255123CA-970C-4E45-9F95-96261F2917A4}"/>
    <cellStyle name="Итог 4 13 3 2 2" xfId="14082" xr:uid="{2EC90583-F509-4A7B-9059-B74F0475517C}"/>
    <cellStyle name="Итог 4 13 3 2 2 2" xfId="30449" xr:uid="{55AB5570-67F2-411E-9E8F-3BDFC357D48F}"/>
    <cellStyle name="Итог 4 13 3 2 2 3" xfId="43832" xr:uid="{BCFC2236-0F6D-4FA6-A97E-10822A0DE27D}"/>
    <cellStyle name="Итог 4 13 3 2 3" xfId="24928" xr:uid="{790A7270-1837-4280-89AF-E1ED576A9234}"/>
    <cellStyle name="Итог 4 13 3 2 4" xfId="38008" xr:uid="{34E45015-6852-4CEA-A5D3-8DC3C2790B9A}"/>
    <cellStyle name="Итог 4 13 3 3" xfId="12677" xr:uid="{E2FC26AA-53A6-4873-BF0C-5958B2CAE3AD}"/>
    <cellStyle name="Итог 4 13 3 3 2" xfId="29272" xr:uid="{06A2C1CF-690D-46C4-AE75-B3B3972134CB}"/>
    <cellStyle name="Итог 4 13 3 3 3" xfId="42545" xr:uid="{A9384057-62C1-422E-A795-01F9B77FDB68}"/>
    <cellStyle name="Итог 4 13 3 4" xfId="22555" xr:uid="{DE4DC81D-08A1-4074-8A65-0599D39BBDAD}"/>
    <cellStyle name="Итог 4 13 3 5" xfId="35608" xr:uid="{502C23D6-35D8-4F3F-977D-64B116EE8CC8}"/>
    <cellStyle name="Итог 4 13 4" xfId="5741" xr:uid="{37B225C0-3989-4656-A211-4F12A9EE303C}"/>
    <cellStyle name="Итог 4 13 4 2" xfId="8930" xr:uid="{18DCA7A7-0C99-4B5A-AB7C-101C9E5C8CBB}"/>
    <cellStyle name="Итог 4 13 4 2 2" xfId="15814" xr:uid="{B8901055-A3F1-4F3B-A30E-C30767A2554E}"/>
    <cellStyle name="Итог 4 13 4 2 2 2" xfId="31909" xr:uid="{3A6FE75D-2D72-4EEC-B4CC-DCB9AA6422B6}"/>
    <cellStyle name="Итог 4 13 4 2 2 3" xfId="45421" xr:uid="{E940B09B-E0FB-4FC8-BA6B-3CB7F1D79D7A}"/>
    <cellStyle name="Итог 4 13 4 2 3" xfId="26416" xr:uid="{8FF058F8-039D-4261-9874-4E60782F6891}"/>
    <cellStyle name="Итог 4 13 4 2 4" xfId="39492" xr:uid="{FC797508-CF59-4D96-AFC3-3F6E5B551234}"/>
    <cellStyle name="Итог 4 13 4 3" xfId="12685" xr:uid="{A72D03EB-E335-4D7E-9C99-4947AB88F3CD}"/>
    <cellStyle name="Итог 4 13 4 3 2" xfId="29280" xr:uid="{E5082A2D-F367-4BAF-A613-DCCFF37C4A18}"/>
    <cellStyle name="Итог 4 13 4 3 3" xfId="42553" xr:uid="{4F66F619-950F-4E52-9F59-3D529595CEFF}"/>
    <cellStyle name="Итог 4 13 4 4" xfId="23388" xr:uid="{2FEBA444-02A3-4817-87AA-9627A70CC4BA}"/>
    <cellStyle name="Итог 4 13 4 5" xfId="36469" xr:uid="{B32FC198-15C5-40E3-A808-0141A3D602AF}"/>
    <cellStyle name="Итог 4 13 5" xfId="11211" xr:uid="{9612A00D-4060-4A5E-86A8-70AA39CC5D80}"/>
    <cellStyle name="Итог 4 13 5 2" xfId="28005" xr:uid="{7887B30A-4386-4D52-8CF9-3069372B796D}"/>
    <cellStyle name="Итог 4 13 5 3" xfId="41187" xr:uid="{1752D6BE-4DBA-467E-83EB-9276763551AB}"/>
    <cellStyle name="Итог 4 13 6" xfId="21650" xr:uid="{F53450C4-C5FF-42C2-9B93-E5F508526BAD}"/>
    <cellStyle name="Итог 4 13 7" xfId="34704" xr:uid="{CC8D71D6-5B71-4927-AC46-92F8E15C9916}"/>
    <cellStyle name="Итог 4 14" xfId="3839" xr:uid="{7E5C4A87-C715-4329-9154-EB0CA27FF8F5}"/>
    <cellStyle name="Итог 4 14 2" xfId="3102" xr:uid="{DDB73407-71BD-4D18-90C9-618367D8C6AE}"/>
    <cellStyle name="Итог 4 14 2 2" xfId="8394" xr:uid="{249B32FD-7CDA-4FEC-8942-C0047650F73D}"/>
    <cellStyle name="Итог 4 14 2 2 2" xfId="16258" xr:uid="{3E773CC8-884F-4352-AF1F-6FB3EC9F3C94}"/>
    <cellStyle name="Итог 4 14 2 2 2 2" xfId="32292" xr:uid="{235CB622-FBBA-4D94-A387-21EF0B8F3CA2}"/>
    <cellStyle name="Итог 4 14 2 2 2 3" xfId="45821" xr:uid="{CB834B3A-A96C-4ADC-8203-A093687C9FE5}"/>
    <cellStyle name="Итог 4 14 2 2 3" xfId="25896" xr:uid="{7FC18834-A56E-4851-84C8-EE23D6AC90B9}"/>
    <cellStyle name="Итог 4 14 2 2 4" xfId="38972" xr:uid="{AD1E538F-3914-4841-8602-3E40B9F6E43A}"/>
    <cellStyle name="Итог 4 14 2 3" xfId="6761" xr:uid="{BA2AEEA9-E550-4B4E-A0F7-2E432F66956C}"/>
    <cellStyle name="Итог 4 14 2 3 2" xfId="11642" xr:uid="{2A410536-7B32-4ED9-A365-D95E59BEA407}"/>
    <cellStyle name="Итог 4 14 2 3 2 2" xfId="28385" xr:uid="{F1EB8D80-85E8-4094-843D-A5774A84CBA4}"/>
    <cellStyle name="Итог 4 14 2 3 2 3" xfId="41589" xr:uid="{D0E10E44-1BB4-4095-8ACC-5F79A195D9D6}"/>
    <cellStyle name="Итог 4 14 2 3 3" xfId="24387" xr:uid="{3A2689EC-8FCA-4337-A24E-565555FC449B}"/>
    <cellStyle name="Итог 4 14 2 3 4" xfId="37468" xr:uid="{77DD108A-6081-49E5-8867-89716F1F5100}"/>
    <cellStyle name="Итог 4 14 2 4" xfId="14617" xr:uid="{C77DB0A5-1A56-4841-B533-5B378CE53C00}"/>
    <cellStyle name="Итог 4 14 2 4 2" xfId="30915" xr:uid="{F0C4CBB5-A435-46F5-B155-9C82CA7F8AE6}"/>
    <cellStyle name="Итог 4 14 2 4 3" xfId="44336" xr:uid="{9404B355-E3A3-4FE9-A36E-4FCFF2034A5C}"/>
    <cellStyle name="Итог 4 14 2 5" xfId="21139" xr:uid="{D2B681F6-CFF8-4579-9725-5B0D16D0E7B6}"/>
    <cellStyle name="Итог 4 14 2 6" xfId="34162" xr:uid="{103961B2-C4D2-4F40-A60F-39DCB92DA54A}"/>
    <cellStyle name="Итог 4 14 3" xfId="4784" xr:uid="{A65A3CFC-7A35-4474-8741-865DA237CF6D}"/>
    <cellStyle name="Итог 4 14 3 2" xfId="7426" xr:uid="{EC3B23B6-B39A-4AB3-BB80-BCA903786AD4}"/>
    <cellStyle name="Итог 4 14 3 2 2" xfId="17563" xr:uid="{972873BA-D1FE-47FE-9DF2-4F1EFD9E6236}"/>
    <cellStyle name="Итог 4 14 3 2 2 2" xfId="33300" xr:uid="{E23C0F7D-CDC0-4644-97B7-75E8BEAE82B3}"/>
    <cellStyle name="Итог 4 14 3 2 2 3" xfId="47088" xr:uid="{66430982-97D0-4E13-A042-BFD508547548}"/>
    <cellStyle name="Итог 4 14 3 2 3" xfId="24983" xr:uid="{56F1559E-6C3D-448E-AEC6-623374102848}"/>
    <cellStyle name="Итог 4 14 3 2 4" xfId="38059" xr:uid="{48C7155A-6363-42F0-B3F5-0AD56949D183}"/>
    <cellStyle name="Итог 4 14 3 3" xfId="15677" xr:uid="{61DB2F46-7A8A-41E0-B43B-0E00E37FA3FB}"/>
    <cellStyle name="Итог 4 14 3 3 2" xfId="31790" xr:uid="{4A425B2E-A583-4A46-BB33-3FE824DF32FC}"/>
    <cellStyle name="Итог 4 14 3 3 3" xfId="45298" xr:uid="{6A957CC5-90C1-46B6-AAA7-8C21F5D1648E}"/>
    <cellStyle name="Итог 4 14 3 4" xfId="22586" xr:uid="{14C2238B-6B51-489E-9E69-0FA0C97AE330}"/>
    <cellStyle name="Итог 4 14 3 5" xfId="35639" xr:uid="{D48E3366-1289-4421-8B0F-59E9E8084FE9}"/>
    <cellStyle name="Итог 4 14 4" xfId="5809" xr:uid="{EC98CC59-7CFE-4728-904A-9A084D2E40FD}"/>
    <cellStyle name="Итог 4 14 4 2" xfId="8970" xr:uid="{06692EC9-DCC6-4F96-96DB-71066DF04D59}"/>
    <cellStyle name="Итог 4 14 4 2 2" xfId="14884" xr:uid="{AC1CDD40-9E47-48F2-9236-D44017C3433E}"/>
    <cellStyle name="Итог 4 14 4 2 2 2" xfId="31134" xr:uid="{05DBE29B-630A-4591-A7BF-3FB4EFE943F0}"/>
    <cellStyle name="Итог 4 14 4 2 2 3" xfId="44575" xr:uid="{98ADF498-4B12-4EC5-91E2-7FD32EBB4A02}"/>
    <cellStyle name="Итог 4 14 4 2 3" xfId="26455" xr:uid="{8C74F733-7463-44E0-9FCD-B4ABAB0EB964}"/>
    <cellStyle name="Итог 4 14 4 2 4" xfId="39531" xr:uid="{9BE27291-F8A4-4FCD-9F49-683AD96429C5}"/>
    <cellStyle name="Итог 4 14 4 3" xfId="15275" xr:uid="{9A016AE1-DA0E-4FDE-B3EC-527BEDA1610C}"/>
    <cellStyle name="Итог 4 14 4 3 2" xfId="31449" xr:uid="{F2C0CF04-AF31-4665-B4B6-71E521A40E5D}"/>
    <cellStyle name="Итог 4 14 4 3 3" xfId="44925" xr:uid="{9B62D802-21E2-4B6D-B349-21AA4F1AA609}"/>
    <cellStyle name="Итог 4 14 4 4" xfId="23456" xr:uid="{9051078F-C02A-4703-98D9-EF4CC1CE39D5}"/>
    <cellStyle name="Итог 4 14 4 5" xfId="36537" xr:uid="{D2CF56A2-483F-40B0-A6A6-F1DDCC22ACFF}"/>
    <cellStyle name="Итог 4 14 5" xfId="15366" xr:uid="{C333F575-F0CE-428E-92BE-00F32177B847}"/>
    <cellStyle name="Итог 4 14 5 2" xfId="31523" xr:uid="{F2C3A0D7-B50E-4D31-A06A-247A5EAB563F}"/>
    <cellStyle name="Итог 4 14 5 3" xfId="45009" xr:uid="{E3C48E4F-4121-412F-8750-BDF9849AA2E3}"/>
    <cellStyle name="Итог 4 14 6" xfId="21718" xr:uid="{3D1BC3A3-09C4-479D-AD11-A566A94AF410}"/>
    <cellStyle name="Итог 4 14 7" xfId="34772" xr:uid="{D18A6B6A-2B1C-4E3A-919C-3B10EA5F00BC}"/>
    <cellStyle name="Итог 4 15" xfId="3843" xr:uid="{EB474734-3D3B-4AC6-9050-B34E20D233B6}"/>
    <cellStyle name="Итог 4 15 2" xfId="3106" xr:uid="{61C45B6B-2B4F-44DC-ADB2-575546901CA0}"/>
    <cellStyle name="Итог 4 15 2 2" xfId="8398" xr:uid="{1A2B4FAF-8838-4A18-B35B-2AEE5FC1EE21}"/>
    <cellStyle name="Итог 4 15 2 2 2" xfId="12320" xr:uid="{129E15E0-E412-41E7-A2F0-B8B40CBC9D9B}"/>
    <cellStyle name="Итог 4 15 2 2 2 2" xfId="28988" xr:uid="{B271425B-34EC-4EDC-9EF2-00822E8A0C23}"/>
    <cellStyle name="Итог 4 15 2 2 2 3" xfId="42228" xr:uid="{A12176E0-20DC-4EC0-89A7-0450B5C40A62}"/>
    <cellStyle name="Итог 4 15 2 2 3" xfId="25900" xr:uid="{CCD3637F-47FA-47DF-B65B-3E299E6E931A}"/>
    <cellStyle name="Итог 4 15 2 2 4" xfId="38976" xr:uid="{458EF731-C3D1-4DFC-A9B7-D4D97E614B08}"/>
    <cellStyle name="Итог 4 15 2 3" xfId="6765" xr:uid="{C98F8529-195E-4372-8486-4838927C1295}"/>
    <cellStyle name="Итог 4 15 2 3 2" xfId="11485" xr:uid="{F7A0E92D-FB4F-4599-B75A-2F32AA08FCD2}"/>
    <cellStyle name="Итог 4 15 2 3 2 2" xfId="28249" xr:uid="{C1938F52-E1D8-4E96-B08B-A4EB47FFD6C6}"/>
    <cellStyle name="Итог 4 15 2 3 2 3" xfId="41444" xr:uid="{7469C4D0-BE31-4478-81F8-FB7323E6D2AD}"/>
    <cellStyle name="Итог 4 15 2 3 3" xfId="24391" xr:uid="{52E218E2-2D69-4723-8B8F-EC41783361E8}"/>
    <cellStyle name="Итог 4 15 2 3 4" xfId="37472" xr:uid="{97800113-194F-4C98-AB6F-7F1003868533}"/>
    <cellStyle name="Итог 4 15 2 4" xfId="11952" xr:uid="{30832B67-7EE8-4B3F-AEB2-551FA6F38BF8}"/>
    <cellStyle name="Итог 4 15 2 4 2" xfId="28661" xr:uid="{1BA2F197-ED73-4F6F-BC54-443D86089D26}"/>
    <cellStyle name="Итог 4 15 2 4 3" xfId="41879" xr:uid="{01EC23AD-37D7-4469-B51B-C156D7545D1F}"/>
    <cellStyle name="Итог 4 15 2 5" xfId="21143" xr:uid="{C762E217-8366-478D-B44F-D50A8DE86853}"/>
    <cellStyle name="Итог 4 15 2 6" xfId="34166" xr:uid="{8FA3200E-F266-4258-8BF7-9DE71A6FA84C}"/>
    <cellStyle name="Итог 4 15 3" xfId="4788" xr:uid="{280250BB-B588-463B-8B19-63550DCEDB69}"/>
    <cellStyle name="Итог 4 15 3 2" xfId="7430" xr:uid="{D2DA9F6B-26F7-4240-BBE8-F6183F9F5E43}"/>
    <cellStyle name="Итог 4 15 3 2 2" xfId="16590" xr:uid="{2D6DCA03-CA1E-4D77-9D71-33AB8F62AD39}"/>
    <cellStyle name="Итог 4 15 3 2 2 2" xfId="32512" xr:uid="{6F42904D-7003-4F8A-9FD2-CB218DAF43EF}"/>
    <cellStyle name="Итог 4 15 3 2 2 3" xfId="46137" xr:uid="{2434F67E-8F2B-4A29-9168-0269F11C4B81}"/>
    <cellStyle name="Итог 4 15 3 2 3" xfId="24987" xr:uid="{B1588E4F-3F83-4255-8867-B8F391A15336}"/>
    <cellStyle name="Итог 4 15 3 2 4" xfId="38063" xr:uid="{69C08F9E-CAB2-4988-8F3F-663F358C7EBA}"/>
    <cellStyle name="Итог 4 15 3 3" xfId="17347" xr:uid="{07A2FB46-C581-4FBD-9F8D-A90E83EC88C1}"/>
    <cellStyle name="Итог 4 15 3 3 2" xfId="33101" xr:uid="{9A671B24-E34A-4D67-B529-ECC568DF3F8D}"/>
    <cellStyle name="Итог 4 15 3 3 3" xfId="46877" xr:uid="{83C80CD5-9DC4-44DD-872B-AFD92EEBDD73}"/>
    <cellStyle name="Итог 4 15 3 4" xfId="22590" xr:uid="{2EE2F72D-4F9E-40AA-887F-421CA021E478}"/>
    <cellStyle name="Итог 4 15 3 5" xfId="35643" xr:uid="{F971305E-1D45-484D-A35C-05A6910AF2E8}"/>
    <cellStyle name="Итог 4 15 4" xfId="5813" xr:uid="{9CD609E2-6854-46EA-A27C-699E898ED39A}"/>
    <cellStyle name="Итог 4 15 4 2" xfId="8974" xr:uid="{2D2E347A-368E-4EF0-AA40-8FDCBA61B1C2}"/>
    <cellStyle name="Итог 4 15 4 2 2" xfId="14651" xr:uid="{ADCF4D4D-F60E-4A18-8A99-1404CF9AF142}"/>
    <cellStyle name="Итог 4 15 4 2 2 2" xfId="30946" xr:uid="{FA05E238-CE81-4B73-AFEA-D9AA889826A2}"/>
    <cellStyle name="Итог 4 15 4 2 2 3" xfId="44367" xr:uid="{4B918F53-206F-4031-87BF-26B2D2A61CBD}"/>
    <cellStyle name="Итог 4 15 4 2 3" xfId="26459" xr:uid="{2E473FAE-4515-410F-A5C1-CD95317B7576}"/>
    <cellStyle name="Итог 4 15 4 2 4" xfId="39535" xr:uid="{83BEBFE7-1F60-4AAA-8428-D1C437764687}"/>
    <cellStyle name="Итог 4 15 4 3" xfId="13321" xr:uid="{3DB30642-3512-49FA-8CFA-D6FBDE03E700}"/>
    <cellStyle name="Итог 4 15 4 3 2" xfId="29804" xr:uid="{62529757-2CBB-4FF1-877E-1AFC7CA3C457}"/>
    <cellStyle name="Итог 4 15 4 3 3" xfId="43135" xr:uid="{4EEF4CBF-513E-406F-8861-60D79F4835A4}"/>
    <cellStyle name="Итог 4 15 4 4" xfId="23460" xr:uid="{E46301AF-0FEB-4047-A358-967D108EE9BB}"/>
    <cellStyle name="Итог 4 15 4 5" xfId="36541" xr:uid="{5DF814E0-15A8-4ABA-8458-F3BCA4991209}"/>
    <cellStyle name="Итог 4 15 5" xfId="12353" xr:uid="{4F80E6C0-796A-472A-972B-2095F1040357}"/>
    <cellStyle name="Итог 4 15 5 2" xfId="29019" xr:uid="{3C1F326F-D88A-466B-BEA0-DFB1C71A78B0}"/>
    <cellStyle name="Итог 4 15 5 3" xfId="42259" xr:uid="{2BE8504B-C142-48B0-B604-246AAB82EE5E}"/>
    <cellStyle name="Итог 4 15 6" xfId="21722" xr:uid="{488307B9-E000-4238-A4DA-1C8F516CFDF3}"/>
    <cellStyle name="Итог 4 15 7" xfId="34776" xr:uid="{A1D9BD51-F4A5-47C1-8510-F469BAD74E02}"/>
    <cellStyle name="Итог 4 16" xfId="3872" xr:uid="{74C30D19-1A25-4113-B43C-0A06BC85E893}"/>
    <cellStyle name="Итог 4 16 2" xfId="3129" xr:uid="{5FD5E88E-7F55-4240-A436-81342E60ED19}"/>
    <cellStyle name="Итог 4 16 2 2" xfId="8421" xr:uid="{E5A2A518-3C66-4F30-AA37-5FBC3795411D}"/>
    <cellStyle name="Итог 4 16 2 2 2" xfId="10796" xr:uid="{992FBD84-7C7C-4109-971E-96ED3D3C3514}"/>
    <cellStyle name="Итог 4 16 2 2 2 2" xfId="27630" xr:uid="{BBA660C3-21E6-4D11-89E4-796C32E25D36}"/>
    <cellStyle name="Итог 4 16 2 2 2 3" xfId="40777" xr:uid="{0F9D0166-D986-4FF8-8A33-9AB109DC3A10}"/>
    <cellStyle name="Итог 4 16 2 2 3" xfId="25923" xr:uid="{9BDA3D86-E189-4ED5-9BEA-101BC3C956CE}"/>
    <cellStyle name="Итог 4 16 2 2 4" xfId="38999" xr:uid="{D41F8696-6CC9-476A-AA19-DEB26A22D028}"/>
    <cellStyle name="Итог 4 16 2 3" xfId="6788" xr:uid="{7F70D907-4976-49B3-AE1F-7A550201B748}"/>
    <cellStyle name="Итог 4 16 2 3 2" xfId="14377" xr:uid="{8B5E2FBB-3D81-4FC2-9AE9-0A94AC33C441}"/>
    <cellStyle name="Итог 4 16 2 3 2 2" xfId="30709" xr:uid="{68E24EBB-2E89-464E-8E59-9D9F2198BA8C}"/>
    <cellStyle name="Итог 4 16 2 3 2 3" xfId="44107" xr:uid="{F064AB59-3081-4F64-87F0-F38F1EAF574A}"/>
    <cellStyle name="Итог 4 16 2 3 3" xfId="24414" xr:uid="{A4C284D2-99AF-43E9-AF30-76BEED903B81}"/>
    <cellStyle name="Итог 4 16 2 3 4" xfId="37495" xr:uid="{A48E2F51-E139-4974-B7B7-2967C9A24BBF}"/>
    <cellStyle name="Итог 4 16 2 4" xfId="17477" xr:uid="{5FA12329-A570-4F2F-92BC-8668ED6275A2}"/>
    <cellStyle name="Итог 4 16 2 4 2" xfId="33220" xr:uid="{659E36A5-C04F-4DCA-BEFF-8F0C5ECD1977}"/>
    <cellStyle name="Итог 4 16 2 4 3" xfId="47006" xr:uid="{19C54B6E-7F40-4337-AE98-5779DF444F94}"/>
    <cellStyle name="Итог 4 16 2 5" xfId="21166" xr:uid="{D96B20D1-6E64-491A-93AB-C3785ADD7104}"/>
    <cellStyle name="Итог 4 16 2 6" xfId="34189" xr:uid="{4161FA9F-186A-4593-8397-4D7CA5E77830}"/>
    <cellStyle name="Итог 4 16 3" xfId="4809" xr:uid="{B015E559-D5C0-4B21-BBDF-58DBEEF6B71C}"/>
    <cellStyle name="Итог 4 16 3 2" xfId="7453" xr:uid="{50C06D9C-FA6B-4CFB-A848-4FBB045A00F8}"/>
    <cellStyle name="Итог 4 16 3 2 2" xfId="14771" xr:uid="{F1045A03-0630-453A-A678-36E27C70002D}"/>
    <cellStyle name="Итог 4 16 3 2 2 2" xfId="31041" xr:uid="{6E0C3D49-D8A4-47B3-847A-327AB16EBE4A}"/>
    <cellStyle name="Итог 4 16 3 2 2 3" xfId="44472" xr:uid="{21B7A028-B8F6-4DDF-B7D4-264A3999570D}"/>
    <cellStyle name="Итог 4 16 3 2 3" xfId="25010" xr:uid="{5D654842-790C-4AEB-B25F-369CEB30E2E6}"/>
    <cellStyle name="Итог 4 16 3 2 4" xfId="38086" xr:uid="{A6359018-5DE9-4926-908D-273CA8D0E226}"/>
    <cellStyle name="Итог 4 16 3 3" xfId="13713" xr:uid="{8ACB79AF-7ED6-4EA7-A9FA-FD4E0F3E42A1}"/>
    <cellStyle name="Итог 4 16 3 3 2" xfId="30131" xr:uid="{047B063C-C05D-45DF-83A8-A35D22A59846}"/>
    <cellStyle name="Итог 4 16 3 3 3" xfId="43492" xr:uid="{3BD9A689-E3E7-4A17-953D-86ABC4E400DA}"/>
    <cellStyle name="Итог 4 16 3 4" xfId="22611" xr:uid="{3050780E-375F-4538-BA32-79EE82CD4D31}"/>
    <cellStyle name="Итог 4 16 3 5" xfId="35664" xr:uid="{9C3BA472-36CB-485C-A5C7-15ACE9574D1D}"/>
    <cellStyle name="Итог 4 16 4" xfId="5836" xr:uid="{3E10B59B-05B4-462A-8D53-6840BC7FCFF2}"/>
    <cellStyle name="Итог 4 16 4 2" xfId="8994" xr:uid="{9803B185-8BE5-49F8-ACA2-6DEC696B94DE}"/>
    <cellStyle name="Итог 4 16 4 2 2" xfId="13054" xr:uid="{6BC69794-2FAF-415F-9607-DCDF1968A316}"/>
    <cellStyle name="Итог 4 16 4 2 2 2" xfId="29579" xr:uid="{DAE43FE6-C830-4BD2-9F5F-DE1E0607ACBA}"/>
    <cellStyle name="Итог 4 16 4 2 2 3" xfId="42884" xr:uid="{825C6491-5696-47FF-9ECC-9EE56F390942}"/>
    <cellStyle name="Итог 4 16 4 2 3" xfId="26479" xr:uid="{3817C5F6-0F2A-40AA-B575-00E4E29D42C7}"/>
    <cellStyle name="Итог 4 16 4 2 4" xfId="39555" xr:uid="{F46EDB16-178D-420D-BC66-1251808E6A39}"/>
    <cellStyle name="Итог 4 16 4 3" xfId="11596" xr:uid="{8C025A97-EADE-48B6-B3D2-0CD54842390C}"/>
    <cellStyle name="Итог 4 16 4 3 2" xfId="28345" xr:uid="{61CBF545-A8D5-42E7-BC5F-83ECA530FABE}"/>
    <cellStyle name="Итог 4 16 4 3 3" xfId="41546" xr:uid="{42C70234-7746-4716-8284-B44E3B89A21B}"/>
    <cellStyle name="Итог 4 16 4 4" xfId="23483" xr:uid="{883ACCAE-0DA0-4C0E-A9BF-0A2648787A16}"/>
    <cellStyle name="Итог 4 16 4 5" xfId="36564" xr:uid="{CFB610AC-A0ED-48BE-8549-8CCEADC0AEAE}"/>
    <cellStyle name="Итог 4 16 5" xfId="15198" xr:uid="{61955B8A-B61A-4E69-BAA7-B6FB2A814A38}"/>
    <cellStyle name="Итог 4 16 5 2" xfId="31382" xr:uid="{CDC0E266-45BD-4590-B5B8-442BD750D356}"/>
    <cellStyle name="Итог 4 16 5 3" xfId="44853" xr:uid="{C20355CD-7BD8-4C4C-A009-9563513969CF}"/>
    <cellStyle name="Итог 4 16 6" xfId="21748" xr:uid="{971BAD38-5F6E-412C-BF55-78E3DFC649DD}"/>
    <cellStyle name="Итог 4 16 7" xfId="34799" xr:uid="{02F7C909-F50E-4A6F-989C-06E90882F10D}"/>
    <cellStyle name="Итог 4 17" xfId="3849" xr:uid="{3CE93D24-3A5C-451E-920E-91A101EF11D0}"/>
    <cellStyle name="Итог 4 17 2" xfId="3115" xr:uid="{F1D1E995-8063-4D78-A713-35A4DEDFC479}"/>
    <cellStyle name="Итог 4 17 2 2" xfId="8407" xr:uid="{9F84A5C8-1C4D-44FB-B27D-6F2984D5BB7B}"/>
    <cellStyle name="Итог 4 17 2 2 2" xfId="17413" xr:uid="{4C696A33-556F-4B35-9897-7AC7D7634CEE}"/>
    <cellStyle name="Итог 4 17 2 2 2 2" xfId="33167" xr:uid="{EEE99C60-78CF-4399-A997-23633DF7F309}"/>
    <cellStyle name="Итог 4 17 2 2 2 3" xfId="46943" xr:uid="{88DB2EEB-D533-44D2-8D89-305E3A28F556}"/>
    <cellStyle name="Итог 4 17 2 2 3" xfId="25909" xr:uid="{9620E2FE-A5B1-41F8-B4B5-EADD063F8402}"/>
    <cellStyle name="Итог 4 17 2 2 4" xfId="38985" xr:uid="{5553CD0E-9B95-4E41-B80B-4E49461206E5}"/>
    <cellStyle name="Итог 4 17 2 3" xfId="6774" xr:uid="{F8E40F7E-B819-4B01-84BB-50D4346E72FB}"/>
    <cellStyle name="Итог 4 17 2 3 2" xfId="12558" xr:uid="{1F9432DF-00D6-4A35-B7F3-0395147A634C}"/>
    <cellStyle name="Итог 4 17 2 3 2 2" xfId="29179" xr:uid="{C3B62F84-790A-4230-8B70-3264450C2C53}"/>
    <cellStyle name="Итог 4 17 2 3 2 3" xfId="42439" xr:uid="{D3E9F382-C77F-4231-9752-6024C76CFEFE}"/>
    <cellStyle name="Итог 4 17 2 3 3" xfId="24400" xr:uid="{BECDB34F-DE35-450B-8D69-72567B87018B}"/>
    <cellStyle name="Итог 4 17 2 3 4" xfId="37481" xr:uid="{B338C167-EC7B-4734-B3D2-3462CE586196}"/>
    <cellStyle name="Итог 4 17 2 4" xfId="15659" xr:uid="{F5B10441-A8BF-4C13-BEF2-CFEE48CBC501}"/>
    <cellStyle name="Итог 4 17 2 4 2" xfId="31777" xr:uid="{E8017D96-9F56-4C84-B83C-D6DEB8DCE3A7}"/>
    <cellStyle name="Итог 4 17 2 4 3" xfId="45282" xr:uid="{258B9E58-F05B-4BB5-B442-232DFC033EA3}"/>
    <cellStyle name="Итог 4 17 2 5" xfId="21152" xr:uid="{C94DC07D-17A2-4FB8-A3DC-A50ECA56D785}"/>
    <cellStyle name="Итог 4 17 2 6" xfId="34175" xr:uid="{2DF05EB4-F140-4F74-A855-29632CBD93C6}"/>
    <cellStyle name="Итог 4 17 3" xfId="4794" xr:uid="{83A4E121-EBD3-47A1-B5AF-8761964E0C75}"/>
    <cellStyle name="Итог 4 17 3 2" xfId="7436" xr:uid="{1463048D-4B8A-47EB-88A7-9EEE28AE5C50}"/>
    <cellStyle name="Итог 4 17 3 2 2" xfId="13002" xr:uid="{F0D2BA24-03C3-49C7-BC73-9E82A961EE45}"/>
    <cellStyle name="Итог 4 17 3 2 2 2" xfId="29538" xr:uid="{889768F6-02C2-4025-A057-4D271DE14DD8}"/>
    <cellStyle name="Итог 4 17 3 2 2 3" xfId="42839" xr:uid="{9D6C3089-788B-40D2-8074-CD9BC13ECFE7}"/>
    <cellStyle name="Итог 4 17 3 2 3" xfId="24993" xr:uid="{8C66E52B-FA59-410F-A6C7-5F4EA9D6CF0B}"/>
    <cellStyle name="Итог 4 17 3 2 4" xfId="38069" xr:uid="{B16FC107-A685-44EA-97F8-0F38EB54DA99}"/>
    <cellStyle name="Итог 4 17 3 3" xfId="12035" xr:uid="{42250A4C-ABBF-4C70-9698-E6F065D01A27}"/>
    <cellStyle name="Итог 4 17 3 3 2" xfId="28737" xr:uid="{2861BC9A-7B13-4D7E-AAF7-173CB81FB880}"/>
    <cellStyle name="Итог 4 17 3 3 3" xfId="41955" xr:uid="{9C02E15D-75E1-46DA-B5E2-DAA7A1F8319D}"/>
    <cellStyle name="Итог 4 17 3 4" xfId="22596" xr:uid="{420EA1A6-60A7-44B5-9087-78B07E8D58E2}"/>
    <cellStyle name="Итог 4 17 3 5" xfId="35649" xr:uid="{75199DC4-A64D-4C9D-BE67-32BE7E44E687}"/>
    <cellStyle name="Итог 4 17 4" xfId="5819" xr:uid="{73C462A4-A993-4E33-80D6-9F5586FB38E9}"/>
    <cellStyle name="Итог 4 17 4 2" xfId="8980" xr:uid="{152C4211-A101-48F1-A6D9-391A3B41B167}"/>
    <cellStyle name="Итог 4 17 4 2 2" xfId="11220" xr:uid="{7DB68BC4-542D-42C0-A1CE-71E7655C1E52}"/>
    <cellStyle name="Итог 4 17 4 2 2 2" xfId="28014" xr:uid="{0EA0C762-58D0-48AE-9E8A-13E55EDE6FCF}"/>
    <cellStyle name="Итог 4 17 4 2 2 3" xfId="41196" xr:uid="{A11D587A-BEC0-47FF-9253-AD9D7E4C92A2}"/>
    <cellStyle name="Итог 4 17 4 2 3" xfId="26465" xr:uid="{88D19664-4027-46AB-8613-A0176388D0AA}"/>
    <cellStyle name="Итог 4 17 4 2 4" xfId="39541" xr:uid="{6FC592FC-CC72-490C-9168-A9C69C5FAD20}"/>
    <cellStyle name="Итог 4 17 4 3" xfId="15357" xr:uid="{C4817471-03C4-4BC4-9143-F09F6FC394F4}"/>
    <cellStyle name="Итог 4 17 4 3 2" xfId="31514" xr:uid="{B386B4E5-1923-47B1-8BF9-989927FF324B}"/>
    <cellStyle name="Итог 4 17 4 3 3" xfId="45000" xr:uid="{EE51B8C9-1844-41AA-AC77-7C34B37C9BC2}"/>
    <cellStyle name="Итог 4 17 4 4" xfId="23466" xr:uid="{A0400261-FDE9-43DC-8386-8AE0991D5FF2}"/>
    <cellStyle name="Итог 4 17 4 5" xfId="36547" xr:uid="{36882C18-484D-47DA-B9ED-6BC43D707728}"/>
    <cellStyle name="Итог 4 17 5" xfId="17184" xr:uid="{F0B008F1-D154-4F35-8E73-5E4BB2D5FA4C}"/>
    <cellStyle name="Итог 4 17 5 2" xfId="32947" xr:uid="{90A075C6-E603-4DFE-B26D-7E2128B08D28}"/>
    <cellStyle name="Итог 4 17 5 3" xfId="46719" xr:uid="{1C9E2578-8B93-4094-AB6D-956EFAA0693E}"/>
    <cellStyle name="Итог 4 17 6" xfId="21728" xr:uid="{C65F60F6-EA1D-4114-BF77-259D1B555864}"/>
    <cellStyle name="Итог 4 17 7" xfId="34782" xr:uid="{EB4643D0-8049-4662-8BA9-966A069138AD}"/>
    <cellStyle name="Итог 4 18" xfId="3865" xr:uid="{6658D98C-666D-41F1-91E0-4169BB60ED1E}"/>
    <cellStyle name="Итог 4 18 2" xfId="3125" xr:uid="{1BE1C9D0-3257-4926-9F90-44B1318741D4}"/>
    <cellStyle name="Итог 4 18 2 2" xfId="8417" xr:uid="{9ACECDCE-45AE-4BD0-901A-7FDD90D02D50}"/>
    <cellStyle name="Итог 4 18 2 2 2" xfId="10952" xr:uid="{F799FD43-D81E-4A39-A501-024C9E969908}"/>
    <cellStyle name="Итог 4 18 2 2 2 2" xfId="27766" xr:uid="{CB155910-1BDF-4D83-9BB5-C01674158395}"/>
    <cellStyle name="Итог 4 18 2 2 2 3" xfId="40932" xr:uid="{1DC8A60F-2BE0-48E3-AB92-D287199069EB}"/>
    <cellStyle name="Итог 4 18 2 2 3" xfId="25919" xr:uid="{8E55D221-1DBC-45A4-A6D4-955493C63310}"/>
    <cellStyle name="Итог 4 18 2 2 4" xfId="38995" xr:uid="{8E0D443E-2276-4448-8D12-B001FA56F3FB}"/>
    <cellStyle name="Итог 4 18 2 3" xfId="6784" xr:uid="{8946A3BB-CA36-47F5-9D70-EB554E32FB31}"/>
    <cellStyle name="Итог 4 18 2 3 2" xfId="12109" xr:uid="{DBD219D5-4854-42CB-9E4F-06F336975F9F}"/>
    <cellStyle name="Итог 4 18 2 3 2 2" xfId="28809" xr:uid="{A5A46015-0A93-4318-A91A-03B969934F5D}"/>
    <cellStyle name="Итог 4 18 2 3 2 3" xfId="42029" xr:uid="{BFB9A3E8-0999-4A49-84DC-84D5C60B7D26}"/>
    <cellStyle name="Итог 4 18 2 3 3" xfId="24410" xr:uid="{97B1562B-5795-449C-86C8-0E5F6E8012F7}"/>
    <cellStyle name="Итог 4 18 2 3 4" xfId="37491" xr:uid="{D3787EEF-99C4-4005-AB9C-4953439D8DB4}"/>
    <cellStyle name="Итог 4 18 2 4" xfId="15343" xr:uid="{F9091523-A120-4A6C-9D5C-2FFFCC7E2561}"/>
    <cellStyle name="Итог 4 18 2 4 2" xfId="31500" xr:uid="{81BA30C0-F4D7-4B35-8E87-D9B36D27FBDD}"/>
    <cellStyle name="Итог 4 18 2 4 3" xfId="44986" xr:uid="{40A57BFE-5E3F-433F-B2DD-51743DD94259}"/>
    <cellStyle name="Итог 4 18 2 5" xfId="21162" xr:uid="{9749FA0C-7C14-4654-8BFF-616341F006A6}"/>
    <cellStyle name="Итог 4 18 2 6" xfId="34185" xr:uid="{7106D718-0146-4276-A413-4BE05DA0D0AC}"/>
    <cellStyle name="Итог 4 18 3" xfId="4805" xr:uid="{B02A643A-0929-4032-B880-FC7D27474AD8}"/>
    <cellStyle name="Итог 4 18 3 2" xfId="7449" xr:uid="{5EAB3A26-CD2D-44BC-934A-527309459EDC}"/>
    <cellStyle name="Итог 4 18 3 2 2" xfId="10895" xr:uid="{554E912A-1869-4432-B539-88C5E3D73B88}"/>
    <cellStyle name="Итог 4 18 3 2 2 2" xfId="27716" xr:uid="{1C107798-B9CA-48D5-A0A9-B188357C84A6}"/>
    <cellStyle name="Итог 4 18 3 2 2 3" xfId="40875" xr:uid="{5DD2CF3A-6AFD-4ED8-ACE1-3493AB621946}"/>
    <cellStyle name="Итог 4 18 3 2 3" xfId="25006" xr:uid="{3C1805CE-9488-44AA-8E18-BBFF859C3677}"/>
    <cellStyle name="Итог 4 18 3 2 4" xfId="38082" xr:uid="{4483B00B-8273-47AA-9333-E7711DF18E13}"/>
    <cellStyle name="Итог 4 18 3 3" xfId="16011" xr:uid="{8E24927E-1069-49D4-8138-46416B0F7B46}"/>
    <cellStyle name="Итог 4 18 3 3 2" xfId="32080" xr:uid="{311B9BD4-3ABC-4BB0-B6A1-C1DA79E80F19}"/>
    <cellStyle name="Итог 4 18 3 3 3" xfId="45599" xr:uid="{0CE4BD7E-EEEE-4D82-AAF1-031A8F110AAC}"/>
    <cellStyle name="Итог 4 18 3 4" xfId="22607" xr:uid="{10AB89A4-C03B-4E72-AFFB-551CC8590FDE}"/>
    <cellStyle name="Итог 4 18 3 5" xfId="35660" xr:uid="{2F5ECDC0-CEF1-4690-854A-C450EB232197}"/>
    <cellStyle name="Итог 4 18 4" xfId="5832" xr:uid="{FBEDBAD6-034A-4107-9EA4-2B596C0BBECB}"/>
    <cellStyle name="Итог 4 18 4 2" xfId="8990" xr:uid="{B128F50A-1111-41CB-A13B-1A7711DE4189}"/>
    <cellStyle name="Итог 4 18 4 2 2" xfId="12801" xr:uid="{2028EC83-4E93-47B2-888F-05EB2C3082FD}"/>
    <cellStyle name="Итог 4 18 4 2 2 2" xfId="29376" xr:uid="{6E8C9924-2194-4F83-95BB-5B4AE6E169CC}"/>
    <cellStyle name="Итог 4 18 4 2 2 3" xfId="42656" xr:uid="{F66142B4-B3BF-4CE0-B540-20CA059B0537}"/>
    <cellStyle name="Итог 4 18 4 2 3" xfId="26475" xr:uid="{E5BD46F3-69FE-463F-8A64-372DB1889CB7}"/>
    <cellStyle name="Итог 4 18 4 2 4" xfId="39551" xr:uid="{796B2307-6257-4B2B-AE95-98EC36BA1405}"/>
    <cellStyle name="Итог 4 18 4 3" xfId="15627" xr:uid="{FD460C7C-ED2E-499D-897F-B6A91BB74D96}"/>
    <cellStyle name="Итог 4 18 4 3 2" xfId="31747" xr:uid="{B708695A-FD32-4D07-B25E-3485E3F30C2E}"/>
    <cellStyle name="Итог 4 18 4 3 3" xfId="45251" xr:uid="{5A0306B4-E381-4183-A6B5-ABF530F9584B}"/>
    <cellStyle name="Итог 4 18 4 4" xfId="23479" xr:uid="{CC01A680-F235-462F-93E2-D13208667F97}"/>
    <cellStyle name="Итог 4 18 4 5" xfId="36560" xr:uid="{DC9847E9-6222-4159-A248-AEB15FF548B5}"/>
    <cellStyle name="Итог 4 18 5" xfId="12468" xr:uid="{5E94889D-7683-4141-9DC2-29F83089CF66}"/>
    <cellStyle name="Итог 4 18 5 2" xfId="29109" xr:uid="{C5150145-21C0-4380-87D5-F67263502E56}"/>
    <cellStyle name="Итог 4 18 5 3" xfId="42361" xr:uid="{D9B961F0-AEDA-49D8-854E-D37E153404AB}"/>
    <cellStyle name="Итог 4 18 6" xfId="21741" xr:uid="{3076616B-B363-4588-BCDF-1E16246BB505}"/>
    <cellStyle name="Итог 4 18 7" xfId="34795" xr:uid="{F61330E2-A22F-4448-A2BF-F54A554A2807}"/>
    <cellStyle name="Итог 4 19" xfId="3998" xr:uid="{7BDCCBAE-BC8E-43E0-9A52-E753E07CF07F}"/>
    <cellStyle name="Итог 4 19 2" xfId="3234" xr:uid="{3A429738-587D-4F5D-8385-4B46FF01F20F}"/>
    <cellStyle name="Итог 4 19 2 2" xfId="8525" xr:uid="{BD93D9AB-D961-43E1-BE46-418F7E760E7C}"/>
    <cellStyle name="Итог 4 19 2 2 2" xfId="12201" xr:uid="{A32ABC01-BAC6-4AF7-8754-E5D403802E8D}"/>
    <cellStyle name="Итог 4 19 2 2 2 2" xfId="28891" xr:uid="{E579D36C-7F2C-4FCD-AFC2-2372B936AAAA}"/>
    <cellStyle name="Итог 4 19 2 2 2 3" xfId="42119" xr:uid="{2CE8C335-4BBA-4E6A-8D11-037CDF7B2934}"/>
    <cellStyle name="Итог 4 19 2 2 3" xfId="26024" xr:uid="{D17B8AA6-9986-45C2-A028-142E23AB5B92}"/>
    <cellStyle name="Итог 4 19 2 2 4" xfId="39100" xr:uid="{D3D4E5CC-BB95-4BD9-A546-F5C56C697B74}"/>
    <cellStyle name="Итог 4 19 2 3" xfId="6893" xr:uid="{9CC5BD3E-4B7F-433E-8D72-A0183656653C}"/>
    <cellStyle name="Итог 4 19 2 3 2" xfId="14235" xr:uid="{AEAD4153-C2A3-4106-9103-B78882612BD3}"/>
    <cellStyle name="Итог 4 19 2 3 2 2" xfId="30580" xr:uid="{5C76614E-B372-4B1B-9EC1-DDAA81F09F70}"/>
    <cellStyle name="Итог 4 19 2 3 2 3" xfId="43972" xr:uid="{1FB7730E-0585-4ABB-AB9A-14D95EED64ED}"/>
    <cellStyle name="Итог 4 19 2 3 3" xfId="24516" xr:uid="{847FFB17-42E5-4B46-9A5C-7F8D8C2F27C3}"/>
    <cellStyle name="Итог 4 19 2 3 4" xfId="37597" xr:uid="{B1AF591E-00A3-4A35-9B4C-931FA5B2B021}"/>
    <cellStyle name="Итог 4 19 2 4" xfId="14563" xr:uid="{4CF0967C-F1FB-4DFB-94B9-39F95F67C3DA}"/>
    <cellStyle name="Итог 4 19 2 4 2" xfId="30870" xr:uid="{0364E7A4-6272-479A-9BD0-D1D6921F98C5}"/>
    <cellStyle name="Итог 4 19 2 4 3" xfId="44284" xr:uid="{35B0F733-5265-469F-8004-BA95685B3F25}"/>
    <cellStyle name="Итог 4 19 2 5" xfId="21268" xr:uid="{DF8CC1E5-EE82-4E94-BCC1-B92E527FC014}"/>
    <cellStyle name="Итог 4 19 2 6" xfId="34291" xr:uid="{05EF22BC-6521-4452-ACC0-CAE84D9906B8}"/>
    <cellStyle name="Итог 4 19 3" xfId="4910" xr:uid="{DAA5C543-0259-4BE9-AEA0-B5DB339BF93F}"/>
    <cellStyle name="Итог 4 19 3 2" xfId="7578" xr:uid="{09CDD0A8-C1F8-4C41-AE3D-5C696AC83C18}"/>
    <cellStyle name="Итог 4 19 3 2 2" xfId="11846" xr:uid="{13162EB2-F656-4AA8-BD02-EF8B489FE61A}"/>
    <cellStyle name="Итог 4 19 3 2 2 2" xfId="28563" xr:uid="{343AD4A9-B0B3-4043-84D3-23B1D2648FB6}"/>
    <cellStyle name="Итог 4 19 3 2 2 3" xfId="41779" xr:uid="{578669B3-9763-47B5-A65E-42A7869BADBC}"/>
    <cellStyle name="Итог 4 19 3 2 3" xfId="25106" xr:uid="{3FAE9913-ACBD-47BF-8EED-D26257E626E5}"/>
    <cellStyle name="Итог 4 19 3 2 4" xfId="38182" xr:uid="{A361D0B4-4875-4068-AE8C-ED5D227E5F5B}"/>
    <cellStyle name="Итог 4 19 3 3" xfId="13304" xr:uid="{78BDB821-DAD2-4397-BC01-575CC93584F1}"/>
    <cellStyle name="Итог 4 19 3 3 2" xfId="29790" xr:uid="{FE33C4FA-5B8A-4A98-A126-4E30022D2CBC}"/>
    <cellStyle name="Итог 4 19 3 3 3" xfId="43119" xr:uid="{1BB26206-5FF9-454D-A099-2FE0BAC8C7D2}"/>
    <cellStyle name="Итог 4 19 3 4" xfId="22707" xr:uid="{A0678FDA-7BA0-4043-A268-6FE75431E37F}"/>
    <cellStyle name="Итог 4 19 3 5" xfId="35760" xr:uid="{DFCF7CCF-A435-4A99-9E42-C1A2BA760DF6}"/>
    <cellStyle name="Итог 4 19 4" xfId="5932" xr:uid="{E700E275-49B2-4EC4-A8A3-20025E85C367}"/>
    <cellStyle name="Итог 4 19 4 2" xfId="9088" xr:uid="{5E62AFCF-F006-4F65-BDA0-A5CFF65C2CC8}"/>
    <cellStyle name="Итог 4 19 4 2 2" xfId="16148" xr:uid="{6D84EF6D-9359-488C-A954-DC71BFE3D56A}"/>
    <cellStyle name="Итог 4 19 4 2 2 2" xfId="32199" xr:uid="{A77037BE-843F-47B5-B317-AA305375DCFA}"/>
    <cellStyle name="Итог 4 19 4 2 2 3" xfId="45721" xr:uid="{99206045-AE9F-4442-BA37-81FD0F404B0B}"/>
    <cellStyle name="Итог 4 19 4 2 3" xfId="26569" xr:uid="{80C0395C-4638-4233-BE5F-D75DA427549B}"/>
    <cellStyle name="Итог 4 19 4 2 4" xfId="39645" xr:uid="{6BDEBA52-E974-4457-94FA-32919F4EDE00}"/>
    <cellStyle name="Итог 4 19 4 3" xfId="14538" xr:uid="{AFFC5165-C331-464B-8373-6932D17093C1}"/>
    <cellStyle name="Итог 4 19 4 3 2" xfId="30850" xr:uid="{DC45B509-B0B8-4370-86EA-394C742B29F0}"/>
    <cellStyle name="Итог 4 19 4 3 3" xfId="44262" xr:uid="{CEACD994-4382-4C69-B258-6BFBA099AB16}"/>
    <cellStyle name="Итог 4 19 4 4" xfId="23579" xr:uid="{92C759B5-E974-428D-ABB1-5630AF72BE14}"/>
    <cellStyle name="Итог 4 19 4 5" xfId="36660" xr:uid="{B593B23E-1969-4803-A386-8E4877C474FC}"/>
    <cellStyle name="Итог 4 19 5" xfId="13334" xr:uid="{157B6489-7E1E-451A-913B-009F523D503F}"/>
    <cellStyle name="Итог 4 19 5 2" xfId="29817" xr:uid="{CF0167F9-25E9-4584-B3A0-B88B97D50F16}"/>
    <cellStyle name="Итог 4 19 5 3" xfId="43148" xr:uid="{59430A10-A0F6-4F31-A942-1EC7FE7D4CF1}"/>
    <cellStyle name="Итог 4 19 6" xfId="21845" xr:uid="{BFAEC70E-25B0-4B63-8A01-AFD400DFA1CE}"/>
    <cellStyle name="Итог 4 19 7" xfId="34895" xr:uid="{B163C980-9760-4F0A-B226-54921D2B3FF4}"/>
    <cellStyle name="Итог 4 2" xfId="3476" xr:uid="{7604CC33-D0F7-4CA2-BFB1-1F204689812B}"/>
    <cellStyle name="Итог 4 2 10" xfId="17756" xr:uid="{CECE9910-0CCA-4FB2-949D-517825886C47}"/>
    <cellStyle name="Итог 4 2 10 2" xfId="33478" xr:uid="{30D8EE4C-4A27-4BE5-AF02-E8CAC0231EA3}"/>
    <cellStyle name="Итог 4 2 10 3" xfId="47257" xr:uid="{8982C421-7390-46AC-B3B0-39D49281E9B2}"/>
    <cellStyle name="Итог 4 2 11" xfId="20509" xr:uid="{CCBC3CBB-79DB-4661-8B3F-71F7E4F67BF6}"/>
    <cellStyle name="Итог 4 2 12" xfId="34492" xr:uid="{347A859D-08A6-4926-ADC1-618B0145B7D0}"/>
    <cellStyle name="Итог 4 2 2" xfId="2818" xr:uid="{63BB95C4-EBB3-4C29-B3FE-FAB9103845DE}"/>
    <cellStyle name="Итог 4 2 2 2" xfId="5124" xr:uid="{4801DEFE-4CE7-48DF-9F4A-67EB3F8470BD}"/>
    <cellStyle name="Итог 4 2 2 2 2" xfId="8114" xr:uid="{A13ECE26-5CBE-4DF2-AD2F-9C61AD0EB3AD}"/>
    <cellStyle name="Итог 4 2 2 2 2 2" xfId="16879" xr:uid="{297781F1-8EF5-4D81-A74B-29DA2FA115E1}"/>
    <cellStyle name="Итог 4 2 2 2 2 2 2" xfId="32756" xr:uid="{B136AE5B-7B5E-48E3-98AC-AAEB2C83C972}"/>
    <cellStyle name="Итог 4 2 2 2 2 2 3" xfId="46421" xr:uid="{79A18685-FED9-406E-9790-CBD678725807}"/>
    <cellStyle name="Итог 4 2 2 2 2 3" xfId="25625" xr:uid="{9213CC6E-D447-4CED-8717-19E588104589}"/>
    <cellStyle name="Итог 4 2 2 2 2 4" xfId="38701" xr:uid="{2CE73613-A5A6-415A-B56F-0F7CD204EC8B}"/>
    <cellStyle name="Итог 4 2 2 2 3" xfId="17569" xr:uid="{EEF86642-F872-4D3F-B11C-63FB195FCF14}"/>
    <cellStyle name="Итог 4 2 2 2 3 2" xfId="33306" xr:uid="{637158E5-F816-4193-8F79-1E22D22892B8}"/>
    <cellStyle name="Итог 4 2 2 2 3 3" xfId="47094" xr:uid="{D475EFAA-E56D-4F24-B685-CEDF3C7116C3}"/>
    <cellStyle name="Итог 4 2 2 2 4" xfId="22846" xr:uid="{3AEF653B-081E-4807-A2E0-C9E8127FC3F4}"/>
    <cellStyle name="Итог 4 2 2 2 5" xfId="35911" xr:uid="{313BCD8B-F66D-4F63-BEE1-A7661FF6A4EF}"/>
    <cellStyle name="Итог 4 2 2 3" xfId="6481" xr:uid="{745BD131-0235-47E4-87B9-533AC775E596}"/>
    <cellStyle name="Итог 4 2 2 3 2" xfId="16931" xr:uid="{355D18F1-A1A3-4F32-B446-67FB85FDE4A1}"/>
    <cellStyle name="Итог 4 2 2 3 2 2" xfId="32783" xr:uid="{99DF0770-3CEE-4DAD-AD49-880C4AA858F1}"/>
    <cellStyle name="Итог 4 2 2 3 2 3" xfId="46473" xr:uid="{6598F125-1CDE-4467-9820-423265ADB498}"/>
    <cellStyle name="Итог 4 2 2 3 3" xfId="24116" xr:uid="{61FB0105-7984-4141-BC9A-B5CAB1CD155D}"/>
    <cellStyle name="Итог 4 2 2 3 4" xfId="37197" xr:uid="{4558B6E7-F39B-4C29-A8DF-7A6C3F9F7507}"/>
    <cellStyle name="Итог 4 2 2 4" xfId="11541" xr:uid="{E4527059-202D-4CD3-BBB3-C37A17C813E3}"/>
    <cellStyle name="Итог 4 2 2 4 2" xfId="28298" xr:uid="{5B2BC296-88FA-4A44-AB59-B4837800150A}"/>
    <cellStyle name="Итог 4 2 2 4 3" xfId="41496" xr:uid="{3F5FB1B5-ADA0-4BD4-8F32-FCE4FED6A146}"/>
    <cellStyle name="Итог 4 2 2 5" xfId="20868" xr:uid="{DEDFF17B-B2B7-4A9F-82CF-F43BFE022C69}"/>
    <cellStyle name="Итог 4 2 2 6" xfId="33891" xr:uid="{1DE9F72E-5604-40CD-BA0A-0AACA57D40BD}"/>
    <cellStyle name="Итог 4 2 3" xfId="4178" xr:uid="{1EEB557E-BE62-4852-8CB5-A8E2C05D1FB0}"/>
    <cellStyle name="Итог 4 2 3 2" xfId="5213" xr:uid="{904378B7-9AA9-4689-9008-B15586324670}"/>
    <cellStyle name="Итог 4 2 3 2 2" xfId="9230" xr:uid="{EF8A44CC-2CAA-46AE-90D8-1960FFDA0651}"/>
    <cellStyle name="Итог 4 2 3 2 2 2" xfId="16760" xr:uid="{833B4880-3539-48D8-8987-0F1E74A57808}"/>
    <cellStyle name="Итог 4 2 3 2 2 2 2" xfId="32642" xr:uid="{513AD1AA-2519-4844-8E6C-6C135A47F6A2}"/>
    <cellStyle name="Итог 4 2 3 2 2 2 3" xfId="46303" xr:uid="{97E7D5E5-8BCD-4268-82B4-975917F0EC90}"/>
    <cellStyle name="Итог 4 2 3 2 2 3" xfId="26705" xr:uid="{61B47D9F-8F91-4EF4-95DE-D3EA2D50A6A8}"/>
    <cellStyle name="Итог 4 2 3 2 2 4" xfId="39781" xr:uid="{A7EAE871-4B77-4A06-8DA2-752B2585D63A}"/>
    <cellStyle name="Итог 4 2 3 2 3" xfId="15561" xr:uid="{76FCCA7F-5D34-430C-8975-462BE036F120}"/>
    <cellStyle name="Итог 4 2 3 2 3 2" xfId="31691" xr:uid="{01A19BAA-6C04-4FC2-97BA-5033A17ECC6A}"/>
    <cellStyle name="Итог 4 2 3 2 3 3" xfId="45193" xr:uid="{FBA72A82-254A-40DF-AC3A-85EDD6D760C4}"/>
    <cellStyle name="Итог 4 2 3 2 4" xfId="22888" xr:uid="{3E569F1E-1718-4639-8ADE-281003B1AA33}"/>
    <cellStyle name="Итог 4 2 3 2 5" xfId="35957" xr:uid="{E35DA712-D666-4B96-A3D0-493538FDFBC3}"/>
    <cellStyle name="Итог 4 2 3 3" xfId="7742" xr:uid="{025BE86B-9C4D-43D2-AC7D-6F2EC47A8564}"/>
    <cellStyle name="Итог 4 2 3 3 2" xfId="17249" xr:uid="{DE664C16-347F-4C85-83BA-BD7A3DE99631}"/>
    <cellStyle name="Итог 4 2 3 3 2 2" xfId="33008" xr:uid="{E385B9E6-75A6-4C61-AE6E-8DB92D636EB6}"/>
    <cellStyle name="Итог 4 2 3 3 2 3" xfId="46783" xr:uid="{2DC976E7-1622-414A-AD4F-2C9C0D6D2AD0}"/>
    <cellStyle name="Итог 4 2 3 3 3" xfId="25264" xr:uid="{0812FED5-E742-4A21-A9A8-AD5071FD3C27}"/>
    <cellStyle name="Итог 4 2 3 3 4" xfId="38340" xr:uid="{7E6A526F-E6C8-471A-AF24-5714269E04A4}"/>
    <cellStyle name="Итог 4 2 3 4" xfId="12117" xr:uid="{D857DB00-2FDA-43B4-AE50-949B93F1B65F}"/>
    <cellStyle name="Итог 4 2 3 4 2" xfId="28817" xr:uid="{CAE5B044-B701-4814-AF24-D81355BB6850}"/>
    <cellStyle name="Итог 4 2 3 4 3" xfId="42037" xr:uid="{03DC4B5C-B8E4-4DBD-BA52-E3707EF28E9A}"/>
    <cellStyle name="Итог 4 2 3 5" xfId="22005" xr:uid="{31BC610D-E8E0-44E5-88C9-D45E5429878B}"/>
    <cellStyle name="Итог 4 2 3 6" xfId="35054" xr:uid="{15CA2712-DAC4-4EC6-BA5C-82DD47DB38E6}"/>
    <cellStyle name="Итог 4 2 4" xfId="2987" xr:uid="{52C1BDDF-36EB-4FC8-AF8D-0907DB60CF88}"/>
    <cellStyle name="Итог 4 2 4 2" xfId="5048" xr:uid="{FCBFDF2E-F2F6-4667-AD38-C87118086D8F}"/>
    <cellStyle name="Итог 4 2 4 2 2" xfId="8283" xr:uid="{36887ADB-2F01-49F4-B467-A45BC144BEA6}"/>
    <cellStyle name="Итог 4 2 4 2 2 2" xfId="14531" xr:uid="{EF882469-A3A3-4559-A7D3-B9055AD12117}"/>
    <cellStyle name="Итог 4 2 4 2 2 2 2" xfId="30845" xr:uid="{47AD9E7E-D35D-40CA-8230-D5DCC2506544}"/>
    <cellStyle name="Итог 4 2 4 2 2 2 3" xfId="44257" xr:uid="{F0956FB9-D564-4AB1-9E16-548D9421DFAD}"/>
    <cellStyle name="Итог 4 2 4 2 2 3" xfId="25789" xr:uid="{5A2A269B-E235-4976-9338-324D161BC1BA}"/>
    <cellStyle name="Итог 4 2 4 2 2 4" xfId="38865" xr:uid="{46BF5983-6B82-4963-9AFD-2B954CDE1066}"/>
    <cellStyle name="Итог 4 2 4 2 3" xfId="14259" xr:uid="{83EC1AD0-5C8C-4CEB-BBEF-4AF90D9899F6}"/>
    <cellStyle name="Итог 4 2 4 2 3 2" xfId="30603" xr:uid="{036159C0-3EDD-4A86-8830-5936884B4AD0}"/>
    <cellStyle name="Итог 4 2 4 2 3 3" xfId="43995" xr:uid="{39EF1CAA-70EA-4921-A4D4-B43463BFBFBE}"/>
    <cellStyle name="Итог 4 2 4 2 4" xfId="22798" xr:uid="{91302B42-E197-421E-8C97-C480545EE276}"/>
    <cellStyle name="Итог 4 2 4 2 5" xfId="35863" xr:uid="{24A483E6-AE11-4D62-B40E-3D6970AB4482}"/>
    <cellStyle name="Итог 4 2 4 3" xfId="6650" xr:uid="{CA83FD19-652D-4A8F-938B-3233824D9842}"/>
    <cellStyle name="Итог 4 2 4 3 2" xfId="14638" xr:uid="{16CD394E-2816-49F4-A8CE-487731E236C5}"/>
    <cellStyle name="Итог 4 2 4 3 2 2" xfId="30934" xr:uid="{40940578-808D-479B-BDDB-D5F013813E9F}"/>
    <cellStyle name="Итог 4 2 4 3 2 3" xfId="44355" xr:uid="{B8864C7D-5C58-4C8B-817C-22F419B66897}"/>
    <cellStyle name="Итог 4 2 4 3 3" xfId="24280" xr:uid="{42D408AD-0B09-449E-9611-444383FA9040}"/>
    <cellStyle name="Итог 4 2 4 3 4" xfId="37361" xr:uid="{6B3F7ABB-FDE4-4535-9075-65028D3AEA71}"/>
    <cellStyle name="Итог 4 2 4 4" xfId="14914" xr:uid="{24CFDC8A-E4D1-4B1F-B7D1-C64B1A065883}"/>
    <cellStyle name="Итог 4 2 4 4 2" xfId="31160" xr:uid="{29D2F3F1-67F5-495D-BDE3-65573753AEE1}"/>
    <cellStyle name="Итог 4 2 4 4 3" xfId="44603" xr:uid="{769ACA2F-4B77-4BBB-A000-42637D1B02C6}"/>
    <cellStyle name="Итог 4 2 4 5" xfId="21032" xr:uid="{2149ACA9-45A1-485F-872C-B01A20B2E277}"/>
    <cellStyle name="Итог 4 2 4 6" xfId="34055" xr:uid="{C52A4C8D-2774-4580-AA85-CA0120596F07}"/>
    <cellStyle name="Итог 4 2 5" xfId="4231" xr:uid="{94C0E001-46AF-40D5-9FDE-35D27B4E40E8}"/>
    <cellStyle name="Итог 4 2 5 2" xfId="5019" xr:uid="{4E3879A5-4950-4673-B6B7-28C2A1FA8BEF}"/>
    <cellStyle name="Итог 4 2 5 2 2" xfId="9283" xr:uid="{4FE51594-FFE2-46A0-B2D1-0B39B7D4361E}"/>
    <cellStyle name="Итог 4 2 5 2 2 2" xfId="11449" xr:uid="{FC16E5F7-D274-4538-9815-AD8CB2E72AD2}"/>
    <cellStyle name="Итог 4 2 5 2 2 2 2" xfId="28214" xr:uid="{B1168A02-B1AB-4471-871C-071267EC847E}"/>
    <cellStyle name="Итог 4 2 5 2 2 2 3" xfId="41408" xr:uid="{923CA17B-DFF0-4C5D-8AD9-FA865508D48C}"/>
    <cellStyle name="Итог 4 2 5 2 2 3" xfId="26756" xr:uid="{D37106AF-F342-4FFF-9FD3-C248FA75408C}"/>
    <cellStyle name="Итог 4 2 5 2 2 4" xfId="39832" xr:uid="{AF91AE81-25FE-43B6-AB0E-8A97EFC625A0}"/>
    <cellStyle name="Итог 4 2 5 2 3" xfId="12805" xr:uid="{AEDA8216-7486-4CEC-A267-4D0AD16D605B}"/>
    <cellStyle name="Итог 4 2 5 2 3 2" xfId="29379" xr:uid="{C70E46BB-3F37-4E81-9499-04192BC45A62}"/>
    <cellStyle name="Итог 4 2 5 2 3 3" xfId="42660" xr:uid="{81AA88AB-8EDC-4FF7-AF1E-1303203100FE}"/>
    <cellStyle name="Итог 4 2 5 2 4" xfId="22782" xr:uid="{CAA9E91A-3F9F-4673-8A58-0DB4D83F345E}"/>
    <cellStyle name="Итог 4 2 5 2 5" xfId="35843" xr:uid="{5B3EC415-A12B-43D8-8C8A-CA9FCA446684}"/>
    <cellStyle name="Итог 4 2 5 3" xfId="7795" xr:uid="{CADD381D-9172-4AD3-A43C-CED65EB1AD12}"/>
    <cellStyle name="Итог 4 2 5 3 2" xfId="17282" xr:uid="{097F7D55-75F8-4B51-AEA5-A7D01016791C}"/>
    <cellStyle name="Итог 4 2 5 3 2 2" xfId="33040" xr:uid="{0C178CBD-F65B-44B5-BF4C-6BD1385B3D06}"/>
    <cellStyle name="Итог 4 2 5 3 2 3" xfId="46816" xr:uid="{F2ECF018-2532-4A9E-989E-58BF19ABCCD1}"/>
    <cellStyle name="Итог 4 2 5 3 3" xfId="25315" xr:uid="{1EB8143C-7397-407A-A0E8-D8727FC6C6B5}"/>
    <cellStyle name="Итог 4 2 5 3 4" xfId="38391" xr:uid="{7532D146-C99E-4AB3-83D6-76D1806F912D}"/>
    <cellStyle name="Итог 4 2 5 4" xfId="16248" xr:uid="{1B32203F-A157-46E0-86B1-B7681AC55EAE}"/>
    <cellStyle name="Итог 4 2 5 4 2" xfId="32283" xr:uid="{0968CA85-2043-465B-A36C-38EA4244F5A2}"/>
    <cellStyle name="Итог 4 2 5 4 3" xfId="45812" xr:uid="{DAC609F7-046A-4949-8AA0-0CB79E01BDA1}"/>
    <cellStyle name="Итог 4 2 5 5" xfId="22056" xr:uid="{0241811A-9DBC-41FE-9B8E-60A6B853FC98}"/>
    <cellStyle name="Итог 4 2 5 6" xfId="35105" xr:uid="{5D4D1E79-E9AF-405B-980A-0A66E5658A58}"/>
    <cellStyle name="Итог 4 2 6" xfId="4478" xr:uid="{94F3629A-A23E-4917-8DA6-3B01B5E7085C}"/>
    <cellStyle name="Итог 4 2 6 2" xfId="7118" xr:uid="{C1A0DAAE-C2F8-43D1-8A58-B75D34422C7D}"/>
    <cellStyle name="Итог 4 2 6 2 2" xfId="16062" xr:uid="{7FAE73FE-EFDC-46C6-BF12-0D4D19F48CC3}"/>
    <cellStyle name="Итог 4 2 6 2 2 2" xfId="32123" xr:uid="{7B024D5B-1F3D-4109-9C92-2E43C5B34CB2}"/>
    <cellStyle name="Итог 4 2 6 2 2 3" xfId="45642" xr:uid="{4C177483-6C8F-4615-A565-5209764D585B}"/>
    <cellStyle name="Итог 4 2 6 2 3" xfId="24717" xr:uid="{5AB91CCC-F611-46BA-9152-F946E11F74F8}"/>
    <cellStyle name="Итог 4 2 6 2 4" xfId="37798" xr:uid="{1162EF3F-2F65-45D6-A4DB-A2087343EC0A}"/>
    <cellStyle name="Итог 4 2 6 3" xfId="14529" xr:uid="{312E0EBA-8D73-43DB-9972-B4C68EA5C817}"/>
    <cellStyle name="Итог 4 2 6 3 2" xfId="30843" xr:uid="{CB9A9FF6-C3CB-4582-9B09-62F765694224}"/>
    <cellStyle name="Итог 4 2 6 3 3" xfId="44255" xr:uid="{7A430B49-526E-4B28-9050-9AEFDA81DF4F}"/>
    <cellStyle name="Итог 4 2 6 4" xfId="22296" xr:uid="{90DDBF17-4888-4C31-81FF-4E17517DA17C}"/>
    <cellStyle name="Итог 4 2 6 5" xfId="35345" xr:uid="{6C06241C-4CCD-4333-8B26-F324E3746C3F}"/>
    <cellStyle name="Итог 4 2 7" xfId="5242" xr:uid="{43B485C0-864C-4EF7-88B0-95576BD81DB5}"/>
    <cellStyle name="Итог 4 2 7 2" xfId="8713" xr:uid="{C304BFC1-2E3E-4536-A4D5-661CD847D8F3}"/>
    <cellStyle name="Итог 4 2 7 2 2" xfId="11687" xr:uid="{CB34EBA3-558E-4C5E-BF56-2F889B7423AB}"/>
    <cellStyle name="Итог 4 2 7 2 2 2" xfId="28421" xr:uid="{48A3BA70-AF19-420D-8B08-D5474FD1EDCA}"/>
    <cellStyle name="Итог 4 2 7 2 2 3" xfId="41630" xr:uid="{3CE00331-9BC6-4F82-A601-F8956800AEF1}"/>
    <cellStyle name="Итог 4 2 7 2 3" xfId="26206" xr:uid="{DC590D32-6733-4834-A466-21216A1C4E3A}"/>
    <cellStyle name="Итог 4 2 7 2 4" xfId="39282" xr:uid="{6E4733E1-4B50-4BCA-8DAE-FFC7E4F51FBC}"/>
    <cellStyle name="Итог 4 2 7 3" xfId="11083" xr:uid="{97633A2B-5BC1-49F8-B1B6-988DC5FFBC96}"/>
    <cellStyle name="Итог 4 2 7 3 2" xfId="27884" xr:uid="{5E4F151D-62AF-4F93-8D79-261C833444C1}"/>
    <cellStyle name="Итог 4 2 7 3 3" xfId="41062" xr:uid="{F7E4E0CC-FBDD-4D80-B3B5-13E5E129404C}"/>
    <cellStyle name="Итог 4 2 7 4" xfId="22905" xr:uid="{E5DC96DF-4EA2-4084-9FFB-3385C5E55602}"/>
    <cellStyle name="Итог 4 2 7 5" xfId="35979" xr:uid="{83A57D54-887A-443D-897B-087A9984C958}"/>
    <cellStyle name="Итог 4 2 8" xfId="5531" xr:uid="{7AA25FD3-9EE2-4718-B732-A82270150989}"/>
    <cellStyle name="Итог 4 2 8 2" xfId="9825" xr:uid="{16B17830-6688-4E2E-A139-91B3DB12D4C5}"/>
    <cellStyle name="Итог 4 2 8 2 2" xfId="10686" xr:uid="{89B10903-2F4E-4864-AB20-03E41543D6BC}"/>
    <cellStyle name="Итог 4 2 8 2 2 2" xfId="27535" xr:uid="{FA6D0574-BEC8-42F4-BB08-387C948DA6F1}"/>
    <cellStyle name="Итог 4 2 8 2 2 3" xfId="40667" xr:uid="{974EBA90-5957-4A6B-A79E-3FD1483B614D}"/>
    <cellStyle name="Итог 4 2 8 2 3" xfId="27121" xr:uid="{C3925B7B-9550-49A3-B733-C94508E3CA55}"/>
    <cellStyle name="Итог 4 2 8 2 4" xfId="40240" xr:uid="{29EC8187-39F6-4B6B-A938-AF128A0A30F3}"/>
    <cellStyle name="Итог 4 2 8 3" xfId="14106" xr:uid="{E4CFD919-573D-4D0F-9CB5-E3918D5D050E}"/>
    <cellStyle name="Итог 4 2 8 3 2" xfId="30473" xr:uid="{95E6E90D-C82F-4E8D-9D42-3167A635DF24}"/>
    <cellStyle name="Итог 4 2 8 3 3" xfId="43856" xr:uid="{5D7E4921-693C-4FDF-9D7F-00834B5AACEF}"/>
    <cellStyle name="Итог 4 2 8 4" xfId="23178" xr:uid="{3CB043A4-B979-401E-BB97-0A5662DCCE48}"/>
    <cellStyle name="Итог 4 2 8 5" xfId="36259" xr:uid="{9C090A3A-85B9-43DE-AFAC-61811EA8368C}"/>
    <cellStyle name="Итог 4 2 9" xfId="11336" xr:uid="{60ED235C-BE73-4426-9091-2EC6447B08B0}"/>
    <cellStyle name="Итог 4 2 9 2" xfId="28115" xr:uid="{6F8B43AA-681F-42DF-A5A3-CA84D6FCA548}"/>
    <cellStyle name="Итог 4 2 9 3" xfId="41303" xr:uid="{D2B26B42-2A31-4BE0-A098-5362A0916B48}"/>
    <cellStyle name="Итог 4 20" xfId="4000" xr:uid="{5F601DFD-E097-4995-BFB5-758CD89B30B4}"/>
    <cellStyle name="Итог 4 20 2" xfId="2511" xr:uid="{EC9169E8-F7BB-4F84-B57C-68CFE46FE664}"/>
    <cellStyle name="Итог 4 20 2 2" xfId="6147" xr:uid="{5EBEEB2F-1C60-4ADD-9EA5-44864E5B8AA7}"/>
    <cellStyle name="Итог 4 20 2 2 2" xfId="10580" xr:uid="{F6610717-95E3-44E4-9720-0E8CA45F71F3}"/>
    <cellStyle name="Итог 4 20 2 2 2 2" xfId="27439" xr:uid="{059BE3E8-B8FF-4479-A2A7-B85D87C27A6C}"/>
    <cellStyle name="Итог 4 20 2 2 2 3" xfId="40561" xr:uid="{F20A5EF9-E1FA-41E0-A2FF-B0D6C0F28A59}"/>
    <cellStyle name="Итог 4 20 2 2 3" xfId="23792" xr:uid="{3D1405C0-880E-48A9-94DD-EE0E0DC72455}"/>
    <cellStyle name="Итог 4 20 2 2 4" xfId="36873" xr:uid="{40E4E687-639D-4D35-8052-FEF6AA0C1A69}"/>
    <cellStyle name="Итог 4 20 2 3" xfId="6180" xr:uid="{C1BFD6D6-D442-4804-99BF-EAB2111943CD}"/>
    <cellStyle name="Итог 4 20 2 3 2" xfId="11586" xr:uid="{4A866DB9-B336-4356-87B9-045812B9B5DB}"/>
    <cellStyle name="Итог 4 20 2 3 2 2" xfId="28337" xr:uid="{5A9D44D7-19C2-4B68-AE62-D785DBE7B58A}"/>
    <cellStyle name="Итог 4 20 2 3 2 3" xfId="41538" xr:uid="{583D7794-7876-43F0-9CD0-4E86E41B613F}"/>
    <cellStyle name="Итог 4 20 2 3 3" xfId="23825" xr:uid="{D38324CA-0570-4A88-B64E-E974E4C73063}"/>
    <cellStyle name="Итог 4 20 2 3 4" xfId="36906" xr:uid="{0048E1D1-6F6A-4F0D-8A97-06551CCA1D7B}"/>
    <cellStyle name="Итог 4 20 2 4" xfId="13544" xr:uid="{72CC0484-A613-4627-879C-9294CB3F1A36}"/>
    <cellStyle name="Итог 4 20 2 4 2" xfId="29990" xr:uid="{2710DEA6-E9A6-40B5-8A7C-BE45D5F40C01}"/>
    <cellStyle name="Итог 4 20 2 4 3" xfId="43339" xr:uid="{C42ED87C-E936-4A2D-A8FC-B32925C6138F}"/>
    <cellStyle name="Итог 4 20 2 5" xfId="20577" xr:uid="{3305AEEB-03DF-43F9-B995-27D705AE7388}"/>
    <cellStyle name="Итог 4 20 2 6" xfId="33600" xr:uid="{4EFBC348-2A88-4ECC-AD2B-D3C4AC3D418D}"/>
    <cellStyle name="Итог 4 20 3" xfId="4912" xr:uid="{6D52FFE4-E8CD-4A1F-A9E6-05D8CC18EF87}"/>
    <cellStyle name="Итог 4 20 3 2" xfId="7580" xr:uid="{E6DC1EE1-24AC-4FEE-8905-E5AE2E499F88}"/>
    <cellStyle name="Итог 4 20 3 2 2" xfId="13921" xr:uid="{2F433A57-75CE-4AA8-8B7C-3982F874A8E6}"/>
    <cellStyle name="Итог 4 20 3 2 2 2" xfId="30312" xr:uid="{8938A01A-A5A4-406B-941F-48F75F0E2973}"/>
    <cellStyle name="Итог 4 20 3 2 2 3" xfId="43686" xr:uid="{3944F905-C615-43BC-9FEA-023E8FBFF9E3}"/>
    <cellStyle name="Итог 4 20 3 2 3" xfId="25108" xr:uid="{1F7BFBD2-C91F-4DEF-847A-10D217E2498D}"/>
    <cellStyle name="Итог 4 20 3 2 4" xfId="38184" xr:uid="{8ACA99B9-1FC0-431E-94E0-8DA8129CD477}"/>
    <cellStyle name="Итог 4 20 3 3" xfId="11409" xr:uid="{7D101367-3088-4AA5-A207-575837BD20ED}"/>
    <cellStyle name="Итог 4 20 3 3 2" xfId="28179" xr:uid="{C49F0DA2-2E16-4866-A96D-C36524904748}"/>
    <cellStyle name="Итог 4 20 3 3 3" xfId="41370" xr:uid="{A68FBAC1-CF42-4915-9AC3-3BE33B9CBDE9}"/>
    <cellStyle name="Итог 4 20 3 4" xfId="22709" xr:uid="{3B40C430-1552-4684-820D-79DCED365EC4}"/>
    <cellStyle name="Итог 4 20 3 5" xfId="35762" xr:uid="{31A6DDBE-32EA-4B13-858B-889F23FD1ED1}"/>
    <cellStyle name="Итог 4 20 4" xfId="5934" xr:uid="{BBA4FAD4-AA12-47A1-AA5D-F7A47604CE18}"/>
    <cellStyle name="Итог 4 20 4 2" xfId="9865" xr:uid="{3236BABF-8316-497D-8756-C13A95D02753}"/>
    <cellStyle name="Итог 4 20 4 2 2" xfId="13955" xr:uid="{277D338D-7911-45E9-B8D7-974A7DDD8647}"/>
    <cellStyle name="Итог 4 20 4 2 2 2" xfId="30342" xr:uid="{558221CD-4391-445D-B6E3-EC62986A0EB6}"/>
    <cellStyle name="Итог 4 20 4 2 2 3" xfId="43719" xr:uid="{47EA82DF-16E4-40CB-9F0C-6C2744F5C674}"/>
    <cellStyle name="Итог 4 20 4 2 3" xfId="27161" xr:uid="{EEFEF0AB-1198-4E7F-8CF5-34FA3B3A9F0E}"/>
    <cellStyle name="Итог 4 20 4 2 4" xfId="40280" xr:uid="{256D05FC-CCB5-4D01-A63F-4BB069EDBECE}"/>
    <cellStyle name="Итог 4 20 4 3" xfId="13306" xr:uid="{25833509-4544-4377-91B8-4BFFBDD89DA8}"/>
    <cellStyle name="Итог 4 20 4 3 2" xfId="29792" xr:uid="{9137B9D5-3386-4904-BB11-B305097D1BD2}"/>
    <cellStyle name="Итог 4 20 4 3 3" xfId="43121" xr:uid="{D61AE3A8-89AA-4A62-BD2A-F5AB9EF3E7F9}"/>
    <cellStyle name="Итог 4 20 4 4" xfId="23581" xr:uid="{5C3301BA-FEE4-416C-BD51-4915EE7CE892}"/>
    <cellStyle name="Итог 4 20 4 5" xfId="36662" xr:uid="{0C57CE8C-64F5-4BF7-B3C9-DC495FE951F4}"/>
    <cellStyle name="Итог 4 20 5" xfId="6106" xr:uid="{6B76BCB9-00FC-47AB-BDE8-1E99FAD2BC3D}"/>
    <cellStyle name="Итог 4 20 5 2" xfId="12842" xr:uid="{1B27CCE9-459C-4814-BB84-FD49272B37E3}"/>
    <cellStyle name="Итог 4 20 5 2 2" xfId="29412" xr:uid="{C7BA38F2-5CA1-43A5-ADDA-52EB626BC1F5}"/>
    <cellStyle name="Итог 4 20 5 2 3" xfId="42695" xr:uid="{EE87701A-290A-4E78-8755-33D9FFCFAA67}"/>
    <cellStyle name="Итог 4 20 5 3" xfId="23752" xr:uid="{D74B5DC3-E668-4CE1-A9D5-98019A17C9F4}"/>
    <cellStyle name="Итог 4 20 5 4" xfId="36833" xr:uid="{E31AD509-9275-46FD-93D2-E7FDA490786A}"/>
    <cellStyle name="Итог 4 20 6" xfId="15098" xr:uid="{44C00940-4F6D-40B5-B619-E348D0AAF876}"/>
    <cellStyle name="Итог 4 20 6 2" xfId="31304" xr:uid="{48947A7D-5EE1-49F0-87ED-0B47974DAB89}"/>
    <cellStyle name="Итог 4 20 6 3" xfId="44765" xr:uid="{33EDE849-0823-4CF8-8ABB-5935D8309147}"/>
    <cellStyle name="Итог 4 20 7" xfId="21847" xr:uid="{77A85F38-876C-49F1-93EE-65415A26C2AC}"/>
    <cellStyle name="Итог 4 20 8" xfId="34897" xr:uid="{21913EC9-F480-4541-B55A-8B1226CD0037}"/>
    <cellStyle name="Итог 4 21" xfId="3185" xr:uid="{FBFB723C-B56E-4932-B494-976632D091F2}"/>
    <cellStyle name="Итог 4 21 2" xfId="8477" xr:uid="{8725F72A-05C1-4A9F-A3D8-CEE7E7B366BE}"/>
    <cellStyle name="Итог 4 21 2 2" xfId="14404" xr:uid="{E9FDFEA6-434E-4367-B11C-50693C89D9CE}"/>
    <cellStyle name="Итог 4 21 2 2 2" xfId="30735" xr:uid="{34689AF3-905B-4D94-B6C3-7B0591177CBB}"/>
    <cellStyle name="Итог 4 21 2 2 3" xfId="44134" xr:uid="{7A74E1A5-9C62-4FCB-8D4E-EEFD116D0C80}"/>
    <cellStyle name="Итог 4 21 2 3" xfId="25977" xr:uid="{F3E36891-0D26-499A-83BD-1F1ACCC101BC}"/>
    <cellStyle name="Итог 4 21 2 4" xfId="39053" xr:uid="{91AE50B3-69E9-4C7B-B855-244560CC5841}"/>
    <cellStyle name="Итог 4 21 3" xfId="6844" xr:uid="{D6EA458D-B6B0-4E40-907B-78F7B5056720}"/>
    <cellStyle name="Итог 4 21 3 2" xfId="13601" xr:uid="{F20A294B-AC74-4C13-A9AE-5F7F38E3AC4C}"/>
    <cellStyle name="Итог 4 21 3 2 2" xfId="30041" xr:uid="{DCAAD7B5-2287-4977-8155-5910F32D64B4}"/>
    <cellStyle name="Итог 4 21 3 2 3" xfId="43393" xr:uid="{FECED040-C3DD-4361-845F-2395B0BE34C8}"/>
    <cellStyle name="Итог 4 21 3 3" xfId="24468" xr:uid="{2B31C007-C0A5-4B3F-9F5C-5533A5F333C4}"/>
    <cellStyle name="Итог 4 21 3 4" xfId="37549" xr:uid="{5AF8FD5E-43BE-4ACB-BE0E-3BE4820EBDE5}"/>
    <cellStyle name="Итог 4 21 4" xfId="12231" xr:uid="{A5D7632F-51F9-44DB-B328-4F000B28FC79}"/>
    <cellStyle name="Итог 4 21 4 2" xfId="28913" xr:uid="{1413CA0B-928F-405E-B4C6-E7FF4A99954E}"/>
    <cellStyle name="Итог 4 21 4 3" xfId="42146" xr:uid="{55ADF33F-83EF-4033-B36E-D8357477D6A1}"/>
    <cellStyle name="Итог 4 21 5" xfId="21220" xr:uid="{43C2DA53-920B-4B98-8E31-1A2DDDCDD8F9}"/>
    <cellStyle name="Итог 4 21 6" xfId="34243" xr:uid="{D1D55708-E23E-4453-9A6D-7B56D101D0A9}"/>
    <cellStyle name="Итог 4 22" xfId="2653" xr:uid="{9E76B6DF-AE61-4845-9862-8E34AE9A4BF5}"/>
    <cellStyle name="Итог 4 22 2" xfId="7950" xr:uid="{ECA0C528-6416-4A1D-B3D1-8D89A9523E37}"/>
    <cellStyle name="Итог 4 22 2 2" xfId="15787" xr:uid="{B8B00345-6A72-4858-8BC5-470ABC025E84}"/>
    <cellStyle name="Итог 4 22 2 2 2" xfId="31888" xr:uid="{01F20E7B-CB6A-4FAE-ABC7-93E7EEFBB01B}"/>
    <cellStyle name="Итог 4 22 2 2 3" xfId="45399" xr:uid="{81A9E067-8D2B-4A26-8356-9741EE87232D}"/>
    <cellStyle name="Итог 4 22 2 3" xfId="25466" xr:uid="{BA50A4B4-0AF1-4411-8AC8-E3AA61796480}"/>
    <cellStyle name="Итог 4 22 2 4" xfId="38542" xr:uid="{1A0C5718-C8AD-4F98-BB1E-46D72E9799D5}"/>
    <cellStyle name="Итог 4 22 3" xfId="6317" xr:uid="{C9F1560D-517E-4288-9B04-D54EA6674CBB}"/>
    <cellStyle name="Итог 4 22 3 2" xfId="14086" xr:uid="{C322272C-F782-47A0-9DE5-B15AB6FDC3A5}"/>
    <cellStyle name="Итог 4 22 3 2 2" xfId="30453" xr:uid="{60F2AF02-A029-4CF4-982B-42D4B882D856}"/>
    <cellStyle name="Итог 4 22 3 2 3" xfId="43836" xr:uid="{BF36F884-2A80-4B45-9EBE-876397FF4B6B}"/>
    <cellStyle name="Итог 4 22 3 3" xfId="23957" xr:uid="{78D48B09-B473-45C4-9A9B-379B200487A1}"/>
    <cellStyle name="Итог 4 22 3 4" xfId="37038" xr:uid="{63115BE7-A903-4A54-B3DA-4AEA11E361D6}"/>
    <cellStyle name="Итог 4 22 4" xfId="16280" xr:uid="{4DAAABEA-61AD-4C83-91DC-8B3C7ABAF243}"/>
    <cellStyle name="Итог 4 22 4 2" xfId="32313" xr:uid="{0CD49FB5-45B7-4235-8645-A5EF45E24999}"/>
    <cellStyle name="Итог 4 22 4 3" xfId="45842" xr:uid="{3E7A4E7C-C28E-419D-9792-5F80DD8F25C3}"/>
    <cellStyle name="Итог 4 22 5" xfId="20709" xr:uid="{3461305F-8BB4-43E4-A63C-04E8B5E5B386}"/>
    <cellStyle name="Итог 4 22 6" xfId="33732" xr:uid="{459B1753-26DA-4C35-AC62-6E8F42AD26E1}"/>
    <cellStyle name="Итог 4 23" xfId="4076" xr:uid="{87CFA7C2-032E-499B-A677-F8483F06A5B0}"/>
    <cellStyle name="Итог 4 23 2" xfId="9128" xr:uid="{3FA8A7E8-A340-4626-AAFB-2B72C7F3FE7D}"/>
    <cellStyle name="Итог 4 23 2 2" xfId="15335" xr:uid="{91875561-AE79-45CA-84AE-E0AF5B920BC6}"/>
    <cellStyle name="Итог 4 23 2 2 2" xfId="31492" xr:uid="{63F72DFF-6DEC-43DA-8C6E-FA90C689BD1A}"/>
    <cellStyle name="Итог 4 23 2 2 3" xfId="44978" xr:uid="{75593380-E5EA-481B-81DA-35F2EA60D64D}"/>
    <cellStyle name="Итог 4 23 2 3" xfId="26609" xr:uid="{7E8D8D93-1775-46FE-9A85-50D29B580895}"/>
    <cellStyle name="Итог 4 23 2 4" xfId="39685" xr:uid="{CC9ADCC6-4935-4C10-8F25-8382CBCA2559}"/>
    <cellStyle name="Итог 4 23 3" xfId="7640" xr:uid="{E36C217C-8C60-4319-8873-15835B2604F1}"/>
    <cellStyle name="Итог 4 23 3 2" xfId="12933" xr:uid="{A5B9F494-17E8-47A5-A1F8-903087495230}"/>
    <cellStyle name="Итог 4 23 3 2 2" xfId="29476" xr:uid="{1DF1E810-C801-4DA4-9981-6244DA7EA8E1}"/>
    <cellStyle name="Итог 4 23 3 2 3" xfId="42772" xr:uid="{19CFA298-2AEB-440D-B4FE-13B5044FDC06}"/>
    <cellStyle name="Итог 4 23 3 3" xfId="25168" xr:uid="{2541C24D-1AE3-4695-A99A-5BD1E65C6634}"/>
    <cellStyle name="Итог 4 23 3 4" xfId="38244" xr:uid="{82F83C95-DE4E-49F2-9C9D-7AECE261AE5F}"/>
    <cellStyle name="Итог 4 23 4" xfId="16334" xr:uid="{0BADB57E-6D06-4385-92C4-BF70FA110650}"/>
    <cellStyle name="Итог 4 23 4 2" xfId="32358" xr:uid="{871C9B1E-CD26-4401-8DED-481E0C7950A0}"/>
    <cellStyle name="Итог 4 23 4 3" xfId="45889" xr:uid="{B2762287-940B-4FC1-B5D3-024CBD359E45}"/>
    <cellStyle name="Итог 4 23 5" xfId="21909" xr:uid="{B33591C2-AC08-43B0-B4C6-155BA109CA8D}"/>
    <cellStyle name="Итог 4 23 6" xfId="34958" xr:uid="{281841FC-3B0B-41F3-ADC7-00E413A74CC1}"/>
    <cellStyle name="Итог 4 24" xfId="2562" xr:uid="{73FCBA02-B877-4578-A84C-29C3FC392A69}"/>
    <cellStyle name="Итог 4 24 2" xfId="7860" xr:uid="{A355B933-AAE8-4FA5-B3D3-C0BC6A43EAD4}"/>
    <cellStyle name="Итог 4 24 2 2" xfId="17492" xr:uid="{77336556-E71D-4848-A5F2-4E4526E46C7F}"/>
    <cellStyle name="Итог 4 24 2 2 2" xfId="33235" xr:uid="{047D682A-9F4F-483A-BB99-CF72B510DBEE}"/>
    <cellStyle name="Итог 4 24 2 2 3" xfId="47021" xr:uid="{F0D2F0E4-3860-479B-B022-16C902DC5F63}"/>
    <cellStyle name="Итог 4 24 2 3" xfId="25379" xr:uid="{17B44D8F-119D-4D47-857A-B7D445DCB99A}"/>
    <cellStyle name="Итог 4 24 2 4" xfId="38455" xr:uid="{FF1776C2-36B4-4303-924E-C4EE35E6A28B}"/>
    <cellStyle name="Итог 4 24 3" xfId="6227" xr:uid="{21086EF2-087D-4608-9E5D-F544E46D84DE}"/>
    <cellStyle name="Итог 4 24 3 2" xfId="15016" xr:uid="{A02CB5FF-32D2-495A-93DD-8E19110A3A40}"/>
    <cellStyle name="Итог 4 24 3 2 2" xfId="31241" xr:uid="{C8FD2879-CA57-4A9F-A44D-F1B13236B761}"/>
    <cellStyle name="Итог 4 24 3 2 3" xfId="44691" xr:uid="{F7198839-AD41-4663-B1F6-F02238CADAB1}"/>
    <cellStyle name="Итог 4 24 3 3" xfId="23870" xr:uid="{19A33974-5646-4A81-9B6E-3CA37013763D}"/>
    <cellStyle name="Итог 4 24 3 4" xfId="36951" xr:uid="{BDAAC96F-E954-4D9A-AA12-912F96290619}"/>
    <cellStyle name="Итог 4 24 4" xfId="13725" xr:uid="{4EE5DA4C-2D53-4F12-B2C3-526D282A0C18}"/>
    <cellStyle name="Итог 4 24 4 2" xfId="30141" xr:uid="{DFEC7311-71E9-4BCB-9043-5CB74ECE66F4}"/>
    <cellStyle name="Итог 4 24 4 3" xfId="43503" xr:uid="{9DBF59CA-519E-4A57-88BD-41EBA0FC2F0C}"/>
    <cellStyle name="Итог 4 24 5" xfId="20622" xr:uid="{39BE8930-681E-4F92-B0C7-E827A769624D}"/>
    <cellStyle name="Итог 4 24 6" xfId="33645" xr:uid="{1F4103F5-5F01-4CFC-B2BB-FC3D975B3FEB}"/>
    <cellStyle name="Итог 4 25" xfId="4214" xr:uid="{BDB134E3-D46C-4CFA-B486-1EA4BEE9BFA6}"/>
    <cellStyle name="Итог 4 25 2" xfId="9266" xr:uid="{1005101A-671A-4D64-BAD2-0B6CB2FEEB26}"/>
    <cellStyle name="Итог 4 25 2 2" xfId="13726" xr:uid="{4D53388D-7B3E-4984-BA35-8ABA3D89A8FC}"/>
    <cellStyle name="Итог 4 25 2 2 2" xfId="30142" xr:uid="{31F4B711-C94A-4ACD-B48A-74917C162935}"/>
    <cellStyle name="Итог 4 25 2 2 3" xfId="43504" xr:uid="{C6D51DD8-BBDD-499D-9108-7FCBED84E5C8}"/>
    <cellStyle name="Итог 4 25 2 3" xfId="26739" xr:uid="{6CA125F1-DED8-4B74-82F4-75A400CB03DB}"/>
    <cellStyle name="Итог 4 25 2 4" xfId="39815" xr:uid="{1E0D8F38-3FB4-463C-983E-34912FE9B618}"/>
    <cellStyle name="Итог 4 25 3" xfId="7778" xr:uid="{FE7E0A03-3517-4B43-9B93-0A0688D2FBE0}"/>
    <cellStyle name="Итог 4 25 3 2" xfId="11873" xr:uid="{E802AA11-1A0C-4347-9391-643246C04EA2}"/>
    <cellStyle name="Итог 4 25 3 2 2" xfId="28589" xr:uid="{278E06F4-9D4C-402E-8B94-8B21B71C1DE4}"/>
    <cellStyle name="Итог 4 25 3 2 3" xfId="41805" xr:uid="{697AC2EA-6570-4E2D-9777-12380DEFFFCF}"/>
    <cellStyle name="Итог 4 25 3 3" xfId="25298" xr:uid="{48DB2926-AE2C-489F-9D74-4B0BA4A4EE73}"/>
    <cellStyle name="Итог 4 25 3 4" xfId="38374" xr:uid="{68F5EFD5-B46B-4D29-9E51-C1AFC803B25D}"/>
    <cellStyle name="Итог 4 25 4" xfId="15124" xr:uid="{8FE00CFA-132E-494F-8836-6A5C76A2AECC}"/>
    <cellStyle name="Итог 4 25 4 2" xfId="31326" xr:uid="{473CF8AE-974C-4FD8-99B2-240BA1AE617C}"/>
    <cellStyle name="Итог 4 25 4 3" xfId="44788" xr:uid="{F0B4DCDE-CCDA-4F92-BB3B-A3C678120B5C}"/>
    <cellStyle name="Итог 4 25 5" xfId="22039" xr:uid="{34F1BB5A-0646-442A-A513-CBCE6527D277}"/>
    <cellStyle name="Итог 4 25 6" xfId="35088" xr:uid="{4774600C-2EDB-4187-9687-9A1F3835286D}"/>
    <cellStyle name="Итог 4 26" xfId="4303" xr:uid="{8190390B-535A-4C1B-9EF9-7DA47E44DEA1}"/>
    <cellStyle name="Итог 4 26 2" xfId="6172" xr:uid="{D624153B-C452-468E-A80C-320FD4DAB0E2}"/>
    <cellStyle name="Итог 4 26 2 2" xfId="15985" xr:uid="{CAD031DF-BFDE-4363-B017-FF489C7D1940}"/>
    <cellStyle name="Итог 4 26 2 2 2" xfId="32059" xr:uid="{978C69DB-2F42-47FF-B087-BFB786AC5FA4}"/>
    <cellStyle name="Итог 4 26 2 2 3" xfId="45578" xr:uid="{DEE1B72E-999F-4BF8-8041-4CEE69AD495D}"/>
    <cellStyle name="Итог 4 26 2 3" xfId="23817" xr:uid="{E970BEA4-810A-4EE0-B4A7-9CFF31C84A56}"/>
    <cellStyle name="Итог 4 26 2 4" xfId="36898" xr:uid="{991AF8C4-AA57-4FC0-9965-A0A804259C0C}"/>
    <cellStyle name="Итог 4 26 3" xfId="12512" xr:uid="{DACCBFDF-6F0B-49E4-94CD-20F626DB205D}"/>
    <cellStyle name="Итог 4 26 3 2" xfId="29144" xr:uid="{284C8040-19ED-4198-AC6B-74FD381AD44B}"/>
    <cellStyle name="Итог 4 26 3 3" xfId="42399" xr:uid="{F82C89EA-BE59-4DDE-90F9-162519030E39}"/>
    <cellStyle name="Итог 4 26 4" xfId="22124" xr:uid="{6A76FD80-899E-4E97-B0D0-05F90B48DB69}"/>
    <cellStyle name="Итог 4 26 5" xfId="35173" xr:uid="{22A5FD02-6134-49BB-AF03-4C01746FC0FA}"/>
    <cellStyle name="Итог 4 27" xfId="5283" xr:uid="{5CDB5F00-6BE4-4617-A90F-3EFC0586417A}"/>
    <cellStyle name="Итог 4 27 2" xfId="9716" xr:uid="{D72133AB-4FF3-4600-8153-A937FBA4E76E}"/>
    <cellStyle name="Итог 4 27 2 2" xfId="10821" xr:uid="{006071EF-6D5B-41BA-ABF4-6E9E21E5E253}"/>
    <cellStyle name="Итог 4 27 2 2 2" xfId="27653" xr:uid="{EA84175E-86C9-4C44-A653-2233A15B4513}"/>
    <cellStyle name="Итог 4 27 2 2 3" xfId="40802" xr:uid="{78F99932-D7DA-4343-B3D8-641AB12156CF}"/>
    <cellStyle name="Итог 4 27 2 3" xfId="27015" xr:uid="{7AE1791F-E645-4F1E-B7BC-C72C6EECB03B}"/>
    <cellStyle name="Итог 4 27 2 4" xfId="40132" xr:uid="{EEF194DA-F178-445F-9EBC-81704D982D31}"/>
    <cellStyle name="Итог 4 27 3" xfId="11761" xr:uid="{9E58C976-CE9C-4F39-96A6-0016F1F19D32}"/>
    <cellStyle name="Итог 4 27 3 2" xfId="28486" xr:uid="{37A43FC4-78E2-4AE5-A22C-C96F1A622300}"/>
    <cellStyle name="Итог 4 27 3 3" xfId="41697" xr:uid="{07B80169-B496-4E59-8D63-2FD22944ADF0}"/>
    <cellStyle name="Итог 4 27 4" xfId="22934" xr:uid="{14EEAE50-A9F1-4E2A-86DE-35E71A07DCD4}"/>
    <cellStyle name="Итог 4 27 5" xfId="36013" xr:uid="{CCD58D02-1EDF-42EB-8AF3-CA13C91AC4E9}"/>
    <cellStyle name="Итог 4 28" xfId="5359" xr:uid="{F6304E02-CF42-4152-9BA8-E84424735F14}"/>
    <cellStyle name="Итог 4 28 2" xfId="9790" xr:uid="{C79953A9-340F-47EF-8983-81BEEAD8D0AC}"/>
    <cellStyle name="Итог 4 28 2 2" xfId="14001" xr:uid="{444B61FA-1CF5-4113-804C-B34253E8AFD5}"/>
    <cellStyle name="Итог 4 28 2 2 2" xfId="30385" xr:uid="{79678E8C-A217-474C-9492-9A6E7F882CB1}"/>
    <cellStyle name="Итог 4 28 2 2 3" xfId="43763" xr:uid="{A8A1C714-9749-466E-A42E-C8AAD4B4BBE8}"/>
    <cellStyle name="Итог 4 28 2 3" xfId="27087" xr:uid="{361231A3-4144-452E-8ADC-650213365B3F}"/>
    <cellStyle name="Итог 4 28 2 4" xfId="40206" xr:uid="{7B05C145-206E-4F27-A256-439B156CD611}"/>
    <cellStyle name="Итог 4 28 3" xfId="16684" xr:uid="{A7A58038-2B1C-4637-A601-96AB81FFF25E}"/>
    <cellStyle name="Итог 4 28 3 2" xfId="32571" xr:uid="{5CDB9AF8-DBA0-4782-96B6-F96346381F9B}"/>
    <cellStyle name="Итог 4 28 3 3" xfId="46229" xr:uid="{CEDFBF3C-AC86-495C-8562-8C74B9C87761}"/>
    <cellStyle name="Итог 4 28 4" xfId="23006" xr:uid="{22665F90-9D2F-41DA-B207-1CAE274B8291}"/>
    <cellStyle name="Итог 4 28 5" xfId="36087" xr:uid="{10C1429C-7E65-4D10-861E-1D09703BA1A9}"/>
    <cellStyle name="Итог 4 29" xfId="10573" xr:uid="{F11C41DF-8A2F-4324-B1FF-FED9A30D114F}"/>
    <cellStyle name="Итог 4 29 2" xfId="17618" xr:uid="{78A4614C-6CF8-4849-9F67-379946A6F6FE}"/>
    <cellStyle name="Итог 4 29 2 2" xfId="33353" xr:uid="{84093D23-6D14-41BE-973D-D5F8EC4EBD65}"/>
    <cellStyle name="Итог 4 29 2 3" xfId="47143" xr:uid="{D51CA815-B671-4A33-A75B-79A81BE56D62}"/>
    <cellStyle name="Итог 4 29 3" xfId="27432" xr:uid="{59DA5547-CD89-4803-ACF7-55446F869FCE}"/>
    <cellStyle name="Итог 4 29 4" xfId="40554" xr:uid="{49C7C886-F7B5-45B1-878E-865DE5A087F8}"/>
    <cellStyle name="Итог 4 3" xfId="3324" xr:uid="{FACE30EA-4B08-44E6-8475-298CE8A6D6D9}"/>
    <cellStyle name="Итог 4 3 10" xfId="34371" xr:uid="{732A5FEA-BF45-44E0-96F5-8B33B24A7DE8}"/>
    <cellStyle name="Итог 4 3 2" xfId="2686" xr:uid="{5EB53E7B-E70D-43B4-A5DE-336B8D2EA9D3}"/>
    <cellStyle name="Итог 4 3 2 2" xfId="7982" xr:uid="{280F7BBD-AF27-4DCD-90C5-DCDD7F2FEF9E}"/>
    <cellStyle name="Итог 4 3 2 2 2" xfId="12979" xr:uid="{2AE9ABE4-C4ED-451C-9B0A-AD9208EE5674}"/>
    <cellStyle name="Итог 4 3 2 2 2 2" xfId="29517" xr:uid="{3CAF8A0B-74CE-4C76-AC24-472DA36617EC}"/>
    <cellStyle name="Итог 4 3 2 2 2 3" xfId="42816" xr:uid="{A955DB81-EE67-4130-851F-68C44C0E713B}"/>
    <cellStyle name="Итог 4 3 2 2 3" xfId="25498" xr:uid="{0CC6F3BF-E4D4-4BEC-882B-A8965E84A972}"/>
    <cellStyle name="Итог 4 3 2 2 4" xfId="38574" xr:uid="{EC6894AB-C85B-4071-A56C-3DCED741CCEC}"/>
    <cellStyle name="Итог 4 3 2 3" xfId="6349" xr:uid="{8203ADED-9CF8-4088-A063-1126DB2BEA02}"/>
    <cellStyle name="Итог 4 3 2 3 2" xfId="14061" xr:uid="{E632420F-4D0F-4C08-9A55-FE92960EAA71}"/>
    <cellStyle name="Итог 4 3 2 3 2 2" xfId="30431" xr:uid="{F9ACA8D0-F670-4AF2-97A0-B986A6BE94E5}"/>
    <cellStyle name="Итог 4 3 2 3 2 3" xfId="43814" xr:uid="{B9B5188C-2511-4446-93CC-DB327DDA6C21}"/>
    <cellStyle name="Итог 4 3 2 3 3" xfId="23989" xr:uid="{47533AE1-FEC0-436D-9C7D-498A299E38DD}"/>
    <cellStyle name="Итог 4 3 2 3 4" xfId="37070" xr:uid="{E8CEF6F9-AC3A-4C3B-88C6-7104066262BF}"/>
    <cellStyle name="Итог 4 3 2 4" xfId="15953" xr:uid="{FCCEDEE0-2AAF-4951-A9A3-DEB60F726731}"/>
    <cellStyle name="Итог 4 3 2 4 2" xfId="32030" xr:uid="{4BF1B523-0BDB-470E-B541-399BAF2A5DCE}"/>
    <cellStyle name="Итог 4 3 2 4 3" xfId="45548" xr:uid="{D39612D6-E8B4-462A-A5B3-8362758E2250}"/>
    <cellStyle name="Итог 4 3 2 5" xfId="20741" xr:uid="{39610536-DDC3-45F3-A84F-7BFF51D231DA}"/>
    <cellStyle name="Итог 4 3 2 6" xfId="33764" xr:uid="{68D7E4D4-F1BE-4A8B-B9CA-EE18C219CA7E}"/>
    <cellStyle name="Итог 4 3 3" xfId="4146" xr:uid="{8F3C25F6-7AFA-4F57-8CFF-BF1529BCE0E6}"/>
    <cellStyle name="Итог 4 3 3 2" xfId="9198" xr:uid="{0FAAED85-3FBA-4AD1-8351-695B28AAED4B}"/>
    <cellStyle name="Итог 4 3 3 2 2" xfId="12681" xr:uid="{D1E9B8BE-DB9D-4D29-AB05-BD0409FFC09D}"/>
    <cellStyle name="Итог 4 3 3 2 2 2" xfId="29276" xr:uid="{98D79E04-5EBB-439C-9DFB-FE5D9FE7E6F4}"/>
    <cellStyle name="Итог 4 3 3 2 2 3" xfId="42549" xr:uid="{E33B71A1-2FE6-41CF-A658-1BD99A509987}"/>
    <cellStyle name="Итог 4 3 3 2 3" xfId="26674" xr:uid="{22B880EF-D4CA-488B-BAD0-FB3CB76DFD4E}"/>
    <cellStyle name="Итог 4 3 3 2 4" xfId="39750" xr:uid="{3573A069-D657-43B4-9E88-7E240AB3ADBF}"/>
    <cellStyle name="Итог 4 3 3 3" xfId="7710" xr:uid="{BB93FE8D-7AE8-4FAD-BE89-D20206A57285}"/>
    <cellStyle name="Итог 4 3 3 3 2" xfId="16271" xr:uid="{63752456-347B-420F-8B88-04AFC3246DC8}"/>
    <cellStyle name="Итог 4 3 3 3 2 2" xfId="32305" xr:uid="{28E01723-145C-4DF1-BCDB-C86527B415FD}"/>
    <cellStyle name="Итог 4 3 3 3 2 3" xfId="45834" xr:uid="{DEACD0F3-5A9D-4324-A860-A70C300BF6F7}"/>
    <cellStyle name="Итог 4 3 3 3 3" xfId="25233" xr:uid="{0426D8A7-EE55-42F9-9417-959C8EA0E39D}"/>
    <cellStyle name="Итог 4 3 3 3 4" xfId="38309" xr:uid="{2B4868C8-01DE-4192-9372-EB096B6E7884}"/>
    <cellStyle name="Итог 4 3 3 4" xfId="14392" xr:uid="{B13A8516-3464-4674-9861-DFD6B4588CE5}"/>
    <cellStyle name="Итог 4 3 3 4 2" xfId="30724" xr:uid="{DDE73AE1-8CEE-456C-A43C-EA1E91B4989D}"/>
    <cellStyle name="Итог 4 3 3 4 3" xfId="44122" xr:uid="{36030A3E-C9D2-4627-A898-1052F6089C40}"/>
    <cellStyle name="Итог 4 3 3 5" xfId="21974" xr:uid="{3930ED4D-10B5-40A9-8BE3-BFA3C4AE28A7}"/>
    <cellStyle name="Итог 4 3 3 6" xfId="35023" xr:uid="{C9F88D1F-E261-4962-A27B-A6E3579AC933}"/>
    <cellStyle name="Итог 4 3 4" xfId="2572" xr:uid="{28D33033-9C41-4600-A3C7-9DA0EE6E3F64}"/>
    <cellStyle name="Итог 4 3 4 2" xfId="7869" xr:uid="{739AFE71-F7BB-4210-BEC1-867E4F770056}"/>
    <cellStyle name="Итог 4 3 4 2 2" xfId="17488" xr:uid="{9570AE55-9E0D-4EE0-830F-4ECA1F46A2F4}"/>
    <cellStyle name="Итог 4 3 4 2 2 2" xfId="33231" xr:uid="{E5E47FFF-665A-4A4D-A7D5-38EE7C5FEC9B}"/>
    <cellStyle name="Итог 4 3 4 2 2 3" xfId="47017" xr:uid="{B3824A51-EA42-434D-97FA-43D772FDF7E4}"/>
    <cellStyle name="Итог 4 3 4 2 3" xfId="25388" xr:uid="{D72FF552-CC6D-4975-909D-D853269A7758}"/>
    <cellStyle name="Итог 4 3 4 2 4" xfId="38464" xr:uid="{E30775D9-B8A0-468E-9F8B-6DC15ED0B779}"/>
    <cellStyle name="Итог 4 3 4 3" xfId="6236" xr:uid="{1B75BB99-EAC9-4A10-854B-0CD37BAD5679}"/>
    <cellStyle name="Итог 4 3 4 3 2" xfId="10922" xr:uid="{B1D36A92-ECEB-47EA-BE2F-473DCED7607A}"/>
    <cellStyle name="Итог 4 3 4 3 2 2" xfId="27740" xr:uid="{668669E2-6E99-4FF9-A45C-683D9853B7DE}"/>
    <cellStyle name="Итог 4 3 4 3 2 3" xfId="40902" xr:uid="{7792F01C-126F-44D2-A057-9700C46771F7}"/>
    <cellStyle name="Итог 4 3 4 3 3" xfId="23879" xr:uid="{36E63AEB-6663-4FEE-8100-B5C984C657C5}"/>
    <cellStyle name="Итог 4 3 4 3 4" xfId="36960" xr:uid="{F0233E0C-7D83-4847-B763-94FAFFFABEB3}"/>
    <cellStyle name="Итог 4 3 4 4" xfId="13748" xr:uid="{F0EC83DB-D891-4F31-A1B2-76AD5C6BC748}"/>
    <cellStyle name="Итог 4 3 4 4 2" xfId="30161" xr:uid="{4A508057-F973-42EF-9537-7ACA4036B268}"/>
    <cellStyle name="Итог 4 3 4 4 3" xfId="43523" xr:uid="{6A3C2655-ACEF-42E2-AFC9-93381C8B3571}"/>
    <cellStyle name="Итог 4 3 4 5" xfId="20631" xr:uid="{66168AC8-4321-4B94-B1A2-DEFD6BBC4BE4}"/>
    <cellStyle name="Итог 4 3 4 6" xfId="33654" xr:uid="{D7FE3685-F72A-417F-9EB0-1D927788FF7D}"/>
    <cellStyle name="Итог 4 3 5" xfId="4247" xr:uid="{F0FD9732-6558-4194-8D6F-F76BC6503461}"/>
    <cellStyle name="Итог 4 3 5 2" xfId="9299" xr:uid="{07668CCE-7A8D-4383-9109-04BF21376DE7}"/>
    <cellStyle name="Итог 4 3 5 2 2" xfId="11441" xr:uid="{227B64ED-2A24-47F5-861D-B269F0C376C0}"/>
    <cellStyle name="Итог 4 3 5 2 2 2" xfId="28206" xr:uid="{27736F85-B1F5-4621-A178-C7278260F487}"/>
    <cellStyle name="Итог 4 3 5 2 2 3" xfId="41400" xr:uid="{8724BB02-0F67-45B7-99B7-D1BEFB2ADA8A}"/>
    <cellStyle name="Итог 4 3 5 2 3" xfId="26772" xr:uid="{D93A3BF1-0C2B-483E-BB44-886B6A2F384A}"/>
    <cellStyle name="Итог 4 3 5 2 4" xfId="39848" xr:uid="{D9765CD2-C705-4854-955B-D94D924E89BF}"/>
    <cellStyle name="Итог 4 3 5 3" xfId="7811" xr:uid="{7D7D75BE-70D0-4A68-802C-FA3237CAC46A}"/>
    <cellStyle name="Итог 4 3 5 3 2" xfId="17262" xr:uid="{FA19ADF7-7FBE-4936-9EC3-22D69CB6839A}"/>
    <cellStyle name="Итог 4 3 5 3 2 2" xfId="33021" xr:uid="{B5BB01E1-C76A-4EF6-A764-D2B6BF9556F8}"/>
    <cellStyle name="Итог 4 3 5 3 2 3" xfId="46796" xr:uid="{7AADEA0E-1879-41B0-BB69-F86F8EBA7400}"/>
    <cellStyle name="Итог 4 3 5 3 3" xfId="25331" xr:uid="{C9FDA68E-50C4-47EF-BFB3-ECD83FBBBB86}"/>
    <cellStyle name="Итог 4 3 5 3 4" xfId="38407" xr:uid="{3917F774-BE9D-432A-8153-BCE892DD019F}"/>
    <cellStyle name="Итог 4 3 5 4" xfId="17088" xr:uid="{2110BB94-C5C2-429D-81E4-2261044A0F64}"/>
    <cellStyle name="Итог 4 3 5 4 2" xfId="32857" xr:uid="{AD1332E4-A043-4886-B6D6-F610772FC856}"/>
    <cellStyle name="Итог 4 3 5 4 3" xfId="46628" xr:uid="{93C7514F-E5FB-4378-8DBF-9B990219F158}"/>
    <cellStyle name="Итог 4 3 5 5" xfId="22072" xr:uid="{A16BF404-ACBF-4F5A-A4F5-D41875160845}"/>
    <cellStyle name="Итог 4 3 5 6" xfId="35121" xr:uid="{F1073826-F867-49FE-A450-A8438F537C3D}"/>
    <cellStyle name="Итог 4 3 6" xfId="4355" xr:uid="{C37B77EF-F2AA-4EC1-900A-E12868C92498}"/>
    <cellStyle name="Итог 4 3 6 2" xfId="6974" xr:uid="{4EC52D2D-8230-4E8E-807E-02F0BD10097B}"/>
    <cellStyle name="Итог 4 3 6 2 2" xfId="15493" xr:uid="{B1D8ABB0-08AA-461A-B247-FF2E3199FB51}"/>
    <cellStyle name="Итог 4 3 6 2 2 2" xfId="31632" xr:uid="{1673896E-A3F1-47F6-B89F-B67AC1F3639A}"/>
    <cellStyle name="Итог 4 3 6 2 2 3" xfId="45129" xr:uid="{1CC1FB40-BF6B-46EF-9639-C243481C710E}"/>
    <cellStyle name="Итог 4 3 6 2 3" xfId="24596" xr:uid="{ABC060E9-B5AA-4226-BCA0-C978446303E8}"/>
    <cellStyle name="Итог 4 3 6 2 4" xfId="37677" xr:uid="{C31ACFE4-E984-4FBC-B7C0-B9105EE321E6}"/>
    <cellStyle name="Итог 4 3 6 3" xfId="17346" xr:uid="{E08B7F90-6A6E-4BBB-84E6-491642C1A7FE}"/>
    <cellStyle name="Итог 4 3 6 3 2" xfId="33100" xr:uid="{DF417C83-E153-4839-BB7D-86AD0136395B}"/>
    <cellStyle name="Итог 4 3 6 3 3" xfId="46876" xr:uid="{3DEC3063-2696-43EE-9AC2-465EAE177A3D}"/>
    <cellStyle name="Итог 4 3 6 4" xfId="22175" xr:uid="{D6CA98DB-4BDE-46EA-B64E-92348CBC1E2A}"/>
    <cellStyle name="Итог 4 3 6 5" xfId="35224" xr:uid="{7DD58317-F757-4D63-912B-DE9E25300F5A}"/>
    <cellStyle name="Итог 4 3 7" xfId="5410" xr:uid="{399FD999-0664-4991-AB35-D93C25EAC695}"/>
    <cellStyle name="Итог 4 3 7 2" xfId="8587" xr:uid="{45AECC19-4DE5-412A-B1D0-E163168E6CE5}"/>
    <cellStyle name="Итог 4 3 7 2 2" xfId="16128" xr:uid="{9654178C-EFBB-4542-90A3-A9F621D0FE45}"/>
    <cellStyle name="Итог 4 3 7 2 2 2" xfId="32182" xr:uid="{70DF1414-E52D-4410-8E08-5C8BA7E86B1D}"/>
    <cellStyle name="Итог 4 3 7 2 2 3" xfId="45703" xr:uid="{A6ADDCB5-8910-44A3-8C0C-9FEB40D4C496}"/>
    <cellStyle name="Итог 4 3 7 2 3" xfId="26085" xr:uid="{5E652D40-8642-4DF6-B5B1-EC236CF664A2}"/>
    <cellStyle name="Итог 4 3 7 2 4" xfId="39161" xr:uid="{38A9A73E-C9F0-44D2-8D00-CD72BCBECB31}"/>
    <cellStyle name="Итог 4 3 7 3" xfId="11857" xr:uid="{1C7362DB-2268-4C43-BE36-7D09DB7C8C4C}"/>
    <cellStyle name="Итог 4 3 7 3 2" xfId="28574" xr:uid="{D6DDB409-D120-450B-91DE-DAD85E526839}"/>
    <cellStyle name="Итог 4 3 7 3 3" xfId="41790" xr:uid="{422BCC00-E9B1-44EA-88C4-A74592F85B0D}"/>
    <cellStyle name="Итог 4 3 7 4" xfId="23057" xr:uid="{C4987930-C12D-4041-A73B-8F1E7A6C8F41}"/>
    <cellStyle name="Итог 4 3 7 5" xfId="36138" xr:uid="{B877FA86-A248-45EF-A536-805A101C9654}"/>
    <cellStyle name="Итог 4 3 8" xfId="11910" xr:uid="{666E79A3-D39A-43F2-A4D6-A81D8106DBF9}"/>
    <cellStyle name="Итог 4 3 8 2" xfId="28625" xr:uid="{A9F0912E-8CEB-41DD-B463-8A4E0AC2E5FD}"/>
    <cellStyle name="Итог 4 3 8 3" xfId="41841" xr:uid="{22268920-F8A8-4561-9C69-178FC5EB2839}"/>
    <cellStyle name="Итог 4 3 9" xfId="21348" xr:uid="{45B0AFFD-598C-4F84-9CA5-ACEEEC852D60}"/>
    <cellStyle name="Итог 4 30" xfId="12022" xr:uid="{4FC6A643-0181-460C-9CF2-EC2A98E04D1B}"/>
    <cellStyle name="Итог 4 30 2" xfId="28724" xr:uid="{246E7034-B2EA-4838-AF74-378006D7D995}"/>
    <cellStyle name="Итог 4 30 3" xfId="41942" xr:uid="{0B3741CF-E4DE-4E3E-A781-BD75F210287A}"/>
    <cellStyle name="Итог 4 31" xfId="12181" xr:uid="{9606462B-8416-4D60-8877-E64AB87C94FA}"/>
    <cellStyle name="Итог 4 31 2" xfId="28875" xr:uid="{38E01195-6C0B-4FBF-8F83-E2326716D5EA}"/>
    <cellStyle name="Итог 4 31 3" xfId="42101" xr:uid="{92B16291-E415-49C0-80A9-5798B42BE600}"/>
    <cellStyle name="Итог 4 32" xfId="15459" xr:uid="{18B2E728-3137-4A8A-9DD8-EE09A3B9B973}"/>
    <cellStyle name="Итог 4 32 2" xfId="31603" xr:uid="{FE082463-288F-47C2-A940-55CBEC4B086A}"/>
    <cellStyle name="Итог 4 32 3" xfId="45098" xr:uid="{7AA4D4D4-85A7-475E-B3BE-AC47E8A10595}"/>
    <cellStyle name="Итог 4 33" xfId="17671" xr:uid="{6F06E4F3-54FA-4A4C-BABD-09BF7E7104B6}"/>
    <cellStyle name="Итог 4 33 2" xfId="33394" xr:uid="{6ACADF39-5137-449A-9B85-AC99CB937DB9}"/>
    <cellStyle name="Итог 4 33 3" xfId="47183" xr:uid="{0EC7F105-827D-41D8-B993-2D58B577A552}"/>
    <cellStyle name="Итог 4 34" xfId="33573" xr:uid="{CF25DC9A-B7FB-4B1D-8630-B842FAC7239D}"/>
    <cellStyle name="Итог 4 4" xfId="3490" xr:uid="{3AAA431A-11FD-48E8-A914-D7CA7BFFCB70}"/>
    <cellStyle name="Итог 4 4 10" xfId="34506" xr:uid="{745F4B84-2C3B-4E61-B055-853F8115EE43}"/>
    <cellStyle name="Итог 4 4 2" xfId="2832" xr:uid="{C0DA3302-9ECD-422C-8632-A022217957AD}"/>
    <cellStyle name="Итог 4 4 2 2" xfId="8128" xr:uid="{094A5D61-BFD1-44EB-B2F7-49F9C8D7294A}"/>
    <cellStyle name="Итог 4 4 2 2 2" xfId="17037" xr:uid="{A8047FC4-E6D6-4DA7-8922-EB34652BEBA6}"/>
    <cellStyle name="Итог 4 4 2 2 2 2" xfId="32811" xr:uid="{987F758C-1D96-4204-B64D-8724752D4CE4}"/>
    <cellStyle name="Итог 4 4 2 2 2 3" xfId="46579" xr:uid="{0FC984CA-F68E-4CC3-AA4B-065F846D7FA4}"/>
    <cellStyle name="Итог 4 4 2 2 3" xfId="25639" xr:uid="{6352F0FB-FBE7-4CBD-87EC-78E4529B76CB}"/>
    <cellStyle name="Итог 4 4 2 2 4" xfId="38715" xr:uid="{6B8EB586-18D1-459C-A870-30F2A60AC85F}"/>
    <cellStyle name="Итог 4 4 2 3" xfId="6495" xr:uid="{83ED0BA5-EAFD-4F5C-B401-BADC928F59F4}"/>
    <cellStyle name="Итог 4 4 2 3 2" xfId="15803" xr:uid="{18D03B28-8E4C-47A7-AE30-ED7E92A1BDAE}"/>
    <cellStyle name="Итог 4 4 2 3 2 2" xfId="31901" xr:uid="{6629D912-5F81-4323-B63C-BA476E963D57}"/>
    <cellStyle name="Итог 4 4 2 3 2 3" xfId="45413" xr:uid="{E6187858-9B1A-4224-8F81-DF78A7927AFF}"/>
    <cellStyle name="Итог 4 4 2 3 3" xfId="24130" xr:uid="{706D83E7-A086-4312-BE8C-A8150BEC3C38}"/>
    <cellStyle name="Итог 4 4 2 3 4" xfId="37211" xr:uid="{4AB8AA1B-12BD-4FB1-A5AD-3C6B887CA9FA}"/>
    <cellStyle name="Итог 4 4 2 4" xfId="16631" xr:uid="{F169E791-E69D-4E69-9E04-EF6FA867218E}"/>
    <cellStyle name="Итог 4 4 2 4 2" xfId="32537" xr:uid="{5679E514-BA38-4760-B798-4B5D7C99F2AC}"/>
    <cellStyle name="Итог 4 4 2 4 3" xfId="46178" xr:uid="{2D295DB4-E44C-45C9-A5BD-F3C90124B96F}"/>
    <cellStyle name="Итог 4 4 2 5" xfId="20882" xr:uid="{302F317C-0765-47C5-B87E-E5292F92B616}"/>
    <cellStyle name="Итог 4 4 2 6" xfId="33905" xr:uid="{30DC3C5F-9E74-40C2-ACC1-787EACB6C2C1}"/>
    <cellStyle name="Итог 4 4 3" xfId="4185" xr:uid="{EA8C0E7C-B71C-4A83-ACCE-0585AB6B46CD}"/>
    <cellStyle name="Итог 4 4 3 2" xfId="9237" xr:uid="{7DC04F06-157D-4201-841E-D7CB9ED246CF}"/>
    <cellStyle name="Итог 4 4 3 2 2" xfId="15398" xr:uid="{97E67D20-D1A3-4140-B213-7F22F48CF449}"/>
    <cellStyle name="Итог 4 4 3 2 2 2" xfId="31552" xr:uid="{B98589AA-828D-445B-9406-0BD81B8454E6}"/>
    <cellStyle name="Итог 4 4 3 2 2 3" xfId="45040" xr:uid="{F9092E7A-087A-441F-927E-FCF4E7CB9A6E}"/>
    <cellStyle name="Итог 4 4 3 2 3" xfId="26712" xr:uid="{F126D8D8-D647-4FB8-BE63-3C3D0CA98D09}"/>
    <cellStyle name="Итог 4 4 3 2 4" xfId="39788" xr:uid="{E69F145A-5557-45CE-B640-1D4945BB1E5B}"/>
    <cellStyle name="Итог 4 4 3 3" xfId="7749" xr:uid="{0196BD77-6220-4374-9A53-469D96AC4B6D}"/>
    <cellStyle name="Итог 4 4 3 3 2" xfId="16211" xr:uid="{E52BB56B-8B5A-4A47-B733-6A791BA8FC88}"/>
    <cellStyle name="Итог 4 4 3 3 2 2" xfId="32251" xr:uid="{D8389FB1-4476-403D-B533-0E7478881083}"/>
    <cellStyle name="Итог 4 4 3 3 2 3" xfId="45778" xr:uid="{D6DA6E3F-FDA4-4099-8D43-F056853C9AFB}"/>
    <cellStyle name="Итог 4 4 3 3 3" xfId="25271" xr:uid="{6FB4E374-498F-47C9-9997-2EF580D63EDF}"/>
    <cellStyle name="Итог 4 4 3 3 4" xfId="38347" xr:uid="{454597D9-BAFA-4435-8ACC-DC344009FB19}"/>
    <cellStyle name="Итог 4 4 3 4" xfId="16034" xr:uid="{8C319764-54BD-4595-BEDE-2A3AF8622638}"/>
    <cellStyle name="Итог 4 4 3 4 2" xfId="32099" xr:uid="{D6FCC6C0-605E-4D34-AE82-274DADB2EC39}"/>
    <cellStyle name="Итог 4 4 3 4 3" xfId="45618" xr:uid="{BA11C12F-2C62-4358-807D-FFD82DF7AFB0}"/>
    <cellStyle name="Итог 4 4 3 5" xfId="22012" xr:uid="{948B426F-8793-4F3A-A19A-9447847C29C9}"/>
    <cellStyle name="Итог 4 4 3 6" xfId="35061" xr:uid="{90B54C3C-1643-4B7F-BFDE-6265853D9F65}"/>
    <cellStyle name="Итог 4 4 4" xfId="2899" xr:uid="{3FE791BB-995C-4719-99C8-3A3A9868D5D1}"/>
    <cellStyle name="Итог 4 4 4 2" xfId="8195" xr:uid="{FA45B768-4083-485E-8918-F1C27C7068C0}"/>
    <cellStyle name="Итог 4 4 4 2 2" xfId="10851" xr:uid="{1D7BABFA-A486-4F66-86A7-1CA1FEE3044E}"/>
    <cellStyle name="Итог 4 4 4 2 2 2" xfId="27680" xr:uid="{73F55498-4D20-4045-819A-103CA8E65516}"/>
    <cellStyle name="Итог 4 4 4 2 2 3" xfId="40832" xr:uid="{3D6CD3D7-1546-4DAA-B846-4D702B9ADA7E}"/>
    <cellStyle name="Итог 4 4 4 2 3" xfId="25706" xr:uid="{3EA59402-A668-482F-8463-0601E9887B0A}"/>
    <cellStyle name="Итог 4 4 4 2 4" xfId="38782" xr:uid="{3E8F72E7-439C-4D89-9923-0B42B4A7FD27}"/>
    <cellStyle name="Итог 4 4 4 3" xfId="6562" xr:uid="{6ACA35C3-A35D-4434-9B90-1FC7279814AB}"/>
    <cellStyle name="Итог 4 4 4 3 2" xfId="15573" xr:uid="{B3C91634-2850-4D9A-A0B9-D4618B46A55F}"/>
    <cellStyle name="Итог 4 4 4 3 2 2" xfId="31702" xr:uid="{ED439C56-7BBA-47A2-AB5F-69F5AEDA2F5A}"/>
    <cellStyle name="Итог 4 4 4 3 2 3" xfId="45204" xr:uid="{2D5969E6-398D-4CD0-9005-D13C837EF651}"/>
    <cellStyle name="Итог 4 4 4 3 3" xfId="24197" xr:uid="{FA5456B1-8B70-45B3-84FA-E4CAB4F2E5E7}"/>
    <cellStyle name="Итог 4 4 4 3 4" xfId="37278" xr:uid="{0E9167A5-9ED4-4D2B-9361-2825EF4F8719}"/>
    <cellStyle name="Итог 4 4 4 4" xfId="12511" xr:uid="{DF635BC3-5D16-4A71-B0C2-42355A9A9EDD}"/>
    <cellStyle name="Итог 4 4 4 4 2" xfId="29143" xr:uid="{119C587D-9FFD-4E8F-A72C-34F9A456B65B}"/>
    <cellStyle name="Итог 4 4 4 4 3" xfId="42398" xr:uid="{1FB53D64-8A01-49C6-9279-46F6D8590CF6}"/>
    <cellStyle name="Итог 4 4 4 5" xfId="20949" xr:uid="{B236307B-A93F-4D16-A9AD-9E153AC5928F}"/>
    <cellStyle name="Итог 4 4 4 6" xfId="33972" xr:uid="{41B5401A-019D-4599-8E48-B3127E7C1E17}"/>
    <cellStyle name="Итог 4 4 5" xfId="4241" xr:uid="{4D88CDF6-0262-4B6D-9DFC-13956819FF44}"/>
    <cellStyle name="Итог 4 4 5 2" xfId="9293" xr:uid="{6D837FF4-32B1-4152-9CA7-9F05ED808B0D}"/>
    <cellStyle name="Итог 4 4 5 2 2" xfId="14111" xr:uid="{B2262B55-D115-45E0-85B9-64D359F608A5}"/>
    <cellStyle name="Итог 4 4 5 2 2 2" xfId="30478" xr:uid="{E2258A6B-F334-4690-89E1-DA6DC5E62933}"/>
    <cellStyle name="Итог 4 4 5 2 2 3" xfId="43861" xr:uid="{FD824F88-57D9-4611-8CCD-90E398F299F4}"/>
    <cellStyle name="Итог 4 4 5 2 3" xfId="26766" xr:uid="{37E3ABCB-20FD-4AE2-8D7E-C35A71BA6FB5}"/>
    <cellStyle name="Итог 4 4 5 2 4" xfId="39842" xr:uid="{9E3C0220-468C-4846-94AE-C10E40F09D01}"/>
    <cellStyle name="Итог 4 4 5 3" xfId="7805" xr:uid="{E34AF40F-3E93-4AE9-8B30-7FDABD44B10F}"/>
    <cellStyle name="Итог 4 4 5 3 2" xfId="12675" xr:uid="{E18B1F22-9DB2-4669-AE22-8A1AC5164A0C}"/>
    <cellStyle name="Итог 4 4 5 3 2 2" xfId="29270" xr:uid="{2A23D4FA-E61C-4663-8FE6-7E8D96F36E1E}"/>
    <cellStyle name="Итог 4 4 5 3 2 3" xfId="42543" xr:uid="{1F67760C-24A9-4D65-8592-FCEC0E3DAAF5}"/>
    <cellStyle name="Итог 4 4 5 3 3" xfId="25325" xr:uid="{85259CFE-B443-46DC-BA88-450E07E1864B}"/>
    <cellStyle name="Итог 4 4 5 3 4" xfId="38401" xr:uid="{5F741724-550C-485F-B5E4-D42F38CF987E}"/>
    <cellStyle name="Итог 4 4 5 4" xfId="11090" xr:uid="{E4C41763-7A74-4FFB-A509-B4879D747465}"/>
    <cellStyle name="Итог 4 4 5 4 2" xfId="27891" xr:uid="{5148F675-702C-4C5F-A174-F1C831ADE4AA}"/>
    <cellStyle name="Итог 4 4 5 4 3" xfId="41069" xr:uid="{2D635C82-D187-48F0-ADA3-94E50048F18A}"/>
    <cellStyle name="Итог 4 4 5 5" xfId="22066" xr:uid="{B2C87789-5D77-4F2B-A4BD-F93BAF388FA7}"/>
    <cellStyle name="Итог 4 4 5 6" xfId="35115" xr:uid="{9DB101B2-FFCE-4962-A943-5417EBCB3DF0}"/>
    <cellStyle name="Итог 4 4 6" xfId="4492" xr:uid="{3865B309-4325-4927-8AA0-6C4C6C657414}"/>
    <cellStyle name="Итог 4 4 6 2" xfId="7132" xr:uid="{C5320FF7-AEEA-4200-929D-4B1CC9B6F097}"/>
    <cellStyle name="Итог 4 4 6 2 2" xfId="13887" xr:uid="{25E36BAC-D785-4CBA-9D9C-652950F755F6}"/>
    <cellStyle name="Итог 4 4 6 2 2 2" xfId="30282" xr:uid="{15DA8A8C-373F-46BB-B454-CB784964D8FB}"/>
    <cellStyle name="Итог 4 4 6 2 2 3" xfId="43654" xr:uid="{DB705170-764C-4AA1-90F8-E617DDD27E3E}"/>
    <cellStyle name="Итог 4 4 6 2 3" xfId="24731" xr:uid="{5CB475B2-41B7-4E98-B72E-C43DC98F573E}"/>
    <cellStyle name="Итог 4 4 6 2 4" xfId="37812" xr:uid="{2ECFFF30-439E-4F04-BF31-4C92B30FDDD1}"/>
    <cellStyle name="Итог 4 4 6 3" xfId="15723" xr:uid="{F3770436-607C-450A-8F9E-DA914B6FBADB}"/>
    <cellStyle name="Итог 4 4 6 3 2" xfId="31833" xr:uid="{2BB58FE3-5DD6-41D4-8E62-83D33F31453E}"/>
    <cellStyle name="Итог 4 4 6 3 3" xfId="45342" xr:uid="{15FAFC7E-53F3-4634-97B0-7BA2475A032A}"/>
    <cellStyle name="Итог 4 4 6 4" xfId="22310" xr:uid="{8EBBB9BB-1F37-4461-9B08-945B61AF96E8}"/>
    <cellStyle name="Итог 4 4 6 5" xfId="35359" xr:uid="{5CC032C0-177B-43A9-AF40-5BF850BB55A1}"/>
    <cellStyle name="Итог 4 4 7" xfId="5545" xr:uid="{68C10C3C-5E48-4CF4-84D9-7B26DF3553E5}"/>
    <cellStyle name="Итог 4 4 7 2" xfId="8727" xr:uid="{52036666-8741-4642-BFC1-D80B35383713}"/>
    <cellStyle name="Итог 4 4 7 2 2" xfId="17051" xr:uid="{EC869E56-98A1-4FC7-8E13-AAA9DA8F9185}"/>
    <cellStyle name="Итог 4 4 7 2 2 2" xfId="32822" xr:uid="{3B27280E-606D-40A0-91EE-B47EBD5B0EA4}"/>
    <cellStyle name="Итог 4 4 7 2 2 3" xfId="46592" xr:uid="{5B118A3E-67F0-4422-8178-B9BE7553454E}"/>
    <cellStyle name="Итог 4 4 7 2 3" xfId="26220" xr:uid="{9609E720-E27B-495C-969C-3179CD69E407}"/>
    <cellStyle name="Итог 4 4 7 2 4" xfId="39296" xr:uid="{D64121A7-DD39-4BED-99FC-6258D371280E}"/>
    <cellStyle name="Итог 4 4 7 3" xfId="12276" xr:uid="{8749C264-4961-4F03-9AFD-FFF219847337}"/>
    <cellStyle name="Итог 4 4 7 3 2" xfId="28954" xr:uid="{E60F7691-184D-47DF-83E7-6EF20198E292}"/>
    <cellStyle name="Итог 4 4 7 3 3" xfId="42188" xr:uid="{5049BC34-4C48-4E36-94F8-A57C325058E5}"/>
    <cellStyle name="Итог 4 4 7 4" xfId="23192" xr:uid="{E66B8920-59E2-4D1C-991F-A760CC9EDAC5}"/>
    <cellStyle name="Итог 4 4 7 5" xfId="36273" xr:uid="{7F301C0E-1C83-4FF3-AB02-0264AAF26D66}"/>
    <cellStyle name="Итог 4 4 8" xfId="12539" xr:uid="{526DACC8-5B33-4FF6-9916-440DA6C19656}"/>
    <cellStyle name="Итог 4 4 8 2" xfId="29164" xr:uid="{78894DEA-29E9-420F-9EAE-FF6EE721EFA7}"/>
    <cellStyle name="Итог 4 4 8 3" xfId="42423" xr:uid="{E5AA2049-0351-4319-A713-8D49342CA573}"/>
    <cellStyle name="Итог 4 4 9" xfId="21458" xr:uid="{3A3591B6-36C7-4808-9BA1-D8788316D2EB}"/>
    <cellStyle name="Итог 4 5" xfId="3486" xr:uid="{2FBD0C08-DAA8-4DC9-8D58-78E473B7F061}"/>
    <cellStyle name="Итог 4 5 2" xfId="2828" xr:uid="{22FB4243-B333-42A5-B9C2-8270C8F578FA}"/>
    <cellStyle name="Итог 4 5 2 2" xfId="8124" xr:uid="{9330D5E3-DD45-41CE-8734-ACBFC493C235}"/>
    <cellStyle name="Итог 4 5 2 2 2" xfId="12683" xr:uid="{D10D51E1-78F1-4190-86BC-E7497DFB0DB1}"/>
    <cellStyle name="Итог 4 5 2 2 2 2" xfId="29278" xr:uid="{1EB34EAB-4569-4BE9-AA98-EE9DCC785DE8}"/>
    <cellStyle name="Итог 4 5 2 2 2 3" xfId="42551" xr:uid="{08A4526A-C6C0-482D-8275-C65EE9D26059}"/>
    <cellStyle name="Итог 4 5 2 2 3" xfId="25635" xr:uid="{B09A4A92-2CDB-4AFF-B792-71B5BEC6FACF}"/>
    <cellStyle name="Итог 4 5 2 2 4" xfId="38711" xr:uid="{3F2A22B9-A6F6-40AB-B14D-6B5DB11F14D5}"/>
    <cellStyle name="Итог 4 5 2 3" xfId="6491" xr:uid="{03529129-0247-4B92-AA0D-9475B373D8A8}"/>
    <cellStyle name="Итог 4 5 2 3 2" xfId="14413" xr:uid="{C22B2C8E-B019-4F7B-97B2-0AEFD3256D7F}"/>
    <cellStyle name="Итог 4 5 2 3 2 2" xfId="30743" xr:uid="{DF8A6927-1880-4465-8361-1E0565745D16}"/>
    <cellStyle name="Итог 4 5 2 3 2 3" xfId="44143" xr:uid="{F645705B-7823-4F12-9746-3198C6AE593A}"/>
    <cellStyle name="Итог 4 5 2 3 3" xfId="24126" xr:uid="{C5F74285-79A2-4730-A808-31707EA3CE5B}"/>
    <cellStyle name="Итог 4 5 2 3 4" xfId="37207" xr:uid="{F5C72035-BAD8-4F6C-AE26-1926AB3CFD95}"/>
    <cellStyle name="Итог 4 5 2 4" xfId="12450" xr:uid="{471BFD23-3D2B-429E-B53B-52F19B3D6DB0}"/>
    <cellStyle name="Итог 4 5 2 4 2" xfId="29099" xr:uid="{BF6165B3-A8F4-436E-9806-A3B796B4FBB2}"/>
    <cellStyle name="Итог 4 5 2 4 3" xfId="42347" xr:uid="{51CE9F70-97C9-4F5E-A9B7-F66A742761EC}"/>
    <cellStyle name="Итог 4 5 2 5" xfId="20878" xr:uid="{9E3CD74D-9230-4617-8A43-73BEDD334FC8}"/>
    <cellStyle name="Итог 4 5 2 6" xfId="33901" xr:uid="{D7A57591-90EE-4545-97C1-03A922167E47}"/>
    <cellStyle name="Итог 4 5 3" xfId="4488" xr:uid="{8BF6AA54-B48C-4929-9C0C-C27FF3A4CC58}"/>
    <cellStyle name="Итог 4 5 3 2" xfId="7128" xr:uid="{FE28C3AD-706E-4932-B577-3265629FE542}"/>
    <cellStyle name="Итог 4 5 3 2 2" xfId="13791" xr:uid="{0EE1BEEC-6E4E-4A77-B7CF-2E4197C404F4}"/>
    <cellStyle name="Итог 4 5 3 2 2 2" xfId="30197" xr:uid="{26C8116E-398C-40C2-96F6-D094B975CB5C}"/>
    <cellStyle name="Итог 4 5 3 2 2 3" xfId="43563" xr:uid="{DBA25CAF-82DF-4097-84EF-DE6D09D14102}"/>
    <cellStyle name="Итог 4 5 3 2 3" xfId="24727" xr:uid="{B2664962-4872-42A7-BF98-F4B0EE1E8CA9}"/>
    <cellStyle name="Итог 4 5 3 2 4" xfId="37808" xr:uid="{97458F65-FE52-45F8-966B-5272510AA2A9}"/>
    <cellStyle name="Итог 4 5 3 3" xfId="14934" xr:uid="{436100E6-D9DE-42B6-8136-CC40A4CF7EAE}"/>
    <cellStyle name="Итог 4 5 3 3 2" xfId="31176" xr:uid="{B4A8D17B-4F9A-4711-B471-64551D2C768E}"/>
    <cellStyle name="Итог 4 5 3 3 3" xfId="44621" xr:uid="{F9B3582F-AA37-442E-AA3A-6F7739F9274F}"/>
    <cellStyle name="Итог 4 5 3 4" xfId="22306" xr:uid="{38FD81E4-C694-45AE-B5DC-F6692AE7520E}"/>
    <cellStyle name="Итог 4 5 3 5" xfId="35355" xr:uid="{A1294D20-2A3B-4F67-9E06-8D5AEF91806B}"/>
    <cellStyle name="Итог 4 5 4" xfId="5541" xr:uid="{F139D0A3-F412-4B45-B562-440D366F2135}"/>
    <cellStyle name="Итог 4 5 4 2" xfId="8723" xr:uid="{59DF98EE-5493-4D61-AEE5-678511742926}"/>
    <cellStyle name="Итог 4 5 4 2 2" xfId="14504" xr:uid="{3634AAC3-57BC-4689-A1B4-1526B407251A}"/>
    <cellStyle name="Итог 4 5 4 2 2 2" xfId="30823" xr:uid="{EFE336C2-7C73-4BA9-A366-A9343643E352}"/>
    <cellStyle name="Итог 4 5 4 2 2 3" xfId="44232" xr:uid="{35468B3E-C0A6-4BBF-904E-55A8AD98AE63}"/>
    <cellStyle name="Итог 4 5 4 2 3" xfId="26216" xr:uid="{D79F6C59-9BE8-4CE3-9B19-3506910F811A}"/>
    <cellStyle name="Итог 4 5 4 2 4" xfId="39292" xr:uid="{4195E70E-5024-40CA-ACA3-BFA4A4C93F3A}"/>
    <cellStyle name="Итог 4 5 4 3" xfId="16277" xr:uid="{EC09B47A-A9C1-43A5-86F9-A77EB84E06BC}"/>
    <cellStyle name="Итог 4 5 4 3 2" xfId="32311" xr:uid="{6D8CD888-C6D7-4D47-9E19-01E6D0554FE4}"/>
    <cellStyle name="Итог 4 5 4 3 3" xfId="45840" xr:uid="{04EA6C1D-6493-4FAF-B88E-8D88D6BBDA05}"/>
    <cellStyle name="Итог 4 5 4 4" xfId="23188" xr:uid="{532D8236-AE58-4EE7-8BCE-6F35A57BBB70}"/>
    <cellStyle name="Итог 4 5 4 5" xfId="36269" xr:uid="{3E5B695D-34D9-4F6A-B13D-2A4EA69102DC}"/>
    <cellStyle name="Итог 4 5 5" xfId="15716" xr:uid="{AE3293C8-6E5D-4064-9E37-C67F1EC856F0}"/>
    <cellStyle name="Итог 4 5 5 2" xfId="31826" xr:uid="{B7037B93-DC98-4863-8514-12A53549A18E}"/>
    <cellStyle name="Итог 4 5 5 3" xfId="45335" xr:uid="{BF112D5B-1F7E-4A61-AF39-A06AE7425E90}"/>
    <cellStyle name="Итог 4 5 6" xfId="21454" xr:uid="{E458781C-506A-496C-AF65-AABC0C2F3AE7}"/>
    <cellStyle name="Итог 4 5 7" xfId="34502" xr:uid="{6E71B413-F4FD-4C85-83E9-C7E572DEC38A}"/>
    <cellStyle name="Итог 4 6" xfId="3510" xr:uid="{42B53A9A-E804-4A2C-8F17-D5A2B144968C}"/>
    <cellStyle name="Итог 4 6 2" xfId="2851" xr:uid="{C05C9C13-A6F1-4E43-BDD2-18F9607E7C46}"/>
    <cellStyle name="Итог 4 6 2 2" xfId="8147" xr:uid="{33164BA5-10CB-4A19-89CE-97DD83B789C2}"/>
    <cellStyle name="Итог 4 6 2 2 2" xfId="17378" xr:uid="{F90CA93E-FE5B-479F-AC1B-59184AEA854F}"/>
    <cellStyle name="Итог 4 6 2 2 2 2" xfId="33132" xr:uid="{5C3E5908-E293-4BC6-958C-BD084B8FC170}"/>
    <cellStyle name="Итог 4 6 2 2 2 3" xfId="46908" xr:uid="{3CF0D902-1B5E-4418-B416-24636A00268A}"/>
    <cellStyle name="Итог 4 6 2 2 3" xfId="25658" xr:uid="{2096A68B-D668-41B3-B334-456E11B0CD1C}"/>
    <cellStyle name="Итог 4 6 2 2 4" xfId="38734" xr:uid="{486F9A9B-B142-48FB-9E7F-182957586BD2}"/>
    <cellStyle name="Итог 4 6 2 3" xfId="6514" xr:uid="{1B407A18-F6F7-4D2E-BD32-9484356D13ED}"/>
    <cellStyle name="Итог 4 6 2 3 2" xfId="15002" xr:uid="{7338AB6F-9FA8-4B82-A166-0F0E91DB443D}"/>
    <cellStyle name="Итог 4 6 2 3 2 2" xfId="31231" xr:uid="{FC9F70D2-A10D-49EF-B49C-9B3B38A9A052}"/>
    <cellStyle name="Итог 4 6 2 3 2 3" xfId="44681" xr:uid="{3635D49E-FBE3-4929-BEBF-AFAEC2A4D066}"/>
    <cellStyle name="Итог 4 6 2 3 3" xfId="24149" xr:uid="{0DD5214F-0D64-45A4-BFB6-BA484D02F19A}"/>
    <cellStyle name="Итог 4 6 2 3 4" xfId="37230" xr:uid="{A1C87607-C219-49EF-8AB0-E1F68A512F9D}"/>
    <cellStyle name="Итог 4 6 2 4" xfId="13109" xr:uid="{4FFDC425-E959-48D5-AB04-BBF87DCAD374}"/>
    <cellStyle name="Итог 4 6 2 4 2" xfId="29624" xr:uid="{38497BB0-1221-4BF4-8F0D-8E294610A390}"/>
    <cellStyle name="Итог 4 6 2 4 3" xfId="42935" xr:uid="{6B050667-A87D-426C-B5D9-AC0D554794F8}"/>
    <cellStyle name="Итог 4 6 2 5" xfId="20901" xr:uid="{61E58DD7-33EB-4A11-8EB0-F3566D6D6B61}"/>
    <cellStyle name="Итог 4 6 2 6" xfId="33924" xr:uid="{8637DA22-642D-4B38-9759-E63E1899902C}"/>
    <cellStyle name="Итог 4 6 3" xfId="4511" xr:uid="{4EB6E106-203D-434A-9E7F-8210D54E184A}"/>
    <cellStyle name="Итог 4 6 3 2" xfId="7152" xr:uid="{43CB91C7-4AC6-4247-8A91-8205D598F054}"/>
    <cellStyle name="Итог 4 6 3 2 2" xfId="14891" xr:uid="{805DF7D0-3DFA-4223-AF86-000C723D6D22}"/>
    <cellStyle name="Итог 4 6 3 2 2 2" xfId="31141" xr:uid="{43F68115-C900-4260-9743-A73D03D9058B}"/>
    <cellStyle name="Итог 4 6 3 2 2 3" xfId="44582" xr:uid="{DF4C2F5A-3AD4-4292-AEAB-268965F8540F}"/>
    <cellStyle name="Итог 4 6 3 2 3" xfId="24750" xr:uid="{5F732515-C95C-4033-9B4F-CB2D127B0F00}"/>
    <cellStyle name="Итог 4 6 3 2 4" xfId="37831" xr:uid="{B4EF476A-58D6-4AF8-AC48-4A2441CD5BD2}"/>
    <cellStyle name="Итог 4 6 3 3" xfId="12803" xr:uid="{9A9703D1-F875-4864-8B2C-19AD52312963}"/>
    <cellStyle name="Итог 4 6 3 3 2" xfId="29377" xr:uid="{A715AC2E-E2EE-46FB-8049-1888D3F97FAF}"/>
    <cellStyle name="Итог 4 6 3 3 3" xfId="42658" xr:uid="{5E9A5817-EF63-4650-A7F1-763B60FF08F6}"/>
    <cellStyle name="Итог 4 6 3 4" xfId="22329" xr:uid="{B4E351D6-259F-45AB-A852-0B2F67D59DB0}"/>
    <cellStyle name="Итог 4 6 3 5" xfId="35378" xr:uid="{935DF706-BE5E-488B-8E43-9777C2A1DD1E}"/>
    <cellStyle name="Итог 4 6 4" xfId="5564" xr:uid="{C0B708B6-1B62-4218-A45F-E4722A3B8FA2}"/>
    <cellStyle name="Итог 4 6 4 2" xfId="8746" xr:uid="{C2FC8915-9376-4589-8E26-0C477DCCFFAB}"/>
    <cellStyle name="Итог 4 6 4 2 2" xfId="11658" xr:uid="{000E1E2B-135E-426B-A494-16A88EF1B0AC}"/>
    <cellStyle name="Итог 4 6 4 2 2 2" xfId="28399" xr:uid="{07ED7A70-F695-4DBF-B0BA-4B5EFA8E3575}"/>
    <cellStyle name="Итог 4 6 4 2 2 3" xfId="41603" xr:uid="{2D959F61-AE92-4049-8C6F-0397630D8147}"/>
    <cellStyle name="Итог 4 6 4 2 3" xfId="26239" xr:uid="{08E8F2C9-36C3-493D-87C8-FC14C17C8826}"/>
    <cellStyle name="Итог 4 6 4 2 4" xfId="39315" xr:uid="{4F0C1C05-5FF6-4736-AD4E-70046BDCDD82}"/>
    <cellStyle name="Итог 4 6 4 3" xfId="14225" xr:uid="{5DD7408B-1F77-4474-8B9E-FF82631C34E8}"/>
    <cellStyle name="Итог 4 6 4 3 2" xfId="30570" xr:uid="{4C86F1E9-9487-4F23-8E1F-F9AE42B0AC02}"/>
    <cellStyle name="Итог 4 6 4 3 3" xfId="43962" xr:uid="{48C245CD-9218-45DC-8652-B67B0FA03DF6}"/>
    <cellStyle name="Итог 4 6 4 4" xfId="23211" xr:uid="{20BACFA7-DBC7-4B32-96F2-D123DA7610C6}"/>
    <cellStyle name="Итог 4 6 4 5" xfId="36292" xr:uid="{3133A56F-AFB6-4477-A5C0-30282EF16466}"/>
    <cellStyle name="Итог 4 6 5" xfId="15228" xr:uid="{1C0C7540-62F7-488D-820C-3FE5A01DAB94}"/>
    <cellStyle name="Итог 4 6 5 2" xfId="31404" xr:uid="{F29516AD-8C41-4BEA-82D3-57AC7324452B}"/>
    <cellStyle name="Итог 4 6 5 3" xfId="44879" xr:uid="{ABA7219A-6BAF-4AD5-A321-725F9D9748EE}"/>
    <cellStyle name="Итог 4 6 6" xfId="21473" xr:uid="{6C70B22F-C9DD-4737-82EF-257B59308F58}"/>
    <cellStyle name="Итог 4 6 7" xfId="34525" xr:uid="{637AC705-94FC-41DC-A82F-82B9D891CB20}"/>
    <cellStyle name="Итог 4 7" xfId="3506" xr:uid="{71ABA763-25F0-4AA0-A6B9-E36F86A79027}"/>
    <cellStyle name="Итог 4 7 2" xfId="2847" xr:uid="{215E39A7-5B7B-4DD6-B008-748D4356E69F}"/>
    <cellStyle name="Итог 4 7 2 2" xfId="8143" xr:uid="{7B8B99A6-B987-4965-BC22-66E096753825}"/>
    <cellStyle name="Итог 4 7 2 2 2" xfId="15444" xr:uid="{C0429AC3-89A2-4F01-B864-A75B347907CE}"/>
    <cellStyle name="Итог 4 7 2 2 2 2" xfId="31589" xr:uid="{34018B7B-AC26-4F8F-A443-339B598DCD6C}"/>
    <cellStyle name="Итог 4 7 2 2 2 3" xfId="45084" xr:uid="{1CD61CB6-55A0-4722-8187-96FA8F5B1791}"/>
    <cellStyle name="Итог 4 7 2 2 3" xfId="25654" xr:uid="{1882F2A5-CEFB-46B5-85EB-430B1F4F4610}"/>
    <cellStyle name="Итог 4 7 2 2 4" xfId="38730" xr:uid="{2F9009D6-4878-46B2-A622-FFA312A01A51}"/>
    <cellStyle name="Итог 4 7 2 3" xfId="6510" xr:uid="{F2C5BE21-ABFF-4DEC-AF29-FE7C70905047}"/>
    <cellStyle name="Итог 4 7 2 3 2" xfId="17516" xr:uid="{D4F26587-F2E9-455E-8348-37E8D5A8A4BF}"/>
    <cellStyle name="Итог 4 7 2 3 2 2" xfId="33254" xr:uid="{FC2DA05E-5CB9-4A79-90F3-AC0AAF170DF1}"/>
    <cellStyle name="Итог 4 7 2 3 2 3" xfId="47041" xr:uid="{06C746C8-BD99-4F55-BFE1-57E5F56B1D42}"/>
    <cellStyle name="Итог 4 7 2 3 3" xfId="24145" xr:uid="{82F655FD-B18D-49F2-9B73-448D4E41AA41}"/>
    <cellStyle name="Итог 4 7 2 3 4" xfId="37226" xr:uid="{591ADB35-C6C1-4F1D-8678-9984CD777330}"/>
    <cellStyle name="Итог 4 7 2 4" xfId="13556" xr:uid="{FB04BBE9-65FC-42C3-9D1E-C27CBFDB7E9D}"/>
    <cellStyle name="Итог 4 7 2 4 2" xfId="30001" xr:uid="{C3BDACFC-824C-430C-A7E3-AB50C92D805C}"/>
    <cellStyle name="Итог 4 7 2 4 3" xfId="43350" xr:uid="{D1512F56-5403-4D64-82DB-7C648625D103}"/>
    <cellStyle name="Итог 4 7 2 5" xfId="20897" xr:uid="{45D27964-A4FB-4A55-B67C-4208D665087D}"/>
    <cellStyle name="Итог 4 7 2 6" xfId="33920" xr:uid="{528E0B09-2808-418E-A397-6B1875C2FE72}"/>
    <cellStyle name="Итог 4 7 3" xfId="4507" xr:uid="{CB2C4278-44A8-4AAD-B7BC-713895620566}"/>
    <cellStyle name="Итог 4 7 3 2" xfId="7148" xr:uid="{41A0DBDD-0FFE-4021-BD61-9CADADBA8FF4}"/>
    <cellStyle name="Итог 4 7 3 2 2" xfId="11486" xr:uid="{E001229F-7816-4E25-9FA5-51BEB1B5606D}"/>
    <cellStyle name="Итог 4 7 3 2 2 2" xfId="28250" xr:uid="{B4647BAB-46FA-44F9-A00A-8EF244A0D633}"/>
    <cellStyle name="Итог 4 7 3 2 2 3" xfId="41445" xr:uid="{5B44BBC1-C458-4FD4-A583-7608A5A13313}"/>
    <cellStyle name="Итог 4 7 3 2 3" xfId="24746" xr:uid="{F494E5BA-BACD-454C-B5A4-5DA80BB0088A}"/>
    <cellStyle name="Итог 4 7 3 2 4" xfId="37827" xr:uid="{2176D453-FDAD-43F2-81BC-C7E3E2F6FC77}"/>
    <cellStyle name="Итог 4 7 3 3" xfId="17194" xr:uid="{80E9707C-EF79-425B-83B4-FD11DF06ADEB}"/>
    <cellStyle name="Итог 4 7 3 3 2" xfId="32957" xr:uid="{F471CB3B-D0AC-4AEF-84E9-446DF9ADB60C}"/>
    <cellStyle name="Итог 4 7 3 3 3" xfId="46729" xr:uid="{3973453D-79AB-4A74-BDEA-B20E75D39715}"/>
    <cellStyle name="Итог 4 7 3 4" xfId="22325" xr:uid="{39B7FABA-36AA-4A90-9B7A-09CEE8F27487}"/>
    <cellStyle name="Итог 4 7 3 5" xfId="35374" xr:uid="{F8706753-A61B-4186-9847-7F52C24444CE}"/>
    <cellStyle name="Итог 4 7 4" xfId="5560" xr:uid="{5D0B7CB6-FB81-4B39-BF2B-D12391F521BC}"/>
    <cellStyle name="Итог 4 7 4 2" xfId="8742" xr:uid="{97F4817A-F0C1-4F71-A149-68DB77E9EA24}"/>
    <cellStyle name="Итог 4 7 4 2 2" xfId="12312" xr:uid="{AAFD143C-CFBC-4402-ADA2-4166711CC673}"/>
    <cellStyle name="Итог 4 7 4 2 2 2" xfId="28982" xr:uid="{487EDAB0-AE3B-424F-ADF4-3BD61766D87E}"/>
    <cellStyle name="Итог 4 7 4 2 2 3" xfId="42221" xr:uid="{FB18FD1B-70BB-455F-AED3-A91FD63F7BC3}"/>
    <cellStyle name="Итог 4 7 4 2 3" xfId="26235" xr:uid="{BFB423B0-A98D-4EF1-B130-2522CDAB434B}"/>
    <cellStyle name="Итог 4 7 4 2 4" xfId="39311" xr:uid="{C76C4CE2-97FD-4022-B8BC-E5476FD7AE2C}"/>
    <cellStyle name="Итог 4 7 4 3" xfId="16377" xr:uid="{53F017E7-C086-4270-BC18-78D7237D6A7D}"/>
    <cellStyle name="Итог 4 7 4 3 2" xfId="32397" xr:uid="{E823452B-CBFA-4F92-B350-AB7E64FC0528}"/>
    <cellStyle name="Итог 4 7 4 3 3" xfId="45931" xr:uid="{0632F335-842E-4615-9DF8-B74EE2AF492D}"/>
    <cellStyle name="Итог 4 7 4 4" xfId="23207" xr:uid="{A088C790-BA41-44AC-A011-F0CAA5514053}"/>
    <cellStyle name="Итог 4 7 4 5" xfId="36288" xr:uid="{4BD94E72-DFCC-49A3-ABD3-B81C8989E07C}"/>
    <cellStyle name="Итог 4 7 5" xfId="14565" xr:uid="{2294AD90-0DAC-4377-A03F-EDD796FB8EAA}"/>
    <cellStyle name="Итог 4 7 5 2" xfId="30871" xr:uid="{D426F1DB-20A0-4E44-B2B6-768EA828068C}"/>
    <cellStyle name="Итог 4 7 5 3" xfId="44286" xr:uid="{7D5445AA-4EFC-49D5-8CCA-0CF6C7F9239F}"/>
    <cellStyle name="Итог 4 7 6" xfId="21469" xr:uid="{A98F0E7C-2314-458E-8A23-73408749DF3C}"/>
    <cellStyle name="Итог 4 7 7" xfId="34521" xr:uid="{6BD59DD1-032A-4F37-8E05-D80D0BB444D8}"/>
    <cellStyle name="Итог 4 8" xfId="3526" xr:uid="{BD82742D-C99A-4DD9-8108-77373AB9E93A}"/>
    <cellStyle name="Итог 4 8 2" xfId="2867" xr:uid="{DC997B84-0A35-4D61-859F-4ED75541F605}"/>
    <cellStyle name="Итог 4 8 2 2" xfId="8163" xr:uid="{FBFB9303-5796-42FC-9EC6-93A04138D4A3}"/>
    <cellStyle name="Итог 4 8 2 2 2" xfId="12402" xr:uid="{EE8404CB-1118-4FAD-BBC5-317587C8A116}"/>
    <cellStyle name="Итог 4 8 2 2 2 2" xfId="29067" xr:uid="{471EA938-7168-4BE8-AD75-5034F99FBFA5}"/>
    <cellStyle name="Итог 4 8 2 2 2 3" xfId="42308" xr:uid="{B527F190-ACA6-49BA-93CB-3600C432D4D5}"/>
    <cellStyle name="Итог 4 8 2 2 3" xfId="25674" xr:uid="{4BC031C2-FC9A-42D9-AF29-AF5E7994659B}"/>
    <cellStyle name="Итог 4 8 2 2 4" xfId="38750" xr:uid="{4A5090B7-516E-4B99-A824-4842C68AE320}"/>
    <cellStyle name="Итог 4 8 2 3" xfId="6530" xr:uid="{312FD7CF-E196-499F-87EF-C89434889143}"/>
    <cellStyle name="Итог 4 8 2 3 2" xfId="16103" xr:uid="{D4A6D9AA-6B92-4C12-9E3E-1DB44ABFB26F}"/>
    <cellStyle name="Итог 4 8 2 3 2 2" xfId="32161" xr:uid="{B30572EB-2C8B-4BEE-9794-413386E0C8B2}"/>
    <cellStyle name="Итог 4 8 2 3 2 3" xfId="45682" xr:uid="{2333DC08-89DC-48C5-85C7-83BC941ED64E}"/>
    <cellStyle name="Итог 4 8 2 3 3" xfId="24165" xr:uid="{6122034B-DAF7-4228-9F59-649727097BCD}"/>
    <cellStyle name="Итог 4 8 2 3 4" xfId="37246" xr:uid="{2943DD19-3250-450F-A1E2-72937057FAA3}"/>
    <cellStyle name="Итог 4 8 2 4" xfId="12359" xr:uid="{10AA4936-2C81-4491-A702-6DE6E09727AA}"/>
    <cellStyle name="Итог 4 8 2 4 2" xfId="29025" xr:uid="{C1138FE5-1A00-444B-984B-B1CCB153303F}"/>
    <cellStyle name="Итог 4 8 2 4 3" xfId="42265" xr:uid="{7508CF45-EA79-479C-A5C2-AC534F66BAD4}"/>
    <cellStyle name="Итог 4 8 2 5" xfId="20917" xr:uid="{D15B5ED0-7BEA-439F-B9F9-A20A61A87C1A}"/>
    <cellStyle name="Итог 4 8 2 6" xfId="33940" xr:uid="{A1EC9852-B70E-46C0-B25D-0A8BB52DA53A}"/>
    <cellStyle name="Итог 4 8 3" xfId="4526" xr:uid="{C81D2CA2-0F2D-4D28-9609-737BE6CDBB1B}"/>
    <cellStyle name="Итог 4 8 3 2" xfId="7168" xr:uid="{B884C70B-CC5D-44C7-BD38-8ED8528143C6}"/>
    <cellStyle name="Итог 4 8 3 2 2" xfId="16284" xr:uid="{D50474EC-E73A-4FC7-BE8C-A2A89E6FB7A5}"/>
    <cellStyle name="Итог 4 8 3 2 2 2" xfId="32316" xr:uid="{6F21EA9D-7448-4583-9A2B-65498C038270}"/>
    <cellStyle name="Итог 4 8 3 2 2 3" xfId="45846" xr:uid="{B183B590-D4EA-45D2-899C-E45B0A4101D1}"/>
    <cellStyle name="Итог 4 8 3 2 3" xfId="24765" xr:uid="{B2513332-FC7A-4A50-BC06-998F60E7DFEF}"/>
    <cellStyle name="Итог 4 8 3 2 4" xfId="37846" xr:uid="{95D4BA6A-7027-4C4F-889C-052503FF6FBE}"/>
    <cellStyle name="Итог 4 8 3 3" xfId="11310" xr:uid="{2BD56D07-2F63-44BB-B379-D403B59844C3}"/>
    <cellStyle name="Итог 4 8 3 3 2" xfId="28092" xr:uid="{32572559-244A-4422-8E0E-CCAF392557BA}"/>
    <cellStyle name="Итог 4 8 3 3 3" xfId="41277" xr:uid="{136C2A1E-CD7E-439F-BED5-E6AAEE5C8292}"/>
    <cellStyle name="Итог 4 8 3 4" xfId="22344" xr:uid="{C56CA1DE-2704-4587-98E4-38CEDBE5EF89}"/>
    <cellStyle name="Итог 4 8 3 5" xfId="35393" xr:uid="{8CB8F9A3-0D0F-4924-A4AE-30DFBE182534}"/>
    <cellStyle name="Итог 4 8 4" xfId="5579" xr:uid="{556DA51B-BE25-431C-8D54-726ED6FF755A}"/>
    <cellStyle name="Итог 4 8 4 2" xfId="8761" xr:uid="{978B3B06-92B5-4391-ADFD-806312F51C70}"/>
    <cellStyle name="Итог 4 8 4 2 2" xfId="16457" xr:uid="{E2E12E8A-BD48-449F-A4E8-5486EDE12DBB}"/>
    <cellStyle name="Итог 4 8 4 2 2 2" xfId="32465" xr:uid="{DF5710AE-56A7-407B-8CC9-16A13E098D18}"/>
    <cellStyle name="Итог 4 8 4 2 2 3" xfId="46005" xr:uid="{B0696939-E574-4A48-8D4C-EA3E6B03917A}"/>
    <cellStyle name="Итог 4 8 4 2 3" xfId="26254" xr:uid="{538889E4-2592-483D-AD08-A7F3F637AE4F}"/>
    <cellStyle name="Итог 4 8 4 2 4" xfId="39330" xr:uid="{BF450273-F605-4064-B4CE-35472F5D17CD}"/>
    <cellStyle name="Итог 4 8 4 3" xfId="12561" xr:uid="{F065CDB3-B52D-40C4-BF8B-A3BDAABC154D}"/>
    <cellStyle name="Итог 4 8 4 3 2" xfId="29181" xr:uid="{81878469-79D9-48D3-BB93-4F179557DA4A}"/>
    <cellStyle name="Итог 4 8 4 3 3" xfId="42441" xr:uid="{71636CED-FD72-4595-BD8B-01B01867FBE2}"/>
    <cellStyle name="Итог 4 8 4 4" xfId="23226" xr:uid="{7C62492C-D792-4806-AED4-72420241B179}"/>
    <cellStyle name="Итог 4 8 4 5" xfId="36307" xr:uid="{D5D0F8DC-515C-4C90-9E38-0FC22821B82B}"/>
    <cellStyle name="Итог 4 8 5" xfId="11344" xr:uid="{C3D69B55-6FE3-4C7F-98C1-81C72CDA2807}"/>
    <cellStyle name="Итог 4 8 5 2" xfId="28123" xr:uid="{D9D654DA-8464-42DF-8FD2-328D5DB71EE3}"/>
    <cellStyle name="Итог 4 8 5 3" xfId="41311" xr:uid="{FCCF1829-3255-4008-A2A8-E4A9814AD8DC}"/>
    <cellStyle name="Итог 4 8 6" xfId="21488" xr:uid="{DE34F2D1-BE5A-42F4-A4D9-1B84A5F5A336}"/>
    <cellStyle name="Итог 4 8 7" xfId="34540" xr:uid="{583F013E-F565-4F08-85C6-0082A9266EF9}"/>
    <cellStyle name="Итог 4 9" xfId="3560" xr:uid="{BD43DCC5-7680-4A1F-9987-EF545EE2580E}"/>
    <cellStyle name="Итог 4 9 2" xfId="2900" xr:uid="{7C41B39D-7294-4B83-BC09-0C3818F5043D}"/>
    <cellStyle name="Итог 4 9 2 2" xfId="8196" xr:uid="{69A6A3A3-A479-449D-B024-59709147FDBC}"/>
    <cellStyle name="Итог 4 9 2 2 2" xfId="16855" xr:uid="{95AA846F-1937-45BD-BE50-23250EDA2039}"/>
    <cellStyle name="Итог 4 9 2 2 2 2" xfId="32732" xr:uid="{F6B701FF-B648-42F3-86B3-E2D3B599D68F}"/>
    <cellStyle name="Итог 4 9 2 2 2 3" xfId="46397" xr:uid="{DC9657B5-CC61-4FED-BA67-FBA07B47FB67}"/>
    <cellStyle name="Итог 4 9 2 2 3" xfId="25707" xr:uid="{AFBAC2B0-CCC1-4691-BA1D-7A6444223EFD}"/>
    <cellStyle name="Итог 4 9 2 2 4" xfId="38783" xr:uid="{0177A373-76DF-40C4-A2F2-4555312820EB}"/>
    <cellStyle name="Итог 4 9 2 3" xfId="6563" xr:uid="{58BEC2B4-9EC7-4669-9EA2-987CF80ACB74}"/>
    <cellStyle name="Итог 4 9 2 3 2" xfId="16816" xr:uid="{7DDFBB29-CEE1-48EB-A1A5-0632565CA985}"/>
    <cellStyle name="Итог 4 9 2 3 2 2" xfId="32696" xr:uid="{5DCC2157-88A7-4F9F-BC1D-A4769B7A7E83}"/>
    <cellStyle name="Итог 4 9 2 3 2 3" xfId="46359" xr:uid="{677D28D9-8452-4A31-BD1C-B8B42755F234}"/>
    <cellStyle name="Итог 4 9 2 3 3" xfId="24198" xr:uid="{5D7069D6-7F78-4381-BC8F-19D04375527A}"/>
    <cellStyle name="Итог 4 9 2 3 4" xfId="37279" xr:uid="{04E793D4-6FA9-48AB-A33F-857675D0DAEF}"/>
    <cellStyle name="Итог 4 9 2 4" xfId="12442" xr:uid="{9DDE5419-94F6-41A7-83EA-C2B3B1CA172D}"/>
    <cellStyle name="Итог 4 9 2 4 2" xfId="29094" xr:uid="{A1F85754-DCCA-4C51-80DF-60444727EE42}"/>
    <cellStyle name="Итог 4 9 2 4 3" xfId="42340" xr:uid="{BE885C77-707B-4A39-8021-4952920E7100}"/>
    <cellStyle name="Итог 4 9 2 5" xfId="20950" xr:uid="{BFB107BF-383D-434A-BB20-3E928BC0D440}"/>
    <cellStyle name="Итог 4 9 2 6" xfId="33973" xr:uid="{518895AF-DC70-4210-A24D-59D962B71D08}"/>
    <cellStyle name="Итог 4 9 3" xfId="4560" xr:uid="{70A0734F-2920-4EF6-943F-60B3D7B46178}"/>
    <cellStyle name="Итог 4 9 3 2" xfId="7202" xr:uid="{AB165644-26DC-488B-B34F-F1D8DC4637B2}"/>
    <cellStyle name="Итог 4 9 3 2 2" xfId="12892" xr:uid="{27C1EBE1-2EF9-4E71-8895-998C0D004EB4}"/>
    <cellStyle name="Итог 4 9 3 2 2 2" xfId="29447" xr:uid="{BF782B17-5305-4515-B1F3-DB51448DA09A}"/>
    <cellStyle name="Итог 4 9 3 2 2 3" xfId="42737" xr:uid="{60BEA191-7335-4E4D-BACD-AD9EC4E25F00}"/>
    <cellStyle name="Итог 4 9 3 2 3" xfId="24796" xr:uid="{DEA2A588-CC99-4E81-A055-2D82B32723AB}"/>
    <cellStyle name="Итог 4 9 3 2 4" xfId="37877" xr:uid="{93D90216-3201-45DF-B63B-DFC2E1FB4A09}"/>
    <cellStyle name="Итог 4 9 3 3" xfId="15539" xr:uid="{ABAA8CD3-DD10-45B4-B02A-D138BE1C32BA}"/>
    <cellStyle name="Итог 4 9 3 3 2" xfId="31673" xr:uid="{2767CA72-0943-4F45-A103-D25DBE2603B1}"/>
    <cellStyle name="Итог 4 9 3 3 3" xfId="45172" xr:uid="{6174A267-22E2-4969-9EDB-6EB5D916D531}"/>
    <cellStyle name="Итог 4 9 3 4" xfId="22376" xr:uid="{5953B5CC-F829-48CB-A20D-EAC4FD54D3D7}"/>
    <cellStyle name="Итог 4 9 3 5" xfId="35425" xr:uid="{2C2EB73B-C589-43DD-8A17-D2AFDA4B7F84}"/>
    <cellStyle name="Итог 4 9 4" xfId="5610" xr:uid="{D84936F1-3BE4-4961-BB5A-EB1E037DC4D0}"/>
    <cellStyle name="Итог 4 9 4 2" xfId="8792" xr:uid="{D115ACA3-1ABB-4A45-ABFF-EFE5EDDFDF50}"/>
    <cellStyle name="Итог 4 9 4 2 2" xfId="14567" xr:uid="{F1F42A76-04FA-4DA4-A74F-37F57113A634}"/>
    <cellStyle name="Итог 4 9 4 2 2 2" xfId="30873" xr:uid="{07A259B8-8075-4425-A080-040D58F7C457}"/>
    <cellStyle name="Итог 4 9 4 2 2 3" xfId="44288" xr:uid="{CF8DEFDF-0B59-428E-A00E-07CFBD0C5782}"/>
    <cellStyle name="Итог 4 9 4 2 3" xfId="26285" xr:uid="{195666D0-24E7-4D77-BC27-0CBC22AA1A16}"/>
    <cellStyle name="Итог 4 9 4 2 4" xfId="39361" xr:uid="{C020546A-9631-4A13-8E9C-E99C7DF7432D}"/>
    <cellStyle name="Итог 4 9 4 3" xfId="10867" xr:uid="{E85B7902-E148-40E4-A61A-89B30FC00C72}"/>
    <cellStyle name="Итог 4 9 4 3 2" xfId="27694" xr:uid="{74C8337F-3E86-4024-9A3D-BDEE7436F312}"/>
    <cellStyle name="Итог 4 9 4 3 3" xfId="40847" xr:uid="{74B5DEBE-248D-4564-857B-262CF37C22DD}"/>
    <cellStyle name="Итог 4 9 4 4" xfId="23257" xr:uid="{99A8270B-F5B5-47BC-9A07-E8503200816E}"/>
    <cellStyle name="Итог 4 9 4 5" xfId="36338" xr:uid="{4990CED9-7ED1-4BEC-987D-F054CD757024}"/>
    <cellStyle name="Итог 4 9 5" xfId="11132" xr:uid="{127B5189-95C7-401E-A54E-FDE0838E51F0}"/>
    <cellStyle name="Итог 4 9 5 2" xfId="27930" xr:uid="{08E8DECB-B5FC-46B8-8EE9-1394F6BFF31E}"/>
    <cellStyle name="Итог 4 9 5 3" xfId="41110" xr:uid="{6D002B84-EC5E-43EA-879B-663BDFDDE941}"/>
    <cellStyle name="Итог 4 9 6" xfId="21519" xr:uid="{EC40344E-0774-43B0-BF02-7F810E32EFCD}"/>
    <cellStyle name="Итог 4 9 7" xfId="34571" xr:uid="{3B82D21F-8A06-49D4-B4B3-0835E4845A80}"/>
    <cellStyle name="Категория сводной таблицы" xfId="28" xr:uid="{BF23F475-A3D5-4716-AAF9-5BE74E36AA87}"/>
    <cellStyle name="Категория сводной таблицы 2" xfId="10536" xr:uid="{993B0E95-D297-47A2-B405-59C35AEB771D}"/>
    <cellStyle name="Контрольная ячейка 1" xfId="2340" xr:uid="{9FA3E2E6-6C4D-4B61-A4C2-B3FBB1C7B99E}"/>
    <cellStyle name="Контрольная ячейка 2" xfId="2341" xr:uid="{DE2F4D0C-8C61-42BD-9C79-B2ADDD44BAF6}"/>
    <cellStyle name="Контрольная ячейка 2 2" xfId="10401" xr:uid="{A6C5CFB7-FA20-4ED8-87EA-2F4806494470}"/>
    <cellStyle name="Контрольная ячейка 3" xfId="2342" xr:uid="{21CD7DFC-6566-438E-8A46-0DB6A8723633}"/>
    <cellStyle name="Контрольная ячейка 4" xfId="2343" xr:uid="{C8F21F1E-DCE0-4FED-90EF-9129A0F9255C}"/>
    <cellStyle name="мои_цифры" xfId="2349" xr:uid="{ADD9BB0C-8037-4669-B885-0CE3EA41E7B6}"/>
    <cellStyle name="мой" xfId="2344" xr:uid="{32D28A11-4BEE-414F-8010-AE23871ABEC4}"/>
    <cellStyle name="мой 1" xfId="2345" xr:uid="{253AA593-E1D2-4E69-A541-7093286C3696}"/>
    <cellStyle name="мой 1 2" xfId="10403" xr:uid="{3D47DE86-0FCC-466B-9665-5A85D60AB4F1}"/>
    <cellStyle name="мой 2" xfId="2346" xr:uid="{8DD8CD3A-7821-4BA0-931D-959FB114C3B5}"/>
    <cellStyle name="мой 2 2" xfId="10404" xr:uid="{48AD3C21-F27C-4DD3-84D7-2D0C0E19CF00}"/>
    <cellStyle name="мой 3" xfId="2347" xr:uid="{973DEF6A-B71B-4E0F-8831-63934EDC44F1}"/>
    <cellStyle name="мой 3 2" xfId="10405" xr:uid="{17B8D4EE-2379-4CDB-A4B9-94B29127BFFE}"/>
    <cellStyle name="мой 4" xfId="10402" xr:uid="{AEC5F6D8-5F6C-4BAD-9423-DDA69575F892}"/>
    <cellStyle name="мой_Б затрат и себестоимости растениеводства  2010 " xfId="2348" xr:uid="{9E4D3504-F603-47D6-99F0-2EDF8FF1CA78}"/>
    <cellStyle name="Название 1" xfId="2350" xr:uid="{D9D25F1F-E1F1-42F0-AFD7-EB843B21EE03}"/>
    <cellStyle name="Название 1 2" xfId="10406" xr:uid="{625EA176-9056-4DBA-A597-0652E00ECC69}"/>
    <cellStyle name="Название 2" xfId="2351" xr:uid="{3651D5A4-C6CF-494C-90D4-623F31B8C31B}"/>
    <cellStyle name="Название 2 2" xfId="10407" xr:uid="{3392C1C8-8451-46DC-816D-A4AB6EB12524}"/>
    <cellStyle name="Название 3" xfId="2352" xr:uid="{FBCE3FEA-B370-4128-B2BE-91B37C2FF308}"/>
    <cellStyle name="Название 3 2" xfId="10408" xr:uid="{CD98933A-E80A-4F7D-BE12-8715D1B37A37}"/>
    <cellStyle name="Название 4" xfId="2353" xr:uid="{C49B3010-2C87-4B19-9F7E-C01914786754}"/>
    <cellStyle name="Название 4 2" xfId="10409" xr:uid="{CAE44C63-C5D2-42D0-9DE5-DB5D1E9462BA}"/>
    <cellStyle name="Нейтральный 1" xfId="2354" xr:uid="{7B007336-FBC7-4F03-9E6F-2376AE8CE195}"/>
    <cellStyle name="Нейтральный 2" xfId="2355" xr:uid="{B95AEEED-4BB1-413E-98A9-6D11D79F854E}"/>
    <cellStyle name="Нейтральный 2 2" xfId="10410" xr:uid="{DFBF875D-1C64-47D8-BEC7-EBA792B0CB49}"/>
    <cellStyle name="Нейтральный 3" xfId="2356" xr:uid="{F0CD1C88-2DE3-4183-B0D7-B229DBA7E394}"/>
    <cellStyle name="Нейтральный 4" xfId="2357" xr:uid="{EF97F7D2-28E9-487F-B81D-99916893C8B1}"/>
    <cellStyle name="Обычный" xfId="0" builtinId="0"/>
    <cellStyle name="Обычный 10" xfId="2358" xr:uid="{10797F80-609F-4809-8E1E-E881A3E3F529}"/>
    <cellStyle name="Обычный 10 2" xfId="2359" xr:uid="{428AB49F-B0F1-4A91-A34A-C221DA49A6FF}"/>
    <cellStyle name="Обычный 10 2 2" xfId="5125" xr:uid="{12A698C6-C256-4E0A-9DE0-1D285F64BF46}"/>
    <cellStyle name="Обычный 10 2 3" xfId="10412" xr:uid="{23F01961-FBA7-4449-A9E8-813D094F205F}"/>
    <cellStyle name="Обычный 10 3" xfId="3751" xr:uid="{21E2D00F-446C-4406-85A7-9D0F7D23C76C}"/>
    <cellStyle name="Обычный 10 4" xfId="10411" xr:uid="{7C8EDC87-BF27-4D17-9456-BACD2E2714F8}"/>
    <cellStyle name="Обычный 11" xfId="2360" xr:uid="{9E435EB1-CEAF-4138-A6E8-BCB4B26DFEC8}"/>
    <cellStyle name="Обычный 11 2" xfId="10413" xr:uid="{19A3B2A3-C2FC-4D07-91B8-4B9E80AC5249}"/>
    <cellStyle name="Обычный 12" xfId="2361" xr:uid="{3BE5EA37-4253-46D1-AC92-976B62D49407}"/>
    <cellStyle name="Обычный 12 2" xfId="10414" xr:uid="{0F3B2F9E-292E-4C9F-B6EC-7006264C81CC}"/>
    <cellStyle name="Обычный 13" xfId="2362" xr:uid="{B3DA5894-ACA6-40D8-AB86-7EB2745CB6F8}"/>
    <cellStyle name="Обычный 13 2" xfId="10415" xr:uid="{02787523-4E80-4C5B-BAD7-5593834CB362}"/>
    <cellStyle name="Обычный 14" xfId="2363" xr:uid="{1763B660-B706-4AB7-9A62-C6079E9D067B}"/>
    <cellStyle name="Обычный 14 2" xfId="2364" xr:uid="{A51BD1CE-C422-4600-BCE0-A9CF691ED892}"/>
    <cellStyle name="Обычный 14 3" xfId="10416" xr:uid="{F328C08B-3334-4967-80FA-44BA7A85B707}"/>
    <cellStyle name="Обычный 15" xfId="2365" xr:uid="{98904DA8-FA5B-4A04-802E-80AECAC2B34D}"/>
    <cellStyle name="Обычный 15 2" xfId="10417" xr:uid="{B72ED54C-46AC-4DD0-84EC-88A0C699E2CD}"/>
    <cellStyle name="Обычный 16" xfId="2366" xr:uid="{00A3ABC5-9864-4A98-AEE7-5BD7556E7CF2}"/>
    <cellStyle name="Обычный 16 2" xfId="2367" xr:uid="{7D4E6BDC-D500-4D85-833E-F6831407DC2D}"/>
    <cellStyle name="Обычный 16 2 10" xfId="17672" xr:uid="{9557619A-ADD3-4380-AF0A-CE129EC5CBB9}"/>
    <cellStyle name="Обычный 16 2 10 2" xfId="19183" xr:uid="{E20552CA-7A57-4317-89C8-6773204401B7}"/>
    <cellStyle name="Обычный 16 2 10 3" xfId="20338" xr:uid="{40CF1B9D-16EF-41E6-A0ED-621A44C8E2E2}"/>
    <cellStyle name="Обычный 16 2 10 4" xfId="33395" xr:uid="{518C943A-8D77-45D0-9676-05CC1B0DD4EC}"/>
    <cellStyle name="Обычный 16 2 10 5" xfId="47184" xr:uid="{5933299C-393C-4B65-BCE2-5A6A5646F9D6}"/>
    <cellStyle name="Обычный 16 2 11" xfId="17813" xr:uid="{EC6651F1-7355-49E3-BE60-C778B89F1842}"/>
    <cellStyle name="Обычный 16 2 12" xfId="19269" xr:uid="{9841A45F-1E3A-4EFC-9892-5D33755E98D8}"/>
    <cellStyle name="Обычный 16 2 13" xfId="20430" xr:uid="{42B58FF8-84E5-4795-AEDE-04C482337F0E}"/>
    <cellStyle name="Обычный 16 2 14" xfId="20555" xr:uid="{763BE999-6684-41B2-9F1B-ACF0E3231C6C}"/>
    <cellStyle name="Обычный 16 2 15" xfId="33574" xr:uid="{9BD740E9-EEB6-4943-9BE3-56C096EAF6E0}"/>
    <cellStyle name="Обычный 16 2 2" xfId="3202" xr:uid="{2A98B43D-7B1E-48C1-A1B1-6AA3F143E44D}"/>
    <cellStyle name="Обычный 16 2 2 10" xfId="34260" xr:uid="{7C16D922-E3EE-4AA2-9F64-B44353485BC0}"/>
    <cellStyle name="Обычный 16 2 2 2" xfId="5127" xr:uid="{D0B43D18-DA75-458E-A3B5-58AB5E8C8A78}"/>
    <cellStyle name="Обычный 16 2 2 2 2" xfId="9661" xr:uid="{FC2FC67A-9404-40B7-B52F-906E23C83994}"/>
    <cellStyle name="Обычный 16 2 2 2 2 2" xfId="18709" xr:uid="{13140A05-C5BD-487A-836E-DE6992C7A0C9}"/>
    <cellStyle name="Обычный 16 2 2 2 2 3" xfId="19974" xr:uid="{16E07398-EC33-46F3-9CCD-BB87183C2342}"/>
    <cellStyle name="Обычный 16 2 2 2 2 4" xfId="26976" xr:uid="{3A236D1C-465D-4B20-AA20-909C803BD756}"/>
    <cellStyle name="Обычный 16 2 2 2 2 5" xfId="40079" xr:uid="{5AB6CCB4-D4DA-4667-A0E3-A52D6E0BE75D}"/>
    <cellStyle name="Обычный 16 2 2 2 3" xfId="18007" xr:uid="{7250BA7D-2605-4C64-9B04-6EACC57434A3}"/>
    <cellStyle name="Обычный 16 2 2 2 4" xfId="19447" xr:uid="{F21B588E-C072-4458-B06C-02F28634C8E2}"/>
    <cellStyle name="Обычный 16 2 2 2 5" xfId="22847" xr:uid="{04DFDE40-7963-40DA-B509-9340BEE662A8}"/>
    <cellStyle name="Обычный 16 2 2 2 6" xfId="35912" xr:uid="{C95B2ADB-E8BE-4F7E-9E7F-39947E3FD0BB}"/>
    <cellStyle name="Обычный 16 2 2 3" xfId="6861" xr:uid="{97BCBDE3-8887-4262-AA24-7C9D65911538}"/>
    <cellStyle name="Обычный 16 2 2 3 2" xfId="10064" xr:uid="{0EC896F7-2805-4F90-8E7C-B8BE00D637E8}"/>
    <cellStyle name="Обычный 16 2 2 3 2 2" xfId="19027" xr:uid="{1F5C5FD2-7B98-4F74-B97A-3175789DFEC0}"/>
    <cellStyle name="Обычный 16 2 2 3 2 3" xfId="20268" xr:uid="{B7D6D933-D9AA-4E82-BB3F-BAEE0F215DCD}"/>
    <cellStyle name="Обычный 16 2 2 3 2 4" xfId="27338" xr:uid="{D7F5B985-5C8B-4364-8AC4-7F1569E7C87B}"/>
    <cellStyle name="Обычный 16 2 2 3 2 5" xfId="40457" xr:uid="{EF306049-EA66-4365-8401-8D72967BDBC1}"/>
    <cellStyle name="Обычный 16 2 2 3 3" xfId="18323" xr:uid="{A50C1DF6-8FE8-47D7-A16E-3F71EC6A37AC}"/>
    <cellStyle name="Обычный 16 2 2 3 4" xfId="19741" xr:uid="{733CF0EA-2DAA-4351-B9DB-1B0EC3722D35}"/>
    <cellStyle name="Обычный 16 2 2 3 5" xfId="24485" xr:uid="{9DE601C5-958B-4492-8C06-2953F3711BD2}"/>
    <cellStyle name="Обычный 16 2 2 3 6" xfId="37566" xr:uid="{2434E467-2E23-43D4-9545-85BA0EDA9259}"/>
    <cellStyle name="Обычный 16 2 2 4" xfId="9431" xr:uid="{120A1A4D-F3A8-461C-B3B2-EE99C6DD532A}"/>
    <cellStyle name="Обычный 16 2 2 4 2" xfId="18501" xr:uid="{9A1FEF77-3221-45BE-8F51-95809991A66B}"/>
    <cellStyle name="Обычный 16 2 2 4 3" xfId="19820" xr:uid="{3DE4B9F5-32D7-48D6-A172-2E931F7AC144}"/>
    <cellStyle name="Обычный 16 2 2 4 4" xfId="26822" xr:uid="{C2F29A9B-EC16-4E67-8B0D-411B2EF1EB62}"/>
    <cellStyle name="Обычный 16 2 2 4 5" xfId="39903" xr:uid="{291001F8-5EE4-4720-A8D1-A7911E8777F8}"/>
    <cellStyle name="Обычный 16 2 2 5" xfId="17757" xr:uid="{AA4E603A-96CE-4ACF-A197-3FAB37D37BE0}"/>
    <cellStyle name="Обычный 16 2 2 5 2" xfId="19228" xr:uid="{C5F1EEB3-482C-445F-8813-B52A7DCA9C6F}"/>
    <cellStyle name="Обычный 16 2 2 5 3" xfId="20383" xr:uid="{26957EFE-75E7-4EA5-8311-08C60CF85E36}"/>
    <cellStyle name="Обычный 16 2 2 5 4" xfId="33479" xr:uid="{C00EDD7D-8107-454F-81E9-99E77E4B1467}"/>
    <cellStyle name="Обычный 16 2 2 5 5" xfId="47258" xr:uid="{6BA57044-43B8-4458-BDE3-1754022C7C22}"/>
    <cellStyle name="Обычный 16 2 2 6" xfId="17837" xr:uid="{2A5B0E7C-7E4C-4E1C-BF1B-6442035CB15A}"/>
    <cellStyle name="Обычный 16 2 2 7" xfId="19293" xr:uid="{ED5498AC-8993-472F-829E-3CA0875541C9}"/>
    <cellStyle name="Обычный 16 2 2 8" xfId="20510" xr:uid="{D93D3FAA-F084-4F56-B6D1-C177000A9F24}"/>
    <cellStyle name="Обычный 16 2 2 9" xfId="21237" xr:uid="{45483122-4596-4909-8F73-9082D3A28CE5}"/>
    <cellStyle name="Обычный 16 2 3" xfId="4304" xr:uid="{D1F61432-571A-4088-B4E8-CE8926EADF58}"/>
    <cellStyle name="Обычный 16 2 3 2" xfId="9537" xr:uid="{6CECA8C1-7E42-494E-915C-82DB5FA30E9E}"/>
    <cellStyle name="Обычный 16 2 3 2 2" xfId="18605" xr:uid="{727AE9C6-B3CA-4A49-A252-96DD6B68471B}"/>
    <cellStyle name="Обычный 16 2 3 2 3" xfId="19895" xr:uid="{0AC7EA14-5924-4835-9DCA-4E96D4827122}"/>
    <cellStyle name="Обычный 16 2 3 2 4" xfId="26897" xr:uid="{3994B7C9-831D-485B-A11C-FD56ABA3A8C6}"/>
    <cellStyle name="Обычный 16 2 3 2 5" xfId="39980" xr:uid="{BE1BC78C-CE69-4199-8A3D-F77BD68698D3}"/>
    <cellStyle name="Обычный 16 2 3 3" xfId="17912" xr:uid="{903C2DC8-DA1D-4D26-8DFD-B6C8C79E405D}"/>
    <cellStyle name="Обычный 16 2 3 4" xfId="19368" xr:uid="{D7C71792-99CF-4174-8259-D21365BC4438}"/>
    <cellStyle name="Обычный 16 2 3 5" xfId="22125" xr:uid="{C70FEC0E-1744-415F-B57D-7C11250C1D34}"/>
    <cellStyle name="Обычный 16 2 3 6" xfId="35174" xr:uid="{F50C6AA6-4366-44DE-AD53-6FE630131522}"/>
    <cellStyle name="Обычный 16 2 4" xfId="5284" xr:uid="{3AEB9CBB-3DD9-4E9C-AC58-C16B6BCD914C}"/>
    <cellStyle name="Обычный 16 2 4 2" xfId="9717" xr:uid="{12B06A1D-D00A-46B1-8A8B-D685844494FB}"/>
    <cellStyle name="Обычный 16 2 4 2 2" xfId="18726" xr:uid="{738EA666-2D05-4F5E-8AC1-EB169648F306}"/>
    <cellStyle name="Обычный 16 2 4 2 3" xfId="19989" xr:uid="{6B883C14-B362-408F-8D2B-456804FBE42C}"/>
    <cellStyle name="Обычный 16 2 4 2 4" xfId="27016" xr:uid="{BA0C26FA-AA6A-456D-80D2-2B15D98E61C4}"/>
    <cellStyle name="Обычный 16 2 4 2 5" xfId="40133" xr:uid="{48266C0F-F8DF-45C8-A7DF-D33A25E1BB8E}"/>
    <cellStyle name="Обычный 16 2 4 3" xfId="18023" xr:uid="{5691273F-124A-4DDB-921E-9CA312924661}"/>
    <cellStyle name="Обычный 16 2 4 4" xfId="19462" xr:uid="{95ADC84C-9DA6-4D40-A914-E9134873E9E2}"/>
    <cellStyle name="Обычный 16 2 4 5" xfId="22935" xr:uid="{6ACFFAA5-C6DA-45FD-855B-4A0509938A0D}"/>
    <cellStyle name="Обычный 16 2 4 6" xfId="36014" xr:uid="{BAC5542A-FB28-4BDC-95A9-6645FC5AD75E}"/>
    <cellStyle name="Обычный 16 2 5" xfId="5360" xr:uid="{DE4DC56E-1F29-4FF2-8AD8-2E96EFD5A421}"/>
    <cellStyle name="Обычный 16 2 5 2" xfId="9791" xr:uid="{1CB7889C-DD70-42B4-AF4A-D15507C940CB}"/>
    <cellStyle name="Обычный 16 2 5 2 2" xfId="18779" xr:uid="{1C1BCEEB-1C12-43F7-ADAE-1238A958EE51}"/>
    <cellStyle name="Обычный 16 2 5 2 3" xfId="20042" xr:uid="{621B2EA6-C00C-4E5D-B1B2-1B9EFF358DC8}"/>
    <cellStyle name="Обычный 16 2 5 2 4" xfId="27088" xr:uid="{0D81DA3D-1A5B-4DC8-B599-D2E0D169AA01}"/>
    <cellStyle name="Обычный 16 2 5 2 5" xfId="40207" xr:uid="{FAE89B94-A504-4E6A-8DFD-6DE04D132B0C}"/>
    <cellStyle name="Обычный 16 2 5 3" xfId="18076" xr:uid="{41C8333F-50F1-4E76-AE59-7B6333BDA306}"/>
    <cellStyle name="Обычный 16 2 5 4" xfId="19515" xr:uid="{793197D1-6E3F-4ACA-B6AE-E9BD97515447}"/>
    <cellStyle name="Обычный 16 2 5 5" xfId="23007" xr:uid="{C5987A6D-3370-48C5-BB0C-65F545F8A9A5}"/>
    <cellStyle name="Обычный 16 2 5 6" xfId="36088" xr:uid="{5F568215-918F-4053-AF43-C3EFA4C9B75B}"/>
    <cellStyle name="Обычный 16 2 6" xfId="5972" xr:uid="{742B1C9E-00EC-4704-AB33-3659A46F06D4}"/>
    <cellStyle name="Обычный 16 2 6 2" xfId="9891" xr:uid="{8F1C10F6-5328-4657-B8BA-0434B72DF622}"/>
    <cellStyle name="Обычный 16 2 6 2 2" xfId="18855" xr:uid="{AC68131F-E5CA-4F02-87D7-00077A275A81}"/>
    <cellStyle name="Обычный 16 2 6 2 3" xfId="20117" xr:uid="{2BE2E15A-B72E-4162-BCBA-767E1C7EDF38}"/>
    <cellStyle name="Обычный 16 2 6 2 4" xfId="27187" xr:uid="{AAC25BE6-C70B-4DE0-8917-B4C1574D58FB}"/>
    <cellStyle name="Обычный 16 2 6 2 5" xfId="40306" xr:uid="{9B72C80C-4393-47D8-9887-555BB4BD2C56}"/>
    <cellStyle name="Обычный 16 2 6 3" xfId="18151" xr:uid="{C1CA98E8-C270-4A0F-92BF-EBA3AE829098}"/>
    <cellStyle name="Обычный 16 2 6 4" xfId="19590" xr:uid="{173B2C5A-E0B5-43EE-B275-5BBB7A7412A6}"/>
    <cellStyle name="Обычный 16 2 6 5" xfId="23618" xr:uid="{02024B5C-0C85-4BAE-AEC5-CF68E7633F8F}"/>
    <cellStyle name="Обычный 16 2 6 6" xfId="36699" xr:uid="{2DAC66B3-765E-41D4-A459-61FA8CA8FDA8}"/>
    <cellStyle name="Обычный 16 2 7" xfId="6047" xr:uid="{1CEAACF1-9CDC-4E27-B4DE-40E53DB3EBCD}"/>
    <cellStyle name="Обычный 16 2 7 2" xfId="9966" xr:uid="{CCB6E0DA-CA54-40BE-B753-85247E67DEF4}"/>
    <cellStyle name="Обычный 16 2 7 2 2" xfId="18930" xr:uid="{B1B1C6D8-7D2E-4B2D-8A16-425BE7E7464C}"/>
    <cellStyle name="Обычный 16 2 7 2 3" xfId="20192" xr:uid="{D7E13CFF-03BC-44DF-8586-B4F17DDD5AB5}"/>
    <cellStyle name="Обычный 16 2 7 2 4" xfId="27262" xr:uid="{FC48366A-04DC-44F4-881D-A7DDB903FE59}"/>
    <cellStyle name="Обычный 16 2 7 2 5" xfId="40381" xr:uid="{A5188AA3-7BFD-4601-8F59-0BF860A6E474}"/>
    <cellStyle name="Обычный 16 2 7 3" xfId="18226" xr:uid="{D4C45E5B-F1B6-4FF7-805F-1A9EA4071649}"/>
    <cellStyle name="Обычный 16 2 7 4" xfId="19665" xr:uid="{FEE7470A-3777-452D-932B-FD6C3FB4B6FE}"/>
    <cellStyle name="Обычный 16 2 7 5" xfId="23693" xr:uid="{AF52C971-C615-46F7-887F-835ED1B5BD5F}"/>
    <cellStyle name="Обычный 16 2 7 6" xfId="36774" xr:uid="{326540BD-1DB7-484F-85EE-90FF19A70389}"/>
    <cellStyle name="Обычный 16 2 8" xfId="9385" xr:uid="{E813D99D-67F6-4B6A-BED5-2556BFE662DF}"/>
    <cellStyle name="Обычный 16 2 8 2" xfId="18456" xr:uid="{15B8AA2C-98B7-4AE8-9E1B-1C3676C172D2}"/>
    <cellStyle name="Обычный 16 2 8 3" xfId="19796" xr:uid="{C18D57FD-BFA5-4421-8DA4-91EB881CA133}"/>
    <cellStyle name="Обычный 16 2 8 4" xfId="26798" xr:uid="{073C746D-B0B9-499A-A2AF-E31B0BA30C4A}"/>
    <cellStyle name="Обычный 16 2 8 5" xfId="39879" xr:uid="{19EC1DC5-5643-4435-8FC7-C7026B528111}"/>
    <cellStyle name="Обычный 16 2 9" xfId="10419" xr:uid="{EE363A44-76EB-4472-AEF0-9C5CADF1FF05}"/>
    <cellStyle name="Обычный 16 3" xfId="5126" xr:uid="{1E83AB86-D8A4-45C9-9722-2C89FA2DB3FC}"/>
    <cellStyle name="Обычный 16 4" xfId="10418" xr:uid="{E7079842-141B-4311-859E-E0961E8B48E5}"/>
    <cellStyle name="Обычный 17" xfId="2368" xr:uid="{7F6F17C0-C227-45DF-BD8B-AA8E6389F78A}"/>
    <cellStyle name="Обычный 17 2" xfId="5128" xr:uid="{B6E2692C-BFC8-4E32-BBAA-58A53C049244}"/>
    <cellStyle name="Обычный 17 3" xfId="10420" xr:uid="{2C41CB39-9FD3-4D0D-B129-C74776F74005}"/>
    <cellStyle name="Обычный 18" xfId="41" xr:uid="{AEDF0F49-FB0A-4EA8-A887-8A3EF08DC533}"/>
    <cellStyle name="Обычный 18 10" xfId="10421" xr:uid="{B175AF61-3448-4CAE-B164-E861B9B39B77}"/>
    <cellStyle name="Обычный 18 11" xfId="17811" xr:uid="{2383F5A0-3B35-4D8F-8B03-DD4864CECEDA}"/>
    <cellStyle name="Обычный 18 12" xfId="19267" xr:uid="{1B69E639-476C-4609-AE79-80C08F392448}"/>
    <cellStyle name="Обычный 18 13" xfId="20553" xr:uid="{064E31E3-A146-4588-BF9D-5CF71CEDEEFE}"/>
    <cellStyle name="Обычный 18 14" xfId="33542" xr:uid="{B91DBF38-E577-4042-BBA5-C47E99C9E5D5}"/>
    <cellStyle name="Обычный 18 2" xfId="3765" xr:uid="{1C377AF6-C984-4136-8208-DA4D158D9F66}"/>
    <cellStyle name="Обычный 18 3" xfId="2519" xr:uid="{F48ADC78-CA08-48F0-BDFA-7F8C270227DE}"/>
    <cellStyle name="Обычный 18 3 2" xfId="6185" xr:uid="{FC009448-6AC9-42B1-ABCF-B98E066EB9E3}"/>
    <cellStyle name="Обычный 18 3 2 2" xfId="10040" xr:uid="{525210E7-44AD-4303-BD00-525BEB6A47DE}"/>
    <cellStyle name="Обычный 18 3 2 2 2" xfId="19004" xr:uid="{111C5B12-76BD-449D-BF4A-8F3843261893}"/>
    <cellStyle name="Обычный 18 3 2 2 3" xfId="20266" xr:uid="{06761FCF-C75C-48E9-9796-A0A06B0109F1}"/>
    <cellStyle name="Обычный 18 3 2 2 4" xfId="27336" xr:uid="{4EE19696-B8BC-44FC-85D3-5AF910317AF4}"/>
    <cellStyle name="Обычный 18 3 2 2 5" xfId="40455" xr:uid="{3BCEE3B9-0FD7-4DDF-8BF7-1FF464785597}"/>
    <cellStyle name="Обычный 18 3 2 3" xfId="18300" xr:uid="{E24D100B-A8AA-419B-B964-F668F0FF69E3}"/>
    <cellStyle name="Обычный 18 3 2 4" xfId="19739" xr:uid="{604A7A6A-EFA7-4FDA-B276-02B2424C75FF}"/>
    <cellStyle name="Обычный 18 3 2 5" xfId="23830" xr:uid="{AC2DBF2C-1F41-4A8A-BA58-C789B562CD6A}"/>
    <cellStyle name="Обычный 18 3 2 6" xfId="36911" xr:uid="{638D3634-202C-4FEB-9F94-1F3DA966D139}"/>
    <cellStyle name="Обычный 18 3 3" xfId="9408" xr:uid="{4B348F62-AF4C-46FF-AA8A-D95E2CD80DB2}"/>
    <cellStyle name="Обычный 18 3 3 2" xfId="18478" xr:uid="{D367FBBC-D8BA-4780-BD24-EFD80A361796}"/>
    <cellStyle name="Обычный 18 3 3 3" xfId="19818" xr:uid="{166EB76E-903A-4991-93CA-D011EE952201}"/>
    <cellStyle name="Обычный 18 3 3 4" xfId="26820" xr:uid="{CB70CCC2-655B-4C59-920A-B07181DFCF97}"/>
    <cellStyle name="Обычный 18 3 3 5" xfId="39901" xr:uid="{E61EFF07-1DE5-4760-8AD4-C9FF2C29A09A}"/>
    <cellStyle name="Обычный 18 3 4" xfId="17835" xr:uid="{C2DC0388-B347-4592-9474-3E2312941D89}"/>
    <cellStyle name="Обычный 18 3 5" xfId="19291" xr:uid="{108A57B1-048A-413D-ACCB-2C16DC96EB72}"/>
    <cellStyle name="Обычный 18 3 6" xfId="20582" xr:uid="{A6A7CFF2-34FE-4F3E-8C5B-07C6CA813F1D}"/>
    <cellStyle name="Обычный 18 3 7" xfId="33605" xr:uid="{DB6479BA-6702-4283-8B90-0CD8AD66B8E5}"/>
    <cellStyle name="Обычный 18 4" xfId="4274" xr:uid="{9411E505-717D-4E30-9E71-0C5FB8279F2E}"/>
    <cellStyle name="Обычный 18 4 2" xfId="9535" xr:uid="{E701D67F-F50A-4850-8026-CFB7BD42443F}"/>
    <cellStyle name="Обычный 18 4 2 2" xfId="18603" xr:uid="{64BB4C22-0D8B-4CCE-B8D5-5675F6A05815}"/>
    <cellStyle name="Обычный 18 4 2 3" xfId="19893" xr:uid="{9536E45B-8A22-4C64-A773-D2A56F573017}"/>
    <cellStyle name="Обычный 18 4 2 4" xfId="26895" xr:uid="{643C2846-2504-483C-8587-6A8CA717ED34}"/>
    <cellStyle name="Обычный 18 4 2 5" xfId="39978" xr:uid="{2394C757-37F9-44BC-86DB-4AC28F65FCB0}"/>
    <cellStyle name="Обычный 18 4 3" xfId="17910" xr:uid="{E4BC3B24-8FC8-4E15-AC59-7DBDD3837AA8}"/>
    <cellStyle name="Обычный 18 4 4" xfId="19366" xr:uid="{EF20E5A4-9987-4872-83B7-AAE73CABB4A8}"/>
    <cellStyle name="Обычный 18 4 5" xfId="22098" xr:uid="{3A37BFC7-2BB1-4544-869C-BA755D6B5A2A}"/>
    <cellStyle name="Обычный 18 4 6" xfId="35147" xr:uid="{6F1E7CBF-4B4D-4E36-A73E-98B892F35DEF}"/>
    <cellStyle name="Обычный 18 5" xfId="5250" xr:uid="{31D138CD-B5F9-4661-9C2B-381F88E53206}"/>
    <cellStyle name="Обычный 18 5 2" xfId="9684" xr:uid="{E5143EC5-1E8D-44DA-931D-D78C32D4D4A2}"/>
    <cellStyle name="Обычный 18 5 2 2" xfId="18723" xr:uid="{A7742136-4656-4BE8-AAFE-48974D8737EF}"/>
    <cellStyle name="Обычный 18 5 2 3" xfId="19987" xr:uid="{9279C944-887C-4EE0-8797-5DBDC9DB48FA}"/>
    <cellStyle name="Обычный 18 5 2 4" xfId="26989" xr:uid="{D629020C-461D-42A1-AF70-A002CB0BCE5D}"/>
    <cellStyle name="Обычный 18 5 2 5" xfId="40101" xr:uid="{EBBC975E-AC94-41A1-B8C0-DC03A9BB5E41}"/>
    <cellStyle name="Обычный 18 5 3" xfId="18020" xr:uid="{87284F96-49BE-4B05-9188-CD1DF6C91BBF}"/>
    <cellStyle name="Обычный 18 5 4" xfId="19460" xr:uid="{B9D48607-03CE-4515-A6D2-E97F03D09324}"/>
    <cellStyle name="Обычный 18 5 5" xfId="22908" xr:uid="{9A3B78EC-BBFF-4F7A-B54D-EB75998D34B6}"/>
    <cellStyle name="Обычный 18 5 6" xfId="35982" xr:uid="{48ECAE3C-B7E2-4D42-B7FD-4873C6F1A14B}"/>
    <cellStyle name="Обычный 18 6" xfId="5343" xr:uid="{6A9C2865-65EC-458E-857B-81CC0FDFFA27}"/>
    <cellStyle name="Обычный 18 6 2" xfId="9774" xr:uid="{4C88EED0-FDC2-40C4-A5E3-FD7098D709CF}"/>
    <cellStyle name="Обычный 18 6 2 2" xfId="18777" xr:uid="{1D6AC97B-93E8-4C8A-AF1A-E40863D92EFB}"/>
    <cellStyle name="Обычный 18 6 2 3" xfId="20040" xr:uid="{8487FCE7-1174-4712-B3AB-7E427E2D5C52}"/>
    <cellStyle name="Обычный 18 6 2 4" xfId="27071" xr:uid="{8680A0F7-D6CF-464A-957E-4CDB84F120D2}"/>
    <cellStyle name="Обычный 18 6 2 5" xfId="40190" xr:uid="{78A4F72B-D21F-42B3-8FF5-E9272B58CC66}"/>
    <cellStyle name="Обычный 18 6 3" xfId="18074" xr:uid="{F6F5347D-4864-49E5-BDDE-C90034565770}"/>
    <cellStyle name="Обычный 18 6 4" xfId="19513" xr:uid="{E10FA63B-4EF0-4A2A-ABA3-033AF505AC9C}"/>
    <cellStyle name="Обычный 18 6 5" xfId="22990" xr:uid="{0289F4C1-DC32-43F7-B3A3-117F18B7E9B1}"/>
    <cellStyle name="Обычный 18 6 6" xfId="36071" xr:uid="{CB0DBC8E-5A64-40BA-95AF-C09E727A42A9}"/>
    <cellStyle name="Обычный 18 7" xfId="5970" xr:uid="{F8420445-E0A0-473F-A465-030AA0F224B6}"/>
    <cellStyle name="Обычный 18 7 2" xfId="9889" xr:uid="{86639B2E-AEAD-4DC0-8DCC-DF895DCE1AFC}"/>
    <cellStyle name="Обычный 18 7 2 2" xfId="18853" xr:uid="{0D0586CB-C080-4A7A-9E71-129C0AE621BC}"/>
    <cellStyle name="Обычный 18 7 2 3" xfId="20115" xr:uid="{E50CA541-390A-4DD4-B69B-05DB89870A30}"/>
    <cellStyle name="Обычный 18 7 2 4" xfId="27185" xr:uid="{071547BF-26EC-43A0-9975-3A4891F245DF}"/>
    <cellStyle name="Обычный 18 7 2 5" xfId="40304" xr:uid="{3AACFA9A-4454-412E-95C6-9A9FFCD88AB7}"/>
    <cellStyle name="Обычный 18 7 3" xfId="18149" xr:uid="{4E02CA6D-C862-4606-AAD4-605593DEECF1}"/>
    <cellStyle name="Обычный 18 7 4" xfId="19588" xr:uid="{E3FBE249-6CAA-4A11-88E1-EAF6C5AE2409}"/>
    <cellStyle name="Обычный 18 7 5" xfId="23616" xr:uid="{FB7ECE08-6FC6-40CC-8C51-E31B4AE8EEC2}"/>
    <cellStyle name="Обычный 18 7 6" xfId="36697" xr:uid="{49FA8206-5649-43BB-B5F9-DEC90BDF543B}"/>
    <cellStyle name="Обычный 18 8" xfId="6045" xr:uid="{98ECAA10-D2DB-4219-9165-A498159668AE}"/>
    <cellStyle name="Обычный 18 8 2" xfId="9964" xr:uid="{DF41FE0A-10FD-43CC-8B6B-EAD2253FA2B4}"/>
    <cellStyle name="Обычный 18 8 2 2" xfId="18928" xr:uid="{BE12954A-5812-43B9-AEAF-32F407000A0B}"/>
    <cellStyle name="Обычный 18 8 2 3" xfId="20190" xr:uid="{62AA57E1-5BBA-4EEA-8E7A-69E4329138F0}"/>
    <cellStyle name="Обычный 18 8 2 4" xfId="27260" xr:uid="{C67FBEB6-3DF1-4F4C-AF52-7A7222670BAE}"/>
    <cellStyle name="Обычный 18 8 2 5" xfId="40379" xr:uid="{F0A3B48A-1B7B-4A1A-8F82-A69F75B7ACD8}"/>
    <cellStyle name="Обычный 18 8 3" xfId="18224" xr:uid="{3444E7A3-4E4E-4F0E-BAD3-07FCB73FD2DB}"/>
    <cellStyle name="Обычный 18 8 4" xfId="19663" xr:uid="{338A9645-4302-4391-A933-9F353407E477}"/>
    <cellStyle name="Обычный 18 8 5" xfId="23691" xr:uid="{7A2B89C5-7A40-4D75-A0FB-7F59AAFE6525}"/>
    <cellStyle name="Обычный 18 8 6" xfId="36772" xr:uid="{DC3D79D2-9298-4B33-9043-CFE5C8C67537}"/>
    <cellStyle name="Обычный 18 9" xfId="9376" xr:uid="{650D7390-A3BE-4822-8142-9981F5BCCE43}"/>
    <cellStyle name="Обычный 18 9 2" xfId="18452" xr:uid="{374D6C61-1D84-40B2-9338-54255482C909}"/>
    <cellStyle name="Обычный 18 9 3" xfId="19794" xr:uid="{679AC11A-527F-48D9-9AD2-689B5BB23852}"/>
    <cellStyle name="Обычный 18 9 4" xfId="26796" xr:uid="{8CE33EEF-DD1A-4E44-A362-5AEB1BF3A603}"/>
    <cellStyle name="Обычный 18 9 5" xfId="39872" xr:uid="{27BA63C6-41BA-462E-9262-178530E409A9}"/>
    <cellStyle name="Обычный 19" xfId="2369" xr:uid="{B0A8D336-FC62-4176-B04D-ACE1F150FEB8}"/>
    <cellStyle name="Обычный 19 2" xfId="5129" xr:uid="{6ED42454-CB09-4D11-81BF-AAC7C99BEFC3}"/>
    <cellStyle name="Обычный 19 3" xfId="10422" xr:uid="{284CA28F-5468-4A9B-B21F-C6B4D6901553}"/>
    <cellStyle name="Обычный 2" xfId="2" xr:uid="{6CAFF72B-AE90-4D71-B810-332107927A4C}"/>
    <cellStyle name="Обычный 2 2" xfId="16" xr:uid="{F3CA1609-977C-4D70-96F3-0192EBEE718E}"/>
    <cellStyle name="Обычный 2 2 2" xfId="2488" xr:uid="{65D2CF23-FEF6-4ECB-B3B4-01832A03036B}"/>
    <cellStyle name="Обычный 2 2 2 2" xfId="2501" xr:uid="{DC4EF893-09D9-470A-A994-C741F4A966B9}"/>
    <cellStyle name="Обычный 2 2 2 3" xfId="3280" xr:uid="{8168F60A-719F-47BF-9493-32A447606B09}"/>
    <cellStyle name="Обычный 2 2 2 4" xfId="10423" xr:uid="{0C6802AE-0FE2-467A-A973-21C12C8B49D7}"/>
    <cellStyle name="Обычный 2 2 3" xfId="4007" xr:uid="{C7510B34-F894-468A-ACBD-393025F9E4BE}"/>
    <cellStyle name="Обычный 2 2 4" xfId="2370" xr:uid="{707E96EB-CBC9-4B0D-8B05-AF0B7F59CE44}"/>
    <cellStyle name="Обычный 2 3" xfId="10" xr:uid="{05827CA8-F91F-42A2-92C2-F2134F411C2D}"/>
    <cellStyle name="Обычный 2 3 2" xfId="17" xr:uid="{F5D00E44-8D0D-4674-8404-07407681AD59}"/>
    <cellStyle name="Обычный 2 3 2 2" xfId="17632" xr:uid="{466B8E79-9BD1-4BE3-85DB-DA4F40CCA960}"/>
    <cellStyle name="Обычный 2 3 2 3" xfId="2503" xr:uid="{B606071F-E26F-46DD-A1AC-2963B4AA2F51}"/>
    <cellStyle name="Обычный 2 3 3" xfId="10424" xr:uid="{CF9FF655-3E5C-47C5-9E42-86C025FDD196}"/>
    <cellStyle name="Обычный 2 3 4" xfId="2371" xr:uid="{6B57ADAC-E022-4636-AA61-4958961510A2}"/>
    <cellStyle name="Обычный 2 4" xfId="2464" xr:uid="{01A0A095-6273-4AA5-B466-D6A0A5EB6A6F}"/>
    <cellStyle name="Обычный 2 4 2" xfId="13" xr:uid="{E55171BB-0A37-43DF-BCDD-6DC33B92BA1F}"/>
    <cellStyle name="Обычный 2 4 2 2" xfId="21" xr:uid="{70074A3F-C62B-4902-85EE-18EEA75842FE}"/>
    <cellStyle name="Обычный 2 4 2 2 2" xfId="17630" xr:uid="{0C523488-93E4-43E7-9480-9CC5A3E49017}"/>
    <cellStyle name="Обычный 2 4 2 2 3" xfId="19173" xr:uid="{47860BEE-3146-47AF-877A-9092EB677A5F}"/>
    <cellStyle name="Обычный 2 4 2 2 4" xfId="20328" xr:uid="{235D236D-9259-469E-8D07-2E95F83B2D57}"/>
    <cellStyle name="Обычный 2 4 2 2 5" xfId="33360" xr:uid="{8F0E505E-175B-4CE4-9BC3-B43E38C937DF}"/>
    <cellStyle name="Обычный 2 4 2 2 6" xfId="47150" xr:uid="{BD1CB38E-497B-4C2C-9659-419191BE2F7B}"/>
    <cellStyle name="Обычный 2 4 2 3" xfId="3780" xr:uid="{246822C4-3290-412B-961B-0329D6EE7165}"/>
    <cellStyle name="Обычный 2 4 2 4" xfId="33537" xr:uid="{5F5F1A7F-93F8-4438-8EE3-293DBE18D2F2}"/>
    <cellStyle name="Обычный 2 4 3" xfId="10425" xr:uid="{A430F1C5-150B-4A2F-B369-17E7B4A402AD}"/>
    <cellStyle name="Обычный 2 5" xfId="2472" xr:uid="{624434B9-CF87-4A6B-8D2C-AFCAE42D2403}"/>
    <cellStyle name="Обычный 2 5 2" xfId="3783" xr:uid="{FCE0BE8C-0344-4DCA-9E75-0857AE331587}"/>
    <cellStyle name="Обычный 2 5 2 10" xfId="19321" xr:uid="{6F75D214-38D1-4ED1-AEAC-DCC5D85A23C6}"/>
    <cellStyle name="Обычный 2 5 2 11" xfId="20528" xr:uid="{45CC258C-878E-4237-A0C1-DCFFADDBE18F}"/>
    <cellStyle name="Обычный 2 5 2 12" xfId="21680" xr:uid="{99F54EA1-03AF-4C4B-B520-88ACB1EADC35}"/>
    <cellStyle name="Обычный 2 5 2 13" xfId="34734" xr:uid="{2D48A737-E72E-4B0D-BF55-98011AB9D3C5}"/>
    <cellStyle name="Обычный 2 5 2 2" xfId="4584" xr:uid="{319B43E7-1486-4DC1-8489-0A35D9177243}"/>
    <cellStyle name="Обычный 2 5 2 2 2" xfId="9577" xr:uid="{B895B08D-A938-40E6-8729-3895500D47F6}"/>
    <cellStyle name="Обычный 2 5 2 2 2 2" xfId="18645" xr:uid="{580A2779-6102-44CC-AC8A-332E69B00A5E}"/>
    <cellStyle name="Обычный 2 5 2 2 2 3" xfId="19932" xr:uid="{14C2D99C-DBA3-41D2-9E60-4AC7F7E89F0A}"/>
    <cellStyle name="Обычный 2 5 2 2 2 4" xfId="26934" xr:uid="{9F59B3CC-8283-4C51-85BB-D4594169C7A6}"/>
    <cellStyle name="Обычный 2 5 2 2 2 5" xfId="40017" xr:uid="{7FD70002-F772-4484-ADB9-75F2DCD307E0}"/>
    <cellStyle name="Обычный 2 5 2 2 3" xfId="17951" xr:uid="{6BB7EA4D-5D24-44BD-8627-F03C0200B4FD}"/>
    <cellStyle name="Обычный 2 5 2 2 4" xfId="19405" xr:uid="{B97151CF-C5F7-4C6A-8DEB-9E7C88E97957}"/>
    <cellStyle name="Обычный 2 5 2 2 5" xfId="22398" xr:uid="{05C807F8-724B-4E66-BEBE-6A9C8EA9735F}"/>
    <cellStyle name="Обычный 2 5 2 2 6" xfId="35448" xr:uid="{14413A61-3F06-4F5F-8E6F-38A4B2D3E406}"/>
    <cellStyle name="Обычный 2 5 2 3" xfId="5319" xr:uid="{6279D631-B920-49A8-B1F2-2357246EECB4}"/>
    <cellStyle name="Обычный 2 5 2 3 2" xfId="9751" xr:uid="{40C467D0-0EE6-403C-AB04-35BE467D28D0}"/>
    <cellStyle name="Обычный 2 5 2 3 2 2" xfId="18754" xr:uid="{97D21B84-7E33-4414-BCEF-F5F5AC5DC5AC}"/>
    <cellStyle name="Обычный 2 5 2 3 2 3" xfId="20017" xr:uid="{1D079247-C256-46B7-B75E-4E16665B09B7}"/>
    <cellStyle name="Обычный 2 5 2 3 2 4" xfId="27048" xr:uid="{D54D55E9-6CC2-4169-9E58-92E9FCE6E022}"/>
    <cellStyle name="Обычный 2 5 2 3 2 5" xfId="40167" xr:uid="{4767AB4F-5A3A-46C3-906F-BA7A139B423E}"/>
    <cellStyle name="Обычный 2 5 2 3 3" xfId="18051" xr:uid="{BB26D693-07BC-4E66-A3EB-0B3129E60208}"/>
    <cellStyle name="Обычный 2 5 2 3 4" xfId="19490" xr:uid="{99B22ADE-E37F-4A58-A6D7-70B6DB7ECFBA}"/>
    <cellStyle name="Обычный 2 5 2 3 5" xfId="22967" xr:uid="{DC21EF27-DF2F-43BF-8AEF-B306FB1C11C8}"/>
    <cellStyle name="Обычный 2 5 2 3 6" xfId="36048" xr:uid="{209C165E-B309-41E8-B767-436AD2C5F9EA}"/>
    <cellStyle name="Обычный 2 5 2 4" xfId="5771" xr:uid="{59577379-597C-45CC-A1EA-4CA33E844F6D}"/>
    <cellStyle name="Обычный 2 5 2 4 2" xfId="9834" xr:uid="{A8B5E59E-3BD1-48B4-ADCD-3BAFF26951E9}"/>
    <cellStyle name="Обычный 2 5 2 4 2 2" xfId="18808" xr:uid="{64A93E78-E8F2-48D2-8BAC-71288CF0A73C}"/>
    <cellStyle name="Обычный 2 5 2 4 2 3" xfId="20070" xr:uid="{B6954448-7E96-4235-9D20-DE5805927864}"/>
    <cellStyle name="Обычный 2 5 2 4 2 4" xfId="27130" xr:uid="{1F29AFD4-E3B1-42F5-8309-DB249BA8921C}"/>
    <cellStyle name="Обычный 2 5 2 4 2 5" xfId="40249" xr:uid="{6DB3935C-32A1-4572-9C04-2A1642398EE4}"/>
    <cellStyle name="Обычный 2 5 2 4 3" xfId="18104" xr:uid="{A9B67C43-645F-4802-B0BC-C680CA284283}"/>
    <cellStyle name="Обычный 2 5 2 4 4" xfId="19543" xr:uid="{72EF161B-3F5F-447F-B71E-4B7F57F7F5FA}"/>
    <cellStyle name="Обычный 2 5 2 4 5" xfId="23418" xr:uid="{0298344F-980E-41FB-B80E-317342549231}"/>
    <cellStyle name="Обычный 2 5 2 4 6" xfId="36499" xr:uid="{ABC76A00-996A-49D3-BE25-A340E106F4D2}"/>
    <cellStyle name="Обычный 2 5 2 5" xfId="6000" xr:uid="{60966629-F049-4804-AAAB-70EE877031B9}"/>
    <cellStyle name="Обычный 2 5 2 5 2" xfId="9919" xr:uid="{BBCC90DA-D6F6-4E7F-A48D-8E4CCB15C040}"/>
    <cellStyle name="Обычный 2 5 2 5 2 2" xfId="18883" xr:uid="{FF4F947B-9BC3-4532-A448-41C9F493300A}"/>
    <cellStyle name="Обычный 2 5 2 5 2 3" xfId="20145" xr:uid="{F28BDD30-F0EA-4CCF-8E3F-761D4A183A94}"/>
    <cellStyle name="Обычный 2 5 2 5 2 4" xfId="27215" xr:uid="{4A5D1CBE-B03C-4260-B7C3-E331BFBE6568}"/>
    <cellStyle name="Обычный 2 5 2 5 2 5" xfId="40334" xr:uid="{55B55191-4BF0-4A7B-90C8-44105963DBA5}"/>
    <cellStyle name="Обычный 2 5 2 5 3" xfId="18179" xr:uid="{06AED39A-4AA7-4212-944F-FDEAF66FE833}"/>
    <cellStyle name="Обычный 2 5 2 5 4" xfId="19618" xr:uid="{E50672DB-C196-4BB7-A4E2-FE78F41DDFE7}"/>
    <cellStyle name="Обычный 2 5 2 5 5" xfId="23646" xr:uid="{CC35098E-FA7D-43B2-99DC-28730D897495}"/>
    <cellStyle name="Обычный 2 5 2 5 6" xfId="36727" xr:uid="{57E61A3D-567A-4447-B889-03355685515A}"/>
    <cellStyle name="Обычный 2 5 2 6" xfId="6075" xr:uid="{E213A057-9F97-41DA-A80B-03072D9B8373}"/>
    <cellStyle name="Обычный 2 5 2 6 2" xfId="9994" xr:uid="{FE64BEC3-5379-45E2-AE3E-872DAACDE431}"/>
    <cellStyle name="Обычный 2 5 2 6 2 2" xfId="18958" xr:uid="{F2CFBF94-7C59-4455-8BAE-AECFF34C80B4}"/>
    <cellStyle name="Обычный 2 5 2 6 2 3" xfId="20220" xr:uid="{3D1FF537-15FE-42B8-9991-163DF5F0D392}"/>
    <cellStyle name="Обычный 2 5 2 6 2 4" xfId="27290" xr:uid="{9465DEB1-5183-4B20-AD8D-F6F8A6F09B47}"/>
    <cellStyle name="Обычный 2 5 2 6 2 5" xfId="40409" xr:uid="{20D59DF5-ADCF-425C-B9EC-B5AD2C6F0F49}"/>
    <cellStyle name="Обычный 2 5 2 6 3" xfId="18254" xr:uid="{B18A0C97-9783-40C2-8A0B-5654E5C4E0C3}"/>
    <cellStyle name="Обычный 2 5 2 6 4" xfId="19693" xr:uid="{E6455456-2BEB-474F-979F-DD86684D6221}"/>
    <cellStyle name="Обычный 2 5 2 6 5" xfId="23721" xr:uid="{CD919C24-38C3-4470-A9A0-7DB06E47D685}"/>
    <cellStyle name="Обычный 2 5 2 6 6" xfId="36802" xr:uid="{85F686F9-2338-4F91-92B1-D30659D18AC6}"/>
    <cellStyle name="Обычный 2 5 2 7" xfId="9476" xr:uid="{1AC94F20-F5B3-4DC9-9CF4-CED194ADBCA2}"/>
    <cellStyle name="Обычный 2 5 2 7 2" xfId="18544" xr:uid="{98AF97F5-983D-4042-AC2A-240C6C4ADAE0}"/>
    <cellStyle name="Обычный 2 5 2 7 3" xfId="19848" xr:uid="{57C62152-5692-43B8-AA8E-BD3CF364C2B4}"/>
    <cellStyle name="Обычный 2 5 2 7 4" xfId="26850" xr:uid="{E373DE78-009E-4C84-A684-D27172BC226D}"/>
    <cellStyle name="Обычный 2 5 2 7 5" xfId="39933" xr:uid="{01923D06-28AF-4948-A91F-05BCC7AE1064}"/>
    <cellStyle name="Обычный 2 5 2 8" xfId="17775" xr:uid="{1B1865BA-AF55-4D71-8CC4-0B9AB3B647A1}"/>
    <cellStyle name="Обычный 2 5 2 8 2" xfId="19242" xr:uid="{86D6E99B-62DF-4D41-BD7E-E551C2BC1F2A}"/>
    <cellStyle name="Обычный 2 5 2 8 3" xfId="20397" xr:uid="{F3664024-D2E6-432D-B22E-D342ADB3DFF3}"/>
    <cellStyle name="Обычный 2 5 2 8 4" xfId="33497" xr:uid="{248EBD37-4AAF-466F-88C0-8BB2E89CF1D2}"/>
    <cellStyle name="Обычный 2 5 2 8 5" xfId="47276" xr:uid="{23FF4F52-9FB7-4877-AE19-197C12791918}"/>
    <cellStyle name="Обычный 2 5 2 9" xfId="17865" xr:uid="{6E8D322E-8C17-4739-99AD-9E98A2C409DD}"/>
    <cellStyle name="Обычный 2 5 3" xfId="10426" xr:uid="{A79E5B6C-1E90-4217-BE36-526AE2D372FC}"/>
    <cellStyle name="Обычный 2 5 4" xfId="17690" xr:uid="{5545FB2C-291D-4F80-92FC-109BC3712C4D}"/>
    <cellStyle name="Обычный 2 5 4 2" xfId="19197" xr:uid="{1F23FA0A-7DE2-4EFB-ADE6-EFE5044A55B5}"/>
    <cellStyle name="Обычный 2 5 4 3" xfId="20352" xr:uid="{98F78AD5-5DD9-425A-9518-C8B29EC790D6}"/>
    <cellStyle name="Обычный 2 5 4 4" xfId="33413" xr:uid="{86EFC5EE-EF6B-4F86-8BF0-315DA521B292}"/>
    <cellStyle name="Обычный 2 5 4 5" xfId="47202" xr:uid="{5EA6AF3D-2D79-4002-B7B5-39BDF174D8BD}"/>
    <cellStyle name="Обычный 2 5 5" xfId="20444" xr:uid="{226D99AF-8DB8-4118-BA60-E6F85433D815}"/>
    <cellStyle name="Обычный 2 6" xfId="2506" xr:uid="{3E406F5B-B792-4372-A6D0-3C7A497552BF}"/>
    <cellStyle name="Обычный 2 6 2" xfId="4036" xr:uid="{DED12BE2-CA7B-41E4-814E-C65C77B4DE38}"/>
    <cellStyle name="Обычный 2 6 3" xfId="10541" xr:uid="{38305CE4-EE7E-40A5-B3AA-D11A7DBEE578}"/>
    <cellStyle name="Обычный 2 7" xfId="3752" xr:uid="{1C002971-65F5-4DF0-A138-C44F5F9BAC55}"/>
    <cellStyle name="Обычный 2 7 2" xfId="3851" xr:uid="{6C3840A5-0C62-4D8E-A59C-0E75E3898C99}"/>
    <cellStyle name="Обычный 2 8" xfId="39" xr:uid="{71FF1D84-BB16-42FC-82A7-2DB4CE5FE952}"/>
    <cellStyle name="Обычный 2_Форма_технологические карты" xfId="2372" xr:uid="{592CCCD5-83A8-4164-A33B-C68DC1EEA301}"/>
    <cellStyle name="Обычный 20" xfId="2373" xr:uid="{AD82E504-360A-49F8-9D51-1D958AB9FC7E}"/>
    <cellStyle name="Обычный 20 2" xfId="5130" xr:uid="{53C24E4F-9583-4394-80AA-2C377F0884D2}"/>
    <cellStyle name="Обычный 20 3" xfId="10427" xr:uid="{B0460F3B-9835-47BA-B67E-77D358228CC1}"/>
    <cellStyle name="Обычный 21" xfId="2374" xr:uid="{D9DAA5F2-CEE7-449E-9EF1-0FFBE33D1F2E}"/>
    <cellStyle name="Обычный 21 2" xfId="5131" xr:uid="{057108DF-7CDE-4635-9801-71A2390FFD1B}"/>
    <cellStyle name="Обычный 21 3" xfId="10428" xr:uid="{F5C242F3-9FBF-4FB4-9CEC-40B627F3E465}"/>
    <cellStyle name="Обычный 22" xfId="2375" xr:uid="{563C5FF8-5E61-4CB9-88A7-952F43019497}"/>
    <cellStyle name="Обычный 22 2" xfId="5132" xr:uid="{E5565405-45C4-4C3D-BBA0-B449AC1B842E}"/>
    <cellStyle name="Обычный 22 3" xfId="10429" xr:uid="{156E5FE3-C521-495B-87BA-05AB27E48C8E}"/>
    <cellStyle name="Обычный 23" xfId="2376" xr:uid="{8A8B1150-9910-4FF4-AB3A-98603F42F742}"/>
    <cellStyle name="Обычный 23 2" xfId="5133" xr:uid="{24905DF8-DD98-4110-89FE-C2EB680CA391}"/>
    <cellStyle name="Обычный 23 3" xfId="10430" xr:uid="{C3A92118-3F84-4C74-A852-F2ED6AE8D851}"/>
    <cellStyle name="Обычный 24" xfId="2467" xr:uid="{21A33DE9-6D40-4516-BF58-07EA9CEA5607}"/>
    <cellStyle name="Обычный 24 10" xfId="10431" xr:uid="{E4057EFE-3E79-4FC5-ABAC-D99153AD5121}"/>
    <cellStyle name="Обычный 24 11" xfId="17681" xr:uid="{40DE9D5E-878B-4963-A1AF-DBB9BF6B28B7}"/>
    <cellStyle name="Обычный 24 11 2" xfId="19188" xr:uid="{94299D24-36D2-495A-941A-8D367094897E}"/>
    <cellStyle name="Обычный 24 11 3" xfId="20343" xr:uid="{2074EEFA-E5A2-4B38-9F57-0AA21543F1F2}"/>
    <cellStyle name="Обычный 24 11 4" xfId="33404" xr:uid="{4A26A9D5-C130-448F-987C-A6D29D39AA1E}"/>
    <cellStyle name="Обычный 24 11 5" xfId="47193" xr:uid="{B0132CC2-9D10-4C05-B651-8A9EE465AC47}"/>
    <cellStyle name="Обычный 24 12" xfId="17817" xr:uid="{EC8DB7B8-DE8D-4CF1-8989-7AD2610EFEDF}"/>
    <cellStyle name="Обычный 24 13" xfId="19273" xr:uid="{FDD8FF7D-8971-41E9-A22E-1F639D5F6022}"/>
    <cellStyle name="Обычный 24 14" xfId="20435" xr:uid="{07C46828-C048-4157-90D9-BDF2A548C29F}"/>
    <cellStyle name="Обычный 24 15" xfId="20559" xr:uid="{01996087-8E32-413B-9E48-6EB9E1E758B1}"/>
    <cellStyle name="Обычный 24 16" xfId="33582" xr:uid="{CE190016-03ED-46F7-90F0-9E725064F47C}"/>
    <cellStyle name="Обычный 24 2" xfId="2499" xr:uid="{9D5C2A41-9A80-4B41-9058-AC78E3AC6272}"/>
    <cellStyle name="Обычный 24 2 10" xfId="17829" xr:uid="{FB96BA94-7C5D-4034-A452-E4FC1A35601D}"/>
    <cellStyle name="Обычный 24 2 11" xfId="19285" xr:uid="{10820A72-0D33-4C32-ACE3-34774042B962}"/>
    <cellStyle name="Обычный 24 2 12" xfId="20519" xr:uid="{69713C6B-DF09-42B1-B3CF-A6DCE33B031D}"/>
    <cellStyle name="Обычный 24 2 13" xfId="20571" xr:uid="{DE54C83C-B01A-4372-85AC-3237B350DC38}"/>
    <cellStyle name="Обычный 24 2 14" xfId="33594" xr:uid="{1261F575-BB4E-4692-B9FF-F98886FB53D2}"/>
    <cellStyle name="Обычный 24 2 2" xfId="3289" xr:uid="{E67CA6C0-5C50-4239-B7A6-7A18E07BDED9}"/>
    <cellStyle name="Обычный 24 2 2 2" xfId="6940" xr:uid="{CBE818D2-DC2C-4F18-B212-961E864E57D8}"/>
    <cellStyle name="Обычный 24 2 2 2 2" xfId="10082" xr:uid="{1DF8D183-9D77-4281-954B-AF4CDE92B6A9}"/>
    <cellStyle name="Обычный 24 2 2 2 2 2" xfId="19045" xr:uid="{8D04737A-F12B-44FB-8F8B-45D3E448576E}"/>
    <cellStyle name="Обычный 24 2 2 2 2 3" xfId="20284" xr:uid="{525E8DE6-A744-4BA6-89AD-FF408A085D9A}"/>
    <cellStyle name="Обычный 24 2 2 2 2 4" xfId="27354" xr:uid="{E633F79D-AE1D-45F5-B0C4-C2A1C78F90F4}"/>
    <cellStyle name="Обычный 24 2 2 2 2 5" xfId="40473" xr:uid="{A0AC7CF5-C3C4-4465-9A4A-73F1FFA06AC6}"/>
    <cellStyle name="Обычный 24 2 2 2 3" xfId="18341" xr:uid="{826FF807-4EFF-46A8-821D-1685442BDEB2}"/>
    <cellStyle name="Обычный 24 2 2 2 4" xfId="19757" xr:uid="{4873ABF3-4DBB-4B85-8DB4-E00545A490DF}"/>
    <cellStyle name="Обычный 24 2 2 2 5" xfId="24562" xr:uid="{EAA94CEC-F755-4D9D-92F5-2B2BC07246B2}"/>
    <cellStyle name="Обычный 24 2 2 2 6" xfId="37643" xr:uid="{EEAA9EDA-4F00-4DE1-9C14-5F6504A677C8}"/>
    <cellStyle name="Обычный 24 2 2 3" xfId="9449" xr:uid="{AE7D18AC-EFB4-4C62-8C15-AC795955D504}"/>
    <cellStyle name="Обычный 24 2 2 3 2" xfId="18519" xr:uid="{29C091E7-0CCE-4BF0-8970-998314CCC5C1}"/>
    <cellStyle name="Обычный 24 2 2 3 3" xfId="19836" xr:uid="{931D93D9-8628-4ADD-819E-F67A12304CCF}"/>
    <cellStyle name="Обычный 24 2 2 3 4" xfId="26838" xr:uid="{5A0687D3-D722-4794-84D4-735D971E4125}"/>
    <cellStyle name="Обычный 24 2 2 3 5" xfId="39919" xr:uid="{CD8A8F87-9111-47B3-BD6B-206E16EE582C}"/>
    <cellStyle name="Обычный 24 2 2 4" xfId="17853" xr:uid="{9CA74C1D-CE75-4ADB-B248-0BC338B36958}"/>
    <cellStyle name="Обычный 24 2 2 5" xfId="19309" xr:uid="{7C14F82D-28AF-4C68-9CF9-770161E84FBC}"/>
    <cellStyle name="Обычный 24 2 2 6" xfId="21314" xr:uid="{11C84F9F-0721-4305-9BC5-777DDAC708B6}"/>
    <cellStyle name="Обычный 24 2 2 7" xfId="34337" xr:uid="{EB869D7D-A2F2-4B90-BC2E-0E48224FDECA}"/>
    <cellStyle name="Обычный 24 2 3" xfId="4325" xr:uid="{BE5E4983-2505-4F1F-9B34-2D43D610B391}"/>
    <cellStyle name="Обычный 24 2 3 2" xfId="9553" xr:uid="{6B57D9D9-7F88-4603-93EE-9995546AF46A}"/>
    <cellStyle name="Обычный 24 2 3 2 2" xfId="18621" xr:uid="{C08DB625-BB30-43A0-A712-F32330FF77F3}"/>
    <cellStyle name="Обычный 24 2 3 2 3" xfId="19911" xr:uid="{C1E0A3DE-550E-45D8-A3F7-A32BF75B0D7D}"/>
    <cellStyle name="Обычный 24 2 3 2 4" xfId="26913" xr:uid="{00F258FE-5D32-4B8A-A25C-55E22A5B6FF6}"/>
    <cellStyle name="Обычный 24 2 3 2 5" xfId="39996" xr:uid="{FA20C051-CF0F-4BC5-9D7C-BBF1F04A74EE}"/>
    <cellStyle name="Обычный 24 2 3 3" xfId="17928" xr:uid="{FAE2C611-5559-4443-A914-E11827C14BE1}"/>
    <cellStyle name="Обычный 24 2 3 4" xfId="19384" xr:uid="{72008F91-CFB2-4951-93ED-D0770DE08312}"/>
    <cellStyle name="Обычный 24 2 3 5" xfId="22145" xr:uid="{EDADCD96-D483-46D4-A2E5-4092388490F3}"/>
    <cellStyle name="Обычный 24 2 3 6" xfId="35194" xr:uid="{EFE43322-179B-4CA8-B5D0-086FA3B28460}"/>
    <cellStyle name="Обычный 24 2 4" xfId="5305" xr:uid="{D86A3C5E-8118-47BC-9947-99F571D9346A}"/>
    <cellStyle name="Обычный 24 2 4 2" xfId="9737" xr:uid="{7AE3E805-2520-4DBF-86FE-82B7586A43A9}"/>
    <cellStyle name="Обычный 24 2 4 2 2" xfId="18742" xr:uid="{1F184D5B-C961-4B5C-B2B3-CD1C10DF4DB8}"/>
    <cellStyle name="Обычный 24 2 4 2 3" xfId="20005" xr:uid="{6026122E-C19F-41F0-AA1D-F874211A0E98}"/>
    <cellStyle name="Обычный 24 2 4 2 4" xfId="27036" xr:uid="{56316D03-304E-435A-A57F-4DA5C9F77E4E}"/>
    <cellStyle name="Обычный 24 2 4 2 5" xfId="40153" xr:uid="{8E4DC749-B35C-46FF-8C55-A070A1D92683}"/>
    <cellStyle name="Обычный 24 2 4 3" xfId="18039" xr:uid="{5EA8D2ED-A833-45CD-A03D-010BA062B6C8}"/>
    <cellStyle name="Обычный 24 2 4 4" xfId="19478" xr:uid="{0E5AF934-A7F3-4A87-9E26-963572987E83}"/>
    <cellStyle name="Обычный 24 2 4 5" xfId="22955" xr:uid="{8B1154CE-68E2-4C78-A87F-1D579E72965A}"/>
    <cellStyle name="Обычный 24 2 4 6" xfId="36034" xr:uid="{366B81BF-B32F-4519-9867-7FAB5F4724A7}"/>
    <cellStyle name="Обычный 24 2 5" xfId="5380" xr:uid="{49D488B1-1BB1-4BDD-97D9-12B6B5E31F22}"/>
    <cellStyle name="Обычный 24 2 5 2" xfId="9811" xr:uid="{C0F71591-FED4-409E-84C1-7D492EA03D12}"/>
    <cellStyle name="Обычный 24 2 5 2 2" xfId="18795" xr:uid="{25024414-13C6-42BF-AB45-9598496C9090}"/>
    <cellStyle name="Обычный 24 2 5 2 3" xfId="20058" xr:uid="{D848E8B3-C934-4E40-954C-42A6544409D0}"/>
    <cellStyle name="Обычный 24 2 5 2 4" xfId="27108" xr:uid="{2C151EB4-6EBA-47AD-82ED-63FC18E34FAC}"/>
    <cellStyle name="Обычный 24 2 5 2 5" xfId="40227" xr:uid="{9694F04B-E291-463C-AAE8-86DDB10F2E9A}"/>
    <cellStyle name="Обычный 24 2 5 3" xfId="18092" xr:uid="{816162C4-F8F0-4B03-8C53-49753394E6D6}"/>
    <cellStyle name="Обычный 24 2 5 4" xfId="19531" xr:uid="{650F4915-9FD9-4405-A957-348DB68DE194}"/>
    <cellStyle name="Обычный 24 2 5 5" xfId="23027" xr:uid="{396A10A5-F517-4B9B-8D41-DFD3C5979D45}"/>
    <cellStyle name="Обычный 24 2 5 6" xfId="36108" xr:uid="{01965F50-15A9-4111-967A-B808DD50ED8E}"/>
    <cellStyle name="Обычный 24 2 6" xfId="5988" xr:uid="{9F41972A-77DA-475A-A051-8690846748A7}"/>
    <cellStyle name="Обычный 24 2 6 2" xfId="9907" xr:uid="{2BDB565B-1522-4FC0-B95B-A0C5BEA8F3C1}"/>
    <cellStyle name="Обычный 24 2 6 2 2" xfId="18871" xr:uid="{690D89C0-1367-4133-AFEA-86F2453E98C4}"/>
    <cellStyle name="Обычный 24 2 6 2 3" xfId="20133" xr:uid="{79B94A5A-40AD-400B-950D-4212FF2C7F35}"/>
    <cellStyle name="Обычный 24 2 6 2 4" xfId="27203" xr:uid="{6233FA61-072F-493B-9DEE-975AE3054664}"/>
    <cellStyle name="Обычный 24 2 6 2 5" xfId="40322" xr:uid="{F3747A1F-C60D-4584-838D-6FBA42FAA3EA}"/>
    <cellStyle name="Обычный 24 2 6 3" xfId="18167" xr:uid="{C4CFE6B0-B1AA-403E-A495-E1F7FB57673E}"/>
    <cellStyle name="Обычный 24 2 6 4" xfId="19606" xr:uid="{46D8B063-9541-4F43-83EC-05EC05E15C94}"/>
    <cellStyle name="Обычный 24 2 6 5" xfId="23634" xr:uid="{B6721EAB-36FA-4641-B5CD-F3A92E29D064}"/>
    <cellStyle name="Обычный 24 2 6 6" xfId="36715" xr:uid="{369A99A3-1CD0-4074-8C88-0DED8817BA56}"/>
    <cellStyle name="Обычный 24 2 7" xfId="6063" xr:uid="{6B1D96FA-265D-493D-9F3F-FA491FD36ED8}"/>
    <cellStyle name="Обычный 24 2 7 2" xfId="9982" xr:uid="{75697A42-70F6-4C41-9E7F-B9386032E2DB}"/>
    <cellStyle name="Обычный 24 2 7 2 2" xfId="18946" xr:uid="{C635AB56-F8F4-4B4A-9898-318B8383E47D}"/>
    <cellStyle name="Обычный 24 2 7 2 3" xfId="20208" xr:uid="{115BA8B0-C174-4CF5-ABFC-B7FC94F59B07}"/>
    <cellStyle name="Обычный 24 2 7 2 4" xfId="27278" xr:uid="{817138CF-F8DB-4A85-A7DC-05F7D87B2C32}"/>
    <cellStyle name="Обычный 24 2 7 2 5" xfId="40397" xr:uid="{CFDD2873-98C2-4E43-B60D-FE3D5A65113D}"/>
    <cellStyle name="Обычный 24 2 7 3" xfId="18242" xr:uid="{EE713402-56FD-4E74-BC10-F83BB3CC66AA}"/>
    <cellStyle name="Обычный 24 2 7 4" xfId="19681" xr:uid="{B8098D4A-2A25-41DB-8D97-11FAAD09F15B}"/>
    <cellStyle name="Обычный 24 2 7 5" xfId="23709" xr:uid="{EC5A5703-3304-43F1-AFC8-DF92F750A7A0}"/>
    <cellStyle name="Обычный 24 2 7 6" xfId="36790" xr:uid="{61294B18-195D-411B-965C-CC51487B7B15}"/>
    <cellStyle name="Обычный 24 2 8" xfId="9402" xr:uid="{8D9A922F-261B-4984-AA2B-0E0D1207D3A9}"/>
    <cellStyle name="Обычный 24 2 8 2" xfId="18472" xr:uid="{E15923D3-426E-44CF-A5E5-D489C7BCA9DF}"/>
    <cellStyle name="Обычный 24 2 8 3" xfId="19812" xr:uid="{1C1CF3A8-34A0-4CBC-B65F-55778DD401D1}"/>
    <cellStyle name="Обычный 24 2 8 4" xfId="26814" xr:uid="{CB8FD62A-F740-4EAE-A206-4BC8D9F4E342}"/>
    <cellStyle name="Обычный 24 2 8 5" xfId="39895" xr:uid="{71C47A58-92C6-4ABB-8919-CDCCD4ECABAB}"/>
    <cellStyle name="Обычный 24 2 9" xfId="17766" xr:uid="{13D51B21-CC26-4067-B8C3-938DF35DC671}"/>
    <cellStyle name="Обычный 24 2 9 2" xfId="19233" xr:uid="{6DB5526F-36F3-4C76-A25D-CC715531ECB7}"/>
    <cellStyle name="Обычный 24 2 9 3" xfId="20388" xr:uid="{242B1DDE-1F07-413C-967A-BCEC5962DEEE}"/>
    <cellStyle name="Обычный 24 2 9 4" xfId="33488" xr:uid="{523AC3F7-9833-4765-B58E-2BAA34BD01D5}"/>
    <cellStyle name="Обычный 24 2 9 5" xfId="47267" xr:uid="{F655EEED-C424-4413-8C5E-D6EFBCA791E8}"/>
    <cellStyle name="Обычный 24 3" xfId="3260" xr:uid="{EA0C971E-1534-4C18-9697-8F0400785690}"/>
    <cellStyle name="Обычный 24 3 2" xfId="6918" xr:uid="{BE0619DB-123C-4F80-9EAD-777C59391384}"/>
    <cellStyle name="Обычный 24 3 2 2" xfId="10069" xr:uid="{8DAB52D1-8732-44E1-9ECA-D316498B6173}"/>
    <cellStyle name="Обычный 24 3 2 2 2" xfId="19032" xr:uid="{0C940893-38FB-4B5A-B4AD-4C95155BD01B}"/>
    <cellStyle name="Обычный 24 3 2 2 3" xfId="20272" xr:uid="{FE5EAD7D-F92F-44E2-B44B-DCF0118847E1}"/>
    <cellStyle name="Обычный 24 3 2 2 4" xfId="27342" xr:uid="{10318902-896A-4FB6-A2DB-CF5650B627B1}"/>
    <cellStyle name="Обычный 24 3 2 2 5" xfId="40461" xr:uid="{A4B7D930-DAB0-4098-B345-B70C62B78D7B}"/>
    <cellStyle name="Обычный 24 3 2 3" xfId="18328" xr:uid="{BB556AAE-2E5D-46B8-8D3E-7C4CADF2BBE0}"/>
    <cellStyle name="Обычный 24 3 2 4" xfId="19745" xr:uid="{421BB987-5636-4718-A40F-D778EDAFEBE8}"/>
    <cellStyle name="Обычный 24 3 2 5" xfId="24541" xr:uid="{96226CB0-7FEE-41BB-9738-4C3104AA0E5B}"/>
    <cellStyle name="Обычный 24 3 2 6" xfId="37622" xr:uid="{2E84D112-17CB-46C4-821B-9C4C3865A99E}"/>
    <cellStyle name="Обычный 24 3 3" xfId="9436" xr:uid="{A105E923-ECCD-47AE-BC99-BE12952AFD17}"/>
    <cellStyle name="Обычный 24 3 3 2" xfId="18506" xr:uid="{7DE067FD-6DAC-4240-89EF-1C1FBF79C9FC}"/>
    <cellStyle name="Обычный 24 3 3 3" xfId="19824" xr:uid="{9EC928E1-4E28-4677-80FB-AFD9F58D6A3A}"/>
    <cellStyle name="Обычный 24 3 3 4" xfId="26826" xr:uid="{54DC8311-8D78-4629-A96F-A4A5142B1E5B}"/>
    <cellStyle name="Обычный 24 3 3 5" xfId="39907" xr:uid="{C881D5D8-9211-424D-ADC8-60D7370DF0A3}"/>
    <cellStyle name="Обычный 24 3 4" xfId="17841" xr:uid="{235360CA-AED3-4397-AFD8-AFD2A06ED47A}"/>
    <cellStyle name="Обычный 24 3 5" xfId="19297" xr:uid="{5BE3B33A-D176-4982-8AF3-EB66E9341591}"/>
    <cellStyle name="Обычный 24 3 6" xfId="21293" xr:uid="{DC414466-ECFA-453B-8926-7E0C5BBB3311}"/>
    <cellStyle name="Обычный 24 3 7" xfId="34316" xr:uid="{E28A1DE8-0CEE-4A48-BF8E-FF0098240EB6}"/>
    <cellStyle name="Обычный 24 4" xfId="4313" xr:uid="{6A324DC3-C29E-45C2-B36B-AECA281E82F0}"/>
    <cellStyle name="Обычный 24 4 2" xfId="9541" xr:uid="{9A039EAD-1323-4CA3-BE17-E9C0B9EBED20}"/>
    <cellStyle name="Обычный 24 4 2 2" xfId="18609" xr:uid="{3C2C9A7E-66AA-4B87-83F7-81DE807B60B2}"/>
    <cellStyle name="Обычный 24 4 2 3" xfId="19899" xr:uid="{6B8BC60B-E8A1-4F73-8AD6-25173184BA83}"/>
    <cellStyle name="Обычный 24 4 2 4" xfId="26901" xr:uid="{6BA12B92-1F4B-4D51-9D8F-1D14C9668E76}"/>
    <cellStyle name="Обычный 24 4 2 5" xfId="39984" xr:uid="{2E94AD7A-CA28-4187-99C8-ECD4C45722A9}"/>
    <cellStyle name="Обычный 24 4 3" xfId="17916" xr:uid="{34D35E09-134D-48AB-86BF-B14E2D62F78F}"/>
    <cellStyle name="Обычный 24 4 4" xfId="19372" xr:uid="{9F4D7194-6C35-4C32-AD89-EDB77A17B67D}"/>
    <cellStyle name="Обычный 24 4 5" xfId="22133" xr:uid="{7313AC82-729B-4793-BA06-19FAF839B29B}"/>
    <cellStyle name="Обычный 24 4 6" xfId="35182" xr:uid="{99E11C13-358D-44D3-9646-BD4D71B770D0}"/>
    <cellStyle name="Обычный 24 5" xfId="5293" xr:uid="{6B31A08B-0211-4AC9-BAA6-4C0C23E741E1}"/>
    <cellStyle name="Обычный 24 5 2" xfId="9725" xr:uid="{CF8D99CE-ECCD-493E-8E52-6E787C88E452}"/>
    <cellStyle name="Обычный 24 5 2 2" xfId="18730" xr:uid="{AA74AACA-D0D6-4BA5-88F6-1D477506B3A0}"/>
    <cellStyle name="Обычный 24 5 2 3" xfId="19993" xr:uid="{77FE1CA3-0E78-48D6-9B52-6AE722CD374F}"/>
    <cellStyle name="Обычный 24 5 2 4" xfId="27024" xr:uid="{D606D226-5DC2-4E2E-9B06-6E8088810BD2}"/>
    <cellStyle name="Обычный 24 5 2 5" xfId="40141" xr:uid="{8CDEA17C-DFC7-4DD6-BAE1-5FC143CEFBE8}"/>
    <cellStyle name="Обычный 24 5 3" xfId="18027" xr:uid="{04379FC6-FE28-4700-8B06-676BB4CA7F6E}"/>
    <cellStyle name="Обычный 24 5 4" xfId="19466" xr:uid="{9B90CE91-FA7C-44D8-81C7-3A4E20BA6864}"/>
    <cellStyle name="Обычный 24 5 5" xfId="22943" xr:uid="{4A27B72F-D679-4688-8835-248B1DD0ADB8}"/>
    <cellStyle name="Обычный 24 5 6" xfId="36022" xr:uid="{E1A2AC3D-7EB9-49D6-A970-BCEEECAE2D59}"/>
    <cellStyle name="Обычный 24 6" xfId="5368" xr:uid="{BCE9FBBA-DCBD-43DA-9C93-5581FACC6066}"/>
    <cellStyle name="Обычный 24 6 2" xfId="9799" xr:uid="{03388440-37AE-4093-9F0F-3FAECEEF9A1C}"/>
    <cellStyle name="Обычный 24 6 2 2" xfId="18783" xr:uid="{0C26A8F0-B5A7-4228-9FB4-8C6C08340063}"/>
    <cellStyle name="Обычный 24 6 2 3" xfId="20046" xr:uid="{2CE7F8E1-5686-4E76-B90D-339B13CBEC4C}"/>
    <cellStyle name="Обычный 24 6 2 4" xfId="27096" xr:uid="{D9EF1E37-D659-4A70-94AA-6121E9B96150}"/>
    <cellStyle name="Обычный 24 6 2 5" xfId="40215" xr:uid="{33CA687D-3688-4027-9B9B-5C5F66128177}"/>
    <cellStyle name="Обычный 24 6 3" xfId="18080" xr:uid="{00A3412B-743E-4208-9C10-BAE9C52A7F18}"/>
    <cellStyle name="Обычный 24 6 4" xfId="19519" xr:uid="{7EE88BB9-7373-4B3D-8621-866FFF246D9A}"/>
    <cellStyle name="Обычный 24 6 5" xfId="23015" xr:uid="{4DAF3B2F-E84F-4481-813A-9FC15FE1110C}"/>
    <cellStyle name="Обычный 24 6 6" xfId="36096" xr:uid="{9BC0D221-26B1-455D-A39A-341A998E1898}"/>
    <cellStyle name="Обычный 24 7" xfId="5976" xr:uid="{E34F1B22-FEB1-42E2-813F-C4AD20CBF4B1}"/>
    <cellStyle name="Обычный 24 7 2" xfId="9895" xr:uid="{198BEE58-0F81-41EC-8BBC-86640E8440F3}"/>
    <cellStyle name="Обычный 24 7 2 2" xfId="18859" xr:uid="{F19D27DE-C103-4379-BC8F-E28EACEE8264}"/>
    <cellStyle name="Обычный 24 7 2 3" xfId="20121" xr:uid="{90C41896-E26C-40E4-B2C8-03644EE9B94F}"/>
    <cellStyle name="Обычный 24 7 2 4" xfId="27191" xr:uid="{2441D9ED-9389-41AB-8973-7983CBEBB61E}"/>
    <cellStyle name="Обычный 24 7 2 5" xfId="40310" xr:uid="{6E046901-26C1-48BF-B20A-62D1E622E01A}"/>
    <cellStyle name="Обычный 24 7 3" xfId="18155" xr:uid="{85CEF5A8-4B18-4086-96A5-56C649B314AB}"/>
    <cellStyle name="Обычный 24 7 4" xfId="19594" xr:uid="{1BADCFAB-993B-4C7A-AAF3-CDFA0D7A5CA4}"/>
    <cellStyle name="Обычный 24 7 5" xfId="23622" xr:uid="{4A421588-D0F9-4A8D-ABE4-8D4151419368}"/>
    <cellStyle name="Обычный 24 7 6" xfId="36703" xr:uid="{22711D01-794D-4B51-859E-BDA527A94B7A}"/>
    <cellStyle name="Обычный 24 8" xfId="6051" xr:uid="{507C145F-6E86-43FF-AF9D-363075E383F4}"/>
    <cellStyle name="Обычный 24 8 2" xfId="9970" xr:uid="{0E65E74A-0597-424E-A97C-50303F684D49}"/>
    <cellStyle name="Обычный 24 8 2 2" xfId="18934" xr:uid="{EB77709F-8B25-40ED-BA55-0BAC8F041585}"/>
    <cellStyle name="Обычный 24 8 2 3" xfId="20196" xr:uid="{43472D29-E561-4E02-8C72-5BCE1146B005}"/>
    <cellStyle name="Обычный 24 8 2 4" xfId="27266" xr:uid="{AA5FDB28-F52F-4F19-9165-9A64E3398543}"/>
    <cellStyle name="Обычный 24 8 2 5" xfId="40385" xr:uid="{74A14950-9A79-41BC-BE23-F6F3B9D6D74C}"/>
    <cellStyle name="Обычный 24 8 3" xfId="18230" xr:uid="{E5D697B1-9E95-441F-A17F-42C43CD2AF3A}"/>
    <cellStyle name="Обычный 24 8 4" xfId="19669" xr:uid="{07A0A920-B344-4674-AFBE-CF98ACEEC533}"/>
    <cellStyle name="Обычный 24 8 5" xfId="23697" xr:uid="{0F4C7D45-61F6-49B0-B42C-F16C44A74299}"/>
    <cellStyle name="Обычный 24 8 6" xfId="36778" xr:uid="{C34B8BC1-DD65-42D3-B358-2B63C2223C09}"/>
    <cellStyle name="Обычный 24 9" xfId="9390" xr:uid="{08528884-5164-4555-8B8F-C5093BC6F44C}"/>
    <cellStyle name="Обычный 24 9 2" xfId="18460" xr:uid="{5DFD4C36-565A-4A78-909C-E7F2AEA79DFB}"/>
    <cellStyle name="Обычный 24 9 3" xfId="19800" xr:uid="{C7225E6A-8710-47FB-B94B-9CC9FE44D6E7}"/>
    <cellStyle name="Обычный 24 9 4" xfId="26802" xr:uid="{2068B8E2-04C2-46C6-BAE4-BE5F4461EFF6}"/>
    <cellStyle name="Обычный 24 9 5" xfId="39883" xr:uid="{5938F56A-F398-445A-B81D-EDE5242350C2}"/>
    <cellStyle name="Обычный 25" xfId="2377" xr:uid="{5CD5BF9B-BA57-4B9C-9F26-9AEAE5C4FF02}"/>
    <cellStyle name="Обычный 25 2" xfId="5134" xr:uid="{75BA668E-035C-4681-B49A-DAAE8E3CBA3E}"/>
    <cellStyle name="Обычный 25 3" xfId="10432" xr:uid="{22E1DB2C-51C6-45F0-A924-BAD4D4B5F9D7}"/>
    <cellStyle name="Обычный 26" xfId="2378" xr:uid="{17584484-BEE1-4D39-91A3-20465C12A1FA}"/>
    <cellStyle name="Обычный 26 2" xfId="5135" xr:uid="{C7BB860E-04C8-4623-817D-0E8FC5AC7A42}"/>
    <cellStyle name="Обычный 26 3" xfId="10433" xr:uid="{88B98993-5A18-44B1-8D53-9F68972C6A4F}"/>
    <cellStyle name="Обычный 27" xfId="2379" xr:uid="{EE17352B-4BFA-4929-B2D5-4CADBE17095C}"/>
    <cellStyle name="Обычный 27 2" xfId="5136" xr:uid="{646DBB14-0C42-43F5-A79F-0817AE664729}"/>
    <cellStyle name="Обычный 27 3" xfId="10434" xr:uid="{2F6F24ED-EEAB-40CF-BD49-30964C8AB5B3}"/>
    <cellStyle name="Обычный 28" xfId="2471" xr:uid="{FF8161E3-107A-46D2-B301-C1946615FDBC}"/>
    <cellStyle name="Обычный 28 2" xfId="3766" xr:uid="{7412D41F-02D2-430B-A88A-21B07CF97248}"/>
    <cellStyle name="Обычный 28 3" xfId="3264" xr:uid="{0314185D-B720-4F07-87BC-58B4B37C4B5D}"/>
    <cellStyle name="Обычный 28 4" xfId="10435" xr:uid="{1AA41E87-1B8C-491C-8EE6-2FB93225037F}"/>
    <cellStyle name="Обычный 29" xfId="2380" xr:uid="{9ACD46AF-4C50-407B-895A-1E996EAE0DF5}"/>
    <cellStyle name="Обычный 29 2" xfId="5137" xr:uid="{9F6DF6E3-ECC8-4CCD-B64B-6CD3B2D7E188}"/>
    <cellStyle name="Обычный 29 3" xfId="10436" xr:uid="{1329C485-C57C-47C5-8A2C-41CC9F65886F}"/>
    <cellStyle name="Обычный 3" xfId="15" xr:uid="{753465C1-E674-479D-BFF0-71F1F92E58BB}"/>
    <cellStyle name="Обычный 3 2" xfId="11" xr:uid="{34C29FA6-C787-4AAB-AF22-2BD2D6ED4E55}"/>
    <cellStyle name="Обычный 3 2 2" xfId="4001" xr:uid="{FE9A12E6-B3B6-4081-A270-7B2CBFEAC1F8}"/>
    <cellStyle name="Обычный 3 2 3" xfId="18" xr:uid="{E0C9CDFF-3DF9-49A2-A487-1FDF46228850}"/>
    <cellStyle name="Обычный 3 2 3 2" xfId="23" xr:uid="{F5E66642-4811-443D-85F0-27C697616FF3}"/>
    <cellStyle name="Обычный 3 2 3 3" xfId="17633" xr:uid="{FFA7AD0B-6D11-4AD1-9D21-1EA5C93B73A8}"/>
    <cellStyle name="Обычный 3 2 3 4" xfId="19175" xr:uid="{9846C37B-7FC0-4883-AE42-3D0E1E60D425}"/>
    <cellStyle name="Обычный 3 2 3 5" xfId="20330" xr:uid="{FAE34A81-5910-49F2-AB16-C187EF8AE8CF}"/>
    <cellStyle name="Обычный 3 2 3 6" xfId="33362" xr:uid="{B46D835A-4132-4F93-9BFB-C1DDE48122C4}"/>
    <cellStyle name="Обычный 3 2 3 7" xfId="33540" xr:uid="{9AB272F5-8F56-4250-8B7E-99D999FFD998}"/>
    <cellStyle name="Обычный 3 3" xfId="22" xr:uid="{04888262-E9E9-40DC-B25B-F8604F2D08E5}"/>
    <cellStyle name="Обычный 3 3 2" xfId="2469" xr:uid="{405CC05A-059A-45C5-B15A-23D5A04A8447}"/>
    <cellStyle name="Обычный 3 4" xfId="2494" xr:uid="{615ACF2F-7613-43DC-A4D9-B297A3509125}"/>
    <cellStyle name="Обычный 3 4 10" xfId="19283" xr:uid="{087932D8-A7E4-494D-B6A2-A3835BA30C96}"/>
    <cellStyle name="Обычный 3 4 11" xfId="20569" xr:uid="{51CBFB71-9210-48E5-8C55-B8A3E30F951C}"/>
    <cellStyle name="Обычный 3 4 12" xfId="33592" xr:uid="{701A7F45-4290-4FCA-9ADB-BD1FB7584F6F}"/>
    <cellStyle name="Обычный 3 4 2" xfId="3286" xr:uid="{19ADFE79-DF2D-46CD-AA76-0797BFBCD6E8}"/>
    <cellStyle name="Обычный 3 4 2 2" xfId="6938" xr:uid="{24CB6ACC-1168-4586-8472-24140044B753}"/>
    <cellStyle name="Обычный 3 4 2 2 2" xfId="10080" xr:uid="{8F719A07-CA91-4F53-8318-7625C0D65A64}"/>
    <cellStyle name="Обычный 3 4 2 2 2 2" xfId="19043" xr:uid="{4D359C30-F96B-4AFD-93E4-7D05233DDE12}"/>
    <cellStyle name="Обычный 3 4 2 2 2 3" xfId="20282" xr:uid="{FD7B22F3-F5E9-457F-91F7-288AAED7CCED}"/>
    <cellStyle name="Обычный 3 4 2 2 2 4" xfId="27352" xr:uid="{8F130CCF-7B2E-4AE9-9080-CF9F0EEB8F08}"/>
    <cellStyle name="Обычный 3 4 2 2 2 5" xfId="40471" xr:uid="{DE9F7D3E-C58B-40D5-BD1F-3FB334C4FFFC}"/>
    <cellStyle name="Обычный 3 4 2 2 3" xfId="18339" xr:uid="{2790583B-AE2C-4014-9739-1A63E9FBC681}"/>
    <cellStyle name="Обычный 3 4 2 2 4" xfId="19755" xr:uid="{00668EDF-9943-4B12-AA50-CDADEE150FBB}"/>
    <cellStyle name="Обычный 3 4 2 2 5" xfId="24560" xr:uid="{F91D2409-8138-4195-B264-1B2C70B19B69}"/>
    <cellStyle name="Обычный 3 4 2 2 6" xfId="37641" xr:uid="{6E4122B5-4442-46B1-87BF-DD898A9CD3C7}"/>
    <cellStyle name="Обычный 3 4 2 3" xfId="9447" xr:uid="{7DCFF359-48B9-4FB8-8680-D567C09D799C}"/>
    <cellStyle name="Обычный 3 4 2 3 2" xfId="18517" xr:uid="{BFBA47AB-D1D8-4EFE-B00C-C635270E8A26}"/>
    <cellStyle name="Обычный 3 4 2 3 3" xfId="19834" xr:uid="{9B5031B9-755C-46F5-B530-F233970176C7}"/>
    <cellStyle name="Обычный 3 4 2 3 4" xfId="26836" xr:uid="{65CCBA96-6D26-4916-A785-3A3DC41CAA85}"/>
    <cellStyle name="Обычный 3 4 2 3 5" xfId="39917" xr:uid="{AD3C625E-185A-4CE0-A65B-188E3979A605}"/>
    <cellStyle name="Обычный 3 4 2 4" xfId="17851" xr:uid="{C8B5064F-C745-4F44-BF21-05ED05BDD061}"/>
    <cellStyle name="Обычный 3 4 2 5" xfId="19307" xr:uid="{C6354A0E-8171-44B3-B24B-EB6B4B0A9E51}"/>
    <cellStyle name="Обычный 3 4 2 6" xfId="21312" xr:uid="{BEE2C798-C313-4B68-A1F4-6BE72FD18F13}"/>
    <cellStyle name="Обычный 3 4 2 7" xfId="34335" xr:uid="{322377E6-A97F-4504-973B-EC50C87E3E47}"/>
    <cellStyle name="Обычный 3 4 3" xfId="4323" xr:uid="{BC1FC0C7-47C3-49C7-9FC0-013F522703AD}"/>
    <cellStyle name="Обычный 3 4 3 2" xfId="9551" xr:uid="{39BD0D4C-E5D3-44B3-8FFE-C0618F402694}"/>
    <cellStyle name="Обычный 3 4 3 2 2" xfId="18619" xr:uid="{CCCB5991-1849-4672-813E-C51B1155EDF0}"/>
    <cellStyle name="Обычный 3 4 3 2 3" xfId="19909" xr:uid="{7F2F54D9-F248-496B-9F81-77DDB67C4858}"/>
    <cellStyle name="Обычный 3 4 3 2 4" xfId="26911" xr:uid="{32974CC9-0FAE-4D55-83C0-1EEECA2B5F74}"/>
    <cellStyle name="Обычный 3 4 3 2 5" xfId="39994" xr:uid="{664498ED-0B2A-4287-9A47-D2A13767BBF9}"/>
    <cellStyle name="Обычный 3 4 3 3" xfId="17926" xr:uid="{D32E3674-A242-4818-8991-0E035E934AD3}"/>
    <cellStyle name="Обычный 3 4 3 4" xfId="19382" xr:uid="{9118DFD6-E4CC-4E09-98E8-60A414662F64}"/>
    <cellStyle name="Обычный 3 4 3 5" xfId="22143" xr:uid="{308990B7-7078-4C18-893F-1838C6786D3D}"/>
    <cellStyle name="Обычный 3 4 3 6" xfId="35192" xr:uid="{7732C340-6CAD-410D-AC2E-D0243288AC3A}"/>
    <cellStyle name="Обычный 3 4 4" xfId="5303" xr:uid="{0BF4522C-2450-451D-85BE-09C7B6E8B9FA}"/>
    <cellStyle name="Обычный 3 4 4 2" xfId="9735" xr:uid="{12669042-D062-4B12-A57C-6802A29C3D2C}"/>
    <cellStyle name="Обычный 3 4 4 2 2" xfId="18740" xr:uid="{FEB82382-CB37-4E7D-A2EF-D29920185F97}"/>
    <cellStyle name="Обычный 3 4 4 2 3" xfId="20003" xr:uid="{3E3D3837-6CE1-4769-B302-40F5599FAD2F}"/>
    <cellStyle name="Обычный 3 4 4 2 4" xfId="27034" xr:uid="{089FCA29-B2D6-4110-9FB3-583DF835D941}"/>
    <cellStyle name="Обычный 3 4 4 2 5" xfId="40151" xr:uid="{0BD05F65-0689-4264-BA18-96A9E158944D}"/>
    <cellStyle name="Обычный 3 4 4 3" xfId="18037" xr:uid="{2B115B83-6809-4E5B-B82B-161226FDF8D8}"/>
    <cellStyle name="Обычный 3 4 4 4" xfId="19476" xr:uid="{7420C3E2-8266-43A1-895B-7BD15BEB56BE}"/>
    <cellStyle name="Обычный 3 4 4 5" xfId="22953" xr:uid="{47BC6121-9649-4C3A-A02E-986D6635F9D6}"/>
    <cellStyle name="Обычный 3 4 4 6" xfId="36032" xr:uid="{713991EA-98A2-42AB-BA70-052F3F9C08BF}"/>
    <cellStyle name="Обычный 3 4 5" xfId="5378" xr:uid="{2342B89A-F0D1-45E0-915E-5A482049AD03}"/>
    <cellStyle name="Обычный 3 4 5 2" xfId="9809" xr:uid="{A2B07D06-4D0F-4086-ADA4-219E266F4BD9}"/>
    <cellStyle name="Обычный 3 4 5 2 2" xfId="18793" xr:uid="{DDA5D1D0-FDFD-49F5-B289-7837363175AF}"/>
    <cellStyle name="Обычный 3 4 5 2 3" xfId="20056" xr:uid="{693871DC-A461-4BC8-9823-CD8B0784A3C8}"/>
    <cellStyle name="Обычный 3 4 5 2 4" xfId="27106" xr:uid="{AA51D830-0EC8-4A94-85E7-0E0B4E22AF8A}"/>
    <cellStyle name="Обычный 3 4 5 2 5" xfId="40225" xr:uid="{03B3D083-B771-4963-BF18-F0E47A1ABBBE}"/>
    <cellStyle name="Обычный 3 4 5 3" xfId="18090" xr:uid="{AD5E1FAD-C372-4278-B9B2-79D512296DB9}"/>
    <cellStyle name="Обычный 3 4 5 4" xfId="19529" xr:uid="{674F8220-7011-457B-9C96-28969DD72FAD}"/>
    <cellStyle name="Обычный 3 4 5 5" xfId="23025" xr:uid="{405D139F-1125-44C9-8286-282818930950}"/>
    <cellStyle name="Обычный 3 4 5 6" xfId="36106" xr:uid="{09C9C51A-FECE-4615-95E2-DB1F2C639C4F}"/>
    <cellStyle name="Обычный 3 4 6" xfId="5986" xr:uid="{8F723769-BE5A-49A1-8F54-811F74A549AC}"/>
    <cellStyle name="Обычный 3 4 6 2" xfId="9905" xr:uid="{C31AB010-E484-4F0A-BA07-72B041BE4AB6}"/>
    <cellStyle name="Обычный 3 4 6 2 2" xfId="18869" xr:uid="{90B59C88-07F7-4016-913C-54DB1DC73A16}"/>
    <cellStyle name="Обычный 3 4 6 2 3" xfId="20131" xr:uid="{9E4ADA2C-E63E-410A-938D-35CED05AF5FB}"/>
    <cellStyle name="Обычный 3 4 6 2 4" xfId="27201" xr:uid="{8B304F11-C3AB-4E2F-B6C3-40B5BB4B4199}"/>
    <cellStyle name="Обычный 3 4 6 2 5" xfId="40320" xr:uid="{0ED2AF66-3EF3-4EA0-AA00-8DB82C896255}"/>
    <cellStyle name="Обычный 3 4 6 3" xfId="18165" xr:uid="{BA561FAE-FB88-44AD-A1D9-F05608446AF1}"/>
    <cellStyle name="Обычный 3 4 6 4" xfId="19604" xr:uid="{B7134799-377C-4E5E-A546-AC51265C22CD}"/>
    <cellStyle name="Обычный 3 4 6 5" xfId="23632" xr:uid="{B975702D-0C02-4B31-90EC-FB93D58A750F}"/>
    <cellStyle name="Обычный 3 4 6 6" xfId="36713" xr:uid="{2C69B523-F90D-4EF8-872E-1AD8723530CC}"/>
    <cellStyle name="Обычный 3 4 7" xfId="6061" xr:uid="{813161E3-FA92-4B81-A615-1C334A8FBF04}"/>
    <cellStyle name="Обычный 3 4 7 2" xfId="9980" xr:uid="{02A9F72A-FB0D-4EA6-A94A-0FFBB5BB2485}"/>
    <cellStyle name="Обычный 3 4 7 2 2" xfId="18944" xr:uid="{8C620430-168F-4FFF-975A-04BCC8C5247B}"/>
    <cellStyle name="Обычный 3 4 7 2 3" xfId="20206" xr:uid="{4BD15404-40C5-4411-977A-05032E9BF065}"/>
    <cellStyle name="Обычный 3 4 7 2 4" xfId="27276" xr:uid="{F10FEDC4-84FB-4CC2-AA8A-53710B78E73A}"/>
    <cellStyle name="Обычный 3 4 7 2 5" xfId="40395" xr:uid="{7EABDE8A-27E4-435A-A0D8-1310A77F8527}"/>
    <cellStyle name="Обычный 3 4 7 3" xfId="18240" xr:uid="{1003C7EF-A119-4810-A235-ABBCC497A3C5}"/>
    <cellStyle name="Обычный 3 4 7 4" xfId="19679" xr:uid="{47F3FD3C-F847-4681-9E6D-1D2CCBAE93B0}"/>
    <cellStyle name="Обычный 3 4 7 5" xfId="23707" xr:uid="{17EC86D3-467C-472D-A15D-7C60BF83C181}"/>
    <cellStyle name="Обычный 3 4 7 6" xfId="36788" xr:uid="{274F2198-E8B4-42AD-B941-858BF3E8C67D}"/>
    <cellStyle name="Обычный 3 4 8" xfId="9400" xr:uid="{3625E12A-7363-4271-A54F-993B223E565F}"/>
    <cellStyle name="Обычный 3 4 8 2" xfId="18470" xr:uid="{40FF5E89-9087-438D-BB36-6FAF7DFBB1D8}"/>
    <cellStyle name="Обычный 3 4 8 3" xfId="19810" xr:uid="{E7FDB4A6-6536-4927-BABF-B5422A7A612A}"/>
    <cellStyle name="Обычный 3 4 8 4" xfId="26812" xr:uid="{659A4FE1-6E95-4A5E-9081-214AA0910501}"/>
    <cellStyle name="Обычный 3 4 8 5" xfId="39893" xr:uid="{371F9BB7-92C5-4981-87A0-7631CA9F7054}"/>
    <cellStyle name="Обычный 3 4 9" xfId="17827" xr:uid="{8591A4FB-BD10-46D5-A5D2-E0D9E94CF200}"/>
    <cellStyle name="Обычный 3 5" xfId="3753" xr:uid="{7C30D6E0-93D1-4373-A481-07594774DBB8}"/>
    <cellStyle name="Обычный 3 6" xfId="2381" xr:uid="{025EC610-CBCF-473F-8DD5-E4712357EEAD}"/>
    <cellStyle name="Обычный 3 7" xfId="17631" xr:uid="{ACA54307-9697-4778-AFF7-8F8FCF67E069}"/>
    <cellStyle name="Обычный 3 7 2" xfId="19174" xr:uid="{16A03F81-3979-4DC3-B4DE-5F4D88E4E56E}"/>
    <cellStyle name="Обычный 3 7 3" xfId="20329" xr:uid="{667F1263-4DDF-43FB-9456-61E71EA27A57}"/>
    <cellStyle name="Обычный 3 7 4" xfId="33361" xr:uid="{45D3B230-1F5F-4812-BDD6-B3F53D1B41D0}"/>
    <cellStyle name="Обычный 3 7 5" xfId="47151" xr:uid="{EBCF7BDE-2452-4A06-9B30-EC6376C26270}"/>
    <cellStyle name="Обычный 3 8" xfId="34" xr:uid="{451E1B06-895C-440F-956E-AEA0C749542A}"/>
    <cellStyle name="Обычный 3 9" xfId="33539" xr:uid="{69764055-4EFF-4A4C-9567-3238A6894EAF}"/>
    <cellStyle name="Обычный 30" xfId="2473" xr:uid="{46B92A0E-0BB0-4A96-9F57-D98EF31DBE31}"/>
    <cellStyle name="Обычный 30 2" xfId="3767" xr:uid="{9E5B0E3A-E525-4981-A003-F2142E3905CD}"/>
    <cellStyle name="Обычный 30 2 10" xfId="19314" xr:uid="{1DE02AE5-49D6-41FF-83CC-7CE6CB5EE33A}"/>
    <cellStyle name="Обычный 30 2 11" xfId="20520" xr:uid="{D57E12CC-4D07-40EC-8E1E-00AC30E0DB40}"/>
    <cellStyle name="Обычный 30 2 12" xfId="21673" xr:uid="{000E100C-0B0E-406B-93DA-6F46B68EE435}"/>
    <cellStyle name="Обычный 30 2 13" xfId="34727" xr:uid="{00608AD8-D0D1-4680-B9B4-50647B288CE4}"/>
    <cellStyle name="Обычный 30 2 2" xfId="4577" xr:uid="{ABCCFE4F-A541-449F-8A64-8C2E3267FFFB}"/>
    <cellStyle name="Обычный 30 2 2 2" xfId="9570" xr:uid="{3279B9EC-1243-450B-B2F2-D3517B8FE3C1}"/>
    <cellStyle name="Обычный 30 2 2 2 2" xfId="18638" xr:uid="{FD6F7D46-1220-414D-9037-37364093F573}"/>
    <cellStyle name="Обычный 30 2 2 2 3" xfId="19925" xr:uid="{DCB4D0D0-CCCA-4099-8BAF-73EEC5FD8794}"/>
    <cellStyle name="Обычный 30 2 2 2 4" xfId="26927" xr:uid="{AE581FFF-FC4E-42BA-818A-BDB34CDE028B}"/>
    <cellStyle name="Обычный 30 2 2 2 5" xfId="40010" xr:uid="{8EE3148A-34F8-467A-943B-F26878FDEBE7}"/>
    <cellStyle name="Обычный 30 2 2 3" xfId="17944" xr:uid="{8D9CE65F-B557-4B08-9751-B2BDED7826CB}"/>
    <cellStyle name="Обычный 30 2 2 4" xfId="19398" xr:uid="{1E7EF7F9-095C-4FAE-ABA8-C60FF4013275}"/>
    <cellStyle name="Обычный 30 2 2 5" xfId="22391" xr:uid="{B50D4567-A351-4CE3-AE30-F90CEDD168F0}"/>
    <cellStyle name="Обычный 30 2 2 6" xfId="35441" xr:uid="{43A89B2F-DCA4-4966-8305-C65DFF87E8DC}"/>
    <cellStyle name="Обычный 30 2 3" xfId="5312" xr:uid="{6FB63635-AF73-4859-88D7-513B41A41EBA}"/>
    <cellStyle name="Обычный 30 2 3 2" xfId="9744" xr:uid="{F32E1AF1-4FBE-4015-BE19-C146C6557273}"/>
    <cellStyle name="Обычный 30 2 3 2 2" xfId="18747" xr:uid="{AD971841-4DE3-45FE-97A8-62FFA280D70C}"/>
    <cellStyle name="Обычный 30 2 3 2 3" xfId="20010" xr:uid="{4CCECC39-D4BF-4560-927A-354060361A67}"/>
    <cellStyle name="Обычный 30 2 3 2 4" xfId="27041" xr:uid="{FD2ABD16-39F7-4F32-85E7-CE768366E957}"/>
    <cellStyle name="Обычный 30 2 3 2 5" xfId="40160" xr:uid="{C1361974-8106-4C63-AC87-CE4D04E602E6}"/>
    <cellStyle name="Обычный 30 2 3 3" xfId="18044" xr:uid="{0C1F6A4D-078F-42DE-B8D4-09B7B10E3E5A}"/>
    <cellStyle name="Обычный 30 2 3 4" xfId="19483" xr:uid="{0360B97C-95E6-4E25-A8FA-4B66187EC81B}"/>
    <cellStyle name="Обычный 30 2 3 5" xfId="22960" xr:uid="{8FBF264B-B111-4C26-9B81-35DAC96919EE}"/>
    <cellStyle name="Обычный 30 2 3 6" xfId="36041" xr:uid="{02EEFEBD-BF1C-490E-AD88-D088D7D9173E}"/>
    <cellStyle name="Обычный 30 2 4" xfId="5764" xr:uid="{A313F900-67F5-4AF5-AC15-9EE9E60F076B}"/>
    <cellStyle name="Обычный 30 2 4 2" xfId="9827" xr:uid="{17DA545C-2DB9-4284-89D8-DD6BFF697788}"/>
    <cellStyle name="Обычный 30 2 4 2 2" xfId="18801" xr:uid="{37E4C7A1-500C-42BE-B240-3CF7693B9470}"/>
    <cellStyle name="Обычный 30 2 4 2 3" xfId="20063" xr:uid="{4F0A3FB4-C53D-4890-9D2F-D3E08104A5CD}"/>
    <cellStyle name="Обычный 30 2 4 2 4" xfId="27123" xr:uid="{1DBB161B-2B3F-4F9D-9E07-02F6D06BE01A}"/>
    <cellStyle name="Обычный 30 2 4 2 5" xfId="40242" xr:uid="{A8708D39-20EA-4FB1-B24D-0DD148D300BF}"/>
    <cellStyle name="Обычный 30 2 4 3" xfId="18097" xr:uid="{0842B919-1692-4EE9-8DBA-21EF981D5A11}"/>
    <cellStyle name="Обычный 30 2 4 4" xfId="19536" xr:uid="{B8F19D0F-404D-4585-8F39-1B327C56FF77}"/>
    <cellStyle name="Обычный 30 2 4 5" xfId="23411" xr:uid="{8FF4090B-6619-4B42-8746-963D105BDB5F}"/>
    <cellStyle name="Обычный 30 2 4 6" xfId="36492" xr:uid="{27E731B0-E56E-4B23-A662-8A6814DE42C7}"/>
    <cellStyle name="Обычный 30 2 5" xfId="5993" xr:uid="{BBB876C1-9E01-4CF0-A9DC-29B6B34D28F8}"/>
    <cellStyle name="Обычный 30 2 5 2" xfId="9912" xr:uid="{ABA8CFE7-217A-4F0A-A963-5785696B8AB2}"/>
    <cellStyle name="Обычный 30 2 5 2 2" xfId="18876" xr:uid="{E2E1BA46-76C7-418E-97AE-163757E27253}"/>
    <cellStyle name="Обычный 30 2 5 2 3" xfId="20138" xr:uid="{1A4F4DF8-76CD-4730-9AE4-2BD464DD8753}"/>
    <cellStyle name="Обычный 30 2 5 2 4" xfId="27208" xr:uid="{9E1AC13B-27B3-4F79-BF35-510C5904905E}"/>
    <cellStyle name="Обычный 30 2 5 2 5" xfId="40327" xr:uid="{EB4DA426-DCC3-4DBF-AF9F-FA0F1FC825D3}"/>
    <cellStyle name="Обычный 30 2 5 3" xfId="18172" xr:uid="{82AEE63E-D0A3-4EC6-95B0-4ADC59EDF8F8}"/>
    <cellStyle name="Обычный 30 2 5 4" xfId="19611" xr:uid="{B3D0B8D3-BB33-4881-B37A-A18BE8246856}"/>
    <cellStyle name="Обычный 30 2 5 5" xfId="23639" xr:uid="{F37E9F17-C186-4BEF-8249-175106B9E96B}"/>
    <cellStyle name="Обычный 30 2 5 6" xfId="36720" xr:uid="{575B4563-A1B3-4987-A40D-F11FEA0CEA62}"/>
    <cellStyle name="Обычный 30 2 6" xfId="6068" xr:uid="{A2856576-323F-43F8-9DAC-98F54332FA82}"/>
    <cellStyle name="Обычный 30 2 6 2" xfId="9987" xr:uid="{8C53C88F-7D3C-4E3E-8FD4-4D96F8AC5B31}"/>
    <cellStyle name="Обычный 30 2 6 2 2" xfId="18951" xr:uid="{949D4D17-FB5E-470D-9EC8-D7F9D7853501}"/>
    <cellStyle name="Обычный 30 2 6 2 3" xfId="20213" xr:uid="{123232F6-83D5-40A3-BD0C-3F0A493D9672}"/>
    <cellStyle name="Обычный 30 2 6 2 4" xfId="27283" xr:uid="{3AAB3D10-8A1A-469C-A3D3-007AA8854161}"/>
    <cellStyle name="Обычный 30 2 6 2 5" xfId="40402" xr:uid="{486BCFBD-5D45-4336-9FF8-80F999B45175}"/>
    <cellStyle name="Обычный 30 2 6 3" xfId="18247" xr:uid="{E0B3DA5D-899D-4CB0-9EAE-C8AB0E6B0BBE}"/>
    <cellStyle name="Обычный 30 2 6 4" xfId="19686" xr:uid="{1037EC89-C0C2-42A1-B30A-50FB518FA743}"/>
    <cellStyle name="Обычный 30 2 6 5" xfId="23714" xr:uid="{1CA961CF-5E08-4A10-B0A5-6EFBF871607B}"/>
    <cellStyle name="Обычный 30 2 6 6" xfId="36795" xr:uid="{1F62C53B-6977-4337-9D96-BD1179891C66}"/>
    <cellStyle name="Обычный 30 2 7" xfId="9469" xr:uid="{0CCFEC88-586C-4906-B03C-940699FAA42E}"/>
    <cellStyle name="Обычный 30 2 7 2" xfId="18537" xr:uid="{45929821-E7ED-4630-AC21-F780BA2CAE4E}"/>
    <cellStyle name="Обычный 30 2 7 3" xfId="19841" xr:uid="{4FEECDD7-582B-4BB8-9A67-CBE7B17D01A7}"/>
    <cellStyle name="Обычный 30 2 7 4" xfId="26843" xr:uid="{EF094486-2341-4184-A80D-5460178D26C9}"/>
    <cellStyle name="Обычный 30 2 7 5" xfId="39926" xr:uid="{FA33FCB5-D134-401C-848D-89243CA6D7EA}"/>
    <cellStyle name="Обычный 30 2 8" xfId="17767" xr:uid="{427BD746-4DFE-43AB-9223-AD81CE31676F}"/>
    <cellStyle name="Обычный 30 2 8 2" xfId="19234" xr:uid="{F8362A4C-1E37-492C-800C-634725DDD336}"/>
    <cellStyle name="Обычный 30 2 8 3" xfId="20389" xr:uid="{8AB7E3ED-3483-4880-B65E-A4D8A230F490}"/>
    <cellStyle name="Обычный 30 2 8 4" xfId="33489" xr:uid="{1847193E-ABC0-4D58-8B91-0AFB39AF0501}"/>
    <cellStyle name="Обычный 30 2 8 5" xfId="47268" xr:uid="{DF63FE47-612A-4DBF-9A0F-5F3F75378A5D}"/>
    <cellStyle name="Обычный 30 2 9" xfId="17858" xr:uid="{B77C40FE-4D3F-47FF-820A-F1E5D29EB4F6}"/>
    <cellStyle name="Обычный 30 3" xfId="3266" xr:uid="{F0E27AC0-1F0A-4E69-BE1D-3D07B2D06931}"/>
    <cellStyle name="Обычный 30 4" xfId="10437" xr:uid="{C50CD7B9-2E25-498E-9A84-64191D775115}"/>
    <cellStyle name="Обычный 30 5" xfId="17682" xr:uid="{67D16BA3-77B0-40C5-B9AC-BC89BE303937}"/>
    <cellStyle name="Обычный 30 5 2" xfId="19189" xr:uid="{8C67B2DF-90FD-4E4A-9F10-6396536FF8B9}"/>
    <cellStyle name="Обычный 30 5 3" xfId="20344" xr:uid="{99BE391A-D093-4524-B166-33FCCDEEF3DB}"/>
    <cellStyle name="Обычный 30 5 4" xfId="33405" xr:uid="{108628AA-93D9-4F87-AD2C-BEFA79A3531F}"/>
    <cellStyle name="Обычный 30 5 5" xfId="47194" xr:uid="{74D854DB-782D-44EB-A516-7105F9478B84}"/>
    <cellStyle name="Обычный 30 6" xfId="20436" xr:uid="{5D449C4C-9CBB-444D-B971-5E29BC73F523}"/>
    <cellStyle name="Обычный 31" xfId="2382" xr:uid="{C5537CA1-9CE8-4074-A16B-F79EC98543CB}"/>
    <cellStyle name="Обычный 31 2" xfId="5138" xr:uid="{39D27C5E-98D1-4FF0-953A-E16620F4869E}"/>
    <cellStyle name="Обычный 31 3" xfId="10438" xr:uid="{E089D7F4-AFFC-4F2B-B280-A08BD97137A4}"/>
    <cellStyle name="Обычный 32" xfId="2474" xr:uid="{C92FD1F9-AFD1-4546-9218-B21FB6C93F00}"/>
    <cellStyle name="Обычный 32 10" xfId="10439" xr:uid="{C14E353D-50D5-4E54-A0FD-2EBDE5CEECCC}"/>
    <cellStyle name="Обычный 32 11" xfId="17820" xr:uid="{080BE6EF-1273-4232-8152-AB8229D6506C}"/>
    <cellStyle name="Обычный 32 12" xfId="19276" xr:uid="{8D07960D-3E12-49D9-9AE5-E3E7D667AC97}"/>
    <cellStyle name="Обычный 32 13" xfId="20562" xr:uid="{822864F9-D51A-46D6-B844-A1275DC762ED}"/>
    <cellStyle name="Обычный 32 14" xfId="33585" xr:uid="{195C5D5D-C31B-4EA0-8EF3-29612957844B}"/>
    <cellStyle name="Обычный 32 2" xfId="3768" xr:uid="{C7C2B97C-F3A7-4BD8-9038-0D61331EAFE9}"/>
    <cellStyle name="Обычный 32 3" xfId="3267" xr:uid="{4318DEF4-430D-43A0-B533-5D148E2FAA01}"/>
    <cellStyle name="Обычный 32 3 2" xfId="6923" xr:uid="{4704A6C7-295E-4656-BD6A-A5D08FCB097E}"/>
    <cellStyle name="Обычный 32 3 2 2" xfId="10073" xr:uid="{C2A46110-CE04-448B-A63B-D16F2A4D67CE}"/>
    <cellStyle name="Обычный 32 3 2 2 2" xfId="19036" xr:uid="{F60CD1C0-9434-4082-B5D3-E333BD752E9F}"/>
    <cellStyle name="Обычный 32 3 2 2 3" xfId="20275" xr:uid="{033C42AD-1FC9-4C05-9A8F-1BEDD7C542A1}"/>
    <cellStyle name="Обычный 32 3 2 2 4" xfId="27345" xr:uid="{7650099B-D63B-4EFD-B462-BBBD81B75430}"/>
    <cellStyle name="Обычный 32 3 2 2 5" xfId="40464" xr:uid="{BEE22238-8C52-4DB0-AAD3-29B94BC99D47}"/>
    <cellStyle name="Обычный 32 3 2 3" xfId="18332" xr:uid="{20A2196C-37FA-43E5-8748-201790344CC3}"/>
    <cellStyle name="Обычный 32 3 2 4" xfId="19748" xr:uid="{A409BE52-39A4-4BD9-9F34-B23D6F3EFACC}"/>
    <cellStyle name="Обычный 32 3 2 5" xfId="24545" xr:uid="{D8F34BE7-3750-40B6-B635-574D8685F5D0}"/>
    <cellStyle name="Обычный 32 3 2 6" xfId="37626" xr:uid="{D40EDBEF-0CFC-486D-8746-DB87501B78FD}"/>
    <cellStyle name="Обычный 32 3 3" xfId="9440" xr:uid="{620F052B-66DA-4D1F-8606-B4C31461892D}"/>
    <cellStyle name="Обычный 32 3 3 2" xfId="18510" xr:uid="{38A083FF-9FE6-4B53-AB1F-9EDE65807185}"/>
    <cellStyle name="Обычный 32 3 3 3" xfId="19827" xr:uid="{DE5AEA71-3B90-4097-8389-3FAFB960E497}"/>
    <cellStyle name="Обычный 32 3 3 4" xfId="26829" xr:uid="{2A9543A6-580C-4089-BCED-B5ECB45D6470}"/>
    <cellStyle name="Обычный 32 3 3 5" xfId="39910" xr:uid="{8A6E496F-120E-43D0-BEF7-12FD1ABCA47A}"/>
    <cellStyle name="Обычный 32 3 4" xfId="17844" xr:uid="{6AF9C0E8-E7A4-4579-A30D-9B6C81502A4C}"/>
    <cellStyle name="Обычный 32 3 5" xfId="19300" xr:uid="{5FA771AB-EDDB-48B3-A25A-709098D28B3E}"/>
    <cellStyle name="Обычный 32 3 6" xfId="21297" xr:uid="{F3A3EEF1-75B9-4794-BAF9-094BD00D5C0E}"/>
    <cellStyle name="Обычный 32 3 7" xfId="34320" xr:uid="{58840B1D-D21F-4602-8797-033A484038FE}"/>
    <cellStyle name="Обычный 32 4" xfId="4316" xr:uid="{E09E95E6-192F-495D-958F-8C3F02E5BD13}"/>
    <cellStyle name="Обычный 32 4 2" xfId="9544" xr:uid="{AEB64C26-158A-4728-9F0E-77673223BF9F}"/>
    <cellStyle name="Обычный 32 4 2 2" xfId="18612" xr:uid="{F8DE2AE7-CFBB-40CE-8756-ED8A19F7D5D9}"/>
    <cellStyle name="Обычный 32 4 2 3" xfId="19902" xr:uid="{F815B5DC-E7DA-4754-930E-B8BEFB94EC62}"/>
    <cellStyle name="Обычный 32 4 2 4" xfId="26904" xr:uid="{85CBEBAF-C8DB-460E-B236-F014FC941F31}"/>
    <cellStyle name="Обычный 32 4 2 5" xfId="39987" xr:uid="{5F42A861-4541-49A2-935B-7AF00D2AD35B}"/>
    <cellStyle name="Обычный 32 4 3" xfId="17919" xr:uid="{388DFD79-1092-4EEA-B45C-1B6AC1A3C333}"/>
    <cellStyle name="Обычный 32 4 4" xfId="19375" xr:uid="{3A42C41C-0E87-450B-BE18-EAE9A95B9049}"/>
    <cellStyle name="Обычный 32 4 5" xfId="22136" xr:uid="{B390575B-02D9-4833-A393-65613FE5EF4D}"/>
    <cellStyle name="Обычный 32 4 6" xfId="35185" xr:uid="{6416D49E-F557-4480-B5F7-797CD64BD2B6}"/>
    <cellStyle name="Обычный 32 5" xfId="5296" xr:uid="{EA5BE6C5-D654-4D67-AD6D-3900F5F13AAF}"/>
    <cellStyle name="Обычный 32 5 2" xfId="9728" xr:uid="{28849CD4-B436-4293-98E3-6835F565F8F3}"/>
    <cellStyle name="Обычный 32 5 2 2" xfId="18733" xr:uid="{A541814D-9837-4AAE-B12C-7891BC087212}"/>
    <cellStyle name="Обычный 32 5 2 3" xfId="19996" xr:uid="{A86F9F18-E974-4EB9-A46D-417A4D72031F}"/>
    <cellStyle name="Обычный 32 5 2 4" xfId="27027" xr:uid="{B4B9A972-43B0-4239-83CD-B9C390F52A57}"/>
    <cellStyle name="Обычный 32 5 2 5" xfId="40144" xr:uid="{2CB205D5-3CA1-4F15-8BCF-A08FC94047AE}"/>
    <cellStyle name="Обычный 32 5 3" xfId="18030" xr:uid="{C6B8BB98-31B5-4613-A6F0-227E9E5C95AB}"/>
    <cellStyle name="Обычный 32 5 4" xfId="19469" xr:uid="{50147295-47DC-485B-AFDE-B7E6A18AE0CF}"/>
    <cellStyle name="Обычный 32 5 5" xfId="22946" xr:uid="{4F74C6DE-4F74-4F8D-A7E7-58DF45D83850}"/>
    <cellStyle name="Обычный 32 5 6" xfId="36025" xr:uid="{FA735FDA-A857-48C2-B10C-B9D95C5A86A4}"/>
    <cellStyle name="Обычный 32 6" xfId="5371" xr:uid="{7B164A49-02BF-4FA9-A5C0-C8001A03DA29}"/>
    <cellStyle name="Обычный 32 6 2" xfId="9802" xr:uid="{EC4A253B-E0F3-4AF8-86BA-3839A1D57D2F}"/>
    <cellStyle name="Обычный 32 6 2 2" xfId="18786" xr:uid="{A14FC1C5-E2A2-4C71-ACC5-B344E913E133}"/>
    <cellStyle name="Обычный 32 6 2 3" xfId="20049" xr:uid="{C1AC2150-B762-4D59-B1CE-CC961B15CD91}"/>
    <cellStyle name="Обычный 32 6 2 4" xfId="27099" xr:uid="{31BBB7B4-0BE2-4129-AAE8-A25EC2A3551F}"/>
    <cellStyle name="Обычный 32 6 2 5" xfId="40218" xr:uid="{C4DBDE53-800A-4FA7-B10F-07756BA439D5}"/>
    <cellStyle name="Обычный 32 6 3" xfId="18083" xr:uid="{352A08D4-ED01-4C0B-AF74-BA84BD76B0B5}"/>
    <cellStyle name="Обычный 32 6 4" xfId="19522" xr:uid="{B5070FB2-37C9-44FE-8201-5C7116801BE5}"/>
    <cellStyle name="Обычный 32 6 5" xfId="23018" xr:uid="{5DD578BB-20F7-46C3-9A76-31C4A8AAB3D4}"/>
    <cellStyle name="Обычный 32 6 6" xfId="36099" xr:uid="{BE963E21-3351-406D-BBCE-59F78DD47CF3}"/>
    <cellStyle name="Обычный 32 7" xfId="5979" xr:uid="{050C2DD1-6639-4B7A-AF80-F2B71FE139C4}"/>
    <cellStyle name="Обычный 32 7 2" xfId="9898" xr:uid="{4723E8C1-B695-4EFA-936C-FBF6B49965AD}"/>
    <cellStyle name="Обычный 32 7 2 2" xfId="18862" xr:uid="{EC4EFA1B-5584-49BA-9C26-2C69525EC1B8}"/>
    <cellStyle name="Обычный 32 7 2 3" xfId="20124" xr:uid="{1E7886D7-734C-4DA7-AB43-7B5271EAC37E}"/>
    <cellStyle name="Обычный 32 7 2 4" xfId="27194" xr:uid="{C567BC7B-0A2F-4B30-A919-A1B7EB4477C4}"/>
    <cellStyle name="Обычный 32 7 2 5" xfId="40313" xr:uid="{63A6FBD0-F72E-424D-8666-EA1BDBD497CB}"/>
    <cellStyle name="Обычный 32 7 3" xfId="18158" xr:uid="{59D25676-EED3-4337-94F0-A0BA4AAC1B16}"/>
    <cellStyle name="Обычный 32 7 4" xfId="19597" xr:uid="{E8C73CE9-7CAE-4A67-BF77-C4364235658E}"/>
    <cellStyle name="Обычный 32 7 5" xfId="23625" xr:uid="{90507C34-B0DB-4251-B707-7F674C921D4E}"/>
    <cellStyle name="Обычный 32 7 6" xfId="36706" xr:uid="{8A7B85D2-F340-4064-8F0F-3ED66E77ABD9}"/>
    <cellStyle name="Обычный 32 8" xfId="6054" xr:uid="{48D77F53-5E41-4DFF-95DD-DE4370245095}"/>
    <cellStyle name="Обычный 32 8 2" xfId="9973" xr:uid="{9F3EFBC8-2C33-45B3-9DC4-93DFBF8635C8}"/>
    <cellStyle name="Обычный 32 8 2 2" xfId="18937" xr:uid="{106F315F-B7A7-4C33-A30C-70C297BBFB3C}"/>
    <cellStyle name="Обычный 32 8 2 3" xfId="20199" xr:uid="{8AA6EA23-CA02-469C-90B9-A8CACDAF3462}"/>
    <cellStyle name="Обычный 32 8 2 4" xfId="27269" xr:uid="{69C59B9A-4151-4C96-BD03-D686554844E7}"/>
    <cellStyle name="Обычный 32 8 2 5" xfId="40388" xr:uid="{87DC839D-ECE3-4E37-A2B9-9C0980C9F8C7}"/>
    <cellStyle name="Обычный 32 8 3" xfId="18233" xr:uid="{75947E2A-76E9-464C-9B08-75956B7A1BD5}"/>
    <cellStyle name="Обычный 32 8 4" xfId="19672" xr:uid="{8C57DD8D-C7E3-4A12-B37F-91A0D7D88AD5}"/>
    <cellStyle name="Обычный 32 8 5" xfId="23700" xr:uid="{B2085730-165E-4FD1-83B2-86983CBA48F6}"/>
    <cellStyle name="Обычный 32 8 6" xfId="36781" xr:uid="{E51AB75F-47EE-47C0-B73D-9E610864F4AC}"/>
    <cellStyle name="Обычный 32 9" xfId="9393" xr:uid="{BE68620A-AD4D-46AA-ABCF-614BAB41580E}"/>
    <cellStyle name="Обычный 32 9 2" xfId="18463" xr:uid="{957A1E08-EC1A-4610-8C4E-2C5E7693ABEF}"/>
    <cellStyle name="Обычный 32 9 3" xfId="19803" xr:uid="{9772DDE7-7E0A-4768-85AE-0B4CAD6F9C5F}"/>
    <cellStyle name="Обычный 32 9 4" xfId="26805" xr:uid="{E3E4EB07-0462-4611-9EB8-E0C9C83AE5FB}"/>
    <cellStyle name="Обычный 32 9 5" xfId="39886" xr:uid="{B2E6D620-C372-4F47-8DDF-B0AA1914598D}"/>
    <cellStyle name="Обычный 33" xfId="2383" xr:uid="{A95A2D3C-3317-4EBB-8697-D0A4B3D0F224}"/>
    <cellStyle name="Обычный 33 2" xfId="5139" xr:uid="{36CBF5BF-7477-4EC2-A9D8-AE5BF29D73B3}"/>
    <cellStyle name="Обычный 33 3" xfId="10440" xr:uid="{4D7AC7E8-7AB7-44A1-B2B8-1F016FABC3BE}"/>
    <cellStyle name="Обычный 34" xfId="2384" xr:uid="{4A2D0EA9-CA1D-4D71-9F7F-F6E846DBA359}"/>
    <cellStyle name="Обычный 34 2" xfId="5140" xr:uid="{1EE3924F-763B-4584-8710-3A50ACCA959C}"/>
    <cellStyle name="Обычный 34 3" xfId="10441" xr:uid="{13F05679-7A20-436D-99C9-02FE10DF952F}"/>
    <cellStyle name="Обычный 35" xfId="2475" xr:uid="{FF5B7645-7038-4336-828A-2A56D4DB7F03}"/>
    <cellStyle name="Обычный 35 2" xfId="3769" xr:uid="{D6A0CF92-82EF-4E94-A3C2-6DED73E826C7}"/>
    <cellStyle name="Обычный 35 3" xfId="3268" xr:uid="{5DAB4E1B-6124-4711-99D9-AB1079D4D737}"/>
    <cellStyle name="Обычный 35 4" xfId="10442" xr:uid="{2D6533E4-E217-4ED1-ACAB-CF3F2A6AB880}"/>
    <cellStyle name="Обычный 36" xfId="2385" xr:uid="{8A94DD3E-F30C-44F7-A814-6B09A67A1008}"/>
    <cellStyle name="Обычный 36 2" xfId="5141" xr:uid="{9F144287-39F8-4B5D-8285-50C168E4D498}"/>
    <cellStyle name="Обычный 36 3" xfId="10443" xr:uid="{DB4FD8F8-E48F-47FE-BE78-472BC694F306}"/>
    <cellStyle name="Обычный 37" xfId="2386" xr:uid="{A301360E-02DB-48BE-B53C-3EC99752610C}"/>
    <cellStyle name="Обычный 37 2" xfId="5142" xr:uid="{D50EC715-CB8A-42AA-B40E-E9BA9CECA4E7}"/>
    <cellStyle name="Обычный 37 3" xfId="10444" xr:uid="{6E40F33D-4660-4FC1-BD25-E124E85CFC74}"/>
    <cellStyle name="Обычный 38" xfId="2476" xr:uid="{19BA1A20-9AB8-4517-AF13-4014321A614D}"/>
    <cellStyle name="Обычный 38 2" xfId="3770" xr:uid="{4A8399EA-0D64-4FA1-B7D4-9805CF334742}"/>
    <cellStyle name="Обычный 39" xfId="2387" xr:uid="{6702D1CA-69C7-401A-BF79-5EF3EA8A3951}"/>
    <cellStyle name="Обычный 39 2" xfId="5143" xr:uid="{D49431C9-8337-408E-B53D-772BB49011F8}"/>
    <cellStyle name="Обычный 39 3" xfId="10445" xr:uid="{43B24F45-D0E4-4F17-8BEC-FDEDE49A2684}"/>
    <cellStyle name="Обычный 4" xfId="5" xr:uid="{F4F251DD-BCB0-4495-8F23-975D283E83C9}"/>
    <cellStyle name="Обычный 4 2" xfId="14" xr:uid="{D72606AC-96FB-46B1-94DD-7167334D0F20}"/>
    <cellStyle name="Обычный 4 2 2" xfId="4005" xr:uid="{1DCC4F29-87E3-44DB-8B92-40FF48645999}"/>
    <cellStyle name="Обычный 4 3" xfId="46" xr:uid="{F8AB8E85-B9AC-4FE1-8047-5C87DC25750D}"/>
    <cellStyle name="Обычный 40" xfId="2480" xr:uid="{77F6451B-57D8-4378-AF59-BC1D7A92D089}"/>
    <cellStyle name="Обычный 40 2" xfId="3772" xr:uid="{918E0233-9AD4-4D42-9446-3BF2C06AEFF7}"/>
    <cellStyle name="Обычный 40 3" xfId="10446" xr:uid="{F9055F58-522B-4F68-8ADA-72040959B768}"/>
    <cellStyle name="Обычный 41" xfId="2479" xr:uid="{D4C4E7A3-A540-48A6-B450-46D396AC832D}"/>
    <cellStyle name="Обычный 41 2" xfId="3773" xr:uid="{FEC8427B-2673-4A82-BA2D-A9D22E0FB314}"/>
    <cellStyle name="Обычный 41 3" xfId="10447" xr:uid="{F27F9F6B-BEDD-4405-A065-21921185B46C}"/>
    <cellStyle name="Обычный 42" xfId="2388" xr:uid="{7D01917B-528C-48EA-82EC-05C1CB56FAAB}"/>
    <cellStyle name="Обычный 42 2" xfId="5144" xr:uid="{15531760-865E-435A-9154-F6F087F26C45}"/>
    <cellStyle name="Обычный 42 3" xfId="10448" xr:uid="{5B9C4020-B1ED-4C0D-ADB7-D66F0CD0AABD}"/>
    <cellStyle name="Обычный 43" xfId="2389" xr:uid="{2D045796-6E3D-45A7-878F-F44E67D00D2E}"/>
    <cellStyle name="Обычный 43 2" xfId="5145" xr:uid="{D60B500D-632F-47C5-A9AB-D6C456B2640E}"/>
    <cellStyle name="Обычный 43 3" xfId="10449" xr:uid="{EC2E2AFF-0B0A-434D-BE87-1AF045D75B38}"/>
    <cellStyle name="Обычный 44" xfId="2390" xr:uid="{8330324C-37D1-4A8B-809F-DC62F10D9F9A}"/>
    <cellStyle name="Обычный 44 2" xfId="5146" xr:uid="{05A5965E-76E4-471F-8C7B-EAC9CAF4D93D}"/>
    <cellStyle name="Обычный 44 3" xfId="10450" xr:uid="{B5CDAB51-0562-44D3-AA75-C4E64127D0CF}"/>
    <cellStyle name="Обычный 45" xfId="2482" xr:uid="{7D317013-6E27-44B9-A8E2-76DF29C44DC0}"/>
    <cellStyle name="Обычный 45 2" xfId="3775" xr:uid="{47E017BF-12D6-4A2D-BD15-7BD9666E1AD9}"/>
    <cellStyle name="Обычный 45 3" xfId="3275" xr:uid="{996511E4-A070-47F5-9185-CE0EB5AA29DB}"/>
    <cellStyle name="Обычный 45 4" xfId="10451" xr:uid="{0FF63242-AA00-4BED-93B2-4C3A892F07B5}"/>
    <cellStyle name="Обычный 46" xfId="2391" xr:uid="{B2A8B171-4ADC-47B6-8F06-834AD8352A2C}"/>
    <cellStyle name="Обычный 46 2" xfId="5147" xr:uid="{BE21345D-DA87-4894-B2CF-63C44ED21EAB}"/>
    <cellStyle name="Обычный 46 3" xfId="10452" xr:uid="{340F526C-0D25-4D08-BE61-2D51375EB379}"/>
    <cellStyle name="Обычный 47" xfId="2392" xr:uid="{EB0933BA-08A4-465F-9ED1-0A44320E851B}"/>
    <cellStyle name="Обычный 47 2" xfId="5148" xr:uid="{F5A8F288-15CC-40FB-BF21-53EA4E05AE5A}"/>
    <cellStyle name="Обычный 47 3" xfId="10453" xr:uid="{350BE074-C89A-470C-B1E6-1830D54D3D1E}"/>
    <cellStyle name="Обычный 48" xfId="2393" xr:uid="{DAA1E04A-AB4F-4C0B-A9FF-6951FA3B7BEB}"/>
    <cellStyle name="Обычный 48 2" xfId="5149" xr:uid="{B2123F6F-6F9C-4D8F-B7C4-E5C81102A5F9}"/>
    <cellStyle name="Обычный 48 3" xfId="10454" xr:uid="{757D5AE3-5D39-4280-AD8B-B19AE85D0638}"/>
    <cellStyle name="Обычный 49" xfId="2394" xr:uid="{81F67C37-34A8-445D-8C11-8CC47A905871}"/>
    <cellStyle name="Обычный 49 2" xfId="5150" xr:uid="{40C858AD-24D8-4B56-985F-9AE65780D4B2}"/>
    <cellStyle name="Обычный 49 3" xfId="10455" xr:uid="{B888072F-B6DC-44C9-86E7-270BF2319839}"/>
    <cellStyle name="Обычный 5" xfId="2395" xr:uid="{646B439D-4150-42EB-867F-24AAF0F76903}"/>
    <cellStyle name="Обычный 5 2" xfId="2481" xr:uid="{672F2EB1-9782-4825-B964-3B596EDD086B}"/>
    <cellStyle name="Обычный 5 2 2" xfId="4033" xr:uid="{4202D6BF-2338-410B-8013-B1AD781CBF78}"/>
    <cellStyle name="Обычный 5 3" xfId="9324" xr:uid="{AECDC2D6-1736-4042-9EA9-FEE20024CCEE}"/>
    <cellStyle name="Обычный 5 4" xfId="10456" xr:uid="{2CFFDD6D-306C-4963-A20A-9A68A783BF7B}"/>
    <cellStyle name="Обычный 50" xfId="2396" xr:uid="{B733E115-BA87-4DD2-B1D4-F1F1D8A4490F}"/>
    <cellStyle name="Обычный 50 2" xfId="5152" xr:uid="{B686FCD7-4CEA-43FF-9FE8-9EEE9F5FCC9D}"/>
    <cellStyle name="Обычный 50 3" xfId="10457" xr:uid="{8671902F-ED41-41A8-8A4F-C444C67A69A6}"/>
    <cellStyle name="Обычный 51" xfId="2483" xr:uid="{6E55AA13-A04A-4D15-9DBF-E4CFFF32A8C2}"/>
    <cellStyle name="Обычный 51 2" xfId="3776" xr:uid="{0C8B423F-168E-45D9-9A7A-C2CBDD1D1A0F}"/>
    <cellStyle name="Обычный 51 2 10" xfId="19317" xr:uid="{54B6DB50-20F3-4E94-927D-0FA523411C54}"/>
    <cellStyle name="Обычный 51 2 11" xfId="20523" xr:uid="{179C10E6-350A-466B-AE4A-041DA4A876D3}"/>
    <cellStyle name="Обычный 51 2 12" xfId="21676" xr:uid="{2357E0A2-3DF5-424E-8693-B549CA521A1A}"/>
    <cellStyle name="Обычный 51 2 13" xfId="34730" xr:uid="{AAC7B531-40DE-4932-B3EA-2BABD76F244F}"/>
    <cellStyle name="Обычный 51 2 2" xfId="4580" xr:uid="{698607DB-7A06-42EA-AAC4-F7B7CABBE5FA}"/>
    <cellStyle name="Обычный 51 2 2 2" xfId="9573" xr:uid="{5C9A6894-014C-4A6F-93F3-12F90F6369C6}"/>
    <cellStyle name="Обычный 51 2 2 2 2" xfId="18641" xr:uid="{3D4FC1D2-86A1-42A0-86A2-A9EF31156653}"/>
    <cellStyle name="Обычный 51 2 2 2 3" xfId="19928" xr:uid="{6A2439F1-6AD8-4B1F-80B9-40BDDB11EA66}"/>
    <cellStyle name="Обычный 51 2 2 2 4" xfId="26930" xr:uid="{037057E1-7E28-4E83-B442-2E7B91539D67}"/>
    <cellStyle name="Обычный 51 2 2 2 5" xfId="40013" xr:uid="{74269F92-EE4D-41E7-91EA-E7FF78E7B01D}"/>
    <cellStyle name="Обычный 51 2 2 3" xfId="17947" xr:uid="{54BED1F8-8A34-4F38-BE70-BEF97C518677}"/>
    <cellStyle name="Обычный 51 2 2 4" xfId="19401" xr:uid="{7BE2B9C3-81B1-4333-8D60-AB3C87D23815}"/>
    <cellStyle name="Обычный 51 2 2 5" xfId="22394" xr:uid="{759C2F45-D304-44AE-A0C5-CADAA2A86A06}"/>
    <cellStyle name="Обычный 51 2 2 6" xfId="35444" xr:uid="{F77DB72B-6B38-429A-9E97-1219E998FBCA}"/>
    <cellStyle name="Обычный 51 2 3" xfId="5315" xr:uid="{E408967D-3E30-4BF4-8BFF-12E7AB1F160E}"/>
    <cellStyle name="Обычный 51 2 3 2" xfId="9747" xr:uid="{34F3115D-19A4-4558-A36C-621250758003}"/>
    <cellStyle name="Обычный 51 2 3 2 2" xfId="18750" xr:uid="{CEE3B54F-5352-48A2-AC6D-F1F5F9F0E4CC}"/>
    <cellStyle name="Обычный 51 2 3 2 3" xfId="20013" xr:uid="{6535A8B8-99EE-4C02-8B84-38E981BDEE80}"/>
    <cellStyle name="Обычный 51 2 3 2 4" xfId="27044" xr:uid="{FEA7E5F2-5516-4256-8800-097692123DD7}"/>
    <cellStyle name="Обычный 51 2 3 2 5" xfId="40163" xr:uid="{CFD359D2-62B5-43F4-9E22-A8CE149AE534}"/>
    <cellStyle name="Обычный 51 2 3 3" xfId="18047" xr:uid="{8BF3BB27-DA28-4894-BCC1-A9951B64970E}"/>
    <cellStyle name="Обычный 51 2 3 4" xfId="19486" xr:uid="{B64BC483-14FA-4982-B5AD-AAEBC69C6CFF}"/>
    <cellStyle name="Обычный 51 2 3 5" xfId="22963" xr:uid="{F0D54911-16D6-4188-B8E2-62108B501A68}"/>
    <cellStyle name="Обычный 51 2 3 6" xfId="36044" xr:uid="{6D753EF4-5229-492A-9D80-95E0783BCDE3}"/>
    <cellStyle name="Обычный 51 2 4" xfId="5767" xr:uid="{68C64498-2180-45B5-8D5A-AE6C316304D2}"/>
    <cellStyle name="Обычный 51 2 4 2" xfId="9830" xr:uid="{B461ED77-B445-4FFE-AA60-A70D32685C14}"/>
    <cellStyle name="Обычный 51 2 4 2 2" xfId="18804" xr:uid="{51BD9F05-C18C-4B2E-976D-E82EF2FC3A02}"/>
    <cellStyle name="Обычный 51 2 4 2 3" xfId="20066" xr:uid="{73381E88-FFCD-4ED9-84A4-B6A7B7F40B1E}"/>
    <cellStyle name="Обычный 51 2 4 2 4" xfId="27126" xr:uid="{9B4C5682-C21D-47DD-9C96-D5094515BE3A}"/>
    <cellStyle name="Обычный 51 2 4 2 5" xfId="40245" xr:uid="{52FB864D-6D6A-4516-A510-6865CD31A7D7}"/>
    <cellStyle name="Обычный 51 2 4 3" xfId="18100" xr:uid="{9747C31D-83DE-4D0B-83DD-9EE4BEEF1DE7}"/>
    <cellStyle name="Обычный 51 2 4 4" xfId="19539" xr:uid="{3BBD207D-35FD-48E8-B917-C7DAF0198E71}"/>
    <cellStyle name="Обычный 51 2 4 5" xfId="23414" xr:uid="{0A3D3029-7A94-4B03-A413-F7B89EC915D6}"/>
    <cellStyle name="Обычный 51 2 4 6" xfId="36495" xr:uid="{775C906A-9178-4206-9406-D5784B8B75A1}"/>
    <cellStyle name="Обычный 51 2 5" xfId="5996" xr:uid="{749AB7AA-6CD2-4A1E-83A2-EF1F4D0B584C}"/>
    <cellStyle name="Обычный 51 2 5 2" xfId="9915" xr:uid="{22CD4008-25FB-46AD-A83A-C55B7C281B40}"/>
    <cellStyle name="Обычный 51 2 5 2 2" xfId="18879" xr:uid="{1874696B-8A81-48B7-AF7E-AEAF06402EE9}"/>
    <cellStyle name="Обычный 51 2 5 2 3" xfId="20141" xr:uid="{772924EA-811C-4CB8-B30D-F144BEA349F5}"/>
    <cellStyle name="Обычный 51 2 5 2 4" xfId="27211" xr:uid="{4C4B8E03-F533-4F73-9D21-F4A25F94710B}"/>
    <cellStyle name="Обычный 51 2 5 2 5" xfId="40330" xr:uid="{B48957D0-2041-4323-9FBA-670DBFE79724}"/>
    <cellStyle name="Обычный 51 2 5 3" xfId="18175" xr:uid="{DC911841-970D-4DAE-9479-001305BC0B82}"/>
    <cellStyle name="Обычный 51 2 5 4" xfId="19614" xr:uid="{6D2322B7-2010-46D9-B2AA-D517ECB7F56B}"/>
    <cellStyle name="Обычный 51 2 5 5" xfId="23642" xr:uid="{B01C4E26-C912-4757-9BB3-A9B8A8DC83FB}"/>
    <cellStyle name="Обычный 51 2 5 6" xfId="36723" xr:uid="{63A3C96D-EE61-4EE8-8307-23F29F1BD1F6}"/>
    <cellStyle name="Обычный 51 2 6" xfId="6071" xr:uid="{23E1B1CA-0DD5-4281-9CD3-3097952BE64A}"/>
    <cellStyle name="Обычный 51 2 6 2" xfId="9990" xr:uid="{C656E04A-156C-4688-ABEF-EFA7A0B1E117}"/>
    <cellStyle name="Обычный 51 2 6 2 2" xfId="18954" xr:uid="{E836CBC1-E475-478C-9217-68CD31C9AC4B}"/>
    <cellStyle name="Обычный 51 2 6 2 3" xfId="20216" xr:uid="{564E54D5-140A-47E8-98BD-4079F9D8B5E5}"/>
    <cellStyle name="Обычный 51 2 6 2 4" xfId="27286" xr:uid="{3B7E3D37-3D4D-4199-A5E3-6E12A2BF9CB9}"/>
    <cellStyle name="Обычный 51 2 6 2 5" xfId="40405" xr:uid="{AF7BDF6C-BA94-4504-8AAE-161CD4C0C5F5}"/>
    <cellStyle name="Обычный 51 2 6 3" xfId="18250" xr:uid="{224A80E2-BD17-48F1-81EB-CF862D1F807A}"/>
    <cellStyle name="Обычный 51 2 6 4" xfId="19689" xr:uid="{E3FDA2A7-C198-4891-AE42-AB889C07D1D5}"/>
    <cellStyle name="Обычный 51 2 6 5" xfId="23717" xr:uid="{82FF102F-90A4-43BE-AA1E-14157F2A0A4A}"/>
    <cellStyle name="Обычный 51 2 6 6" xfId="36798" xr:uid="{36E08507-0591-4231-8805-736C4CF4D6A1}"/>
    <cellStyle name="Обычный 51 2 7" xfId="9472" xr:uid="{F8D58EA4-7293-4A7E-9CD7-B79B52BFF524}"/>
    <cellStyle name="Обычный 51 2 7 2" xfId="18540" xr:uid="{B16A0F4E-2118-4936-A2A8-F655590AB039}"/>
    <cellStyle name="Обычный 51 2 7 3" xfId="19844" xr:uid="{8D58493D-59A4-4D35-9A4B-B1C594529A21}"/>
    <cellStyle name="Обычный 51 2 7 4" xfId="26846" xr:uid="{DA0ED7CA-921F-4FE5-B201-3A09BAFEDD16}"/>
    <cellStyle name="Обычный 51 2 7 5" xfId="39929" xr:uid="{36691622-69FE-4680-ABD1-622304DF4534}"/>
    <cellStyle name="Обычный 51 2 8" xfId="17770" xr:uid="{D8E603B6-C2C7-4B90-A7B4-A4DE2E21A416}"/>
    <cellStyle name="Обычный 51 2 8 2" xfId="19237" xr:uid="{10278311-C066-444A-8A5C-FDDF7499EADE}"/>
    <cellStyle name="Обычный 51 2 8 3" xfId="20392" xr:uid="{28276D6C-F5E7-40BB-8065-0C82F00D6EE7}"/>
    <cellStyle name="Обычный 51 2 8 4" xfId="33492" xr:uid="{C5C4D848-CE71-40C3-913B-8C4B3E2C4A9F}"/>
    <cellStyle name="Обычный 51 2 8 5" xfId="47271" xr:uid="{6DEF4B50-F84E-4F80-8BFD-6E1CC77F6B5E}"/>
    <cellStyle name="Обычный 51 2 9" xfId="17861" xr:uid="{15E981B9-CD9F-49AC-97F4-DAB83C40BBB6}"/>
    <cellStyle name="Обычный 51 3" xfId="10458" xr:uid="{1701A000-9002-46BD-95F9-6B7412021CB8}"/>
    <cellStyle name="Обычный 51 4" xfId="17685" xr:uid="{E2FFCA32-0748-40BF-B693-87FF3D16DF8C}"/>
    <cellStyle name="Обычный 51 4 2" xfId="19192" xr:uid="{BD1F1324-B540-4BC4-A85F-719F16812047}"/>
    <cellStyle name="Обычный 51 4 3" xfId="20347" xr:uid="{B6D249E1-AAE0-40B8-A0B3-9691C20DA59F}"/>
    <cellStyle name="Обычный 51 4 4" xfId="33408" xr:uid="{D7718CE8-BC24-4944-9A37-D6E40D2DEC7B}"/>
    <cellStyle name="Обычный 51 4 5" xfId="47197" xr:uid="{08AB9199-69CD-4DB6-9225-E5D789172C7F}"/>
    <cellStyle name="Обычный 51 5" xfId="20439" xr:uid="{95B7849F-9A80-4750-9A30-B3B25C539DDE}"/>
    <cellStyle name="Обычный 52" xfId="2397" xr:uid="{A94BED57-0629-469C-A8B9-E4C36C145145}"/>
    <cellStyle name="Обычный 52 2" xfId="5153" xr:uid="{92CDA021-6E5E-4272-BC69-38324E1B8E88}"/>
    <cellStyle name="Обычный 52 3" xfId="10459" xr:uid="{58116038-B4E3-4DC6-8D2F-361D2547933D}"/>
    <cellStyle name="Обычный 53" xfId="2398" xr:uid="{87DDE0BB-8E24-4CA8-BAB1-3238F745BF1E}"/>
    <cellStyle name="Обычный 53 2" xfId="5154" xr:uid="{6B97AC2D-86C4-45E4-BB63-1E1FEEBEB58D}"/>
    <cellStyle name="Обычный 53 3" xfId="10460" xr:uid="{1295EDA7-5064-4A27-85FF-579E0A053775}"/>
    <cellStyle name="Обычный 54" xfId="2399" xr:uid="{831D6480-886A-4CC8-B25D-22ADEC69A0C0}"/>
    <cellStyle name="Обычный 54 2" xfId="5155" xr:uid="{FB17E0CF-617E-411E-9AC7-321522DAECCA}"/>
    <cellStyle name="Обычный 54 3" xfId="10461" xr:uid="{6C1FE8FF-872D-44A4-8483-52B4ABE7C64C}"/>
    <cellStyle name="Обычный 55" xfId="2491" xr:uid="{FA1986ED-3A7C-4FF6-BA26-E13439457D03}"/>
    <cellStyle name="Обычный 55 2" xfId="3778" xr:uid="{655A224F-49BD-4DF4-A5A1-EB76D2B31C53}"/>
    <cellStyle name="Обычный 55 2 10" xfId="19319" xr:uid="{DC10AAEC-B67F-4053-A19C-004917EC6A4C}"/>
    <cellStyle name="Обычный 55 2 11" xfId="20525" xr:uid="{7990227E-A1D9-4EA0-A0CB-751D2152C7A1}"/>
    <cellStyle name="Обычный 55 2 12" xfId="21678" xr:uid="{612B8F0B-F1AC-479E-9DDD-EDEE99F0C824}"/>
    <cellStyle name="Обычный 55 2 13" xfId="34732" xr:uid="{BF8A4D7E-5332-4759-B32C-B61306B1B824}"/>
    <cellStyle name="Обычный 55 2 2" xfId="4582" xr:uid="{7502F745-977D-49CA-8128-BD43C75D9E17}"/>
    <cellStyle name="Обычный 55 2 2 2" xfId="9575" xr:uid="{F66BB5E2-4A11-4936-BE24-CAF8BBB670D7}"/>
    <cellStyle name="Обычный 55 2 2 2 2" xfId="18643" xr:uid="{AAC7D947-1304-4DFA-A27D-54E943627B28}"/>
    <cellStyle name="Обычный 55 2 2 2 3" xfId="19930" xr:uid="{A4FA6D77-910B-425A-BF18-AAD2CA950792}"/>
    <cellStyle name="Обычный 55 2 2 2 4" xfId="26932" xr:uid="{95B2D080-AE18-4910-8312-CFAA7DFD3109}"/>
    <cellStyle name="Обычный 55 2 2 2 5" xfId="40015" xr:uid="{F3889B79-99B8-41B3-B765-87C42DC7D10F}"/>
    <cellStyle name="Обычный 55 2 2 3" xfId="17949" xr:uid="{C133BDD2-AB5E-463C-90C5-A2815BA76243}"/>
    <cellStyle name="Обычный 55 2 2 4" xfId="19403" xr:uid="{556A39D1-74B6-4E5D-8AFE-59F458319C8A}"/>
    <cellStyle name="Обычный 55 2 2 5" xfId="22396" xr:uid="{7422CB25-FFE3-4864-915C-2971E52E386D}"/>
    <cellStyle name="Обычный 55 2 2 6" xfId="35446" xr:uid="{81F33ED6-6E9D-45BF-8D90-A344E8D73590}"/>
    <cellStyle name="Обычный 55 2 3" xfId="5317" xr:uid="{9D71284F-0035-49A6-B653-E2F28B3FB35C}"/>
    <cellStyle name="Обычный 55 2 3 2" xfId="9749" xr:uid="{7BAEE845-2EB2-4F2A-A1BF-7A493AAB43FA}"/>
    <cellStyle name="Обычный 55 2 3 2 2" xfId="18752" xr:uid="{81AE486B-51C2-4BAD-BC23-77B9EAAF2170}"/>
    <cellStyle name="Обычный 55 2 3 2 3" xfId="20015" xr:uid="{707ABA2E-F9EE-492F-9253-07D057F1B9EE}"/>
    <cellStyle name="Обычный 55 2 3 2 4" xfId="27046" xr:uid="{A193BE71-7C7E-4860-B298-F7C6C1687829}"/>
    <cellStyle name="Обычный 55 2 3 2 5" xfId="40165" xr:uid="{6E34A3AC-59CC-4946-A0C3-C7162BA7369D}"/>
    <cellStyle name="Обычный 55 2 3 3" xfId="18049" xr:uid="{412DEDD6-53DA-4BAC-814F-6A810A0F34BF}"/>
    <cellStyle name="Обычный 55 2 3 4" xfId="19488" xr:uid="{316163FA-50C5-4C0C-9505-1A640152099C}"/>
    <cellStyle name="Обычный 55 2 3 5" xfId="22965" xr:uid="{06814270-03C1-4F96-A13B-307561BB74D4}"/>
    <cellStyle name="Обычный 55 2 3 6" xfId="36046" xr:uid="{2B1650AB-890D-4180-88A8-CA29975BEB8F}"/>
    <cellStyle name="Обычный 55 2 4" xfId="5769" xr:uid="{55B4969F-A4A9-4B07-80EE-827049A3D674}"/>
    <cellStyle name="Обычный 55 2 4 2" xfId="9832" xr:uid="{9DF79679-EABB-4A22-8998-FB331B1062E0}"/>
    <cellStyle name="Обычный 55 2 4 2 2" xfId="18806" xr:uid="{D24AF9A3-6688-494F-91D4-3F892AFAE1A6}"/>
    <cellStyle name="Обычный 55 2 4 2 3" xfId="20068" xr:uid="{8C079D1B-CA97-4478-8DB7-0A4985F007A5}"/>
    <cellStyle name="Обычный 55 2 4 2 4" xfId="27128" xr:uid="{A30324C9-36DB-4844-BFAD-46B8F79DBE29}"/>
    <cellStyle name="Обычный 55 2 4 2 5" xfId="40247" xr:uid="{3ED58C68-1BC5-46C6-92A7-B0B5FF389DEC}"/>
    <cellStyle name="Обычный 55 2 4 3" xfId="18102" xr:uid="{58C19870-E34A-4E93-8010-3B1683BE8208}"/>
    <cellStyle name="Обычный 55 2 4 4" xfId="19541" xr:uid="{03F65E6C-519E-4554-87D5-943D7F756DAD}"/>
    <cellStyle name="Обычный 55 2 4 5" xfId="23416" xr:uid="{4B930C96-759C-4DD6-AD4E-D81A2C5EB39A}"/>
    <cellStyle name="Обычный 55 2 4 6" xfId="36497" xr:uid="{ED935012-3A58-4686-81B4-7E0ECAED579D}"/>
    <cellStyle name="Обычный 55 2 5" xfId="5998" xr:uid="{C72D0B5F-87C5-4627-9F8B-EDD74D04C1E8}"/>
    <cellStyle name="Обычный 55 2 5 2" xfId="9917" xr:uid="{1695F4F3-E822-4771-A6A5-E665E243154F}"/>
    <cellStyle name="Обычный 55 2 5 2 2" xfId="18881" xr:uid="{DA7A9FCE-9D67-4970-8CBF-F56918AEB442}"/>
    <cellStyle name="Обычный 55 2 5 2 3" xfId="20143" xr:uid="{8B4AD76B-8795-46B9-B5A2-289CC11B63EE}"/>
    <cellStyle name="Обычный 55 2 5 2 4" xfId="27213" xr:uid="{92226A09-7A50-4B68-A98A-5FCCB415F198}"/>
    <cellStyle name="Обычный 55 2 5 2 5" xfId="40332" xr:uid="{D414AB09-A216-4BA5-8E5F-DC4B0BA1A780}"/>
    <cellStyle name="Обычный 55 2 5 3" xfId="18177" xr:uid="{50940DDF-D101-4B0F-95F4-AF60115BC964}"/>
    <cellStyle name="Обычный 55 2 5 4" xfId="19616" xr:uid="{3371E398-A96F-498D-86A4-9A00D6BB19F4}"/>
    <cellStyle name="Обычный 55 2 5 5" xfId="23644" xr:uid="{89F346AC-089D-4779-869D-D51C79174F00}"/>
    <cellStyle name="Обычный 55 2 5 6" xfId="36725" xr:uid="{C52AF506-3F43-4CF1-B227-C891E1B9F87C}"/>
    <cellStyle name="Обычный 55 2 6" xfId="6073" xr:uid="{5817B263-EFD4-4DD4-A081-87CF08AB6A7C}"/>
    <cellStyle name="Обычный 55 2 6 2" xfId="9992" xr:uid="{FE2460A9-A680-4BB6-8222-E0C7E664BC63}"/>
    <cellStyle name="Обычный 55 2 6 2 2" xfId="18956" xr:uid="{D41B7445-CFF7-4E33-B0F9-A385CA2E491E}"/>
    <cellStyle name="Обычный 55 2 6 2 3" xfId="20218" xr:uid="{50A46D01-1A49-48AB-AB56-E32DABE4A3BF}"/>
    <cellStyle name="Обычный 55 2 6 2 4" xfId="27288" xr:uid="{A56154A7-BF44-47B6-98E9-746FEB6324AE}"/>
    <cellStyle name="Обычный 55 2 6 2 5" xfId="40407" xr:uid="{D698C31A-DF50-4391-91B5-6AF82F6DE205}"/>
    <cellStyle name="Обычный 55 2 6 3" xfId="18252" xr:uid="{6B2A72F8-3178-4261-B627-E230CF1EF3B1}"/>
    <cellStyle name="Обычный 55 2 6 4" xfId="19691" xr:uid="{071E3E66-4177-40D4-AFA3-418C8A417FAD}"/>
    <cellStyle name="Обычный 55 2 6 5" xfId="23719" xr:uid="{B06F632A-B908-44AF-BA9C-132E8F2D031D}"/>
    <cellStyle name="Обычный 55 2 6 6" xfId="36800" xr:uid="{10AE219D-E0D1-4A6E-8CA2-0A38C14B5D17}"/>
    <cellStyle name="Обычный 55 2 7" xfId="9474" xr:uid="{3D87FCF5-AD5E-49C1-92D1-727F93160B12}"/>
    <cellStyle name="Обычный 55 2 7 2" xfId="18542" xr:uid="{B57BF52F-1B7C-4991-9990-EBC9E0B03F4C}"/>
    <cellStyle name="Обычный 55 2 7 3" xfId="19846" xr:uid="{0A3E9B04-4995-4181-8A44-7A250ADB6AFE}"/>
    <cellStyle name="Обычный 55 2 7 4" xfId="26848" xr:uid="{961F4CC8-FC8C-4FDD-8BD2-49C672AE9833}"/>
    <cellStyle name="Обычный 55 2 7 5" xfId="39931" xr:uid="{FB56F929-BDCA-4E2F-8846-2033C88AB0CA}"/>
    <cellStyle name="Обычный 55 2 8" xfId="17772" xr:uid="{F87D0952-9538-4A90-9B84-478AC4D04F60}"/>
    <cellStyle name="Обычный 55 2 8 2" xfId="19239" xr:uid="{E755140B-CF6C-42B4-B6A0-764CDDDE0882}"/>
    <cellStyle name="Обычный 55 2 8 3" xfId="20394" xr:uid="{5F1D4144-174C-4C75-AA24-F9206647B9B1}"/>
    <cellStyle name="Обычный 55 2 8 4" xfId="33494" xr:uid="{CAAC5E26-FC66-41E1-BE63-FD210A658D7E}"/>
    <cellStyle name="Обычный 55 2 8 5" xfId="47273" xr:uid="{C3C416DF-2F4B-4750-9E05-5A083AC37F89}"/>
    <cellStyle name="Обычный 55 2 9" xfId="17863" xr:uid="{D152912A-4619-4113-B69C-59DFFE310322}"/>
    <cellStyle name="Обычный 55 3" xfId="3283" xr:uid="{D155A689-818E-4515-ADE5-8EF1637486FF}"/>
    <cellStyle name="Обычный 55 4" xfId="10462" xr:uid="{C71C1139-B0E4-47E2-8F39-A8837C0F1452}"/>
    <cellStyle name="Обычный 55 5" xfId="17687" xr:uid="{E2936284-3D05-42C8-8221-C10CD6BABBDF}"/>
    <cellStyle name="Обычный 55 5 2" xfId="19194" xr:uid="{55E50721-D487-4D2E-B6AE-52DCC759FDA4}"/>
    <cellStyle name="Обычный 55 5 3" xfId="20349" xr:uid="{E1843AD4-42B5-4D81-B38A-4DEBC279CC95}"/>
    <cellStyle name="Обычный 55 5 4" xfId="33410" xr:uid="{22840ACF-C670-4F2D-90AF-08A5A86915F5}"/>
    <cellStyle name="Обычный 55 5 5" xfId="47199" xr:uid="{182754C4-FEA8-4C7C-AF09-768DF36026FA}"/>
    <cellStyle name="Обычный 55 6" xfId="20441" xr:uid="{A13725D1-0155-4596-BBBB-492A8D800A38}"/>
    <cellStyle name="Обычный 56" xfId="2492" xr:uid="{5097A8F1-CDB2-49F3-9018-3BFCA6FB1FE4}"/>
    <cellStyle name="Обычный 56 10" xfId="10463" xr:uid="{D267039A-8612-491F-86D8-C28EC799A3D9}"/>
    <cellStyle name="Обычный 56 11" xfId="17825" xr:uid="{7C6993FF-2EA8-419C-A082-4D1B68E5CDF0}"/>
    <cellStyle name="Обычный 56 12" xfId="19281" xr:uid="{105B3A30-0963-4544-AF2C-40326CC8CFDC}"/>
    <cellStyle name="Обычный 56 13" xfId="20567" xr:uid="{781D639F-0A1A-40A5-9EC4-085166A1CE6B}"/>
    <cellStyle name="Обычный 56 14" xfId="33590" xr:uid="{A53567B5-7D67-4E42-AD4B-4ACC27EE3546}"/>
    <cellStyle name="Обычный 56 2" xfId="3782" xr:uid="{FF4FAF25-AF82-44C5-9349-C28A8C5BC413}"/>
    <cellStyle name="Обычный 56 3" xfId="3284" xr:uid="{483FE72F-EA51-4348-8CA0-9398348BE48F}"/>
    <cellStyle name="Обычный 56 3 2" xfId="6936" xr:uid="{CF53DD8B-0450-4724-9598-5AEE7539355E}"/>
    <cellStyle name="Обычный 56 3 2 2" xfId="10078" xr:uid="{817A88DD-17C9-4E20-AF2C-594E481F621C}"/>
    <cellStyle name="Обычный 56 3 2 2 2" xfId="19041" xr:uid="{F9070109-5B6D-4C18-A0B1-9E9679F6FBAB}"/>
    <cellStyle name="Обычный 56 3 2 2 3" xfId="20280" xr:uid="{4342DB27-203F-4AED-B6A6-DD61BB5F53CA}"/>
    <cellStyle name="Обычный 56 3 2 2 4" xfId="27350" xr:uid="{E195A05E-C09E-4E2B-B550-E65BADC4B0FF}"/>
    <cellStyle name="Обычный 56 3 2 2 5" xfId="40469" xr:uid="{9B2076F7-BDA4-4292-97F7-3A4C9201E6B2}"/>
    <cellStyle name="Обычный 56 3 2 3" xfId="18337" xr:uid="{F21773EB-44B4-4755-AE8C-528851C75126}"/>
    <cellStyle name="Обычный 56 3 2 4" xfId="19753" xr:uid="{797F5AA9-CDE9-4A7C-818A-C461BC10F63B}"/>
    <cellStyle name="Обычный 56 3 2 5" xfId="24558" xr:uid="{D5567319-1916-46AF-A33C-A81372929395}"/>
    <cellStyle name="Обычный 56 3 2 6" xfId="37639" xr:uid="{A9DD02DD-C61D-4CE4-B8E0-EA06148C15C9}"/>
    <cellStyle name="Обычный 56 3 3" xfId="9445" xr:uid="{CCA8274E-C8B4-463C-8F50-B6D79FCE89EE}"/>
    <cellStyle name="Обычный 56 3 3 2" xfId="18515" xr:uid="{55BAA0F3-AD36-45AA-8B39-7A0452310A5E}"/>
    <cellStyle name="Обычный 56 3 3 3" xfId="19832" xr:uid="{66561F1C-168E-4E7C-8AA3-C5ADDA2BE9E5}"/>
    <cellStyle name="Обычный 56 3 3 4" xfId="26834" xr:uid="{1DBCB5B1-3F60-43FE-BB0B-5C52B95F393D}"/>
    <cellStyle name="Обычный 56 3 3 5" xfId="39915" xr:uid="{9E4E3F64-2F5A-4DE0-A568-81932170719D}"/>
    <cellStyle name="Обычный 56 3 4" xfId="17849" xr:uid="{30AE51B3-3055-4592-A7F0-166D8A01CB4D}"/>
    <cellStyle name="Обычный 56 3 5" xfId="19305" xr:uid="{39ADEBC3-5C52-4172-A5D0-97F46D9D792B}"/>
    <cellStyle name="Обычный 56 3 6" xfId="21310" xr:uid="{C5832CEA-56E7-4F35-8D71-34C8E6D02153}"/>
    <cellStyle name="Обычный 56 3 7" xfId="34333" xr:uid="{6BF0306C-CD69-4EB7-8E93-FB29C048D874}"/>
    <cellStyle name="Обычный 56 4" xfId="4321" xr:uid="{8C5A7B02-FAA5-40D8-ABC2-76374C5E20C4}"/>
    <cellStyle name="Обычный 56 4 2" xfId="9549" xr:uid="{E9EF90B5-49CF-48C2-84A0-C6A3E8C60B75}"/>
    <cellStyle name="Обычный 56 4 2 2" xfId="18617" xr:uid="{B39A5150-84F3-4083-8598-3E93151A5B72}"/>
    <cellStyle name="Обычный 56 4 2 3" xfId="19907" xr:uid="{E1FB3A10-30AD-43DA-A24A-604E74C79291}"/>
    <cellStyle name="Обычный 56 4 2 4" xfId="26909" xr:uid="{420F7687-7F4E-4A7B-84A0-03042C66AAFC}"/>
    <cellStyle name="Обычный 56 4 2 5" xfId="39992" xr:uid="{02DB11A0-197A-4F1B-B8FA-DB08DB870547}"/>
    <cellStyle name="Обычный 56 4 3" xfId="17924" xr:uid="{FA7DA9CB-8FE5-4039-921D-3EF112AB102D}"/>
    <cellStyle name="Обычный 56 4 4" xfId="19380" xr:uid="{F8362AA6-D590-4D9D-BD7A-725F33219CA8}"/>
    <cellStyle name="Обычный 56 4 5" xfId="22141" xr:uid="{15FAF8D9-1CCA-49C4-BBF6-02FF718419FD}"/>
    <cellStyle name="Обычный 56 4 6" xfId="35190" xr:uid="{3A6042A0-33DD-437D-B69A-84CA952C7B13}"/>
    <cellStyle name="Обычный 56 5" xfId="5301" xr:uid="{1072B400-A9F6-46ED-908C-FE5D0F33B325}"/>
    <cellStyle name="Обычный 56 5 2" xfId="9733" xr:uid="{8C82C7B2-5F29-473A-AFE8-89EA65BFFB5C}"/>
    <cellStyle name="Обычный 56 5 2 2" xfId="18738" xr:uid="{1CE60896-81B6-4AE8-B3C3-331678BE69A2}"/>
    <cellStyle name="Обычный 56 5 2 3" xfId="20001" xr:uid="{AE2F7AEC-DF0C-46CF-B662-43DF5977B93A}"/>
    <cellStyle name="Обычный 56 5 2 4" xfId="27032" xr:uid="{FF2AAFD3-BE8A-452E-BC79-96C7F64F7C37}"/>
    <cellStyle name="Обычный 56 5 2 5" xfId="40149" xr:uid="{DEE8E5AF-F94B-4CAB-A396-EE6D388AC7EE}"/>
    <cellStyle name="Обычный 56 5 3" xfId="18035" xr:uid="{3818ED9D-D00A-48D9-8692-477A7F082544}"/>
    <cellStyle name="Обычный 56 5 4" xfId="19474" xr:uid="{5E7996B8-677B-40A9-B8D4-1DDC689A44D4}"/>
    <cellStyle name="Обычный 56 5 5" xfId="22951" xr:uid="{804B66C1-2976-4220-A0CB-1B77480092DB}"/>
    <cellStyle name="Обычный 56 5 6" xfId="36030" xr:uid="{EAF5E227-B037-475E-AC6C-979010A0FD2C}"/>
    <cellStyle name="Обычный 56 6" xfId="5376" xr:uid="{0E08C672-CFB5-478F-9F8E-FD584674167A}"/>
    <cellStyle name="Обычный 56 6 2" xfId="9807" xr:uid="{FD37BBA8-357E-4932-9E1F-F1A706966018}"/>
    <cellStyle name="Обычный 56 6 2 2" xfId="18791" xr:uid="{F90E426B-7A32-4126-9E35-BBFFDAC1E6F4}"/>
    <cellStyle name="Обычный 56 6 2 3" xfId="20054" xr:uid="{4D6104BF-3508-4D84-824E-02E75433B04E}"/>
    <cellStyle name="Обычный 56 6 2 4" xfId="27104" xr:uid="{AAC1B02F-8BF7-4933-945A-DC9EDBBF0F68}"/>
    <cellStyle name="Обычный 56 6 2 5" xfId="40223" xr:uid="{48108C51-EBEF-40A0-867D-A3B5C934951C}"/>
    <cellStyle name="Обычный 56 6 3" xfId="18088" xr:uid="{870F8A2F-5205-4D81-B6B8-8F76113BFCBF}"/>
    <cellStyle name="Обычный 56 6 4" xfId="19527" xr:uid="{57EAEBB9-224D-4B05-BB6B-C4A1400F5B2A}"/>
    <cellStyle name="Обычный 56 6 5" xfId="23023" xr:uid="{4A68EAA6-0AC9-4000-8528-76D4D65AA718}"/>
    <cellStyle name="Обычный 56 6 6" xfId="36104" xr:uid="{55B2501B-A034-4317-870F-AE69671B487B}"/>
    <cellStyle name="Обычный 56 7" xfId="5984" xr:uid="{ACE8D844-ED79-492C-A6C1-9502776E136E}"/>
    <cellStyle name="Обычный 56 7 2" xfId="9903" xr:uid="{BEACD2F5-C360-45C4-BD33-F13B646E7529}"/>
    <cellStyle name="Обычный 56 7 2 2" xfId="18867" xr:uid="{E588C41D-E40A-4B50-AC54-968F221219EC}"/>
    <cellStyle name="Обычный 56 7 2 3" xfId="20129" xr:uid="{8609CF87-445B-4EB0-9239-6D5E8AB331F0}"/>
    <cellStyle name="Обычный 56 7 2 4" xfId="27199" xr:uid="{DE63B47A-80A2-4F77-8AE6-C05B3473C950}"/>
    <cellStyle name="Обычный 56 7 2 5" xfId="40318" xr:uid="{34DB5365-B147-47CC-B794-C9A4E7FDDDEF}"/>
    <cellStyle name="Обычный 56 7 3" xfId="18163" xr:uid="{9D498C73-C048-4D23-87AB-49CEAE5D2423}"/>
    <cellStyle name="Обычный 56 7 4" xfId="19602" xr:uid="{69E33326-6016-43D5-BFFD-445F8FECCDFF}"/>
    <cellStyle name="Обычный 56 7 5" xfId="23630" xr:uid="{D076A1AD-BC79-4E8B-BC0F-B94B3185F969}"/>
    <cellStyle name="Обычный 56 7 6" xfId="36711" xr:uid="{EBDF2549-BEF1-4768-8728-FCDB53DD7605}"/>
    <cellStyle name="Обычный 56 8" xfId="6059" xr:uid="{51CED873-A295-47F5-B1A8-B206FB604C4D}"/>
    <cellStyle name="Обычный 56 8 2" xfId="9978" xr:uid="{0DA66494-9995-4853-9CA3-7646F741003E}"/>
    <cellStyle name="Обычный 56 8 2 2" xfId="18942" xr:uid="{36928187-C933-426E-B010-82E13A3DFDED}"/>
    <cellStyle name="Обычный 56 8 2 3" xfId="20204" xr:uid="{81D4F70B-C8D4-4FE7-92C8-0DBDB148D5A4}"/>
    <cellStyle name="Обычный 56 8 2 4" xfId="27274" xr:uid="{58C64FA4-0658-4BE0-B39E-5B60FDCA55C7}"/>
    <cellStyle name="Обычный 56 8 2 5" xfId="40393" xr:uid="{6A97C2E8-ED43-4369-939D-0F42FB78C04A}"/>
    <cellStyle name="Обычный 56 8 3" xfId="18238" xr:uid="{133FA600-C6E6-4E22-8279-50DC294D7A11}"/>
    <cellStyle name="Обычный 56 8 4" xfId="19677" xr:uid="{3CCB98A9-9601-46A6-A9F7-F8E9FBB49442}"/>
    <cellStyle name="Обычный 56 8 5" xfId="23705" xr:uid="{FB2598F5-1F8E-49EA-AD77-3A037CD92080}"/>
    <cellStyle name="Обычный 56 8 6" xfId="36786" xr:uid="{676E2A2D-135E-403D-B4BF-63D2FD90DE29}"/>
    <cellStyle name="Обычный 56 9" xfId="9398" xr:uid="{06485270-BFD7-4870-8E93-26679C1BC216}"/>
    <cellStyle name="Обычный 56 9 2" xfId="18468" xr:uid="{9BD3E0D8-155D-42BB-BAD9-5B7CAC1B3677}"/>
    <cellStyle name="Обычный 56 9 3" xfId="19808" xr:uid="{ADC8DAFC-486B-4ABD-B1D0-723E3C359390}"/>
    <cellStyle name="Обычный 56 9 4" xfId="26810" xr:uid="{D665028C-91D1-4967-9B07-014D8D682CEE}"/>
    <cellStyle name="Обычный 56 9 5" xfId="39891" xr:uid="{864B21F8-FDDA-492F-B48C-7EACBA26A988}"/>
    <cellStyle name="Обычный 57" xfId="2497" xr:uid="{8C85A830-ABA2-43C9-9A9F-D7D02AD1AF5C}"/>
    <cellStyle name="Обычный 57 2" xfId="3786" xr:uid="{3AFBF3BB-D2E1-430B-8923-E2C132559B65}"/>
    <cellStyle name="Обычный 57 3" xfId="3287" xr:uid="{8D0CDCBC-AC43-4076-A81D-07252509B473}"/>
    <cellStyle name="Обычный 58" xfId="2498" xr:uid="{53AF4CCF-B6B2-43F4-8D48-30A89BE64EED}"/>
    <cellStyle name="Обычный 58 10" xfId="17704" xr:uid="{894EBDA2-9ED2-47DF-A825-C2205AA19B58}"/>
    <cellStyle name="Обычный 58 10 2" xfId="19211" xr:uid="{4259A8D0-FB61-4F74-B254-CB75B9290DEA}"/>
    <cellStyle name="Обычный 58 10 3" xfId="20366" xr:uid="{AFA14802-8CB0-49A1-9F7A-CF780B767EF4}"/>
    <cellStyle name="Обычный 58 10 4" xfId="33427" xr:uid="{94A1FEA6-3CE3-4D2A-9E53-1EDCFB2EFD28}"/>
    <cellStyle name="Обычный 58 10 5" xfId="47216" xr:uid="{F422631B-D6DA-486A-984B-171233988F21}"/>
    <cellStyle name="Обычный 58 11" xfId="17828" xr:uid="{A8CDFCEE-D0F3-45F6-8159-3B03AFFAABE8}"/>
    <cellStyle name="Обычный 58 12" xfId="19284" xr:uid="{927C5B3F-8E70-4C53-8FDF-8C3440EE4765}"/>
    <cellStyle name="Обычный 58 13" xfId="20458" xr:uid="{044BB9BC-1CE7-4127-A4F3-B2A1AF91EBE4}"/>
    <cellStyle name="Обычный 58 14" xfId="20570" xr:uid="{19ABA9D5-5A4A-43DE-9C00-C08B219F9BF9}"/>
    <cellStyle name="Обычный 58 15" xfId="33593" xr:uid="{A1018C7B-364D-4FBC-9DDD-1BC36DDEBB8F}"/>
    <cellStyle name="Обычный 58 2" xfId="3288" xr:uid="{ABA107B8-EFD9-4375-A403-342B7F8D81EB}"/>
    <cellStyle name="Обычный 58 2 10" xfId="34336" xr:uid="{B3D64C66-4568-491A-8D65-BC2D6E9F084E}"/>
    <cellStyle name="Обычный 58 2 2" xfId="5171" xr:uid="{DF616EC7-8A17-4732-8D1B-656B538FA15D}"/>
    <cellStyle name="Обычный 58 2 2 2" xfId="9670" xr:uid="{153A5057-7C61-4AA1-9E0B-4E7936B7E656}"/>
    <cellStyle name="Обычный 58 2 2 2 2" xfId="18717" xr:uid="{1FAFAFE6-B9B9-4337-BDD9-2C12EF9E004C}"/>
    <cellStyle name="Обычный 58 2 2 2 3" xfId="19982" xr:uid="{3ACCDE27-44A0-464D-B1E3-F8FC00C4FAA4}"/>
    <cellStyle name="Обычный 58 2 2 2 4" xfId="26984" xr:uid="{BC9323B1-3557-472F-8E99-73174F3DC22B}"/>
    <cellStyle name="Обычный 58 2 2 2 5" xfId="40088" xr:uid="{3F6F815D-C79D-4E50-965A-BC422570B59D}"/>
    <cellStyle name="Обычный 58 2 2 3" xfId="18015" xr:uid="{F90EFF34-0A26-45DC-9EC1-B0E7F4566BE8}"/>
    <cellStyle name="Обычный 58 2 2 4" xfId="19455" xr:uid="{71FD253E-7608-426B-A351-8729C3A649FD}"/>
    <cellStyle name="Обычный 58 2 2 5" xfId="22860" xr:uid="{F86554A0-49A9-40A9-96B0-DDF4F4DD2D4C}"/>
    <cellStyle name="Обычный 58 2 2 6" xfId="35926" xr:uid="{BAE68B6E-DC84-43FE-B9B0-8DEC9B928F78}"/>
    <cellStyle name="Обычный 58 2 3" xfId="6939" xr:uid="{0214F37A-7F68-49EE-BB18-D2F39CE539AC}"/>
    <cellStyle name="Обычный 58 2 3 2" xfId="10081" xr:uid="{363138E1-30F8-4004-8810-66CADDD315D7}"/>
    <cellStyle name="Обычный 58 2 3 2 2" xfId="19044" xr:uid="{A1AA94D6-59F4-4076-897C-353B8C06B727}"/>
    <cellStyle name="Обычный 58 2 3 2 3" xfId="20283" xr:uid="{5205663C-A698-462B-A792-0D1CF64E4C07}"/>
    <cellStyle name="Обычный 58 2 3 2 4" xfId="27353" xr:uid="{48F6DE39-D408-43FC-B0BD-54D993D67AFB}"/>
    <cellStyle name="Обычный 58 2 3 2 5" xfId="40472" xr:uid="{0A2C5163-B797-4D6B-B644-E64C674F9AD7}"/>
    <cellStyle name="Обычный 58 2 3 3" xfId="18340" xr:uid="{5DAB736C-9BF5-4885-B189-7028C04EC7F8}"/>
    <cellStyle name="Обычный 58 2 3 4" xfId="19756" xr:uid="{1BD2FBE3-DF38-4E74-A596-18E188E418DA}"/>
    <cellStyle name="Обычный 58 2 3 5" xfId="24561" xr:uid="{15CFDAE6-3314-4673-9081-7982831C5847}"/>
    <cellStyle name="Обычный 58 2 3 6" xfId="37642" xr:uid="{28989233-A8A3-4987-B182-3350D5C63086}"/>
    <cellStyle name="Обычный 58 2 4" xfId="9448" xr:uid="{478DBE8F-3E54-4E64-B87A-D30E324C7097}"/>
    <cellStyle name="Обычный 58 2 4 2" xfId="18518" xr:uid="{61191DCA-A3A9-4AD4-B58C-80437736E5A4}"/>
    <cellStyle name="Обычный 58 2 4 3" xfId="19835" xr:uid="{B622E69B-F09E-4651-A0F3-BA90C8ECA651}"/>
    <cellStyle name="Обычный 58 2 4 4" xfId="26837" xr:uid="{27779510-D01B-4E10-962A-2546803896C2}"/>
    <cellStyle name="Обычный 58 2 4 5" xfId="39918" xr:uid="{4CEB70E3-9F28-4511-A8B5-A1D1C79D4E65}"/>
    <cellStyle name="Обычный 58 2 5" xfId="17789" xr:uid="{C8D7D3B3-E6D8-4765-AD2B-1D0760BBA14C}"/>
    <cellStyle name="Обычный 58 2 5 2" xfId="19256" xr:uid="{B49169F0-98EF-4B3F-B924-B3BF7065BCC8}"/>
    <cellStyle name="Обычный 58 2 5 3" xfId="20411" xr:uid="{DEA4CDA0-71F8-4DB2-AE08-8930D991256D}"/>
    <cellStyle name="Обычный 58 2 5 4" xfId="33511" xr:uid="{458159C1-FD13-4E32-9923-4EB6EE8A3816}"/>
    <cellStyle name="Обычный 58 2 5 5" xfId="47290" xr:uid="{F7E401A8-2417-4C65-9343-2E92A238A9A7}"/>
    <cellStyle name="Обычный 58 2 6" xfId="17852" xr:uid="{9500E780-7D19-498E-B49F-C9746A7BAEF7}"/>
    <cellStyle name="Обычный 58 2 7" xfId="19308" xr:uid="{90BC3B85-C56C-44FA-8ADB-B931FEF855F8}"/>
    <cellStyle name="Обычный 58 2 8" xfId="20542" xr:uid="{32CAEC9E-E2EE-4FFF-A1A7-F158A830EF64}"/>
    <cellStyle name="Обычный 58 2 9" xfId="21313" xr:uid="{A72076FC-F7C1-4A1E-A8AD-7DAABF671B4A}"/>
    <cellStyle name="Обычный 58 3" xfId="4324" xr:uid="{65DC6A3F-A1E7-4FD3-B3C6-ACB29624FDD9}"/>
    <cellStyle name="Обычный 58 3 2" xfId="9552" xr:uid="{E8FCB907-5005-4D3B-B578-BE1584C9BF20}"/>
    <cellStyle name="Обычный 58 3 2 2" xfId="18620" xr:uid="{E3BD4E1C-CB45-42B7-A0E2-BC2D3DD7C907}"/>
    <cellStyle name="Обычный 58 3 2 3" xfId="19910" xr:uid="{E2EB8D49-81F0-4644-BF36-1B2F5DB85A25}"/>
    <cellStyle name="Обычный 58 3 2 4" xfId="26912" xr:uid="{04E828C9-FE0C-4244-BC81-AD7FFB9EA8F7}"/>
    <cellStyle name="Обычный 58 3 2 5" xfId="39995" xr:uid="{01171E2E-F44B-4838-9E21-3C007865EEEB}"/>
    <cellStyle name="Обычный 58 3 3" xfId="17927" xr:uid="{D8DAE6B9-3127-4214-869E-124CF946A94B}"/>
    <cellStyle name="Обычный 58 3 4" xfId="19383" xr:uid="{38754FE0-DAD3-48DB-A61D-3C1771579CB3}"/>
    <cellStyle name="Обычный 58 3 5" xfId="22144" xr:uid="{B776D447-F0DB-4E8B-ADCA-274E5B0893E3}"/>
    <cellStyle name="Обычный 58 3 6" xfId="35193" xr:uid="{8BA016A6-DB13-453E-B3DD-BBE6FC0A5B3A}"/>
    <cellStyle name="Обычный 58 4" xfId="5304" xr:uid="{E3AB4FB1-6424-424E-ADF5-A3853F514158}"/>
    <cellStyle name="Обычный 58 4 2" xfId="9736" xr:uid="{699D31A4-B168-488C-B0D8-E17F916E0EE7}"/>
    <cellStyle name="Обычный 58 4 2 2" xfId="18741" xr:uid="{CCA64828-A4C1-49D3-9276-FA0897C37C55}"/>
    <cellStyle name="Обычный 58 4 2 3" xfId="20004" xr:uid="{1D769CB7-1279-4700-B615-356A250B7237}"/>
    <cellStyle name="Обычный 58 4 2 4" xfId="27035" xr:uid="{A4B58FF9-52B2-4FF0-B914-ABD5905377F4}"/>
    <cellStyle name="Обычный 58 4 2 5" xfId="40152" xr:uid="{0FD40BF0-3B07-4A78-BAE9-630369F90318}"/>
    <cellStyle name="Обычный 58 4 3" xfId="18038" xr:uid="{BC9B883E-C5D6-48E1-B926-8B7E9F377AD3}"/>
    <cellStyle name="Обычный 58 4 4" xfId="19477" xr:uid="{EC542A5B-A602-452C-8718-E164A9F346CB}"/>
    <cellStyle name="Обычный 58 4 5" xfId="22954" xr:uid="{2D6B8041-03D9-4199-9F0B-A14E50C61DDB}"/>
    <cellStyle name="Обычный 58 4 6" xfId="36033" xr:uid="{E9F5226D-12FD-417D-993F-C17A797AD824}"/>
    <cellStyle name="Обычный 58 5" xfId="5379" xr:uid="{564AC0E7-1422-4CB8-B712-83F19750492D}"/>
    <cellStyle name="Обычный 58 5 2" xfId="9810" xr:uid="{FC12F271-C979-4A11-AA96-70E299E958A2}"/>
    <cellStyle name="Обычный 58 5 2 2" xfId="18794" xr:uid="{F5A8E91A-3CB7-498E-84B8-5507DFDD080C}"/>
    <cellStyle name="Обычный 58 5 2 3" xfId="20057" xr:uid="{362DB6A7-BA59-4CF1-BD4E-5D34AFB7F114}"/>
    <cellStyle name="Обычный 58 5 2 4" xfId="27107" xr:uid="{97F2A04B-EDEA-450D-9826-AC0E32A20A8E}"/>
    <cellStyle name="Обычный 58 5 2 5" xfId="40226" xr:uid="{EB9B2747-848E-44DF-A3BC-814CC781F882}"/>
    <cellStyle name="Обычный 58 5 3" xfId="18091" xr:uid="{A78CFF95-BD87-47A5-9053-C25DE883C77B}"/>
    <cellStyle name="Обычный 58 5 4" xfId="19530" xr:uid="{2C396572-F2EE-4217-8A96-4DF1F75170AA}"/>
    <cellStyle name="Обычный 58 5 5" xfId="23026" xr:uid="{5A44CF4B-1C5B-4DD7-BB4D-50A6AF89789B}"/>
    <cellStyle name="Обычный 58 5 6" xfId="36107" xr:uid="{825BA590-4C6E-4D05-9CAF-D874ADC49459}"/>
    <cellStyle name="Обычный 58 6" xfId="5987" xr:uid="{BF31BC37-C0C7-4E18-8785-8F6052A2CB75}"/>
    <cellStyle name="Обычный 58 6 2" xfId="9906" xr:uid="{3B531204-178F-44FD-8FCA-5331A2605835}"/>
    <cellStyle name="Обычный 58 6 2 2" xfId="18870" xr:uid="{CA6DB1DD-12AB-43C1-B7D8-C6216738717F}"/>
    <cellStyle name="Обычный 58 6 2 3" xfId="20132" xr:uid="{E2DFFBE5-A11D-4757-9690-6DADFC8DA056}"/>
    <cellStyle name="Обычный 58 6 2 4" xfId="27202" xr:uid="{CC2402DE-7C23-47D7-9E3C-BFF890EA2F7D}"/>
    <cellStyle name="Обычный 58 6 2 5" xfId="40321" xr:uid="{30CD8BA2-AA54-442E-B20F-8487032F943C}"/>
    <cellStyle name="Обычный 58 6 3" xfId="18166" xr:uid="{804A5F9E-0446-4908-887A-927162F29AC5}"/>
    <cellStyle name="Обычный 58 6 4" xfId="19605" xr:uid="{2FC859FF-9B8E-4E3C-88D0-9C1FA46CCE86}"/>
    <cellStyle name="Обычный 58 6 5" xfId="23633" xr:uid="{B667BA48-D4C6-4715-AECD-193C8F326C6E}"/>
    <cellStyle name="Обычный 58 6 6" xfId="36714" xr:uid="{44BC6660-88A2-48B5-8A87-602D19DCEC5D}"/>
    <cellStyle name="Обычный 58 7" xfId="6062" xr:uid="{C291A2D4-F66E-4144-A6F0-29490F133A32}"/>
    <cellStyle name="Обычный 58 7 2" xfId="9981" xr:uid="{B242470F-5B71-475F-8C72-EF27E8EB2C42}"/>
    <cellStyle name="Обычный 58 7 2 2" xfId="18945" xr:uid="{7A6FC621-89C5-49CD-9EF7-8DE8672FBF17}"/>
    <cellStyle name="Обычный 58 7 2 3" xfId="20207" xr:uid="{26F3BDC6-635B-43E7-81D6-2D3442F117C2}"/>
    <cellStyle name="Обычный 58 7 2 4" xfId="27277" xr:uid="{B74BA745-DDA3-49CB-B335-4EFFD45CAB0A}"/>
    <cellStyle name="Обычный 58 7 2 5" xfId="40396" xr:uid="{0C3E085D-7807-4823-A90C-05E0E8B8963E}"/>
    <cellStyle name="Обычный 58 7 3" xfId="18241" xr:uid="{35AF4FDB-59E8-4939-84AE-DF9C5ECF22F1}"/>
    <cellStyle name="Обычный 58 7 4" xfId="19680" xr:uid="{380598EF-6AD1-4920-903A-7A0697533CE1}"/>
    <cellStyle name="Обычный 58 7 5" xfId="23708" xr:uid="{CC6E436C-C074-4553-AF3E-7F729919B73D}"/>
    <cellStyle name="Обычный 58 7 6" xfId="36789" xr:uid="{D5F6FED7-594E-4E67-AD61-4E7579B5E0FF}"/>
    <cellStyle name="Обычный 58 8" xfId="9401" xr:uid="{5A177CF2-A568-4A7B-8639-5DDE17FBC999}"/>
    <cellStyle name="Обычный 58 8 2" xfId="18471" xr:uid="{22A53AA3-79E0-4CE3-AA29-37A5832D171F}"/>
    <cellStyle name="Обычный 58 8 3" xfId="19811" xr:uid="{EFFA2588-AEBC-4813-BA05-9A4554867A04}"/>
    <cellStyle name="Обычный 58 8 4" xfId="26813" xr:uid="{4189AEFE-4B1F-4B3A-8DE5-ADA36DD99D6E}"/>
    <cellStyle name="Обычный 58 8 5" xfId="39894" xr:uid="{4C59E20B-EBB3-4909-A4F7-35CAD238F7E7}"/>
    <cellStyle name="Обычный 58 9" xfId="10464" xr:uid="{F29F64B5-B2AF-402D-A27D-7CAEB382A446}"/>
    <cellStyle name="Обычный 59" xfId="2502" xr:uid="{040BAE5C-1D7F-4E80-8E7A-1D4595CF9884}"/>
    <cellStyle name="Обычный 59 10" xfId="17705" xr:uid="{8B8DC3F4-33EE-48C6-A9CF-1C636EB926A5}"/>
    <cellStyle name="Обычный 59 10 2" xfId="19212" xr:uid="{7E752B94-E155-4F2A-A043-256DD82CEB0F}"/>
    <cellStyle name="Обычный 59 10 3" xfId="20367" xr:uid="{9935CAF0-475E-460C-93BA-665F7E17B552}"/>
    <cellStyle name="Обычный 59 10 4" xfId="33428" xr:uid="{EC78DAA5-AD60-4C1D-A6FE-8B2BE9738204}"/>
    <cellStyle name="Обычный 59 10 5" xfId="47217" xr:uid="{18D0FEC6-52C9-4DC4-9437-3D149CF3AD32}"/>
    <cellStyle name="Обычный 59 11" xfId="17831" xr:uid="{023A772A-D3C8-4DE3-9354-F1546A74BD1E}"/>
    <cellStyle name="Обычный 59 12" xfId="19287" xr:uid="{0B6584CB-A2FE-42AD-8520-9037FE2C3AA3}"/>
    <cellStyle name="Обычный 59 13" xfId="20459" xr:uid="{EE07BF8F-5A63-41AD-B633-48BE29E36218}"/>
    <cellStyle name="Обычный 59 14" xfId="20573" xr:uid="{A99D3751-0317-4C2E-BC5B-7B56EFEAD278}"/>
    <cellStyle name="Обычный 59 15" xfId="33596" xr:uid="{E929EDFC-39EA-4247-AF5B-1F1A9A31ADB4}"/>
    <cellStyle name="Обычный 59 2" xfId="3293" xr:uid="{47191118-AC94-434E-B112-7BDF44FFB4BE}"/>
    <cellStyle name="Обычный 59 2 10" xfId="34341" xr:uid="{4332DC14-6C36-4882-A3F1-544E0CD309E5}"/>
    <cellStyle name="Обычный 59 2 2" xfId="5172" xr:uid="{5C6C9DA2-939D-4A04-9EE7-6F11D9BABC5D}"/>
    <cellStyle name="Обычный 59 2 2 2" xfId="9671" xr:uid="{9BEA10CB-9D88-4AC3-B917-618C9D39201D}"/>
    <cellStyle name="Обычный 59 2 2 2 2" xfId="18718" xr:uid="{EE669320-B232-46C0-8549-EEC6FE394394}"/>
    <cellStyle name="Обычный 59 2 2 2 3" xfId="19983" xr:uid="{16527C5C-A0E4-4E79-AB99-ADA649A329BA}"/>
    <cellStyle name="Обычный 59 2 2 2 4" xfId="26985" xr:uid="{804AC4C4-2687-4E2B-ABDA-DEA5C08131E9}"/>
    <cellStyle name="Обычный 59 2 2 2 5" xfId="40089" xr:uid="{643B5F66-2166-4A12-84D6-0E19A393F663}"/>
    <cellStyle name="Обычный 59 2 2 3" xfId="18016" xr:uid="{B32421AE-726C-478D-906F-E9700D16148A}"/>
    <cellStyle name="Обычный 59 2 2 4" xfId="19456" xr:uid="{D2E14272-BEA3-4E20-B888-5CA842BC3FC2}"/>
    <cellStyle name="Обычный 59 2 2 5" xfId="22861" xr:uid="{E57B955F-89C8-49E7-9486-0B712B284ED9}"/>
    <cellStyle name="Обычный 59 2 2 6" xfId="35927" xr:uid="{7E76797D-C9FA-4411-8CFD-F7D87E1FA933}"/>
    <cellStyle name="Обычный 59 2 3" xfId="6944" xr:uid="{2F87F4C4-6DB9-4B1C-848E-3CFF2100B872}"/>
    <cellStyle name="Обычный 59 2 3 2" xfId="10084" xr:uid="{FFD706C3-A7AC-4509-89FE-5C940FBABC1F}"/>
    <cellStyle name="Обычный 59 2 3 2 2" xfId="19047" xr:uid="{27BE50FC-C97D-45D2-9E68-21EA145D71D6}"/>
    <cellStyle name="Обычный 59 2 3 2 3" xfId="20286" xr:uid="{5CAFC08D-E788-4A08-B0C1-D59E48CF1471}"/>
    <cellStyle name="Обычный 59 2 3 2 4" xfId="27356" xr:uid="{66E4690A-12C2-4DFB-9219-EF6F1A824C23}"/>
    <cellStyle name="Обычный 59 2 3 2 5" xfId="40475" xr:uid="{13709F59-9447-4D59-9AD0-21DF35672599}"/>
    <cellStyle name="Обычный 59 2 3 3" xfId="18343" xr:uid="{1389904E-E868-4507-9117-78F549A6566C}"/>
    <cellStyle name="Обычный 59 2 3 4" xfId="19759" xr:uid="{6932948C-9097-4C59-99D0-019BA745B9D1}"/>
    <cellStyle name="Обычный 59 2 3 5" xfId="24566" xr:uid="{45EA7DFD-5EE5-43F7-8FD4-4B3CF9532B2E}"/>
    <cellStyle name="Обычный 59 2 3 6" xfId="37647" xr:uid="{CE65CB0A-268C-4D47-ABB9-15EF5FFF4291}"/>
    <cellStyle name="Обычный 59 2 4" xfId="9451" xr:uid="{CDEED523-2EC0-4B2E-8369-F95DE3D8700D}"/>
    <cellStyle name="Обычный 59 2 4 2" xfId="18521" xr:uid="{59DF54BE-6A75-411F-8CDC-950DA4E6AE74}"/>
    <cellStyle name="Обычный 59 2 4 3" xfId="19838" xr:uid="{D9FC1834-852F-4DED-BCC0-AC2543C7A707}"/>
    <cellStyle name="Обычный 59 2 4 4" xfId="26840" xr:uid="{C5333ADD-936B-4604-AF8F-BCBAF4FDC4A5}"/>
    <cellStyle name="Обычный 59 2 4 5" xfId="39921" xr:uid="{A53957C6-ADC5-4E3A-B037-7EB336065AAE}"/>
    <cellStyle name="Обычный 59 2 5" xfId="17790" xr:uid="{92B0E8FE-2172-4D9C-9EB3-8262CA69F11F}"/>
    <cellStyle name="Обычный 59 2 5 2" xfId="19257" xr:uid="{D2913B3F-F98E-404B-A0E8-720FF1863B2A}"/>
    <cellStyle name="Обычный 59 2 5 3" xfId="20412" xr:uid="{D2112AC4-E17C-4C63-8E93-525EDDD85E5A}"/>
    <cellStyle name="Обычный 59 2 5 4" xfId="33512" xr:uid="{AC25ED95-EBB1-4E36-ACBA-367B9258ED07}"/>
    <cellStyle name="Обычный 59 2 5 5" xfId="47291" xr:uid="{CD1435E3-9D9D-47FD-80A8-BC36D8C04C48}"/>
    <cellStyle name="Обычный 59 2 6" xfId="17855" xr:uid="{F999CB81-B061-4704-BD54-CD4B9B3F40B7}"/>
    <cellStyle name="Обычный 59 2 7" xfId="19311" xr:uid="{E90AAC19-8930-4755-97D9-9DC8C30300FA}"/>
    <cellStyle name="Обычный 59 2 8" xfId="20543" xr:uid="{FD47DCF7-AAA0-4717-98B8-89C58A91FD0A}"/>
    <cellStyle name="Обычный 59 2 9" xfId="21318" xr:uid="{2A7A7684-EB22-479E-8668-E017A1BDDAE8}"/>
    <cellStyle name="Обычный 59 3" xfId="4328" xr:uid="{115DF07A-0966-4610-AE8A-5CCDD5A6ECC3}"/>
    <cellStyle name="Обычный 59 3 2" xfId="9555" xr:uid="{6B012C13-1BB5-46A9-BA15-4DE963445FAD}"/>
    <cellStyle name="Обычный 59 3 2 2" xfId="18623" xr:uid="{60377BE0-A599-412C-ADDD-9F01A936F30C}"/>
    <cellStyle name="Обычный 59 3 2 3" xfId="19913" xr:uid="{1B6EBE06-CD2A-4CB8-8F55-8A433E9193B6}"/>
    <cellStyle name="Обычный 59 3 2 4" xfId="26915" xr:uid="{631BE9F9-F948-483D-82E8-30685B2339E4}"/>
    <cellStyle name="Обычный 59 3 2 5" xfId="39998" xr:uid="{2B489C03-B174-4593-8AEB-E9CF1E745B29}"/>
    <cellStyle name="Обычный 59 3 3" xfId="17930" xr:uid="{EA99DDBB-A6D9-4BFD-8D6C-C04B8450B436}"/>
    <cellStyle name="Обычный 59 3 4" xfId="19386" xr:uid="{52BA85DC-F900-4B60-9A3A-9C537B7F95DE}"/>
    <cellStyle name="Обычный 59 3 5" xfId="22148" xr:uid="{9A2DEA4F-2077-4725-AE37-8EFE9391A8DC}"/>
    <cellStyle name="Обычный 59 3 6" xfId="35197" xr:uid="{85A5A5C6-590A-4DED-BCC1-AF6F5EFB91AB}"/>
    <cellStyle name="Обычный 59 4" xfId="5307" xr:uid="{BC65CC1C-F107-4060-8236-C4945BCFA1CE}"/>
    <cellStyle name="Обычный 59 4 2" xfId="9739" xr:uid="{45A10B88-6774-4E2C-9219-D2595E476F78}"/>
    <cellStyle name="Обычный 59 4 2 2" xfId="18744" xr:uid="{2F40BD25-4319-468D-8691-207046119776}"/>
    <cellStyle name="Обычный 59 4 2 3" xfId="20007" xr:uid="{D46D30C2-CE6D-42A3-A2F8-6F6D94898961}"/>
    <cellStyle name="Обычный 59 4 2 4" xfId="27038" xr:uid="{A4C58D6B-D301-4689-8A64-D9FDDC283939}"/>
    <cellStyle name="Обычный 59 4 2 5" xfId="40155" xr:uid="{458117F4-FBED-4044-845E-E96B6EEB1C4F}"/>
    <cellStyle name="Обычный 59 4 3" xfId="18041" xr:uid="{9B494543-36FB-4FC7-A840-B7E68E438483}"/>
    <cellStyle name="Обычный 59 4 4" xfId="19480" xr:uid="{CFF45F67-519F-4478-9C70-6215B402A308}"/>
    <cellStyle name="Обычный 59 4 5" xfId="22957" xr:uid="{551C7441-8391-4355-88CF-54AE90FDDAB9}"/>
    <cellStyle name="Обычный 59 4 6" xfId="36036" xr:uid="{AE1FD5DD-86E2-45EA-A5F7-13D51C561D8D}"/>
    <cellStyle name="Обычный 59 5" xfId="5383" xr:uid="{01D9F984-E7B2-4A6E-99CC-50A4CEB79DDB}"/>
    <cellStyle name="Обычный 59 5 2" xfId="9813" xr:uid="{8C326EBF-0DDE-4DFD-8B51-445DF57B395C}"/>
    <cellStyle name="Обычный 59 5 2 2" xfId="18797" xr:uid="{3F5B0B92-9299-4A70-8B19-9FA15D6FD3C0}"/>
    <cellStyle name="Обычный 59 5 2 3" xfId="20060" xr:uid="{404AFAEE-D023-4FE2-B284-61153D66F95C}"/>
    <cellStyle name="Обычный 59 5 2 4" xfId="27110" xr:uid="{5AD0B6E7-EB58-4996-81BE-1FCC37E3DB1B}"/>
    <cellStyle name="Обычный 59 5 2 5" xfId="40229" xr:uid="{10F42F21-299F-43BF-AA97-48513B749635}"/>
    <cellStyle name="Обычный 59 5 3" xfId="18094" xr:uid="{FA9662D6-9D4C-45C9-8A4B-00EFBA08FD4D}"/>
    <cellStyle name="Обычный 59 5 4" xfId="19533" xr:uid="{B8264113-F200-4B2C-AF1C-BAF742F7D5BC}"/>
    <cellStyle name="Обычный 59 5 5" xfId="23030" xr:uid="{90FE171F-C57E-4A01-ABDC-E915E7E4F927}"/>
    <cellStyle name="Обычный 59 5 6" xfId="36111" xr:uid="{317868E1-634F-40A8-9240-7CFB95B7DD2D}"/>
    <cellStyle name="Обычный 59 6" xfId="5990" xr:uid="{A88FBAC9-5399-4BCE-949F-57B8A4EE4D52}"/>
    <cellStyle name="Обычный 59 6 2" xfId="9909" xr:uid="{0755A4E0-33A2-4B4A-9046-ABC654C71203}"/>
    <cellStyle name="Обычный 59 6 2 2" xfId="18873" xr:uid="{1812612D-FCF6-4A83-BB3F-4C9438C67681}"/>
    <cellStyle name="Обычный 59 6 2 3" xfId="20135" xr:uid="{3CF3E68A-99C7-4DAB-AB0E-FABF5ED78E2C}"/>
    <cellStyle name="Обычный 59 6 2 4" xfId="27205" xr:uid="{5EFCFC5C-0F32-4807-B051-AF0A1451D701}"/>
    <cellStyle name="Обычный 59 6 2 5" xfId="40324" xr:uid="{CF3732F2-11AF-48F1-9A79-5295C38A191D}"/>
    <cellStyle name="Обычный 59 6 3" xfId="18169" xr:uid="{60FFF3C9-51E9-498F-975B-710ECE7EB14D}"/>
    <cellStyle name="Обычный 59 6 4" xfId="19608" xr:uid="{0691920D-E898-4164-9E82-9DA14DEEC25F}"/>
    <cellStyle name="Обычный 59 6 5" xfId="23636" xr:uid="{0391ECE4-3A57-4542-9EB2-A3DDC20ED4C1}"/>
    <cellStyle name="Обычный 59 6 6" xfId="36717" xr:uid="{B34F8751-DFDE-4158-A1F8-68641CF760BB}"/>
    <cellStyle name="Обычный 59 7" xfId="6065" xr:uid="{DFF2151A-09E1-4539-BE6C-F8B0FF5E8C62}"/>
    <cellStyle name="Обычный 59 7 2" xfId="9984" xr:uid="{3609B2F4-2A05-487F-89CD-B7B32083B806}"/>
    <cellStyle name="Обычный 59 7 2 2" xfId="18948" xr:uid="{EBA79642-AD4A-4EE9-BB9D-0D199F838776}"/>
    <cellStyle name="Обычный 59 7 2 3" xfId="20210" xr:uid="{2EA683F2-69A2-4682-B383-6A351A8E4D41}"/>
    <cellStyle name="Обычный 59 7 2 4" xfId="27280" xr:uid="{43ED1A2A-2FBA-45CE-8B1F-9F95BA5E26D9}"/>
    <cellStyle name="Обычный 59 7 2 5" xfId="40399" xr:uid="{80214E9A-1AAF-4165-AD30-F3CF1B7A4324}"/>
    <cellStyle name="Обычный 59 7 3" xfId="18244" xr:uid="{3861EFB8-5045-43A1-8497-7018A6BCAD74}"/>
    <cellStyle name="Обычный 59 7 4" xfId="19683" xr:uid="{C5140519-8C7A-4856-97E5-609EF3931CB9}"/>
    <cellStyle name="Обычный 59 7 5" xfId="23711" xr:uid="{8DD5AB64-4DAD-48E1-BD6A-C2A7C6593C2F}"/>
    <cellStyle name="Обычный 59 7 6" xfId="36792" xr:uid="{2BDFC4BA-E113-4009-8019-029088A28978}"/>
    <cellStyle name="Обычный 59 8" xfId="9404" xr:uid="{E1A3A7A7-391A-4652-9941-DDB55FF8814C}"/>
    <cellStyle name="Обычный 59 8 2" xfId="18474" xr:uid="{24EB09F6-025E-4373-B3B3-140D1A7AE0F1}"/>
    <cellStyle name="Обычный 59 8 3" xfId="19814" xr:uid="{3909F1DA-66AE-4308-86F2-D06F38BB5DD1}"/>
    <cellStyle name="Обычный 59 8 4" xfId="26816" xr:uid="{4758B404-04AE-47EB-A6A5-7BAEB7871D07}"/>
    <cellStyle name="Обычный 59 8 5" xfId="39897" xr:uid="{FAB84922-C72C-4C06-BF16-72CBC5AF56BE}"/>
    <cellStyle name="Обычный 59 9" xfId="10465" xr:uid="{1082F7A6-8BB0-4785-9785-EFEA72B39774}"/>
    <cellStyle name="Обычный 6" xfId="2400" xr:uid="{E053CD26-DE47-4A48-A19B-0C9DACF10B21}"/>
    <cellStyle name="Обычный 6 2" xfId="2484" xr:uid="{6C35777F-80EC-4AA9-B8EA-458F646F48C6}"/>
    <cellStyle name="Обычный 6 2 10" xfId="17688" xr:uid="{EBD369C1-728E-4375-9573-C0DD1CFDAADD}"/>
    <cellStyle name="Обычный 6 2 10 2" xfId="19195" xr:uid="{FFD22276-6C03-46BC-B8C7-31A82A47F67F}"/>
    <cellStyle name="Обычный 6 2 10 3" xfId="20350" xr:uid="{AC1B0940-A762-4BBE-94C2-AF0EA1FFA5D3}"/>
    <cellStyle name="Обычный 6 2 10 4" xfId="33411" xr:uid="{4ED576D9-045A-4B8F-8C10-0E74F2850E2C}"/>
    <cellStyle name="Обычный 6 2 10 5" xfId="47200" xr:uid="{9427E078-822C-4B50-A320-751F9EB669F0}"/>
    <cellStyle name="Обычный 6 2 11" xfId="17821" xr:uid="{31D766E3-1EE5-4D85-84D5-64F5BA9C33C5}"/>
    <cellStyle name="Обычный 6 2 12" xfId="19277" xr:uid="{D1DB345E-0A4D-473E-A91E-AA11A3452D91}"/>
    <cellStyle name="Обычный 6 2 13" xfId="20442" xr:uid="{FB6EF93B-C36E-4F7C-9580-BDAB082DC866}"/>
    <cellStyle name="Обычный 6 2 14" xfId="20563" xr:uid="{90997BEF-41A4-4B36-B364-0554481DC4AB}"/>
    <cellStyle name="Обычный 6 2 15" xfId="33586" xr:uid="{56D1D968-441D-4725-AC52-CD333A72DF45}"/>
    <cellStyle name="Обычный 6 2 2" xfId="3277" xr:uid="{65666BBC-CC2E-4910-A672-C15574278DEF}"/>
    <cellStyle name="Обычный 6 2 2 10" xfId="34328" xr:uid="{1BE8E0B8-93EF-4C90-BC0D-884EBF6EA4AD}"/>
    <cellStyle name="Обычный 6 2 2 2" xfId="5165" xr:uid="{8EB9E071-4FE8-47DC-BA4E-846EC7DA6E6C}"/>
    <cellStyle name="Обычный 6 2 2 2 2" xfId="9665" xr:uid="{C51DAA7C-AA84-42BD-BB52-2C10B0A0830D}"/>
    <cellStyle name="Обычный 6 2 2 2 2 2" xfId="18712" xr:uid="{71E3092B-615A-4F05-81B3-6E66D7AF5FC9}"/>
    <cellStyle name="Обычный 6 2 2 2 2 3" xfId="19977" xr:uid="{195FA04E-0138-4474-8E2D-D2876BE29D9B}"/>
    <cellStyle name="Обычный 6 2 2 2 2 4" xfId="26979" xr:uid="{3C825532-B632-4759-B563-3943F66FC851}"/>
    <cellStyle name="Обычный 6 2 2 2 2 5" xfId="40083" xr:uid="{5A6BCE89-345C-44E1-A8E5-D823E524C097}"/>
    <cellStyle name="Обычный 6 2 2 2 3" xfId="18010" xr:uid="{999F1761-29D5-416F-BDB1-3552C9A12022}"/>
    <cellStyle name="Обычный 6 2 2 2 4" xfId="19450" xr:uid="{0CC3602E-5920-4068-B4E5-8D005A2C01AE}"/>
    <cellStyle name="Обычный 6 2 2 2 5" xfId="22855" xr:uid="{7CE7038E-99C3-4A11-9677-AF065B9E1572}"/>
    <cellStyle name="Обычный 6 2 2 2 6" xfId="35921" xr:uid="{D1084B0F-40A8-4A55-BB2B-74509BBC8D4E}"/>
    <cellStyle name="Обычный 6 2 2 3" xfId="6931" xr:uid="{E587F92A-F596-451C-AFBC-F0DB186625FA}"/>
    <cellStyle name="Обычный 6 2 2 3 2" xfId="10074" xr:uid="{274885FF-A8B5-490F-8E6F-B6DF064E1ADB}"/>
    <cellStyle name="Обычный 6 2 2 3 2 2" xfId="19037" xr:uid="{90781AF1-D471-4CD1-8B2F-DA6709877E07}"/>
    <cellStyle name="Обычный 6 2 2 3 2 3" xfId="20276" xr:uid="{E7ED1BD9-F875-4CAE-B08A-CA057B129E34}"/>
    <cellStyle name="Обычный 6 2 2 3 2 4" xfId="27346" xr:uid="{A4882E6F-D1FC-4927-8F45-C7031821F423}"/>
    <cellStyle name="Обычный 6 2 2 3 2 5" xfId="40465" xr:uid="{1156C693-406F-4A45-B6BD-E2D76683FA79}"/>
    <cellStyle name="Обычный 6 2 2 3 3" xfId="18333" xr:uid="{9351A073-884C-46F6-9F43-53F68BF8ADCB}"/>
    <cellStyle name="Обычный 6 2 2 3 4" xfId="19749" xr:uid="{64F859AC-3D45-4CA0-BF06-F78F8C7D2878}"/>
    <cellStyle name="Обычный 6 2 2 3 5" xfId="24553" xr:uid="{F7A22267-673E-4B38-9344-8CE897050F35}"/>
    <cellStyle name="Обычный 6 2 2 3 6" xfId="37634" xr:uid="{D36026BD-2A95-4EF3-AD96-B88AD890F82A}"/>
    <cellStyle name="Обычный 6 2 2 4" xfId="9441" xr:uid="{8E9F02B6-72F0-48A0-A4D1-9C9D55F433B9}"/>
    <cellStyle name="Обычный 6 2 2 4 2" xfId="18511" xr:uid="{6D78DEE2-E2A6-46D0-9E52-29968414A995}"/>
    <cellStyle name="Обычный 6 2 2 4 3" xfId="19828" xr:uid="{5432B612-3C40-443E-9C02-9A63CA25363C}"/>
    <cellStyle name="Обычный 6 2 2 4 4" xfId="26830" xr:uid="{CC6469D2-FD0E-4C98-ABB0-3436840E2FC6}"/>
    <cellStyle name="Обычный 6 2 2 4 5" xfId="39911" xr:uid="{673CAC87-1FED-4240-8F82-B5A670EC654A}"/>
    <cellStyle name="Обычный 6 2 2 5" xfId="17773" xr:uid="{EB4AAE1D-FE1B-47B5-9058-DE8D11FA6E74}"/>
    <cellStyle name="Обычный 6 2 2 5 2" xfId="19240" xr:uid="{445A2382-DF33-4759-AB25-FB89F1453B78}"/>
    <cellStyle name="Обычный 6 2 2 5 3" xfId="20395" xr:uid="{C4E9A9CA-FE2F-466C-8D93-9293CF83FD57}"/>
    <cellStyle name="Обычный 6 2 2 5 4" xfId="33495" xr:uid="{F86C8EB2-C7CA-4140-9EF9-9EE49F8EDCDB}"/>
    <cellStyle name="Обычный 6 2 2 5 5" xfId="47274" xr:uid="{B82F90B7-B92D-4AD6-A79B-6C2716470031}"/>
    <cellStyle name="Обычный 6 2 2 6" xfId="17845" xr:uid="{ACF9B0DD-27A6-4B54-91FA-198EA96C7F38}"/>
    <cellStyle name="Обычный 6 2 2 7" xfId="19301" xr:uid="{9997AE43-C070-4F76-81F1-ADACE7DBE50B}"/>
    <cellStyle name="Обычный 6 2 2 8" xfId="20526" xr:uid="{10BAA318-9F1B-412B-90A5-F3C2284826B3}"/>
    <cellStyle name="Обычный 6 2 2 9" xfId="21305" xr:uid="{0A5D29B2-A7C4-46F5-B9F3-5AF522518E01}"/>
    <cellStyle name="Обычный 6 2 3" xfId="4317" xr:uid="{D6250AF1-4AAE-4EB0-A755-8919FDC9C2D4}"/>
    <cellStyle name="Обычный 6 2 3 2" xfId="9545" xr:uid="{55F8B33D-3F30-4750-A1F0-45EC3381085C}"/>
    <cellStyle name="Обычный 6 2 3 2 2" xfId="18613" xr:uid="{01E8520D-CCEB-4CFE-BD33-759B85E2DF95}"/>
    <cellStyle name="Обычный 6 2 3 2 3" xfId="19903" xr:uid="{38D17B6E-EE94-411A-9B46-240237A979E0}"/>
    <cellStyle name="Обычный 6 2 3 2 4" xfId="26905" xr:uid="{F7C98DB8-E12E-4473-8ECC-51F041E3AD1A}"/>
    <cellStyle name="Обычный 6 2 3 2 5" xfId="39988" xr:uid="{1B585599-FDD2-484D-8336-18142E2EF695}"/>
    <cellStyle name="Обычный 6 2 3 3" xfId="17920" xr:uid="{3BF02A59-4021-402A-9EA8-77DB1CF5813A}"/>
    <cellStyle name="Обычный 6 2 3 4" xfId="19376" xr:uid="{856F4808-FEB8-497A-8124-8C81262CEEB3}"/>
    <cellStyle name="Обычный 6 2 3 5" xfId="22137" xr:uid="{6CFFE227-87CA-41D0-ADB1-F4A066735CC6}"/>
    <cellStyle name="Обычный 6 2 3 6" xfId="35186" xr:uid="{968A31BF-B411-48AE-909F-258D228444C1}"/>
    <cellStyle name="Обычный 6 2 4" xfId="5297" xr:uid="{E1B7390B-798C-4D29-8561-C90B4B44B5C4}"/>
    <cellStyle name="Обычный 6 2 4 2" xfId="9729" xr:uid="{FFEDDF5A-CB12-415E-93C9-13BDE2BD8BDE}"/>
    <cellStyle name="Обычный 6 2 4 2 2" xfId="18734" xr:uid="{C3532B8B-B4E2-4B6F-9098-7AB86348F322}"/>
    <cellStyle name="Обычный 6 2 4 2 3" xfId="19997" xr:uid="{8E487AF5-C500-46A6-BB72-67F8866650EA}"/>
    <cellStyle name="Обычный 6 2 4 2 4" xfId="27028" xr:uid="{D468260A-789D-4A5F-BE81-889D5933D20A}"/>
    <cellStyle name="Обычный 6 2 4 2 5" xfId="40145" xr:uid="{63C290C5-5D2F-4742-B5CE-EB764319B7DE}"/>
    <cellStyle name="Обычный 6 2 4 3" xfId="18031" xr:uid="{205671C0-F1AE-44C5-9058-9E59990FF654}"/>
    <cellStyle name="Обычный 6 2 4 4" xfId="19470" xr:uid="{8CD4EB80-7FB8-49DC-90E8-B656475F7D16}"/>
    <cellStyle name="Обычный 6 2 4 5" xfId="22947" xr:uid="{66E57ADD-311F-42C6-BF8A-816883FFBA44}"/>
    <cellStyle name="Обычный 6 2 4 6" xfId="36026" xr:uid="{231E142E-3787-4DF0-B068-66D906A71810}"/>
    <cellStyle name="Обычный 6 2 5" xfId="5372" xr:uid="{AAB91A16-A008-4174-9733-65EC4562E366}"/>
    <cellStyle name="Обычный 6 2 5 2" xfId="9803" xr:uid="{91050ADD-BB2D-431A-9B7E-64EA684BFD36}"/>
    <cellStyle name="Обычный 6 2 5 2 2" xfId="18787" xr:uid="{8F231A91-987B-4792-890E-2B1A396159EC}"/>
    <cellStyle name="Обычный 6 2 5 2 3" xfId="20050" xr:uid="{8767F938-C87C-4DDA-B909-DE7B35621C5F}"/>
    <cellStyle name="Обычный 6 2 5 2 4" xfId="27100" xr:uid="{600939FE-34CD-4287-B6AF-F94CACFFD2F5}"/>
    <cellStyle name="Обычный 6 2 5 2 5" xfId="40219" xr:uid="{38EBA20F-48FA-40CC-88C7-E3B7A97DF609}"/>
    <cellStyle name="Обычный 6 2 5 3" xfId="18084" xr:uid="{2D137294-E319-4D5F-A546-740F2DFDB2A2}"/>
    <cellStyle name="Обычный 6 2 5 4" xfId="19523" xr:uid="{CCC44567-7F5D-4E41-B2D5-76DF7366BE26}"/>
    <cellStyle name="Обычный 6 2 5 5" xfId="23019" xr:uid="{508A2CB6-1B9C-4C99-B0D5-F7B937E2BCCB}"/>
    <cellStyle name="Обычный 6 2 5 6" xfId="36100" xr:uid="{742BC67D-345C-49EE-9CDE-710F55E6A29C}"/>
    <cellStyle name="Обычный 6 2 6" xfId="5980" xr:uid="{BBD561FD-3EE4-4879-99CF-2B750A6BEFD9}"/>
    <cellStyle name="Обычный 6 2 6 2" xfId="9899" xr:uid="{0DF3AA18-3896-4AED-A6B5-8BC52A17B643}"/>
    <cellStyle name="Обычный 6 2 6 2 2" xfId="18863" xr:uid="{7A13B49A-FF6A-4678-BB26-C8B3F8EE7DCA}"/>
    <cellStyle name="Обычный 6 2 6 2 3" xfId="20125" xr:uid="{F3CDEBEC-6487-41CF-855B-B6B13B0A3C75}"/>
    <cellStyle name="Обычный 6 2 6 2 4" xfId="27195" xr:uid="{7524C148-DD4A-4FA9-8078-7BBCF6EFE629}"/>
    <cellStyle name="Обычный 6 2 6 2 5" xfId="40314" xr:uid="{05E29E08-6D5F-418F-A68B-7B5E0951C7D4}"/>
    <cellStyle name="Обычный 6 2 6 3" xfId="18159" xr:uid="{645AF9A6-8D67-4A12-8C03-D9296067B7FD}"/>
    <cellStyle name="Обычный 6 2 6 4" xfId="19598" xr:uid="{8B084A79-13E6-49EF-BACB-EA85B1AAA773}"/>
    <cellStyle name="Обычный 6 2 6 5" xfId="23626" xr:uid="{712462DF-3854-45E0-ADB8-3D966AB0F44C}"/>
    <cellStyle name="Обычный 6 2 6 6" xfId="36707" xr:uid="{0A65A9C6-F924-4376-88EF-B6335877ABCD}"/>
    <cellStyle name="Обычный 6 2 7" xfId="6055" xr:uid="{C8ED48C3-0515-45C3-A4A3-F2C6AE33C233}"/>
    <cellStyle name="Обычный 6 2 7 2" xfId="9974" xr:uid="{C8707510-E43F-457E-A83F-4C97F4F56CF9}"/>
    <cellStyle name="Обычный 6 2 7 2 2" xfId="18938" xr:uid="{10BEC11C-461F-47A7-AD1D-6FE573F44B01}"/>
    <cellStyle name="Обычный 6 2 7 2 3" xfId="20200" xr:uid="{38AC196E-914F-4336-AF21-96B543706697}"/>
    <cellStyle name="Обычный 6 2 7 2 4" xfId="27270" xr:uid="{C394CAF5-72DA-4119-B118-FEC27AA048DA}"/>
    <cellStyle name="Обычный 6 2 7 2 5" xfId="40389" xr:uid="{36AB5355-8264-4FC2-9757-F71C5E4F0BF0}"/>
    <cellStyle name="Обычный 6 2 7 3" xfId="18234" xr:uid="{83A32B6A-182E-4E55-93E9-12B1ED18BD2C}"/>
    <cellStyle name="Обычный 6 2 7 4" xfId="19673" xr:uid="{9055C5FA-86BE-48F0-9B19-037E1DD2E4AA}"/>
    <cellStyle name="Обычный 6 2 7 5" xfId="23701" xr:uid="{9BFBA47B-D48B-4020-B186-02DDBD9B22DA}"/>
    <cellStyle name="Обычный 6 2 7 6" xfId="36782" xr:uid="{FF852F4F-BE6D-4C48-ACF0-03640C6FA547}"/>
    <cellStyle name="Обычный 6 2 8" xfId="9394" xr:uid="{D4D5822A-EB4B-4692-8ACD-094C3F4EFA92}"/>
    <cellStyle name="Обычный 6 2 8 2" xfId="18464" xr:uid="{486C6226-7F8F-4293-AD18-1CD4B1AF6A1F}"/>
    <cellStyle name="Обычный 6 2 8 3" xfId="19804" xr:uid="{10E47D08-ADE1-4A0D-9152-F021C0F5C0A6}"/>
    <cellStyle name="Обычный 6 2 8 4" xfId="26806" xr:uid="{F0B7E9E6-B134-490F-B3CD-8F8528B766A2}"/>
    <cellStyle name="Обычный 6 2 8 5" xfId="39887" xr:uid="{7C9725E3-C6FB-44FA-A59D-9BA4663F4708}"/>
    <cellStyle name="Обычный 6 2 9" xfId="10466" xr:uid="{B4425B50-6220-4368-AEEA-6D15ACF55030}"/>
    <cellStyle name="Обычный 6 3" xfId="4002" xr:uid="{2679D578-75A7-4849-AAC6-E88CA536BEA0}"/>
    <cellStyle name="Обычный 6 3 2" xfId="3788" xr:uid="{3792F030-815D-4AD3-AB8E-995F04DF549C}"/>
    <cellStyle name="Обычный 6 3 2 10" xfId="9479" xr:uid="{C32286F9-2767-411E-88E3-D7911CB5979E}"/>
    <cellStyle name="Обычный 6 3 2 10 2" xfId="18547" xr:uid="{0CCB86E1-72AA-4E41-9F3B-039778B35B7C}"/>
    <cellStyle name="Обычный 6 3 2 10 3" xfId="19851" xr:uid="{4D2F96CD-18E0-4988-A65E-E453430F9024}"/>
    <cellStyle name="Обычный 6 3 2 10 4" xfId="26853" xr:uid="{791C70D0-7EFC-4308-B086-DF03B5E1F13B}"/>
    <cellStyle name="Обычный 6 3 2 10 5" xfId="39936" xr:uid="{8FB3B221-3082-4EE3-B16F-23602B5E1A5C}"/>
    <cellStyle name="Обычный 6 3 2 11" xfId="10467" xr:uid="{5B4D87A1-B0A9-4109-8A7A-F79E782D40A6}"/>
    <cellStyle name="Обычный 6 3 2 12" xfId="17693" xr:uid="{E55A54BF-3160-4854-9EAF-A0039FD1037E}"/>
    <cellStyle name="Обычный 6 3 2 12 2" xfId="19200" xr:uid="{D6C854D8-7FEB-4215-8BA2-55D4C67433A1}"/>
    <cellStyle name="Обычный 6 3 2 12 3" xfId="20355" xr:uid="{71CB36D7-0D78-4DD4-935A-EE7B68EAE601}"/>
    <cellStyle name="Обычный 6 3 2 12 4" xfId="33416" xr:uid="{28A7CD25-4678-4404-BA84-67FAA5AF3CD6}"/>
    <cellStyle name="Обычный 6 3 2 12 5" xfId="47205" xr:uid="{10419A0E-9EB3-4049-9C61-64F1CD74C4DA}"/>
    <cellStyle name="Обычный 6 3 2 13" xfId="17868" xr:uid="{752D3D55-25DB-41F4-BF6D-611FF2191D30}"/>
    <cellStyle name="Обычный 6 3 2 14" xfId="19324" xr:uid="{9C669E15-413C-4701-B1D9-951A8D7DB6ED}"/>
    <cellStyle name="Обычный 6 3 2 15" xfId="20447" xr:uid="{6B12EFBC-C6AC-41F5-9FF2-DADE73BDE5D0}"/>
    <cellStyle name="Обычный 6 3 2 16" xfId="21683" xr:uid="{2BF77CA8-5C83-401D-9350-F72FE61940F3}"/>
    <cellStyle name="Обычный 6 3 2 17" xfId="34737" xr:uid="{F70E6D84-105E-4BC1-B31A-A15A88A9D9DC}"/>
    <cellStyle name="Обычный 6 3 2 2" xfId="3791" xr:uid="{93B2CF9B-694D-4E36-BDFA-1460370ABBEE}"/>
    <cellStyle name="Обычный 6 3 2 2 10" xfId="17696" xr:uid="{AA56948A-595A-4A9D-8BCD-46B3989391EF}"/>
    <cellStyle name="Обычный 6 3 2 2 10 2" xfId="19203" xr:uid="{72222B42-4176-47BC-9FF8-99FCB5AE005A}"/>
    <cellStyle name="Обычный 6 3 2 2 10 3" xfId="20358" xr:uid="{A9242C55-8B5B-4375-8A7B-4F6549938124}"/>
    <cellStyle name="Обычный 6 3 2 2 10 4" xfId="33419" xr:uid="{5E98FE82-B6BF-40A6-A7F5-E8B5470FBDB5}"/>
    <cellStyle name="Обычный 6 3 2 2 10 5" xfId="47208" xr:uid="{F7A1BC34-A482-44B0-8470-0950D41F5CA5}"/>
    <cellStyle name="Обычный 6 3 2 2 11" xfId="17871" xr:uid="{BE089325-A26F-4B1F-94E9-7119D1232540}"/>
    <cellStyle name="Обычный 6 3 2 2 12" xfId="19327" xr:uid="{E4DAB783-51F1-4860-84AF-8D33F2C15FFB}"/>
    <cellStyle name="Обычный 6 3 2 2 13" xfId="20450" xr:uid="{3B3A9651-25F9-4C1B-9F41-BD0D7298072F}"/>
    <cellStyle name="Обычный 6 3 2 2 14" xfId="21686" xr:uid="{4369FEAB-394B-441C-BE94-75D6164A4075}"/>
    <cellStyle name="Обычный 6 3 2 2 15" xfId="34740" xr:uid="{0212E985-C443-4778-91BC-F7B6AC07D1D1}"/>
    <cellStyle name="Обычный 6 3 2 2 2" xfId="3802" xr:uid="{5219C9E9-8D38-482F-B225-32524FD6B9C8}"/>
    <cellStyle name="Обычный 6 3 2 2 2 10" xfId="17879" xr:uid="{1E096912-7B4A-4CA4-8C99-40137D63CA29}"/>
    <cellStyle name="Обычный 6 3 2 2 2 11" xfId="19335" xr:uid="{E4CA2AD3-80EB-404B-A901-1B42E4C54893}"/>
    <cellStyle name="Обычный 6 3 2 2 2 12" xfId="20460" xr:uid="{5A6841C8-71F0-4C61-816E-6CB0F83BD64E}"/>
    <cellStyle name="Обычный 6 3 2 2 2 13" xfId="21694" xr:uid="{8E6CCBAE-9276-4372-862D-0BE7B2E81B88}"/>
    <cellStyle name="Обычный 6 3 2 2 2 14" xfId="34748" xr:uid="{641202EC-73E2-48B2-BE60-1C7045BC5C2A}"/>
    <cellStyle name="Обычный 6 3 2 2 2 2" xfId="4598" xr:uid="{838A5070-4116-4989-9A8E-858B47F62D76}"/>
    <cellStyle name="Обычный 6 3 2 2 2 2 2" xfId="9591" xr:uid="{BEBCC916-FAB6-4D05-A66B-FD099147F30C}"/>
    <cellStyle name="Обычный 6 3 2 2 2 2 2 2" xfId="18659" xr:uid="{46BEBA22-9BAE-48C0-B26D-0CFAB129FCDC}"/>
    <cellStyle name="Обычный 6 3 2 2 2 2 2 3" xfId="19946" xr:uid="{7469A7E6-1903-45CC-B2D0-973F6DEB70A8}"/>
    <cellStyle name="Обычный 6 3 2 2 2 2 2 4" xfId="26948" xr:uid="{84BD8CD7-3AC8-4A67-8E93-B3FF1A38F7F7}"/>
    <cellStyle name="Обычный 6 3 2 2 2 2 2 5" xfId="40031" xr:uid="{C9BFD1B5-50E1-47B6-A87F-15F8615D160C}"/>
    <cellStyle name="Обычный 6 3 2 2 2 2 3" xfId="17791" xr:uid="{5FBB519F-A4DB-4EDC-A44D-2E5449AFDC37}"/>
    <cellStyle name="Обычный 6 3 2 2 2 2 3 2" xfId="19258" xr:uid="{21BF0027-CC47-429E-A9B2-F2B893E45A38}"/>
    <cellStyle name="Обычный 6 3 2 2 2 2 3 3" xfId="20413" xr:uid="{360BD11A-F395-4421-BA3D-2A8CB91F4A34}"/>
    <cellStyle name="Обычный 6 3 2 2 2 2 3 4" xfId="33513" xr:uid="{77D33ADF-3D41-473A-A4B2-8AC3C1EECBAD}"/>
    <cellStyle name="Обычный 6 3 2 2 2 2 3 5" xfId="47292" xr:uid="{61129E61-B5C2-4472-93A4-81EFF3DCD1F8}"/>
    <cellStyle name="Обычный 6 3 2 2 2 2 4" xfId="17965" xr:uid="{903984A6-6F37-4E1C-B47B-AB85B02AA492}"/>
    <cellStyle name="Обычный 6 3 2 2 2 2 5" xfId="19419" xr:uid="{F56F79EA-CD6E-4C33-974D-A5F883465419}"/>
    <cellStyle name="Обычный 6 3 2 2 2 2 6" xfId="20544" xr:uid="{B08F46F4-DE5C-4B1C-B9E6-E70A39E4EAC4}"/>
    <cellStyle name="Обычный 6 3 2 2 2 2 7" xfId="22412" xr:uid="{0952AD5B-767B-4C3E-8EA7-8910A0D1AF85}"/>
    <cellStyle name="Обычный 6 3 2 2 2 2 8" xfId="35462" xr:uid="{431B1D84-A335-4160-8E88-B6D6046DD8C1}"/>
    <cellStyle name="Обычный 6 3 2 2 2 3" xfId="5333" xr:uid="{05C27B3F-BB76-4FF9-BDD4-E39FF76414DA}"/>
    <cellStyle name="Обычный 6 3 2 2 2 3 2" xfId="9765" xr:uid="{8123D5E1-4C1A-4487-B0E3-E35CAB0128C7}"/>
    <cellStyle name="Обычный 6 3 2 2 2 3 2 2" xfId="18768" xr:uid="{E1297871-9B7A-4B29-8C7A-4C07E07202D2}"/>
    <cellStyle name="Обычный 6 3 2 2 2 3 2 3" xfId="20031" xr:uid="{76E1714B-A21D-4403-9626-0D75CAB6D8F5}"/>
    <cellStyle name="Обычный 6 3 2 2 2 3 2 4" xfId="27062" xr:uid="{155D58AE-F687-47D4-806A-533777E8BD19}"/>
    <cellStyle name="Обычный 6 3 2 2 2 3 2 5" xfId="40181" xr:uid="{5B9D3EB3-B71A-460C-8A19-C417D4B67643}"/>
    <cellStyle name="Обычный 6 3 2 2 2 3 3" xfId="18065" xr:uid="{7EDE0E66-7887-498B-B8AB-15A24806F47D}"/>
    <cellStyle name="Обычный 6 3 2 2 2 3 4" xfId="19504" xr:uid="{DD15B85B-3864-4A25-9DCD-798B443C4383}"/>
    <cellStyle name="Обычный 6 3 2 2 2 3 5" xfId="22981" xr:uid="{57C167BF-D12B-47AD-A0FE-05E7BB4CE1B0}"/>
    <cellStyle name="Обычный 6 3 2 2 2 3 6" xfId="36062" xr:uid="{2323A98F-F9CF-474A-A0DA-EB63A2DAB173}"/>
    <cellStyle name="Обычный 6 3 2 2 2 4" xfId="5785" xr:uid="{26997586-8259-4CD5-829A-4DB3B736BD40}"/>
    <cellStyle name="Обычный 6 3 2 2 2 4 2" xfId="9848" xr:uid="{F371D27C-9E6F-44AA-819E-27ECC6F01329}"/>
    <cellStyle name="Обычный 6 3 2 2 2 4 2 2" xfId="18822" xr:uid="{CEA8D97A-49C1-4F99-88D7-AAAF80695F3B}"/>
    <cellStyle name="Обычный 6 3 2 2 2 4 2 3" xfId="20084" xr:uid="{1C433CB3-1C24-4D56-B044-AB7A9764EE69}"/>
    <cellStyle name="Обычный 6 3 2 2 2 4 2 4" xfId="27144" xr:uid="{3ED68634-9B9B-4ADF-85A9-E33DEBA1DC8F}"/>
    <cellStyle name="Обычный 6 3 2 2 2 4 2 5" xfId="40263" xr:uid="{DC3E0F87-26E6-42A3-8685-D7E7BE2289EC}"/>
    <cellStyle name="Обычный 6 3 2 2 2 4 3" xfId="18118" xr:uid="{F0610793-8DCC-4913-A5B2-F3C137219836}"/>
    <cellStyle name="Обычный 6 3 2 2 2 4 4" xfId="19557" xr:uid="{0DBD6FC3-4BC8-45AA-85CC-BCBE92FC448D}"/>
    <cellStyle name="Обычный 6 3 2 2 2 4 5" xfId="23432" xr:uid="{3686F057-61A7-4DB2-96FD-52D7A7222749}"/>
    <cellStyle name="Обычный 6 3 2 2 2 4 6" xfId="36513" xr:uid="{AD9A5587-F0BF-485B-B58F-D837ADFD6E65}"/>
    <cellStyle name="Обычный 6 3 2 2 2 5" xfId="6014" xr:uid="{07288C35-6C1B-4D2F-B29C-13E43FAE0839}"/>
    <cellStyle name="Обычный 6 3 2 2 2 5 2" xfId="9933" xr:uid="{CA7BF006-D412-4ECB-A198-93FDED1B7C6F}"/>
    <cellStyle name="Обычный 6 3 2 2 2 5 2 2" xfId="18897" xr:uid="{1188A96F-7960-4F59-85F6-ABF50D0FBF48}"/>
    <cellStyle name="Обычный 6 3 2 2 2 5 2 3" xfId="20159" xr:uid="{5D5EFDE8-AC32-4734-BF85-2DE6C6A87CF1}"/>
    <cellStyle name="Обычный 6 3 2 2 2 5 2 4" xfId="27229" xr:uid="{6BD79BD2-8070-4791-BF77-3B2E0F19A170}"/>
    <cellStyle name="Обычный 6 3 2 2 2 5 2 5" xfId="40348" xr:uid="{352E9011-4497-42E5-9746-C7958C659196}"/>
    <cellStyle name="Обычный 6 3 2 2 2 5 3" xfId="18193" xr:uid="{5A648912-6FD5-437B-AAA3-1AD22B75C4B5}"/>
    <cellStyle name="Обычный 6 3 2 2 2 5 4" xfId="19632" xr:uid="{FF0AE099-728A-482F-8BC7-6DB38DD5F662}"/>
    <cellStyle name="Обычный 6 3 2 2 2 5 5" xfId="23660" xr:uid="{C8EB3262-0BCB-4541-93A9-041316C50297}"/>
    <cellStyle name="Обычный 6 3 2 2 2 5 6" xfId="36741" xr:uid="{3AB1DC42-C6F9-44AB-849B-04205E53F327}"/>
    <cellStyle name="Обычный 6 3 2 2 2 6" xfId="6089" xr:uid="{8697A19D-16BA-4B5A-9FDB-CDEF1EAC05B9}"/>
    <cellStyle name="Обычный 6 3 2 2 2 6 2" xfId="10008" xr:uid="{852B6D9A-A21A-47F3-9CB3-C6E5DB6CEB6E}"/>
    <cellStyle name="Обычный 6 3 2 2 2 6 2 2" xfId="18972" xr:uid="{3A6BF238-AF3C-4668-914E-D66CA65FC039}"/>
    <cellStyle name="Обычный 6 3 2 2 2 6 2 3" xfId="20234" xr:uid="{4850AE1C-CCB4-478C-A191-4A3ED3033C1F}"/>
    <cellStyle name="Обычный 6 3 2 2 2 6 2 4" xfId="27304" xr:uid="{73C2B862-7E39-43AC-BBB5-2D4D26F34346}"/>
    <cellStyle name="Обычный 6 3 2 2 2 6 2 5" xfId="40423" xr:uid="{7BC9900D-9E5C-4815-8F2E-27FCD773CB4E}"/>
    <cellStyle name="Обычный 6 3 2 2 2 6 3" xfId="18268" xr:uid="{75112238-C70B-4E28-91E3-F5D4FE2164A8}"/>
    <cellStyle name="Обычный 6 3 2 2 2 6 4" xfId="19707" xr:uid="{0EE702D0-D4CA-4585-8D7A-503DF48709FD}"/>
    <cellStyle name="Обычный 6 3 2 2 2 6 5" xfId="23735" xr:uid="{D33646CA-6E59-450C-A372-E112AE8DDA93}"/>
    <cellStyle name="Обычный 6 3 2 2 2 6 6" xfId="36816" xr:uid="{15474B63-F092-406B-89FA-2976CBC1AC7B}"/>
    <cellStyle name="Обычный 6 3 2 2 2 7" xfId="9490" xr:uid="{F8DFBF65-9079-4B8F-9E11-DEDEDE091F70}"/>
    <cellStyle name="Обычный 6 3 2 2 2 7 2" xfId="18558" xr:uid="{3EC0BC1A-F8BA-41E7-8F08-053C1E16FD9E}"/>
    <cellStyle name="Обычный 6 3 2 2 2 7 3" xfId="19862" xr:uid="{66B609E4-F679-433B-9374-4D8C12E42057}"/>
    <cellStyle name="Обычный 6 3 2 2 2 7 4" xfId="26864" xr:uid="{C5C8BCAA-5D95-4887-83BE-C0878E0CCDD3}"/>
    <cellStyle name="Обычный 6 3 2 2 2 7 5" xfId="39947" xr:uid="{FAA1EF87-7477-4C99-A86E-BC14718060B2}"/>
    <cellStyle name="Обычный 6 3 2 2 2 8" xfId="10469" xr:uid="{C7F45D36-2DEF-4654-B5EF-928E4A14CE5E}"/>
    <cellStyle name="Обычный 6 3 2 2 2 9" xfId="17706" xr:uid="{20918A07-D82E-446A-A56D-64CB6F86FFB3}"/>
    <cellStyle name="Обычный 6 3 2 2 2 9 2" xfId="19213" xr:uid="{25254706-0538-4052-ADC4-C468C2AAAE1E}"/>
    <cellStyle name="Обычный 6 3 2 2 2 9 3" xfId="20368" xr:uid="{0A458992-34D2-4C51-850E-1D527E3B8089}"/>
    <cellStyle name="Обычный 6 3 2 2 2 9 4" xfId="33429" xr:uid="{A6D5E7C8-A5AF-409B-8F38-5079F657ABB5}"/>
    <cellStyle name="Обычный 6 3 2 2 2 9 5" xfId="47218" xr:uid="{A65D2033-FF5E-409C-921A-68BDC9B6901D}"/>
    <cellStyle name="Обычный 6 3 2 2 3" xfId="4590" xr:uid="{C2113E01-4287-49F1-895A-6DDC0971E042}"/>
    <cellStyle name="Обычный 6 3 2 2 3 2" xfId="9583" xr:uid="{13DDD7E3-27B3-46BE-8E5C-3C35E69B86B1}"/>
    <cellStyle name="Обычный 6 3 2 2 3 2 2" xfId="18651" xr:uid="{9B5C4CB3-E721-4127-A012-5B231180318C}"/>
    <cellStyle name="Обычный 6 3 2 2 3 2 3" xfId="19938" xr:uid="{2E7690E2-33A0-482D-8901-25D27AF661D4}"/>
    <cellStyle name="Обычный 6 3 2 2 3 2 4" xfId="26940" xr:uid="{08CEB241-4505-4298-9A14-7341B48A5230}"/>
    <cellStyle name="Обычный 6 3 2 2 3 2 5" xfId="40023" xr:uid="{7E587F74-86D0-4FE5-9A9C-C66AA5DD98B3}"/>
    <cellStyle name="Обычный 6 3 2 2 3 3" xfId="17781" xr:uid="{0FB0D6F5-CF1D-4839-813F-A31CE86E16B8}"/>
    <cellStyle name="Обычный 6 3 2 2 3 3 2" xfId="19248" xr:uid="{9F964FD4-57BD-4BBF-8488-7321D329B8BC}"/>
    <cellStyle name="Обычный 6 3 2 2 3 3 3" xfId="20403" xr:uid="{B9DDE2E3-3747-4C71-8F42-4CD6847AF67F}"/>
    <cellStyle name="Обычный 6 3 2 2 3 3 4" xfId="33503" xr:uid="{A0A2DA03-5E95-4CE8-9895-D9A7FDA573E1}"/>
    <cellStyle name="Обычный 6 3 2 2 3 3 5" xfId="47282" xr:uid="{08D7A849-9AD4-494C-A307-FEF8E4245FB0}"/>
    <cellStyle name="Обычный 6 3 2 2 3 4" xfId="17957" xr:uid="{2FD08C94-D990-4265-8FD4-B03087670ACB}"/>
    <cellStyle name="Обычный 6 3 2 2 3 5" xfId="19411" xr:uid="{BC136DF5-1FE6-476F-979C-2FBF57367883}"/>
    <cellStyle name="Обычный 6 3 2 2 3 6" xfId="20534" xr:uid="{0B25A107-DC52-497C-8C0C-8104748116F0}"/>
    <cellStyle name="Обычный 6 3 2 2 3 7" xfId="22404" xr:uid="{6A4845BF-1063-46B4-81FC-33A8E88A4F6F}"/>
    <cellStyle name="Обычный 6 3 2 2 3 8" xfId="35454" xr:uid="{1C83B663-0479-4C6C-B941-CEF59230CB2A}"/>
    <cellStyle name="Обычный 6 3 2 2 4" xfId="5325" xr:uid="{B8F2184C-997D-48F6-9903-682904F21B76}"/>
    <cellStyle name="Обычный 6 3 2 2 4 2" xfId="9757" xr:uid="{86ED299F-E281-47EF-83A1-D732653251C5}"/>
    <cellStyle name="Обычный 6 3 2 2 4 2 2" xfId="18760" xr:uid="{6FD4BFA6-9C93-44A7-B37C-6588B2B0ECD9}"/>
    <cellStyle name="Обычный 6 3 2 2 4 2 3" xfId="20023" xr:uid="{340E5A25-0940-4137-928B-1653179A03D3}"/>
    <cellStyle name="Обычный 6 3 2 2 4 2 4" xfId="27054" xr:uid="{DD5D09E1-6487-424B-BB68-45614231D85C}"/>
    <cellStyle name="Обычный 6 3 2 2 4 2 5" xfId="40173" xr:uid="{DAC05E2B-2389-4810-ACA5-33D744B06E21}"/>
    <cellStyle name="Обычный 6 3 2 2 4 3" xfId="18057" xr:uid="{6A13BD63-4B64-440A-98CA-B8734337171A}"/>
    <cellStyle name="Обычный 6 3 2 2 4 4" xfId="19496" xr:uid="{88BC3D09-50DE-43A3-AFB4-A2AC0FD59968}"/>
    <cellStyle name="Обычный 6 3 2 2 4 5" xfId="22973" xr:uid="{5AE7BB64-834C-42C3-897C-5EBA431CC6A1}"/>
    <cellStyle name="Обычный 6 3 2 2 4 6" xfId="36054" xr:uid="{27D87321-4626-4679-A3D1-C48F3618A826}"/>
    <cellStyle name="Обычный 6 3 2 2 5" xfId="5777" xr:uid="{E426035B-B11C-4DDE-9794-69A6E99978F6}"/>
    <cellStyle name="Обычный 6 3 2 2 5 2" xfId="9840" xr:uid="{D8D00175-7F45-45E4-BDCD-FA27D91D5BC5}"/>
    <cellStyle name="Обычный 6 3 2 2 5 2 2" xfId="18814" xr:uid="{9A0321FE-B058-492C-B395-5AF28EE0DE86}"/>
    <cellStyle name="Обычный 6 3 2 2 5 2 3" xfId="20076" xr:uid="{D5A39C45-4DAA-4C9A-A85E-540E70D29B44}"/>
    <cellStyle name="Обычный 6 3 2 2 5 2 4" xfId="27136" xr:uid="{A7AD0CF0-7866-4D49-AFA5-818EB0F8E796}"/>
    <cellStyle name="Обычный 6 3 2 2 5 2 5" xfId="40255" xr:uid="{1916F0A7-83D1-4506-BE7F-FBA6CE96B048}"/>
    <cellStyle name="Обычный 6 3 2 2 5 3" xfId="18110" xr:uid="{4E302E62-749E-4297-9EAC-2565E1780A42}"/>
    <cellStyle name="Обычный 6 3 2 2 5 4" xfId="19549" xr:uid="{78F9DADF-7CE5-443C-AF83-EEE869227F2D}"/>
    <cellStyle name="Обычный 6 3 2 2 5 5" xfId="23424" xr:uid="{8965425A-1656-4EF5-92F3-7B26A9201696}"/>
    <cellStyle name="Обычный 6 3 2 2 5 6" xfId="36505" xr:uid="{0F3E13B8-7DE9-4E60-B9D9-7A3A2CDC3276}"/>
    <cellStyle name="Обычный 6 3 2 2 6" xfId="6006" xr:uid="{B03ACD5A-023C-4844-BE0B-0FCF5A34B51D}"/>
    <cellStyle name="Обычный 6 3 2 2 6 2" xfId="9925" xr:uid="{25394192-4627-4B4E-B582-0823EB6C01A3}"/>
    <cellStyle name="Обычный 6 3 2 2 6 2 2" xfId="18889" xr:uid="{B7784D77-DC91-4188-9EC2-2E3C13250967}"/>
    <cellStyle name="Обычный 6 3 2 2 6 2 3" xfId="20151" xr:uid="{8624511C-6DB8-47C3-BA78-50C32E3115CC}"/>
    <cellStyle name="Обычный 6 3 2 2 6 2 4" xfId="27221" xr:uid="{D9F028CC-7D54-43DA-9933-D8E112DAE7E0}"/>
    <cellStyle name="Обычный 6 3 2 2 6 2 5" xfId="40340" xr:uid="{FA668D51-8E8C-4169-B42C-637045239306}"/>
    <cellStyle name="Обычный 6 3 2 2 6 3" xfId="18185" xr:uid="{90005D95-63DE-4E89-AF0C-FE2E0BC11553}"/>
    <cellStyle name="Обычный 6 3 2 2 6 4" xfId="19624" xr:uid="{B5746848-9A39-455B-BAC9-7BC4159A5408}"/>
    <cellStyle name="Обычный 6 3 2 2 6 5" xfId="23652" xr:uid="{7483F9E7-356E-468B-A3A4-33E6FDA1C3A6}"/>
    <cellStyle name="Обычный 6 3 2 2 6 6" xfId="36733" xr:uid="{C9362921-65F3-4468-A7AB-D925B1F031EC}"/>
    <cellStyle name="Обычный 6 3 2 2 7" xfId="6081" xr:uid="{F17670CA-55A4-4F25-A4DB-00BA30E57133}"/>
    <cellStyle name="Обычный 6 3 2 2 7 2" xfId="10000" xr:uid="{3C1694B0-71C5-497B-8359-96DE2D66C8B9}"/>
    <cellStyle name="Обычный 6 3 2 2 7 2 2" xfId="18964" xr:uid="{B8917782-2344-4B95-94F8-D492C2AFB188}"/>
    <cellStyle name="Обычный 6 3 2 2 7 2 3" xfId="20226" xr:uid="{E38D989C-7CB0-47DC-8D77-0C74C7CC8685}"/>
    <cellStyle name="Обычный 6 3 2 2 7 2 4" xfId="27296" xr:uid="{51E14DCC-C0F8-412C-A6F6-CE7CA683A253}"/>
    <cellStyle name="Обычный 6 3 2 2 7 2 5" xfId="40415" xr:uid="{5BC9E985-34C3-4A4D-B32E-F1F4B01CBC9B}"/>
    <cellStyle name="Обычный 6 3 2 2 7 3" xfId="18260" xr:uid="{F9A4B282-DB96-4C37-9CF3-6DE296AF42ED}"/>
    <cellStyle name="Обычный 6 3 2 2 7 4" xfId="19699" xr:uid="{B37BED76-5155-4754-AE29-469FCC28B74F}"/>
    <cellStyle name="Обычный 6 3 2 2 7 5" xfId="23727" xr:uid="{CE819CA3-CCEC-4314-B170-CF7DE313806F}"/>
    <cellStyle name="Обычный 6 3 2 2 7 6" xfId="36808" xr:uid="{83A24474-6A34-46C2-9C80-05B25A93C11B}"/>
    <cellStyle name="Обычный 6 3 2 2 8" xfId="9482" xr:uid="{342A0727-6FC5-489D-ACF6-6DDD6F748A02}"/>
    <cellStyle name="Обычный 6 3 2 2 8 2" xfId="18550" xr:uid="{F1C464A0-1206-40D5-ABBB-C3000EF90AEB}"/>
    <cellStyle name="Обычный 6 3 2 2 8 3" xfId="19854" xr:uid="{5D1DF12E-F372-4A87-A01B-EA0511547A1D}"/>
    <cellStyle name="Обычный 6 3 2 2 8 4" xfId="26856" xr:uid="{7F7198F7-C21B-42F2-BA22-592D011C48AB}"/>
    <cellStyle name="Обычный 6 3 2 2 8 5" xfId="39939" xr:uid="{04DEE147-67EB-4FDA-90A5-C12B3D9AD0BF}"/>
    <cellStyle name="Обычный 6 3 2 2 9" xfId="10468" xr:uid="{996598A6-7A54-46EF-8187-A8F679235E5F}"/>
    <cellStyle name="Обычный 6 3 2 3" xfId="3794" xr:uid="{FDAC5DBF-CA15-4A48-9E61-A3D861D346E1}"/>
    <cellStyle name="Обычный 6 3 2 3 10" xfId="17874" xr:uid="{B9474A11-2E73-43DC-A340-3D187313E5A8}"/>
    <cellStyle name="Обычный 6 3 2 3 11" xfId="19330" xr:uid="{19F60B26-F58E-48AC-AE14-167A361E8B33}"/>
    <cellStyle name="Обычный 6 3 2 3 12" xfId="20453" xr:uid="{24DFFD53-3B11-489B-83D0-6E908FAB6B11}"/>
    <cellStyle name="Обычный 6 3 2 3 13" xfId="21689" xr:uid="{230E8040-2439-4177-A53F-062BB227652F}"/>
    <cellStyle name="Обычный 6 3 2 3 14" xfId="34743" xr:uid="{F44F91E9-1BB7-421A-AD76-236BAE3251F9}"/>
    <cellStyle name="Обычный 6 3 2 3 2" xfId="4593" xr:uid="{143626E2-4599-4A11-94FD-99ACE699D97F}"/>
    <cellStyle name="Обычный 6 3 2 3 2 2" xfId="9586" xr:uid="{767F65FB-72AC-4BEA-A18F-8C6D73CB23C1}"/>
    <cellStyle name="Обычный 6 3 2 3 2 2 2" xfId="18654" xr:uid="{844DF79B-2B6C-48D7-8BB1-8610B4F9E022}"/>
    <cellStyle name="Обычный 6 3 2 3 2 2 3" xfId="19941" xr:uid="{7EB315C1-B0C2-45C0-9513-1FE2D3C87C00}"/>
    <cellStyle name="Обычный 6 3 2 3 2 2 4" xfId="26943" xr:uid="{43860C44-1D65-4B2F-9BCA-2C9DF4CCBDEB}"/>
    <cellStyle name="Обычный 6 3 2 3 2 2 5" xfId="40026" xr:uid="{A6C73118-C7F7-42C0-9ED3-86D92A0A60DF}"/>
    <cellStyle name="Обычный 6 3 2 3 2 3" xfId="17784" xr:uid="{2C12888F-C827-4DE3-9FB9-42B02AF2F970}"/>
    <cellStyle name="Обычный 6 3 2 3 2 3 2" xfId="19251" xr:uid="{644AD746-4428-453E-9CBC-82D79736BC1E}"/>
    <cellStyle name="Обычный 6 3 2 3 2 3 3" xfId="20406" xr:uid="{4D97825D-BE49-4572-AA31-3AFB32723E9A}"/>
    <cellStyle name="Обычный 6 3 2 3 2 3 4" xfId="33506" xr:uid="{17FA9347-FBD6-425A-BA57-449B0507154A}"/>
    <cellStyle name="Обычный 6 3 2 3 2 3 5" xfId="47285" xr:uid="{8FA06DA8-549F-4F70-891E-8A53B87E7F65}"/>
    <cellStyle name="Обычный 6 3 2 3 2 4" xfId="17960" xr:uid="{523EB15A-4C3F-4D2E-B18E-ACED1C6F59F4}"/>
    <cellStyle name="Обычный 6 3 2 3 2 5" xfId="19414" xr:uid="{F63F3C26-276F-44C0-8ACC-F43457F00C6E}"/>
    <cellStyle name="Обычный 6 3 2 3 2 6" xfId="20537" xr:uid="{E75872B9-89A4-4119-90A6-7DA0CE58C543}"/>
    <cellStyle name="Обычный 6 3 2 3 2 7" xfId="22407" xr:uid="{5E8C136C-3C0C-4EBD-B527-7C95CEF19BBD}"/>
    <cellStyle name="Обычный 6 3 2 3 2 8" xfId="35457" xr:uid="{20AE0161-256D-4BD5-989C-D5C768388DD4}"/>
    <cellStyle name="Обычный 6 3 2 3 3" xfId="5328" xr:uid="{2ED8F2AD-5A0D-426D-B93C-53DB1885AEB6}"/>
    <cellStyle name="Обычный 6 3 2 3 3 2" xfId="9760" xr:uid="{3A1BD2A9-BA9C-4FCF-8FC1-301A6CF66BD1}"/>
    <cellStyle name="Обычный 6 3 2 3 3 2 2" xfId="18763" xr:uid="{7E4B54C4-D71E-40FF-9F0E-25AFA1888F18}"/>
    <cellStyle name="Обычный 6 3 2 3 3 2 3" xfId="20026" xr:uid="{50610888-62FA-4E99-8F67-65EEDA43BE59}"/>
    <cellStyle name="Обычный 6 3 2 3 3 2 4" xfId="27057" xr:uid="{3D690A48-309D-4E38-8EAA-6E3883816DE4}"/>
    <cellStyle name="Обычный 6 3 2 3 3 2 5" xfId="40176" xr:uid="{BFFA00ED-598E-4595-98EA-552978286296}"/>
    <cellStyle name="Обычный 6 3 2 3 3 3" xfId="18060" xr:uid="{84C38EE4-AAC5-4D4E-A54F-618490601BB2}"/>
    <cellStyle name="Обычный 6 3 2 3 3 4" xfId="19499" xr:uid="{60F160A9-D7B9-4FD7-9615-34D214AAC9D5}"/>
    <cellStyle name="Обычный 6 3 2 3 3 5" xfId="22976" xr:uid="{D745EAC9-C147-4F09-959F-D9A298CE39B7}"/>
    <cellStyle name="Обычный 6 3 2 3 3 6" xfId="36057" xr:uid="{19E4D7DA-1AAD-4044-AC88-B1340F69F4B6}"/>
    <cellStyle name="Обычный 6 3 2 3 4" xfId="5780" xr:uid="{9CA32938-75B2-467D-B152-6F44E446D78D}"/>
    <cellStyle name="Обычный 6 3 2 3 4 2" xfId="9843" xr:uid="{3117088C-0112-424F-9CFA-808E99DAF168}"/>
    <cellStyle name="Обычный 6 3 2 3 4 2 2" xfId="18817" xr:uid="{B3F7EE62-0385-46E7-BA7E-3429B21CD80D}"/>
    <cellStyle name="Обычный 6 3 2 3 4 2 3" xfId="20079" xr:uid="{6BA497D9-EBF5-4C24-A386-D36201B4D9FB}"/>
    <cellStyle name="Обычный 6 3 2 3 4 2 4" xfId="27139" xr:uid="{FC348AD1-FC3D-4F7E-8AED-DB7D3541506C}"/>
    <cellStyle name="Обычный 6 3 2 3 4 2 5" xfId="40258" xr:uid="{775460A6-A48B-42A0-A824-D56809C78BD9}"/>
    <cellStyle name="Обычный 6 3 2 3 4 3" xfId="18113" xr:uid="{1F5C29DF-774F-44DA-A33E-265831100D33}"/>
    <cellStyle name="Обычный 6 3 2 3 4 4" xfId="19552" xr:uid="{4A742456-FDDD-43ED-933A-11BD7D6819CB}"/>
    <cellStyle name="Обычный 6 3 2 3 4 5" xfId="23427" xr:uid="{227A989A-4F54-40F4-97CA-EB2EE3C7E9D5}"/>
    <cellStyle name="Обычный 6 3 2 3 4 6" xfId="36508" xr:uid="{3E46B104-D64D-42F6-94BA-18E770EF7A88}"/>
    <cellStyle name="Обычный 6 3 2 3 5" xfId="6009" xr:uid="{24311EC8-CC72-4FB0-9BC0-B594A11F90A7}"/>
    <cellStyle name="Обычный 6 3 2 3 5 2" xfId="9928" xr:uid="{0258CDB5-8EE7-47C6-BD72-8B737601EBC4}"/>
    <cellStyle name="Обычный 6 3 2 3 5 2 2" xfId="18892" xr:uid="{C410703B-D69F-4B29-BAF4-A03139089FDB}"/>
    <cellStyle name="Обычный 6 3 2 3 5 2 3" xfId="20154" xr:uid="{D921734E-1F4D-47E5-8263-44622FA06F34}"/>
    <cellStyle name="Обычный 6 3 2 3 5 2 4" xfId="27224" xr:uid="{B2D24FF2-67C0-4912-BAF2-6C49EB31F526}"/>
    <cellStyle name="Обычный 6 3 2 3 5 2 5" xfId="40343" xr:uid="{E6B1C14A-A935-4C18-8CD0-8FAE121B0090}"/>
    <cellStyle name="Обычный 6 3 2 3 5 3" xfId="18188" xr:uid="{0738AF4C-8E8A-4DDC-8F0F-854CC53AE3F3}"/>
    <cellStyle name="Обычный 6 3 2 3 5 4" xfId="19627" xr:uid="{84867E0A-9C23-406C-899C-F138876F416B}"/>
    <cellStyle name="Обычный 6 3 2 3 5 5" xfId="23655" xr:uid="{73778296-EACC-469F-BDD2-B081AFBB9291}"/>
    <cellStyle name="Обычный 6 3 2 3 5 6" xfId="36736" xr:uid="{6ADCEF6E-B8E6-4F88-B3FB-F2C7DCD7BFBD}"/>
    <cellStyle name="Обычный 6 3 2 3 6" xfId="6084" xr:uid="{61F7CA45-2570-4213-9678-95373AD9C88E}"/>
    <cellStyle name="Обычный 6 3 2 3 6 2" xfId="10003" xr:uid="{7892DDDF-4C5A-4405-AB26-91508BA03897}"/>
    <cellStyle name="Обычный 6 3 2 3 6 2 2" xfId="18967" xr:uid="{CE93A076-93B5-447A-B620-CE4D9046368D}"/>
    <cellStyle name="Обычный 6 3 2 3 6 2 3" xfId="20229" xr:uid="{3108427F-AC18-4789-A2B4-76FA59856338}"/>
    <cellStyle name="Обычный 6 3 2 3 6 2 4" xfId="27299" xr:uid="{D3261818-84F6-4E1A-B740-5C52A7E37991}"/>
    <cellStyle name="Обычный 6 3 2 3 6 2 5" xfId="40418" xr:uid="{78E28AD7-D6D1-4AE6-9178-606C55A8409B}"/>
    <cellStyle name="Обычный 6 3 2 3 6 3" xfId="18263" xr:uid="{CBE7782E-09EF-469F-B62B-CFD649B0F64B}"/>
    <cellStyle name="Обычный 6 3 2 3 6 4" xfId="19702" xr:uid="{500A0E76-E475-4E13-A626-45071A1B9310}"/>
    <cellStyle name="Обычный 6 3 2 3 6 5" xfId="23730" xr:uid="{E6F5A956-027F-462F-812E-640CD92C5FC0}"/>
    <cellStyle name="Обычный 6 3 2 3 6 6" xfId="36811" xr:uid="{097DF96A-BCC8-4344-87CD-1A52C37248CB}"/>
    <cellStyle name="Обычный 6 3 2 3 7" xfId="9485" xr:uid="{711BA7DA-6466-4E7F-8A8E-E62B9E1D5746}"/>
    <cellStyle name="Обычный 6 3 2 3 7 2" xfId="18553" xr:uid="{E26E1318-D25A-4A33-A3A8-96E23595E778}"/>
    <cellStyle name="Обычный 6 3 2 3 7 3" xfId="19857" xr:uid="{A8963FC4-F92A-470D-B72C-25A2961584F4}"/>
    <cellStyle name="Обычный 6 3 2 3 7 4" xfId="26859" xr:uid="{BE1C5FF2-1761-4F1B-A0A0-7685E5B36CA7}"/>
    <cellStyle name="Обычный 6 3 2 3 7 5" xfId="39942" xr:uid="{8FE9E3C1-8A80-4885-8CE0-3B64A1D509E5}"/>
    <cellStyle name="Обычный 6 3 2 3 8" xfId="10470" xr:uid="{BDC25803-191C-451C-B561-134E69B4CCBA}"/>
    <cellStyle name="Обычный 6 3 2 3 9" xfId="17699" xr:uid="{4CF0761D-998B-494D-97DF-5C0586DD63DB}"/>
    <cellStyle name="Обычный 6 3 2 3 9 2" xfId="19206" xr:uid="{252223B0-8516-4385-A5DD-C444C9ED395F}"/>
    <cellStyle name="Обычный 6 3 2 3 9 3" xfId="20361" xr:uid="{2C1C14B9-F26C-486A-8D09-9E3ED0DF3BAF}"/>
    <cellStyle name="Обычный 6 3 2 3 9 4" xfId="33422" xr:uid="{B3235BDB-B41B-4BAE-A2A4-B9534AC595DE}"/>
    <cellStyle name="Обычный 6 3 2 3 9 5" xfId="47211" xr:uid="{6B9A3A1B-17A5-465F-B116-3D359D5BC9E5}"/>
    <cellStyle name="Обычный 6 3 2 4" xfId="3796" xr:uid="{C00B6449-EF31-41AD-AC1E-209AC2BE9CF5}"/>
    <cellStyle name="Обычный 6 3 2 4 10" xfId="17701" xr:uid="{6ACE3ED8-49AD-4DF0-8535-921FC7E8ADD8}"/>
    <cellStyle name="Обычный 6 3 2 4 10 2" xfId="19208" xr:uid="{D06CF01F-C0EB-4BCA-BB49-21F41434E18C}"/>
    <cellStyle name="Обычный 6 3 2 4 10 3" xfId="20363" xr:uid="{61073B2E-F438-4D41-B20C-0BF6C5E611BC}"/>
    <cellStyle name="Обычный 6 3 2 4 10 4" xfId="33424" xr:uid="{3269E313-AC6D-4EF4-AF31-626FDFC64E95}"/>
    <cellStyle name="Обычный 6 3 2 4 10 5" xfId="47213" xr:uid="{C47D51AE-0917-47B1-A670-36F9A6F17E1B}"/>
    <cellStyle name="Обычный 6 3 2 4 11" xfId="17876" xr:uid="{E15F597E-E769-4890-A61B-1C701348B1B0}"/>
    <cellStyle name="Обычный 6 3 2 4 12" xfId="19332" xr:uid="{4F2BF5E7-1D6E-453E-BA5D-125BDEAB82F2}"/>
    <cellStyle name="Обычный 6 3 2 4 13" xfId="20455" xr:uid="{19C33FC3-56E1-4AFC-8BD2-995BCE000A1E}"/>
    <cellStyle name="Обычный 6 3 2 4 14" xfId="21691" xr:uid="{04383F05-DF43-4BA5-AA6C-EB2411BD5E58}"/>
    <cellStyle name="Обычный 6 3 2 4 15" xfId="34745" xr:uid="{440101C6-2F62-43EF-8E1C-D96EBA05308C}"/>
    <cellStyle name="Обычный 6 3 2 4 2" xfId="3805" xr:uid="{FD5C2C46-DC06-46BC-A7EB-58A9C66A33CD}"/>
    <cellStyle name="Обычный 6 3 2 4 2 10" xfId="17880" xr:uid="{A2D24F89-E114-4AF0-BCAF-455FCE4FD4CB}"/>
    <cellStyle name="Обычный 6 3 2 4 2 11" xfId="19336" xr:uid="{3DEA1519-C5DA-4AA9-8448-9DF879DEF8CA}"/>
    <cellStyle name="Обычный 6 3 2 4 2 12" xfId="20461" xr:uid="{E955AE7A-1305-435C-A432-404BAD27799C}"/>
    <cellStyle name="Обычный 6 3 2 4 2 13" xfId="21695" xr:uid="{6C87CD8A-65D3-46A0-80B8-AF2F4AB1AEB9}"/>
    <cellStyle name="Обычный 6 3 2 4 2 14" xfId="34749" xr:uid="{C88E7938-11D7-44A8-817F-25427897FF77}"/>
    <cellStyle name="Обычный 6 3 2 4 2 2" xfId="4599" xr:uid="{1D65B482-C40D-4FD2-8C6F-ABE842C99BC4}"/>
    <cellStyle name="Обычный 6 3 2 4 2 2 2" xfId="9592" xr:uid="{9336B06D-FA7C-4591-A7DE-724FCCFDEC9C}"/>
    <cellStyle name="Обычный 6 3 2 4 2 2 2 2" xfId="18660" xr:uid="{3354B65F-80AB-4D80-B74E-50E38D6B6E00}"/>
    <cellStyle name="Обычный 6 3 2 4 2 2 2 3" xfId="19947" xr:uid="{07B28AC8-3CEF-431C-B88D-CE63116BA8D8}"/>
    <cellStyle name="Обычный 6 3 2 4 2 2 2 4" xfId="26949" xr:uid="{33530A3B-8FDA-496D-8F3B-59D367CE1911}"/>
    <cellStyle name="Обычный 6 3 2 4 2 2 2 5" xfId="40032" xr:uid="{4C08B368-51D1-47E3-AC5A-60B56F5A6D3E}"/>
    <cellStyle name="Обычный 6 3 2 4 2 2 3" xfId="17792" xr:uid="{9944B972-FC34-4B8B-AE7C-082BCD35A257}"/>
    <cellStyle name="Обычный 6 3 2 4 2 2 3 2" xfId="19259" xr:uid="{64B49DBD-68EB-4024-8807-AEBF7B8CDD7E}"/>
    <cellStyle name="Обычный 6 3 2 4 2 2 3 3" xfId="20414" xr:uid="{681408EE-B95F-4E4F-A074-FEA19C03937F}"/>
    <cellStyle name="Обычный 6 3 2 4 2 2 3 4" xfId="33514" xr:uid="{E429B438-EEFD-4EEA-9139-7514C66E1BA4}"/>
    <cellStyle name="Обычный 6 3 2 4 2 2 3 5" xfId="47293" xr:uid="{D4AD1DBF-B5CA-449B-BDE0-0BF3CC02A100}"/>
    <cellStyle name="Обычный 6 3 2 4 2 2 4" xfId="17966" xr:uid="{D5F7907E-12BC-4558-B259-7CAF1B7D87E0}"/>
    <cellStyle name="Обычный 6 3 2 4 2 2 5" xfId="19420" xr:uid="{F890E3B9-1EC9-45F3-A6DB-A77FA1A76831}"/>
    <cellStyle name="Обычный 6 3 2 4 2 2 6" xfId="20545" xr:uid="{2BDD47E3-4DAC-4972-A1E3-C62C9FB80615}"/>
    <cellStyle name="Обычный 6 3 2 4 2 2 7" xfId="22413" xr:uid="{BE2186B8-E9B4-4648-866B-7C11DF4B3AB6}"/>
    <cellStyle name="Обычный 6 3 2 4 2 2 8" xfId="35463" xr:uid="{159C6351-659F-483D-94E2-1718FA3A800E}"/>
    <cellStyle name="Обычный 6 3 2 4 2 3" xfId="5334" xr:uid="{F8336360-0AB1-4363-AE73-AE422A3E722B}"/>
    <cellStyle name="Обычный 6 3 2 4 2 3 2" xfId="9766" xr:uid="{4CB757FB-2854-4C90-A0E2-AD19BBA352D9}"/>
    <cellStyle name="Обычный 6 3 2 4 2 3 2 2" xfId="18769" xr:uid="{1606430D-80B5-4352-AFCF-FB99B76FD6F9}"/>
    <cellStyle name="Обычный 6 3 2 4 2 3 2 3" xfId="20032" xr:uid="{1A9726F0-9AFE-4A42-8D78-12FDBD8FDE26}"/>
    <cellStyle name="Обычный 6 3 2 4 2 3 2 4" xfId="27063" xr:uid="{F9E5B595-8EE0-4507-A591-05C13198E92D}"/>
    <cellStyle name="Обычный 6 3 2 4 2 3 2 5" xfId="40182" xr:uid="{79FFB4CE-3A55-4EFD-9C94-BE946604D608}"/>
    <cellStyle name="Обычный 6 3 2 4 2 3 3" xfId="18066" xr:uid="{FB9A4313-56E0-4057-ADC7-A30A833A747C}"/>
    <cellStyle name="Обычный 6 3 2 4 2 3 4" xfId="19505" xr:uid="{53A0B42C-2BED-4A5B-A7A5-354B77E01808}"/>
    <cellStyle name="Обычный 6 3 2 4 2 3 5" xfId="22982" xr:uid="{8A012574-CD30-4ABA-A7A8-86D0A917D4B4}"/>
    <cellStyle name="Обычный 6 3 2 4 2 3 6" xfId="36063" xr:uid="{1556271B-3512-48A6-A049-88A625C5C6FE}"/>
    <cellStyle name="Обычный 6 3 2 4 2 4" xfId="5786" xr:uid="{BC8D4B8E-EF66-40A3-847E-9B79BDDCBE7A}"/>
    <cellStyle name="Обычный 6 3 2 4 2 4 2" xfId="9849" xr:uid="{BD40BCCF-1D7A-439F-86C6-88ECC90BCA74}"/>
    <cellStyle name="Обычный 6 3 2 4 2 4 2 2" xfId="18823" xr:uid="{2A3B21A1-C683-4300-BE78-6350F23151F0}"/>
    <cellStyle name="Обычный 6 3 2 4 2 4 2 3" xfId="20085" xr:uid="{5ABE152B-DACE-4DFB-8966-2D706F51837A}"/>
    <cellStyle name="Обычный 6 3 2 4 2 4 2 4" xfId="27145" xr:uid="{8858CA3D-E823-42DD-9767-B1DF31A4DBA0}"/>
    <cellStyle name="Обычный 6 3 2 4 2 4 2 5" xfId="40264" xr:uid="{1246E00B-3CA5-4DE8-A055-0A065FF4BFE1}"/>
    <cellStyle name="Обычный 6 3 2 4 2 4 3" xfId="18119" xr:uid="{312A551C-4C94-47AF-B558-3863D887FDFE}"/>
    <cellStyle name="Обычный 6 3 2 4 2 4 4" xfId="19558" xr:uid="{BEE52375-D5C0-423C-89E1-96D89B76DA17}"/>
    <cellStyle name="Обычный 6 3 2 4 2 4 5" xfId="23433" xr:uid="{4980F070-B6BB-425D-B484-644EC29C1298}"/>
    <cellStyle name="Обычный 6 3 2 4 2 4 6" xfId="36514" xr:uid="{1D03F774-3EE2-47F0-A6F5-026F055E82F2}"/>
    <cellStyle name="Обычный 6 3 2 4 2 5" xfId="6015" xr:uid="{EDC5C5A2-E809-4EB9-852D-DA4280684259}"/>
    <cellStyle name="Обычный 6 3 2 4 2 5 2" xfId="9934" xr:uid="{B67573B4-E73A-482F-9E13-550E4ED24C96}"/>
    <cellStyle name="Обычный 6 3 2 4 2 5 2 2" xfId="18898" xr:uid="{7B070352-EECA-448F-9760-79741F4552A9}"/>
    <cellStyle name="Обычный 6 3 2 4 2 5 2 3" xfId="20160" xr:uid="{D0E69976-37F2-46C6-9488-562CC7C75A3C}"/>
    <cellStyle name="Обычный 6 3 2 4 2 5 2 4" xfId="27230" xr:uid="{D3066E75-7CFE-42A9-93DC-0FDF8A08C91E}"/>
    <cellStyle name="Обычный 6 3 2 4 2 5 2 5" xfId="40349" xr:uid="{8E97D8BE-CF95-493E-A19E-BEFD39728FA4}"/>
    <cellStyle name="Обычный 6 3 2 4 2 5 3" xfId="18194" xr:uid="{113E6480-2FE0-4212-A859-D504D2D4B783}"/>
    <cellStyle name="Обычный 6 3 2 4 2 5 4" xfId="19633" xr:uid="{C96303E5-53B6-4609-BD9A-E6737F04070F}"/>
    <cellStyle name="Обычный 6 3 2 4 2 5 5" xfId="23661" xr:uid="{E85D4277-2CF5-4F25-B602-E8D336CA7974}"/>
    <cellStyle name="Обычный 6 3 2 4 2 5 6" xfId="36742" xr:uid="{B68C5086-F08F-40AF-8F55-DA5CED4A3A32}"/>
    <cellStyle name="Обычный 6 3 2 4 2 6" xfId="6090" xr:uid="{2A5F4F8B-713C-4F83-AE77-45A6DC328503}"/>
    <cellStyle name="Обычный 6 3 2 4 2 6 2" xfId="10009" xr:uid="{A5F8237A-0421-4FAF-87AB-27C32C6EE596}"/>
    <cellStyle name="Обычный 6 3 2 4 2 6 2 2" xfId="18973" xr:uid="{B06D0929-5886-49F3-AF7E-502E15F43D99}"/>
    <cellStyle name="Обычный 6 3 2 4 2 6 2 3" xfId="20235" xr:uid="{ABF7EC1D-2AF1-4D58-90BA-15DFF8C5E4AB}"/>
    <cellStyle name="Обычный 6 3 2 4 2 6 2 4" xfId="27305" xr:uid="{099AA6D4-B27E-4F08-ABFA-8DDE664471FA}"/>
    <cellStyle name="Обычный 6 3 2 4 2 6 2 5" xfId="40424" xr:uid="{63B3FB33-2903-45C2-873F-0978CF3A3283}"/>
    <cellStyle name="Обычный 6 3 2 4 2 6 3" xfId="18269" xr:uid="{ACD56365-9195-4ED3-99A1-6B2637F3B32E}"/>
    <cellStyle name="Обычный 6 3 2 4 2 6 4" xfId="19708" xr:uid="{95064078-6518-4E9E-BAE0-5F9FE96DA697}"/>
    <cellStyle name="Обычный 6 3 2 4 2 6 5" xfId="23736" xr:uid="{4C8FF8A9-A645-4ECB-A2F6-F2AC6ECDEFF5}"/>
    <cellStyle name="Обычный 6 3 2 4 2 6 6" xfId="36817" xr:uid="{249F0294-B0C9-43F6-B9A1-0CFB9A681218}"/>
    <cellStyle name="Обычный 6 3 2 4 2 7" xfId="9491" xr:uid="{6819F278-21AD-4A83-B89B-B0573A88F708}"/>
    <cellStyle name="Обычный 6 3 2 4 2 7 2" xfId="18559" xr:uid="{C2988CAF-D0E3-4D9D-8830-5C3F42DCC762}"/>
    <cellStyle name="Обычный 6 3 2 4 2 7 3" xfId="19863" xr:uid="{EC5165B1-418C-49A8-94F4-9B6E8C3CE265}"/>
    <cellStyle name="Обычный 6 3 2 4 2 7 4" xfId="26865" xr:uid="{A579FB70-A393-4220-AFCD-B663A14C72D6}"/>
    <cellStyle name="Обычный 6 3 2 4 2 7 5" xfId="39948" xr:uid="{EC955210-D532-4933-B4E2-BC56D83FE063}"/>
    <cellStyle name="Обычный 6 3 2 4 2 8" xfId="10472" xr:uid="{6D65007B-06A7-4FFC-8E0C-5E054D954A5F}"/>
    <cellStyle name="Обычный 6 3 2 4 2 9" xfId="17708" xr:uid="{16501403-F9DA-49AC-BEA7-2DC49305F58B}"/>
    <cellStyle name="Обычный 6 3 2 4 2 9 2" xfId="19214" xr:uid="{A39FE08F-4489-4AEB-B693-BF085AA26EFE}"/>
    <cellStyle name="Обычный 6 3 2 4 2 9 3" xfId="20369" xr:uid="{164F46B6-E7BA-41B9-BF12-99C00EFD449C}"/>
    <cellStyle name="Обычный 6 3 2 4 2 9 4" xfId="33430" xr:uid="{19EC9043-6C05-4442-A3C5-A355EC3DCDA9}"/>
    <cellStyle name="Обычный 6 3 2 4 2 9 5" xfId="47219" xr:uid="{9A045A4C-E5DC-4389-BBFF-438267596565}"/>
    <cellStyle name="Обычный 6 3 2 4 3" xfId="4595" xr:uid="{E10FAE97-3439-406D-B5C3-5D548924BE5D}"/>
    <cellStyle name="Обычный 6 3 2 4 3 2" xfId="9588" xr:uid="{D7B4A604-D9DE-4668-B08A-A18A67F81A63}"/>
    <cellStyle name="Обычный 6 3 2 4 3 2 2" xfId="18656" xr:uid="{42A24A2A-B7B2-4101-9EAF-70C55F82A3F9}"/>
    <cellStyle name="Обычный 6 3 2 4 3 2 3" xfId="19943" xr:uid="{91A3E524-EE2C-4F80-AD42-2553B274AB5B}"/>
    <cellStyle name="Обычный 6 3 2 4 3 2 4" xfId="26945" xr:uid="{E396CA1D-1A7F-478E-A551-D31471CED5EF}"/>
    <cellStyle name="Обычный 6 3 2 4 3 2 5" xfId="40028" xr:uid="{9BA32AAF-271C-46D4-8482-6D25C257EAF2}"/>
    <cellStyle name="Обычный 6 3 2 4 3 3" xfId="17786" xr:uid="{91BC611F-DFF8-4D25-AD62-35F8C8AB44CD}"/>
    <cellStyle name="Обычный 6 3 2 4 3 3 2" xfId="19253" xr:uid="{AB0ED3A1-A494-4F44-AF6D-551B1E840C2B}"/>
    <cellStyle name="Обычный 6 3 2 4 3 3 3" xfId="20408" xr:uid="{7CCBCA32-1C25-458B-87BE-5FBD4EADD270}"/>
    <cellStyle name="Обычный 6 3 2 4 3 3 4" xfId="33508" xr:uid="{D5B69528-05E6-4749-ACE5-ADB1D9888473}"/>
    <cellStyle name="Обычный 6 3 2 4 3 3 5" xfId="47287" xr:uid="{17107269-FD68-4E5F-B86C-0EEA73DC7973}"/>
    <cellStyle name="Обычный 6 3 2 4 3 4" xfId="17962" xr:uid="{3543624F-7AB8-410E-96FA-6E9AB5FA657E}"/>
    <cellStyle name="Обычный 6 3 2 4 3 5" xfId="19416" xr:uid="{09F73E27-D0B8-41A0-82B0-E1D16DE861AC}"/>
    <cellStyle name="Обычный 6 3 2 4 3 6" xfId="20539" xr:uid="{4C812D10-1CB5-44B0-B94A-5706D3F5C10B}"/>
    <cellStyle name="Обычный 6 3 2 4 3 7" xfId="22409" xr:uid="{B5DCE3B9-5D26-4018-BC43-BF2628348677}"/>
    <cellStyle name="Обычный 6 3 2 4 3 8" xfId="35459" xr:uid="{EA56832A-754E-47CA-9C77-7488C51D7DAA}"/>
    <cellStyle name="Обычный 6 3 2 4 4" xfId="5330" xr:uid="{76FAC421-8219-435D-A092-6EDE20DA7261}"/>
    <cellStyle name="Обычный 6 3 2 4 4 2" xfId="9762" xr:uid="{C035B03A-D3FE-4DF9-BF22-5A08CCEB44D2}"/>
    <cellStyle name="Обычный 6 3 2 4 4 2 2" xfId="18765" xr:uid="{070141DB-0C04-4D62-92DE-85DBF7F06CA8}"/>
    <cellStyle name="Обычный 6 3 2 4 4 2 3" xfId="20028" xr:uid="{403C5824-7663-46E9-933D-D05D6EC3333C}"/>
    <cellStyle name="Обычный 6 3 2 4 4 2 4" xfId="27059" xr:uid="{1C6A4869-E273-4721-A129-BD964805F2DB}"/>
    <cellStyle name="Обычный 6 3 2 4 4 2 5" xfId="40178" xr:uid="{3B3F43FE-5E88-46C0-8E66-38DEA012A4A5}"/>
    <cellStyle name="Обычный 6 3 2 4 4 3" xfId="18062" xr:uid="{9718140F-E19F-4913-9C79-CA78C5DF36B7}"/>
    <cellStyle name="Обычный 6 3 2 4 4 4" xfId="19501" xr:uid="{822AF82A-955D-4C18-AF98-7EDB33ED9B20}"/>
    <cellStyle name="Обычный 6 3 2 4 4 5" xfId="22978" xr:uid="{BB81C8B4-A0E0-4DB1-BC43-F9F83A55C7FF}"/>
    <cellStyle name="Обычный 6 3 2 4 4 6" xfId="36059" xr:uid="{088FB8B2-C8BE-4FC7-AF0A-87D2DD4046F0}"/>
    <cellStyle name="Обычный 6 3 2 4 5" xfId="5782" xr:uid="{7448B95E-D456-4DFB-A9CC-6F84C3AF8EA4}"/>
    <cellStyle name="Обычный 6 3 2 4 5 2" xfId="9845" xr:uid="{D520A134-7141-444E-BA67-1DB2D7F3FB42}"/>
    <cellStyle name="Обычный 6 3 2 4 5 2 2" xfId="18819" xr:uid="{C2EF17AB-EFA0-4825-A881-B251C7848E40}"/>
    <cellStyle name="Обычный 6 3 2 4 5 2 3" xfId="20081" xr:uid="{117046BE-25B8-45B8-B538-E2D213ABCDE2}"/>
    <cellStyle name="Обычный 6 3 2 4 5 2 4" xfId="27141" xr:uid="{13B17039-55D1-4A88-97E1-7A9B708FB105}"/>
    <cellStyle name="Обычный 6 3 2 4 5 2 5" xfId="40260" xr:uid="{71B4C1DA-8F8B-4DF6-9504-3D72F02B27CA}"/>
    <cellStyle name="Обычный 6 3 2 4 5 3" xfId="18115" xr:uid="{2DE96721-8CB5-46C4-B341-0466F8760FDE}"/>
    <cellStyle name="Обычный 6 3 2 4 5 4" xfId="19554" xr:uid="{94D84906-3B16-44FA-8E24-D082C3C38740}"/>
    <cellStyle name="Обычный 6 3 2 4 5 5" xfId="23429" xr:uid="{B7E78191-33DA-4AA0-A9E4-EC460C89CDC3}"/>
    <cellStyle name="Обычный 6 3 2 4 5 6" xfId="36510" xr:uid="{A02DC7B7-233D-4882-9D07-6816C1E1B8F1}"/>
    <cellStyle name="Обычный 6 3 2 4 6" xfId="6011" xr:uid="{E3101A40-DC74-47F1-A175-2A0C27B7E87B}"/>
    <cellStyle name="Обычный 6 3 2 4 6 2" xfId="9930" xr:uid="{ACB53522-CAD5-471F-8048-FFC1BAED3A99}"/>
    <cellStyle name="Обычный 6 3 2 4 6 2 2" xfId="18894" xr:uid="{29228BDB-6E08-4256-B9C0-0FC2F17F3FBE}"/>
    <cellStyle name="Обычный 6 3 2 4 6 2 3" xfId="20156" xr:uid="{C4809EB6-F582-4630-8AEC-B85268C875DE}"/>
    <cellStyle name="Обычный 6 3 2 4 6 2 4" xfId="27226" xr:uid="{60F05BA5-77D4-45C3-88EE-63301EF8BE54}"/>
    <cellStyle name="Обычный 6 3 2 4 6 2 5" xfId="40345" xr:uid="{EEA4B39C-105C-43BB-AF78-34DA86610880}"/>
    <cellStyle name="Обычный 6 3 2 4 6 3" xfId="18190" xr:uid="{F9771C8A-BB18-47CF-A1BA-D3A64C5D0597}"/>
    <cellStyle name="Обычный 6 3 2 4 6 4" xfId="19629" xr:uid="{13EB1790-8B25-453E-A483-134B65AD1663}"/>
    <cellStyle name="Обычный 6 3 2 4 6 5" xfId="23657" xr:uid="{E81FDE5A-870B-4486-BE36-6EBDE6990C4F}"/>
    <cellStyle name="Обычный 6 3 2 4 6 6" xfId="36738" xr:uid="{9522CB56-A28B-47F2-B31B-F0BF5E979DAA}"/>
    <cellStyle name="Обычный 6 3 2 4 7" xfId="6086" xr:uid="{468B9CAA-228B-4C8F-8827-81ED3EA9C205}"/>
    <cellStyle name="Обычный 6 3 2 4 7 2" xfId="10005" xr:uid="{737BBE72-1D15-4EC3-8C11-A5718E4E0E81}"/>
    <cellStyle name="Обычный 6 3 2 4 7 2 2" xfId="18969" xr:uid="{6C87F14D-2039-48D3-B731-AE4D431EBD9A}"/>
    <cellStyle name="Обычный 6 3 2 4 7 2 3" xfId="20231" xr:uid="{1B175C0D-F2F1-4961-BA8F-CA1BAECC6B98}"/>
    <cellStyle name="Обычный 6 3 2 4 7 2 4" xfId="27301" xr:uid="{09F489F0-9AD5-490D-B79A-620E41E5EC5F}"/>
    <cellStyle name="Обычный 6 3 2 4 7 2 5" xfId="40420" xr:uid="{EDCE9C97-0932-4121-BE27-6927579730E5}"/>
    <cellStyle name="Обычный 6 3 2 4 7 3" xfId="18265" xr:uid="{991EE3E2-396D-4081-9786-973D393AC3FA}"/>
    <cellStyle name="Обычный 6 3 2 4 7 4" xfId="19704" xr:uid="{C6CECCF7-047C-4A3D-AD5B-59ABE5843EFB}"/>
    <cellStyle name="Обычный 6 3 2 4 7 5" xfId="23732" xr:uid="{50DF4F57-A48B-4004-AEE8-353AFFD15F14}"/>
    <cellStyle name="Обычный 6 3 2 4 7 6" xfId="36813" xr:uid="{E481C183-8827-4728-B9FD-0879214F2F77}"/>
    <cellStyle name="Обычный 6 3 2 4 8" xfId="9487" xr:uid="{8C94DDEB-9BC1-43C9-8239-10E8D1C0E886}"/>
    <cellStyle name="Обычный 6 3 2 4 8 2" xfId="18555" xr:uid="{E82E6A8D-D12D-492B-84C9-EABD5B2A41A1}"/>
    <cellStyle name="Обычный 6 3 2 4 8 3" xfId="19859" xr:uid="{D07BE251-3B11-462F-A4F3-AD9358CE4A9C}"/>
    <cellStyle name="Обычный 6 3 2 4 8 4" xfId="26861" xr:uid="{6CFA0FE4-A66D-4569-B95F-C174A255DF76}"/>
    <cellStyle name="Обычный 6 3 2 4 8 5" xfId="39944" xr:uid="{DC8330D2-1319-4E04-930A-F369B352CDE0}"/>
    <cellStyle name="Обычный 6 3 2 4 9" xfId="10471" xr:uid="{D050A220-3A5E-4F16-829E-EE739F5A6AD2}"/>
    <cellStyle name="Обычный 6 3 2 5" xfId="4587" xr:uid="{3CCAB769-CF74-435E-892D-D99FCEB5A1E0}"/>
    <cellStyle name="Обычный 6 3 2 5 2" xfId="9580" xr:uid="{0B74FACC-86DF-40A1-A073-1D510C19EC6F}"/>
    <cellStyle name="Обычный 6 3 2 5 2 2" xfId="18648" xr:uid="{D3E05976-B444-43CA-9186-073D14DF6AA9}"/>
    <cellStyle name="Обычный 6 3 2 5 2 3" xfId="19935" xr:uid="{DA0CC519-D2F3-4A8C-9098-34B23DDBD60B}"/>
    <cellStyle name="Обычный 6 3 2 5 2 4" xfId="26937" xr:uid="{F6F586F9-8989-4BD6-B526-48E637DBC59B}"/>
    <cellStyle name="Обычный 6 3 2 5 2 5" xfId="40020" xr:uid="{02F83996-2BBF-4EA2-9FA8-E084D058E2CA}"/>
    <cellStyle name="Обычный 6 3 2 5 3" xfId="17778" xr:uid="{666F163B-0135-494E-9514-0FEE53577A3E}"/>
    <cellStyle name="Обычный 6 3 2 5 3 2" xfId="19245" xr:uid="{B0CF901E-AF7B-45BB-90EC-B6A2AE9BC9CC}"/>
    <cellStyle name="Обычный 6 3 2 5 3 3" xfId="20400" xr:uid="{35135F89-2E92-4B4B-A5E7-D55A2B53D3FD}"/>
    <cellStyle name="Обычный 6 3 2 5 3 4" xfId="33500" xr:uid="{081CD270-712C-4231-B9EF-F0B9A0B8C3EB}"/>
    <cellStyle name="Обычный 6 3 2 5 3 5" xfId="47279" xr:uid="{7768D3D5-28DF-4580-A32B-C20B77696959}"/>
    <cellStyle name="Обычный 6 3 2 5 4" xfId="17954" xr:uid="{1E5DC0F6-371C-4892-9F06-7F8E65A06BBC}"/>
    <cellStyle name="Обычный 6 3 2 5 5" xfId="19408" xr:uid="{0E57B2AC-F3AB-4F85-B0A7-570DAEB97AE4}"/>
    <cellStyle name="Обычный 6 3 2 5 6" xfId="20531" xr:uid="{A01B7766-42A8-4F1D-A66F-D6C16419E9BA}"/>
    <cellStyle name="Обычный 6 3 2 5 7" xfId="22401" xr:uid="{A95472B1-98A9-4D10-B51F-D6BEF959A80A}"/>
    <cellStyle name="Обычный 6 3 2 5 8" xfId="35451" xr:uid="{8E9748A2-0830-41C3-879C-EAC551FBF8E6}"/>
    <cellStyle name="Обычный 6 3 2 6" xfId="5322" xr:uid="{8ED62EEF-B0AE-4FFC-B875-79D564E6DE38}"/>
    <cellStyle name="Обычный 6 3 2 6 2" xfId="9754" xr:uid="{EEE030ED-9B48-4D72-AE7D-36318E01F73F}"/>
    <cellStyle name="Обычный 6 3 2 6 2 2" xfId="18757" xr:uid="{07BCA71C-3438-421F-8EC9-9A487EFB7FA0}"/>
    <cellStyle name="Обычный 6 3 2 6 2 3" xfId="20020" xr:uid="{9FA3A63B-7979-486D-A53C-7F8F8BDCDE6E}"/>
    <cellStyle name="Обычный 6 3 2 6 2 4" xfId="27051" xr:uid="{9F702349-95F1-48B3-ADE3-341F385E70BB}"/>
    <cellStyle name="Обычный 6 3 2 6 2 5" xfId="40170" xr:uid="{965B0748-88B3-4241-8C02-75F30017683D}"/>
    <cellStyle name="Обычный 6 3 2 6 3" xfId="18054" xr:uid="{9D28140F-55D9-436F-A1EA-793CF2010B65}"/>
    <cellStyle name="Обычный 6 3 2 6 4" xfId="19493" xr:uid="{321130AC-270D-4995-9531-230B461BCA27}"/>
    <cellStyle name="Обычный 6 3 2 6 5" xfId="22970" xr:uid="{4FE871EB-D02A-4BB9-8EE3-7BDA303F7C53}"/>
    <cellStyle name="Обычный 6 3 2 6 6" xfId="36051" xr:uid="{DEC83AE3-BF6B-4C59-9899-6936909D6352}"/>
    <cellStyle name="Обычный 6 3 2 7" xfId="5774" xr:uid="{6C620EAD-F512-45CD-9BF5-293FD618AA02}"/>
    <cellStyle name="Обычный 6 3 2 7 2" xfId="9837" xr:uid="{02A94402-4987-4F18-A7B7-71AD99C5676C}"/>
    <cellStyle name="Обычный 6 3 2 7 2 2" xfId="18811" xr:uid="{3C9B2F18-31CC-42FA-ACDA-4327E39607BA}"/>
    <cellStyle name="Обычный 6 3 2 7 2 3" xfId="20073" xr:uid="{9F5707C8-61C3-4916-855A-30027DE33DB6}"/>
    <cellStyle name="Обычный 6 3 2 7 2 4" xfId="27133" xr:uid="{FEB5FDB1-2D91-45CC-9870-FD495C72F73F}"/>
    <cellStyle name="Обычный 6 3 2 7 2 5" xfId="40252" xr:uid="{4A2D8408-04C8-421B-8007-B5E2A9E87938}"/>
    <cellStyle name="Обычный 6 3 2 7 3" xfId="18107" xr:uid="{C76F420F-7A51-4E80-9058-CDB72A0FFCE9}"/>
    <cellStyle name="Обычный 6 3 2 7 4" xfId="19546" xr:uid="{A660A145-046F-48E0-99D4-DA9F21EE1384}"/>
    <cellStyle name="Обычный 6 3 2 7 5" xfId="23421" xr:uid="{C386E8C0-FC72-472E-831B-B8FDD1D20874}"/>
    <cellStyle name="Обычный 6 3 2 7 6" xfId="36502" xr:uid="{50964DB5-C416-401C-952A-00C633227D4B}"/>
    <cellStyle name="Обычный 6 3 2 8" xfId="6003" xr:uid="{0E919240-090C-4E7E-94B9-D0C8E8C8668E}"/>
    <cellStyle name="Обычный 6 3 2 8 2" xfId="9922" xr:uid="{A4C104F6-AE91-4B62-90C1-E906FCAC522D}"/>
    <cellStyle name="Обычный 6 3 2 8 2 2" xfId="18886" xr:uid="{DCFF92D1-3AB9-4419-9206-0A5A7558407F}"/>
    <cellStyle name="Обычный 6 3 2 8 2 3" xfId="20148" xr:uid="{D4486854-A43F-4B6F-A45C-59A6E9D08581}"/>
    <cellStyle name="Обычный 6 3 2 8 2 4" xfId="27218" xr:uid="{9BF1B62A-79B0-46F0-8DFC-2A29E1BA64FF}"/>
    <cellStyle name="Обычный 6 3 2 8 2 5" xfId="40337" xr:uid="{50BD8B10-FDCF-4237-955F-827B73D6CE8E}"/>
    <cellStyle name="Обычный 6 3 2 8 3" xfId="18182" xr:uid="{EA8B685B-DD7C-4FCE-B6EE-065ED1D5C49F}"/>
    <cellStyle name="Обычный 6 3 2 8 4" xfId="19621" xr:uid="{9F006FD8-53E1-406C-AF45-76F256169CFC}"/>
    <cellStyle name="Обычный 6 3 2 8 5" xfId="23649" xr:uid="{8A0E2D69-86CF-4894-B077-6382799336AE}"/>
    <cellStyle name="Обычный 6 3 2 8 6" xfId="36730" xr:uid="{421700E6-EB4F-4C9B-A682-D640C9CBF6A4}"/>
    <cellStyle name="Обычный 6 3 2 9" xfId="6078" xr:uid="{58227A11-9A26-4C11-8681-BA62B9794D39}"/>
    <cellStyle name="Обычный 6 3 2 9 2" xfId="9997" xr:uid="{42EC59E7-F902-49D3-9208-71E4CC60D092}"/>
    <cellStyle name="Обычный 6 3 2 9 2 2" xfId="18961" xr:uid="{1D0B209E-A34E-484A-B9B5-30757DEFC15A}"/>
    <cellStyle name="Обычный 6 3 2 9 2 3" xfId="20223" xr:uid="{3E6E2E7E-8417-4701-B7F6-F6F6252582E0}"/>
    <cellStyle name="Обычный 6 3 2 9 2 4" xfId="27293" xr:uid="{F0A3D64E-4A50-49C6-B30F-08F83803403F}"/>
    <cellStyle name="Обычный 6 3 2 9 2 5" xfId="40412" xr:uid="{D560A994-0CFE-413D-B0DA-5E624A61E32D}"/>
    <cellStyle name="Обычный 6 3 2 9 3" xfId="18257" xr:uid="{DAFED927-B516-49BD-A844-6EACDE01DBF6}"/>
    <cellStyle name="Обычный 6 3 2 9 4" xfId="19696" xr:uid="{919DDF50-4646-476E-86D3-55B58F194427}"/>
    <cellStyle name="Обычный 6 3 2 9 5" xfId="23724" xr:uid="{55F9A8FC-A68E-4D6C-BF3E-AD6996530B52}"/>
    <cellStyle name="Обычный 6 3 2 9 6" xfId="36805" xr:uid="{8657E10D-CA20-41D1-8E17-E405117A9DE3}"/>
    <cellStyle name="Обычный 6 4" xfId="17716" xr:uid="{D01D77EB-397D-478D-8D0F-0CBDD0916F97}"/>
    <cellStyle name="Обычный 6 4 2" xfId="19222" xr:uid="{9EFE0C1A-F36C-4583-B595-7342A1134D6D}"/>
    <cellStyle name="Обычный 6 4 3" xfId="20377" xr:uid="{2C3AEC6B-A720-4DA3-9B42-672024DA09D8}"/>
    <cellStyle name="Обычный 6 4 4" xfId="20469" xr:uid="{B920F1CD-E855-41FB-8EA6-1BED35A1870C}"/>
    <cellStyle name="Обычный 6 4 5" xfId="33438" xr:uid="{480D2E07-08D5-4953-B1F1-DF2349727F6B}"/>
    <cellStyle name="Обычный 6 4 6" xfId="47227" xr:uid="{5759CB75-1CEE-4861-814E-0F308724A533}"/>
    <cellStyle name="Обычный 6 5" xfId="17636" xr:uid="{7D2DE89D-5C74-4FDB-A52F-97102B10CE68}"/>
    <cellStyle name="Обычный 6 5 2" xfId="19177" xr:uid="{8B4908CD-4655-43B7-94A0-74052EDA2D8A}"/>
    <cellStyle name="Обычный 6 5 3" xfId="20332" xr:uid="{96D844D3-0BC6-4468-B959-FD7EA70A1B2D}"/>
    <cellStyle name="Обычный 6 5 4" xfId="33364" xr:uid="{60F60109-B170-49EF-8199-7A9738E3C5E0}"/>
    <cellStyle name="Обычный 6 5 5" xfId="47153" xr:uid="{E8915AD6-BD28-41F7-9A8F-DB3FDE6365B1}"/>
    <cellStyle name="Обычный 6 6" xfId="20424" xr:uid="{37900484-6E25-4A87-B668-55BE5C57EF01}"/>
    <cellStyle name="Обычный 60" xfId="2504" xr:uid="{23911024-CCEF-4587-8390-4D400B2C65AF}"/>
    <cellStyle name="Обычный 60 2" xfId="3818" xr:uid="{15D584B0-2A3B-48EC-AFF4-8600DF20BDA6}"/>
    <cellStyle name="Обычный 60 2 2" xfId="10474" xr:uid="{5E7093BA-D0DA-4C2F-87CA-335AE82C9EF9}"/>
    <cellStyle name="Обычный 60 3" xfId="3810" xr:uid="{F9507F04-7A16-4492-BC67-42BC27B6AA33}"/>
    <cellStyle name="Обычный 60 4" xfId="10473" xr:uid="{898D937D-741A-4899-9C4B-795C14471BF6}"/>
    <cellStyle name="Обычный 61" xfId="2507" xr:uid="{D7D70A28-7E07-401F-8AC8-0CFF92225B05}"/>
    <cellStyle name="Обычный 61 2" xfId="3813" xr:uid="{2CB6D3E1-A6FE-40A3-9EE0-2359620BFE9F}"/>
    <cellStyle name="Обычный 61 3" xfId="3298" xr:uid="{F6C5D562-13BA-401F-B719-2201A8BBFB65}"/>
    <cellStyle name="Обычный 61 4" xfId="10475" xr:uid="{A1365F55-0EE8-4A72-BC39-3101AFF2C336}"/>
    <cellStyle name="Обычный 62" xfId="2513" xr:uid="{FEB78416-2BA9-4FB9-A84D-947C3826BC43}"/>
    <cellStyle name="Обычный 62 2" xfId="10476" xr:uid="{C693BEBC-F53D-446C-8808-BE9C2E640B6D}"/>
    <cellStyle name="Обычный 63" xfId="3814" xr:uid="{1D7F5D1D-9749-48EA-BF3A-AD3450CD085E}"/>
    <cellStyle name="Обычный 63 2" xfId="10477" xr:uid="{9430D79B-3AB2-4D15-9853-8A5DB635E5E8}"/>
    <cellStyle name="Обычный 64" xfId="3816" xr:uid="{1B61F529-A105-4EA8-8EC7-7F8F3AAD0157}"/>
    <cellStyle name="Обычный 64 2" xfId="10478" xr:uid="{EF42A9EA-C442-4CA9-873E-BA67C78E4E58}"/>
    <cellStyle name="Обычный 65" xfId="3815" xr:uid="{14157923-7C25-46AB-AD0F-B404CEDA5C5D}"/>
    <cellStyle name="Обычный 65 2" xfId="10479" xr:uid="{5E370F89-2D16-460D-8BFE-75A4BA4F56C5}"/>
    <cellStyle name="Обычный 66" xfId="3817" xr:uid="{49179E24-44DB-40AE-A925-8D949992C1B1}"/>
    <cellStyle name="Обычный 66 2" xfId="10480" xr:uid="{10EA852B-0E15-4D8A-8371-96A140C644A9}"/>
    <cellStyle name="Обычный 67" xfId="4042" xr:uid="{BEF09987-2BEC-42C4-BCA5-8497EE154BD4}"/>
    <cellStyle name="Обычный 67 2" xfId="10529" xr:uid="{526E7B77-188D-4EEA-AC74-1A73CC7EF49F}"/>
    <cellStyle name="Обычный 68" xfId="4045" xr:uid="{E74DD26C-B9F6-48B6-BEAF-CB2C55375185}"/>
    <cellStyle name="Обычный 68 2" xfId="5074" xr:uid="{B9475567-ADDB-4C32-9FC4-3EB0148BE481}"/>
    <cellStyle name="Обычный 68 2 2" xfId="17799" xr:uid="{6FA9EFE3-8A32-4CCA-AFFF-351223879345}"/>
    <cellStyle name="Обычный 69" xfId="4046" xr:uid="{B33C7F82-3072-4862-B997-458817F6266F}"/>
    <cellStyle name="Обычный 69 10" xfId="19363" xr:uid="{9AC0BDE2-635E-4374-804C-E48A0596372E}"/>
    <cellStyle name="Обычный 69 11" xfId="20468" xr:uid="{F616FB9F-3E5C-4740-B16E-426F3899B314}"/>
    <cellStyle name="Обычный 69 12" xfId="21880" xr:uid="{D706EB0C-8D17-400F-9F38-60DE5DDDDEC5}"/>
    <cellStyle name="Обычный 69 13" xfId="34929" xr:uid="{55D485B4-DC08-4C21-A0E3-1ED85D6DD09F}"/>
    <cellStyle name="Обычный 69 2" xfId="4607" xr:uid="{80C28019-8599-46EC-A7BA-17AD46CF25D6}"/>
    <cellStyle name="Обычный 69 2 2" xfId="5161" xr:uid="{AFFE677E-AA00-4229-BDDA-8A99D2CE63BC}"/>
    <cellStyle name="Обычный 69 2 3" xfId="9599" xr:uid="{074B5BC7-580A-456C-BC82-03C95E77D76E}"/>
    <cellStyle name="Обычный 69 2 3 2" xfId="18667" xr:uid="{760F20F3-5AD0-4978-98B2-95BC89A54AF4}"/>
    <cellStyle name="Обычный 69 2 3 3" xfId="19954" xr:uid="{BD269824-0168-46E2-9330-70DF5058AD85}"/>
    <cellStyle name="Обычный 69 2 3 4" xfId="26956" xr:uid="{609284E1-D282-45C3-A624-609D97815AA5}"/>
    <cellStyle name="Обычный 69 2 3 5" xfId="40039" xr:uid="{FA606784-E1D2-4B51-A292-977DD058EAFC}"/>
    <cellStyle name="Обычный 69 2 4" xfId="17800" xr:uid="{06C4084C-B87F-4A09-BF0C-E80612E9CC03}"/>
    <cellStyle name="Обычный 69 2 4 2" xfId="19266" xr:uid="{C5AFACFF-95F3-45AA-B172-F5D6200975B9}"/>
    <cellStyle name="Обычный 69 2 4 3" xfId="20421" xr:uid="{07779D85-F15C-4D96-B183-64B2B79953FC}"/>
    <cellStyle name="Обычный 69 2 4 4" xfId="33521" xr:uid="{2DA94C94-77E0-49D8-9022-68695D92A50E}"/>
    <cellStyle name="Обычный 69 2 4 5" xfId="47300" xr:uid="{575E29F1-7E7E-4110-9A9E-17BCA0AB5342}"/>
    <cellStyle name="Обычный 69 2 5" xfId="17973" xr:uid="{BAEC15AF-CF03-4D64-9409-9347B98B8954}"/>
    <cellStyle name="Обычный 69 2 6" xfId="19427" xr:uid="{7175AFA1-BE2C-4FAD-93A4-BF55950D53D5}"/>
    <cellStyle name="Обычный 69 2 7" xfId="20552" xr:uid="{AAA00B10-B809-40B8-BC4E-8E2122BC0D10}"/>
    <cellStyle name="Обычный 69 2 8" xfId="22420" xr:uid="{2B49B2E4-8C9B-4163-A951-B682F7936686}"/>
    <cellStyle name="Обычный 69 2 9" xfId="35470" xr:uid="{5F9E6A36-6453-40FC-BBE8-362318E09E1A}"/>
    <cellStyle name="Обычный 69 3" xfId="5966" xr:uid="{BBD77AEA-22B8-49FA-99F9-FB250A28D1F2}"/>
    <cellStyle name="Обычный 69 3 2" xfId="9886" xr:uid="{3582F62B-7805-4BF9-843D-64D866CD58E3}"/>
    <cellStyle name="Обычный 69 3 2 2" xfId="18850" xr:uid="{B8800A99-C1FA-4B2F-A0B4-9449F7017586}"/>
    <cellStyle name="Обычный 69 3 2 3" xfId="20112" xr:uid="{11936A98-89C6-4A30-8A55-31E055B09163}"/>
    <cellStyle name="Обычный 69 3 2 4" xfId="27182" xr:uid="{7D834287-FB8A-499B-B220-95EFF31CA1AE}"/>
    <cellStyle name="Обычный 69 3 2 5" xfId="40301" xr:uid="{6C70CFB0-F758-4D67-9C10-0DEEA2ED3A50}"/>
    <cellStyle name="Обычный 69 3 3" xfId="18146" xr:uid="{162FA8D9-AEA7-4787-AA74-5511147E19EC}"/>
    <cellStyle name="Обычный 69 3 4" xfId="19585" xr:uid="{F577D5FD-6CF1-493B-905C-D5F9AA16E16A}"/>
    <cellStyle name="Обычный 69 3 5" xfId="23613" xr:uid="{8ABA1C2D-8901-43A1-ACDD-B44FDE5EB72F}"/>
    <cellStyle name="Обычный 69 3 6" xfId="36694" xr:uid="{8467EBD3-0F42-4DBE-9CCE-5F8BE5436EB4}"/>
    <cellStyle name="Обычный 69 4" xfId="6042" xr:uid="{13ED10D9-0E01-456F-AAC9-E21529F65E8E}"/>
    <cellStyle name="Обычный 69 4 2" xfId="9961" xr:uid="{AA1E5462-2B0F-4BF3-BB86-DC6D07EBCDBF}"/>
    <cellStyle name="Обычный 69 4 2 2" xfId="18925" xr:uid="{B0771470-B390-487D-BF67-CE13A53FFD62}"/>
    <cellStyle name="Обычный 69 4 2 3" xfId="20187" xr:uid="{1634B186-8689-4200-9286-B366A36E0786}"/>
    <cellStyle name="Обычный 69 4 2 4" xfId="27257" xr:uid="{2CDD62C1-98BA-471E-8489-2FAA852E4FBC}"/>
    <cellStyle name="Обычный 69 4 2 5" xfId="40376" xr:uid="{E0DEACA2-2902-4CC7-B338-00F11048EE2D}"/>
    <cellStyle name="Обычный 69 4 3" xfId="18221" xr:uid="{F643BA31-A0D0-4D64-A142-C34E48075298}"/>
    <cellStyle name="Обычный 69 4 4" xfId="19660" xr:uid="{DA425196-E6CC-4191-927A-125E243857D8}"/>
    <cellStyle name="Обычный 69 4 5" xfId="23688" xr:uid="{571760BA-23C2-4416-8073-ADA90A820517}"/>
    <cellStyle name="Обычный 69 4 6" xfId="36769" xr:uid="{3D9B623C-7EFC-40B3-953D-D0164A69F8BC}"/>
    <cellStyle name="Обычный 69 5" xfId="6127" xr:uid="{A1F94D71-4C04-4356-8688-CF4D1DCB3AD5}"/>
    <cellStyle name="Обычный 69 5 2" xfId="10036" xr:uid="{32BEEB7A-8E1A-4C69-A34F-B82ED9DC0F22}"/>
    <cellStyle name="Обычный 69 5 2 2" xfId="19000" xr:uid="{39608D12-9177-402D-B73B-320485B379A2}"/>
    <cellStyle name="Обычный 69 5 2 3" xfId="20262" xr:uid="{A3E62AA2-F315-432B-9F3D-096664DA86E9}"/>
    <cellStyle name="Обычный 69 5 2 4" xfId="27332" xr:uid="{2F82673B-453F-4DC8-A23A-EDE38429FD25}"/>
    <cellStyle name="Обычный 69 5 2 5" xfId="40451" xr:uid="{3C3AE385-45A3-4EE1-A505-D8B2EEC1C311}"/>
    <cellStyle name="Обычный 69 5 3" xfId="18296" xr:uid="{4F15E257-E01F-45DF-8489-2F391CFAFCD2}"/>
    <cellStyle name="Обычный 69 5 4" xfId="19735" xr:uid="{66D262EE-C5E3-4CEC-9518-4B7D3A054F97}"/>
    <cellStyle name="Обычный 69 5 5" xfId="23773" xr:uid="{54AA35B1-E903-4C36-A80D-6E4AEA412A1E}"/>
    <cellStyle name="Обычный 69 5 6" xfId="36854" xr:uid="{3A1E3D4D-E506-4A37-96AF-B7A6B39ED183}"/>
    <cellStyle name="Обычный 69 6" xfId="9524" xr:uid="{C8DB4E1D-4D2F-44E5-B72D-625E1AF746BF}"/>
    <cellStyle name="Обычный 69 6 2" xfId="18592" xr:uid="{1E59075A-06C2-414F-A380-EC21A9063319}"/>
    <cellStyle name="Обычный 69 6 3" xfId="19890" xr:uid="{B2DAD1EF-E129-4157-9B50-C6FDD7DD69EC}"/>
    <cellStyle name="Обычный 69 6 4" xfId="26892" xr:uid="{A7ADA639-2972-43B8-BE7C-608AA6D9A01A}"/>
    <cellStyle name="Обычный 69 6 5" xfId="39975" xr:uid="{3C5FE75E-2616-4561-99CC-EB1111B8FD2A}"/>
    <cellStyle name="Обычный 69 7" xfId="10532" xr:uid="{CCC6763B-5B6E-4E0A-80F5-E43523F3AC72}"/>
    <cellStyle name="Обычный 69 8" xfId="17715" xr:uid="{49B13F4C-20F1-4334-B9B7-23FDAD3C6416}"/>
    <cellStyle name="Обычный 69 8 2" xfId="19221" xr:uid="{944078E9-26B1-409D-9DF5-834DDBB91888}"/>
    <cellStyle name="Обычный 69 8 3" xfId="20376" xr:uid="{5ABDFE15-18D7-40CA-AAF9-BD8E3DAC1BE2}"/>
    <cellStyle name="Обычный 69 8 4" xfId="33437" xr:uid="{A068B142-49F0-4189-AE92-1C9D2D10B9C9}"/>
    <cellStyle name="Обычный 69 8 5" xfId="47226" xr:uid="{EEB28F44-BE05-41B7-8E04-19007C2B8B1C}"/>
    <cellStyle name="Обычный 69 9" xfId="17907" xr:uid="{21ED1601-52C2-4D6A-BDF9-5CC5552EF7B5}"/>
    <cellStyle name="Обычный 7" xfId="2401" xr:uid="{BE5DB984-27A9-4F46-8EE2-03963EF4455F}"/>
    <cellStyle name="Обычный 7 2" xfId="2485" xr:uid="{429496C4-8808-4E8E-B388-21691A4EBB7B}"/>
    <cellStyle name="Обычный 7 2 2" xfId="3787" xr:uid="{2932D3D4-A5B0-4DA2-A936-8FC8B3782105}"/>
    <cellStyle name="Обычный 7 2 2 10" xfId="19323" xr:uid="{2572B9E7-2DF6-46E4-88C7-3D4C3C931B4A}"/>
    <cellStyle name="Обычный 7 2 2 11" xfId="20530" xr:uid="{0BF0F66E-D52C-4329-9791-55A6DE0835C1}"/>
    <cellStyle name="Обычный 7 2 2 12" xfId="21682" xr:uid="{836A3557-4873-492F-A0FC-C580D92D97AF}"/>
    <cellStyle name="Обычный 7 2 2 13" xfId="34736" xr:uid="{762D0C83-96B9-416F-BD85-B0B3D899C59C}"/>
    <cellStyle name="Обычный 7 2 2 2" xfId="4586" xr:uid="{68823128-A6B4-4006-B6D3-B8FA810BE975}"/>
    <cellStyle name="Обычный 7 2 2 2 2" xfId="9579" xr:uid="{4717FCBF-7AD5-4F5E-B2E9-FD9D555E6A3F}"/>
    <cellStyle name="Обычный 7 2 2 2 2 2" xfId="18647" xr:uid="{0B5CFD5E-517A-4744-9329-D434A01E3965}"/>
    <cellStyle name="Обычный 7 2 2 2 2 3" xfId="19934" xr:uid="{9DD397B1-615C-4AFC-A8FD-3DBCB5785D26}"/>
    <cellStyle name="Обычный 7 2 2 2 2 4" xfId="26936" xr:uid="{501A55D7-C98F-4514-A2BA-40F1C66C6C0F}"/>
    <cellStyle name="Обычный 7 2 2 2 2 5" xfId="40019" xr:uid="{34A1172E-A862-4ED8-A871-91E50685F12B}"/>
    <cellStyle name="Обычный 7 2 2 2 3" xfId="17953" xr:uid="{4ECA648B-C0C3-4054-BB3F-9358DDF75BB6}"/>
    <cellStyle name="Обычный 7 2 2 2 4" xfId="19407" xr:uid="{838F2D8A-0AC0-4E9E-9B31-81175C74C21F}"/>
    <cellStyle name="Обычный 7 2 2 2 5" xfId="22400" xr:uid="{4ACA8258-76D4-43B2-B68D-46B037D47BA0}"/>
    <cellStyle name="Обычный 7 2 2 2 6" xfId="35450" xr:uid="{C2033E46-B65E-4048-95D2-E2D4B274ABB4}"/>
    <cellStyle name="Обычный 7 2 2 3" xfId="5321" xr:uid="{174410FD-F149-482B-B889-E5CAE2394AE5}"/>
    <cellStyle name="Обычный 7 2 2 3 2" xfId="9753" xr:uid="{4989AF9F-4A08-4B86-86A8-0AA317682A44}"/>
    <cellStyle name="Обычный 7 2 2 3 2 2" xfId="18756" xr:uid="{81B329E8-CDAE-48F7-853B-A9C37E6AA153}"/>
    <cellStyle name="Обычный 7 2 2 3 2 3" xfId="20019" xr:uid="{34191C96-43F9-4B8D-8B7C-9B3806CDEDE5}"/>
    <cellStyle name="Обычный 7 2 2 3 2 4" xfId="27050" xr:uid="{5962C968-51ED-4A26-AE08-EF04532FF2D6}"/>
    <cellStyle name="Обычный 7 2 2 3 2 5" xfId="40169" xr:uid="{031E49AB-908C-4F31-9B6F-C4525FBF9021}"/>
    <cellStyle name="Обычный 7 2 2 3 3" xfId="18053" xr:uid="{C1CAE80B-0D76-4099-8435-1B6FEE604648}"/>
    <cellStyle name="Обычный 7 2 2 3 4" xfId="19492" xr:uid="{B5132D65-77D9-415A-BC13-02C4FD490E99}"/>
    <cellStyle name="Обычный 7 2 2 3 5" xfId="22969" xr:uid="{682CF654-6313-4A01-BD62-E6A28EC25D05}"/>
    <cellStyle name="Обычный 7 2 2 3 6" xfId="36050" xr:uid="{20DE4243-EAFB-4C2C-9D5E-AE6181918F8E}"/>
    <cellStyle name="Обычный 7 2 2 4" xfId="5773" xr:uid="{EC7204C8-6A0E-4564-B8D8-468852E4A906}"/>
    <cellStyle name="Обычный 7 2 2 4 2" xfId="9836" xr:uid="{FF237E81-4896-4683-8DB1-E5F9D2830A58}"/>
    <cellStyle name="Обычный 7 2 2 4 2 2" xfId="18810" xr:uid="{C34C5052-8184-4870-91E0-577EBF596940}"/>
    <cellStyle name="Обычный 7 2 2 4 2 3" xfId="20072" xr:uid="{02696C55-D585-4DDE-9205-957F841A1276}"/>
    <cellStyle name="Обычный 7 2 2 4 2 4" xfId="27132" xr:uid="{C888952F-5CFE-4B2C-AFA5-0835022F274E}"/>
    <cellStyle name="Обычный 7 2 2 4 2 5" xfId="40251" xr:uid="{F52713C3-EE3E-4CEB-A2FF-266B3CE338F4}"/>
    <cellStyle name="Обычный 7 2 2 4 3" xfId="18106" xr:uid="{80681A44-248A-49D5-8F68-592F9E10A588}"/>
    <cellStyle name="Обычный 7 2 2 4 4" xfId="19545" xr:uid="{3789D644-B910-4B20-8600-C59FD5190CCC}"/>
    <cellStyle name="Обычный 7 2 2 4 5" xfId="23420" xr:uid="{9A0F841F-D62A-4BC2-A066-791C94E5045E}"/>
    <cellStyle name="Обычный 7 2 2 4 6" xfId="36501" xr:uid="{B87020C8-B18D-4A1C-9113-09A434C09D83}"/>
    <cellStyle name="Обычный 7 2 2 5" xfId="6002" xr:uid="{FF8CAF88-24D0-445E-95FC-2D80669D7CB0}"/>
    <cellStyle name="Обычный 7 2 2 5 2" xfId="9921" xr:uid="{FD579141-AD75-4DFA-8FB6-74EF2AEC430C}"/>
    <cellStyle name="Обычный 7 2 2 5 2 2" xfId="18885" xr:uid="{B553B355-A975-4BF0-AD97-E013C5CDC651}"/>
    <cellStyle name="Обычный 7 2 2 5 2 3" xfId="20147" xr:uid="{0C2E40C4-D5A8-49E3-889C-F68AD961369B}"/>
    <cellStyle name="Обычный 7 2 2 5 2 4" xfId="27217" xr:uid="{1FE1CAF8-EEB4-4D5E-AC70-E61F0FBA24C4}"/>
    <cellStyle name="Обычный 7 2 2 5 2 5" xfId="40336" xr:uid="{748557FA-6554-49AF-ACAE-39EDBE72D914}"/>
    <cellStyle name="Обычный 7 2 2 5 3" xfId="18181" xr:uid="{FB3943BE-74D0-4489-9116-DFCEC5CB7A2C}"/>
    <cellStyle name="Обычный 7 2 2 5 4" xfId="19620" xr:uid="{20F7F81A-4207-4D86-BFF6-39F990A53A6B}"/>
    <cellStyle name="Обычный 7 2 2 5 5" xfId="23648" xr:uid="{A1D703C2-FB97-4B61-AC57-BAC36D632476}"/>
    <cellStyle name="Обычный 7 2 2 5 6" xfId="36729" xr:uid="{8E132F0F-697E-495A-B443-63E0B295745C}"/>
    <cellStyle name="Обычный 7 2 2 6" xfId="6077" xr:uid="{9C809195-6C4C-4D70-AEBC-C4C18D83B092}"/>
    <cellStyle name="Обычный 7 2 2 6 2" xfId="9996" xr:uid="{3597C1B1-7FFE-4413-ACFB-AFD5A086FEC8}"/>
    <cellStyle name="Обычный 7 2 2 6 2 2" xfId="18960" xr:uid="{70E9B876-078D-4213-B1CE-B66867974FA9}"/>
    <cellStyle name="Обычный 7 2 2 6 2 3" xfId="20222" xr:uid="{E16A5320-6896-489A-B9AD-EB5C6FA7C25C}"/>
    <cellStyle name="Обычный 7 2 2 6 2 4" xfId="27292" xr:uid="{8D285A59-A834-47C5-B661-94506122203C}"/>
    <cellStyle name="Обычный 7 2 2 6 2 5" xfId="40411" xr:uid="{1633C106-C688-4ADF-8BE4-F3C9C1E18093}"/>
    <cellStyle name="Обычный 7 2 2 6 3" xfId="18256" xr:uid="{6084CFB3-930F-45A5-888F-8274CB0596FB}"/>
    <cellStyle name="Обычный 7 2 2 6 4" xfId="19695" xr:uid="{B648FA47-1E6A-45D0-BFD5-84E541AD5FB0}"/>
    <cellStyle name="Обычный 7 2 2 6 5" xfId="23723" xr:uid="{A2A6560D-1A6D-432A-8B64-CB3C0BC1647A}"/>
    <cellStyle name="Обычный 7 2 2 6 6" xfId="36804" xr:uid="{F45FFFAA-3396-489E-B124-AAF5B97C5FF0}"/>
    <cellStyle name="Обычный 7 2 2 7" xfId="9478" xr:uid="{D2FEE3E4-F55A-4328-89C0-6175FC804988}"/>
    <cellStyle name="Обычный 7 2 2 7 2" xfId="18546" xr:uid="{E7AE6D02-09D9-48CB-970C-EB4FD8D8F437}"/>
    <cellStyle name="Обычный 7 2 2 7 3" xfId="19850" xr:uid="{D41F24F5-9FCF-40BD-B0A7-3A3EB7E06AEB}"/>
    <cellStyle name="Обычный 7 2 2 7 4" xfId="26852" xr:uid="{40592B14-B210-44DF-8435-B1A5B4C65185}"/>
    <cellStyle name="Обычный 7 2 2 7 5" xfId="39935" xr:uid="{4256E172-1434-4F7D-906B-1FC1DFAD70ED}"/>
    <cellStyle name="Обычный 7 2 2 8" xfId="17777" xr:uid="{7A9A00CB-B1DB-4BEE-8089-424BB401BC21}"/>
    <cellStyle name="Обычный 7 2 2 8 2" xfId="19244" xr:uid="{1419B847-4524-4EC0-8AF8-2A5A2DF64F9F}"/>
    <cellStyle name="Обычный 7 2 2 8 3" xfId="20399" xr:uid="{84B78C29-6CE9-40EF-B61F-7297A3E95E46}"/>
    <cellStyle name="Обычный 7 2 2 8 4" xfId="33499" xr:uid="{63E9D80F-D679-489F-9BE3-1435D398DB09}"/>
    <cellStyle name="Обычный 7 2 2 8 5" xfId="47278" xr:uid="{D9A7FD6F-D9D0-404E-A087-B39B964E5B0A}"/>
    <cellStyle name="Обычный 7 2 2 9" xfId="17867" xr:uid="{C8AC60E5-D8BD-4A26-BB5C-EFBADAAD84BE}"/>
    <cellStyle name="Обычный 7 2 3" xfId="10481" xr:uid="{397FD517-E189-421E-8026-DAA862CAC1E1}"/>
    <cellStyle name="Обычный 7 2 4" xfId="17692" xr:uid="{B0DA42D7-FE6C-41D7-B060-5B1AF3A515E3}"/>
    <cellStyle name="Обычный 7 2 4 2" xfId="19199" xr:uid="{B7B5EC24-9F3A-4F61-873E-B71241468F9D}"/>
    <cellStyle name="Обычный 7 2 4 3" xfId="20354" xr:uid="{E3A6611D-D2D0-46FC-9B62-EC5A1730800A}"/>
    <cellStyle name="Обычный 7 2 4 4" xfId="33415" xr:uid="{3BA61B4E-DCF5-48DA-A402-B3CDD6295549}"/>
    <cellStyle name="Обычный 7 2 4 5" xfId="47204" xr:uid="{0AA9820D-1F3C-48E9-B050-894082F9BCEE}"/>
    <cellStyle name="Обычный 7 2 5" xfId="20446" xr:uid="{CF6D4C0E-6386-4E3A-B569-BC7544F67D5E}"/>
    <cellStyle name="Обычный 7 3" xfId="3790" xr:uid="{91DE883D-7EEE-49E0-A00C-A2C5211A43DF}"/>
    <cellStyle name="Обычный 7 3 10" xfId="17870" xr:uid="{F51B464B-9C0B-437F-A2E8-DE617399DAF3}"/>
    <cellStyle name="Обычный 7 3 11" xfId="19326" xr:uid="{F8044CF3-C8B5-422B-B43A-AA62D7EC0E55}"/>
    <cellStyle name="Обычный 7 3 12" xfId="20449" xr:uid="{F346C73B-1230-4262-9AFD-165AEE3381A5}"/>
    <cellStyle name="Обычный 7 3 13" xfId="21685" xr:uid="{0BF7618A-6B40-44D0-9AF8-F501179561B8}"/>
    <cellStyle name="Обычный 7 3 14" xfId="34739" xr:uid="{A2491F0C-2602-4BF4-B1B3-626F3367122D}"/>
    <cellStyle name="Обычный 7 3 2" xfId="4589" xr:uid="{C6990453-310A-4A9D-A9F6-011594C5A6D1}"/>
    <cellStyle name="Обычный 7 3 2 2" xfId="9582" xr:uid="{98485AD8-A43F-4114-AAFC-7DB991608356}"/>
    <cellStyle name="Обычный 7 3 2 2 2" xfId="18650" xr:uid="{5F7663DD-18C4-49FE-8473-12F9A18303AB}"/>
    <cellStyle name="Обычный 7 3 2 2 3" xfId="19937" xr:uid="{82324D1F-BA7D-4B12-ADCD-A6A026B0C61E}"/>
    <cellStyle name="Обычный 7 3 2 2 4" xfId="26939" xr:uid="{F9A7A0EB-273C-40A7-A657-F635861481CF}"/>
    <cellStyle name="Обычный 7 3 2 2 5" xfId="40022" xr:uid="{53E56701-8B41-446E-9EC6-36ECB7F02E86}"/>
    <cellStyle name="Обычный 7 3 2 3" xfId="17780" xr:uid="{A7D41947-9DA5-408B-9933-9529CDAC2E60}"/>
    <cellStyle name="Обычный 7 3 2 3 2" xfId="19247" xr:uid="{217DC573-62D4-4EC0-9BA1-120440588CF0}"/>
    <cellStyle name="Обычный 7 3 2 3 3" xfId="20402" xr:uid="{00FFF3E4-9058-415F-90AA-D1F8B0C54289}"/>
    <cellStyle name="Обычный 7 3 2 3 4" xfId="33502" xr:uid="{94F3EA79-B6CE-4A23-A544-CDAD21BD5190}"/>
    <cellStyle name="Обычный 7 3 2 3 5" xfId="47281" xr:uid="{4FC95DBC-7FF0-400C-BD37-C18B8D8D5AC0}"/>
    <cellStyle name="Обычный 7 3 2 4" xfId="17956" xr:uid="{6E9C339F-DBEC-42B9-BD8A-FF8AC302FB25}"/>
    <cellStyle name="Обычный 7 3 2 5" xfId="19410" xr:uid="{DEE18105-F464-425C-BF66-97DF23B02FDE}"/>
    <cellStyle name="Обычный 7 3 2 6" xfId="20533" xr:uid="{3D9F87C3-06A7-41FC-BE8E-7E5C9CDE8EF1}"/>
    <cellStyle name="Обычный 7 3 2 7" xfId="22403" xr:uid="{3EE1C386-9E9B-4982-BF82-67873ECDF36D}"/>
    <cellStyle name="Обычный 7 3 2 8" xfId="35453" xr:uid="{92001913-6555-451F-B017-256235E2EF24}"/>
    <cellStyle name="Обычный 7 3 3" xfId="5324" xr:uid="{69CA8336-7753-4778-A621-6B70D8F06432}"/>
    <cellStyle name="Обычный 7 3 3 2" xfId="9756" xr:uid="{235BD91B-D874-4B78-AAD1-6D6299F03E2A}"/>
    <cellStyle name="Обычный 7 3 3 2 2" xfId="18759" xr:uid="{8638A380-8D21-4E4B-A862-A7D296473948}"/>
    <cellStyle name="Обычный 7 3 3 2 3" xfId="20022" xr:uid="{C4EE71D2-D86B-4AEA-8E97-AD6F1F488715}"/>
    <cellStyle name="Обычный 7 3 3 2 4" xfId="27053" xr:uid="{FF8C84B5-F9E3-4456-BBEA-F7AEDD43161A}"/>
    <cellStyle name="Обычный 7 3 3 2 5" xfId="40172" xr:uid="{314125CB-88B9-451E-BC46-7674BFD445DB}"/>
    <cellStyle name="Обычный 7 3 3 3" xfId="18056" xr:uid="{D98FA940-690D-4686-8EB7-BE9BC328BC10}"/>
    <cellStyle name="Обычный 7 3 3 4" xfId="19495" xr:uid="{06DEEFAE-D0F4-48E8-BBE9-72F7D6C69D4B}"/>
    <cellStyle name="Обычный 7 3 3 5" xfId="22972" xr:uid="{AE3740C5-6528-4F27-97B4-9EDF795CB156}"/>
    <cellStyle name="Обычный 7 3 3 6" xfId="36053" xr:uid="{43686AF1-E1D1-4997-9EB1-73888C2606EC}"/>
    <cellStyle name="Обычный 7 3 4" xfId="5776" xr:uid="{8D9FB0FE-F560-4C89-A045-D14F1CB2342C}"/>
    <cellStyle name="Обычный 7 3 4 2" xfId="9839" xr:uid="{C3DA5D9C-9433-4976-8FD9-B90DF8935974}"/>
    <cellStyle name="Обычный 7 3 4 2 2" xfId="18813" xr:uid="{38583B20-F4B1-4921-B8CE-E4D6BAB74220}"/>
    <cellStyle name="Обычный 7 3 4 2 3" xfId="20075" xr:uid="{B5F01EF9-6F48-4AB5-B1A6-61948BC3BFFD}"/>
    <cellStyle name="Обычный 7 3 4 2 4" xfId="27135" xr:uid="{66516A60-2EEC-4996-B8E8-92833FFC355F}"/>
    <cellStyle name="Обычный 7 3 4 2 5" xfId="40254" xr:uid="{D3C0B808-BC93-428B-BB46-9CA416DAFE63}"/>
    <cellStyle name="Обычный 7 3 4 3" xfId="18109" xr:uid="{751534CE-2F28-449F-A6D5-52375CA9CBC8}"/>
    <cellStyle name="Обычный 7 3 4 4" xfId="19548" xr:uid="{ABFC6329-394F-4039-9A3C-975B807AB28A}"/>
    <cellStyle name="Обычный 7 3 4 5" xfId="23423" xr:uid="{CFD5EDAF-6BF8-4529-8778-C26F4E2B9354}"/>
    <cellStyle name="Обычный 7 3 4 6" xfId="36504" xr:uid="{C0487F98-7876-4643-94CD-E6D270584158}"/>
    <cellStyle name="Обычный 7 3 5" xfId="6005" xr:uid="{2ECC99B6-0388-469C-86AF-29725BA1074E}"/>
    <cellStyle name="Обычный 7 3 5 2" xfId="9924" xr:uid="{8B607BE1-62AD-4699-8DFD-B40278273057}"/>
    <cellStyle name="Обычный 7 3 5 2 2" xfId="18888" xr:uid="{D6FAF14C-AC19-47C9-9BF3-68D905106AFB}"/>
    <cellStyle name="Обычный 7 3 5 2 3" xfId="20150" xr:uid="{8959B9C7-DB7E-4DE4-8E46-9DB11D8FD4C5}"/>
    <cellStyle name="Обычный 7 3 5 2 4" xfId="27220" xr:uid="{673A994E-88A3-4218-AFAD-6B23E10BA3D9}"/>
    <cellStyle name="Обычный 7 3 5 2 5" xfId="40339" xr:uid="{0E274663-90DB-42A7-B8DE-60CE03832479}"/>
    <cellStyle name="Обычный 7 3 5 3" xfId="18184" xr:uid="{0F0FE5AE-9A51-4446-9E7E-823F93B83DDE}"/>
    <cellStyle name="Обычный 7 3 5 4" xfId="19623" xr:uid="{42DD43E4-39FB-4377-B0BA-91D8674AC0A1}"/>
    <cellStyle name="Обычный 7 3 5 5" xfId="23651" xr:uid="{E80FD4D1-9C73-4A81-B219-635021808D35}"/>
    <cellStyle name="Обычный 7 3 5 6" xfId="36732" xr:uid="{CF712ED1-A443-4C58-B62B-F4E4F1FA2F5C}"/>
    <cellStyle name="Обычный 7 3 6" xfId="6080" xr:uid="{BAD82A33-2FF1-4864-B900-69DAFA1DE1EB}"/>
    <cellStyle name="Обычный 7 3 6 2" xfId="9999" xr:uid="{C15C6A0E-B5EB-4094-AD58-0C11972F9314}"/>
    <cellStyle name="Обычный 7 3 6 2 2" xfId="18963" xr:uid="{A3604F58-E99F-43B7-98F4-F89D7538A678}"/>
    <cellStyle name="Обычный 7 3 6 2 3" xfId="20225" xr:uid="{AE1CF335-92EE-4BCC-B420-76A05A1DB5F0}"/>
    <cellStyle name="Обычный 7 3 6 2 4" xfId="27295" xr:uid="{3F02FE83-FC45-4AD3-8AFB-7B43B78931C6}"/>
    <cellStyle name="Обычный 7 3 6 2 5" xfId="40414" xr:uid="{E42BBAB0-5CF8-4552-A14F-F150DEB3858B}"/>
    <cellStyle name="Обычный 7 3 6 3" xfId="18259" xr:uid="{90E6ABCE-5772-4C5B-95F4-690173F50520}"/>
    <cellStyle name="Обычный 7 3 6 4" xfId="19698" xr:uid="{81D0490D-AEE8-41AA-9B24-19C6FCC5304B}"/>
    <cellStyle name="Обычный 7 3 6 5" xfId="23726" xr:uid="{7CBC9786-0FCA-41D5-A2E6-01232F480204}"/>
    <cellStyle name="Обычный 7 3 6 6" xfId="36807" xr:uid="{A5490AFE-D502-4298-AFEA-0F9C58F577A0}"/>
    <cellStyle name="Обычный 7 3 7" xfId="9481" xr:uid="{0CE91710-97ED-4B73-8BAD-10074D6FA573}"/>
    <cellStyle name="Обычный 7 3 7 2" xfId="18549" xr:uid="{0372B002-D8F3-4903-B6A2-06A72C209BF0}"/>
    <cellStyle name="Обычный 7 3 7 3" xfId="19853" xr:uid="{40262CC6-F2FE-40E3-AC36-FFF9F6BF7D72}"/>
    <cellStyle name="Обычный 7 3 7 4" xfId="26855" xr:uid="{C765C75C-F0F3-4AFF-B6E6-558E223D6DBC}"/>
    <cellStyle name="Обычный 7 3 7 5" xfId="39938" xr:uid="{74312B97-9866-48CC-B03F-96A7BC98CA3F}"/>
    <cellStyle name="Обычный 7 3 8" xfId="10482" xr:uid="{C45D4E87-B2BA-4943-BE26-2FDFC0EB8BDF}"/>
    <cellStyle name="Обычный 7 3 9" xfId="17695" xr:uid="{E0F268EB-AC4A-487E-A6BD-4FC4E98C4480}"/>
    <cellStyle name="Обычный 7 3 9 2" xfId="19202" xr:uid="{71EC3BD5-E597-443D-9DD3-8EACC1E37243}"/>
    <cellStyle name="Обычный 7 3 9 3" xfId="20357" xr:uid="{F4AEE80B-4DE2-41B7-82DF-0FA3CEAD1FA1}"/>
    <cellStyle name="Обычный 7 3 9 4" xfId="33418" xr:uid="{775820FB-DB38-4D07-AC18-2F642204FCAF}"/>
    <cellStyle name="Обычный 7 3 9 5" xfId="47207" xr:uid="{28F35C71-9470-46E6-8EDF-87911E546B96}"/>
    <cellStyle name="Обычный 7 4" xfId="3793" xr:uid="{6D02B345-795A-4A67-B565-1FBA458D15ED}"/>
    <cellStyle name="Обычный 7 4 10" xfId="17873" xr:uid="{33184961-C86E-4306-98B2-41C9BE227767}"/>
    <cellStyle name="Обычный 7 4 11" xfId="19329" xr:uid="{5F833B5B-7514-4183-A7CE-AC626025C98D}"/>
    <cellStyle name="Обычный 7 4 12" xfId="20452" xr:uid="{84CE04E7-3C90-4BE8-BD99-9E422D101014}"/>
    <cellStyle name="Обычный 7 4 13" xfId="21688" xr:uid="{15C1D960-7691-4BC5-9161-03877D924CD7}"/>
    <cellStyle name="Обычный 7 4 14" xfId="34742" xr:uid="{4FBAC5DA-A463-429C-90AC-8FACA22741C3}"/>
    <cellStyle name="Обычный 7 4 2" xfId="4592" xr:uid="{55D651C2-63F1-4521-81A9-6823776069FF}"/>
    <cellStyle name="Обычный 7 4 2 2" xfId="9585" xr:uid="{7D377A83-00DF-4577-818B-2DB18A567E93}"/>
    <cellStyle name="Обычный 7 4 2 2 2" xfId="18653" xr:uid="{303E6FA1-86CC-4727-B4A7-B225AF48E11A}"/>
    <cellStyle name="Обычный 7 4 2 2 3" xfId="19940" xr:uid="{B8DBD5C7-A643-4108-BA0F-4ACE604B1DD0}"/>
    <cellStyle name="Обычный 7 4 2 2 4" xfId="26942" xr:uid="{897731E7-5DCF-4F2A-9FE7-35DB59C55259}"/>
    <cellStyle name="Обычный 7 4 2 2 5" xfId="40025" xr:uid="{3FDB3BEE-AD15-4F49-A40D-1F633A331BAD}"/>
    <cellStyle name="Обычный 7 4 2 3" xfId="17783" xr:uid="{135F0E26-70EB-40E1-869D-4FB9D75A379C}"/>
    <cellStyle name="Обычный 7 4 2 3 2" xfId="19250" xr:uid="{DA01EC29-1FB1-4675-98F2-8B7395A9B31B}"/>
    <cellStyle name="Обычный 7 4 2 3 3" xfId="20405" xr:uid="{7EFC4356-B0A3-4C83-BB2B-35586F74CF59}"/>
    <cellStyle name="Обычный 7 4 2 3 4" xfId="33505" xr:uid="{89BCEA3A-3304-4917-B722-171E7EF4902F}"/>
    <cellStyle name="Обычный 7 4 2 3 5" xfId="47284" xr:uid="{CF3F800B-865A-484F-B36C-0A17D53DEFB4}"/>
    <cellStyle name="Обычный 7 4 2 4" xfId="17959" xr:uid="{78E18B7E-96C0-4ED6-954D-ECFD932CB4AB}"/>
    <cellStyle name="Обычный 7 4 2 5" xfId="19413" xr:uid="{B0CD1BA4-A8D0-493D-8C9F-3B9087F19C48}"/>
    <cellStyle name="Обычный 7 4 2 6" xfId="20536" xr:uid="{00504654-E737-48A7-87C8-9A5E2126780F}"/>
    <cellStyle name="Обычный 7 4 2 7" xfId="22406" xr:uid="{925A1F39-B0CB-4350-A0C4-74C5E70F3EC6}"/>
    <cellStyle name="Обычный 7 4 2 8" xfId="35456" xr:uid="{B87735F7-8E30-4056-97DE-387DA121B7D7}"/>
    <cellStyle name="Обычный 7 4 3" xfId="5327" xr:uid="{F2021D8D-066D-4463-AB80-E4407F12406C}"/>
    <cellStyle name="Обычный 7 4 3 2" xfId="9759" xr:uid="{4DE3A8AF-DC90-4E1D-97D6-F4A908B8F2A5}"/>
    <cellStyle name="Обычный 7 4 3 2 2" xfId="18762" xr:uid="{4199E541-E974-40B8-9A15-55359C9DDA06}"/>
    <cellStyle name="Обычный 7 4 3 2 3" xfId="20025" xr:uid="{E6CCD0F1-245F-48C5-AA79-779FCE14AB4D}"/>
    <cellStyle name="Обычный 7 4 3 2 4" xfId="27056" xr:uid="{8214E2B7-ACDD-4EF1-8F03-37D6AE1A9671}"/>
    <cellStyle name="Обычный 7 4 3 2 5" xfId="40175" xr:uid="{EED8DA30-3EA5-4284-A3A4-B065F95D2498}"/>
    <cellStyle name="Обычный 7 4 3 3" xfId="18059" xr:uid="{DAD0577A-C371-4945-A81C-468F9D67EE4B}"/>
    <cellStyle name="Обычный 7 4 3 4" xfId="19498" xr:uid="{C780107D-7710-4C06-883F-CC2E440E67D2}"/>
    <cellStyle name="Обычный 7 4 3 5" xfId="22975" xr:uid="{B8781E2D-F439-4B74-8B17-2DE8F3B85B3D}"/>
    <cellStyle name="Обычный 7 4 3 6" xfId="36056" xr:uid="{0A6F27F5-B6E4-4568-A1BE-0E62F6B11329}"/>
    <cellStyle name="Обычный 7 4 4" xfId="5779" xr:uid="{94C21C0A-5D35-4228-8D0B-DF6CCDA46F11}"/>
    <cellStyle name="Обычный 7 4 4 2" xfId="9842" xr:uid="{242963A2-1692-446F-9C07-109FCB6237D6}"/>
    <cellStyle name="Обычный 7 4 4 2 2" xfId="18816" xr:uid="{36FD69CD-4913-47B9-BDF3-5041A26CE69A}"/>
    <cellStyle name="Обычный 7 4 4 2 3" xfId="20078" xr:uid="{B4C3593C-99D1-4DD0-9803-A5E6944D613F}"/>
    <cellStyle name="Обычный 7 4 4 2 4" xfId="27138" xr:uid="{C417BEDE-0F68-4530-AFE8-B75EAAE3BD39}"/>
    <cellStyle name="Обычный 7 4 4 2 5" xfId="40257" xr:uid="{8351BC9F-426F-4402-95E9-D0F1750B8B83}"/>
    <cellStyle name="Обычный 7 4 4 3" xfId="18112" xr:uid="{02AB7153-83A1-48B6-B972-AEF8C7C81F17}"/>
    <cellStyle name="Обычный 7 4 4 4" xfId="19551" xr:uid="{F1455A7C-9433-46D0-8A68-07C0EBBF3EEA}"/>
    <cellStyle name="Обычный 7 4 4 5" xfId="23426" xr:uid="{6458B566-3127-45D5-B695-E5B57083ECB8}"/>
    <cellStyle name="Обычный 7 4 4 6" xfId="36507" xr:uid="{A00905B0-E895-47E7-BD3B-61341A37368F}"/>
    <cellStyle name="Обычный 7 4 5" xfId="6008" xr:uid="{671885EE-FEBC-4EB1-A031-1ED37DB5A3BF}"/>
    <cellStyle name="Обычный 7 4 5 2" xfId="9927" xr:uid="{D049F91B-7217-4E50-B8D1-1579FBDE4895}"/>
    <cellStyle name="Обычный 7 4 5 2 2" xfId="18891" xr:uid="{E5856557-683A-4F01-AE93-75730A79637B}"/>
    <cellStyle name="Обычный 7 4 5 2 3" xfId="20153" xr:uid="{A9ABCCEF-5970-4A41-8E2D-6F2F15905A1B}"/>
    <cellStyle name="Обычный 7 4 5 2 4" xfId="27223" xr:uid="{E5C8C7FA-4B5E-4AB4-A1BC-12D3488701AD}"/>
    <cellStyle name="Обычный 7 4 5 2 5" xfId="40342" xr:uid="{8F2513DE-B9B9-4631-A863-8B797C61CD0C}"/>
    <cellStyle name="Обычный 7 4 5 3" xfId="18187" xr:uid="{99CE742D-7993-4414-A326-9A5AA62A5E10}"/>
    <cellStyle name="Обычный 7 4 5 4" xfId="19626" xr:uid="{189C7784-3FA1-46E8-9528-9E9C73B004E7}"/>
    <cellStyle name="Обычный 7 4 5 5" xfId="23654" xr:uid="{419E05EA-5A3F-4D72-83EB-07C74A32E118}"/>
    <cellStyle name="Обычный 7 4 5 6" xfId="36735" xr:uid="{813494A0-B674-444A-A1A0-AFB14C9AD2F1}"/>
    <cellStyle name="Обычный 7 4 6" xfId="6083" xr:uid="{7052CB82-0522-43B6-9838-A0E67FF854BB}"/>
    <cellStyle name="Обычный 7 4 6 2" xfId="10002" xr:uid="{B48DCB03-6FD5-4CD4-A32D-A6CA9306D439}"/>
    <cellStyle name="Обычный 7 4 6 2 2" xfId="18966" xr:uid="{0F63CEAB-1DB1-48FE-A0CD-5A20FDE5CCB2}"/>
    <cellStyle name="Обычный 7 4 6 2 3" xfId="20228" xr:uid="{79C7C510-CFFE-4033-973E-07E7060DA6EB}"/>
    <cellStyle name="Обычный 7 4 6 2 4" xfId="27298" xr:uid="{E6D62765-0295-4FB2-9E55-D45D0C392382}"/>
    <cellStyle name="Обычный 7 4 6 2 5" xfId="40417" xr:uid="{3AD6EBF1-572E-49CD-8D9B-201F53F147A8}"/>
    <cellStyle name="Обычный 7 4 6 3" xfId="18262" xr:uid="{D4D9B8B5-8539-488C-B9AE-9F45F6AC63FF}"/>
    <cellStyle name="Обычный 7 4 6 4" xfId="19701" xr:uid="{1EBC4AC3-8BE9-416D-9476-3E34F71D5B76}"/>
    <cellStyle name="Обычный 7 4 6 5" xfId="23729" xr:uid="{5EE7CA89-B270-4F28-8C8B-B4FD004D6FE2}"/>
    <cellStyle name="Обычный 7 4 6 6" xfId="36810" xr:uid="{134AA786-901A-491B-9C01-5B5BE674B881}"/>
    <cellStyle name="Обычный 7 4 7" xfId="9484" xr:uid="{298565F3-E363-43AC-A121-5EDAF378F694}"/>
    <cellStyle name="Обычный 7 4 7 2" xfId="18552" xr:uid="{0AD73ADF-184C-4E8B-842B-F62A643CFF34}"/>
    <cellStyle name="Обычный 7 4 7 3" xfId="19856" xr:uid="{595EA246-54C6-4AF6-9E0B-8C44CD618260}"/>
    <cellStyle name="Обычный 7 4 7 4" xfId="26858" xr:uid="{2E5CD064-8EF0-4A27-9EB9-02896EB1F6D6}"/>
    <cellStyle name="Обычный 7 4 7 5" xfId="39941" xr:uid="{C92FC08A-FCE2-42D9-A6AB-A8B544644E00}"/>
    <cellStyle name="Обычный 7 4 8" xfId="10483" xr:uid="{C1D74367-4A3B-4327-AFDF-BB51EF4B4A1E}"/>
    <cellStyle name="Обычный 7 4 9" xfId="17698" xr:uid="{08E423A2-86C3-4E17-821D-BFD09ECC7353}"/>
    <cellStyle name="Обычный 7 4 9 2" xfId="19205" xr:uid="{6E6D8682-699E-4AF5-990F-F9A15F7FEFA7}"/>
    <cellStyle name="Обычный 7 4 9 3" xfId="20360" xr:uid="{ACCB9263-A076-4C98-A0D7-06FE8DB62ACF}"/>
    <cellStyle name="Обычный 7 4 9 4" xfId="33421" xr:uid="{4CCEF519-4D92-4A8C-BF6C-1076BDF3F3D2}"/>
    <cellStyle name="Обычный 7 4 9 5" xfId="47210" xr:uid="{3FF7F0DE-B45C-4E74-9032-BC8E625BEC05}"/>
    <cellStyle name="Обычный 7 5" xfId="3798" xr:uid="{397D5B22-7615-4C4C-B4B0-727E49821369}"/>
    <cellStyle name="Обычный 7 5 10" xfId="17878" xr:uid="{3E5FF8AA-9570-4ED8-B3EA-7BCF1D52E405}"/>
    <cellStyle name="Обычный 7 5 11" xfId="19334" xr:uid="{C7505F7B-41DB-48B8-A460-AD91BB9062A5}"/>
    <cellStyle name="Обычный 7 5 12" xfId="20457" xr:uid="{F44942A7-D860-4C18-A88D-864FE7489A96}"/>
    <cellStyle name="Обычный 7 5 13" xfId="21693" xr:uid="{379E7843-08EE-412F-96E7-A4C76A5647E4}"/>
    <cellStyle name="Обычный 7 5 14" xfId="34747" xr:uid="{F92EA84A-4EAC-44F8-805B-D67CB58D3686}"/>
    <cellStyle name="Обычный 7 5 2" xfId="4597" xr:uid="{6BBD1232-205D-4DDE-8E45-ADD1A585C008}"/>
    <cellStyle name="Обычный 7 5 2 2" xfId="9590" xr:uid="{F41A19D5-0218-407C-8B42-1D9AAA54DCE4}"/>
    <cellStyle name="Обычный 7 5 2 2 2" xfId="18658" xr:uid="{FD9EBB64-D145-41F3-9CDE-DC3182998C58}"/>
    <cellStyle name="Обычный 7 5 2 2 3" xfId="19945" xr:uid="{B698AEB3-2512-4C28-B1CE-6EFA20151858}"/>
    <cellStyle name="Обычный 7 5 2 2 4" xfId="26947" xr:uid="{2BFF9DC5-7B60-4AA9-ABBB-A35D2B9009DE}"/>
    <cellStyle name="Обычный 7 5 2 2 5" xfId="40030" xr:uid="{83D2CD32-BF8C-4C65-A976-DCD664E21978}"/>
    <cellStyle name="Обычный 7 5 2 3" xfId="17788" xr:uid="{571B4C90-1EA5-4F41-8CDE-9923845C387F}"/>
    <cellStyle name="Обычный 7 5 2 3 2" xfId="19255" xr:uid="{CD361E92-9C2A-414F-9B68-DC1671B4B358}"/>
    <cellStyle name="Обычный 7 5 2 3 3" xfId="20410" xr:uid="{BAC6D4C1-099B-4B85-B8AF-FDF5D1F2DA15}"/>
    <cellStyle name="Обычный 7 5 2 3 4" xfId="33510" xr:uid="{8B0F7045-4A1E-4A1D-8AE5-36D5B840BECB}"/>
    <cellStyle name="Обычный 7 5 2 3 5" xfId="47289" xr:uid="{EFC91415-9996-4EC0-BDCB-ECB6088BF02F}"/>
    <cellStyle name="Обычный 7 5 2 4" xfId="17964" xr:uid="{40D9F968-B2DF-4B18-8D68-F6E68310E134}"/>
    <cellStyle name="Обычный 7 5 2 5" xfId="19418" xr:uid="{B36832EE-E559-4CF4-9EF3-59CA84213AC8}"/>
    <cellStyle name="Обычный 7 5 2 6" xfId="20541" xr:uid="{8CA82F2D-BB6B-4957-883B-A0C868F03B49}"/>
    <cellStyle name="Обычный 7 5 2 7" xfId="22411" xr:uid="{51D4C1B1-7CAC-43FC-BEA5-A576A504034E}"/>
    <cellStyle name="Обычный 7 5 2 8" xfId="35461" xr:uid="{FF5A7B02-AC0D-45D9-B591-BC997A071500}"/>
    <cellStyle name="Обычный 7 5 3" xfId="5332" xr:uid="{FF2BE61A-0207-4299-A545-407DAFB6506B}"/>
    <cellStyle name="Обычный 7 5 3 2" xfId="9764" xr:uid="{C194BCEB-31A7-45D7-8C64-AE059F1256D2}"/>
    <cellStyle name="Обычный 7 5 3 2 2" xfId="18767" xr:uid="{C792FCE3-476F-4497-848D-03A9F706FCE1}"/>
    <cellStyle name="Обычный 7 5 3 2 3" xfId="20030" xr:uid="{ADF50548-15E1-45C3-BAEF-8ED5EB91D799}"/>
    <cellStyle name="Обычный 7 5 3 2 4" xfId="27061" xr:uid="{E275102C-EAC6-4AEE-810F-79303ECAFB22}"/>
    <cellStyle name="Обычный 7 5 3 2 5" xfId="40180" xr:uid="{F01CF7D6-D428-421E-B10F-2D66E193BBFB}"/>
    <cellStyle name="Обычный 7 5 3 3" xfId="18064" xr:uid="{D83F3848-C50A-416C-8D2A-5344D640E812}"/>
    <cellStyle name="Обычный 7 5 3 4" xfId="19503" xr:uid="{D3CD04BC-A5A2-471B-A929-26C9E91E507B}"/>
    <cellStyle name="Обычный 7 5 3 5" xfId="22980" xr:uid="{A5F74C87-55C8-4199-BD21-9AE69C4585D7}"/>
    <cellStyle name="Обычный 7 5 3 6" xfId="36061" xr:uid="{3F686FFB-4FF9-42A7-9484-67D84FD2D919}"/>
    <cellStyle name="Обычный 7 5 4" xfId="5784" xr:uid="{77FA2F86-7A04-4D58-8E7B-076369C29DE6}"/>
    <cellStyle name="Обычный 7 5 4 2" xfId="9847" xr:uid="{E3B70145-6DCC-4579-94F3-633C84EE51FD}"/>
    <cellStyle name="Обычный 7 5 4 2 2" xfId="18821" xr:uid="{ADFCB37C-69A2-48CA-A98C-6F6F3AC5CA6E}"/>
    <cellStyle name="Обычный 7 5 4 2 3" xfId="20083" xr:uid="{19F3DE52-7D7D-4868-AAD8-B7034DC40D6D}"/>
    <cellStyle name="Обычный 7 5 4 2 4" xfId="27143" xr:uid="{E0F01626-AECC-4A25-BA23-F2F52B5A5B9A}"/>
    <cellStyle name="Обычный 7 5 4 2 5" xfId="40262" xr:uid="{85F2CD4B-BFFA-4E8A-8A36-9176212E8608}"/>
    <cellStyle name="Обычный 7 5 4 3" xfId="18117" xr:uid="{92BE8687-C657-431F-90D9-A376255E6C55}"/>
    <cellStyle name="Обычный 7 5 4 4" xfId="19556" xr:uid="{FBDA6047-59A0-4665-AFAC-158312025B7C}"/>
    <cellStyle name="Обычный 7 5 4 5" xfId="23431" xr:uid="{8A05AB6D-3F2B-4E32-A09C-F25C2F3330FF}"/>
    <cellStyle name="Обычный 7 5 4 6" xfId="36512" xr:uid="{B141D922-7CA5-4481-A132-E9ECB617D7DF}"/>
    <cellStyle name="Обычный 7 5 5" xfId="6013" xr:uid="{6CA0D375-728E-49C3-B5C5-AF9DAEB5BF6D}"/>
    <cellStyle name="Обычный 7 5 5 2" xfId="9932" xr:uid="{0A8D92B6-2AA5-49BA-A7B9-8BEEC06C8393}"/>
    <cellStyle name="Обычный 7 5 5 2 2" xfId="18896" xr:uid="{6E1DAF11-3E61-4B90-ABC9-0076FF40DDDB}"/>
    <cellStyle name="Обычный 7 5 5 2 3" xfId="20158" xr:uid="{0B3E09A9-58DB-4567-8150-7397C03D2B47}"/>
    <cellStyle name="Обычный 7 5 5 2 4" xfId="27228" xr:uid="{9B9353AA-F016-4087-809C-3B08454344A0}"/>
    <cellStyle name="Обычный 7 5 5 2 5" xfId="40347" xr:uid="{F23A2951-E28F-4503-9D12-AF2F9CB7BB0A}"/>
    <cellStyle name="Обычный 7 5 5 3" xfId="18192" xr:uid="{1A5378CB-1153-468A-9D48-CF8D4AC7FFA8}"/>
    <cellStyle name="Обычный 7 5 5 4" xfId="19631" xr:uid="{EA10201B-E011-4A81-A54E-4C036F8928CB}"/>
    <cellStyle name="Обычный 7 5 5 5" xfId="23659" xr:uid="{EDF3AD4F-3A78-432C-A119-075AF7423554}"/>
    <cellStyle name="Обычный 7 5 5 6" xfId="36740" xr:uid="{6704D027-4AD8-445C-9D45-E26D8371D6E6}"/>
    <cellStyle name="Обычный 7 5 6" xfId="6088" xr:uid="{323F312B-6389-4639-97C6-65F935C50D9E}"/>
    <cellStyle name="Обычный 7 5 6 2" xfId="10007" xr:uid="{37DDF9BC-CFEB-4B70-9BBC-42786536769A}"/>
    <cellStyle name="Обычный 7 5 6 2 2" xfId="18971" xr:uid="{7A720FE1-6FF4-41F3-88DE-AF66AA2961B5}"/>
    <cellStyle name="Обычный 7 5 6 2 3" xfId="20233" xr:uid="{1B7C6FEB-E33B-4B23-9C72-5D7997442106}"/>
    <cellStyle name="Обычный 7 5 6 2 4" xfId="27303" xr:uid="{AAEF1C1C-451C-4961-9B50-488FD08CC0F3}"/>
    <cellStyle name="Обычный 7 5 6 2 5" xfId="40422" xr:uid="{55D87E77-57CA-4922-80B4-48CEF5D14AEB}"/>
    <cellStyle name="Обычный 7 5 6 3" xfId="18267" xr:uid="{D190D57F-1ED8-45B7-8A3E-D1691A9FCEB6}"/>
    <cellStyle name="Обычный 7 5 6 4" xfId="19706" xr:uid="{56BA9E86-6FD8-47D3-B18D-CCB537D463AD}"/>
    <cellStyle name="Обычный 7 5 6 5" xfId="23734" xr:uid="{04A60854-A03B-495E-B54A-911688E2285E}"/>
    <cellStyle name="Обычный 7 5 6 6" xfId="36815" xr:uid="{A528D511-BF30-4E6E-A86D-D2EE6B46E16F}"/>
    <cellStyle name="Обычный 7 5 7" xfId="9489" xr:uid="{15343538-D9E7-4212-9809-F81D4E8DBA94}"/>
    <cellStyle name="Обычный 7 5 7 2" xfId="18557" xr:uid="{66DEBB7B-454E-40A2-ABDC-38FF93425FE3}"/>
    <cellStyle name="Обычный 7 5 7 3" xfId="19861" xr:uid="{B65E1343-3193-4DA0-AB94-0FEFB004E222}"/>
    <cellStyle name="Обычный 7 5 7 4" xfId="26863" xr:uid="{D2DCB94A-FA1C-45CE-9BFC-0446A09B4D80}"/>
    <cellStyle name="Обычный 7 5 7 5" xfId="39946" xr:uid="{1462E257-CE4F-440F-8778-47493BE637C5}"/>
    <cellStyle name="Обычный 7 5 8" xfId="10484" xr:uid="{579410D7-A265-4434-BB2F-D8FFB9002FF6}"/>
    <cellStyle name="Обычный 7 5 9" xfId="17703" xr:uid="{84BDF160-394D-4186-9EB0-0C28ED73C1D4}"/>
    <cellStyle name="Обычный 7 5 9 2" xfId="19210" xr:uid="{E268D81E-19B7-4EA5-8940-CF8B54F71A44}"/>
    <cellStyle name="Обычный 7 5 9 3" xfId="20365" xr:uid="{14E98944-8BC3-4BB9-AF72-C419290F103B}"/>
    <cellStyle name="Обычный 7 5 9 4" xfId="33426" xr:uid="{707F94A7-4FEF-4FD3-9678-E65D1AC3D706}"/>
    <cellStyle name="Обычный 7 5 9 5" xfId="47215" xr:uid="{B6862A5D-BA05-4A3C-92C6-0D0D48291A48}"/>
    <cellStyle name="Обычный 7 6" xfId="3804" xr:uid="{C62AB249-197A-4958-B1F7-5DBB106B1A94}"/>
    <cellStyle name="Обычный 7 7" xfId="4037" xr:uid="{862D46E5-1049-490E-BFC0-B25281D724C7}"/>
    <cellStyle name="Обычный 70" xfId="3855" xr:uid="{061E97FB-3F0C-4E3C-8A01-8CE4E29279D1}"/>
    <cellStyle name="Обычный 70 2" xfId="10540" xr:uid="{DE8380DB-1DC5-4F92-841F-C16F094E9FC3}"/>
    <cellStyle name="Обычный 71" xfId="2508" xr:uid="{0D73A441-2818-45DC-9403-8F827AE7297D}"/>
    <cellStyle name="Обычный 71 2" xfId="6178" xr:uid="{13C4F055-C689-4A18-B827-0253466FB826}"/>
    <cellStyle name="Обычный 71 2 2" xfId="10038" xr:uid="{82023E47-A784-4BBA-A0B4-BFE996E072D8}"/>
    <cellStyle name="Обычный 71 2 2 2" xfId="19002" xr:uid="{59FC2EF3-11A2-4F7C-97B9-C5A03E947582}"/>
    <cellStyle name="Обычный 71 2 2 3" xfId="20264" xr:uid="{0CA3B653-880B-4A1C-961A-C70600DA85DA}"/>
    <cellStyle name="Обычный 71 2 2 4" xfId="27334" xr:uid="{79157E3C-3A98-42F4-A1E3-3589F1FB9498}"/>
    <cellStyle name="Обычный 71 2 2 5" xfId="40453" xr:uid="{EB490C4A-BDDA-4DF5-8C57-9FE953F8085D}"/>
    <cellStyle name="Обычный 71 2 3" xfId="18298" xr:uid="{B76E6E5E-24D4-4D85-85FD-AC79609CFA5C}"/>
    <cellStyle name="Обычный 71 2 4" xfId="19737" xr:uid="{636E2377-3A87-4D80-9EF0-2A1E180F5338}"/>
    <cellStyle name="Обычный 71 2 5" xfId="23823" xr:uid="{772E1AB8-FE33-4E45-9B9F-C05C54841BF9}"/>
    <cellStyle name="Обычный 71 2 6" xfId="36904" xr:uid="{448626FB-DD4C-411F-82A3-78AF16677725}"/>
    <cellStyle name="Обычный 71 3" xfId="9406" xr:uid="{3E54C89C-1165-4B54-987A-E3A61C9A49CE}"/>
    <cellStyle name="Обычный 71 3 2" xfId="18476" xr:uid="{ADB15DEE-467D-47D2-80E2-21BFDB4D5BD1}"/>
    <cellStyle name="Обычный 71 3 3" xfId="19816" xr:uid="{5B457180-F204-45E3-8C05-38F1EA503EEF}"/>
    <cellStyle name="Обычный 71 3 4" xfId="26818" xr:uid="{622BC6A4-8A2A-4C79-B198-794790A9B8F0}"/>
    <cellStyle name="Обычный 71 3 5" xfId="39899" xr:uid="{C4564433-950B-4970-B0B1-7D1A2C2E39F4}"/>
    <cellStyle name="Обычный 71 4" xfId="10542" xr:uid="{9AED72C5-DB5B-42DE-9BF0-CAA379EDD6B0}"/>
    <cellStyle name="Обычный 71 5" xfId="17833" xr:uid="{59441F25-C0E6-4E7A-ADE8-78E3D35FA2EC}"/>
    <cellStyle name="Обычный 71 6" xfId="19289" xr:uid="{450F5EFE-95A3-4A64-A9EB-63359BA5A540}"/>
    <cellStyle name="Обычный 71 7" xfId="20575" xr:uid="{5717B1F6-64E7-4509-8E04-177935D861A7}"/>
    <cellStyle name="Обычный 71 8" xfId="33598" xr:uid="{BAC0D715-845F-451B-B3F6-ACD1EC77F13A}"/>
    <cellStyle name="Обычный 72" xfId="4271" xr:uid="{AEA6AD5B-3993-4D45-9FF1-B47530F4ED91}"/>
    <cellStyle name="Обычный 72 2" xfId="9533" xr:uid="{30D454CA-C1E9-4E67-B29A-64904EE57727}"/>
    <cellStyle name="Обычный 72 2 2" xfId="18601" xr:uid="{53ED0821-EFE4-459C-8DA2-1F8DB418E4C9}"/>
    <cellStyle name="Обычный 72 2 3" xfId="19891" xr:uid="{D48E05E8-6767-4E01-89C0-970B55B502DD}"/>
    <cellStyle name="Обычный 72 2 4" xfId="26893" xr:uid="{410E3D43-DC8B-4229-8453-122B84922AD5}"/>
    <cellStyle name="Обычный 72 2 5" xfId="39976" xr:uid="{70DE5275-4AD6-4FA3-A39F-2E8EA6C80640}"/>
    <cellStyle name="Обычный 72 3" xfId="10544" xr:uid="{8095F2E8-0A96-4828-8C3D-EEBE29E1D6CF}"/>
    <cellStyle name="Обычный 72 4" xfId="17908" xr:uid="{432BFCB2-BB0E-46CD-87A3-580A3B406B7B}"/>
    <cellStyle name="Обычный 72 5" xfId="19364" xr:uid="{4D9D0550-07DA-4FF8-90F4-DED95C6EA917}"/>
    <cellStyle name="Обычный 72 6" xfId="22096" xr:uid="{1BB5B948-689C-47B1-85DB-ECDC03E9A4FD}"/>
    <cellStyle name="Обычный 72 7" xfId="35145" xr:uid="{8564037F-B1C4-4FFD-A921-780EBDD742C9}"/>
    <cellStyle name="Обычный 73" xfId="5247" xr:uid="{7A3BA448-B0D6-4964-8AEC-C34264228F26}"/>
    <cellStyle name="Обычный 73 2" xfId="9682" xr:uid="{5B455318-AB99-4AC5-8785-83E55AD93314}"/>
    <cellStyle name="Обычный 73 2 2" xfId="18721" xr:uid="{635F8FAF-7903-4A31-BE91-A12094F811C8}"/>
    <cellStyle name="Обычный 73 2 3" xfId="19985" xr:uid="{E39FF4EC-510A-4D2F-A2FA-4CFA4057D913}"/>
    <cellStyle name="Обычный 73 2 4" xfId="26987" xr:uid="{55C8CAF7-452D-4855-98BD-E92C868ABC7A}"/>
    <cellStyle name="Обычный 73 2 5" xfId="40099" xr:uid="{A0BED327-8FB0-481D-9BDE-BBA41A96014D}"/>
    <cellStyle name="Обычный 73 3" xfId="10545" xr:uid="{93425904-F468-4280-BE49-54435224392F}"/>
    <cellStyle name="Обычный 73 3 2" xfId="19165" xr:uid="{4490E0B0-A36D-4BA2-B1BD-2775359F89C5}"/>
    <cellStyle name="Обычный 73 3 3" xfId="20322" xr:uid="{4EBE7135-A2C8-460F-8390-2639B987495B}"/>
    <cellStyle name="Обычный 73 3 4" xfId="27405" xr:uid="{8BC76562-0230-432D-B234-703002766FB8}"/>
    <cellStyle name="Обычный 73 3 5" xfId="40527" xr:uid="{DEF7D1C6-FF21-464E-85DB-A82F74116135}"/>
    <cellStyle name="Обычный 73 4" xfId="18018" xr:uid="{1AA99B72-B34E-401F-A18E-34EF5152A870}"/>
    <cellStyle name="Обычный 73 5" xfId="19458" xr:uid="{A7F381A6-C875-4188-86C6-234DFC1395EA}"/>
    <cellStyle name="Обычный 73 6" xfId="22906" xr:uid="{E4CF720B-7E98-4896-9E5B-3A3AC7F37E24}"/>
    <cellStyle name="Обычный 73 7" xfId="35980" xr:uid="{78B2D4CA-9CEC-4DDD-9507-DA9285317217}"/>
    <cellStyle name="Обычный 74" xfId="5340" xr:uid="{AAEF44BB-6C21-49A4-82B5-A45EA3E726CB}"/>
    <cellStyle name="Обычный 74 2" xfId="9772" xr:uid="{4727B7F4-4219-457C-834A-15DFF02D8826}"/>
    <cellStyle name="Обычный 74 2 2" xfId="18775" xr:uid="{ED952A5E-BC43-4833-BC79-68EF40867154}"/>
    <cellStyle name="Обычный 74 2 3" xfId="20038" xr:uid="{38DCB947-0B65-4B4A-B11B-74AA22984FF5}"/>
    <cellStyle name="Обычный 74 2 4" xfId="27069" xr:uid="{72DA6C82-5EA4-435E-9759-2C7F0912D408}"/>
    <cellStyle name="Обычный 74 2 5" xfId="40188" xr:uid="{D5361030-A1AC-4C76-B6CE-20A98C446E55}"/>
    <cellStyle name="Обычный 74 3" xfId="10547" xr:uid="{145987E0-F2C6-4DAD-99BD-07AEA609807F}"/>
    <cellStyle name="Обычный 74 3 2" xfId="19167" xr:uid="{B47E5F1A-70B0-4C4D-B6AE-35F0E124EED3}"/>
    <cellStyle name="Обычный 74 3 3" xfId="20324" xr:uid="{5AC14B92-84A2-4066-90B1-1B96D5A9B809}"/>
    <cellStyle name="Обычный 74 3 4" xfId="27407" xr:uid="{C07C3E3D-C544-4A4E-9015-C2ACDE5F7146}"/>
    <cellStyle name="Обычный 74 3 5" xfId="40529" xr:uid="{7E3E9304-CD71-46D6-A078-FC174AD4463B}"/>
    <cellStyle name="Обычный 74 4" xfId="18072" xr:uid="{3FB110B5-116D-45F8-9342-7AD58A03A622}"/>
    <cellStyle name="Обычный 74 5" xfId="19511" xr:uid="{4292E4FD-07F8-47AF-AD03-10CF5DB12CE7}"/>
    <cellStyle name="Обычный 74 6" xfId="22988" xr:uid="{BEE93133-EE4B-4747-A31D-E0D9414ACCCF}"/>
    <cellStyle name="Обычный 74 7" xfId="36069" xr:uid="{5E1083EB-9698-4187-A2F1-ACBA2A082BEC}"/>
    <cellStyle name="Обычный 75" xfId="5967" xr:uid="{69F94952-1380-454F-9B28-4328AFFCBFDA}"/>
    <cellStyle name="Обычный 75 2" xfId="9887" xr:uid="{22A35BFD-5D51-4513-8EC2-23D1F603ED3C}"/>
    <cellStyle name="Обычный 75 2 2" xfId="18851" xr:uid="{64776E42-46E5-4828-BB6E-A64517A3F7CC}"/>
    <cellStyle name="Обычный 75 2 3" xfId="20113" xr:uid="{A00DDD22-67F0-40FB-8ACC-8C090EEBCF1E}"/>
    <cellStyle name="Обычный 75 2 4" xfId="27183" xr:uid="{08152F55-9419-475C-BD4A-CBCA35E3FFFD}"/>
    <cellStyle name="Обычный 75 2 5" xfId="40302" xr:uid="{6A1290D6-2EE7-4884-B763-ECF0370D7E6E}"/>
    <cellStyle name="Обычный 75 3" xfId="18147" xr:uid="{5EA76EE4-B373-4947-BDBA-FFAB1D06F8AC}"/>
    <cellStyle name="Обычный 75 4" xfId="19586" xr:uid="{440BB3A2-1084-4AD8-BDBB-37EF324E3D30}"/>
    <cellStyle name="Обычный 75 5" xfId="23614" xr:uid="{4D615F96-E110-42DE-A1D0-7E1969E9401E}"/>
    <cellStyle name="Обычный 75 6" xfId="36695" xr:uid="{6013008A-2138-4E94-8354-372A4CA52D45}"/>
    <cellStyle name="Обычный 76" xfId="6043" xr:uid="{23886591-A6FB-4206-8EE3-04E61B75EDE4}"/>
    <cellStyle name="Обычный 76 2" xfId="9962" xr:uid="{E786A199-7CEC-43D5-B6DD-8EAAC3163BBE}"/>
    <cellStyle name="Обычный 76 2 2" xfId="18926" xr:uid="{9D738C1F-728B-41B9-BF7C-F4A83C9DF58D}"/>
    <cellStyle name="Обычный 76 2 3" xfId="20188" xr:uid="{DB6D7E4B-F5BA-4504-85DE-32FCB33F9C1F}"/>
    <cellStyle name="Обычный 76 2 4" xfId="27258" xr:uid="{637FFF85-6596-46C3-A885-8D0E82776AE8}"/>
    <cellStyle name="Обычный 76 2 5" xfId="40377" xr:uid="{AD1FF6F4-F92C-479E-B788-73591D4757B3}"/>
    <cellStyle name="Обычный 76 3" xfId="18222" xr:uid="{38474F81-D7BC-435D-91D6-51007543383D}"/>
    <cellStyle name="Обычный 76 4" xfId="19661" xr:uid="{AFD8146D-D8D2-484B-9E0E-CEED93FEB433}"/>
    <cellStyle name="Обычный 76 5" xfId="23689" xr:uid="{307477FE-B9F2-4A51-956A-C5941A983BC8}"/>
    <cellStyle name="Обычный 76 6" xfId="36770" xr:uid="{4B9E382E-880F-4775-8AB4-F4DF65C02AEA}"/>
    <cellStyle name="Обычный 77" xfId="9373" xr:uid="{386B2027-4A70-42E7-8381-32E6E587EC81}"/>
    <cellStyle name="Обычный 78" xfId="9372" xr:uid="{258BE782-7A8D-432F-BAEF-CB78C282B493}"/>
    <cellStyle name="Обычный 79" xfId="9389" xr:uid="{6327CD73-DD5F-4B3E-910E-F0C0B8D05541}"/>
    <cellStyle name="Обычный 8" xfId="2402" xr:uid="{A3064551-578B-4330-9305-E01B38520C16}"/>
    <cellStyle name="Обычный 8 2" xfId="5156" xr:uid="{AE9D2042-35CC-45B6-8D54-819558ECFFEA}"/>
    <cellStyle name="Обычный 8 3" xfId="10485" xr:uid="{E65630C3-E0B2-4F78-BE4E-66F1FF4795E4}"/>
    <cellStyle name="Обычный 80" xfId="10059" xr:uid="{E6D166D3-4DD3-4AA5-8D98-0AD23088F1ED}"/>
    <cellStyle name="Обычный 81" xfId="10200" xr:uid="{35BC5FBE-0431-4D23-8916-322582B5F67A}"/>
    <cellStyle name="Обычный 82" xfId="36" xr:uid="{8B07C5F8-6223-4FE8-AD64-40CB4FC6A13F}"/>
    <cellStyle name="Обычный 83" xfId="17624" xr:uid="{0F9745F3-FD85-4153-A41F-9A118B172AB5}"/>
    <cellStyle name="Обычный 84" xfId="17627" xr:uid="{0C53836D-BC4A-47F3-9502-E54EABA2B8B6}"/>
    <cellStyle name="Обычный 85" xfId="17628" xr:uid="{B9A90A50-4F5D-4C33-B4C6-29B5A5426E40}"/>
    <cellStyle name="Обычный 86" xfId="17626" xr:uid="{187F7717-5CE0-4843-8057-E3F458EFF6E0}"/>
    <cellStyle name="Обычный 87" xfId="17635" xr:uid="{874482F9-0C91-42FD-A054-CCFE3B79A92E}"/>
    <cellStyle name="Обычный 88" xfId="17707" xr:uid="{6F8BC685-E726-4C86-AD1F-3AE089EBDF87}"/>
    <cellStyle name="Обычный 89" xfId="19170" xr:uid="{A446785F-8167-4B11-BE75-BA590E6E6D73}"/>
    <cellStyle name="Обычный 9" xfId="2403" xr:uid="{B8D3B0B0-E64A-42D4-B164-21AB31A955AA}"/>
    <cellStyle name="Обычный 90" xfId="20422" xr:uid="{BBA2DFA3-55B5-405C-B356-571A87835390}"/>
    <cellStyle name="Обычный 91" xfId="33532" xr:uid="{7AFE29EE-96D2-4D5E-AA5B-A7A13DD3A7E8}"/>
    <cellStyle name="Обычный 92" xfId="33535" xr:uid="{8F4D15B0-7E91-4040-983D-931CB9A95753}"/>
    <cellStyle name="Обычный 93" xfId="33536" xr:uid="{14E0D78E-8B9C-4DEF-BF86-F486D73D8A63}"/>
    <cellStyle name="Плохой 1" xfId="2404" xr:uid="{AA2C7D73-20D5-48B8-8A06-32163BE31FA8}"/>
    <cellStyle name="Плохой 2" xfId="2405" xr:uid="{7925A059-45E5-40E5-BCB4-357A59EDB27B}"/>
    <cellStyle name="Плохой 2 2" xfId="10486" xr:uid="{ABC83026-71B9-492E-97A3-E38C4C59E284}"/>
    <cellStyle name="Плохой 3" xfId="2406" xr:uid="{C594E745-194F-4087-BF91-377253D66A3B}"/>
    <cellStyle name="Плохой 4" xfId="2407" xr:uid="{07829D34-2865-4E6A-89E4-F7429253A37B}"/>
    <cellStyle name="Поле сводной таблицы" xfId="27" xr:uid="{99F98873-95E5-4FD6-ACBE-DB275830FB61}"/>
    <cellStyle name="Поле сводной таблицы 2" xfId="10537" xr:uid="{40FA7D3A-56EF-40CA-AC04-FFCA5D750C6B}"/>
    <cellStyle name="Пояснение 1" xfId="2408" xr:uid="{3C5A920D-515A-456A-837F-AC04AD5FBCD1}"/>
    <cellStyle name="Пояснение 2" xfId="2409" xr:uid="{A51719CF-04C3-4646-A7A9-FA76D8B7DB69}"/>
    <cellStyle name="Пояснение 3" xfId="2410" xr:uid="{83FE271F-0BDA-4225-BCAD-DD169E7DDDA2}"/>
    <cellStyle name="Пояснение 4" xfId="2411" xr:uid="{F97312E9-3A33-4FC1-910C-0E1F16CEA30F}"/>
    <cellStyle name="Примечание 1" xfId="2412" xr:uid="{F5348B35-3BB0-4292-AED4-56444E077A1F}"/>
    <cellStyle name="Примечание 1 10" xfId="3754" xr:uid="{3A5778CC-7997-4195-9F39-24CB80265E7C}"/>
    <cellStyle name="Примечание 1 10 2" xfId="3065" xr:uid="{7D6C056B-1C40-4C34-80E4-DE61CD6F338A}"/>
    <cellStyle name="Примечание 1 10 2 2" xfId="8361" xr:uid="{2135CAD3-F8FA-49DE-8FF3-5C3379F59523}"/>
    <cellStyle name="Примечание 1 10 2 2 2" xfId="12784" xr:uid="{E3849046-09F6-4518-91A0-8A7777B63AB8}"/>
    <cellStyle name="Примечание 1 10 2 2 2 2" xfId="29359" xr:uid="{D10FB636-590B-46F0-8EA3-223B0F4A18DB}"/>
    <cellStyle name="Примечание 1 10 2 2 2 3" xfId="42639" xr:uid="{80E9933D-A940-43AC-B1F9-800E0B9B5283}"/>
    <cellStyle name="Примечание 1 10 2 2 3" xfId="25865" xr:uid="{524CCBF4-EDBA-43FA-8622-C970DF058337}"/>
    <cellStyle name="Примечание 1 10 2 2 4" xfId="38941" xr:uid="{679A46F2-8A1D-455F-82FD-D1EC4A0C0E60}"/>
    <cellStyle name="Примечание 1 10 2 3" xfId="6728" xr:uid="{C7DF12AA-8CDD-42B5-8BAA-18FA452A4FFB}"/>
    <cellStyle name="Примечание 1 10 2 3 2" xfId="14233" xr:uid="{08EE1D62-5B0D-4050-8CDE-19BDE3D1DBEB}"/>
    <cellStyle name="Примечание 1 10 2 3 2 2" xfId="30578" xr:uid="{97BF9BBF-EF82-429A-B07B-AFAF0D68308C}"/>
    <cellStyle name="Примечание 1 10 2 3 2 3" xfId="43970" xr:uid="{0AA3FCA5-78C3-4F01-B36B-3CB54A0A43F6}"/>
    <cellStyle name="Примечание 1 10 2 3 3" xfId="24356" xr:uid="{0158CF42-A621-474E-A983-D44643AE1F10}"/>
    <cellStyle name="Примечание 1 10 2 3 4" xfId="37437" xr:uid="{D8C74141-39E9-49CF-955C-D838347910B9}"/>
    <cellStyle name="Примечание 1 10 2 4" xfId="14242" xr:uid="{8FED0E7D-976F-4D35-8EA4-6DB737932E6E}"/>
    <cellStyle name="Примечание 1 10 2 4 2" xfId="30587" xr:uid="{9D879D9A-09DA-4298-86F1-78E92F66B5B8}"/>
    <cellStyle name="Примечание 1 10 2 4 3" xfId="43979" xr:uid="{0AC34B2A-41C0-4DDB-996E-C8078611584A}"/>
    <cellStyle name="Примечание 1 10 2 5" xfId="21108" xr:uid="{03A9DE6C-C50E-4E99-8948-0CE35FA695EC}"/>
    <cellStyle name="Примечание 1 10 2 6" xfId="34131" xr:uid="{0FC4F036-D5A3-4948-9394-9161A8DA1D0A}"/>
    <cellStyle name="Примечание 1 10 3" xfId="4636" xr:uid="{125B1419-F67D-4E31-820C-47BA2614B08C}"/>
    <cellStyle name="Примечание 1 10 3 2" xfId="7386" xr:uid="{9600A7BD-00EC-46C5-BF5B-4A394F955958}"/>
    <cellStyle name="Примечание 1 10 3 2 2" xfId="11877" xr:uid="{588C2103-29DC-4D72-A226-B7C34F57D03A}"/>
    <cellStyle name="Примечание 1 10 3 2 2 2" xfId="28593" xr:uid="{272B3961-C167-417D-BCE4-57C79E32E26E}"/>
    <cellStyle name="Примечание 1 10 3 2 2 3" xfId="41809" xr:uid="{8458A255-D696-4ACF-B80E-345B791A3EE2}"/>
    <cellStyle name="Примечание 1 10 3 2 3" xfId="24945" xr:uid="{29CBBBD3-2C7D-4E98-B7F9-76135BC88A45}"/>
    <cellStyle name="Примечание 1 10 3 2 4" xfId="38023" xr:uid="{99869D11-C9BA-42D1-A2A0-309968B9BF0E}"/>
    <cellStyle name="Примечание 1 10 3 3" xfId="11662" xr:uid="{FB37CB7A-E3A1-48A9-859B-B5E637ED20C6}"/>
    <cellStyle name="Примечание 1 10 3 3 2" xfId="28402" xr:uid="{D60876DC-4FFE-4E94-A660-9CC95CC34316}"/>
    <cellStyle name="Примечание 1 10 3 3 3" xfId="41606" xr:uid="{209F8979-16ED-4496-B46B-61FF1275ECDB}"/>
    <cellStyle name="Примечание 1 10 3 4" xfId="22446" xr:uid="{90B411FB-F6AB-437A-8331-ABD52F03F632}"/>
    <cellStyle name="Примечание 1 10 3 5" xfId="35499" xr:uid="{F85B4A3B-DA89-4A1C-84F4-F4BAD8B4CD96}"/>
    <cellStyle name="Примечание 1 10 4" xfId="5756" xr:uid="{3A1FCE7F-9192-4019-8544-B22B658813BA}"/>
    <cellStyle name="Примечание 1 10 4 2" xfId="8945" xr:uid="{6CC601AD-DB30-44CA-97F7-D2B3F0A1E55E}"/>
    <cellStyle name="Примечание 1 10 4 2 2" xfId="13128" xr:uid="{9657474A-4462-4F5F-B60A-F7C06C51B3BE}"/>
    <cellStyle name="Примечание 1 10 4 2 2 2" xfId="29642" xr:uid="{06A2D0F8-41B7-4027-8A5F-48C021CC75D2}"/>
    <cellStyle name="Примечание 1 10 4 2 2 3" xfId="42954" xr:uid="{720516A8-F61D-4C2C-A02D-E35ECA89A0E1}"/>
    <cellStyle name="Примечание 1 10 4 2 3" xfId="26431" xr:uid="{6C066775-90E1-4F40-9353-B92F521C8E6E}"/>
    <cellStyle name="Примечание 1 10 4 2 4" xfId="39507" xr:uid="{0A4EEB07-B8B6-44BF-9357-B0D03D6AB013}"/>
    <cellStyle name="Примечание 1 10 4 3" xfId="12404" xr:uid="{2BECE5DA-C00B-4AF7-98B3-BF6E5678EDE2}"/>
    <cellStyle name="Примечание 1 10 4 3 2" xfId="29069" xr:uid="{5F9418B1-6AFB-4A05-A1F8-D80AF62FFFC0}"/>
    <cellStyle name="Примечание 1 10 4 3 3" xfId="42310" xr:uid="{1057EB92-E321-4CD7-B47F-C6C2A9AEEE44}"/>
    <cellStyle name="Примечание 1 10 4 4" xfId="23403" xr:uid="{ABA4E21A-E761-4978-B7E0-212B29BA6206}"/>
    <cellStyle name="Примечание 1 10 4 5" xfId="36484" xr:uid="{FDAF9501-96AF-4B9C-82A8-2F1847A16610}"/>
    <cellStyle name="Примечание 1 10 5" xfId="13362" xr:uid="{EB25EC50-50D3-4140-A961-D68C1671435F}"/>
    <cellStyle name="Примечание 1 10 5 2" xfId="29838" xr:uid="{7B467475-7DE2-418E-9F5D-8D6AB38AB5B5}"/>
    <cellStyle name="Примечание 1 10 5 3" xfId="43172" xr:uid="{BFE049DB-D2E3-4A8B-8CE9-7CF5DF7018D0}"/>
    <cellStyle name="Примечание 1 10 6" xfId="21665" xr:uid="{E2ED4CB4-23A7-4DE5-BA9B-E16060EF34FB}"/>
    <cellStyle name="Примечание 1 10 7" xfId="34719" xr:uid="{EC7A60B9-ED8C-454F-8444-7F4FB32A192C}"/>
    <cellStyle name="Примечание 1 11" xfId="3828" xr:uid="{1F5B853D-FE82-4A36-A668-D8424862605A}"/>
    <cellStyle name="Примечание 1 11 2" xfId="3090" xr:uid="{8A2F2F9E-490C-475F-B61E-0D57BD1A745B}"/>
    <cellStyle name="Примечание 1 11 2 2" xfId="8382" xr:uid="{FDCC9BEC-FB0D-4DD4-BF26-97ABFC592A27}"/>
    <cellStyle name="Примечание 1 11 2 2 2" xfId="16233" xr:uid="{97FAC314-65C9-47C4-A209-0F39670305A1}"/>
    <cellStyle name="Примечание 1 11 2 2 2 2" xfId="32270" xr:uid="{6328980A-23A7-423E-AE16-D020BB54C00C}"/>
    <cellStyle name="Примечание 1 11 2 2 2 3" xfId="45798" xr:uid="{61471933-1E16-4361-92C3-5E86FEAD9DA4}"/>
    <cellStyle name="Примечание 1 11 2 2 3" xfId="25885" xr:uid="{9E2FBB07-144D-4741-8D29-A75A91F3B511}"/>
    <cellStyle name="Примечание 1 11 2 2 4" xfId="38961" xr:uid="{A11BF2CD-D131-4B7E-96E1-6F57986003CE}"/>
    <cellStyle name="Примечание 1 11 2 3" xfId="6749" xr:uid="{A848B5B5-2386-4B41-B0EB-E9536AC4D879}"/>
    <cellStyle name="Примечание 1 11 2 3 2" xfId="14351" xr:uid="{B8000180-717C-4D0D-B433-D656A71B0ADA}"/>
    <cellStyle name="Примечание 1 11 2 3 2 2" xfId="30685" xr:uid="{08542942-2DD4-4A5E-91E9-9D0D6B4742ED}"/>
    <cellStyle name="Примечание 1 11 2 3 2 3" xfId="44081" xr:uid="{05B3B59A-FCBA-49C3-89B0-09D8A2926E61}"/>
    <cellStyle name="Примечание 1 11 2 3 3" xfId="24376" xr:uid="{E2EC15DD-F716-4BFB-9A1E-0FC3F389A256}"/>
    <cellStyle name="Примечание 1 11 2 3 4" xfId="37457" xr:uid="{36375CD6-D753-47A3-91E8-8476C514F9AF}"/>
    <cellStyle name="Примечание 1 11 2 4" xfId="12987" xr:uid="{041F75B1-8FA1-4287-9838-C2121B9EA530}"/>
    <cellStyle name="Примечание 1 11 2 4 2" xfId="29524" xr:uid="{70D698B6-D16E-4CC9-913E-53E4A6F3D7BB}"/>
    <cellStyle name="Примечание 1 11 2 4 3" xfId="42824" xr:uid="{10F87959-ED97-4078-B7A2-D782490C9CA3}"/>
    <cellStyle name="Примечание 1 11 2 5" xfId="21128" xr:uid="{E01470BE-11F7-4BC4-A700-710F411AA81B}"/>
    <cellStyle name="Примечание 1 11 2 6" xfId="34151" xr:uid="{CB42AEA3-3A69-407E-BEAB-0168E36C4ADC}"/>
    <cellStyle name="Примечание 1 11 3" xfId="4774" xr:uid="{6F9C60C1-A9F1-417D-9C88-2FD144E2D666}"/>
    <cellStyle name="Примечание 1 11 3 2" xfId="7415" xr:uid="{B4AD2104-6704-4479-BA64-AC7887B04E20}"/>
    <cellStyle name="Примечание 1 11 3 2 2" xfId="16136" xr:uid="{0FBA5488-4A7E-4186-B497-14549D2235B3}"/>
    <cellStyle name="Примечание 1 11 3 2 2 2" xfId="32190" xr:uid="{88B22A25-D666-42A1-90C0-1B56D232405F}"/>
    <cellStyle name="Примечание 1 11 3 2 2 3" xfId="45711" xr:uid="{6382FFAB-7CF6-4B52-8F23-B266D867CFF7}"/>
    <cellStyle name="Примечание 1 11 3 2 3" xfId="24973" xr:uid="{C883ED5A-800C-4DE1-A220-AF18E3580D32}"/>
    <cellStyle name="Примечание 1 11 3 2 4" xfId="38049" xr:uid="{5C7DECF5-060B-4074-9D03-E6CAEE1D9A17}"/>
    <cellStyle name="Примечание 1 11 3 3" xfId="16406" xr:uid="{36D1546D-FEDC-4D29-BC6D-507443F22DE4}"/>
    <cellStyle name="Примечание 1 11 3 3 2" xfId="32422" xr:uid="{D998088B-DCFE-4461-AC42-14685B1FC69D}"/>
    <cellStyle name="Примечание 1 11 3 3 3" xfId="45957" xr:uid="{079C65C4-EDF4-4D21-A6BB-37D9399BA2CF}"/>
    <cellStyle name="Примечание 1 11 3 4" xfId="22576" xr:uid="{437B5005-20B8-4C3F-9326-63A38ADD671E}"/>
    <cellStyle name="Примечание 1 11 3 5" xfId="35629" xr:uid="{097E16B0-DFF5-407C-87FC-AD7D7A6DFEAC}"/>
    <cellStyle name="Примечание 1 11 4" xfId="5799" xr:uid="{5FAC4EEF-1CF6-41C3-B6C6-86A2A8AD8543}"/>
    <cellStyle name="Примечание 1 11 4 2" xfId="8960" xr:uid="{DE9BEA7B-C51A-4569-87D6-FDDF4CD9CE94}"/>
    <cellStyle name="Примечание 1 11 4 2 2" xfId="13733" xr:uid="{9A7FB7A8-78C8-4315-915F-859BA1143085}"/>
    <cellStyle name="Примечание 1 11 4 2 2 2" xfId="30148" xr:uid="{A04D139A-89CE-4E02-BF13-C4F680D212C4}"/>
    <cellStyle name="Примечание 1 11 4 2 2 3" xfId="43510" xr:uid="{59D0A53C-9526-4FC3-8B17-27CC18E8F76A}"/>
    <cellStyle name="Примечание 1 11 4 2 3" xfId="26445" xr:uid="{7D9065E4-E69B-4B37-8876-437F7385440C}"/>
    <cellStyle name="Примечание 1 11 4 2 4" xfId="39521" xr:uid="{AFB837E8-B54A-4C8B-B5F9-8CE4F2FCE83E}"/>
    <cellStyle name="Примечание 1 11 4 3" xfId="12323" xr:uid="{11D25FA0-CA41-42DE-B778-04A5A5270596}"/>
    <cellStyle name="Примечание 1 11 4 3 2" xfId="28991" xr:uid="{A3A559FC-D30B-4D29-8068-9B93ACA73C53}"/>
    <cellStyle name="Примечание 1 11 4 3 3" xfId="42231" xr:uid="{B04E4075-B8DD-4BCF-8D12-A70A2CC0E065}"/>
    <cellStyle name="Примечание 1 11 4 4" xfId="23446" xr:uid="{2097F509-3ADD-478E-B991-8A0B10DFFCCC}"/>
    <cellStyle name="Примечание 1 11 4 5" xfId="36527" xr:uid="{87C6E062-1C77-480F-86A3-063EF8FCDD67}"/>
    <cellStyle name="Примечание 1 11 5" xfId="12394" xr:uid="{15291B9D-3C57-468C-A8F8-F2C05909EB17}"/>
    <cellStyle name="Примечание 1 11 5 2" xfId="29059" xr:uid="{9C720F97-00EC-4674-9DD0-FC4B7224EAAE}"/>
    <cellStyle name="Примечание 1 11 5 3" xfId="42300" xr:uid="{DB830388-67E2-4140-888C-E30CA0C213B4}"/>
    <cellStyle name="Примечание 1 11 6" xfId="21708" xr:uid="{7BCFD13B-AA4F-4D31-A803-D8C7C38AD98D}"/>
    <cellStyle name="Примечание 1 11 7" xfId="34762" xr:uid="{58DE1FDE-621E-404C-BA52-CB7C10A4D994}"/>
    <cellStyle name="Примечание 1 12" xfId="3759" xr:uid="{368E28B7-CF7E-4C35-92C5-A2123DADB02E}"/>
    <cellStyle name="Примечание 1 12 2" xfId="3070" xr:uid="{972BAF90-529D-4AFE-A095-1546EE0A8C0E}"/>
    <cellStyle name="Примечание 1 12 2 2" xfId="8366" xr:uid="{3CC0EAB8-4712-4956-954F-DA6329F87682}"/>
    <cellStyle name="Примечание 1 12 2 2 2" xfId="13194" xr:uid="{021C294D-96AC-4432-BF0F-79D410A4FB05}"/>
    <cellStyle name="Примечание 1 12 2 2 2 2" xfId="29698" xr:uid="{D1C9CC36-3C73-4738-B3EB-590325BC0710}"/>
    <cellStyle name="Примечание 1 12 2 2 2 3" xfId="43016" xr:uid="{548ADB26-3045-4040-AB9E-803BC5C7C793}"/>
    <cellStyle name="Примечание 1 12 2 2 3" xfId="25870" xr:uid="{9EEB6BFB-7000-44ED-9265-B5932848BA09}"/>
    <cellStyle name="Примечание 1 12 2 2 4" xfId="38946" xr:uid="{5E69380F-07D3-4C68-A8CF-F5C1021BAE42}"/>
    <cellStyle name="Примечание 1 12 2 3" xfId="6733" xr:uid="{FBF0BEFB-516A-4910-BF14-882DBAEDC846}"/>
    <cellStyle name="Примечание 1 12 2 3 2" xfId="17358" xr:uid="{F503E7C9-7886-416B-84BA-E54D57EDEAAD}"/>
    <cellStyle name="Примечание 1 12 2 3 2 2" xfId="33112" xr:uid="{A71E75E1-A8E4-4D8A-A149-843C935024AD}"/>
    <cellStyle name="Примечание 1 12 2 3 2 3" xfId="46888" xr:uid="{12312B30-0A92-4578-AD62-BC59609AD1E6}"/>
    <cellStyle name="Примечание 1 12 2 3 3" xfId="24361" xr:uid="{60FBCD85-A23C-4FF0-ABAC-11F4BB70C467}"/>
    <cellStyle name="Примечание 1 12 2 3 4" xfId="37442" xr:uid="{F65901F9-721A-494F-9B7A-AFA26E9AE126}"/>
    <cellStyle name="Примечание 1 12 2 4" xfId="15482" xr:uid="{8C301822-38B3-46FF-BEF3-61F3BB938182}"/>
    <cellStyle name="Примечание 1 12 2 4 2" xfId="31623" xr:uid="{48DE4433-EA68-453C-8327-2F4C8B4B3F54}"/>
    <cellStyle name="Примечание 1 12 2 4 3" xfId="45120" xr:uid="{60956E33-AE95-446D-8ADD-45B8216386AD}"/>
    <cellStyle name="Примечание 1 12 2 5" xfId="21113" xr:uid="{1D57059A-7C78-4423-8AEB-5056C7261526}"/>
    <cellStyle name="Примечание 1 12 2 6" xfId="34136" xr:uid="{12C7CFB6-DFA4-45E1-96EF-1DEED624B95C}"/>
    <cellStyle name="Примечание 1 12 3" xfId="4764" xr:uid="{659BC040-042C-46FE-853C-516EECA5FF6D}"/>
    <cellStyle name="Примечание 1 12 3 2" xfId="7391" xr:uid="{92F57956-13A0-48CA-A975-B5853F0216B1}"/>
    <cellStyle name="Примечание 1 12 3 2 2" xfId="11964" xr:uid="{B6539D08-7FFF-4853-BBAA-BE52D4B2B8BC}"/>
    <cellStyle name="Примечание 1 12 3 2 2 2" xfId="28673" xr:uid="{5BF545D0-02AE-4A8B-8F50-8A39B9AB2BC8}"/>
    <cellStyle name="Примечание 1 12 3 2 2 3" xfId="41891" xr:uid="{397D0D38-826B-408B-AECF-CA81D1F48DC9}"/>
    <cellStyle name="Примечание 1 12 3 2 3" xfId="24950" xr:uid="{DA2ED0F1-D290-43EB-A14F-32A53B039383}"/>
    <cellStyle name="Примечание 1 12 3 2 4" xfId="38028" xr:uid="{44112D50-F8F3-4DA1-8657-D57ED2B96B8D}"/>
    <cellStyle name="Примечание 1 12 3 3" xfId="12275" xr:uid="{3E206150-4E6F-4886-AA6F-9EF490FF13EE}"/>
    <cellStyle name="Примечание 1 12 3 3 2" xfId="28953" xr:uid="{23413927-1A92-4C2B-A963-2EFBBF4EF5C7}"/>
    <cellStyle name="Примечание 1 12 3 3 3" xfId="42187" xr:uid="{B8AE81FB-FCF6-46F5-A12B-E6DBEB300B65}"/>
    <cellStyle name="Примечание 1 12 3 4" xfId="22567" xr:uid="{F0EBDB17-50AE-4CE7-8C76-D72F043D9412}"/>
    <cellStyle name="Примечание 1 12 3 5" xfId="35620" xr:uid="{5356DA0E-5C53-4607-82F5-BC09191124F9}"/>
    <cellStyle name="Примечание 1 12 4" xfId="5761" xr:uid="{89748C68-0231-4A6B-84FC-74ADAD260A2A}"/>
    <cellStyle name="Примечание 1 12 4 2" xfId="8950" xr:uid="{4DEE04F5-4227-47FB-95F1-249E534D9B12}"/>
    <cellStyle name="Примечание 1 12 4 2 2" xfId="13820" xr:uid="{32F57ABD-CE62-403D-81CB-DC451C11DA10}"/>
    <cellStyle name="Примечание 1 12 4 2 2 2" xfId="30222" xr:uid="{56EC8D7C-18FD-4C89-A479-8991F980C8FD}"/>
    <cellStyle name="Примечание 1 12 4 2 2 3" xfId="43592" xr:uid="{669F752A-F002-4802-A72A-ECAC154D47B3}"/>
    <cellStyle name="Примечание 1 12 4 2 3" xfId="26436" xr:uid="{36FE4357-4558-441B-A064-C062E116687F}"/>
    <cellStyle name="Примечание 1 12 4 2 4" xfId="39512" xr:uid="{BFDAAA88-7181-4892-A154-FDDE29ECBD4E}"/>
    <cellStyle name="Примечание 1 12 4 3" xfId="11564" xr:uid="{F324420E-8B1E-4EEF-B8F7-4F957BD45F5A}"/>
    <cellStyle name="Примечание 1 12 4 3 2" xfId="28320" xr:uid="{A75F7BC3-F212-49EC-93BD-B156B028C4B1}"/>
    <cellStyle name="Примечание 1 12 4 3 3" xfId="41519" xr:uid="{BFE2FDF3-D36C-47E9-80F7-CCF8158D3650}"/>
    <cellStyle name="Примечание 1 12 4 4" xfId="23408" xr:uid="{8673A0E5-325C-4CAC-9693-E648AE89FFE7}"/>
    <cellStyle name="Примечание 1 12 4 5" xfId="36489" xr:uid="{43710B27-C833-4F58-B71B-785A2A7EF936}"/>
    <cellStyle name="Примечание 1 12 5" xfId="12782" xr:uid="{FA6DD290-1DB9-4C62-A0FF-D050D020A712}"/>
    <cellStyle name="Примечание 1 12 5 2" xfId="29357" xr:uid="{6D0BFD47-B447-4173-AC41-6F09D9613377}"/>
    <cellStyle name="Примечание 1 12 5 3" xfId="42637" xr:uid="{914063C6-CDB6-4464-AC8F-3B95A175BAC6}"/>
    <cellStyle name="Примечание 1 12 6" xfId="21670" xr:uid="{D05A258D-CAEF-4301-9814-C1BDD98C6096}"/>
    <cellStyle name="Примечание 1 12 7" xfId="34724" xr:uid="{D76D7318-1975-4302-88B6-28518B6A66FC}"/>
    <cellStyle name="Примечание 1 13" xfId="3747" xr:uid="{B9EB1667-AFB3-4057-97C3-3AA29A20664E}"/>
    <cellStyle name="Примечание 1 13 2" xfId="3061" xr:uid="{EB6F9B8F-24CE-4D2F-B2DF-8547CB919628}"/>
    <cellStyle name="Примечание 1 13 2 2" xfId="8357" xr:uid="{63A3B306-EA9F-4BD5-BD04-B48A50F849E9}"/>
    <cellStyle name="Примечание 1 13 2 2 2" xfId="15869" xr:uid="{396BA991-BE12-4FFB-821A-491ED5BA9BD7}"/>
    <cellStyle name="Примечание 1 13 2 2 2 2" xfId="31958" xr:uid="{41418089-3F2B-404C-813E-B821BB0FF6B8}"/>
    <cellStyle name="Примечание 1 13 2 2 2 3" xfId="45472" xr:uid="{E87D0C8B-E59C-4C40-BC7D-03FEEAF3AF9B}"/>
    <cellStyle name="Примечание 1 13 2 2 3" xfId="25861" xr:uid="{2D349672-7DDC-4DA5-83D9-433ACA8016D3}"/>
    <cellStyle name="Примечание 1 13 2 2 4" xfId="38937" xr:uid="{BFEB0DC0-2486-45AF-A114-7F6C03944869}"/>
    <cellStyle name="Примечание 1 13 2 3" xfId="6724" xr:uid="{C65867AA-707F-4C87-AD61-DE8582B08C68}"/>
    <cellStyle name="Примечание 1 13 2 3 2" xfId="14076" xr:uid="{B570071A-0B30-4C68-A483-CE57AF77C3EF}"/>
    <cellStyle name="Примечание 1 13 2 3 2 2" xfId="30444" xr:uid="{A16C8BBF-CEC5-41D4-BF05-A4D51B9C3EBB}"/>
    <cellStyle name="Примечание 1 13 2 3 2 3" xfId="43827" xr:uid="{CBDC2C94-613A-4752-803B-BA0180D87361}"/>
    <cellStyle name="Примечание 1 13 2 3 3" xfId="24352" xr:uid="{EC987F43-9CC1-4713-A26C-EB4B78AD23A4}"/>
    <cellStyle name="Примечание 1 13 2 3 4" xfId="37433" xr:uid="{BB225F66-E6A7-48DE-B939-33C2C330C27D}"/>
    <cellStyle name="Примечание 1 13 2 4" xfId="10872" xr:uid="{05E9869E-D6B8-4BAB-BD35-D1833215DAA8}"/>
    <cellStyle name="Примечание 1 13 2 4 2" xfId="27698" xr:uid="{08BD48D7-C8C9-4EB5-8123-D4CDD8945FFA}"/>
    <cellStyle name="Примечание 1 13 2 4 3" xfId="40852" xr:uid="{684F0A6B-08E3-4B16-BE2A-34552A4293CF}"/>
    <cellStyle name="Примечание 1 13 2 5" xfId="21104" xr:uid="{1C67DF09-B437-4233-9886-48A490B6DF6D}"/>
    <cellStyle name="Примечание 1 13 2 6" xfId="34127" xr:uid="{F01D7B74-7CD1-46F6-B17C-30A22EA3C88E}"/>
    <cellStyle name="Примечание 1 13 3" xfId="4759" xr:uid="{053E76B3-8684-4B17-BEC3-A6122A0488FE}"/>
    <cellStyle name="Примечание 1 13 3 2" xfId="7382" xr:uid="{22BF0EE5-4022-4280-8704-D023914DFE15}"/>
    <cellStyle name="Примечание 1 13 3 2 2" xfId="14489" xr:uid="{08595D9F-F6EA-4DF5-90C5-4228FD5973CF}"/>
    <cellStyle name="Примечание 1 13 3 2 2 2" xfId="30812" xr:uid="{ABCC3F25-6828-4045-ACDE-EBBE8BF22629}"/>
    <cellStyle name="Примечание 1 13 3 2 2 3" xfId="44218" xr:uid="{8E78761B-3204-46BD-BF5F-641539B1F3E7}"/>
    <cellStyle name="Примечание 1 13 3 2 3" xfId="24941" xr:uid="{D9BAC249-E2B9-458B-8EC7-A6C6FAB5152C}"/>
    <cellStyle name="Примечание 1 13 3 2 4" xfId="38019" xr:uid="{6831310D-58F0-4B70-BEC4-2CD7051511E1}"/>
    <cellStyle name="Примечание 1 13 3 3" xfId="12289" xr:uid="{9AA70A0C-88CC-4B68-9D74-8070C0D19AD6}"/>
    <cellStyle name="Примечание 1 13 3 3 2" xfId="28963" xr:uid="{485CE423-C03A-498D-AFD9-C2CE00896F55}"/>
    <cellStyle name="Примечание 1 13 3 3 3" xfId="42200" xr:uid="{478CC1B7-6817-4E2B-B2CE-B581B137BD4B}"/>
    <cellStyle name="Примечание 1 13 3 4" xfId="22562" xr:uid="{61D0283E-FCC5-404A-9183-4D99326762B7}"/>
    <cellStyle name="Примечание 1 13 3 5" xfId="35615" xr:uid="{AF1F93DB-50DA-470B-9C0F-721C22D7287E}"/>
    <cellStyle name="Примечание 1 13 4" xfId="5752" xr:uid="{B58DBA48-CB09-4176-AA14-FA4A5D709918}"/>
    <cellStyle name="Примечание 1 13 4 2" xfId="8941" xr:uid="{9142E2A8-2273-4655-A78C-8B25150C681B}"/>
    <cellStyle name="Примечание 1 13 4 2 2" xfId="13500" xr:uid="{11BC8B98-37EC-4801-835A-BF224BF66EFC}"/>
    <cellStyle name="Примечание 1 13 4 2 2 2" xfId="29958" xr:uid="{7E628080-1BE4-45CA-8FE0-E105F1F46222}"/>
    <cellStyle name="Примечание 1 13 4 2 2 3" xfId="43299" xr:uid="{4EF62EB8-707C-4789-B311-CCA5D5A7EA57}"/>
    <cellStyle name="Примечание 1 13 4 2 3" xfId="26427" xr:uid="{2D263C93-20A6-441E-AA72-6BA9BEE555FD}"/>
    <cellStyle name="Примечание 1 13 4 2 4" xfId="39503" xr:uid="{28A99189-4AC8-4717-87F6-DED9EF3769C8}"/>
    <cellStyle name="Примечание 1 13 4 3" xfId="10790" xr:uid="{635F55FF-41EA-4D8F-8D25-AE7960A8BDBE}"/>
    <cellStyle name="Примечание 1 13 4 3 2" xfId="27624" xr:uid="{BDD6B9BC-FAE3-4377-8889-6631EB0E8E34}"/>
    <cellStyle name="Примечание 1 13 4 3 3" xfId="40771" xr:uid="{A690542C-9CE0-4B47-BF35-9309AFCAE1A4}"/>
    <cellStyle name="Примечание 1 13 4 4" xfId="23399" xr:uid="{28C4E529-04FD-4939-8EDA-C738E03DB672}"/>
    <cellStyle name="Примечание 1 13 4 5" xfId="36480" xr:uid="{86B77057-13A5-46C8-A882-1CDF2D48C858}"/>
    <cellStyle name="Примечание 1 13 5" xfId="14279" xr:uid="{C162660C-E8E1-4DC6-8B2E-751A71DE9AB8}"/>
    <cellStyle name="Примечание 1 13 5 2" xfId="30619" xr:uid="{967F1231-6607-4E28-9AC1-F79350CE0F15}"/>
    <cellStyle name="Примечание 1 13 5 3" xfId="44012" xr:uid="{AD92D49F-250A-4656-9F53-6B673425A5E2}"/>
    <cellStyle name="Примечание 1 13 6" xfId="21661" xr:uid="{F4DC8349-12A9-475C-AFC0-6A01F4BEAA45}"/>
    <cellStyle name="Примечание 1 13 7" xfId="34715" xr:uid="{DF1AA2DF-836A-4E7F-8477-C87A6411D5D6}"/>
    <cellStyle name="Примечание 1 14" xfId="3846" xr:uid="{E1BF8CA6-8F37-4D7A-8D8C-A36DE0370640}"/>
    <cellStyle name="Примечание 1 14 2" xfId="3111" xr:uid="{9D16E69A-D6F3-4E8A-BE2F-3215C427BC81}"/>
    <cellStyle name="Примечание 1 14 2 2" xfId="8403" xr:uid="{AA6A63C8-150D-4203-8741-E58EA0588A64}"/>
    <cellStyle name="Примечание 1 14 2 2 2" xfId="13618" xr:uid="{2727B9D3-94B0-415C-A46D-839C5F068835}"/>
    <cellStyle name="Примечание 1 14 2 2 2 2" xfId="30056" xr:uid="{314EB30B-B088-4CC6-8ED7-FDB8932B6ACF}"/>
    <cellStyle name="Примечание 1 14 2 2 2 3" xfId="43409" xr:uid="{1EB8E661-08A2-48C0-A2F9-2136EF66D1EF}"/>
    <cellStyle name="Примечание 1 14 2 2 3" xfId="25905" xr:uid="{8B371ACD-9FF7-426C-A731-1A8711EB4E03}"/>
    <cellStyle name="Примечание 1 14 2 2 4" xfId="38981" xr:uid="{E092B262-BFA3-49D4-8498-85C0EDAAB38F}"/>
    <cellStyle name="Примечание 1 14 2 3" xfId="6770" xr:uid="{F743D5BF-DA62-460C-8C22-C81343A8B2C1}"/>
    <cellStyle name="Примечание 1 14 2 3 2" xfId="14190" xr:uid="{632A4962-9906-4330-8F3E-3E51B18C261D}"/>
    <cellStyle name="Примечание 1 14 2 3 2 2" xfId="30539" xr:uid="{6143C609-6CE6-471A-90E7-D6356922815C}"/>
    <cellStyle name="Примечание 1 14 2 3 2 3" xfId="43927" xr:uid="{973E2597-2EF7-467F-A677-CD6E632315DF}"/>
    <cellStyle name="Примечание 1 14 2 3 3" xfId="24396" xr:uid="{CE069D25-138B-42A9-96CF-82ABA28B4C81}"/>
    <cellStyle name="Примечание 1 14 2 3 4" xfId="37477" xr:uid="{7B791D40-0220-47BD-BB47-8C374FED6913}"/>
    <cellStyle name="Примечание 1 14 2 4" xfId="15245" xr:uid="{80AA0B9A-C718-4EF8-8A67-3E6E187AE692}"/>
    <cellStyle name="Примечание 1 14 2 4 2" xfId="31420" xr:uid="{F1A353AD-0B4E-441A-910C-EC837B990F96}"/>
    <cellStyle name="Примечание 1 14 2 4 3" xfId="44896" xr:uid="{93F7C367-C198-4744-989B-F5539D90D4F3}"/>
    <cellStyle name="Примечание 1 14 2 5" xfId="21148" xr:uid="{DB1D2353-81D1-41FB-A741-B47BA3394089}"/>
    <cellStyle name="Примечание 1 14 2 6" xfId="34171" xr:uid="{D2919E2F-590F-45A3-89D8-ABD94B212035}"/>
    <cellStyle name="Примечание 1 14 3" xfId="4791" xr:uid="{CC508929-79B8-4FB4-AF0D-A08C37E600E8}"/>
    <cellStyle name="Примечание 1 14 3 2" xfId="7433" xr:uid="{C4B94A33-AB64-48D3-915C-7C5994C96AB1}"/>
    <cellStyle name="Примечание 1 14 3 2 2" xfId="14587" xr:uid="{B95D37BC-7C90-46FE-9721-001C63B07394}"/>
    <cellStyle name="Примечание 1 14 3 2 2 2" xfId="30887" xr:uid="{75BB8278-E579-406A-B54B-A089E0BD74FC}"/>
    <cellStyle name="Примечание 1 14 3 2 2 3" xfId="44306" xr:uid="{846FA418-13D0-4BB6-B45C-E4376235D869}"/>
    <cellStyle name="Примечание 1 14 3 2 3" xfId="24990" xr:uid="{20379F88-722D-49F7-B4D3-EAA91AEF39EE}"/>
    <cellStyle name="Примечание 1 14 3 2 4" xfId="38066" xr:uid="{F18E2880-7265-4CC7-85CA-3F9D254006A8}"/>
    <cellStyle name="Примечание 1 14 3 3" xfId="13234" xr:uid="{1343331D-AA34-4F98-803D-065AB2991ACC}"/>
    <cellStyle name="Примечание 1 14 3 3 2" xfId="29731" xr:uid="{752290A3-A3E4-42D2-965C-26E01B3DAB0C}"/>
    <cellStyle name="Примечание 1 14 3 3 3" xfId="43053" xr:uid="{E3937379-1511-4CC2-B9E9-1B40214B375F}"/>
    <cellStyle name="Примечание 1 14 3 4" xfId="22593" xr:uid="{167CB8EA-186D-473B-8E98-FCAC17EEB9D4}"/>
    <cellStyle name="Примечание 1 14 3 5" xfId="35646" xr:uid="{0315FA05-1E3A-429C-909C-5E48977C90F4}"/>
    <cellStyle name="Примечание 1 14 4" xfId="5816" xr:uid="{6DE986ED-7008-4EF9-9AF3-161B0E4E3522}"/>
    <cellStyle name="Примечание 1 14 4 2" xfId="8977" xr:uid="{A6469442-6653-4FEC-A82B-8B0D6EF7D7E8}"/>
    <cellStyle name="Примечание 1 14 4 2 2" xfId="14453" xr:uid="{D3468A4D-FA2B-46EF-A9EE-DA87DE2F52EF}"/>
    <cellStyle name="Примечание 1 14 4 2 2 2" xfId="30781" xr:uid="{89A729FF-87BB-46AD-B2E6-5F9D491AEA5E}"/>
    <cellStyle name="Примечание 1 14 4 2 2 3" xfId="44182" xr:uid="{864B4757-CADB-46ED-914C-AB03B7459C32}"/>
    <cellStyle name="Примечание 1 14 4 2 3" xfId="26462" xr:uid="{21E0DE02-2069-4C08-9729-D67232BC2E40}"/>
    <cellStyle name="Примечание 1 14 4 2 4" xfId="39538" xr:uid="{1D4E3970-F17B-4F12-B6D0-546522A7BB61}"/>
    <cellStyle name="Примечание 1 14 4 3" xfId="14399" xr:uid="{169DBEF2-4774-405A-A936-A6D3EA02DF36}"/>
    <cellStyle name="Примечание 1 14 4 3 2" xfId="30731" xr:uid="{F2828BE7-78A2-4ABD-9BDF-2085AFF10567}"/>
    <cellStyle name="Примечание 1 14 4 3 3" xfId="44129" xr:uid="{68E67588-43B5-4987-9404-F9A720CFC8AF}"/>
    <cellStyle name="Примечание 1 14 4 4" xfId="23463" xr:uid="{8473F453-4804-49F1-A759-04642A12FE62}"/>
    <cellStyle name="Примечание 1 14 4 5" xfId="36544" xr:uid="{04E32356-12C2-4127-9018-7A691B3C4D9E}"/>
    <cellStyle name="Примечание 1 14 5" xfId="12951" xr:uid="{93B61143-5CE9-482D-8A4D-C701B2CF6B3E}"/>
    <cellStyle name="Примечание 1 14 5 2" xfId="29489" xr:uid="{B6707ACB-2FCE-49C1-B8C4-115B73D57EA5}"/>
    <cellStyle name="Примечание 1 14 5 3" xfId="42788" xr:uid="{A4077BC0-5C09-43C3-860A-6EED2E576674}"/>
    <cellStyle name="Примечание 1 14 6" xfId="21725" xr:uid="{996EF5FB-5832-4BB8-8874-D9ECBDDFED40}"/>
    <cellStyle name="Примечание 1 14 7" xfId="34779" xr:uid="{B066D26F-4AE2-4464-A776-6806376A2D45}"/>
    <cellStyle name="Примечание 1 15" xfId="3833" xr:uid="{94B588E2-16A2-498D-BEE7-0A2A7747032D}"/>
    <cellStyle name="Примечание 1 15 2" xfId="3095" xr:uid="{2C448CFE-9C6A-41E4-B244-6A90994509A4}"/>
    <cellStyle name="Примечание 1 15 2 2" xfId="8387" xr:uid="{87A33B63-ED92-4EC8-B52B-9D845DD12BF0}"/>
    <cellStyle name="Примечание 1 15 2 2 2" xfId="17411" xr:uid="{BB529237-47EA-4DCD-AF3A-D82CF7E13575}"/>
    <cellStyle name="Примечание 1 15 2 2 2 2" xfId="33165" xr:uid="{55F82AEC-534C-4A93-8246-E1679B254F1F}"/>
    <cellStyle name="Примечание 1 15 2 2 2 3" xfId="46941" xr:uid="{3CAC1838-477E-4AC3-A56D-20C9CF66B940}"/>
    <cellStyle name="Примечание 1 15 2 2 3" xfId="25890" xr:uid="{541325D1-BF86-43C8-BFFD-41547133A64A}"/>
    <cellStyle name="Примечание 1 15 2 2 4" xfId="38966" xr:uid="{2989492E-3A2B-4822-9DF5-B64D808344B9}"/>
    <cellStyle name="Примечание 1 15 2 3" xfId="6754" xr:uid="{C53B483A-7589-498D-B8C2-3DCAD0A17CA9}"/>
    <cellStyle name="Примечание 1 15 2 3 2" xfId="12871" xr:uid="{EFF20C8D-33E8-423E-BB8E-55EEB1C622B1}"/>
    <cellStyle name="Примечание 1 15 2 3 2 2" xfId="29432" xr:uid="{0C429C73-E210-40CD-B3CC-ABC7204B7BDE}"/>
    <cellStyle name="Примечание 1 15 2 3 2 3" xfId="42720" xr:uid="{8F93A020-1819-4BD2-8877-620920DFB7E1}"/>
    <cellStyle name="Примечание 1 15 2 3 3" xfId="24381" xr:uid="{BD6B53AC-8D6E-44FD-B210-0BA7941631DC}"/>
    <cellStyle name="Примечание 1 15 2 3 4" xfId="37462" xr:uid="{A20DC4AF-9735-4BF8-8758-D7AEC7DFDFA2}"/>
    <cellStyle name="Примечание 1 15 2 4" xfId="12307" xr:uid="{C33CE69F-FF71-4D59-8E70-7BE292211B23}"/>
    <cellStyle name="Примечание 1 15 2 4 2" xfId="28979" xr:uid="{F78716AB-1CC3-4A40-8D3A-CB4570F339AB}"/>
    <cellStyle name="Примечание 1 15 2 4 3" xfId="42216" xr:uid="{A53B4B6D-6385-4783-BF46-B1C842F76D11}"/>
    <cellStyle name="Примечание 1 15 2 5" xfId="21133" xr:uid="{239C0848-B2D6-4476-A0DE-8579332839F4}"/>
    <cellStyle name="Примечание 1 15 2 6" xfId="34156" xr:uid="{AEA317D7-1B9D-4BF5-B126-6C3BE748282E}"/>
    <cellStyle name="Примечание 1 15 3" xfId="4778" xr:uid="{D3AE21BB-70FD-4C8F-AC50-88B61701C8CE}"/>
    <cellStyle name="Примечание 1 15 3 2" xfId="7420" xr:uid="{885723F8-F63A-4461-AEBA-233953543DB6}"/>
    <cellStyle name="Примечание 1 15 3 2 2" xfId="12495" xr:uid="{4EF8EC94-9109-41AC-B8A6-5CCBE98C1AD3}"/>
    <cellStyle name="Примечание 1 15 3 2 2 2" xfId="29129" xr:uid="{3F2452E8-1FCB-4D01-92F5-B48D64B1FA3A}"/>
    <cellStyle name="Примечание 1 15 3 2 2 3" xfId="42383" xr:uid="{8FAE5CCA-B5A6-40A5-B9DE-78E44F8A299D}"/>
    <cellStyle name="Примечание 1 15 3 2 3" xfId="24977" xr:uid="{B558EE88-721A-4502-9235-BBDAA1F4A05F}"/>
    <cellStyle name="Примечание 1 15 3 2 4" xfId="38053" xr:uid="{EB1D3C4A-1745-4213-8E36-0FA46F555202}"/>
    <cellStyle name="Примечание 1 15 3 3" xfId="10898" xr:uid="{C73AFD72-588E-417F-A0F2-AED6F81D972C}"/>
    <cellStyle name="Примечание 1 15 3 3 2" xfId="27719" xr:uid="{C108FFEE-4367-45BE-B5AA-86DA7CB1B210}"/>
    <cellStyle name="Примечание 1 15 3 3 3" xfId="40878" xr:uid="{6734A96F-5600-4E83-A1CA-70EF37269223}"/>
    <cellStyle name="Примечание 1 15 3 4" xfId="22580" xr:uid="{A2223E7D-83EB-4607-B47D-3870C7D87164}"/>
    <cellStyle name="Примечание 1 15 3 5" xfId="35633" xr:uid="{72B2421E-E8A2-4279-9929-2881938A51B1}"/>
    <cellStyle name="Примечание 1 15 4" xfId="5803" xr:uid="{BE99DF46-2084-4A77-86F1-42D3E990F374}"/>
    <cellStyle name="Примечание 1 15 4 2" xfId="8964" xr:uid="{1721ED97-9114-4648-809A-AB557ACB3457}"/>
    <cellStyle name="Примечание 1 15 4 2 2" xfId="11291" xr:uid="{DE71F102-965D-413A-9693-60C985CA94E5}"/>
    <cellStyle name="Примечание 1 15 4 2 2 2" xfId="28076" xr:uid="{A386CD9D-73A8-43EE-B284-73E366467BF5}"/>
    <cellStyle name="Примечание 1 15 4 2 2 3" xfId="41259" xr:uid="{40AB53C4-EF1B-4463-9AE4-BA02A2F67B26}"/>
    <cellStyle name="Примечание 1 15 4 2 3" xfId="26449" xr:uid="{F2CE54B7-838F-42B7-9839-9E47E710BF85}"/>
    <cellStyle name="Примечание 1 15 4 2 4" xfId="39525" xr:uid="{CA5AAF27-5960-48C0-BCFD-4CF718A29B3C}"/>
    <cellStyle name="Примечание 1 15 4 3" xfId="13514" xr:uid="{BF7C766B-D978-4D5C-99FF-F776D4BF6953}"/>
    <cellStyle name="Примечание 1 15 4 3 2" xfId="29969" xr:uid="{45C174A0-594F-4E56-88A9-AF8B66FD0817}"/>
    <cellStyle name="Примечание 1 15 4 3 3" xfId="43311" xr:uid="{C7D5781E-F0AB-4803-8FE5-79730DC0E78F}"/>
    <cellStyle name="Примечание 1 15 4 4" xfId="23450" xr:uid="{48A8A158-5E63-423E-BD4C-D7FC71F12133}"/>
    <cellStyle name="Примечание 1 15 4 5" xfId="36531" xr:uid="{F8261AD1-D0D6-4C06-B150-75E24A780E6F}"/>
    <cellStyle name="Примечание 1 15 5" xfId="15226" xr:uid="{21186FA4-7350-455E-842F-B4472A23D39F}"/>
    <cellStyle name="Примечание 1 15 5 2" xfId="31402" xr:uid="{933AD220-34C7-47E9-8BA6-6B3A97E9E577}"/>
    <cellStyle name="Примечание 1 15 5 3" xfId="44877" xr:uid="{B0486C49-316C-4375-B9C4-4072E0EBED04}"/>
    <cellStyle name="Примечание 1 15 6" xfId="21712" xr:uid="{9D11D358-A5DE-420E-8EC6-3BF807F78889}"/>
    <cellStyle name="Примечание 1 15 7" xfId="34766" xr:uid="{FC8590E9-A48C-4BD7-8027-F8D020A559DA}"/>
    <cellStyle name="Примечание 1 16" xfId="3862" xr:uid="{F46D58E7-8C24-42AB-BFDD-D04B9D65A39D}"/>
    <cellStyle name="Примечание 1 16 2" xfId="3122" xr:uid="{62721BA3-2BFA-4309-8505-9DE40F16F9A9}"/>
    <cellStyle name="Примечание 1 16 2 2" xfId="8414" xr:uid="{08F26E37-52BA-42AC-AC4C-AEB83E86D464}"/>
    <cellStyle name="Примечание 1 16 2 2 2" xfId="10661" xr:uid="{BF626215-5C94-4F55-AED1-9F1291FFABF5}"/>
    <cellStyle name="Примечание 1 16 2 2 2 2" xfId="27511" xr:uid="{7B485A48-DADB-479F-B538-E2071AA7958A}"/>
    <cellStyle name="Примечание 1 16 2 2 2 3" xfId="40642" xr:uid="{488AA13B-DC88-455C-AB08-C5965141C37F}"/>
    <cellStyle name="Примечание 1 16 2 2 3" xfId="25916" xr:uid="{CDC6FD43-AFC7-472C-93AE-AD48B86D6D04}"/>
    <cellStyle name="Примечание 1 16 2 2 4" xfId="38992" xr:uid="{8D7D023F-30F5-4479-8EEC-820CE33844D0}"/>
    <cellStyle name="Примечание 1 16 2 3" xfId="6781" xr:uid="{683C6186-22F1-4E95-8162-D56FB00CEFF4}"/>
    <cellStyle name="Примечание 1 16 2 3 2" xfId="17216" xr:uid="{0E6C3D8E-B639-4E58-95A8-DE0391E96A23}"/>
    <cellStyle name="Примечание 1 16 2 3 2 2" xfId="32976" xr:uid="{3BF8898A-FBB0-451C-8F39-F2F6D8F133A7}"/>
    <cellStyle name="Примечание 1 16 2 3 2 3" xfId="46750" xr:uid="{B3876E93-B9AE-44EA-9D9C-AC0129EC911C}"/>
    <cellStyle name="Примечание 1 16 2 3 3" xfId="24407" xr:uid="{C121281F-4088-4E1F-A6AC-9FD1D4E95A14}"/>
    <cellStyle name="Примечание 1 16 2 3 4" xfId="37488" xr:uid="{5A0A152C-251F-4E37-A54E-A5F9B884A51C}"/>
    <cellStyle name="Примечание 1 16 2 4" xfId="10805" xr:uid="{899AABC0-BA90-4D81-A395-03080CF6D6EB}"/>
    <cellStyle name="Примечание 1 16 2 4 2" xfId="27638" xr:uid="{A8D05384-43AC-4353-BC8B-88B9AA19B3FF}"/>
    <cellStyle name="Примечание 1 16 2 4 3" xfId="40786" xr:uid="{51C8A771-206A-482A-9BC8-FC6E54B68F04}"/>
    <cellStyle name="Примечание 1 16 2 5" xfId="21159" xr:uid="{410EA4C2-1C6F-4503-AC7B-A94B2329030C}"/>
    <cellStyle name="Примечание 1 16 2 6" xfId="34182" xr:uid="{FE69EC8B-72A1-44F3-9E2B-6BAB79C379B0}"/>
    <cellStyle name="Примечание 1 16 3" xfId="4802" xr:uid="{C7B86701-978F-4522-A3D4-0633D04F9665}"/>
    <cellStyle name="Примечание 1 16 3 2" xfId="7446" xr:uid="{CE024F75-046C-4267-9CE5-52E75ADF44AF}"/>
    <cellStyle name="Примечание 1 16 3 2 2" xfId="10625" xr:uid="{095160E3-1A72-45A9-9FCE-EF92D34E1E68}"/>
    <cellStyle name="Примечание 1 16 3 2 2 2" xfId="27484" xr:uid="{739764B7-8BE2-4518-81F3-1A8BC644AF5A}"/>
    <cellStyle name="Примечание 1 16 3 2 2 3" xfId="40606" xr:uid="{B92D423E-C609-4CB7-8C50-6CB3D5DB1E07}"/>
    <cellStyle name="Примечание 1 16 3 2 3" xfId="25003" xr:uid="{B42DE8F7-DA9B-4076-B6DE-16C1EA8F85C0}"/>
    <cellStyle name="Примечание 1 16 3 2 4" xfId="38079" xr:uid="{987D04E4-8029-4FE3-8BD1-FCD7291F7F1E}"/>
    <cellStyle name="Примечание 1 16 3 3" xfId="13134" xr:uid="{0AEEBC5C-175D-47D6-AC20-20D0F9E8ACBC}"/>
    <cellStyle name="Примечание 1 16 3 3 2" xfId="29648" xr:uid="{D0C27B83-8D96-467D-A592-369EE8F6B23B}"/>
    <cellStyle name="Примечание 1 16 3 3 3" xfId="42960" xr:uid="{CD853D49-B24E-4AA9-910D-02E3AE5677BF}"/>
    <cellStyle name="Примечание 1 16 3 4" xfId="22604" xr:uid="{BA44516E-8E64-48F0-ACD0-3C59D66AF732}"/>
    <cellStyle name="Примечание 1 16 3 5" xfId="35657" xr:uid="{95787630-B65B-4297-BB37-34E4424685F2}"/>
    <cellStyle name="Примечание 1 16 4" xfId="5829" xr:uid="{EF042A43-4512-4440-954E-B27728B589DE}"/>
    <cellStyle name="Примечание 1 16 4 2" xfId="8987" xr:uid="{8848AC83-3E0F-4C02-8617-19F68BD2C7FC}"/>
    <cellStyle name="Примечание 1 16 4 2 2" xfId="13762" xr:uid="{9AB90668-2376-46D4-B56E-F0CA9C2D2689}"/>
    <cellStyle name="Примечание 1 16 4 2 2 2" xfId="30172" xr:uid="{F14E4F90-9A16-4C74-BC62-D9A691B51F06}"/>
    <cellStyle name="Примечание 1 16 4 2 2 3" xfId="43535" xr:uid="{EC6E735C-3D0A-4854-B73C-058CD2254A0E}"/>
    <cellStyle name="Примечание 1 16 4 2 3" xfId="26472" xr:uid="{49D6F7E2-BEE1-4747-9084-36AC9A054B23}"/>
    <cellStyle name="Примечание 1 16 4 2 4" xfId="39548" xr:uid="{63560CA4-E42F-44A9-9FBE-A9C40D2D17DA}"/>
    <cellStyle name="Примечание 1 16 4 3" xfId="13746" xr:uid="{F0B6427E-5287-47A9-84DA-A7E0061BC678}"/>
    <cellStyle name="Примечание 1 16 4 3 2" xfId="30159" xr:uid="{FEFC3984-1761-4308-AE6A-E92AF40CF913}"/>
    <cellStyle name="Примечание 1 16 4 3 3" xfId="43521" xr:uid="{6853BBAB-1F6A-41EF-92DE-6F8FAE49064D}"/>
    <cellStyle name="Примечание 1 16 4 4" xfId="23476" xr:uid="{69EC4D05-6387-4048-91BF-09780D4ED50C}"/>
    <cellStyle name="Примечание 1 16 4 5" xfId="36557" xr:uid="{280F2EF0-F9E9-4B57-9FC7-D042C41F5920}"/>
    <cellStyle name="Примечание 1 16 5" xfId="15099" xr:uid="{979BF2B6-E23B-4966-972A-37F5751CB940}"/>
    <cellStyle name="Примечание 1 16 5 2" xfId="31305" xr:uid="{410408FF-E8E7-456F-B95E-DD908BAEF436}"/>
    <cellStyle name="Примечание 1 16 5 3" xfId="44766" xr:uid="{439336D7-8E12-43C9-8F58-97E900027F7C}"/>
    <cellStyle name="Примечание 1 16 6" xfId="21738" xr:uid="{5EA5A766-81E7-4797-A7E9-6C6A2C4CCC12}"/>
    <cellStyle name="Примечание 1 16 7" xfId="34792" xr:uid="{CD0F89DD-CF37-43B6-851B-D3A751758BD5}"/>
    <cellStyle name="Примечание 1 17" xfId="4026" xr:uid="{9777E7F8-4365-4984-AFB4-301635E0CF9B}"/>
    <cellStyle name="Примечание 1 17 2" xfId="3246" xr:uid="{77819334-A93D-472E-B614-4CF8500E7E95}"/>
    <cellStyle name="Примечание 1 17 2 2" xfId="8537" xr:uid="{9DA4D278-7174-4223-BA48-D4CF0CF32BB0}"/>
    <cellStyle name="Примечание 1 17 2 2 2" xfId="13178" xr:uid="{EBC05517-4A1E-4C9C-BD87-010B7BB4BFAD}"/>
    <cellStyle name="Примечание 1 17 2 2 2 2" xfId="29686" xr:uid="{D1D37010-2805-4915-96AA-175F0A3D2D31}"/>
    <cellStyle name="Примечание 1 17 2 2 2 3" xfId="43001" xr:uid="{57D106A3-BEC6-4136-A7BB-B674771ED7C3}"/>
    <cellStyle name="Примечание 1 17 2 2 3" xfId="26036" xr:uid="{625C42F8-C7DE-4E2D-9A96-DAA4F3CC93EC}"/>
    <cellStyle name="Примечание 1 17 2 2 4" xfId="39112" xr:uid="{436AE352-03AE-42B3-B4EF-BBA205397B78}"/>
    <cellStyle name="Примечание 1 17 2 3" xfId="6905" xr:uid="{7E3B9A28-EEE8-49AE-A318-A50FFAA1D71B}"/>
    <cellStyle name="Примечание 1 17 2 3 2" xfId="16199" xr:uid="{5E2E85D3-02CF-4884-B35D-EABB70A11D6F}"/>
    <cellStyle name="Примечание 1 17 2 3 2 2" xfId="32243" xr:uid="{65F97EF0-E6A4-40EC-83CC-C117B9D43E75}"/>
    <cellStyle name="Примечание 1 17 2 3 2 3" xfId="45767" xr:uid="{C426D53C-229E-4190-985A-1A8682B8CAE0}"/>
    <cellStyle name="Примечание 1 17 2 3 3" xfId="24528" xr:uid="{3E913613-7EA4-43F3-853C-D64C648FB418}"/>
    <cellStyle name="Примечание 1 17 2 3 4" xfId="37609" xr:uid="{8D4BAB0B-9E77-4E97-AECC-46533E8A1E67}"/>
    <cellStyle name="Примечание 1 17 2 4" xfId="15745" xr:uid="{0055FD64-0D2D-482A-B8E4-E17960BB8DAF}"/>
    <cellStyle name="Примечание 1 17 2 4 2" xfId="31853" xr:uid="{B5CC8CC2-C1DA-4135-A61A-6767A7B0C11A}"/>
    <cellStyle name="Примечание 1 17 2 4 3" xfId="45363" xr:uid="{5B7B56D6-78F7-4952-B7E3-A69AB99F3783}"/>
    <cellStyle name="Примечание 1 17 2 5" xfId="21280" xr:uid="{EF2FE78A-2E8F-4AA8-A5FC-84B0A718862E}"/>
    <cellStyle name="Примечание 1 17 2 6" xfId="34303" xr:uid="{CC48DE0B-6127-4576-9449-830007F9668C}"/>
    <cellStyle name="Примечание 1 17 3" xfId="4931" xr:uid="{F838C731-F7ED-44BE-84D5-B0ADEBC79559}"/>
    <cellStyle name="Примечание 1 17 3 2" xfId="7600" xr:uid="{3F03A0B9-804F-4A28-B319-AD9B4FB22E6B}"/>
    <cellStyle name="Примечание 1 17 3 2 2" xfId="14637" xr:uid="{5D704AFF-A728-4348-83B3-0D7B89173596}"/>
    <cellStyle name="Примечание 1 17 3 2 2 2" xfId="30933" xr:uid="{6F36114C-E5CD-435D-8C96-E1A1A561CFF8}"/>
    <cellStyle name="Примечание 1 17 3 2 2 3" xfId="44354" xr:uid="{96D87631-A183-4E42-BF1B-D29A08031A35}"/>
    <cellStyle name="Примечание 1 17 3 2 3" xfId="25128" xr:uid="{4FF4C641-3860-4AB9-8CC5-7E1E9F8D1DE0}"/>
    <cellStyle name="Примечание 1 17 3 2 4" xfId="38204" xr:uid="{B218E0D7-E736-4273-ADA9-895A377D8FF4}"/>
    <cellStyle name="Примечание 1 17 3 3" xfId="13237" xr:uid="{289D1AC1-25E2-4891-88B7-253961A8F91F}"/>
    <cellStyle name="Примечание 1 17 3 3 2" xfId="29734" xr:uid="{724BFF17-AB65-4EEB-9676-2800F24A4766}"/>
    <cellStyle name="Примечание 1 17 3 3 3" xfId="43056" xr:uid="{5B3B3D3C-AF17-44B3-A835-5D1AFCEF8FEF}"/>
    <cellStyle name="Примечание 1 17 3 4" xfId="22728" xr:uid="{4CF1A5CF-E3BF-46A0-B7E6-5131F1F86964}"/>
    <cellStyle name="Примечание 1 17 3 5" xfId="35781" xr:uid="{9D87786B-2C8D-4B79-B18D-AE0FFC68DC1A}"/>
    <cellStyle name="Примечание 1 17 4" xfId="5954" xr:uid="{6BB89213-CED6-43E8-825E-93755F4851FE}"/>
    <cellStyle name="Примечание 1 17 4 2" xfId="9094" xr:uid="{54D12863-2D35-442A-AD64-BAD4E9574C94}"/>
    <cellStyle name="Примечание 1 17 4 2 2" xfId="16413" xr:uid="{E33728D6-5B4B-4D83-85E3-36303EFA1E08}"/>
    <cellStyle name="Примечание 1 17 4 2 2 2" xfId="32428" xr:uid="{A0F56BDF-B554-4180-A55B-71A35B3117FC}"/>
    <cellStyle name="Примечание 1 17 4 2 2 3" xfId="45964" xr:uid="{A17E7497-4CA7-421E-A021-EDE14701E56A}"/>
    <cellStyle name="Примечание 1 17 4 2 3" xfId="26575" xr:uid="{6B55929B-BBE0-4802-A8C9-34765DD1D308}"/>
    <cellStyle name="Примечание 1 17 4 2 4" xfId="39651" xr:uid="{E703B632-E4BB-4DA8-A97C-9A63D6B102D0}"/>
    <cellStyle name="Примечание 1 17 4 3" xfId="15439" xr:uid="{4EA2DB12-4ECE-4419-A7BE-C90876D916DC}"/>
    <cellStyle name="Примечание 1 17 4 3 2" xfId="31585" xr:uid="{487E4813-BE73-48F6-977C-F7B675AC05EC}"/>
    <cellStyle name="Примечание 1 17 4 3 3" xfId="45080" xr:uid="{B1881DE4-E569-4CDE-AE7D-F6203B3DA1F4}"/>
    <cellStyle name="Примечание 1 17 4 4" xfId="23601" xr:uid="{FB7C22CB-E9B6-4246-BBED-A19BE0771776}"/>
    <cellStyle name="Примечание 1 17 4 5" xfId="36682" xr:uid="{3BDE64E2-84B3-4552-B546-F5AD68C2A28E}"/>
    <cellStyle name="Примечание 1 17 5" xfId="10588" xr:uid="{255E6161-A0F1-4B3D-81BA-E49419DA0084}"/>
    <cellStyle name="Примечание 1 17 5 2" xfId="27447" xr:uid="{7ECF98C7-B296-4359-B8F9-CCECD56F0430}"/>
    <cellStyle name="Примечание 1 17 5 3" xfId="40569" xr:uid="{8FA6ACF9-5B18-4D01-A29E-9F2895916B72}"/>
    <cellStyle name="Примечание 1 17 6" xfId="21868" xr:uid="{20F51AF3-D395-4331-97CB-DBCE72BDFD3B}"/>
    <cellStyle name="Примечание 1 17 7" xfId="34917" xr:uid="{5A0223BE-5349-41FD-8CDB-552AFE2196D6}"/>
    <cellStyle name="Примечание 1 18" xfId="4031" xr:uid="{288E473D-11CB-486F-9F12-1688400155F6}"/>
    <cellStyle name="Примечание 1 18 2" xfId="3250" xr:uid="{BDD0F3FA-2174-4968-A88C-8DEBB78632AF}"/>
    <cellStyle name="Примечание 1 18 2 2" xfId="8541" xr:uid="{B8DC9DFE-C3FA-4BBE-BA38-42A984A25235}"/>
    <cellStyle name="Примечание 1 18 2 2 2" xfId="15469" xr:uid="{6FBA8EA9-376A-4AD4-AF83-A1DADF329F96}"/>
    <cellStyle name="Примечание 1 18 2 2 2 2" xfId="31611" xr:uid="{7F097EF5-1AB6-4D85-A428-1FC357A9BD1F}"/>
    <cellStyle name="Примечание 1 18 2 2 2 3" xfId="45108" xr:uid="{2B83D65A-C04F-437D-AE74-605FAA8FC615}"/>
    <cellStyle name="Примечание 1 18 2 2 3" xfId="26040" xr:uid="{2DC58997-0B77-40C9-A662-EEA2D52A8057}"/>
    <cellStyle name="Примечание 1 18 2 2 4" xfId="39116" xr:uid="{3B393F29-2293-4EEC-B570-84900F14EE19}"/>
    <cellStyle name="Примечание 1 18 2 3" xfId="6909" xr:uid="{176D5CE1-8E0E-4A4C-A60C-AD240C724ACE}"/>
    <cellStyle name="Примечание 1 18 2 3 2" xfId="17309" xr:uid="{47C0A391-CCC0-49A8-A1B2-1CBB6D91C865}"/>
    <cellStyle name="Примечание 1 18 2 3 2 2" xfId="33067" xr:uid="{48F94BA8-B80E-4B2E-B27B-933708C5943C}"/>
    <cellStyle name="Примечание 1 18 2 3 2 3" xfId="46843" xr:uid="{D940FC39-7141-48D3-9483-BF04944528EA}"/>
    <cellStyle name="Примечание 1 18 2 3 3" xfId="24532" xr:uid="{C4E5304E-E528-4DB3-B2C3-07C46DC8AF33}"/>
    <cellStyle name="Примечание 1 18 2 3 4" xfId="37613" xr:uid="{645C8C24-0DB9-42AC-96AA-883A19DAC052}"/>
    <cellStyle name="Примечание 1 18 2 4" xfId="11693" xr:uid="{CAA33F27-2E1D-4214-B732-71FCE42B19DC}"/>
    <cellStyle name="Примечание 1 18 2 4 2" xfId="28426" xr:uid="{E175FE12-4175-4FF8-9DAC-41F195A31762}"/>
    <cellStyle name="Примечание 1 18 2 4 3" xfId="41636" xr:uid="{7FDBEE86-E5AC-4F62-BE60-B87D73888021}"/>
    <cellStyle name="Примечание 1 18 2 5" xfId="21284" xr:uid="{DEE5CD1A-0B88-46DC-8433-6D0CFAD0EFAE}"/>
    <cellStyle name="Примечание 1 18 2 6" xfId="34307" xr:uid="{5F7F93CC-6EE6-432A-99AA-6361A658CB97}"/>
    <cellStyle name="Примечание 1 18 3" xfId="4935" xr:uid="{890C1A66-F632-422C-B9CC-5F1F9BAF26E4}"/>
    <cellStyle name="Примечание 1 18 3 2" xfId="7605" xr:uid="{5898AF54-88E3-4B3E-9E99-77F395A52016}"/>
    <cellStyle name="Примечание 1 18 3 2 2" xfId="16174" xr:uid="{1E5FC9C7-2E56-47F9-B7E6-6A6E6D59FCF7}"/>
    <cellStyle name="Примечание 1 18 3 2 2 2" xfId="32222" xr:uid="{05016529-C157-4621-A16B-BB48F5845A7E}"/>
    <cellStyle name="Примечание 1 18 3 2 2 3" xfId="45744" xr:uid="{25673719-B11D-4B8C-BCE9-8457EB7742B1}"/>
    <cellStyle name="Примечание 1 18 3 2 3" xfId="25133" xr:uid="{E4635C7D-6DCF-4E6F-AC31-1DE589D76844}"/>
    <cellStyle name="Примечание 1 18 3 2 4" xfId="38209" xr:uid="{A185FC97-3A89-49CD-A095-E1DEA88F8463}"/>
    <cellStyle name="Примечание 1 18 3 3" xfId="15045" xr:uid="{7B6BC45B-E9B3-45FB-BA65-C9A8F7C8D956}"/>
    <cellStyle name="Примечание 1 18 3 3 2" xfId="31259" xr:uid="{E93EC6ED-E761-406C-96FB-9860EBB5E54D}"/>
    <cellStyle name="Примечание 1 18 3 3 3" xfId="44715" xr:uid="{9ACDB0A2-4640-4339-83D9-73BD25B8BE78}"/>
    <cellStyle name="Примечание 1 18 3 4" xfId="22732" xr:uid="{4F879FBC-6A58-469C-AA93-BFC821B89110}"/>
    <cellStyle name="Примечание 1 18 3 5" xfId="35785" xr:uid="{44F82556-0246-4CD1-A0A5-4C710860265A}"/>
    <cellStyle name="Примечание 1 18 4" xfId="5959" xr:uid="{9B88A4FE-E493-465E-8283-CB44A6B933EE}"/>
    <cellStyle name="Примечание 1 18 4 2" xfId="9098" xr:uid="{008813BF-96CA-4182-A56F-9F073EFBE084}"/>
    <cellStyle name="Примечание 1 18 4 2 2" xfId="15884" xr:uid="{70ADC4E0-47B4-4A49-B930-288438426A20}"/>
    <cellStyle name="Примечание 1 18 4 2 2 2" xfId="31969" xr:uid="{E5077993-980E-4299-9C70-0E41FD3D4214}"/>
    <cellStyle name="Примечание 1 18 4 2 2 3" xfId="45484" xr:uid="{EF29E49A-98F7-46AB-888B-0907BAF2EE29}"/>
    <cellStyle name="Примечание 1 18 4 2 3" xfId="26579" xr:uid="{4CFAD932-8D93-4322-A093-880BDDCB908E}"/>
    <cellStyle name="Примечание 1 18 4 2 4" xfId="39655" xr:uid="{012EB309-1A35-429C-818A-E8B678E913FE}"/>
    <cellStyle name="Примечание 1 18 4 3" xfId="14554" xr:uid="{0E344B42-D3EA-49EC-B7CB-153822043F2F}"/>
    <cellStyle name="Примечание 1 18 4 3 2" xfId="30862" xr:uid="{5B3DB255-79C2-464B-AF16-E906CEEC8688}"/>
    <cellStyle name="Примечание 1 18 4 3 3" xfId="44275" xr:uid="{0580F05E-21CD-4EBA-9EA4-77E47C81584B}"/>
    <cellStyle name="Примечание 1 18 4 4" xfId="23606" xr:uid="{FC02A0C5-76FD-43AE-BB19-2B785459F86C}"/>
    <cellStyle name="Примечание 1 18 4 5" xfId="36687" xr:uid="{AA7DC205-AB0D-4D40-9463-43BB3649EE62}"/>
    <cellStyle name="Примечание 1 18 5" xfId="13960" xr:uid="{C23E31A1-6467-477C-A4F6-D1DFD0F91F98}"/>
    <cellStyle name="Примечание 1 18 5 2" xfId="30347" xr:uid="{37DEE62B-16F3-4D4E-9042-81FBBEE4256B}"/>
    <cellStyle name="Примечание 1 18 5 3" xfId="43724" xr:uid="{C4264FF7-C726-4416-831A-7C203801EE1E}"/>
    <cellStyle name="Примечание 1 18 6" xfId="21873" xr:uid="{ED8C0703-8D70-46F0-A67A-7C5C3B442D68}"/>
    <cellStyle name="Примечание 1 18 7" xfId="34922" xr:uid="{2A8832D8-9142-430F-8C82-093650506438}"/>
    <cellStyle name="Примечание 1 19" xfId="4035" xr:uid="{209C95E2-7F2A-494D-BEFD-C4A4D3D849D2}"/>
    <cellStyle name="Примечание 1 19 2" xfId="3251" xr:uid="{B81EAD31-1740-436B-B22E-77D55A077B73}"/>
    <cellStyle name="Примечание 1 19 2 2" xfId="8542" xr:uid="{8B84A728-8F47-4439-8F8F-490512F8E437}"/>
    <cellStyle name="Примечание 1 19 2 2 2" xfId="10732" xr:uid="{B9A0042C-CE4A-478D-A6F4-986767B99D36}"/>
    <cellStyle name="Примечание 1 19 2 2 2 2" xfId="27573" xr:uid="{7B1366C9-8EC7-4249-842A-A7819DCF7FB9}"/>
    <cellStyle name="Примечание 1 19 2 2 2 3" xfId="40713" xr:uid="{C403C9DF-07BB-43A3-97D0-E095667B58A6}"/>
    <cellStyle name="Примечание 1 19 2 2 3" xfId="26041" xr:uid="{03040C19-2940-46FC-8C0C-281296F67FA7}"/>
    <cellStyle name="Примечание 1 19 2 2 4" xfId="39117" xr:uid="{496655E4-4437-4AB6-85DF-3F5C125D8C91}"/>
    <cellStyle name="Примечание 1 19 2 3" xfId="6910" xr:uid="{B1D4DBAD-2584-4BA9-859C-873D02E8EB39}"/>
    <cellStyle name="Примечание 1 19 2 3 2" xfId="15147" xr:uid="{B377B68B-1F2C-4C6D-BAF1-560DC2F0ECE2}"/>
    <cellStyle name="Примечание 1 19 2 3 2 2" xfId="31346" xr:uid="{F70EB194-6ECD-46F8-B7FA-E8FCADFD4E33}"/>
    <cellStyle name="Примечание 1 19 2 3 2 3" xfId="44810" xr:uid="{0A8A6C34-DBC8-48A8-93E8-4EE26C0C20D9}"/>
    <cellStyle name="Примечание 1 19 2 3 3" xfId="24533" xr:uid="{F0F9695E-37F4-4723-87D5-D1A9B45C3BBA}"/>
    <cellStyle name="Примечание 1 19 2 3 4" xfId="37614" xr:uid="{70B2C1FD-F2F4-4AAB-8425-7E1CB61C2EFF}"/>
    <cellStyle name="Примечание 1 19 2 4" xfId="14176" xr:uid="{D25B967A-4E5A-4201-88BB-12BD23F7A2E1}"/>
    <cellStyle name="Примечание 1 19 2 4 2" xfId="30530" xr:uid="{D941C36B-63DB-4C96-AB69-E1834B4B272E}"/>
    <cellStyle name="Примечание 1 19 2 4 3" xfId="43916" xr:uid="{067DD5D1-2420-46B7-AA4C-99B029FE4DC0}"/>
    <cellStyle name="Примечание 1 19 2 5" xfId="21285" xr:uid="{DE44B148-2FCD-4A68-AC6C-ADED84EC0EB8}"/>
    <cellStyle name="Примечание 1 19 2 6" xfId="34308" xr:uid="{D8973F91-2C72-4411-8DA0-D31E4C63F540}"/>
    <cellStyle name="Примечание 1 19 3" xfId="4936" xr:uid="{FFEA8BB4-CEB5-497E-8189-68C5566D4656}"/>
    <cellStyle name="Примечание 1 19 3 2" xfId="7607" xr:uid="{C734CAE2-295E-4D24-B3AD-463F450D52AB}"/>
    <cellStyle name="Примечание 1 19 3 2 2" xfId="13156" xr:uid="{6FA9A4C5-288C-4A16-8B93-5F3636393AA9}"/>
    <cellStyle name="Примечание 1 19 3 2 2 2" xfId="29669" xr:uid="{D8AE6C74-626F-40BF-99CC-1B6DE39BA9B7}"/>
    <cellStyle name="Примечание 1 19 3 2 2 3" xfId="42981" xr:uid="{7AD251AB-E099-4708-86D1-12E6AD111128}"/>
    <cellStyle name="Примечание 1 19 3 2 3" xfId="25135" xr:uid="{57464C53-6020-41FB-A9AF-64B2B9C6FACC}"/>
    <cellStyle name="Примечание 1 19 3 2 4" xfId="38211" xr:uid="{9DB8A469-0B37-49CD-A411-1C38165949AB}"/>
    <cellStyle name="Примечание 1 19 3 3" xfId="13025" xr:uid="{F2A4B06A-0C5D-45A5-AC90-B81B4E816DA9}"/>
    <cellStyle name="Примечание 1 19 3 3 2" xfId="29557" xr:uid="{F0E93483-C5DF-4FF7-8095-32E13A701592}"/>
    <cellStyle name="Примечание 1 19 3 3 3" xfId="42859" xr:uid="{39FEEFFA-F67A-45A0-8B20-FA6E92714C19}"/>
    <cellStyle name="Примечание 1 19 3 4" xfId="22733" xr:uid="{403FE5B3-5432-4A4C-A088-2E0FC57B465D}"/>
    <cellStyle name="Примечание 1 19 3 5" xfId="35786" xr:uid="{232C8854-AB74-447E-BE7A-98AB55A50518}"/>
    <cellStyle name="Примечание 1 19 4" xfId="5961" xr:uid="{E454DA94-516E-4420-83B2-FB0DB03A9A36}"/>
    <cellStyle name="Примечание 1 19 4 2" xfId="9099" xr:uid="{905D4585-99AF-44C4-AD5C-1F6619291D4D}"/>
    <cellStyle name="Примечание 1 19 4 2 2" xfId="14883" xr:uid="{27DE78DE-68C0-44F4-9750-3A395E0D37C0}"/>
    <cellStyle name="Примечание 1 19 4 2 2 2" xfId="31133" xr:uid="{DB2D9C52-C741-45D4-B9C1-AFF8C9362A42}"/>
    <cellStyle name="Примечание 1 19 4 2 2 3" xfId="44574" xr:uid="{45737AF5-7A92-4A01-B22F-4AE4DD6D2D7E}"/>
    <cellStyle name="Примечание 1 19 4 2 3" xfId="26580" xr:uid="{284BB2F4-DC3B-482D-ADFA-C8FCC2765B70}"/>
    <cellStyle name="Примечание 1 19 4 2 4" xfId="39656" xr:uid="{CD6265F4-730B-4C63-B4AB-1F09430AFEA6}"/>
    <cellStyle name="Примечание 1 19 4 3" xfId="10615" xr:uid="{07D874C2-E499-4FB0-9F26-21FA90BEA2DC}"/>
    <cellStyle name="Примечание 1 19 4 3 2" xfId="27474" xr:uid="{C52D947E-53B3-4F33-A34B-50E28472089A}"/>
    <cellStyle name="Примечание 1 19 4 3 3" xfId="40596" xr:uid="{4A090C10-4F3C-4039-A1FE-3F1E2D4C9E02}"/>
    <cellStyle name="Примечание 1 19 4 4" xfId="23608" xr:uid="{D5B8B7A5-7848-46EB-9A08-D75222191E0F}"/>
    <cellStyle name="Примечание 1 19 4 5" xfId="36689" xr:uid="{8A63E881-E6D6-4066-9DB7-B661A9F184C7}"/>
    <cellStyle name="Примечание 1 19 5" xfId="15399" xr:uid="{EE59A1ED-353A-4BF5-AD97-693179FA1583}"/>
    <cellStyle name="Примечание 1 19 5 2" xfId="31553" xr:uid="{9F84FCE9-838F-4B53-B8EC-F42E65CEE5FC}"/>
    <cellStyle name="Примечание 1 19 5 3" xfId="45041" xr:uid="{775392C6-36A2-4CE2-BB71-51303B10D104}"/>
    <cellStyle name="Примечание 1 19 6" xfId="21875" xr:uid="{B86AB209-6045-4EC1-B9D2-6177E39D604C}"/>
    <cellStyle name="Примечание 1 19 7" xfId="34924" xr:uid="{5CBCDF40-26CB-4993-B6ED-E087FE46F537}"/>
    <cellStyle name="Примечание 1 2" xfId="3495" xr:uid="{40CF8E66-5AED-4978-BE5B-99F1A89777B3}"/>
    <cellStyle name="Примечание 1 2 10" xfId="20511" xr:uid="{894514FB-28F3-4209-B405-31BBD20DEA86}"/>
    <cellStyle name="Примечание 1 2 11" xfId="34511" xr:uid="{B89C7926-D41B-4472-91AD-5FCFDC553C6C}"/>
    <cellStyle name="Примечание 1 2 2" xfId="2837" xr:uid="{7E9595E9-0DD0-4727-92F4-5B4FF5727D23}"/>
    <cellStyle name="Примечание 1 2 2 2" xfId="5157" xr:uid="{E2004DD6-20CF-43A8-AE68-1611F2CC7C05}"/>
    <cellStyle name="Примечание 1 2 2 2 2" xfId="8133" xr:uid="{10D135B4-CC07-4B08-A8B3-B0CA8515CA41}"/>
    <cellStyle name="Примечание 1 2 2 2 2 2" xfId="10706" xr:uid="{E55D6F1C-4494-41BD-8091-0D581077BD8E}"/>
    <cellStyle name="Примечание 1 2 2 2 2 2 2" xfId="27551" xr:uid="{9B1C2133-79F2-4637-ADE1-8CD50456F1A2}"/>
    <cellStyle name="Примечание 1 2 2 2 2 2 3" xfId="40687" xr:uid="{F4AB6141-A10C-4BC3-9EFA-6189D66FBD33}"/>
    <cellStyle name="Примечание 1 2 2 2 2 3" xfId="25644" xr:uid="{2C3EADC6-EEE2-48A2-9F0D-C7BA738EBD37}"/>
    <cellStyle name="Примечание 1 2 2 2 2 4" xfId="38720" xr:uid="{AE21A2C1-B484-41BE-8F75-5142C84F2A6D}"/>
    <cellStyle name="Примечание 1 2 2 2 3" xfId="14441" xr:uid="{18C73C34-08DC-4B10-A112-21594579B679}"/>
    <cellStyle name="Примечание 1 2 2 2 3 2" xfId="30770" xr:uid="{C5C90224-59A8-4414-8797-585EF6BE0475}"/>
    <cellStyle name="Примечание 1 2 2 2 3 3" xfId="44170" xr:uid="{FD269D15-E4AA-4D2A-AC66-6927C5EDEF18}"/>
    <cellStyle name="Примечание 1 2 2 2 4" xfId="22848" xr:uid="{233566EC-996D-42E6-854D-D9F0A711B5A3}"/>
    <cellStyle name="Примечание 1 2 2 2 5" xfId="35914" xr:uid="{EA8EF159-7FC5-417A-BBC3-8BDB50C44306}"/>
    <cellStyle name="Примечание 1 2 2 3" xfId="6500" xr:uid="{BDB1442B-FED2-47E5-99F2-3ECC16822E00}"/>
    <cellStyle name="Примечание 1 2 2 3 2" xfId="12627" xr:uid="{A004727E-8723-432B-9CDD-09A3533AE8AA}"/>
    <cellStyle name="Примечание 1 2 2 3 2 2" xfId="29236" xr:uid="{3F2DAB4C-D7B0-4C12-B486-DA420ED4F311}"/>
    <cellStyle name="Примечание 1 2 2 3 2 3" xfId="42501" xr:uid="{F264D686-25D3-4D0E-A2FF-29B30A13C637}"/>
    <cellStyle name="Примечание 1 2 2 3 3" xfId="24135" xr:uid="{CB0DB6D8-BA48-4FD4-B7DE-7C2D85DB3B75}"/>
    <cellStyle name="Примечание 1 2 2 3 4" xfId="37216" xr:uid="{8D790B21-5E94-42ED-9B50-4EDB7A027676}"/>
    <cellStyle name="Примечание 1 2 2 4" xfId="14905" xr:uid="{E56A0291-E415-4421-9C7E-33F3ECDF8E3A}"/>
    <cellStyle name="Примечание 1 2 2 4 2" xfId="31151" xr:uid="{41F7A76B-CFB7-4622-87AE-EA61F2529241}"/>
    <cellStyle name="Примечание 1 2 2 4 3" xfId="44594" xr:uid="{92398DB6-974F-4DD9-8320-F56F5D58F04D}"/>
    <cellStyle name="Примечание 1 2 2 5" xfId="20887" xr:uid="{88BFBE1A-8BFF-400F-BA81-202F2B91FDE3}"/>
    <cellStyle name="Примечание 1 2 2 6" xfId="33910" xr:uid="{4DE264FE-8A58-485A-A001-B54E420AB46F}"/>
    <cellStyle name="Примечание 1 2 3" xfId="4186" xr:uid="{E091C130-6D66-4ADB-AD98-6603CA2725AA}"/>
    <cellStyle name="Примечание 1 2 3 2" xfId="5218" xr:uid="{F81E89F3-73D9-4488-A3A2-A5E56546568E}"/>
    <cellStyle name="Примечание 1 2 3 2 2" xfId="9238" xr:uid="{63C176DB-1F33-4710-A250-C556F4EA7812}"/>
    <cellStyle name="Примечание 1 2 3 2 2 2" xfId="16056" xr:uid="{9DEE7DF6-02DC-4A88-B9E2-5B6E2D9A2E3D}"/>
    <cellStyle name="Примечание 1 2 3 2 2 2 2" xfId="32118" xr:uid="{B398B3F3-1EB0-4FE4-9147-7A081DB5C6DE}"/>
    <cellStyle name="Примечание 1 2 3 2 2 2 3" xfId="45637" xr:uid="{4BE87CFF-8D38-471C-9B3A-C755260FB27B}"/>
    <cellStyle name="Примечание 1 2 3 2 2 3" xfId="26713" xr:uid="{DA5C37A2-75E9-4AC2-9DAD-440285A09521}"/>
    <cellStyle name="Примечание 1 2 3 2 2 4" xfId="39789" xr:uid="{F48BA72F-5C1E-4AB5-90F9-FE1930D7C5D7}"/>
    <cellStyle name="Примечание 1 2 3 2 3" xfId="10614" xr:uid="{396D9A17-7E35-4C7B-A51F-EF4262F986AB}"/>
    <cellStyle name="Примечание 1 2 3 2 3 2" xfId="27473" xr:uid="{FEFB4485-0F42-48FA-93AD-A68DFD7AFD30}"/>
    <cellStyle name="Примечание 1 2 3 2 3 3" xfId="40595" xr:uid="{E18AD752-BD65-4904-9379-432910994202}"/>
    <cellStyle name="Примечание 1 2 3 2 4" xfId="22890" xr:uid="{F75428C5-5587-4994-9205-1DB75DE973B3}"/>
    <cellStyle name="Примечание 1 2 3 2 5" xfId="35961" xr:uid="{7B94E906-7B30-46F2-AEC6-7492A79224D6}"/>
    <cellStyle name="Примечание 1 2 3 3" xfId="7750" xr:uid="{E44D571D-F937-41DE-966C-1636E01234B3}"/>
    <cellStyle name="Примечание 1 2 3 3 2" xfId="16331" xr:uid="{DF037E7D-CAB1-45C3-9C97-8B091C03D36B}"/>
    <cellStyle name="Примечание 1 2 3 3 2 2" xfId="32355" xr:uid="{71A45EAD-75DB-4DAC-9B5B-03DA2A98B27D}"/>
    <cellStyle name="Примечание 1 2 3 3 2 3" xfId="45886" xr:uid="{E944C52A-DA92-4DA6-A717-94C0FE6DCD0C}"/>
    <cellStyle name="Примечание 1 2 3 3 3" xfId="25272" xr:uid="{6297AE48-C535-4334-82CD-0E08E2961739}"/>
    <cellStyle name="Примечание 1 2 3 3 4" xfId="38348" xr:uid="{A509589F-3FA0-41D7-B6D0-A5412F9F570D}"/>
    <cellStyle name="Примечание 1 2 3 4" xfId="14386" xr:uid="{1609E518-6E56-4582-8B0B-62E15578614B}"/>
    <cellStyle name="Примечание 1 2 3 4 2" xfId="30718" xr:uid="{D7DF6C67-6C8B-45F7-A4EB-3774B87049A3}"/>
    <cellStyle name="Примечание 1 2 3 4 3" xfId="44116" xr:uid="{E370A1E5-2722-4878-A380-C70D81492257}"/>
    <cellStyle name="Примечание 1 2 3 5" xfId="22013" xr:uid="{57986293-E379-402C-83F3-3EB28D7BCB35}"/>
    <cellStyle name="Примечание 1 2 3 6" xfId="35062" xr:uid="{17FFF3A5-0194-4A67-AF7E-14C10B78B477}"/>
    <cellStyle name="Примечание 1 2 4" xfId="2749" xr:uid="{E715DA5D-F2C0-4458-8E95-7EA555B5161F}"/>
    <cellStyle name="Примечание 1 2 4 2" xfId="5026" xr:uid="{289F9ED1-59BF-44A4-B5E9-9868AB41F4FC}"/>
    <cellStyle name="Примечание 1 2 4 2 2" xfId="8045" xr:uid="{C18665AD-6628-4194-9F48-00F9A6B3D106}"/>
    <cellStyle name="Примечание 1 2 4 2 2 2" xfId="11869" xr:uid="{1EA55F16-6B9B-49AF-8E19-D46BFD4A8739}"/>
    <cellStyle name="Примечание 1 2 4 2 2 2 2" xfId="28585" xr:uid="{3D0665D4-D929-4417-871D-4086388D4191}"/>
    <cellStyle name="Примечание 1 2 4 2 2 2 3" xfId="41801" xr:uid="{1D15C7B1-5EFF-4A2B-9649-CD0F66EFDB6B}"/>
    <cellStyle name="Примечание 1 2 4 2 2 3" xfId="25558" xr:uid="{12307B08-C1EB-47F3-AE93-86C523784543}"/>
    <cellStyle name="Примечание 1 2 4 2 2 4" xfId="38634" xr:uid="{F7C7BE70-91AC-40A6-9DF5-ABF47DCE81DD}"/>
    <cellStyle name="Примечание 1 2 4 2 3" xfId="14084" xr:uid="{80367CEC-7F77-42D8-8DF0-CFD3DBFC2F25}"/>
    <cellStyle name="Примечание 1 2 4 2 3 2" xfId="30451" xr:uid="{D9ED50D5-20BE-4A42-A346-347A76225B08}"/>
    <cellStyle name="Примечание 1 2 4 2 3 3" xfId="43834" xr:uid="{CBBEA3BD-0F0F-4BE2-B07B-E7FFA5C2687F}"/>
    <cellStyle name="Примечание 1 2 4 2 4" xfId="22784" xr:uid="{49FF6BF4-3FA5-4DD4-B5E9-E50DE29657FF}"/>
    <cellStyle name="Примечание 1 2 4 2 5" xfId="35846" xr:uid="{9A155EC2-5C5A-48C3-8FD0-BD393C94FF28}"/>
    <cellStyle name="Примечание 1 2 4 3" xfId="6412" xr:uid="{EC9B5A7F-F6E9-4E30-9E92-FC8BC59BA35D}"/>
    <cellStyle name="Примечание 1 2 4 3 2" xfId="15435" xr:uid="{C853825D-264B-4E70-8F70-097DF533D181}"/>
    <cellStyle name="Примечание 1 2 4 3 2 2" xfId="31582" xr:uid="{1E31AFBE-CAF7-4C2E-8616-325D42099900}"/>
    <cellStyle name="Примечание 1 2 4 3 2 3" xfId="45077" xr:uid="{53CB2DC3-9177-42CB-B18C-8555C38F528F}"/>
    <cellStyle name="Примечание 1 2 4 3 3" xfId="24049" xr:uid="{FAC0B900-E79E-4C2C-8150-1854F72F607E}"/>
    <cellStyle name="Примечание 1 2 4 3 4" xfId="37130" xr:uid="{E2E46C76-E6DC-4A3E-BA3B-5C30AC5F48BD}"/>
    <cellStyle name="Примечание 1 2 4 4" xfId="16418" xr:uid="{0EB999F8-A0C5-4CF7-8DBE-F7BA389952E2}"/>
    <cellStyle name="Примечание 1 2 4 4 2" xfId="32433" xr:uid="{9F6A43D4-A2E2-4D15-B9F0-3CC6DFB20734}"/>
    <cellStyle name="Примечание 1 2 4 4 3" xfId="45969" xr:uid="{D7F30347-F6EF-4178-BA63-3AEBBACC1E25}"/>
    <cellStyle name="Примечание 1 2 4 5" xfId="20801" xr:uid="{F6BBD333-8900-48A2-897D-61DC429968AF}"/>
    <cellStyle name="Примечание 1 2 4 6" xfId="33824" xr:uid="{32202557-D9D9-4324-ABA3-C7A0E79575B5}"/>
    <cellStyle name="Примечание 1 2 5" xfId="4097" xr:uid="{B64C19E0-41AA-4904-BA37-FAAD5FCA69DF}"/>
    <cellStyle name="Примечание 1 2 5 2" xfId="5238" xr:uid="{250B6B8D-C0FA-4EDC-A031-7B46386055A5}"/>
    <cellStyle name="Примечание 1 2 5 2 2" xfId="9149" xr:uid="{21669483-DB5C-4A47-B696-6BCE208FDBE4}"/>
    <cellStyle name="Примечание 1 2 5 2 2 2" xfId="14627" xr:uid="{D180D9D5-AF28-46B0-A134-5DC7A1684C82}"/>
    <cellStyle name="Примечание 1 2 5 2 2 2 2" xfId="30924" xr:uid="{2CC8CF3B-0E8D-4FE1-BE5B-7839DF5880CF}"/>
    <cellStyle name="Примечание 1 2 5 2 2 2 3" xfId="44345" xr:uid="{2880C6B8-80CB-4761-8A58-3E03190445AC}"/>
    <cellStyle name="Примечание 1 2 5 2 2 3" xfId="26630" xr:uid="{FEFD52A8-41BD-4F0D-8B8A-8C9142D10A5C}"/>
    <cellStyle name="Примечание 1 2 5 2 2 4" xfId="39706" xr:uid="{5D844CF3-FC77-44BC-AF74-884D55D85F81}"/>
    <cellStyle name="Примечание 1 2 5 2 3" xfId="15101" xr:uid="{1EB32EE9-71D6-40F4-ACC3-DB25B77CE5E5}"/>
    <cellStyle name="Примечание 1 2 5 2 3 2" xfId="31307" xr:uid="{0D27AE37-0782-44AC-AFAE-35DEB96E44A1}"/>
    <cellStyle name="Примечание 1 2 5 2 3 3" xfId="44768" xr:uid="{6188FFD3-F6BC-4E6E-B48E-8DE125D9A287}"/>
    <cellStyle name="Примечание 1 2 5 2 4" xfId="22902" xr:uid="{29B8DC7C-9D95-4295-8E0B-B6AB5D110343}"/>
    <cellStyle name="Примечание 1 2 5 2 5" xfId="35976" xr:uid="{141310B9-35FD-42BC-BDE2-8C961CEF5AC8}"/>
    <cellStyle name="Примечание 1 2 5 3" xfId="7661" xr:uid="{00CD13AB-94A4-4682-8623-1513BF9705F5}"/>
    <cellStyle name="Примечание 1 2 5 3 2" xfId="11549" xr:uid="{C0520806-23C5-44E7-95A1-0397DA52A476}"/>
    <cellStyle name="Примечание 1 2 5 3 2 2" xfId="28306" xr:uid="{E76F55A8-D8AE-4DA1-899A-4A9B369A8FEE}"/>
    <cellStyle name="Примечание 1 2 5 3 2 3" xfId="41504" xr:uid="{05B57204-C602-450F-BCE5-4C4E8BCE5D92}"/>
    <cellStyle name="Примечание 1 2 5 3 3" xfId="25189" xr:uid="{B7C4B174-8BA8-4AF8-8378-05E8F6BBAB16}"/>
    <cellStyle name="Примечание 1 2 5 3 4" xfId="38265" xr:uid="{3A17CD1D-8997-468A-BF6D-4DE65857BBFD}"/>
    <cellStyle name="Примечание 1 2 5 4" xfId="13261" xr:uid="{8AF7C9FE-5491-404D-8234-7A580CD7EF99}"/>
    <cellStyle name="Примечание 1 2 5 4 2" xfId="29753" xr:uid="{F367FEEA-3DB9-4C2B-94FA-4F029A747C31}"/>
    <cellStyle name="Примечание 1 2 5 4 3" xfId="43079" xr:uid="{F9EE38AA-02A5-4E7B-966C-7BD73686B7BB}"/>
    <cellStyle name="Примечание 1 2 5 5" xfId="21930" xr:uid="{AEDFDB5F-7AB2-4CED-80F5-8553A196F588}"/>
    <cellStyle name="Примечание 1 2 5 6" xfId="34979" xr:uid="{32EF10F1-821F-4B00-91E3-94335F9AC4A2}"/>
    <cellStyle name="Примечание 1 2 6" xfId="4497" xr:uid="{310C95B6-CD7A-4F21-8940-E6D70AD4D439}"/>
    <cellStyle name="Примечание 1 2 6 2" xfId="7137" xr:uid="{AA36A968-4057-417C-B1CF-28B307D3C188}"/>
    <cellStyle name="Примечание 1 2 6 2 2" xfId="15143" xr:uid="{BDC3A73C-A133-488D-A57E-142064C7C804}"/>
    <cellStyle name="Примечание 1 2 6 2 2 2" xfId="31342" xr:uid="{33CDF0ED-AEF2-4907-88BD-13FC9F60ED7B}"/>
    <cellStyle name="Примечание 1 2 6 2 2 3" xfId="44806" xr:uid="{CF12FFFB-BAFF-44B9-9F24-C482C917FA1D}"/>
    <cellStyle name="Примечание 1 2 6 2 3" xfId="24736" xr:uid="{78098E3F-AFD1-46E1-AF96-B99BDA15C590}"/>
    <cellStyle name="Примечание 1 2 6 2 4" xfId="37817" xr:uid="{F253DA16-0BF7-4C96-8BDC-BE478780CE6B}"/>
    <cellStyle name="Примечание 1 2 6 3" xfId="12284" xr:uid="{26635BB4-7F3B-4C23-A2E9-32B8423771E3}"/>
    <cellStyle name="Примечание 1 2 6 3 2" xfId="28959" xr:uid="{A46D4548-D580-4675-B190-82AD73F9AF44}"/>
    <cellStyle name="Примечание 1 2 6 3 3" xfId="42196" xr:uid="{5A46A374-1D27-4D6D-B168-B0D66D2919B5}"/>
    <cellStyle name="Примечание 1 2 6 4" xfId="22315" xr:uid="{AE1742B5-A6FD-4558-882A-194CF7EEA78C}"/>
    <cellStyle name="Примечание 1 2 6 5" xfId="35364" xr:uid="{97C4449F-FB08-4513-B4D2-EAEA4A4DB8A5}"/>
    <cellStyle name="Примечание 1 2 7" xfId="5550" xr:uid="{2C9BCAE9-7157-47F8-9531-8D01D6EB61D2}"/>
    <cellStyle name="Примечание 1 2 7 2" xfId="8732" xr:uid="{082E2448-0AF9-4532-A3B5-E5A9A4A0605C}"/>
    <cellStyle name="Примечание 1 2 7 2 2" xfId="12327" xr:uid="{627A25DC-737F-4BB2-865C-5BBED4686CD0}"/>
    <cellStyle name="Примечание 1 2 7 2 2 2" xfId="28995" xr:uid="{F35DDF49-8B4C-4199-8C5A-15786438AF7E}"/>
    <cellStyle name="Примечание 1 2 7 2 2 3" xfId="42235" xr:uid="{0C8A0504-4782-4A5E-86DC-F98106D21B75}"/>
    <cellStyle name="Примечание 1 2 7 2 3" xfId="26225" xr:uid="{9780E515-4BF7-484F-BE70-E12D3407B5A2}"/>
    <cellStyle name="Примечание 1 2 7 2 4" xfId="39301" xr:uid="{C40FE8C2-247C-44D7-8075-D1EEE3EB1E9E}"/>
    <cellStyle name="Примечание 1 2 7 3" xfId="11913" xr:uid="{950A7607-DF10-4F0A-86F8-9032ECD68CD5}"/>
    <cellStyle name="Примечание 1 2 7 3 2" xfId="28628" xr:uid="{ABF24D7A-4223-490E-A944-96079585CD7E}"/>
    <cellStyle name="Примечание 1 2 7 3 3" xfId="41844" xr:uid="{D1060CC5-4A28-4A51-8039-F69A26AC9789}"/>
    <cellStyle name="Примечание 1 2 7 4" xfId="23197" xr:uid="{69AE8E73-0828-4BFD-9160-46427BEED476}"/>
    <cellStyle name="Примечание 1 2 7 5" xfId="36278" xr:uid="{EB1FC7AD-B3CF-411D-8809-AD0C383BFB34}"/>
    <cellStyle name="Примечание 1 2 8" xfId="14907" xr:uid="{096C600F-B683-4116-B552-F0FC5CC1D716}"/>
    <cellStyle name="Примечание 1 2 8 2" xfId="31153" xr:uid="{327DCADF-DB66-4F76-83F9-D30A68166920}"/>
    <cellStyle name="Примечание 1 2 8 3" xfId="44596" xr:uid="{7142F04B-D567-4F8A-AAA4-4AD8D27A1435}"/>
    <cellStyle name="Примечание 1 2 9" xfId="17758" xr:uid="{44CABC17-C995-440D-92F2-C257414A1F25}"/>
    <cellStyle name="Примечание 1 2 9 2" xfId="33480" xr:uid="{9BD0C630-A9D6-4907-8370-B33DF52D96CF}"/>
    <cellStyle name="Примечание 1 2 9 3" xfId="47259" xr:uid="{72FEFFD0-E1D3-421A-83E8-1453B26A820D}"/>
    <cellStyle name="Примечание 1 20" xfId="3240" xr:uid="{8B23CA49-41DB-463D-A35B-51F07B190D93}"/>
    <cellStyle name="Примечание 1 20 2" xfId="5034" xr:uid="{B162271A-358D-46B8-8721-843BB0971CD9}"/>
    <cellStyle name="Примечание 1 20 2 2" xfId="8531" xr:uid="{7DA5B1C0-9BD2-4F0D-B92C-AE6C16239A8B}"/>
    <cellStyle name="Примечание 1 20 2 2 2" xfId="10981" xr:uid="{66DC8D8F-8268-48E3-82B2-7E039ECC4E57}"/>
    <cellStyle name="Примечание 1 20 2 2 2 2" xfId="27790" xr:uid="{03E5451F-5DFA-4A9F-855C-D60AF0E10D88}"/>
    <cellStyle name="Примечание 1 20 2 2 2 3" xfId="40961" xr:uid="{21B1185A-B1A8-44B6-9FD1-D2F136C2126C}"/>
    <cellStyle name="Примечание 1 20 2 2 3" xfId="26030" xr:uid="{91EFB362-19CE-4D40-9EF7-1E6D81D03A4A}"/>
    <cellStyle name="Примечание 1 20 2 2 4" xfId="39106" xr:uid="{2A14A3E9-B7B0-4E9B-9F72-494C7E2900DC}"/>
    <cellStyle name="Примечание 1 20 2 3" xfId="12302" xr:uid="{E5B970AC-2287-4B22-9A5C-02311317E26C}"/>
    <cellStyle name="Примечание 1 20 2 3 2" xfId="28974" xr:uid="{74CEC083-A49C-4F85-861B-DBE3AEB76627}"/>
    <cellStyle name="Примечание 1 20 2 3 3" xfId="42211" xr:uid="{543AEC1A-C599-4484-86DB-ADEDE4D98B38}"/>
    <cellStyle name="Примечание 1 20 2 4" xfId="22786" xr:uid="{73EB755C-D764-4E55-A902-F0A8D791FD4C}"/>
    <cellStyle name="Примечание 1 20 2 5" xfId="35849" xr:uid="{E48AD7A7-581F-443D-BCB7-784ED1ECBC60}"/>
    <cellStyle name="Примечание 1 20 3" xfId="6899" xr:uid="{092C8601-C7C7-4BD2-9532-BB1D7D416441}"/>
    <cellStyle name="Примечание 1 20 3 2" xfId="17565" xr:uid="{9D9D716F-86C6-468C-B008-0874C969E764}"/>
    <cellStyle name="Примечание 1 20 3 2 2" xfId="33302" xr:uid="{42FF65ED-F9D9-4EA6-8F48-EE955F70D506}"/>
    <cellStyle name="Примечание 1 20 3 2 3" xfId="47090" xr:uid="{D1456617-21FD-4457-81DB-BBF9A094FF64}"/>
    <cellStyle name="Примечание 1 20 3 3" xfId="24522" xr:uid="{DDBED29B-A08C-4714-AD6B-86A511985C39}"/>
    <cellStyle name="Примечание 1 20 3 4" xfId="37603" xr:uid="{7C175D51-1CD7-49C1-8CF0-943A387A02A4}"/>
    <cellStyle name="Примечание 1 20 4" xfId="11398" xr:uid="{3FEA7118-E3D4-41C4-ACD4-2C57590B9960}"/>
    <cellStyle name="Примечание 1 20 4 2" xfId="28170" xr:uid="{7096FDD0-A9A3-4D3B-AF40-C28DE880816D}"/>
    <cellStyle name="Примечание 1 20 4 3" xfId="41360" xr:uid="{789F460A-6477-429F-8C26-C6B8659AA918}"/>
    <cellStyle name="Примечание 1 20 5" xfId="21274" xr:uid="{E77E3847-C0C5-42E6-B67A-B05378F6257D}"/>
    <cellStyle name="Примечание 1 20 6" xfId="34297" xr:uid="{232F174D-565E-47C8-B6DE-27A378A065F6}"/>
    <cellStyle name="Примечание 1 21" xfId="2654" xr:uid="{F11792A4-D58C-430A-82CE-5C0EA1782338}"/>
    <cellStyle name="Примечание 1 21 2" xfId="7951" xr:uid="{E6B8C09E-E246-49E6-A0A5-C0369E5DF2A9}"/>
    <cellStyle name="Примечание 1 21 2 2" xfId="14128" xr:uid="{318C2307-D8CD-4AB7-BE51-456BB07352A3}"/>
    <cellStyle name="Примечание 1 21 2 2 2" xfId="30492" xr:uid="{14BF391F-0F8A-484A-8C65-29DE7A5EF646}"/>
    <cellStyle name="Примечание 1 21 2 2 3" xfId="43876" xr:uid="{C7D8FBF4-45D9-4A0E-B3E8-8214FE6D9E9D}"/>
    <cellStyle name="Примечание 1 21 2 3" xfId="25467" xr:uid="{41F62B0C-36F9-47C4-8005-415D24850020}"/>
    <cellStyle name="Примечание 1 21 2 4" xfId="38543" xr:uid="{F680B936-5FC7-40A0-A50F-53DC15469730}"/>
    <cellStyle name="Примечание 1 21 3" xfId="6318" xr:uid="{7CDBEF9F-C8E0-432B-BF0C-D6C7E38C619A}"/>
    <cellStyle name="Примечание 1 21 3 2" xfId="17337" xr:uid="{F90BB3D7-4C29-481C-8645-3EF8CF672023}"/>
    <cellStyle name="Примечание 1 21 3 2 2" xfId="33091" xr:uid="{97E246E0-0200-4EAC-9213-81701CCDF991}"/>
    <cellStyle name="Примечание 1 21 3 2 3" xfId="46867" xr:uid="{BD3B119D-516D-41CB-9ECD-7D1E6C04C7D5}"/>
    <cellStyle name="Примечание 1 21 3 3" xfId="23958" xr:uid="{67B24265-F1CA-4B60-B780-33742A07C2B5}"/>
    <cellStyle name="Примечание 1 21 3 4" xfId="37039" xr:uid="{5413C760-7CF7-4C99-B0F8-B33D8ACB8FCB}"/>
    <cellStyle name="Примечание 1 21 4" xfId="15008" xr:uid="{47C9EDB6-A0FE-4F34-B037-DAF560C0BAA3}"/>
    <cellStyle name="Примечание 1 21 4 2" xfId="31235" xr:uid="{CD3240E1-75E2-4AE6-A652-BE1CB7DF3B82}"/>
    <cellStyle name="Примечание 1 21 4 3" xfId="44685" xr:uid="{0FFDE651-89FC-496B-9469-67A92FD24FAE}"/>
    <cellStyle name="Примечание 1 21 5" xfId="20710" xr:uid="{EF3F0947-6430-4981-8B8B-97EDF4286E2C}"/>
    <cellStyle name="Примечание 1 21 6" xfId="33733" xr:uid="{B25EEDB6-4F80-45B3-B2D3-9D316AF2E98B}"/>
    <cellStyle name="Примечание 1 22" xfId="4064" xr:uid="{4280DB45-09DA-4AEA-A08F-E04B944055B0}"/>
    <cellStyle name="Примечание 1 22 2" xfId="9116" xr:uid="{56E7A3AD-173D-4B9C-ACF7-EB84971141AF}"/>
    <cellStyle name="Примечание 1 22 2 2" xfId="14900" xr:uid="{6812249C-D3B4-43D2-85A4-29153A0A3FA1}"/>
    <cellStyle name="Примечание 1 22 2 2 2" xfId="31148" xr:uid="{F601B54E-269D-42D3-B37C-9EF82A1FA270}"/>
    <cellStyle name="Примечание 1 22 2 2 3" xfId="44591" xr:uid="{DDA577B7-02FC-4699-894F-1C4B97AF988C}"/>
    <cellStyle name="Примечание 1 22 2 3" xfId="26597" xr:uid="{0D8D0C99-44ED-4D58-9F73-061660CBDD47}"/>
    <cellStyle name="Примечание 1 22 2 4" xfId="39673" xr:uid="{6C459E40-FFE3-4F5B-BE9E-03706127C824}"/>
    <cellStyle name="Примечание 1 22 3" xfId="7628" xr:uid="{165081F6-21DF-468D-8FCF-820610C3CFCA}"/>
    <cellStyle name="Примечание 1 22 3 2" xfId="13677" xr:uid="{6F3C8C52-8247-43A1-AE50-48FE13924955}"/>
    <cellStyle name="Примечание 1 22 3 2 2" xfId="30102" xr:uid="{F72319A4-D7F3-461B-A711-4918EDF1E56B}"/>
    <cellStyle name="Примечание 1 22 3 2 3" xfId="43461" xr:uid="{15316C81-83EF-4109-BC92-741CA90970C7}"/>
    <cellStyle name="Примечание 1 22 3 3" xfId="25156" xr:uid="{E4425CC7-63F7-4E8F-95F2-00BD3D39A12E}"/>
    <cellStyle name="Примечание 1 22 3 4" xfId="38232" xr:uid="{359840E1-C1A1-4C1A-9F45-4737EE123A26}"/>
    <cellStyle name="Примечание 1 22 4" xfId="15451" xr:uid="{063DD569-A43F-4494-B4CE-78EF8075F1B5}"/>
    <cellStyle name="Примечание 1 22 4 2" xfId="31596" xr:uid="{DB77A994-FF7F-441D-997B-1C3F0C61BBF2}"/>
    <cellStyle name="Примечание 1 22 4 3" xfId="45091" xr:uid="{DD15E4B0-C1A2-47D6-B771-1CD62FBBFD17}"/>
    <cellStyle name="Примечание 1 22 5" xfId="21897" xr:uid="{FF8A3AFF-A062-4F66-9F7F-2AEFBC119A40}"/>
    <cellStyle name="Примечание 1 22 6" xfId="34946" xr:uid="{015745BD-4642-4325-95D0-52884106D73C}"/>
    <cellStyle name="Примечание 1 23" xfId="2563" xr:uid="{AA6B9436-7CF2-4D55-8BE9-A4BCD5EE4162}"/>
    <cellStyle name="Примечание 1 23 2" xfId="7861" xr:uid="{1C2E52C0-8847-4822-BAEB-63EED9E2173D}"/>
    <cellStyle name="Примечание 1 23 2 2" xfId="11046" xr:uid="{4718094E-7084-4A5B-9496-B6069D6E99C9}"/>
    <cellStyle name="Примечание 1 23 2 2 2" xfId="27850" xr:uid="{4D9BB339-AAFA-4091-8BDC-E89B3CD44C5E}"/>
    <cellStyle name="Примечание 1 23 2 2 3" xfId="41026" xr:uid="{72388425-D315-44DC-8863-AE42AC5FBB4E}"/>
    <cellStyle name="Примечание 1 23 2 3" xfId="25380" xr:uid="{B30B4531-332C-450D-8A3F-7441D17EC301}"/>
    <cellStyle name="Примечание 1 23 2 4" xfId="38456" xr:uid="{5234FFBF-F455-4A37-B5B9-7654CF79E4C0}"/>
    <cellStyle name="Примечание 1 23 3" xfId="6228" xr:uid="{7D484F34-10DD-47DA-BCD3-41EECAA309CA}"/>
    <cellStyle name="Примечание 1 23 3 2" xfId="16923" xr:uid="{ADCB57DB-8D20-413A-8CCF-C642B1842FE2}"/>
    <cellStyle name="Примечание 1 23 3 2 2" xfId="32777" xr:uid="{37A52446-AD1E-4E4E-BA56-7B5368AF880A}"/>
    <cellStyle name="Примечание 1 23 3 2 3" xfId="46465" xr:uid="{20D91176-D8BE-4BD7-8081-4B601D43252A}"/>
    <cellStyle name="Примечание 1 23 3 3" xfId="23871" xr:uid="{7A6A0C02-3928-4902-863A-140EDA7B831D}"/>
    <cellStyle name="Примечание 1 23 3 4" xfId="36952" xr:uid="{85FAB059-B854-4D8A-8CA5-459C18234640}"/>
    <cellStyle name="Примечание 1 23 4" xfId="13145" xr:uid="{1293D9E9-336E-4BFD-9EB2-BB7D74A0F13B}"/>
    <cellStyle name="Примечание 1 23 4 2" xfId="29659" xr:uid="{989FDEA8-6AE7-4741-9FA1-DAB4BC40AD97}"/>
    <cellStyle name="Примечание 1 23 4 3" xfId="42971" xr:uid="{AC59647C-F57A-4F44-AACC-A775DE8C8BF6}"/>
    <cellStyle name="Примечание 1 23 5" xfId="20623" xr:uid="{D4952220-A3DA-444D-B02E-2E4ECE390AFF}"/>
    <cellStyle name="Примечание 1 23 6" xfId="33646" xr:uid="{E656B3FA-C57B-4D34-94A2-C25B38CDE734}"/>
    <cellStyle name="Примечание 1 24" xfId="2534" xr:uid="{571A89DD-DFF1-4CEA-BA64-A9C217A2C11B}"/>
    <cellStyle name="Примечание 1 24 2" xfId="6130" xr:uid="{A0FB2D6D-463D-4097-BABA-AA37DD81FA41}"/>
    <cellStyle name="Примечание 1 24 2 2" xfId="10638" xr:uid="{E653558F-8DF1-4337-985B-175162C3965A}"/>
    <cellStyle name="Примечание 1 24 2 2 2" xfId="27492" xr:uid="{DAA5DB11-174E-450B-B0FC-27BE3CD29398}"/>
    <cellStyle name="Примечание 1 24 2 2 3" xfId="40619" xr:uid="{48A8F77F-C36A-4931-B3C1-DE69BDF00466}"/>
    <cellStyle name="Примечание 1 24 2 3" xfId="23775" xr:uid="{EA9B6646-18BA-4DA6-8AEF-901167FE24DB}"/>
    <cellStyle name="Примечание 1 24 2 4" xfId="36856" xr:uid="{DB8DB0DE-DCFF-496F-AE91-51427AD543EC}"/>
    <cellStyle name="Примечание 1 24 3" xfId="6199" xr:uid="{5DCD2B38-780D-40C0-B919-EF312387377A}"/>
    <cellStyle name="Примечание 1 24 3 2" xfId="13456" xr:uid="{CF7B4176-E043-4E82-A6CD-E8144785B656}"/>
    <cellStyle name="Примечание 1 24 3 2 2" xfId="29919" xr:uid="{D7E91F49-7EE2-4F56-B3B8-E81BE6D9429D}"/>
    <cellStyle name="Примечание 1 24 3 2 3" xfId="43258" xr:uid="{7E5DE1BB-3D59-480F-8968-12B1EC7E5470}"/>
    <cellStyle name="Примечание 1 24 3 3" xfId="23844" xr:uid="{0A26C156-37CE-47BB-AEDE-703A1956A3EF}"/>
    <cellStyle name="Примечание 1 24 3 4" xfId="36925" xr:uid="{425B2BA4-3965-407F-A7D3-6A5F11F40221}"/>
    <cellStyle name="Примечание 1 24 4" xfId="13125" xr:uid="{89DF20D8-2FA8-45EF-B4CE-4502C01B4AA8}"/>
    <cellStyle name="Примечание 1 24 4 2" xfId="29639" xr:uid="{E9D4E0F8-3D0A-48D8-B498-8C3596603C5B}"/>
    <cellStyle name="Примечание 1 24 4 3" xfId="42951" xr:uid="{55753F6C-2D98-4854-9877-D3A1986D3F6E}"/>
    <cellStyle name="Примечание 1 24 5" xfId="20596" xr:uid="{B2755A17-91FD-4057-AC8A-00E392AC1299}"/>
    <cellStyle name="Примечание 1 24 6" xfId="33619" xr:uid="{C0372B18-6BCC-460D-8647-806459BBD9B6}"/>
    <cellStyle name="Примечание 1 25" xfId="4305" xr:uid="{A9C6892E-48BA-47F8-86CC-56D6D43C7066}"/>
    <cellStyle name="Примечание 1 25 2" xfId="6173" xr:uid="{5315B377-48DF-45A5-9E44-FCCDD7923D02}"/>
    <cellStyle name="Примечание 1 25 2 2" xfId="13632" xr:uid="{DF7521F7-4038-4584-B1E9-BB882F6B0372}"/>
    <cellStyle name="Примечание 1 25 2 2 2" xfId="30067" xr:uid="{E3DF765F-0995-43F5-A378-C12F66190104}"/>
    <cellStyle name="Примечание 1 25 2 2 3" xfId="43422" xr:uid="{454E3CC6-E811-4E7A-A6AD-685DF9261630}"/>
    <cellStyle name="Примечание 1 25 2 3" xfId="23818" xr:uid="{9A1BA96F-92BA-444D-84D9-4E5A0DA46136}"/>
    <cellStyle name="Примечание 1 25 2 4" xfId="36899" xr:uid="{548A6845-DD73-4837-90FD-788807E57489}"/>
    <cellStyle name="Примечание 1 25 3" xfId="10813" xr:uid="{57AE295F-C2D7-4129-96FD-8CB20A94B438}"/>
    <cellStyle name="Примечание 1 25 3 2" xfId="27646" xr:uid="{DFE5C61E-44E0-4BE8-8E71-F20467DDA1EA}"/>
    <cellStyle name="Примечание 1 25 3 3" xfId="40794" xr:uid="{E6017DE9-277B-4840-99CA-7565040DD58A}"/>
    <cellStyle name="Примечание 1 25 4" xfId="22126" xr:uid="{E2F877BF-03DB-4806-A4C0-0A31DAEA3294}"/>
    <cellStyle name="Примечание 1 25 5" xfId="35175" xr:uid="{939C36A6-2171-4C1E-871F-91A840DCE13D}"/>
    <cellStyle name="Примечание 1 26" xfId="5285" xr:uid="{8E6D6951-F284-4D1C-8023-CE2505A1E385}"/>
    <cellStyle name="Примечание 1 26 2" xfId="9718" xr:uid="{976D3CB2-B291-429B-A56B-B7BBF5C3B9EF}"/>
    <cellStyle name="Примечание 1 26 2 2" xfId="10773" xr:uid="{C05BB370-BDF2-4D66-B998-579EA0251B62}"/>
    <cellStyle name="Примечание 1 26 2 2 2" xfId="27608" xr:uid="{FAD0BF87-034E-450C-8C03-124B1E5D41F6}"/>
    <cellStyle name="Примечание 1 26 2 2 3" xfId="40754" xr:uid="{E7C54667-9E72-4153-999C-987B0BAA6F24}"/>
    <cellStyle name="Примечание 1 26 2 3" xfId="27017" xr:uid="{8669C2DE-EBFD-421B-B913-631B540E628D}"/>
    <cellStyle name="Примечание 1 26 2 4" xfId="40134" xr:uid="{01EA8F30-D4D9-44A5-9749-3A8C49120154}"/>
    <cellStyle name="Примечание 1 26 3" xfId="14747" xr:uid="{FC4CE6B8-F1A7-43B7-9F80-94F2E42ACBF0}"/>
    <cellStyle name="Примечание 1 26 3 2" xfId="31025" xr:uid="{A87C1A72-9A0C-4A5C-B6F0-DEB50FB3DA4B}"/>
    <cellStyle name="Примечание 1 26 3 3" xfId="44451" xr:uid="{1B495696-2612-4179-B95D-0D2358FEC58E}"/>
    <cellStyle name="Примечание 1 26 4" xfId="22936" xr:uid="{A53253E5-109B-4FBA-BD93-9549DE3C6DEB}"/>
    <cellStyle name="Примечание 1 26 5" xfId="36015" xr:uid="{2724793B-63B6-470F-93DA-9EB8E6D35D8A}"/>
    <cellStyle name="Примечание 1 27" xfId="5361" xr:uid="{A0CD9081-89C0-4517-AEA5-0F68BF43DA6E}"/>
    <cellStyle name="Примечание 1 27 2" xfId="9792" xr:uid="{EA3E697A-ADE1-428B-A255-95EF9BD7B5C6}"/>
    <cellStyle name="Примечание 1 27 2 2" xfId="15925" xr:uid="{845724D5-BDB8-4404-A6F5-759D3A630BD8}"/>
    <cellStyle name="Примечание 1 27 2 2 2" xfId="32006" xr:uid="{3D7E8F65-B1E1-45F8-A969-11A80DAF1607}"/>
    <cellStyle name="Примечание 1 27 2 2 3" xfId="45522" xr:uid="{2718C780-4496-4E68-9B22-E8948BCF88EC}"/>
    <cellStyle name="Примечание 1 27 2 3" xfId="27089" xr:uid="{6D76BEE9-55DF-415C-88F7-F846BF32D7CC}"/>
    <cellStyle name="Примечание 1 27 2 4" xfId="40208" xr:uid="{1FFC3D53-B05E-4AC6-AE92-19775A14EC20}"/>
    <cellStyle name="Примечание 1 27 3" xfId="15844" xr:uid="{AC984809-F24C-401A-BBD0-EE6771D5DA9F}"/>
    <cellStyle name="Примечание 1 27 3 2" xfId="31937" xr:uid="{3EC27EB8-2E7A-48CE-8857-A395C2910767}"/>
    <cellStyle name="Примечание 1 27 3 3" xfId="45449" xr:uid="{B7E2DE56-8191-4885-9CB6-36FCA78ABF5E}"/>
    <cellStyle name="Примечание 1 27 4" xfId="23008" xr:uid="{19C51B64-912B-479F-B97A-F22D97C5C5F4}"/>
    <cellStyle name="Примечание 1 27 5" xfId="36089" xr:uid="{715A0302-3A64-4437-B8E8-CCA1B896A33E}"/>
    <cellStyle name="Примечание 1 28" xfId="10574" xr:uid="{709A4A57-43D0-4E2B-B65D-349BD78B5966}"/>
    <cellStyle name="Примечание 1 28 2" xfId="17619" xr:uid="{76D6A9B9-FD99-4B31-8918-6C9CA9BC6B33}"/>
    <cellStyle name="Примечание 1 28 2 2" xfId="33354" xr:uid="{A0258A53-DF7E-4CFF-A598-A6BED9F8B0B1}"/>
    <cellStyle name="Примечание 1 28 2 3" xfId="47144" xr:uid="{59CDA38D-DE78-4FEA-BB36-37C85C8AFAC5}"/>
    <cellStyle name="Примечание 1 28 3" xfId="27433" xr:uid="{02C032D2-981C-4E49-9133-D2496C0AE53F}"/>
    <cellStyle name="Примечание 1 28 4" xfId="40555" xr:uid="{6226A7E9-9651-434D-ABB8-6214665C5CDD}"/>
    <cellStyle name="Примечание 1 29" xfId="12074" xr:uid="{2FB361CD-AB29-4D0D-B204-3A87AF2C5173}"/>
    <cellStyle name="Примечание 1 29 2" xfId="28774" xr:uid="{A58E21BD-5A7A-4735-906F-4D0F51151675}"/>
    <cellStyle name="Примечание 1 29 3" xfId="41994" xr:uid="{A03ED80B-3EE5-4E5D-BA23-C8B7FDC842E7}"/>
    <cellStyle name="Примечание 1 3" xfId="3309" xr:uid="{9E396CAD-EF99-4E04-8C93-3D281152723E}"/>
    <cellStyle name="Примечание 1 3 10" xfId="34356" xr:uid="{DF4CCEE9-AE60-46C2-B428-EA2BFF5D7322}"/>
    <cellStyle name="Примечание 1 3 2" xfId="2671" xr:uid="{C04A71D0-EAD0-4185-8048-45FB78A9C116}"/>
    <cellStyle name="Примечание 1 3 2 2" xfId="7967" xr:uid="{2E03778E-8659-4EB1-85C8-EF66B0DBA657}"/>
    <cellStyle name="Примечание 1 3 2 2 2" xfId="15718" xr:uid="{45D6314D-AF23-4473-84A6-1C71079AA963}"/>
    <cellStyle name="Примечание 1 3 2 2 2 2" xfId="31828" xr:uid="{78BC73F6-D9DB-4228-86F9-AC0FF6862BE8}"/>
    <cellStyle name="Примечание 1 3 2 2 2 3" xfId="45337" xr:uid="{D02AD8E2-5B02-400E-AF56-5DF1FB118CFE}"/>
    <cellStyle name="Примечание 1 3 2 2 3" xfId="25483" xr:uid="{2D28DDC1-FE60-4881-913E-73A45FE90040}"/>
    <cellStyle name="Примечание 1 3 2 2 4" xfId="38559" xr:uid="{DD318A05-6592-4A0A-8603-B0B80437169D}"/>
    <cellStyle name="Примечание 1 3 2 3" xfId="6334" xr:uid="{5C1A1318-6868-4004-BA32-5CD2417EAB79}"/>
    <cellStyle name="Примечание 1 3 2 3 2" xfId="12382" xr:uid="{8BC52709-700E-4242-B892-80E7175A6B8F}"/>
    <cellStyle name="Примечание 1 3 2 3 2 2" xfId="29048" xr:uid="{3538E284-37EE-482B-9381-3830A55651E1}"/>
    <cellStyle name="Примечание 1 3 2 3 2 3" xfId="42288" xr:uid="{1243C074-A98C-4FC9-9423-04F0FA7D3456}"/>
    <cellStyle name="Примечание 1 3 2 3 3" xfId="23974" xr:uid="{2A2A42E9-EA12-417C-9C37-909312DB5093}"/>
    <cellStyle name="Примечание 1 3 2 3 4" xfId="37055" xr:uid="{434F4E14-073A-43B5-A3D5-9D6DB7714240}"/>
    <cellStyle name="Примечание 1 3 2 4" xfId="15662" xr:uid="{F107AF2B-795A-49C0-98FD-68F7CE68FD2C}"/>
    <cellStyle name="Примечание 1 3 2 4 2" xfId="31779" xr:uid="{A6380292-2E82-47DA-91DE-5BC9D3A00672}"/>
    <cellStyle name="Примечание 1 3 2 4 3" xfId="45284" xr:uid="{97D55FF4-F8B3-4C27-B48C-0443B235A0EA}"/>
    <cellStyle name="Примечание 1 3 2 5" xfId="20726" xr:uid="{41092CAD-C68D-4449-ABD6-4441EF994385}"/>
    <cellStyle name="Примечание 1 3 2 6" xfId="33749" xr:uid="{2986D9F4-8AF5-41E2-B251-FCEAFE51B468}"/>
    <cellStyle name="Примечание 1 3 3" xfId="4091" xr:uid="{B1C5DEF9-9A8A-4BA3-83C7-76B36FF0303A}"/>
    <cellStyle name="Примечание 1 3 3 2" xfId="9143" xr:uid="{E36D2020-CAB7-43D0-B4DC-6DD4DBDC4EA7}"/>
    <cellStyle name="Примечание 1 3 3 2 2" xfId="11302" xr:uid="{62C834B5-542B-4BC8-BF20-F456CBEA783B}"/>
    <cellStyle name="Примечание 1 3 3 2 2 2" xfId="28086" xr:uid="{38CDEAA6-3C02-4733-847A-64A47BE64587}"/>
    <cellStyle name="Примечание 1 3 3 2 2 3" xfId="41269" xr:uid="{42CDCF2E-0583-4FF8-90A7-7850EB37B3DA}"/>
    <cellStyle name="Примечание 1 3 3 2 3" xfId="26624" xr:uid="{B2346EF7-9809-4263-852F-007C3802CB2B}"/>
    <cellStyle name="Примечание 1 3 3 2 4" xfId="39700" xr:uid="{579D6800-1809-4B99-8197-293D82B852DF}"/>
    <cellStyle name="Примечание 1 3 3 3" xfId="7655" xr:uid="{B1EDE159-D2FB-4B0F-9404-AD3CEC2091B6}"/>
    <cellStyle name="Примечание 1 3 3 3 2" xfId="14389" xr:uid="{85C5881F-B622-435E-A89D-2A4AEAFE912E}"/>
    <cellStyle name="Примечание 1 3 3 3 2 2" xfId="30721" xr:uid="{D2DEAFBE-ABDE-4B7B-94D7-DE2B73D9A3F2}"/>
    <cellStyle name="Примечание 1 3 3 3 2 3" xfId="44119" xr:uid="{5081193C-D886-42BC-8183-85C15BF2916F}"/>
    <cellStyle name="Примечание 1 3 3 3 3" xfId="25183" xr:uid="{0F45EAA7-0968-4735-BC8C-E547996439F4}"/>
    <cellStyle name="Примечание 1 3 3 3 4" xfId="38259" xr:uid="{AB2611F7-8F14-463F-9E54-F98BC5683BE8}"/>
    <cellStyle name="Примечание 1 3 3 4" xfId="16026" xr:uid="{3163913F-1D71-47D0-993E-764B37231D67}"/>
    <cellStyle name="Примечание 1 3 3 4 2" xfId="32092" xr:uid="{ECFEF1A5-CFD1-4E4A-82EE-DE3CF7F7D7A3}"/>
    <cellStyle name="Примечание 1 3 3 4 3" xfId="45611" xr:uid="{ECF30092-3461-430E-8C25-7E30C57486F1}"/>
    <cellStyle name="Примечание 1 3 3 5" xfId="21924" xr:uid="{F853ECD7-0CDB-4960-AE28-66068741E158}"/>
    <cellStyle name="Примечание 1 3 3 6" xfId="34973" xr:uid="{5C6303A6-B221-448F-8E16-D59D513E4ADA}"/>
    <cellStyle name="Примечание 1 3 4" xfId="2571" xr:uid="{7432592C-865E-460F-B6F9-AE3217DB95C3}"/>
    <cellStyle name="Примечание 1 3 4 2" xfId="7868" xr:uid="{882310FB-880C-4F8E-A074-DEA7AF2A389C}"/>
    <cellStyle name="Примечание 1 3 4 2 2" xfId="14753" xr:uid="{F3E52253-E0B3-4822-9BE6-2323734B5BE1}"/>
    <cellStyle name="Примечание 1 3 4 2 2 2" xfId="31028" xr:uid="{778A9911-F342-4BBA-ABC0-54CA799C134C}"/>
    <cellStyle name="Примечание 1 3 4 2 2 3" xfId="44457" xr:uid="{3997BD9A-F092-42EA-B030-CE2933B9F17D}"/>
    <cellStyle name="Примечание 1 3 4 2 3" xfId="25387" xr:uid="{3B49F2BC-5D5C-48A9-B232-7DAA280B9019}"/>
    <cellStyle name="Примечание 1 3 4 2 4" xfId="38463" xr:uid="{C1C33B7B-49C8-4716-988B-829A0E2003CA}"/>
    <cellStyle name="Примечание 1 3 4 3" xfId="6235" xr:uid="{D3305EEA-6EA4-43F3-AE46-EA50D7938F5B}"/>
    <cellStyle name="Примечание 1 3 4 3 2" xfId="11325" xr:uid="{74434555-EDAE-4D25-962D-2B91A09E8D89}"/>
    <cellStyle name="Примечание 1 3 4 3 2 2" xfId="28104" xr:uid="{BE27AF38-68C2-4EE1-8393-CB09F123FD1B}"/>
    <cellStyle name="Примечание 1 3 4 3 2 3" xfId="41292" xr:uid="{EF7EDA09-7D4A-4433-A13D-8DD4BC233ED5}"/>
    <cellStyle name="Примечание 1 3 4 3 3" xfId="23878" xr:uid="{7F445326-F884-495D-9719-100D6F0F4EB7}"/>
    <cellStyle name="Примечание 1 3 4 3 4" xfId="36959" xr:uid="{8BB747B1-F41A-4DE8-B8F3-3B14A8BB4FE3}"/>
    <cellStyle name="Примечание 1 3 4 4" xfId="15572" xr:uid="{CDA0F94D-2088-4696-AF68-1547FCE5CC27}"/>
    <cellStyle name="Примечание 1 3 4 4 2" xfId="31701" xr:uid="{DC9AD380-287A-448F-A17B-EC51F5327C35}"/>
    <cellStyle name="Примечание 1 3 4 4 3" xfId="45203" xr:uid="{0FC95FDA-96FC-4F41-8A84-DDC4983A3617}"/>
    <cellStyle name="Примечание 1 3 4 5" xfId="20630" xr:uid="{EC5D9BD0-534A-4530-9F9B-787EC6254F9D}"/>
    <cellStyle name="Примечание 1 3 4 6" xfId="33653" xr:uid="{0027D78F-50CD-46AC-B2A6-50483B3057AC}"/>
    <cellStyle name="Примечание 1 3 5" xfId="4251" xr:uid="{52460A90-E141-4139-A700-F41BB36A8564}"/>
    <cellStyle name="Примечание 1 3 5 2" xfId="9303" xr:uid="{41424B7C-BCFA-4639-BBDA-9BDE0E88FBA9}"/>
    <cellStyle name="Примечание 1 3 5 2 2" xfId="12722" xr:uid="{7AC9AD00-5966-4E98-BBED-B85F7C60DC6F}"/>
    <cellStyle name="Примечание 1 3 5 2 2 2" xfId="29305" xr:uid="{1F496856-5017-4E1A-9EC2-389CC14C99C8}"/>
    <cellStyle name="Примечание 1 3 5 2 2 3" xfId="42582" xr:uid="{C37C5956-3B51-4830-85CA-2CA1B1987538}"/>
    <cellStyle name="Примечание 1 3 5 2 3" xfId="26776" xr:uid="{65901AC2-529C-405F-B44C-CA185B2AD731}"/>
    <cellStyle name="Примечание 1 3 5 2 4" xfId="39852" xr:uid="{0CCBFB46-A147-4C8B-A821-8EF705ECC88D}"/>
    <cellStyle name="Примечание 1 3 5 3" xfId="7815" xr:uid="{8593FA33-D63B-46F3-9C67-216E6C6977AB}"/>
    <cellStyle name="Примечание 1 3 5 3 2" xfId="15594" xr:uid="{76137F46-CC4F-4D10-A836-74C12693E24C}"/>
    <cellStyle name="Примечание 1 3 5 3 2 2" xfId="31720" xr:uid="{C2CA87D1-1FF8-450B-9506-6831B509EA76}"/>
    <cellStyle name="Примечание 1 3 5 3 2 3" xfId="45222" xr:uid="{27F07E5C-32EA-4A9B-AE65-2B3C6ADB5BEA}"/>
    <cellStyle name="Примечание 1 3 5 3 3" xfId="25335" xr:uid="{7D224E4E-5EDF-4433-AB76-2588E6E148FE}"/>
    <cellStyle name="Примечание 1 3 5 3 4" xfId="38411" xr:uid="{AE0BBC58-3CC6-43F7-8A4C-017441313D32}"/>
    <cellStyle name="Примечание 1 3 5 4" xfId="11326" xr:uid="{1E7A7B03-87AC-487D-BF54-BA890B6D80E3}"/>
    <cellStyle name="Примечание 1 3 5 4 2" xfId="28105" xr:uid="{A24AD632-5384-496A-92BC-939C375CE3EE}"/>
    <cellStyle name="Примечание 1 3 5 4 3" xfId="41293" xr:uid="{14A5A934-AC45-444B-8388-40D61F36C715}"/>
    <cellStyle name="Примечание 1 3 5 5" xfId="22076" xr:uid="{643F3F12-9CF1-46D5-B02B-064825D9F3C5}"/>
    <cellStyle name="Примечание 1 3 5 6" xfId="35125" xr:uid="{B9D86225-E51E-42B2-ABAD-599D9D1741AF}"/>
    <cellStyle name="Примечание 1 3 6" xfId="4340" xr:uid="{13FBCAED-82A6-4B3C-A32F-486727278C0B}"/>
    <cellStyle name="Примечание 1 3 6 2" xfId="6959" xr:uid="{57C76D20-4F3A-49AD-9A3F-3AC87C580D27}"/>
    <cellStyle name="Примечание 1 3 6 2 2" xfId="14003" xr:uid="{3808BE80-C49F-418F-90C6-E8287C9CB741}"/>
    <cellStyle name="Примечание 1 3 6 2 2 2" xfId="30386" xr:uid="{81C6DFFF-8F16-471B-A319-10E960CB2B0A}"/>
    <cellStyle name="Примечание 1 3 6 2 2 3" xfId="43765" xr:uid="{AD86FB29-039A-4DB5-B11D-DD38FD9F5853}"/>
    <cellStyle name="Примечание 1 3 6 2 3" xfId="24581" xr:uid="{53719D4E-2C32-4496-A251-8E1CB247DBBC}"/>
    <cellStyle name="Примечание 1 3 6 2 4" xfId="37662" xr:uid="{FC3B0EC8-8587-4ECD-9C13-3735366DC848}"/>
    <cellStyle name="Примечание 1 3 6 3" xfId="12749" xr:uid="{C42C48F3-5F30-4FC2-8E74-71AF6261C956}"/>
    <cellStyle name="Примечание 1 3 6 3 2" xfId="29327" xr:uid="{1E6BC3F7-50ED-4889-8744-B97D3C3D6F42}"/>
    <cellStyle name="Примечание 1 3 6 3 3" xfId="42606" xr:uid="{9FC0AFEF-31EA-4B24-9664-B06C24B5526A}"/>
    <cellStyle name="Примечание 1 3 6 4" xfId="22160" xr:uid="{3E88EA28-0B6E-42C0-839F-C62420FC22D2}"/>
    <cellStyle name="Примечание 1 3 6 5" xfId="35209" xr:uid="{F53120A3-CF11-4CE9-AACF-92BEBA30DC69}"/>
    <cellStyle name="Примечание 1 3 7" xfId="5395" xr:uid="{CBAB2516-3E7E-42D0-99A7-EAA68ABD57A2}"/>
    <cellStyle name="Примечание 1 3 7 2" xfId="8572" xr:uid="{BF27E858-280F-412A-A992-E4239B2C73D6}"/>
    <cellStyle name="Примечание 1 3 7 2 2" xfId="17425" xr:uid="{4190A1FD-CFB2-456F-AB75-F6ECBBBC2E7B}"/>
    <cellStyle name="Примечание 1 3 7 2 2 2" xfId="33179" xr:uid="{4C050B51-92B0-49F7-B780-AEC73CC0F660}"/>
    <cellStyle name="Примечание 1 3 7 2 2 3" xfId="46955" xr:uid="{6656B607-8B04-405A-961A-E3B2CB5DC9FB}"/>
    <cellStyle name="Примечание 1 3 7 2 3" xfId="26070" xr:uid="{EF325844-C9D1-4181-AA72-E657D1F388EA}"/>
    <cellStyle name="Примечание 1 3 7 2 4" xfId="39146" xr:uid="{E4B58681-1461-4E63-AA42-7D9E5C11631A}"/>
    <cellStyle name="Примечание 1 3 7 3" xfId="15951" xr:uid="{CAE17EDD-C470-44DD-8E6B-CB0C8904A11D}"/>
    <cellStyle name="Примечание 1 3 7 3 2" xfId="32028" xr:uid="{395FF30E-E649-4D72-9AAB-57106D273C3D}"/>
    <cellStyle name="Примечание 1 3 7 3 3" xfId="45546" xr:uid="{7FF8413F-C446-4D68-A66D-3CE78D3F777D}"/>
    <cellStyle name="Примечание 1 3 7 4" xfId="23042" xr:uid="{2D411EDD-B16A-43A2-9A0B-F893345E6F0E}"/>
    <cellStyle name="Примечание 1 3 7 5" xfId="36123" xr:uid="{0C6B36B1-92C3-4455-A556-F21F9327C1D4}"/>
    <cellStyle name="Примечание 1 3 8" xfId="11702" xr:uid="{08F76B59-7E19-4265-B4D2-E4427AA845DD}"/>
    <cellStyle name="Примечание 1 3 8 2" xfId="28434" xr:uid="{3C101E6A-05B5-4428-8EC9-E05186693176}"/>
    <cellStyle name="Примечание 1 3 8 3" xfId="41644" xr:uid="{C608A21A-A2B8-49DD-9914-ED0946A6D0B0}"/>
    <cellStyle name="Примечание 1 3 9" xfId="21333" xr:uid="{A96E340D-8CC8-464A-8B05-08A6BBCF321B}"/>
    <cellStyle name="Примечание 1 30" xfId="13022" xr:uid="{8E085A47-61C2-40F2-9171-6386E46B533C}"/>
    <cellStyle name="Примечание 1 30 2" xfId="29554" xr:uid="{026DE229-3DD4-4764-9738-413A218D1850}"/>
    <cellStyle name="Примечание 1 30 3" xfId="42856" xr:uid="{E5B691C1-971E-48EF-B7F1-6BB0A0AD7B55}"/>
    <cellStyle name="Примечание 1 31" xfId="12341" xr:uid="{58327956-4C27-4092-860F-9134FA635773}"/>
    <cellStyle name="Примечание 1 31 2" xfId="29009" xr:uid="{3AA111B9-038D-4ADE-AB96-D012867B004A}"/>
    <cellStyle name="Примечание 1 31 3" xfId="42249" xr:uid="{A8B2DCB9-84BC-41CD-8982-FDD02B841070}"/>
    <cellStyle name="Примечание 1 32" xfId="17673" xr:uid="{C9E3933F-EE25-4CCF-9A93-1C0FBF074B0B}"/>
    <cellStyle name="Примечание 1 32 2" xfId="33396" xr:uid="{9B9D6654-B25B-4251-B59F-085D43614643}"/>
    <cellStyle name="Примечание 1 32 3" xfId="47185" xr:uid="{D5AF0EE5-13F9-40AD-8CA4-450B444FE55B}"/>
    <cellStyle name="Примечание 1 33" xfId="33575" xr:uid="{DA12E3C9-D8C7-4597-8918-8339305BF95C}"/>
    <cellStyle name="Примечание 1 4" xfId="3513" xr:uid="{0F5963EB-CC2E-494C-865C-5A77B2EE8C68}"/>
    <cellStyle name="Примечание 1 4 10" xfId="34528" xr:uid="{29AD9EA1-804F-4EDF-9027-3EF7D9CB3E0D}"/>
    <cellStyle name="Примечание 1 4 2" xfId="2854" xr:uid="{55A5B946-0631-4008-8C6C-1237D0E86E28}"/>
    <cellStyle name="Примечание 1 4 2 2" xfId="8150" xr:uid="{01234BDC-3E51-4690-A1B6-0770E0376B7F}"/>
    <cellStyle name="Примечание 1 4 2 2 2" xfId="17379" xr:uid="{D0E97BA1-20B6-4102-A0AA-79FADA509600}"/>
    <cellStyle name="Примечание 1 4 2 2 2 2" xfId="33133" xr:uid="{4343B5D4-80A3-4D16-9A3D-3D6805A146EF}"/>
    <cellStyle name="Примечание 1 4 2 2 2 3" xfId="46909" xr:uid="{A29EBF70-8491-4B74-9A13-4A250E91923B}"/>
    <cellStyle name="Примечание 1 4 2 2 3" xfId="25661" xr:uid="{BA660B40-5952-4662-9BB8-B437A26A7EA5}"/>
    <cellStyle name="Примечание 1 4 2 2 4" xfId="38737" xr:uid="{C5F14F3A-980F-4B93-9B42-205CF383A550}"/>
    <cellStyle name="Примечание 1 4 2 3" xfId="6517" xr:uid="{CCB8E9D8-3207-4441-82C3-B82D4564FEEC}"/>
    <cellStyle name="Примечание 1 4 2 3 2" xfId="13977" xr:uid="{99D425B5-CFD0-40D1-B19D-602A3E907EAC}"/>
    <cellStyle name="Примечание 1 4 2 3 2 2" xfId="30364" xr:uid="{03FDFC85-D2C7-41E2-B2E4-FF86F655888B}"/>
    <cellStyle name="Примечание 1 4 2 3 2 3" xfId="43741" xr:uid="{5ADB3B76-FA04-4259-93A2-0F05E428B096}"/>
    <cellStyle name="Примечание 1 4 2 3 3" xfId="24152" xr:uid="{79BD862E-709F-4A50-B39E-39ED1E8A225E}"/>
    <cellStyle name="Примечание 1 4 2 3 4" xfId="37233" xr:uid="{641A791C-19BF-4A65-B2F1-F6FEEA64C186}"/>
    <cellStyle name="Примечание 1 4 2 4" xfId="12178" xr:uid="{A00DBD79-4D44-49CF-B126-1F38AB6845AF}"/>
    <cellStyle name="Примечание 1 4 2 4 2" xfId="28873" xr:uid="{B3D3F551-46B4-452F-9BAD-036A4F2449CF}"/>
    <cellStyle name="Примечание 1 4 2 4 3" xfId="42098" xr:uid="{151A40C3-E947-4985-B1F5-49DD6026B967}"/>
    <cellStyle name="Примечание 1 4 2 5" xfId="20904" xr:uid="{F986C727-01F3-4C70-A9A9-E202E1AFDDFF}"/>
    <cellStyle name="Примечание 1 4 2 6" xfId="33927" xr:uid="{03D6FAE0-23D2-4706-9430-88E564F385D5}"/>
    <cellStyle name="Примечание 1 4 3" xfId="4191" xr:uid="{EE18BFBD-288D-4601-B465-A6E242AB74F1}"/>
    <cellStyle name="Примечание 1 4 3 2" xfId="9243" xr:uid="{BCC4B951-29EA-4C9F-AEE6-BB59DAE5B043}"/>
    <cellStyle name="Примечание 1 4 3 2 2" xfId="14022" xr:uid="{364C06FF-1DFC-4C8F-AB65-73F0CBBB687B}"/>
    <cellStyle name="Примечание 1 4 3 2 2 2" xfId="30401" xr:uid="{4269A73C-FB1C-4DCB-A311-508BB02244AD}"/>
    <cellStyle name="Примечание 1 4 3 2 2 3" xfId="43781" xr:uid="{6E31CD14-2CE9-499F-9007-6CCF76B98658}"/>
    <cellStyle name="Примечание 1 4 3 2 3" xfId="26718" xr:uid="{A786E5D1-0036-421D-8F4A-7F620913413A}"/>
    <cellStyle name="Примечание 1 4 3 2 4" xfId="39794" xr:uid="{D3D74AD0-4C79-4ECE-80C0-A4DD15BE5617}"/>
    <cellStyle name="Примечание 1 4 3 3" xfId="7755" xr:uid="{E41B7D88-2FE1-4C22-A03B-85131FA59D27}"/>
    <cellStyle name="Примечание 1 4 3 3 2" xfId="16587" xr:uid="{A8B43B2E-043C-4139-8AA7-D9AD8FABAAEF}"/>
    <cellStyle name="Примечание 1 4 3 3 2 2" xfId="32509" xr:uid="{6F28BD90-CAD6-435B-BD8B-AEA18787DCA6}"/>
    <cellStyle name="Примечание 1 4 3 3 2 3" xfId="46134" xr:uid="{8BF16B06-6298-4ABD-9B40-91576252EBBB}"/>
    <cellStyle name="Примечание 1 4 3 3 3" xfId="25277" xr:uid="{29ED39AE-5424-41BF-BFD1-4280BA789B6B}"/>
    <cellStyle name="Примечание 1 4 3 3 4" xfId="38353" xr:uid="{3E8583BD-A0AA-4BC3-B08A-0E3BF2E0BAA5}"/>
    <cellStyle name="Примечание 1 4 3 4" xfId="13605" xr:uid="{52F00DEF-58D3-4B10-A35A-83058940EE50}"/>
    <cellStyle name="Примечание 1 4 3 4 2" xfId="30044" xr:uid="{24B7209C-E08F-4E21-8F2F-0744D08A1A50}"/>
    <cellStyle name="Примечание 1 4 3 4 3" xfId="43396" xr:uid="{1DB1B9A6-3EDF-41AF-911A-DE5767D23625}"/>
    <cellStyle name="Примечание 1 4 3 5" xfId="22018" xr:uid="{564F4F7E-FB25-4D58-B3F4-255EED4F4367}"/>
    <cellStyle name="Примечание 1 4 3 6" xfId="35067" xr:uid="{5E455E0F-3EDB-4797-8F87-0EF24DF769E1}"/>
    <cellStyle name="Примечание 1 4 4" xfId="2950" xr:uid="{E0F1DEF7-0476-4EC9-BD4D-0D357785CD91}"/>
    <cellStyle name="Примечание 1 4 4 2" xfId="8246" xr:uid="{3993616A-C474-420A-B512-37B68E55F196}"/>
    <cellStyle name="Примечание 1 4 4 2 2" xfId="16749" xr:uid="{A0C83D05-9140-4DE2-91AB-FB0895FC7D8F}"/>
    <cellStyle name="Примечание 1 4 4 2 2 2" xfId="32631" xr:uid="{73377793-2054-44B3-A6E0-AC242189A1F2}"/>
    <cellStyle name="Примечание 1 4 4 2 2 3" xfId="46292" xr:uid="{76129793-2D5E-406C-996C-9C83FE9B283E}"/>
    <cellStyle name="Примечание 1 4 4 2 3" xfId="25755" xr:uid="{54E7D3F1-12DC-4813-8491-7CC680E6344B}"/>
    <cellStyle name="Примечание 1 4 4 2 4" xfId="38831" xr:uid="{B95399CC-AA45-402C-9C00-09EFA21A1591}"/>
    <cellStyle name="Примечание 1 4 4 3" xfId="6613" xr:uid="{5BBFD524-8C34-4473-BF6D-FCB3717917BB}"/>
    <cellStyle name="Примечание 1 4 4 3 2" xfId="16625" xr:uid="{D3DD7C8B-E117-41F8-9A37-219E8C0BE5B7}"/>
    <cellStyle name="Примечание 1 4 4 3 2 2" xfId="32531" xr:uid="{7E0E6562-10FA-407E-A30D-B1F053A53E98}"/>
    <cellStyle name="Примечание 1 4 4 3 2 3" xfId="46172" xr:uid="{0792ED1F-091C-4FCD-A3F4-0CF2093384C5}"/>
    <cellStyle name="Примечание 1 4 4 3 3" xfId="24246" xr:uid="{EF5C5D83-81BB-4A57-8220-686116084A8A}"/>
    <cellStyle name="Примечание 1 4 4 3 4" xfId="37327" xr:uid="{29E97AF8-451E-4F51-955E-FD79BA0B797A}"/>
    <cellStyle name="Примечание 1 4 4 4" xfId="14621" xr:uid="{AF7B3F44-69E1-45F6-892B-564A8F92A063}"/>
    <cellStyle name="Примечание 1 4 4 4 2" xfId="30919" xr:uid="{AF922D58-DEB6-408A-91F7-A0F1B3DF9973}"/>
    <cellStyle name="Примечание 1 4 4 4 3" xfId="44340" xr:uid="{BD4A66E0-83A6-482B-B451-5C602D50294B}"/>
    <cellStyle name="Примечание 1 4 4 5" xfId="20998" xr:uid="{5EC58A82-FE68-47EA-AC38-C9A164A7EE0A}"/>
    <cellStyle name="Примечание 1 4 4 6" xfId="34021" xr:uid="{D5E4EC2F-487F-4447-BEAF-ABA1F464B07A}"/>
    <cellStyle name="Примечание 1 4 5" xfId="4102" xr:uid="{B21B83B0-55FB-4943-9CF2-60FDEF42D02F}"/>
    <cellStyle name="Примечание 1 4 5 2" xfId="9154" xr:uid="{5D2DA932-08CF-460D-84ED-E1B5F0CA23CE}"/>
    <cellStyle name="Примечание 1 4 5 2 2" xfId="13693" xr:uid="{CF1603ED-3FC3-489C-B685-34C266ED5131}"/>
    <cellStyle name="Примечание 1 4 5 2 2 2" xfId="30115" xr:uid="{AF9DB704-D251-4BAA-8AE0-871FDFE2BEF7}"/>
    <cellStyle name="Примечание 1 4 5 2 2 3" xfId="43474" xr:uid="{4505E093-E545-4431-A423-C4465CF8C14E}"/>
    <cellStyle name="Примечание 1 4 5 2 3" xfId="26635" xr:uid="{A5629DBD-7E38-40A8-AA14-C0EE2CF4EAD6}"/>
    <cellStyle name="Примечание 1 4 5 2 4" xfId="39711" xr:uid="{F8A2ADF6-89F8-4AA0-96D3-F10D8348004B}"/>
    <cellStyle name="Примечание 1 4 5 3" xfId="7666" xr:uid="{D21CD915-1929-49E9-A639-7FD0D4F3D61D}"/>
    <cellStyle name="Примечание 1 4 5 3 2" xfId="15871" xr:uid="{AECFF900-6DA6-47EC-B3AA-8CD51ABA057F}"/>
    <cellStyle name="Примечание 1 4 5 3 2 2" xfId="31960" xr:uid="{8B3C3DA4-6F74-497B-9C76-8CA587F25A75}"/>
    <cellStyle name="Примечание 1 4 5 3 2 3" xfId="45474" xr:uid="{C5FFDD29-33CC-483F-B391-EFC2C88E0AE1}"/>
    <cellStyle name="Примечание 1 4 5 3 3" xfId="25194" xr:uid="{13CF686A-CDDF-45A5-9EB6-7C25E53EB077}"/>
    <cellStyle name="Примечание 1 4 5 3 4" xfId="38270" xr:uid="{00F09FCA-BF33-4ECD-898C-601E17FDCD9D}"/>
    <cellStyle name="Примечание 1 4 5 4" xfId="15538" xr:uid="{5EA14249-D865-413D-9471-3A199461DC60}"/>
    <cellStyle name="Примечание 1 4 5 4 2" xfId="31672" xr:uid="{DEFDBB5B-6CD0-4F94-82A3-E8D7AC4B59C1}"/>
    <cellStyle name="Примечание 1 4 5 4 3" xfId="45171" xr:uid="{D9583DC6-A3E7-4BCF-B144-8BD3AB71F4D0}"/>
    <cellStyle name="Примечание 1 4 5 5" xfId="21935" xr:uid="{4ADFAD9B-93EB-4B45-B27F-E871CFC5FB6A}"/>
    <cellStyle name="Примечание 1 4 5 6" xfId="34984" xr:uid="{1BECEBA3-536F-435F-8E96-FA34724B580A}"/>
    <cellStyle name="Примечание 1 4 6" xfId="4514" xr:uid="{B0087515-DDD7-4334-8D7B-70C4560A5A44}"/>
    <cellStyle name="Примечание 1 4 6 2" xfId="7155" xr:uid="{1E605A14-C7C8-4DF7-A281-330B173D244A}"/>
    <cellStyle name="Примечание 1 4 6 2 2" xfId="14360" xr:uid="{0CB2A449-5214-48B7-8800-13E635602B8B}"/>
    <cellStyle name="Примечание 1 4 6 2 2 2" xfId="30693" xr:uid="{BD9C3341-7787-4AFE-A16A-533F6273EB67}"/>
    <cellStyle name="Примечание 1 4 6 2 2 3" xfId="44090" xr:uid="{58E23311-9F80-4B04-B377-AE8CE52E4197}"/>
    <cellStyle name="Примечание 1 4 6 2 3" xfId="24753" xr:uid="{AA61AA23-972C-4D2E-BF99-4DD5F08241CF}"/>
    <cellStyle name="Примечание 1 4 6 2 4" xfId="37834" xr:uid="{F6A0D867-16D6-4663-96CD-A54744BED650}"/>
    <cellStyle name="Примечание 1 4 6 3" xfId="17325" xr:uid="{DEA6BA69-6357-49C8-8CCB-5583B781E281}"/>
    <cellStyle name="Примечание 1 4 6 3 2" xfId="33079" xr:uid="{DEC24AC1-06C3-49DC-B335-CDE1CEFB3A4D}"/>
    <cellStyle name="Примечание 1 4 6 3 3" xfId="46855" xr:uid="{66E7D163-E4C1-4DB8-AC9C-C3350B2F63C8}"/>
    <cellStyle name="Примечание 1 4 6 4" xfId="22332" xr:uid="{4735BB39-26F7-4E0B-860F-90ECEE05BE9F}"/>
    <cellStyle name="Примечание 1 4 6 5" xfId="35381" xr:uid="{FF646EC1-CFE4-44FB-8FC0-FC986D57ACB0}"/>
    <cellStyle name="Примечание 1 4 7" xfId="5567" xr:uid="{7811DFFF-97BA-4143-831B-C03A054D02AD}"/>
    <cellStyle name="Примечание 1 4 7 2" xfId="8749" xr:uid="{628C3F91-50AF-4932-A178-9AE3AFA7E21E}"/>
    <cellStyle name="Примечание 1 4 7 2 2" xfId="16276" xr:uid="{E9CB9495-5805-46E7-A774-CE7F1C4F2263}"/>
    <cellStyle name="Примечание 1 4 7 2 2 2" xfId="32310" xr:uid="{3E6B9C06-688B-444A-98F2-0789F9BD7BEA}"/>
    <cellStyle name="Примечание 1 4 7 2 2 3" xfId="45839" xr:uid="{845EBDF3-9575-4DBC-8A92-2CB8F4303278}"/>
    <cellStyle name="Примечание 1 4 7 2 3" xfId="26242" xr:uid="{F7621691-EFCC-4E86-BF61-5CAE23BF3996}"/>
    <cellStyle name="Примечание 1 4 7 2 4" xfId="39318" xr:uid="{20D4932A-C33D-48DC-B615-17B57B2FC385}"/>
    <cellStyle name="Примечание 1 4 7 3" xfId="12146" xr:uid="{39549ABA-C2E4-44B4-8B92-CD2C4506CE82}"/>
    <cellStyle name="Примечание 1 4 7 3 2" xfId="28846" xr:uid="{C071BFC4-DDA2-4F66-B24F-C336BF4B8375}"/>
    <cellStyle name="Примечание 1 4 7 3 3" xfId="42066" xr:uid="{21C51793-A486-4AC1-8533-405F9AA85225}"/>
    <cellStyle name="Примечание 1 4 7 4" xfId="23214" xr:uid="{A431F5B4-DA95-4D99-8981-3980C91A30B8}"/>
    <cellStyle name="Примечание 1 4 7 5" xfId="36295" xr:uid="{1A2403AE-4EF8-4FEB-AF9D-DF8D5F41BA52}"/>
    <cellStyle name="Примечание 1 4 8" xfId="13428" xr:uid="{E99D70F0-0241-4B55-AA44-171FBA3E10CD}"/>
    <cellStyle name="Примечание 1 4 8 2" xfId="29894" xr:uid="{A7FE2457-8BE9-4694-90E7-D2299B53FEA3}"/>
    <cellStyle name="Примечание 1 4 8 3" xfId="43231" xr:uid="{74E10F5F-AB4E-4A98-9056-1C9B4CFA7074}"/>
    <cellStyle name="Примечание 1 4 9" xfId="21476" xr:uid="{A3F66579-0A56-48CB-88A1-5DE0F874CC92}"/>
    <cellStyle name="Примечание 1 5" xfId="3494" xr:uid="{CC63BA43-550A-4BBC-9365-6B8F2D627E88}"/>
    <cellStyle name="Примечание 1 5 2" xfId="2836" xr:uid="{82A5457F-891C-4E62-B1EF-764096EE54C4}"/>
    <cellStyle name="Примечание 1 5 2 2" xfId="8132" xr:uid="{9CC28C14-A258-4E92-BA60-A0C83428E320}"/>
    <cellStyle name="Примечание 1 5 2 2 2" xfId="15895" xr:uid="{E65B194B-63B0-46C8-8F45-8AC3EA6822D5}"/>
    <cellStyle name="Примечание 1 5 2 2 2 2" xfId="31978" xr:uid="{CEC418A6-1BC9-4AB4-B671-39526D11232F}"/>
    <cellStyle name="Примечание 1 5 2 2 2 3" xfId="45494" xr:uid="{78E55F20-023B-49BC-86EC-859C325CE681}"/>
    <cellStyle name="Примечание 1 5 2 2 3" xfId="25643" xr:uid="{3C804567-777B-41B9-BFA2-557CB7DDCC65}"/>
    <cellStyle name="Примечание 1 5 2 2 4" xfId="38719" xr:uid="{DC23732D-22E0-47B2-ACC6-55C86D8EAAF7}"/>
    <cellStyle name="Примечание 1 5 2 3" xfId="6499" xr:uid="{8175E0CA-F88F-4AC0-9715-9C0E95B51C90}"/>
    <cellStyle name="Примечание 1 5 2 3 2" xfId="11402" xr:uid="{26BC2563-93B6-4894-A018-09CE3E8B2E9D}"/>
    <cellStyle name="Примечание 1 5 2 3 2 2" xfId="28173" xr:uid="{6E359465-9560-4389-970B-68D154F794A3}"/>
    <cellStyle name="Примечание 1 5 2 3 2 3" xfId="41364" xr:uid="{7B693522-060A-4912-8C25-D728897B83B6}"/>
    <cellStyle name="Примечание 1 5 2 3 3" xfId="24134" xr:uid="{DCFBB214-1EBE-4A09-9FD9-2C10C909EDCA}"/>
    <cellStyle name="Примечание 1 5 2 3 4" xfId="37215" xr:uid="{69A96AF4-9DF7-476B-8350-71631CCEABC3}"/>
    <cellStyle name="Примечание 1 5 2 4" xfId="15798" xr:uid="{210096BC-79F0-4819-9A1F-52BE2284B656}"/>
    <cellStyle name="Примечание 1 5 2 4 2" xfId="31897" xr:uid="{212292C4-C573-4E5C-BFD4-C25E377DF07D}"/>
    <cellStyle name="Примечание 1 5 2 4 3" xfId="45409" xr:uid="{1DC03EAF-FBBD-4EC3-AFF9-B16D9F0AC260}"/>
    <cellStyle name="Примечание 1 5 2 5" xfId="20886" xr:uid="{C9DCA21E-F803-47F9-B53D-28F72136C292}"/>
    <cellStyle name="Примечание 1 5 2 6" xfId="33909" xr:uid="{7CE09421-C049-4F63-929E-719309086A05}"/>
    <cellStyle name="Примечание 1 5 3" xfId="4496" xr:uid="{D33B9D8D-1C82-413B-B5F7-6AC859F69251}"/>
    <cellStyle name="Примечание 1 5 3 2" xfId="7136" xr:uid="{7A4C02A0-43A1-42DD-AAA1-AC574BE6AF36}"/>
    <cellStyle name="Примечание 1 5 3 2 2" xfId="13974" xr:uid="{723AB2BB-DD89-4B57-B8E5-8DB30DB21944}"/>
    <cellStyle name="Примечание 1 5 3 2 2 2" xfId="30361" xr:uid="{3E8149DF-41C2-47D4-940F-AB9D4F790464}"/>
    <cellStyle name="Примечание 1 5 3 2 2 3" xfId="43738" xr:uid="{AD536178-00E4-4FDA-BAAA-DE93D994479D}"/>
    <cellStyle name="Примечание 1 5 3 2 3" xfId="24735" xr:uid="{EA872C2F-2110-4F7C-8F7B-3438F9426B27}"/>
    <cellStyle name="Примечание 1 5 3 2 4" xfId="37816" xr:uid="{B0D0D022-D679-4B5A-958A-75FAE8824721}"/>
    <cellStyle name="Примечание 1 5 3 3" xfId="12337" xr:uid="{CFEC6DC1-22C7-45A1-A1D6-058F27C92A25}"/>
    <cellStyle name="Примечание 1 5 3 3 2" xfId="29005" xr:uid="{252FF60B-D606-4BB8-8E6E-D05FA8004540}"/>
    <cellStyle name="Примечание 1 5 3 3 3" xfId="42245" xr:uid="{E6230A07-3DB0-40EE-B727-B31B9BB02D3F}"/>
    <cellStyle name="Примечание 1 5 3 4" xfId="22314" xr:uid="{4231A04B-2247-407A-9F9C-5C18A2B1189A}"/>
    <cellStyle name="Примечание 1 5 3 5" xfId="35363" xr:uid="{D8567B9B-C257-4D20-A4A0-7C4291E7A232}"/>
    <cellStyle name="Примечание 1 5 4" xfId="5549" xr:uid="{597545C1-D3ED-4BD9-A1AA-9B68EEA0A6E0}"/>
    <cellStyle name="Примечание 1 5 4 2" xfId="8731" xr:uid="{11DE0896-F55E-4F3A-B8E3-89149BFB6DEF}"/>
    <cellStyle name="Примечание 1 5 4 2 2" xfId="15545" xr:uid="{988252CC-148D-4E50-A92F-A5D55CF7354D}"/>
    <cellStyle name="Примечание 1 5 4 2 2 2" xfId="31679" xr:uid="{15B8E9B6-47F1-4D3A-8EE2-FD52A60022D2}"/>
    <cellStyle name="Примечание 1 5 4 2 2 3" xfId="45178" xr:uid="{892E4E86-B660-4F61-A72D-CDC6725C08AE}"/>
    <cellStyle name="Примечание 1 5 4 2 3" xfId="26224" xr:uid="{9BE699E0-3598-44C3-8045-D8E76E3C9BED}"/>
    <cellStyle name="Примечание 1 5 4 2 4" xfId="39300" xr:uid="{12C103DB-CAA3-44A8-A1BB-CE57455124E3}"/>
    <cellStyle name="Примечание 1 5 4 3" xfId="11434" xr:uid="{D8162D07-6722-4F20-9AF0-ACBCB8700C9C}"/>
    <cellStyle name="Примечание 1 5 4 3 2" xfId="28200" xr:uid="{22342EBB-9DBF-446F-B6EE-F2858924ACE9}"/>
    <cellStyle name="Примечание 1 5 4 3 3" xfId="41393" xr:uid="{A9A927CC-AD9F-438D-83DF-1C98CC8AA912}"/>
    <cellStyle name="Примечание 1 5 4 4" xfId="23196" xr:uid="{0DB3ABB8-C0A5-4A0A-8E5C-5739EEA87AF3}"/>
    <cellStyle name="Примечание 1 5 4 5" xfId="36277" xr:uid="{DE63FEC6-2BAF-4CD7-AA3D-00DD265EC1FB}"/>
    <cellStyle name="Примечание 1 5 5" xfId="12475" xr:uid="{BAF7CE9F-E23E-4218-8616-791468E995B8}"/>
    <cellStyle name="Примечание 1 5 5 2" xfId="29114" xr:uid="{555E8042-6E0E-4A9B-B1E3-54DF48E57EF4}"/>
    <cellStyle name="Примечание 1 5 5 3" xfId="42367" xr:uid="{13AA4CF9-F5DC-4549-A8E5-672AECE62D9D}"/>
    <cellStyle name="Примечание 1 5 6" xfId="21462" xr:uid="{EE9B4CFE-8DE6-427B-9B4A-802E377F4F04}"/>
    <cellStyle name="Примечание 1 5 7" xfId="34510" xr:uid="{F2AC26BF-FAEB-4D97-B9CB-AB3A0D64358D}"/>
    <cellStyle name="Примечание 1 6" xfId="3528" xr:uid="{BA1126EA-6F4C-4479-AF3E-BC5A9A6579BC}"/>
    <cellStyle name="Примечание 1 6 2" xfId="2869" xr:uid="{AF288190-8644-41BF-BD76-27DA1CE4BAAA}"/>
    <cellStyle name="Примечание 1 6 2 2" xfId="8165" xr:uid="{18937A77-F7C1-48C3-9A6F-303659329851}"/>
    <cellStyle name="Примечание 1 6 2 2 2" xfId="17382" xr:uid="{52A60079-C6AB-479F-B8F9-66CA086BDC73}"/>
    <cellStyle name="Примечание 1 6 2 2 2 2" xfId="33136" xr:uid="{4F76F035-46F6-49C8-A524-E3C008F3B0B6}"/>
    <cellStyle name="Примечание 1 6 2 2 2 3" xfId="46912" xr:uid="{AE2610BB-9720-4DEB-983A-A0AF75420726}"/>
    <cellStyle name="Примечание 1 6 2 2 3" xfId="25676" xr:uid="{D5CD2518-7A78-4D15-9DEA-6B29BCC2E514}"/>
    <cellStyle name="Примечание 1 6 2 2 4" xfId="38752" xr:uid="{70EF7646-14FA-4551-A0CE-C1B794E6163E}"/>
    <cellStyle name="Примечание 1 6 2 3" xfId="6532" xr:uid="{261C6D10-F755-4EB2-8618-935BF5DFECE2}"/>
    <cellStyle name="Примечание 1 6 2 3 2" xfId="13235" xr:uid="{5BCF7EB7-632F-4666-B3F1-930A416E27CE}"/>
    <cellStyle name="Примечание 1 6 2 3 2 2" xfId="29732" xr:uid="{E9F6F5D1-D3A6-407A-B049-36FBC013AE6B}"/>
    <cellStyle name="Примечание 1 6 2 3 2 3" xfId="43054" xr:uid="{C254D3BE-8028-4720-914B-49448839CA0D}"/>
    <cellStyle name="Примечание 1 6 2 3 3" xfId="24167" xr:uid="{37663422-F257-49A5-B5AB-B8DC61B92D64}"/>
    <cellStyle name="Примечание 1 6 2 3 4" xfId="37248" xr:uid="{CFE03C2A-68FF-48A8-B5EF-8A94F5346794}"/>
    <cellStyle name="Примечание 1 6 2 4" xfId="15403" xr:uid="{30F7815F-3BF4-453D-BBC0-6595125131CB}"/>
    <cellStyle name="Примечание 1 6 2 4 2" xfId="31557" xr:uid="{FDCA2DAD-AC79-475C-AADD-202AD5043DC4}"/>
    <cellStyle name="Примечание 1 6 2 4 3" xfId="45045" xr:uid="{0B4A1F82-3D51-4461-AC40-55DDE14D0475}"/>
    <cellStyle name="Примечание 1 6 2 5" xfId="20919" xr:uid="{051EEF8D-F7AB-49C3-937E-E343FD144AA2}"/>
    <cellStyle name="Примечание 1 6 2 6" xfId="33942" xr:uid="{B06A6A1B-B613-41DC-9F57-8B7D71FBB38A}"/>
    <cellStyle name="Примечание 1 6 3" xfId="4528" xr:uid="{B5966897-207E-4612-87F9-FF89D774C39C}"/>
    <cellStyle name="Примечание 1 6 3 2" xfId="7170" xr:uid="{BE5ED569-5514-4069-AD73-56A4D4ED173F}"/>
    <cellStyle name="Примечание 1 6 3 2 2" xfId="13317" xr:uid="{D30CBBF9-AB6D-4061-BE3B-EE7481513688}"/>
    <cellStyle name="Примечание 1 6 3 2 2 2" xfId="29802" xr:uid="{60238B3B-D3C1-49F6-BFBF-6756AFFFF03A}"/>
    <cellStyle name="Примечание 1 6 3 2 2 3" xfId="43132" xr:uid="{34EA7A09-C2F8-4E50-B90B-9E356EADA500}"/>
    <cellStyle name="Примечание 1 6 3 2 3" xfId="24767" xr:uid="{0C9ECDDC-6D2D-437D-B18B-58C4A06542F8}"/>
    <cellStyle name="Примечание 1 6 3 2 4" xfId="37848" xr:uid="{396B27DF-6913-4D6A-8FBF-077F636BFED0}"/>
    <cellStyle name="Примечание 1 6 3 3" xfId="17328" xr:uid="{9AFD226C-0C7F-4451-95F8-CFCCD23CD062}"/>
    <cellStyle name="Примечание 1 6 3 3 2" xfId="33082" xr:uid="{D9E31F3E-9BDB-4EF5-8A3D-82BF0A8C30AE}"/>
    <cellStyle name="Примечание 1 6 3 3 3" xfId="46858" xr:uid="{1861590B-C9F4-4217-B07B-7BFD17B7C12D}"/>
    <cellStyle name="Примечание 1 6 3 4" xfId="22346" xr:uid="{F61A140F-5957-49BF-98D3-663CFE325A1B}"/>
    <cellStyle name="Примечание 1 6 3 5" xfId="35395" xr:uid="{2A854937-52FB-4AC6-A02F-4B8C355EA8AC}"/>
    <cellStyle name="Примечание 1 6 4" xfId="5581" xr:uid="{12DD115D-8EB6-4F75-AFBD-626FEA25A84D}"/>
    <cellStyle name="Примечание 1 6 4 2" xfId="8763" xr:uid="{09AA8B8A-588E-440E-A5D8-FB2BE064A1E8}"/>
    <cellStyle name="Примечание 1 6 4 2 2" xfId="11653" xr:uid="{9434EC3F-37D9-419B-A2D7-FC0E7A8A3D80}"/>
    <cellStyle name="Примечание 1 6 4 2 2 2" xfId="28394" xr:uid="{B10715F6-A5A7-4FF6-B612-3687B9ECC714}"/>
    <cellStyle name="Примечание 1 6 4 2 2 3" xfId="41598" xr:uid="{258734DB-2BF5-4B0C-BF7B-E537A5146F5F}"/>
    <cellStyle name="Примечание 1 6 4 2 3" xfId="26256" xr:uid="{4DA65576-DE30-4A70-8154-9289B684E8F1}"/>
    <cellStyle name="Примечание 1 6 4 2 4" xfId="39332" xr:uid="{94F43FEA-3694-4B8C-A776-2F3E0BA168F4}"/>
    <cellStyle name="Примечание 1 6 4 3" xfId="14963" xr:uid="{B268C79B-C2B9-4FED-A82C-62FC1E700B4C}"/>
    <cellStyle name="Примечание 1 6 4 3 2" xfId="31201" xr:uid="{0DE9F010-DD56-4E3F-91A0-E0F2FCFC2116}"/>
    <cellStyle name="Примечание 1 6 4 3 3" xfId="44648" xr:uid="{B6646A21-E046-438C-848C-393C89E6E2A1}"/>
    <cellStyle name="Примечание 1 6 4 4" xfId="23228" xr:uid="{4E409C65-C0F6-4EF6-B2C6-947C43F40FA2}"/>
    <cellStyle name="Примечание 1 6 4 5" xfId="36309" xr:uid="{9CA60174-2D92-4D7D-8314-141E00E552DD}"/>
    <cellStyle name="Примечание 1 6 5" xfId="15252" xr:uid="{A6EDDABA-7F96-4C77-A89A-9B41C13162C6}"/>
    <cellStyle name="Примечание 1 6 5 2" xfId="31427" xr:uid="{217B4930-5DEA-432B-ADE7-E97AC891E42C}"/>
    <cellStyle name="Примечание 1 6 5 3" xfId="44903" xr:uid="{BFCE1733-B0C7-4C51-9B87-2BD5868D1364}"/>
    <cellStyle name="Примечание 1 6 6" xfId="21490" xr:uid="{49E92EF9-A6C8-4D18-9BBE-CC04FE949868}"/>
    <cellStyle name="Примечание 1 6 7" xfId="34542" xr:uid="{71F010D5-4959-4FF0-9741-B972FC794E9A}"/>
    <cellStyle name="Примечание 1 7" xfId="3509" xr:uid="{2F1097F0-7D18-486B-966F-444B6B954FE6}"/>
    <cellStyle name="Примечание 1 7 2" xfId="2850" xr:uid="{1617A32F-6976-466D-ABD1-7F0B613179A5}"/>
    <cellStyle name="Примечание 1 7 2 2" xfId="8146" xr:uid="{C83FD8C9-9926-42AF-8E4C-17C445403383}"/>
    <cellStyle name="Примечание 1 7 2 2 2" xfId="16947" xr:uid="{551C7DB7-D0BF-4B0D-A8D0-8766E7220E3B}"/>
    <cellStyle name="Примечание 1 7 2 2 2 2" xfId="32787" xr:uid="{CD6D6F02-A7EB-4CBA-9FEB-42811398D8CF}"/>
    <cellStyle name="Примечание 1 7 2 2 2 3" xfId="46489" xr:uid="{F84CE914-ED42-444F-93B1-F10B3AEE89D6}"/>
    <cellStyle name="Примечание 1 7 2 2 3" xfId="25657" xr:uid="{059AEC74-3B96-4F79-B734-AF6F20F8DB74}"/>
    <cellStyle name="Примечание 1 7 2 2 4" xfId="38733" xr:uid="{104F7EED-DAD9-468B-9DB8-1F203072BBD4}"/>
    <cellStyle name="Примечание 1 7 2 3" xfId="6513" xr:uid="{769C4F1E-557F-4FB8-83BA-0DD4687B53FF}"/>
    <cellStyle name="Примечание 1 7 2 3 2" xfId="16754" xr:uid="{D2A70560-7A48-4428-A58C-D364BF88787A}"/>
    <cellStyle name="Примечание 1 7 2 3 2 2" xfId="32636" xr:uid="{05B816B6-87FB-4018-9E8D-CB80033AA306}"/>
    <cellStyle name="Примечание 1 7 2 3 2 3" xfId="46297" xr:uid="{42800EAF-A3B0-4B51-AE5B-76EC81A454FF}"/>
    <cellStyle name="Примечание 1 7 2 3 3" xfId="24148" xr:uid="{B5319694-45F3-49E5-A430-A93C834F7863}"/>
    <cellStyle name="Примечание 1 7 2 3 4" xfId="37229" xr:uid="{276D9F81-8E11-45B3-959D-5FACC60FD039}"/>
    <cellStyle name="Примечание 1 7 2 4" xfId="12912" xr:uid="{D7C5DBE0-3AE8-4DC1-ADD7-95BC979C312D}"/>
    <cellStyle name="Примечание 1 7 2 4 2" xfId="29459" xr:uid="{2C3EA0AE-E4AF-4CD8-8809-A33524DF0C54}"/>
    <cellStyle name="Примечание 1 7 2 4 3" xfId="42753" xr:uid="{38CE7A6F-8EA3-497C-9939-630886E539CC}"/>
    <cellStyle name="Примечание 1 7 2 5" xfId="20900" xr:uid="{CE00B07A-B0C9-4EAC-A202-D87F4662B800}"/>
    <cellStyle name="Примечание 1 7 2 6" xfId="33923" xr:uid="{61A37249-B8DE-4E47-BAE9-C64985B7011B}"/>
    <cellStyle name="Примечание 1 7 3" xfId="4510" xr:uid="{AB95C28C-238A-4268-BE69-89A09A58DACE}"/>
    <cellStyle name="Примечание 1 7 3 2" xfId="7151" xr:uid="{F56FC309-BC25-4570-8190-F81FD442DEAC}"/>
    <cellStyle name="Примечание 1 7 3 2 2" xfId="12751" xr:uid="{95AF9948-2FCA-474B-89CE-598223DC8562}"/>
    <cellStyle name="Примечание 1 7 3 2 2 2" xfId="29328" xr:uid="{AC2FA004-0515-4DD7-8C8D-A714D0A8428F}"/>
    <cellStyle name="Примечание 1 7 3 2 2 3" xfId="42608" xr:uid="{E59C2955-E133-413F-A170-F2744A7725F9}"/>
    <cellStyle name="Примечание 1 7 3 2 3" xfId="24749" xr:uid="{C9F857AD-57FF-40D2-9D78-7766E376D143}"/>
    <cellStyle name="Примечание 1 7 3 2 4" xfId="37830" xr:uid="{3F1D52C0-A020-432D-B97F-7B88C78F547F}"/>
    <cellStyle name="Примечание 1 7 3 3" xfId="15069" xr:uid="{A74613B2-81C7-4898-90F5-E323191ED35D}"/>
    <cellStyle name="Примечание 1 7 3 3 2" xfId="31279" xr:uid="{09E1E804-E465-4635-BE46-9727FF391965}"/>
    <cellStyle name="Примечание 1 7 3 3 3" xfId="44736" xr:uid="{95714A0A-3042-4FA6-AA9E-F24B86BA3FA4}"/>
    <cellStyle name="Примечание 1 7 3 4" xfId="22328" xr:uid="{CB8BFFAE-C21D-4F52-8918-70D27E043E7A}"/>
    <cellStyle name="Примечание 1 7 3 5" xfId="35377" xr:uid="{532A7CF8-F7C1-4BAE-B705-431FBDD89A91}"/>
    <cellStyle name="Примечание 1 7 4" xfId="5563" xr:uid="{C70056B6-D041-4CF4-9F6C-7F9842C47697}"/>
    <cellStyle name="Примечание 1 7 4 2" xfId="8745" xr:uid="{57B8D9EB-2C6A-4F83-86DE-D67B9C1BEEED}"/>
    <cellStyle name="Примечание 1 7 4 2 2" xfId="12956" xr:uid="{AB011494-9CDC-454E-B14F-BD1AFF411A58}"/>
    <cellStyle name="Примечание 1 7 4 2 2 2" xfId="29494" xr:uid="{B83B5CB8-6452-4F7F-A235-085F6E5CB4B8}"/>
    <cellStyle name="Примечание 1 7 4 2 2 3" xfId="42793" xr:uid="{7031E594-E3A8-414F-83E9-B6B866DE2C01}"/>
    <cellStyle name="Примечание 1 7 4 2 3" xfId="26238" xr:uid="{BA2B6D93-7F22-415B-9BF6-61F2A6324E63}"/>
    <cellStyle name="Примечание 1 7 4 2 4" xfId="39314" xr:uid="{86636972-9C0D-4B6B-B4E9-1225C3BB154F}"/>
    <cellStyle name="Примечание 1 7 4 3" xfId="15878" xr:uid="{8C6700F3-2C05-43BE-8740-DEA56CD11338}"/>
    <cellStyle name="Примечание 1 7 4 3 2" xfId="31964" xr:uid="{5676D961-538F-4C63-8823-BDF201182EBD}"/>
    <cellStyle name="Примечание 1 7 4 3 3" xfId="45479" xr:uid="{51EC89F0-97FE-4BE8-8C18-DDE04967CB28}"/>
    <cellStyle name="Примечание 1 7 4 4" xfId="23210" xr:uid="{88E7D674-7946-4DDE-B614-9952A217FA0F}"/>
    <cellStyle name="Примечание 1 7 4 5" xfId="36291" xr:uid="{3DD30D46-6AA1-47B3-8F04-8DE278E6A5EC}"/>
    <cellStyle name="Примечание 1 7 5" xfId="13914" xr:uid="{B0483702-40F5-435B-B2A5-D2E9F89CC796}"/>
    <cellStyle name="Примечание 1 7 5 2" xfId="30305" xr:uid="{8D2BA77B-3DCE-40E7-B9C1-94ACEEEF0577}"/>
    <cellStyle name="Примечание 1 7 5 3" xfId="43679" xr:uid="{2AEA305E-2DCF-4726-8818-76E768A9A70E}"/>
    <cellStyle name="Примечание 1 7 6" xfId="21472" xr:uid="{69E273EC-027B-44CC-BE95-C9BC2E655F16}"/>
    <cellStyle name="Примечание 1 7 7" xfId="34524" xr:uid="{5494321B-965E-4675-979A-E07BC54EA456}"/>
    <cellStyle name="Примечание 1 8" xfId="3530" xr:uid="{16B99240-DE6E-411A-915B-8D5EEBE4E5A9}"/>
    <cellStyle name="Примечание 1 8 2" xfId="2871" xr:uid="{7F637E09-1DBB-4BD6-B30E-48A07F16354F}"/>
    <cellStyle name="Примечание 1 8 2 2" xfId="8167" xr:uid="{EA32BAF2-2478-4BF9-9548-BA75F2585A6A}"/>
    <cellStyle name="Примечание 1 8 2 2 2" xfId="15473" xr:uid="{9EA46004-6BB5-44E9-B625-5BD9321FC2C4}"/>
    <cellStyle name="Примечание 1 8 2 2 2 2" xfId="31615" xr:uid="{5E8790A3-464B-42F7-83A7-0BDCFAF326A4}"/>
    <cellStyle name="Примечание 1 8 2 2 2 3" xfId="45112" xr:uid="{7C23E386-C502-4759-8839-74E95026B0FD}"/>
    <cellStyle name="Примечание 1 8 2 2 3" xfId="25678" xr:uid="{E8A0CF0D-B3BE-4962-B9B6-2D684AA45920}"/>
    <cellStyle name="Примечание 1 8 2 2 4" xfId="38754" xr:uid="{D88152A9-152C-4BCC-8953-058A32B96E84}"/>
    <cellStyle name="Примечание 1 8 2 3" xfId="6534" xr:uid="{27EF5D81-2430-4554-87AD-A31C1FFDADDA}"/>
    <cellStyle name="Примечание 1 8 2 3 2" xfId="15356" xr:uid="{35DE1F89-7B15-47B8-97FB-B556566CAFEF}"/>
    <cellStyle name="Примечание 1 8 2 3 2 2" xfId="31513" xr:uid="{0150880F-F76E-420E-B66A-1433BFB9AEA1}"/>
    <cellStyle name="Примечание 1 8 2 3 2 3" xfId="44999" xr:uid="{03F5D9D9-3E88-4F40-981B-CFF047646250}"/>
    <cellStyle name="Примечание 1 8 2 3 3" xfId="24169" xr:uid="{0CF4E2A6-38D2-41CC-A741-61356B7E5760}"/>
    <cellStyle name="Примечание 1 8 2 3 4" xfId="37250" xr:uid="{74D80697-AAC9-4EB8-A765-A0FE704C8C4B}"/>
    <cellStyle name="Примечание 1 8 2 4" xfId="11080" xr:uid="{1F28499A-5A64-46AD-AE61-2051EA28518A}"/>
    <cellStyle name="Примечание 1 8 2 4 2" xfId="27881" xr:uid="{452D8E23-AFAE-4F3A-8831-102E1DF3190B}"/>
    <cellStyle name="Примечание 1 8 2 4 3" xfId="41059" xr:uid="{6811AAA7-EF1E-45C3-A026-9AD17BB13C8D}"/>
    <cellStyle name="Примечание 1 8 2 5" xfId="20921" xr:uid="{5C4023B6-7841-4BF7-A3F5-67CF7C3CD2F1}"/>
    <cellStyle name="Примечание 1 8 2 6" xfId="33944" xr:uid="{B7196149-2D3A-4679-9020-D6D5C228E679}"/>
    <cellStyle name="Примечание 1 8 3" xfId="4530" xr:uid="{9A5A0788-A495-4B39-9889-95BAE277619D}"/>
    <cellStyle name="Примечание 1 8 3 2" xfId="7172" xr:uid="{68A088E7-DBB8-4C77-8B5E-4663F7E2697F}"/>
    <cellStyle name="Примечание 1 8 3 2 2" xfId="16795" xr:uid="{ADC8B9B7-3248-4241-ABE5-6383D06A7D29}"/>
    <cellStyle name="Примечание 1 8 3 2 2 2" xfId="32676" xr:uid="{60BBDBF7-775F-4855-965F-CC7AED155390}"/>
    <cellStyle name="Примечание 1 8 3 2 2 3" xfId="46338" xr:uid="{533C0A20-C44E-461B-9877-DE26DFD40B16}"/>
    <cellStyle name="Примечание 1 8 3 2 3" xfId="24769" xr:uid="{EB87B6FF-70E4-4DBF-9EDA-B8915472DDB5}"/>
    <cellStyle name="Примечание 1 8 3 2 4" xfId="37850" xr:uid="{05B95143-EF9C-46AB-9870-F02B9F0D55BB}"/>
    <cellStyle name="Примечание 1 8 3 3" xfId="16783" xr:uid="{6324750D-E48E-4D24-B54A-4E4C04FAEC74}"/>
    <cellStyle name="Примечание 1 8 3 3 2" xfId="32664" xr:uid="{E3D173CA-59B1-466B-B2B8-C92527AF71E0}"/>
    <cellStyle name="Примечание 1 8 3 3 3" xfId="46326" xr:uid="{C46F40BE-6E9F-4AFC-A534-39511AA5B370}"/>
    <cellStyle name="Примечание 1 8 3 4" xfId="22348" xr:uid="{15EFE1DC-6FFF-4529-91FD-0EA09138ED81}"/>
    <cellStyle name="Примечание 1 8 3 5" xfId="35397" xr:uid="{F34F20DC-35F3-4D0B-9233-6F036E968F86}"/>
    <cellStyle name="Примечание 1 8 4" xfId="5583" xr:uid="{F6D90139-A9FC-43A8-949A-D94E4FCBBDF1}"/>
    <cellStyle name="Примечание 1 8 4 2" xfId="8765" xr:uid="{E80DBB6B-0126-49D6-8EF3-A6E207732362}"/>
    <cellStyle name="Примечание 1 8 4 2 2" xfId="14782" xr:uid="{78A6ADAF-BA93-4282-8C7B-2A2730D99667}"/>
    <cellStyle name="Примечание 1 8 4 2 2 2" xfId="31049" xr:uid="{DCFE73DC-FD1E-4283-BEA5-3B4F34B56000}"/>
    <cellStyle name="Примечание 1 8 4 2 2 3" xfId="44480" xr:uid="{A304CE48-E4BE-487F-8B1C-6155F01C3BF4}"/>
    <cellStyle name="Примечание 1 8 4 2 3" xfId="26258" xr:uid="{C7EA3A39-9039-432F-B1A9-2DC8453312CD}"/>
    <cellStyle name="Примечание 1 8 4 2 4" xfId="39334" xr:uid="{CB146198-0CF0-440F-8899-1356BEF003A2}"/>
    <cellStyle name="Примечание 1 8 4 3" xfId="12614" xr:uid="{B37F43AA-BEEC-425C-9AAA-B8ABD7CF24E8}"/>
    <cellStyle name="Примечание 1 8 4 3 2" xfId="29225" xr:uid="{871C8177-110A-4F59-856E-0325966EA4EC}"/>
    <cellStyle name="Примечание 1 8 4 3 3" xfId="42489" xr:uid="{54AB4B66-201C-4FD1-BBC6-5B45A7FCFF18}"/>
    <cellStyle name="Примечание 1 8 4 4" xfId="23230" xr:uid="{723ADE10-810B-417E-B590-B4AAEF6F3C70}"/>
    <cellStyle name="Примечание 1 8 4 5" xfId="36311" xr:uid="{5CE84240-831B-4BA2-9F05-77707A7E7712}"/>
    <cellStyle name="Примечание 1 8 5" xfId="14966" xr:uid="{442421B5-CA6F-44F8-A371-9F3CAA3A5C00}"/>
    <cellStyle name="Примечание 1 8 5 2" xfId="31203" xr:uid="{006739AF-3724-477C-A09E-74E47F3C9C2D}"/>
    <cellStyle name="Примечание 1 8 5 3" xfId="44650" xr:uid="{3B682EC8-9780-4680-9122-E8B0B0840306}"/>
    <cellStyle name="Примечание 1 8 6" xfId="21492" xr:uid="{3B60AA45-CB2F-4FCF-97BB-C9A22555F10C}"/>
    <cellStyle name="Примечание 1 8 7" xfId="34544" xr:uid="{EB116936-C6B5-4A99-86B1-4B1A3B07B03E}"/>
    <cellStyle name="Примечание 1 9" xfId="3541" xr:uid="{D566B91A-5F75-4AC8-BA1A-FF8C59C7A0F1}"/>
    <cellStyle name="Примечание 1 9 2" xfId="2882" xr:uid="{8B4C1AF7-2F72-4FC1-8323-46829475CF0B}"/>
    <cellStyle name="Примечание 1 9 2 2" xfId="8178" xr:uid="{E040FF33-E3F0-4ED6-8CB9-3CD4E18C9FB4}"/>
    <cellStyle name="Примечание 1 9 2 2 2" xfId="13775" xr:uid="{8852327C-3B50-44F6-AF2B-CBC1C5D7B9FD}"/>
    <cellStyle name="Примечание 1 9 2 2 2 2" xfId="30184" xr:uid="{509D5794-BF7D-4797-B2AB-3E99AF9E6DFA}"/>
    <cellStyle name="Примечание 1 9 2 2 2 3" xfId="43548" xr:uid="{EA849273-352F-43D6-BD34-293F95657FEE}"/>
    <cellStyle name="Примечание 1 9 2 2 3" xfId="25689" xr:uid="{8F029269-E0F4-42BA-87A5-997FFAD9F072}"/>
    <cellStyle name="Примечание 1 9 2 2 4" xfId="38765" xr:uid="{DC169DF5-7D49-42EE-A3EC-3F5A3DB0DB15}"/>
    <cellStyle name="Примечание 1 9 2 3" xfId="6545" xr:uid="{93D5636C-4C6B-4D04-8596-E2064021DDC3}"/>
    <cellStyle name="Примечание 1 9 2 3 2" xfId="15509" xr:uid="{247E6A24-01F5-4456-9196-FCF577D50E0E}"/>
    <cellStyle name="Примечание 1 9 2 3 2 2" xfId="31647" xr:uid="{F815DCB4-9EB1-48D1-AEF4-1242E8922315}"/>
    <cellStyle name="Примечание 1 9 2 3 2 3" xfId="45145" xr:uid="{FE708300-66D4-4318-90E8-BFF8CBEE3ADD}"/>
    <cellStyle name="Примечание 1 9 2 3 3" xfId="24180" xr:uid="{08EBF96F-9646-4C46-95B0-22B151E0C22E}"/>
    <cellStyle name="Примечание 1 9 2 3 4" xfId="37261" xr:uid="{66C828D6-9B05-408D-B951-04063D9E1ACF}"/>
    <cellStyle name="Примечание 1 9 2 4" xfId="11899" xr:uid="{B2384F63-F5C9-4103-ABC5-8E0D2FC53176}"/>
    <cellStyle name="Примечание 1 9 2 4 2" xfId="28614" xr:uid="{1992EE9A-9B8B-49EA-85AF-7FF3725EE5D6}"/>
    <cellStyle name="Примечание 1 9 2 4 3" xfId="41830" xr:uid="{1A4CD6F8-DCE1-4EAF-B037-AB0454C72810}"/>
    <cellStyle name="Примечание 1 9 2 5" xfId="20932" xr:uid="{17356058-D4D1-4185-9F84-20FD6123E3CC}"/>
    <cellStyle name="Примечание 1 9 2 6" xfId="33955" xr:uid="{82F54552-2F2E-44D5-84F1-9C33BA48BB64}"/>
    <cellStyle name="Примечание 1 9 3" xfId="4561" xr:uid="{89301F5B-4CEB-4A03-BAD2-1480928D7E10}"/>
    <cellStyle name="Примечание 1 9 3 2" xfId="7183" xr:uid="{DAF08164-3303-4D21-AC29-722725184FDE}"/>
    <cellStyle name="Примечание 1 9 3 2 2" xfId="15835" xr:uid="{F94B57C0-956B-4292-A6A0-1AF3E479A8CB}"/>
    <cellStyle name="Примечание 1 9 3 2 2 2" xfId="31928" xr:uid="{C2896CFF-D510-400D-B958-E3048296D85F}"/>
    <cellStyle name="Примечание 1 9 3 2 2 3" xfId="45440" xr:uid="{E532B808-9ABD-4D72-8A31-5FC817BF0FC9}"/>
    <cellStyle name="Примечание 1 9 3 2 3" xfId="24780" xr:uid="{86C0B387-E0C3-4E77-A4D6-9B70FD7C6C26}"/>
    <cellStyle name="Примечание 1 9 3 2 4" xfId="37861" xr:uid="{68CC8F19-42C5-4E16-89F1-1E0D9206F07C}"/>
    <cellStyle name="Примечание 1 9 3 3" xfId="15611" xr:uid="{C554B1E2-FAAD-4EF8-B5B0-1648BD285F1E}"/>
    <cellStyle name="Примечание 1 9 3 3 2" xfId="31734" xr:uid="{926A840F-5ACE-4B47-9170-C13832B2FC90}"/>
    <cellStyle name="Примечание 1 9 3 3 3" xfId="45238" xr:uid="{7EBA7CD2-CC00-4145-882F-AEFE9A10F311}"/>
    <cellStyle name="Примечание 1 9 3 4" xfId="22377" xr:uid="{C1298BFD-56D9-4346-B604-DF99F4C1D2EA}"/>
    <cellStyle name="Примечание 1 9 3 5" xfId="35426" xr:uid="{93FD2E8E-9EB5-49F2-9817-6D067DA5BF41}"/>
    <cellStyle name="Примечание 1 9 4" xfId="5594" xr:uid="{8F490173-9171-4DAF-BFC6-D1C2AC347969}"/>
    <cellStyle name="Примечание 1 9 4 2" xfId="8776" xr:uid="{101460EA-5049-4F25-B34B-4F5A7C53C9B9}"/>
    <cellStyle name="Примечание 1 9 4 2 2" xfId="11222" xr:uid="{CD91B578-8161-4905-85D2-4D18EA7FD130}"/>
    <cellStyle name="Примечание 1 9 4 2 2 2" xfId="28016" xr:uid="{CDC6C22B-6583-4606-9362-48A1D6C6D620}"/>
    <cellStyle name="Примечание 1 9 4 2 2 3" xfId="41198" xr:uid="{79D8404D-170C-4EAE-A3FC-90567FEC2083}"/>
    <cellStyle name="Примечание 1 9 4 2 3" xfId="26269" xr:uid="{F5F61ECC-4BCD-4040-939A-B4A69D3EE795}"/>
    <cellStyle name="Примечание 1 9 4 2 4" xfId="39345" xr:uid="{F947EB21-F51E-4AF8-BB95-FB91AB573DF5}"/>
    <cellStyle name="Примечание 1 9 4 3" xfId="17057" xr:uid="{5FBF9CB7-9E91-4AC7-8AB9-F733B6E7CDF7}"/>
    <cellStyle name="Примечание 1 9 4 3 2" xfId="32828" xr:uid="{9AEB7B77-3A29-45AC-8059-9650A14605D0}"/>
    <cellStyle name="Примечание 1 9 4 3 3" xfId="46598" xr:uid="{BF238548-3B77-462D-B6A2-F41FA30C721A}"/>
    <cellStyle name="Примечание 1 9 4 4" xfId="23241" xr:uid="{13D74310-A873-4781-AE5E-EE311FC8FC50}"/>
    <cellStyle name="Примечание 1 9 4 5" xfId="36322" xr:uid="{A5B88970-766A-4922-8E4F-AA9F82E5BBBE}"/>
    <cellStyle name="Примечание 1 9 5" xfId="17330" xr:uid="{EAF26500-6752-4F3F-8AB9-259699AF9F1E}"/>
    <cellStyle name="Примечание 1 9 5 2" xfId="33084" xr:uid="{F550E1EA-DBB9-497D-B480-3722ABCC240A}"/>
    <cellStyle name="Примечание 1 9 5 3" xfId="46860" xr:uid="{289887CE-E302-4559-B9B2-9E830F1D3F84}"/>
    <cellStyle name="Примечание 1 9 6" xfId="21503" xr:uid="{72935376-EE9A-4F76-82B5-CAB2B38DE107}"/>
    <cellStyle name="Примечание 1 9 7" xfId="34555" xr:uid="{7A546510-7801-4824-9727-CDAE6BC9C50E}"/>
    <cellStyle name="Примечание 2" xfId="2413" xr:uid="{32A6CF15-8D7C-4809-8F0B-0B0E67510289}"/>
    <cellStyle name="Примечание 2 10" xfId="3755" xr:uid="{C6044DDB-9BC3-4792-AE6F-EBBA1C164ACE}"/>
    <cellStyle name="Примечание 2 10 2" xfId="3066" xr:uid="{BE7D0B4B-377D-476D-B073-4028B53D5DCD}"/>
    <cellStyle name="Примечание 2 10 2 2" xfId="8362" xr:uid="{4DD7DECF-232B-462F-9E25-8B7FE67DC6B2}"/>
    <cellStyle name="Примечание 2 10 2 2 2" xfId="14649" xr:uid="{26900BF8-B341-4BD8-83BD-C42F2A3E08F8}"/>
    <cellStyle name="Примечание 2 10 2 2 2 2" xfId="30945" xr:uid="{0298B26E-89B1-45B9-AD5A-1F4FD14397F3}"/>
    <cellStyle name="Примечание 2 10 2 2 2 3" xfId="44366" xr:uid="{D3427C7C-4A48-4AA9-A6E4-5B1F45304401}"/>
    <cellStyle name="Примечание 2 10 2 2 3" xfId="25866" xr:uid="{A427B8CE-014D-47DB-BFFD-F70C6A558C0C}"/>
    <cellStyle name="Примечание 2 10 2 2 4" xfId="38942" xr:uid="{735AD982-FB3F-42FE-94A5-272077AF7BB8}"/>
    <cellStyle name="Примечание 2 10 2 3" xfId="6729" xr:uid="{7FAEC4B7-B84F-4EC1-B522-5C73F95AAD6E}"/>
    <cellStyle name="Примечание 2 10 2 3 2" xfId="16617" xr:uid="{0C1FA0FD-88F0-4452-B183-9A6DA5D9F522}"/>
    <cellStyle name="Примечание 2 10 2 3 2 2" xfId="32525" xr:uid="{4040EC07-47F8-4DEC-A0F2-C3527A430BB4}"/>
    <cellStyle name="Примечание 2 10 2 3 2 3" xfId="46164" xr:uid="{5A458BCF-84E8-4425-B293-4013C435ECD0}"/>
    <cellStyle name="Примечание 2 10 2 3 3" xfId="24357" xr:uid="{1A71A74C-3218-4F3F-8A92-CE13FE093954}"/>
    <cellStyle name="Примечание 2 10 2 3 4" xfId="37438" xr:uid="{2AC02862-0CFF-4928-AB44-E273FB029CA9}"/>
    <cellStyle name="Примечание 2 10 2 4" xfId="16175" xr:uid="{B5167BDC-740E-4F83-9EE3-2F51CA8702BB}"/>
    <cellStyle name="Примечание 2 10 2 4 2" xfId="32223" xr:uid="{2BEA4952-07A9-43BD-B2B8-BEE82822E9CD}"/>
    <cellStyle name="Примечание 2 10 2 4 3" xfId="45745" xr:uid="{F705B998-D3C0-4364-A51A-29CFC1C8F27A}"/>
    <cellStyle name="Примечание 2 10 2 5" xfId="21109" xr:uid="{2547533D-208D-43FA-9990-70FABBDA78FC}"/>
    <cellStyle name="Примечание 2 10 2 6" xfId="34132" xr:uid="{79F90C82-2085-4C6C-A5B2-F900A0578080}"/>
    <cellStyle name="Примечание 2 10 3" xfId="4637" xr:uid="{C241CEE2-0D1D-4DC0-B1D5-8C02B49D55A7}"/>
    <cellStyle name="Примечание 2 10 3 2" xfId="7387" xr:uid="{21961F3D-63F3-4689-BA7D-3D58DBA4287C}"/>
    <cellStyle name="Примечание 2 10 3 2 2" xfId="12271" xr:uid="{A0647CA0-BA58-4B0B-8EEA-F382F81031E9}"/>
    <cellStyle name="Примечание 2 10 3 2 2 2" xfId="28949" xr:uid="{584AC777-F1C5-4F4D-96DC-54AFD295BE58}"/>
    <cellStyle name="Примечание 2 10 3 2 2 3" xfId="42183" xr:uid="{5E7E7F84-3D17-4796-9C0F-CD6A3518086E}"/>
    <cellStyle name="Примечание 2 10 3 2 3" xfId="24946" xr:uid="{0AFAC912-DAC1-408A-A328-7E0B03410129}"/>
    <cellStyle name="Примечание 2 10 3 2 4" xfId="38024" xr:uid="{55B3D664-1D1F-4C80-B08E-F6012E197154}"/>
    <cellStyle name="Примечание 2 10 3 3" xfId="15795" xr:uid="{514FA6CF-AB0B-4C3F-AEBF-6FBCC5F342A0}"/>
    <cellStyle name="Примечание 2 10 3 3 2" xfId="31895" xr:uid="{F468A487-6EEF-4C33-BF46-B68F1A05550D}"/>
    <cellStyle name="Примечание 2 10 3 3 3" xfId="45406" xr:uid="{5B7C965C-5FF1-4CEA-AF5C-868A21FB9C18}"/>
    <cellStyle name="Примечание 2 10 3 4" xfId="22447" xr:uid="{05A7FE66-67FB-4BD7-9A78-D2E11EC72A98}"/>
    <cellStyle name="Примечание 2 10 3 5" xfId="35500" xr:uid="{26243CBB-2248-4561-929A-14661ECE4305}"/>
    <cellStyle name="Примечание 2 10 4" xfId="5757" xr:uid="{A7CFC74E-DB1D-4FB2-8B7B-3C7837795BF8}"/>
    <cellStyle name="Примечание 2 10 4 2" xfId="8946" xr:uid="{4880E732-6BE1-43E3-A0B0-0943D219D9FB}"/>
    <cellStyle name="Примечание 2 10 4 2 2" xfId="14463" xr:uid="{A914EDFA-4BE4-4649-962B-3687BBD36FE2}"/>
    <cellStyle name="Примечание 2 10 4 2 2 2" xfId="30789" xr:uid="{C6978428-B5AA-4833-978A-4BF301885163}"/>
    <cellStyle name="Примечание 2 10 4 2 2 3" xfId="44192" xr:uid="{7921C264-4356-4161-9C48-67F40A158C0E}"/>
    <cellStyle name="Примечание 2 10 4 2 3" xfId="26432" xr:uid="{CB05BA03-6811-4846-B896-2F69B3594EB8}"/>
    <cellStyle name="Примечание 2 10 4 2 4" xfId="39508" xr:uid="{D66DF517-6083-4BBD-892A-5BD66CDD15AD}"/>
    <cellStyle name="Примечание 2 10 4 3" xfId="11784" xr:uid="{1B0BCB3A-2B96-4847-8A24-4E500C16BB7E}"/>
    <cellStyle name="Примечание 2 10 4 3 2" xfId="28507" xr:uid="{DE8EE48D-555B-4B33-9B6D-B7E0AFF27324}"/>
    <cellStyle name="Примечание 2 10 4 3 3" xfId="41719" xr:uid="{7A006ACD-88BF-4213-A393-38CAD7F9CF48}"/>
    <cellStyle name="Примечание 2 10 4 4" xfId="23404" xr:uid="{E692646F-085F-48EC-BCA0-0A014B00FF65}"/>
    <cellStyle name="Примечание 2 10 4 5" xfId="36485" xr:uid="{30F88C58-E5A6-46DB-A96F-311C506BC9E6}"/>
    <cellStyle name="Примечание 2 10 5" xfId="17221" xr:uid="{A2491F14-4174-4488-B5EB-191D3446E0CA}"/>
    <cellStyle name="Примечание 2 10 5 2" xfId="32981" xr:uid="{5E622533-B163-4AE2-A536-5B6FE06D7C62}"/>
    <cellStyle name="Примечание 2 10 5 3" xfId="46755" xr:uid="{0EEDA282-5F12-4AFB-B324-E3D59BBD2FB5}"/>
    <cellStyle name="Примечание 2 10 6" xfId="21666" xr:uid="{00F62057-96D6-47D8-BDF5-B2755302D1EE}"/>
    <cellStyle name="Примечание 2 10 7" xfId="34720" xr:uid="{7B341BF0-8CFF-42C1-89E6-5E8E9521AD84}"/>
    <cellStyle name="Примечание 2 11" xfId="3543" xr:uid="{2E33A503-2495-4008-A98B-F7C395F8A71E}"/>
    <cellStyle name="Примечание 2 11 2" xfId="2884" xr:uid="{74C1655C-9FBD-4B96-89F2-E6065E112FC9}"/>
    <cellStyle name="Примечание 2 11 2 2" xfId="8180" xr:uid="{3656D182-C70A-4099-B986-A0C6B4778D2C}"/>
    <cellStyle name="Примечание 2 11 2 2 2" xfId="12319" xr:uid="{27647578-4CF8-4C33-ABB9-EDFDCF785824}"/>
    <cellStyle name="Примечание 2 11 2 2 2 2" xfId="28987" xr:uid="{E425A342-AFBB-4909-9EB8-15C1448562F7}"/>
    <cellStyle name="Примечание 2 11 2 2 2 3" xfId="42227" xr:uid="{F7BC74D5-7B2A-4F1E-9E62-EDE816FB2F25}"/>
    <cellStyle name="Примечание 2 11 2 2 3" xfId="25691" xr:uid="{32B2E031-33A1-4912-A60A-16DC72D12298}"/>
    <cellStyle name="Примечание 2 11 2 2 4" xfId="38767" xr:uid="{16C4439D-9CC5-49BD-8596-9FEEC8511A06}"/>
    <cellStyle name="Примечание 2 11 2 3" xfId="6547" xr:uid="{163ECC86-F8A4-453A-86CB-4B916C41729A}"/>
    <cellStyle name="Примечание 2 11 2 3 2" xfId="16637" xr:uid="{29CB42BB-AC03-49EA-B8C4-0440208BC1FB}"/>
    <cellStyle name="Примечание 2 11 2 3 2 2" xfId="32543" xr:uid="{B5A386AE-F60C-4D15-BF0F-0AB716748056}"/>
    <cellStyle name="Примечание 2 11 2 3 2 3" xfId="46184" xr:uid="{D923C429-C3A6-4B74-8A0A-EDD7A8D78635}"/>
    <cellStyle name="Примечание 2 11 2 3 3" xfId="24182" xr:uid="{B0ED8ABD-C35A-4071-ACF8-626A5C2A9249}"/>
    <cellStyle name="Примечание 2 11 2 3 4" xfId="37263" xr:uid="{C892B023-50C8-4B5B-8F74-BC3287787A81}"/>
    <cellStyle name="Примечание 2 11 2 4" xfId="13510" xr:uid="{1C78669D-FB8E-4B86-85A2-5C9B52FBD29B}"/>
    <cellStyle name="Примечание 2 11 2 4 2" xfId="29966" xr:uid="{328D2361-FB21-4884-B9C9-A086968C7E7F}"/>
    <cellStyle name="Примечание 2 11 2 4 3" xfId="43307" xr:uid="{18BC7F69-F38E-4F82-A602-834023E5A46B}"/>
    <cellStyle name="Примечание 2 11 2 5" xfId="20934" xr:uid="{3897721B-C506-4645-8C98-4915C20B321A}"/>
    <cellStyle name="Примечание 2 11 2 6" xfId="33957" xr:uid="{67DA96F8-004E-4C4F-A49B-A0ABCE514449}"/>
    <cellStyle name="Примечание 2 11 3" xfId="4646" xr:uid="{618FC0FA-1642-4950-83E5-33B706E8831B}"/>
    <cellStyle name="Примечание 2 11 3 2" xfId="7185" xr:uid="{2AB9B103-5A9B-41AF-8726-AD28EF66CA68}"/>
    <cellStyle name="Примечание 2 11 3 2 2" xfId="11900" xr:uid="{EAB34691-1323-4E93-998E-CEE9F3EDA336}"/>
    <cellStyle name="Примечание 2 11 3 2 2 2" xfId="28615" xr:uid="{CAB54831-3A0A-473B-B927-11C3C0610DE0}"/>
    <cellStyle name="Примечание 2 11 3 2 2 3" xfId="41831" xr:uid="{7823E3A6-1753-41C7-9967-2A1EB1624F18}"/>
    <cellStyle name="Примечание 2 11 3 2 3" xfId="24782" xr:uid="{4E89DDA0-0989-41E8-B113-0F52A0F95874}"/>
    <cellStyle name="Примечание 2 11 3 2 4" xfId="37863" xr:uid="{62A3D4A2-305D-4889-AE5F-F02E93EB63E9}"/>
    <cellStyle name="Примечание 2 11 3 3" xfId="12140" xr:uid="{FBEC4EC0-64A1-4CB8-A740-E0F9840C3E13}"/>
    <cellStyle name="Примечание 2 11 3 3 2" xfId="28840" xr:uid="{54683CDB-66F0-42E9-A810-3B7893DC48AD}"/>
    <cellStyle name="Примечание 2 11 3 3 3" xfId="42060" xr:uid="{2B7E9B19-980E-4792-9486-18018F7C63C0}"/>
    <cellStyle name="Примечание 2 11 3 4" xfId="22456" xr:uid="{C46A9EA5-CB39-4011-ABEC-5F1EFAEE573E}"/>
    <cellStyle name="Примечание 2 11 3 5" xfId="35509" xr:uid="{9958E1B3-3F35-452F-B71F-E56B27482F90}"/>
    <cellStyle name="Примечание 2 11 4" xfId="5596" xr:uid="{B0797361-401B-46DC-830B-5C2927CD9999}"/>
    <cellStyle name="Примечание 2 11 4 2" xfId="8778" xr:uid="{626C12E7-D1E7-4979-99CB-AE775AFB0D68}"/>
    <cellStyle name="Примечание 2 11 4 2 2" xfId="12349" xr:uid="{0E268E7E-5B02-455A-8E0E-D0E94CCBB14A}"/>
    <cellStyle name="Примечание 2 11 4 2 2 2" xfId="29016" xr:uid="{F8D61576-93F9-4F14-9DB5-914CB62D5476}"/>
    <cellStyle name="Примечание 2 11 4 2 2 3" xfId="42256" xr:uid="{57D9B8B3-8C3D-4C9E-893F-848382EFB0A4}"/>
    <cellStyle name="Примечание 2 11 4 2 3" xfId="26271" xr:uid="{B2BECAC4-C0FD-4E16-B1CC-B00F25111F00}"/>
    <cellStyle name="Примечание 2 11 4 2 4" xfId="39347" xr:uid="{28B06952-9602-4734-BC01-8EE9B6CA9CFA}"/>
    <cellStyle name="Примечание 2 11 4 3" xfId="13832" xr:uid="{18D94660-DBB8-4F2C-BA35-580B6E6A74FB}"/>
    <cellStyle name="Примечание 2 11 4 3 2" xfId="30234" xr:uid="{0F5ADBE5-796B-4A68-87E1-D74914A8AE7A}"/>
    <cellStyle name="Примечание 2 11 4 3 3" xfId="43604" xr:uid="{054313C5-5E62-48E9-9625-2943F7B7E416}"/>
    <cellStyle name="Примечание 2 11 4 4" xfId="23243" xr:uid="{73F55B75-8256-4B98-84AB-64640B9D68A3}"/>
    <cellStyle name="Примечание 2 11 4 5" xfId="36324" xr:uid="{1F08D89A-8BD3-4E26-9E31-0A90AA10532B}"/>
    <cellStyle name="Примечание 2 11 5" xfId="14059" xr:uid="{2104138D-EB84-49B1-A207-E11470265632}"/>
    <cellStyle name="Примечание 2 11 5 2" xfId="30429" xr:uid="{4AF91E6D-C39E-4CAC-B1F4-4D73C05AAF00}"/>
    <cellStyle name="Примечание 2 11 5 3" xfId="43812" xr:uid="{76A708D6-5BEF-43A9-8FA8-C060621DDA05}"/>
    <cellStyle name="Примечание 2 11 6" xfId="21505" xr:uid="{04AF77BF-BAE1-48D0-A840-924C3AC20D26}"/>
    <cellStyle name="Примечание 2 11 7" xfId="34557" xr:uid="{694BC511-A94D-4A7A-9C59-1D45D507B109}"/>
    <cellStyle name="Примечание 2 12" xfId="3834" xr:uid="{5FDD94CE-8190-41D4-A3BE-5EAE0165F1B0}"/>
    <cellStyle name="Примечание 2 12 2" xfId="3096" xr:uid="{D500C6C8-FEAA-4757-8709-28954C8DC612}"/>
    <cellStyle name="Примечание 2 12 2 2" xfId="8388" xr:uid="{2F27D381-770E-4AB8-8718-6E8CD3D64F8E}"/>
    <cellStyle name="Примечание 2 12 2 2 2" xfId="15258" xr:uid="{4DB5C8F4-A373-4A93-9249-8D283E9F23E7}"/>
    <cellStyle name="Примечание 2 12 2 2 2 2" xfId="31433" xr:uid="{D8D8557D-78DC-4240-84EF-90120735F508}"/>
    <cellStyle name="Примечание 2 12 2 2 2 3" xfId="44909" xr:uid="{55E862F8-595F-4D6D-94C6-B7F912255D90}"/>
    <cellStyle name="Примечание 2 12 2 2 3" xfId="25891" xr:uid="{EEA81104-E957-4BDD-A4DA-7B1FBCE16E7C}"/>
    <cellStyle name="Примечание 2 12 2 2 4" xfId="38967" xr:uid="{EE85D1E8-C5E3-4DE2-A945-A0CCB47AB220}"/>
    <cellStyle name="Примечание 2 12 2 3" xfId="6755" xr:uid="{F2C11DE8-CD61-4BCD-B0DF-DF73B2FE5FCF}"/>
    <cellStyle name="Примечание 2 12 2 3 2" xfId="16815" xr:uid="{AFD7BEA6-4BCF-4F3B-BB39-0DA2D4158AA3}"/>
    <cellStyle name="Примечание 2 12 2 3 2 2" xfId="32695" xr:uid="{DA8DE862-23E3-4338-8178-8EDF12F5A96C}"/>
    <cellStyle name="Примечание 2 12 2 3 2 3" xfId="46358" xr:uid="{7CFBFF06-BC77-462F-9FF2-7EB585A864A3}"/>
    <cellStyle name="Примечание 2 12 2 3 3" xfId="24382" xr:uid="{9BE65A71-61E7-4251-AB2D-E92B1EA9E2BD}"/>
    <cellStyle name="Примечание 2 12 2 3 4" xfId="37463" xr:uid="{2B99CA8C-D837-49F4-A4FC-1710A151D36D}"/>
    <cellStyle name="Примечание 2 12 2 4" xfId="11270" xr:uid="{85F8D35C-D7FD-4490-95FD-A5099F41EBD8}"/>
    <cellStyle name="Примечание 2 12 2 4 2" xfId="28057" xr:uid="{00F6D2EB-F707-4F62-B220-0CE1F43D542C}"/>
    <cellStyle name="Примечание 2 12 2 4 3" xfId="41239" xr:uid="{B9470B5C-B71D-47C3-A507-86F86C8F8E2A}"/>
    <cellStyle name="Примечание 2 12 2 5" xfId="21134" xr:uid="{780B975E-BD40-4228-A45D-0AD0EF02B40A}"/>
    <cellStyle name="Примечание 2 12 2 6" xfId="34157" xr:uid="{710768EA-AE56-4364-942E-A0F1F9EF4640}"/>
    <cellStyle name="Примечание 2 12 3" xfId="4779" xr:uid="{2A5DB27E-7ED0-4492-A622-EF9ED0E3FAEB}"/>
    <cellStyle name="Примечание 2 12 3 2" xfId="7421" xr:uid="{913722D1-3EAE-499C-B26E-336A5EB81C7F}"/>
    <cellStyle name="Примечание 2 12 3 2 2" xfId="17227" xr:uid="{8CC3166B-000E-479B-B3A8-E764186D8B0E}"/>
    <cellStyle name="Примечание 2 12 3 2 2 2" xfId="32986" xr:uid="{3D9FA737-E6B0-4AE0-957C-42D7A84F0AA4}"/>
    <cellStyle name="Примечание 2 12 3 2 2 3" xfId="46761" xr:uid="{9CFD4AA9-1EAA-4BBA-A6B0-6E1B921EF2B8}"/>
    <cellStyle name="Примечание 2 12 3 2 3" xfId="24978" xr:uid="{3A9D1213-7A34-40E1-91DF-18032AC59180}"/>
    <cellStyle name="Примечание 2 12 3 2 4" xfId="38054" xr:uid="{904D46FC-638C-428B-9A47-50CE8223EBC9}"/>
    <cellStyle name="Примечание 2 12 3 3" xfId="13851" xr:uid="{2E9C1B9F-719F-41BE-8480-740CDC54111C}"/>
    <cellStyle name="Примечание 2 12 3 3 2" xfId="30252" xr:uid="{F397D58C-A33C-4680-B3F9-3C89AB8B556B}"/>
    <cellStyle name="Примечание 2 12 3 3 3" xfId="43623" xr:uid="{91D44F01-F7FA-483D-BFD2-6A2CB28A7FDB}"/>
    <cellStyle name="Примечание 2 12 3 4" xfId="22581" xr:uid="{9B0B4BD0-6F4A-46FA-8D0D-05CFD8188970}"/>
    <cellStyle name="Примечание 2 12 3 5" xfId="35634" xr:uid="{EB6072F8-8AC9-44CF-A490-35409F2B25BB}"/>
    <cellStyle name="Примечание 2 12 4" xfId="5804" xr:uid="{D6E5EA20-D52F-483D-BF1F-BF779021393B}"/>
    <cellStyle name="Примечание 2 12 4 2" xfId="8965" xr:uid="{E25D3722-2586-4CE5-9475-B0ECAE9F814A}"/>
    <cellStyle name="Примечание 2 12 4 2 2" xfId="15505" xr:uid="{BD5B0047-656A-4B8D-9D5F-D4EC4B1A9076}"/>
    <cellStyle name="Примечание 2 12 4 2 2 2" xfId="31643" xr:uid="{E2D0E5A8-67AE-4902-94FD-EBAE5217B39D}"/>
    <cellStyle name="Примечание 2 12 4 2 2 3" xfId="45141" xr:uid="{84286D25-BC66-40F5-8C39-CD2DF41C19E0}"/>
    <cellStyle name="Примечание 2 12 4 2 3" xfId="26450" xr:uid="{B285E006-EBC5-4B65-A093-5A142D67282E}"/>
    <cellStyle name="Примечание 2 12 4 2 4" xfId="39526" xr:uid="{9A1800FD-60C7-44E5-B32D-D8DA6574D930}"/>
    <cellStyle name="Примечание 2 12 4 3" xfId="11425" xr:uid="{DD5A4176-79A9-45D9-AD55-E7BB12972F50}"/>
    <cellStyle name="Примечание 2 12 4 3 2" xfId="28193" xr:uid="{DD58F0B3-D5F4-4051-91CB-BEBA3E41B3F2}"/>
    <cellStyle name="Примечание 2 12 4 3 3" xfId="41384" xr:uid="{0FAD0A23-261C-42FD-BAB9-D300E947BA95}"/>
    <cellStyle name="Примечание 2 12 4 4" xfId="23451" xr:uid="{1EE36E9C-8D51-416A-8CFF-A65E0E67A9DB}"/>
    <cellStyle name="Примечание 2 12 4 5" xfId="36532" xr:uid="{069DD6DA-89E3-4015-8B26-C1E36A2BD0AA}"/>
    <cellStyle name="Примечание 2 12 5" xfId="11640" xr:uid="{8CF55EE2-E7A0-4A11-8956-62D073669AF0}"/>
    <cellStyle name="Примечание 2 12 5 2" xfId="28383" xr:uid="{4536E170-2E09-4637-A547-9B22CE662951}"/>
    <cellStyle name="Примечание 2 12 5 3" xfId="41587" xr:uid="{D8D340EF-ABA5-4CEA-A317-ABB3EAA67C19}"/>
    <cellStyle name="Примечание 2 12 6" xfId="21713" xr:uid="{AE1B7343-3287-4D3E-9CF2-98C91AB5FCD6}"/>
    <cellStyle name="Примечание 2 12 7" xfId="34767" xr:uid="{861BC28B-5B80-47E8-B684-65B85BCF4CCE}"/>
    <cellStyle name="Примечание 2 13" xfId="3748" xr:uid="{7CF849DE-92A7-4EC4-A811-AD9457F7E303}"/>
    <cellStyle name="Примечание 2 13 2" xfId="3062" xr:uid="{AD475867-AA2F-4AAE-8D2B-4CFF710EE479}"/>
    <cellStyle name="Примечание 2 13 2 2" xfId="8358" xr:uid="{E999EBD6-C0E8-47CF-AFF0-C93EC8612DB9}"/>
    <cellStyle name="Примечание 2 13 2 2 2" xfId="16383" xr:uid="{D521A6F6-70B5-42BA-ABD1-B98BAC2B8F24}"/>
    <cellStyle name="Примечание 2 13 2 2 2 2" xfId="32403" xr:uid="{C09C0EBF-DE1F-4963-9D17-BEEB587EB1D8}"/>
    <cellStyle name="Примечание 2 13 2 2 2 3" xfId="45937" xr:uid="{07F13C6B-ECB1-454D-BE98-B7E7D176FD49}"/>
    <cellStyle name="Примечание 2 13 2 2 3" xfId="25862" xr:uid="{D09BA8C3-5D5F-448E-9502-E7BEFB0959F5}"/>
    <cellStyle name="Примечание 2 13 2 2 4" xfId="38938" xr:uid="{DF5AFFE7-6F8D-40B5-A561-8B27D1B8886C}"/>
    <cellStyle name="Примечание 2 13 2 3" xfId="6725" xr:uid="{AB237589-DDEE-408F-869C-BA4D43F4641D}"/>
    <cellStyle name="Примечание 2 13 2 3 2" xfId="17197" xr:uid="{2585E606-E90F-4C41-9B7E-6D6A0381CE70}"/>
    <cellStyle name="Примечание 2 13 2 3 2 2" xfId="32960" xr:uid="{89D8BD2F-1254-4498-825F-5DEF8AF1050E}"/>
    <cellStyle name="Примечание 2 13 2 3 2 3" xfId="46732" xr:uid="{D99BF404-3117-4203-A758-051C730109D3}"/>
    <cellStyle name="Примечание 2 13 2 3 3" xfId="24353" xr:uid="{833E63EB-6D1D-4669-B0B8-A37C3355C6F4}"/>
    <cellStyle name="Примечание 2 13 2 3 4" xfId="37434" xr:uid="{2731B0FA-D0D5-4A5B-A30A-73BAE53DBCCA}"/>
    <cellStyle name="Примечание 2 13 2 4" xfId="11479" xr:uid="{695EC956-A21A-4746-873B-CBBE827F768B}"/>
    <cellStyle name="Примечание 2 13 2 4 2" xfId="28243" xr:uid="{35388659-9D7C-4E60-A02E-85AE1DA0E303}"/>
    <cellStyle name="Примечание 2 13 2 4 3" xfId="41438" xr:uid="{1D05E51E-DB3B-4D70-9794-EB0AAC003E86}"/>
    <cellStyle name="Примечание 2 13 2 5" xfId="21105" xr:uid="{E42730A2-7B2A-43B8-8E4C-52619CB1411D}"/>
    <cellStyle name="Примечание 2 13 2 6" xfId="34128" xr:uid="{61E7F1EE-A999-41E5-AB06-46F1EA109E65}"/>
    <cellStyle name="Примечание 2 13 3" xfId="4760" xr:uid="{B6D35DD3-B913-4F75-A10A-7F91A6320986}"/>
    <cellStyle name="Примечание 2 13 3 2" xfId="7383" xr:uid="{75991A9F-3D9A-43B3-AF80-1D8700306818}"/>
    <cellStyle name="Примечание 2 13 3 2 2" xfId="12317" xr:uid="{BBFC683A-A83B-4C83-9622-1D0A52813744}"/>
    <cellStyle name="Примечание 2 13 3 2 2 2" xfId="28985" xr:uid="{542E2278-096E-4025-9B37-5145C096F2AD}"/>
    <cellStyle name="Примечание 2 13 3 2 2 3" xfId="42225" xr:uid="{BAFAB42A-7AD6-4065-B202-E24B4F26F08D}"/>
    <cellStyle name="Примечание 2 13 3 2 3" xfId="24942" xr:uid="{9C3C1F33-24D4-4CF0-B573-F57AC0266CEB}"/>
    <cellStyle name="Примечание 2 13 3 2 4" xfId="38020" xr:uid="{5AC0F0D6-2A53-4447-B2EB-6A2E6E8E6C91}"/>
    <cellStyle name="Примечание 2 13 3 3" xfId="12267" xr:uid="{518DCCE2-94F9-47F7-B790-1FDFF7B86719}"/>
    <cellStyle name="Примечание 2 13 3 3 2" xfId="28946" xr:uid="{10777F82-2B8D-4D8E-9B53-2FD977132D16}"/>
    <cellStyle name="Примечание 2 13 3 3 3" xfId="42179" xr:uid="{132AF657-1B2B-4ECF-A486-0B33B41B3B94}"/>
    <cellStyle name="Примечание 2 13 3 4" xfId="22563" xr:uid="{26593EEA-1F0E-4D09-AE47-1850F40261D1}"/>
    <cellStyle name="Примечание 2 13 3 5" xfId="35616" xr:uid="{7D369960-E8A0-47D1-B3F6-F6544F8DD505}"/>
    <cellStyle name="Примечание 2 13 4" xfId="5753" xr:uid="{BE5FE130-F8B1-4B0C-999F-3F5D138490B7}"/>
    <cellStyle name="Примечание 2 13 4 2" xfId="8942" xr:uid="{BCA3547D-566D-41AB-98D5-EAC2F7140B02}"/>
    <cellStyle name="Примечание 2 13 4 2 2" xfId="17200" xr:uid="{EE8BF513-4D34-4A8A-B712-AF150F7FE42D}"/>
    <cellStyle name="Примечание 2 13 4 2 2 2" xfId="32963" xr:uid="{D13A1F2B-C3E6-41D8-815A-39495EF3E4BB}"/>
    <cellStyle name="Примечание 2 13 4 2 2 3" xfId="46735" xr:uid="{F9024A3D-1414-4FF6-A617-49F09EC39061}"/>
    <cellStyle name="Примечание 2 13 4 2 3" xfId="26428" xr:uid="{149C009C-10DB-482A-B50A-98B94181DBD8}"/>
    <cellStyle name="Примечание 2 13 4 2 4" xfId="39504" xr:uid="{AE4407A3-F030-40A7-998E-1B78D1AFF10D}"/>
    <cellStyle name="Примечание 2 13 4 3" xfId="13563" xr:uid="{84E19393-6C50-4AB9-BCF7-2E0A1CAA2638}"/>
    <cellStyle name="Примечание 2 13 4 3 2" xfId="30007" xr:uid="{2808EB8D-B37B-429C-B1BF-964934E14FA8}"/>
    <cellStyle name="Примечание 2 13 4 3 3" xfId="43356" xr:uid="{1975F212-5015-4043-B0A8-80BD7BBA24C7}"/>
    <cellStyle name="Примечание 2 13 4 4" xfId="23400" xr:uid="{4DAC4DD6-4088-4121-BBCC-03BFBD981E6E}"/>
    <cellStyle name="Примечание 2 13 4 5" xfId="36481" xr:uid="{3E339DAF-54C8-4EED-A474-CED5A119D9C7}"/>
    <cellStyle name="Примечание 2 13 5" xfId="17126" xr:uid="{D47456AB-0A59-4511-81A0-7098D312EC95}"/>
    <cellStyle name="Примечание 2 13 5 2" xfId="32889" xr:uid="{72EA611D-27DA-4974-AFFE-FE5D709CCFD6}"/>
    <cellStyle name="Примечание 2 13 5 3" xfId="46661" xr:uid="{674C7342-383F-477A-AEC5-8E00D356CE64}"/>
    <cellStyle name="Примечание 2 13 6" xfId="21662" xr:uid="{29CF21D6-B81B-4DD6-A118-46078F1AE43E}"/>
    <cellStyle name="Примечание 2 13 7" xfId="34716" xr:uid="{FB1D6736-ED3B-44CD-9BD5-C8ABFCAD316B}"/>
    <cellStyle name="Примечание 2 14" xfId="3848" xr:uid="{5278400D-6E7F-438A-9E01-B41EE97E5232}"/>
    <cellStyle name="Примечание 2 14 2" xfId="3113" xr:uid="{E543F1D7-C64D-4F57-BB26-4930048BD388}"/>
    <cellStyle name="Примечание 2 14 2 2" xfId="8405" xr:uid="{CAF07063-5A55-4759-BAAA-E39C0C5BBBAC}"/>
    <cellStyle name="Примечание 2 14 2 2 2" xfId="10989" xr:uid="{0AFBD284-C068-4245-B5DA-307F67179A99}"/>
    <cellStyle name="Примечание 2 14 2 2 2 2" xfId="27796" xr:uid="{C835D862-4B62-41C5-B101-07A886FA1677}"/>
    <cellStyle name="Примечание 2 14 2 2 2 3" xfId="40969" xr:uid="{83CF9830-D33E-4F22-9EBC-DFE7F4129DBC}"/>
    <cellStyle name="Примечание 2 14 2 2 3" xfId="25907" xr:uid="{81C722AC-AA0C-4815-87BC-825AD0E32DD7}"/>
    <cellStyle name="Примечание 2 14 2 2 4" xfId="38983" xr:uid="{CB8DCE1E-DE02-407B-8D7C-FC05452D1D70}"/>
    <cellStyle name="Примечание 2 14 2 3" xfId="6772" xr:uid="{82EAF488-F6FB-486B-9204-510A291AB77F}"/>
    <cellStyle name="Примечание 2 14 2 3 2" xfId="13033" xr:uid="{54A667D8-A336-46C0-8EA2-952950823F0D}"/>
    <cellStyle name="Примечание 2 14 2 3 2 2" xfId="29562" xr:uid="{6AD8DF4F-EE65-4D77-9041-68992D29AB0C}"/>
    <cellStyle name="Примечание 2 14 2 3 2 3" xfId="42865" xr:uid="{AEED9052-A42E-4C2C-B905-8A4198AF112E}"/>
    <cellStyle name="Примечание 2 14 2 3 3" xfId="24398" xr:uid="{A7F12271-E1A6-4FD2-A9C8-7EE8F32D4B78}"/>
    <cellStyle name="Примечание 2 14 2 3 4" xfId="37479" xr:uid="{B61BABBA-9A8E-4E3F-93A8-5528C1A92C63}"/>
    <cellStyle name="Примечание 2 14 2 4" xfId="14902" xr:uid="{61577CB7-04AB-45B2-B578-BF231C99C43D}"/>
    <cellStyle name="Примечание 2 14 2 4 2" xfId="31150" xr:uid="{71E34EF3-54B5-4204-A985-03DEDD1E2916}"/>
    <cellStyle name="Примечание 2 14 2 4 3" xfId="44593" xr:uid="{6A6830E2-1BC9-4EBA-9336-101873634AD7}"/>
    <cellStyle name="Примечание 2 14 2 5" xfId="21150" xr:uid="{345C8038-9059-43A6-9FE1-5D4570F02062}"/>
    <cellStyle name="Примечание 2 14 2 6" xfId="34173" xr:uid="{DD5930BC-BC31-48D7-9FFF-099A663487CD}"/>
    <cellStyle name="Примечание 2 14 3" xfId="4793" xr:uid="{1E9C8DA6-07BF-43BA-990F-1648A05A3C4D}"/>
    <cellStyle name="Примечание 2 14 3 2" xfId="7435" xr:uid="{00D51A57-0516-4A73-8E1E-ED0355B518E9}"/>
    <cellStyle name="Примечание 2 14 3 2 2" xfId="13016" xr:uid="{08975681-3ACE-42F0-8CE7-F34AF742AAD7}"/>
    <cellStyle name="Примечание 2 14 3 2 2 2" xfId="29548" xr:uid="{F4FBB282-64B0-46BE-B513-BCE3A966CB68}"/>
    <cellStyle name="Примечание 2 14 3 2 2 3" xfId="42850" xr:uid="{AE3B1169-CDEF-40EF-BA43-077156A0704C}"/>
    <cellStyle name="Примечание 2 14 3 2 3" xfId="24992" xr:uid="{16792475-188C-4045-ACE4-A1C696E43121}"/>
    <cellStyle name="Примечание 2 14 3 2 4" xfId="38068" xr:uid="{CACA923B-8177-4477-BCE5-5BBFC9782199}"/>
    <cellStyle name="Примечание 2 14 3 3" xfId="11410" xr:uid="{05575CDF-4C82-4A90-A712-6F84E26E5763}"/>
    <cellStyle name="Примечание 2 14 3 3 2" xfId="28180" xr:uid="{F334F894-2B92-40DB-91EA-078B8E34AA35}"/>
    <cellStyle name="Примечание 2 14 3 3 3" xfId="41371" xr:uid="{E1A4AF13-5F24-41C0-884E-0E7BDD5F2094}"/>
    <cellStyle name="Примечание 2 14 3 4" xfId="22595" xr:uid="{CFE7619D-C09E-475B-984F-240033D40962}"/>
    <cellStyle name="Примечание 2 14 3 5" xfId="35648" xr:uid="{204A8126-AACF-4EDD-8DC0-6E172C1ABD21}"/>
    <cellStyle name="Примечание 2 14 4" xfId="5818" xr:uid="{9B6BA668-08F6-4119-8A9F-1FEB00C08756}"/>
    <cellStyle name="Примечание 2 14 4 2" xfId="8979" xr:uid="{95A1C2AB-12AA-42BE-A4A8-93E90E0211B0}"/>
    <cellStyle name="Примечание 2 14 4 2 2" xfId="12738" xr:uid="{FB5504F8-7BCB-4760-8035-1B435F3630C7}"/>
    <cellStyle name="Примечание 2 14 4 2 2 2" xfId="29318" xr:uid="{FEF376DE-EF34-4F6D-B420-75E912BEF7F0}"/>
    <cellStyle name="Примечание 2 14 4 2 2 3" xfId="42596" xr:uid="{AA8361E4-AF67-48D2-A3A3-94BFF4CF744B}"/>
    <cellStyle name="Примечание 2 14 4 2 3" xfId="26464" xr:uid="{47F9D3BD-4AB3-4171-9B40-E4EC5794F6AA}"/>
    <cellStyle name="Примечание 2 14 4 2 4" xfId="39540" xr:uid="{D4BA1A2D-788A-4F95-B022-8B0EF9C9651B}"/>
    <cellStyle name="Примечание 2 14 4 3" xfId="11335" xr:uid="{2D002518-BF01-4416-A7E5-B8EBA9C01D80}"/>
    <cellStyle name="Примечание 2 14 4 3 2" xfId="28114" xr:uid="{064BB45F-F2ED-4AF5-B591-D551A73FB9D8}"/>
    <cellStyle name="Примечание 2 14 4 3 3" xfId="41302" xr:uid="{3A230537-5B32-4B8A-B8D2-0B567854DA8E}"/>
    <cellStyle name="Примечание 2 14 4 4" xfId="23465" xr:uid="{97180790-D91A-4955-9CDD-E24EDC229E2D}"/>
    <cellStyle name="Примечание 2 14 4 5" xfId="36546" xr:uid="{9FB3C3B0-FEFC-4339-A111-AB5C3F38671F}"/>
    <cellStyle name="Примечание 2 14 5" xfId="17098" xr:uid="{C0DEE591-A765-4693-8B7F-434E183778E4}"/>
    <cellStyle name="Примечание 2 14 5 2" xfId="32867" xr:uid="{CAB3E661-B1C3-41AF-9036-FA4BA606D9E0}"/>
    <cellStyle name="Примечание 2 14 5 3" xfId="46638" xr:uid="{21C445ED-BA72-4351-9DEB-7DCC670483AA}"/>
    <cellStyle name="Примечание 2 14 6" xfId="21727" xr:uid="{F677C98F-6F29-4A92-BA60-52F88854852D}"/>
    <cellStyle name="Примечание 2 14 7" xfId="34781" xr:uid="{242BEB23-8ED9-4BDD-9FCD-7AD16345B2BE}"/>
    <cellStyle name="Примечание 2 15" xfId="3845" xr:uid="{71BD013F-54E0-4206-B941-F949DA2A176E}"/>
    <cellStyle name="Примечание 2 15 2" xfId="3110" xr:uid="{37EEA7DB-443D-48DE-8719-39D56BB7D799}"/>
    <cellStyle name="Примечание 2 15 2 2" xfId="8402" xr:uid="{54B853C8-B28F-4594-BC4C-6CEB1295E06A}"/>
    <cellStyle name="Примечание 2 15 2 2 2" xfId="12624" xr:uid="{A4ABFB1E-331B-492D-8B07-8E462B22555B}"/>
    <cellStyle name="Примечание 2 15 2 2 2 2" xfId="29233" xr:uid="{11B6824C-F93B-4251-A9E5-56B54856C9FE}"/>
    <cellStyle name="Примечание 2 15 2 2 2 3" xfId="42498" xr:uid="{FB83FAA6-056E-459C-A31B-165C6F19C03E}"/>
    <cellStyle name="Примечание 2 15 2 2 3" xfId="25904" xr:uid="{E14A679B-4B12-472B-929A-DF404ADEA834}"/>
    <cellStyle name="Примечание 2 15 2 2 4" xfId="38980" xr:uid="{030A015E-7DFF-44AE-A3A0-76294201AA6C}"/>
    <cellStyle name="Примечание 2 15 2 3" xfId="6769" xr:uid="{0DC12D9B-25CB-493C-9FA5-5A28F6EE616A}"/>
    <cellStyle name="Примечание 2 15 2 3 2" xfId="17240" xr:uid="{9E8FF8C8-D862-4DBD-986D-B819A94220FD}"/>
    <cellStyle name="Примечание 2 15 2 3 2 2" xfId="32999" xr:uid="{EFB69BF2-97F9-4B4E-BD1B-DE3B9EDE7CA5}"/>
    <cellStyle name="Примечание 2 15 2 3 2 3" xfId="46774" xr:uid="{EBA0C369-B51B-4B89-8DC9-1A5B532A8989}"/>
    <cellStyle name="Примечание 2 15 2 3 3" xfId="24395" xr:uid="{8C7FA4EA-55C5-4A34-B768-FDC9D135DA70}"/>
    <cellStyle name="Примечание 2 15 2 3 4" xfId="37476" xr:uid="{2CD11715-6CDC-47F6-BF58-66E0CB418455}"/>
    <cellStyle name="Примечание 2 15 2 4" xfId="11510" xr:uid="{98ECD21D-CA54-441E-8F10-65AB5458FCBA}"/>
    <cellStyle name="Примечание 2 15 2 4 2" xfId="28269" xr:uid="{E9F68D1D-D4FB-4829-8EFF-BD081D52746A}"/>
    <cellStyle name="Примечание 2 15 2 4 3" xfId="41466" xr:uid="{6DD5E276-E79F-4890-A0B1-E8E746E28B36}"/>
    <cellStyle name="Примечание 2 15 2 5" xfId="21147" xr:uid="{29EF0561-506F-449F-9745-D9ED7DE2F11D}"/>
    <cellStyle name="Примечание 2 15 2 6" xfId="34170" xr:uid="{D5B347DA-FB72-47B0-B224-01B443026ED7}"/>
    <cellStyle name="Примечание 2 15 3" xfId="4790" xr:uid="{DCE5805A-3386-49E5-B38A-49B42961E8E3}"/>
    <cellStyle name="Примечание 2 15 3 2" xfId="7432" xr:uid="{6461503C-EC12-4426-AE7E-1B92DD457FB5}"/>
    <cellStyle name="Примечание 2 15 3 2 2" xfId="14760" xr:uid="{F14AA7EF-9D51-40CD-939D-4E8E5D70EF55}"/>
    <cellStyle name="Примечание 2 15 3 2 2 2" xfId="31032" xr:uid="{875DE2B3-D9CD-46B6-BA13-5741CE0DB5DD}"/>
    <cellStyle name="Примечание 2 15 3 2 2 3" xfId="44462" xr:uid="{B9E86574-DA30-4D1D-8801-CCA5F81E52B1}"/>
    <cellStyle name="Примечание 2 15 3 2 3" xfId="24989" xr:uid="{FC81895C-9A5C-499D-A7C2-073623A280A5}"/>
    <cellStyle name="Примечание 2 15 3 2 4" xfId="38065" xr:uid="{E78DCD4E-EFA1-4602-ADBA-A82960BD1193}"/>
    <cellStyle name="Примечание 2 15 3 3" xfId="13402" xr:uid="{EC39C13F-783D-4B74-9D41-93D63FBB9E68}"/>
    <cellStyle name="Примечание 2 15 3 3 2" xfId="29871" xr:uid="{2494D809-A02F-4A26-9C15-D0A9E54B81DE}"/>
    <cellStyle name="Примечание 2 15 3 3 3" xfId="43206" xr:uid="{AD865351-8D24-4785-885D-049802468B94}"/>
    <cellStyle name="Примечание 2 15 3 4" xfId="22592" xr:uid="{2F649A9A-27D0-4987-867E-4D0303643810}"/>
    <cellStyle name="Примечание 2 15 3 5" xfId="35645" xr:uid="{C507166B-C0C1-4E68-B499-E8F88E2EC8FD}"/>
    <cellStyle name="Примечание 2 15 4" xfId="5815" xr:uid="{795630FA-1C63-4466-AEE6-9844310AC51D}"/>
    <cellStyle name="Примечание 2 15 4 2" xfId="8976" xr:uid="{25229127-3BE7-4AD8-868D-8FA23E8D2DEF}"/>
    <cellStyle name="Примечание 2 15 4 2 2" xfId="12648" xr:uid="{E8D463CB-8619-430B-B81C-8CF99156A280}"/>
    <cellStyle name="Примечание 2 15 4 2 2 2" xfId="29250" xr:uid="{1EC58790-3AE9-4996-884B-94C7ABC6E83B}"/>
    <cellStyle name="Примечание 2 15 4 2 2 3" xfId="42519" xr:uid="{5F9F0BAD-FCFD-4830-A9A9-4021DE07B983}"/>
    <cellStyle name="Примечание 2 15 4 2 3" xfId="26461" xr:uid="{9332C0D4-A55C-4F21-A024-DD9C45A7A17E}"/>
    <cellStyle name="Примечание 2 15 4 2 4" xfId="39537" xr:uid="{81F81E1F-D47B-44F0-A083-DFC22A79BE3B}"/>
    <cellStyle name="Примечание 2 15 4 3" xfId="14665" xr:uid="{9CCC4719-8B5A-45EC-A930-3D3A27A15342}"/>
    <cellStyle name="Примечание 2 15 4 3 2" xfId="30959" xr:uid="{C2A6E304-A95A-416A-AD84-EB00AA633B83}"/>
    <cellStyle name="Примечание 2 15 4 3 3" xfId="44380" xr:uid="{7C5134B2-92D6-4FA2-B161-1C18ED5B0E2E}"/>
    <cellStyle name="Примечание 2 15 4 4" xfId="23462" xr:uid="{B9F67584-7981-4CD7-83DD-D1E80F01C430}"/>
    <cellStyle name="Примечание 2 15 4 5" xfId="36543" xr:uid="{86DE0FED-F414-4572-911B-F74001EB8B98}"/>
    <cellStyle name="Примечание 2 15 5" xfId="17324" xr:uid="{99B9E4E8-4563-48C3-B8C7-061535179060}"/>
    <cellStyle name="Примечание 2 15 5 2" xfId="33078" xr:uid="{60C07ECC-AA34-465E-9CC1-7D4E332054DA}"/>
    <cellStyle name="Примечание 2 15 5 3" xfId="46854" xr:uid="{5F98BDCC-0905-4C04-BA31-C062037B2A1E}"/>
    <cellStyle name="Примечание 2 15 6" xfId="21724" xr:uid="{AEFE2B2C-C2E1-4882-ACC6-10332262BCB6}"/>
    <cellStyle name="Примечание 2 15 7" xfId="34778" xr:uid="{8D65F8CC-5B2B-48A9-8B67-72C644EF1FBE}"/>
    <cellStyle name="Примечание 2 16" xfId="3861" xr:uid="{5C5D608A-6DB3-41E1-9946-071D9BD0F1C9}"/>
    <cellStyle name="Примечание 2 16 2" xfId="3121" xr:uid="{76415DE3-3B93-4310-A3C0-643AB51EBF7A}"/>
    <cellStyle name="Примечание 2 16 2 2" xfId="8413" xr:uid="{4A4C4389-0A1E-4522-AF8E-565BFA31821E}"/>
    <cellStyle name="Примечание 2 16 2 2 2" xfId="16602" xr:uid="{8593DB7C-07DB-4FE4-BA82-B20A1865943A}"/>
    <cellStyle name="Примечание 2 16 2 2 2 2" xfId="32518" xr:uid="{7A29F453-26F3-4D20-BF44-C97A4C644320}"/>
    <cellStyle name="Примечание 2 16 2 2 2 3" xfId="46149" xr:uid="{B4B81BC8-19C6-4AAE-87CD-E0CC312A132A}"/>
    <cellStyle name="Примечание 2 16 2 2 3" xfId="25915" xr:uid="{19883D41-CEB2-41D7-BA28-0777305F4442}"/>
    <cellStyle name="Примечание 2 16 2 2 4" xfId="38991" xr:uid="{819B37FD-A6BE-4F80-8FC3-138EDF270115}"/>
    <cellStyle name="Примечание 2 16 2 3" xfId="6780" xr:uid="{D76A33B0-C291-4424-B64D-FDD6519D8A96}"/>
    <cellStyle name="Примечание 2 16 2 3 2" xfId="14040" xr:uid="{74F87AC9-E910-4FBF-B3A3-546CE7193EE4}"/>
    <cellStyle name="Примечание 2 16 2 3 2 2" xfId="30415" xr:uid="{173E8032-8A84-468D-BBFC-06DB5935D911}"/>
    <cellStyle name="Примечание 2 16 2 3 2 3" xfId="43796" xr:uid="{5D8AF8E1-2D6D-45E1-A2EA-D427EB9C3FAB}"/>
    <cellStyle name="Примечание 2 16 2 3 3" xfId="24406" xr:uid="{5D7747D0-3278-4EEB-9C56-CACCCD84E373}"/>
    <cellStyle name="Примечание 2 16 2 3 4" xfId="37487" xr:uid="{A52FC4F4-72FE-43B4-95AF-35D48564BBB3}"/>
    <cellStyle name="Примечание 2 16 2 4" xfId="15196" xr:uid="{8A3F8644-FC57-4342-A93E-BE221A279051}"/>
    <cellStyle name="Примечание 2 16 2 4 2" xfId="31380" xr:uid="{02BF2A1F-E83D-4A76-BC57-825B405E34BA}"/>
    <cellStyle name="Примечание 2 16 2 4 3" xfId="44851" xr:uid="{5DD54B9E-F43C-4FFE-8501-C47C15AF2FEB}"/>
    <cellStyle name="Примечание 2 16 2 5" xfId="21158" xr:uid="{C118D9E3-860E-408E-8279-61256EE76F9B}"/>
    <cellStyle name="Примечание 2 16 2 6" xfId="34181" xr:uid="{C0FB2795-8428-4DEF-B72C-10247CB4DA21}"/>
    <cellStyle name="Примечание 2 16 3" xfId="4801" xr:uid="{81855B17-8B7D-451F-B985-3C79E8EBCFA2}"/>
    <cellStyle name="Примечание 2 16 3 2" xfId="7445" xr:uid="{2CAB0C47-3313-4854-A1F9-D92649AF4249}"/>
    <cellStyle name="Примечание 2 16 3 2 2" xfId="17059" xr:uid="{7F35FC2D-CDDF-42B7-886B-301879DFD510}"/>
    <cellStyle name="Примечание 2 16 3 2 2 2" xfId="32830" xr:uid="{EF9C8FA1-9B08-441E-AF5D-464313606BB6}"/>
    <cellStyle name="Примечание 2 16 3 2 2 3" xfId="46600" xr:uid="{D59B0B91-00DB-4EBE-9BBF-AAF9A1048B72}"/>
    <cellStyle name="Примечание 2 16 3 2 3" xfId="25002" xr:uid="{1ECC505A-D865-4BB3-95DC-83E9F3320337}"/>
    <cellStyle name="Примечание 2 16 3 2 4" xfId="38078" xr:uid="{FFF7D732-F457-4E01-BCB0-C085054E81DB}"/>
    <cellStyle name="Примечание 2 16 3 3" xfId="14779" xr:uid="{7C8049AD-9897-44BA-9C2D-690354B446B7}"/>
    <cellStyle name="Примечание 2 16 3 3 2" xfId="31047" xr:uid="{BBE761D3-C42C-4B80-9521-12752EAB090D}"/>
    <cellStyle name="Примечание 2 16 3 3 3" xfId="44478" xr:uid="{EF898646-4B51-4764-8F16-7BE1729465FD}"/>
    <cellStyle name="Примечание 2 16 3 4" xfId="22603" xr:uid="{4E2F53F1-9041-46CC-AD91-4D875AA68A55}"/>
    <cellStyle name="Примечание 2 16 3 5" xfId="35656" xr:uid="{97F9F60D-21FE-4617-B40A-9E7847F79827}"/>
    <cellStyle name="Примечание 2 16 4" xfId="5828" xr:uid="{40471740-4DBF-40ED-9CFE-42C2261927B3}"/>
    <cellStyle name="Примечание 2 16 4 2" xfId="8986" xr:uid="{E566CD44-3476-44DD-A1A7-2A7ADA1DB16A}"/>
    <cellStyle name="Примечание 2 16 4 2 2" xfId="13058" xr:uid="{7B234E20-5A20-428A-A20B-6D2C396E646B}"/>
    <cellStyle name="Примечание 2 16 4 2 2 2" xfId="29583" xr:uid="{C664A316-B480-47FC-B649-F22FFA71432D}"/>
    <cellStyle name="Примечание 2 16 4 2 2 3" xfId="42888" xr:uid="{47C17353-0706-4C27-886F-C7116846E35F}"/>
    <cellStyle name="Примечание 2 16 4 2 3" xfId="26471" xr:uid="{F74CB9FE-2F6B-4EA8-845B-9CE63A508709}"/>
    <cellStyle name="Примечание 2 16 4 2 4" xfId="39547" xr:uid="{AFF002DD-5559-4EDF-8BC0-984F544C74C0}"/>
    <cellStyle name="Примечание 2 16 4 3" xfId="13267" xr:uid="{1F7DC2AE-9EEA-42BE-81E2-573411B43708}"/>
    <cellStyle name="Примечание 2 16 4 3 2" xfId="29758" xr:uid="{8D89532E-FE67-4F49-9034-CC4EA69D3190}"/>
    <cellStyle name="Примечание 2 16 4 3 3" xfId="43084" xr:uid="{B39942F7-62C3-4FE7-8F73-FF1B8574C476}"/>
    <cellStyle name="Примечание 2 16 4 4" xfId="23475" xr:uid="{2C64E730-658E-4F9A-8A33-DF5FD1C968E2}"/>
    <cellStyle name="Примечание 2 16 4 5" xfId="36556" xr:uid="{6DB64505-47CD-43FA-A08A-66A39A2C66AD}"/>
    <cellStyle name="Примечание 2 16 5" xfId="12045" xr:uid="{BCFD03AA-8E1F-4492-B50D-F810366D603F}"/>
    <cellStyle name="Примечание 2 16 5 2" xfId="28746" xr:uid="{8C695CA8-5047-4720-8DDD-3592EEB30731}"/>
    <cellStyle name="Примечание 2 16 5 3" xfId="41965" xr:uid="{B0754AA8-09C9-4F16-8A28-5D17A6FBFAC5}"/>
    <cellStyle name="Примечание 2 16 6" xfId="21737" xr:uid="{1211690C-39FC-44EC-97D8-7D3AA08A42DA}"/>
    <cellStyle name="Примечание 2 16 7" xfId="34791" xr:uid="{81A9ECFA-BC77-44A4-BAE9-3EA4BAAC56CE}"/>
    <cellStyle name="Примечание 2 17" xfId="4028" xr:uid="{EB85D6C7-A250-4CA0-8225-8D5F4F5C0545}"/>
    <cellStyle name="Примечание 2 17 2" xfId="3248" xr:uid="{B3409EC3-4353-468C-BAEE-60B875417C7A}"/>
    <cellStyle name="Примечание 2 17 2 2" xfId="8539" xr:uid="{E4038AC3-4506-4038-B273-66040C03763D}"/>
    <cellStyle name="Примечание 2 17 2 2 2" xfId="12281" xr:uid="{4508C197-FEBE-4716-869D-FFAF684F7895}"/>
    <cellStyle name="Примечание 2 17 2 2 2 2" xfId="28957" xr:uid="{C245551D-70DA-4776-B470-F15E074B8A0E}"/>
    <cellStyle name="Примечание 2 17 2 2 2 3" xfId="42193" xr:uid="{3882DDB9-DDF5-4E07-92C5-1F3D17FF26AE}"/>
    <cellStyle name="Примечание 2 17 2 2 3" xfId="26038" xr:uid="{36B5755A-577B-43DB-B86A-BF9E6D620FA9}"/>
    <cellStyle name="Примечание 2 17 2 2 4" xfId="39114" xr:uid="{B8DEA700-A225-4AA6-A392-7390D72188D1}"/>
    <cellStyle name="Примечание 2 17 2 3" xfId="6907" xr:uid="{1CCB7521-21FA-43BF-A2BA-48CFA7106F50}"/>
    <cellStyle name="Примечание 2 17 2 3 2" xfId="16702" xr:uid="{814819CA-610B-4585-B9C3-808DF1A33D58}"/>
    <cellStyle name="Примечание 2 17 2 3 2 2" xfId="32587" xr:uid="{4A3504BE-C850-4072-8953-03481C014E21}"/>
    <cellStyle name="Примечание 2 17 2 3 2 3" xfId="46246" xr:uid="{44CEE00D-3C97-4990-8EC0-A91747CB13C1}"/>
    <cellStyle name="Примечание 2 17 2 3 3" xfId="24530" xr:uid="{3902319E-8523-4487-9CA2-21B6929D352A}"/>
    <cellStyle name="Примечание 2 17 2 3 4" xfId="37611" xr:uid="{DC1C2312-E24B-4C54-85FD-9575A6AFAD67}"/>
    <cellStyle name="Примечание 2 17 2 4" xfId="10959" xr:uid="{48FF7AEF-D0CA-4867-BBC7-0792D0F3A549}"/>
    <cellStyle name="Примечание 2 17 2 4 2" xfId="27772" xr:uid="{1EACEE98-69A4-4EF5-BCFB-45A2C13A4DD9}"/>
    <cellStyle name="Примечание 2 17 2 4 3" xfId="40939" xr:uid="{5172D6B3-EDEC-42A9-AFAB-D993E94BEFCC}"/>
    <cellStyle name="Примечание 2 17 2 5" xfId="21282" xr:uid="{820DECCC-4FC0-49ED-8DB7-1E41D592AA46}"/>
    <cellStyle name="Примечание 2 17 2 6" xfId="34305" xr:uid="{BA861B90-95D3-4DEA-8546-49B62C1C3215}"/>
    <cellStyle name="Примечание 2 17 3" xfId="4933" xr:uid="{91B6F021-FAF1-43C8-A70F-A044049D5BC9}"/>
    <cellStyle name="Примечание 2 17 3 2" xfId="7602" xr:uid="{4F9E0EF6-CFD9-475E-884B-32C37B71C6DA}"/>
    <cellStyle name="Примечание 2 17 3 2 2" xfId="14007" xr:uid="{3BAD47F3-9B8E-451C-9AC0-7165AC22A7A6}"/>
    <cellStyle name="Примечание 2 17 3 2 2 2" xfId="30389" xr:uid="{D2A3B6FB-3073-4F0A-8388-E1033D377581}"/>
    <cellStyle name="Примечание 2 17 3 2 2 3" xfId="43768" xr:uid="{9F4ECA4A-E4E2-4DFA-8BD2-7204EC5045BC}"/>
    <cellStyle name="Примечание 2 17 3 2 3" xfId="25130" xr:uid="{53A62742-A5B7-4B0B-AD8C-A8CF2397D77A}"/>
    <cellStyle name="Примечание 2 17 3 2 4" xfId="38206" xr:uid="{968379DC-ADC8-49CA-9AA4-E244F9DFEDD0}"/>
    <cellStyle name="Примечание 2 17 3 3" xfId="12577" xr:uid="{D4D3719C-1834-4AAB-87BF-CD68CF26E15E}"/>
    <cellStyle name="Примечание 2 17 3 3 2" xfId="29194" xr:uid="{2E2F0DBD-D8C0-4B57-BFC8-BF9CA3DB555F}"/>
    <cellStyle name="Примечание 2 17 3 3 3" xfId="42456" xr:uid="{6EC06BA1-EFFE-4CCA-AE99-46F5F7441C85}"/>
    <cellStyle name="Примечание 2 17 3 4" xfId="22730" xr:uid="{CE4A72CC-9A59-4E81-9A1F-C231FC6F0538}"/>
    <cellStyle name="Примечание 2 17 3 5" xfId="35783" xr:uid="{2C1A5644-AA4F-4725-8281-8C9B55E335E4}"/>
    <cellStyle name="Примечание 2 17 4" xfId="5956" xr:uid="{78D21111-8B2C-4CA2-9255-8950A10C9EA2}"/>
    <cellStyle name="Примечание 2 17 4 2" xfId="9096" xr:uid="{55A6206A-FC4F-428F-84FF-AA8AE1E01684}"/>
    <cellStyle name="Примечание 2 17 4 2 2" xfId="11821" xr:uid="{0F0EC9D4-6098-41EE-9D1C-FBF1051E88F9}"/>
    <cellStyle name="Примечание 2 17 4 2 2 2" xfId="28541" xr:uid="{E8095588-E1AA-4C98-BA0D-AE06E8010641}"/>
    <cellStyle name="Примечание 2 17 4 2 2 3" xfId="41754" xr:uid="{5027A845-311D-493A-B032-9D28EE432F2A}"/>
    <cellStyle name="Примечание 2 17 4 2 3" xfId="26577" xr:uid="{660E3CE1-DE63-436A-A0CD-515D5426DD79}"/>
    <cellStyle name="Примечание 2 17 4 2 4" xfId="39653" xr:uid="{6A864B88-6B5E-4802-9D4A-65F4AEEEF437}"/>
    <cellStyle name="Примечание 2 17 4 3" xfId="11406" xr:uid="{8902543D-0D6A-4F97-8301-D97CFB55D18F}"/>
    <cellStyle name="Примечание 2 17 4 3 2" xfId="28176" xr:uid="{CEC3BC6F-C9FE-474D-986F-76628D208A0B}"/>
    <cellStyle name="Примечание 2 17 4 3 3" xfId="41367" xr:uid="{29C04EAC-DCED-4230-8E14-67168D745F18}"/>
    <cellStyle name="Примечание 2 17 4 4" xfId="23603" xr:uid="{89853EEF-A7F0-4BDC-B93C-EF1A12EB38B5}"/>
    <cellStyle name="Примечание 2 17 4 5" xfId="36684" xr:uid="{F54DB6A9-E8AF-4668-9076-711E1C5D378A}"/>
    <cellStyle name="Примечание 2 17 5" xfId="17473" xr:uid="{A2A04956-6087-4F67-BD40-99883CF5D6CA}"/>
    <cellStyle name="Примечание 2 17 5 2" xfId="33216" xr:uid="{8CAE7BFE-3711-4F16-8F2E-EF9B90D188BA}"/>
    <cellStyle name="Примечание 2 17 5 3" xfId="47002" xr:uid="{01DF6187-BF58-47B0-ABD0-D63918B417AE}"/>
    <cellStyle name="Примечание 2 17 6" xfId="21870" xr:uid="{D8C353E9-345D-4AB5-AC25-B666614A0907}"/>
    <cellStyle name="Примечание 2 17 7" xfId="34919" xr:uid="{3F3BCF62-587E-4F47-972B-56B9853701F2}"/>
    <cellStyle name="Примечание 2 18" xfId="3864" xr:uid="{DF0682E6-F051-4E1B-9CC3-D2A474C03BB6}"/>
    <cellStyle name="Примечание 2 18 2" xfId="3124" xr:uid="{A579E6B9-8DC5-4E2F-83D7-8D16C87BC9E8}"/>
    <cellStyle name="Примечание 2 18 2 2" xfId="8416" xr:uid="{6D5D0A67-E85F-442E-ADA7-6805E1A176EA}"/>
    <cellStyle name="Примечание 2 18 2 2 2" xfId="13670" xr:uid="{72BA213B-1F16-4100-8DF2-B4EDE6CFEE8C}"/>
    <cellStyle name="Примечание 2 18 2 2 2 2" xfId="30095" xr:uid="{D96C3C01-D5E9-492C-909E-AA9D5AF1A19B}"/>
    <cellStyle name="Примечание 2 18 2 2 2 3" xfId="43454" xr:uid="{1700FC79-6462-40E3-A369-D7623DBC0649}"/>
    <cellStyle name="Примечание 2 18 2 2 3" xfId="25918" xr:uid="{D230B4DE-B413-4C31-A18E-BC4BAE072B5E}"/>
    <cellStyle name="Примечание 2 18 2 2 4" xfId="38994" xr:uid="{D316742D-6385-4547-B7B5-0E81B5F71A8E}"/>
    <cellStyle name="Примечание 2 18 2 3" xfId="6783" xr:uid="{01F794AB-92C5-4656-A7C1-BB9087997B18}"/>
    <cellStyle name="Примечание 2 18 2 3 2" xfId="15341" xr:uid="{DA2C5D7C-9A83-46A1-93EF-1FDF438D0DB9}"/>
    <cellStyle name="Примечание 2 18 2 3 2 2" xfId="31498" xr:uid="{CBD021DF-F05D-48BB-B853-50CE970235C4}"/>
    <cellStyle name="Примечание 2 18 2 3 2 3" xfId="44984" xr:uid="{8646D4D8-A881-49C9-8F71-27CDDF61B58A}"/>
    <cellStyle name="Примечание 2 18 2 3 3" xfId="24409" xr:uid="{C88EC7E9-CDFA-49B7-9EF5-4DC40923FE7F}"/>
    <cellStyle name="Примечание 2 18 2 3 4" xfId="37490" xr:uid="{AD82A9A9-DC28-4BCB-8979-E2B6B1D35A37}"/>
    <cellStyle name="Примечание 2 18 2 4" xfId="15994" xr:uid="{9B99E0DD-0CA7-4575-BB7E-0F812CD0A87A}"/>
    <cellStyle name="Примечание 2 18 2 4 2" xfId="32065" xr:uid="{88DF984F-7C36-4AC8-8FB1-6D82A5E9981C}"/>
    <cellStyle name="Примечание 2 18 2 4 3" xfId="45584" xr:uid="{70A665C7-CF76-4C87-9B2D-2410906AB38D}"/>
    <cellStyle name="Примечание 2 18 2 5" xfId="21161" xr:uid="{502E9B74-CAC8-4860-840A-B9413F023CA6}"/>
    <cellStyle name="Примечание 2 18 2 6" xfId="34184" xr:uid="{DB926AC8-7035-4E46-8A1B-A6C15A26754F}"/>
    <cellStyle name="Примечание 2 18 3" xfId="4804" xr:uid="{0E1DFB7B-A777-46AF-BC75-EA5F966ABFC7}"/>
    <cellStyle name="Примечание 2 18 3 2" xfId="7448" xr:uid="{9558CD89-AF43-4EED-83F5-477DA14F5B09}"/>
    <cellStyle name="Примечание 2 18 3 2 2" xfId="11235" xr:uid="{A4B0109C-DB1D-400F-9E19-C10B65A75890}"/>
    <cellStyle name="Примечание 2 18 3 2 2 2" xfId="28028" xr:uid="{B26381C7-3382-4750-9111-08907E087E24}"/>
    <cellStyle name="Примечание 2 18 3 2 2 3" xfId="41210" xr:uid="{F1C99FB8-1BE0-4182-B4C7-EC8E96102B8D}"/>
    <cellStyle name="Примечание 2 18 3 2 3" xfId="25005" xr:uid="{25804F6F-E523-4F16-949E-26AE7AEE5D75}"/>
    <cellStyle name="Примечание 2 18 3 2 4" xfId="38081" xr:uid="{CA2006ED-9CD7-4FE0-983D-A35986ACE730}"/>
    <cellStyle name="Примечание 2 18 3 3" xfId="15652" xr:uid="{13C4CA4B-D643-4746-BA84-FF76050BFBD4}"/>
    <cellStyle name="Примечание 2 18 3 3 2" xfId="31770" xr:uid="{B0F1F6AD-A1B6-4B55-BA98-C823434588EA}"/>
    <cellStyle name="Примечание 2 18 3 3 3" xfId="45275" xr:uid="{523DB086-89AB-40BE-B036-02246D17F23A}"/>
    <cellStyle name="Примечание 2 18 3 4" xfId="22606" xr:uid="{A7DE60A8-57B4-4485-826D-9932E6EF6646}"/>
    <cellStyle name="Примечание 2 18 3 5" xfId="35659" xr:uid="{C9E8B12E-1241-4032-986D-86A8C64A8DDA}"/>
    <cellStyle name="Примечание 2 18 4" xfId="5831" xr:uid="{52EB119D-3AB4-45B7-BF21-AC3A7DC9C18C}"/>
    <cellStyle name="Примечание 2 18 4 2" xfId="8989" xr:uid="{029741D3-729C-417B-B01A-CBE3A4E814CC}"/>
    <cellStyle name="Примечание 2 18 4 2 2" xfId="13436" xr:uid="{EE292D0F-61E7-4144-9736-0372A3F9A8FE}"/>
    <cellStyle name="Примечание 2 18 4 2 2 2" xfId="29901" xr:uid="{D771EC1A-3FE1-4CB5-BD0C-1292037633C8}"/>
    <cellStyle name="Примечание 2 18 4 2 2 3" xfId="43239" xr:uid="{C5A55A19-D8C5-48E1-86E7-0104CED93E11}"/>
    <cellStyle name="Примечание 2 18 4 2 3" xfId="26474" xr:uid="{0C2DDC02-7880-477B-9340-D0FC7ACBF0DE}"/>
    <cellStyle name="Примечание 2 18 4 2 4" xfId="39550" xr:uid="{4EE4E6F1-F018-4B3A-A2C8-BE85C5BDA996}"/>
    <cellStyle name="Примечание 2 18 4 3" xfId="11792" xr:uid="{AD6D4D70-67F9-4A72-8A88-FBC29353973F}"/>
    <cellStyle name="Примечание 2 18 4 3 2" xfId="28514" xr:uid="{247E97E9-E736-4648-A8FF-40CC95734C32}"/>
    <cellStyle name="Примечание 2 18 4 3 3" xfId="41726" xr:uid="{7D49F3DA-BB3D-43D5-A99A-F5959CCC83AC}"/>
    <cellStyle name="Примечание 2 18 4 4" xfId="23478" xr:uid="{CF5702E4-D447-4518-B4C9-D1AAF8CFB633}"/>
    <cellStyle name="Примечание 2 18 4 5" xfId="36559" xr:uid="{BFD62B07-5551-4022-AB7E-7E22BCB54AA5}"/>
    <cellStyle name="Примечание 2 18 5" xfId="11062" xr:uid="{A3D2801C-3311-47E3-8396-52599EA8C772}"/>
    <cellStyle name="Примечание 2 18 5 2" xfId="27865" xr:uid="{47E728AF-8EC9-4B04-AF1F-EDBBFE1091F1}"/>
    <cellStyle name="Примечание 2 18 5 3" xfId="41041" xr:uid="{92929388-7CC9-4F9F-B11E-DF5FF6AB7F92}"/>
    <cellStyle name="Примечание 2 18 6" xfId="21740" xr:uid="{B5207CE5-E39A-44DB-978E-943FB3E335DF}"/>
    <cellStyle name="Примечание 2 18 7" xfId="34794" xr:uid="{0F8F849E-9F09-4E94-978F-89D3514EB902}"/>
    <cellStyle name="Примечание 2 19" xfId="4016" xr:uid="{E904871E-70D9-4D5B-900C-4B9CAA5A8780}"/>
    <cellStyle name="Примечание 2 19 2" xfId="3259" xr:uid="{CB72B41A-5888-40E1-9AC5-FA55DBB60C41}"/>
    <cellStyle name="Примечание 2 19 2 2" xfId="8546" xr:uid="{9752364C-F778-474C-8AED-AEC202236A9A}"/>
    <cellStyle name="Примечание 2 19 2 2 2" xfId="16858" xr:uid="{8C2A00F1-2F68-4959-8A6B-6C0FF1D3A29C}"/>
    <cellStyle name="Примечание 2 19 2 2 2 2" xfId="32735" xr:uid="{7B2AAD59-047A-4F02-9C13-DD20FDA74B54}"/>
    <cellStyle name="Примечание 2 19 2 2 2 3" xfId="46400" xr:uid="{17A4E8BF-A520-4EC1-AAAC-CEFBF8FB991A}"/>
    <cellStyle name="Примечание 2 19 2 2 3" xfId="26045" xr:uid="{691EB3DA-B625-45B8-A467-A38A44481F8A}"/>
    <cellStyle name="Примечание 2 19 2 2 4" xfId="39121" xr:uid="{B790E0F8-1E34-4EAD-8D73-CD45DBDE4FF8}"/>
    <cellStyle name="Примечание 2 19 2 3" xfId="6917" xr:uid="{DB543EA9-6BF4-4E6A-BF19-944474043BBA}"/>
    <cellStyle name="Примечание 2 19 2 3 2" xfId="10623" xr:uid="{AA7C8F92-1B47-4E5D-A588-E466443BFE94}"/>
    <cellStyle name="Примечание 2 19 2 3 2 2" xfId="27482" xr:uid="{FDD13676-A5A4-4B4A-A96E-4A3396F31DB2}"/>
    <cellStyle name="Примечание 2 19 2 3 2 3" xfId="40604" xr:uid="{66848873-B769-4768-A4E0-76446F2093F1}"/>
    <cellStyle name="Примечание 2 19 2 3 3" xfId="24540" xr:uid="{BC361EB8-058A-4CD3-8DAC-DAFC14BA652D}"/>
    <cellStyle name="Примечание 2 19 2 3 4" xfId="37621" xr:uid="{956B60AB-5432-4A21-A36B-F64B1BF24614}"/>
    <cellStyle name="Примечание 2 19 2 4" xfId="15626" xr:uid="{C4F0450E-BBB3-4A40-B9B4-5E19929D47A1}"/>
    <cellStyle name="Примечание 2 19 2 4 2" xfId="31746" xr:uid="{197E6784-9012-4D4E-A3E1-AF076BBC215F}"/>
    <cellStyle name="Примечание 2 19 2 4 3" xfId="45250" xr:uid="{4757AD9A-5F53-4759-BDE4-EB94C35A097C}"/>
    <cellStyle name="Примечание 2 19 2 5" xfId="21292" xr:uid="{37D39AF0-A314-4AB3-AC23-B5513374CE95}"/>
    <cellStyle name="Примечание 2 19 2 6" xfId="34315" xr:uid="{4C1E313A-242D-4E4F-81F1-E50C5B7EE3F2}"/>
    <cellStyle name="Примечание 2 19 3" xfId="4922" xr:uid="{87D35020-14F6-4CCF-B047-1C3352EC3593}"/>
    <cellStyle name="Примечание 2 19 3 2" xfId="7590" xr:uid="{57F14A53-6DEF-4126-8925-FAC6DA0DBEAB}"/>
    <cellStyle name="Примечание 2 19 3 2 2" xfId="14700" xr:uid="{4A7DFE94-FFAE-496E-9229-8B75F5BA675D}"/>
    <cellStyle name="Примечание 2 19 3 2 2 2" xfId="30990" xr:uid="{08E36920-AA05-4F09-8210-A5DC398CD5D4}"/>
    <cellStyle name="Примечание 2 19 3 2 2 3" xfId="44412" xr:uid="{2378A3C1-CB9E-40CA-9565-0CF5158D64AE}"/>
    <cellStyle name="Примечание 2 19 3 2 3" xfId="25118" xr:uid="{BC8D23DD-EED0-493A-8976-4D6D557C52BA}"/>
    <cellStyle name="Примечание 2 19 3 2 4" xfId="38194" xr:uid="{45581A85-41CF-4D76-AE1A-50DC96C8696B}"/>
    <cellStyle name="Примечание 2 19 3 3" xfId="13769" xr:uid="{A6A8C423-0F19-469C-8FA3-D020DF45AC3D}"/>
    <cellStyle name="Примечание 2 19 3 3 2" xfId="30178" xr:uid="{01FFFC68-D87E-4AE1-9032-4DBAF1924B6B}"/>
    <cellStyle name="Примечание 2 19 3 3 3" xfId="43542" xr:uid="{C964E1CF-F1B2-45D4-99F3-05ACF124D16B}"/>
    <cellStyle name="Примечание 2 19 3 4" xfId="22719" xr:uid="{812E4A7F-143A-49E7-A06B-4CC6DE4609EE}"/>
    <cellStyle name="Примечание 2 19 3 5" xfId="35772" xr:uid="{A7C97420-A26D-4AA8-BD88-8138BC5EFB07}"/>
    <cellStyle name="Примечание 2 19 4" xfId="5944" xr:uid="{582C3404-045D-4F58-9D6B-61C540EE7CB4}"/>
    <cellStyle name="Примечание 2 19 4 2" xfId="9091" xr:uid="{BFF8158B-D15E-46F0-9AE7-23745B4D7583}"/>
    <cellStyle name="Примечание 2 19 4 2 2" xfId="12436" xr:uid="{BFC8AD29-2D5A-49E0-B6C0-F39FC6FC1C30}"/>
    <cellStyle name="Примечание 2 19 4 2 2 2" xfId="29090" xr:uid="{8EDE5F8C-066C-4481-A245-42333986F2DD}"/>
    <cellStyle name="Примечание 2 19 4 2 2 3" xfId="42335" xr:uid="{1E16630D-EAC1-4DC5-B216-8EFA3AC2A8E8}"/>
    <cellStyle name="Примечание 2 19 4 2 3" xfId="26572" xr:uid="{9319BAE6-0A22-487D-BC3D-00D88FE7F070}"/>
    <cellStyle name="Примечание 2 19 4 2 4" xfId="39648" xr:uid="{B485D91C-E636-406A-89D0-1BEAC7C49413}"/>
    <cellStyle name="Примечание 2 19 4 3" xfId="15735" xr:uid="{F19D728E-5098-46F1-B9D4-5D9F09E9F7D4}"/>
    <cellStyle name="Примечание 2 19 4 3 2" xfId="31844" xr:uid="{88A896DE-5A95-474A-87BE-6CC716D82C6B}"/>
    <cellStyle name="Примечание 2 19 4 3 3" xfId="45354" xr:uid="{96FF5A72-B8AE-454D-ACE1-D31275B50C33}"/>
    <cellStyle name="Примечание 2 19 4 4" xfId="23591" xr:uid="{EA0EABC0-D4FB-4601-BF50-1597F4BEDA08}"/>
    <cellStyle name="Примечание 2 19 4 5" xfId="36672" xr:uid="{93127A34-7D51-4340-873A-0BE0820D6103}"/>
    <cellStyle name="Примечание 2 19 5" xfId="16416" xr:uid="{00076922-830B-4D8A-8577-1E38E417D74C}"/>
    <cellStyle name="Примечание 2 19 5 2" xfId="32431" xr:uid="{ED472148-9484-40B7-B103-EEE41F115D59}"/>
    <cellStyle name="Примечание 2 19 5 3" xfId="45967" xr:uid="{D736C5B5-1718-4A72-A5D6-5EA779316576}"/>
    <cellStyle name="Примечание 2 19 6" xfId="21858" xr:uid="{F4683FE2-A9FB-4ABB-8DB8-44F37EC00700}"/>
    <cellStyle name="Примечание 2 19 7" xfId="34907" xr:uid="{1043ABE8-BFDD-4B0E-8B33-CFBE525BDBA7}"/>
    <cellStyle name="Примечание 2 2" xfId="3496" xr:uid="{6B4993F4-BC89-485D-831E-5BFD9443B0ED}"/>
    <cellStyle name="Примечание 2 2 10" xfId="20512" xr:uid="{496D43B5-AE79-41BE-B141-095C1696483D}"/>
    <cellStyle name="Примечание 2 2 11" xfId="34512" xr:uid="{9D03CB2F-DE72-4F38-B572-1033C9AE5893}"/>
    <cellStyle name="Примечание 2 2 2" xfId="2838" xr:uid="{02E8AD29-F1AD-4A10-B524-5997C4AE3E2F}"/>
    <cellStyle name="Примечание 2 2 2 2" xfId="5158" xr:uid="{FEAC9A38-DE02-4ECF-B273-F3015BD01BD4}"/>
    <cellStyle name="Примечание 2 2 2 2 2" xfId="8134" xr:uid="{2A5E3B9E-1703-43E1-B9D0-A5FC93B7B680}"/>
    <cellStyle name="Примечание 2 2 2 2 2 2" xfId="10988" xr:uid="{15BA5FFF-E418-46D8-811F-25422E680D9B}"/>
    <cellStyle name="Примечание 2 2 2 2 2 2 2" xfId="27795" xr:uid="{DA65419C-824B-48CE-AFD3-7C93A2B50F20}"/>
    <cellStyle name="Примечание 2 2 2 2 2 2 3" xfId="40968" xr:uid="{7EBF2B11-032F-4F02-AA2E-A0C5247474C2}"/>
    <cellStyle name="Примечание 2 2 2 2 2 3" xfId="25645" xr:uid="{F356BBF5-3EB6-40B5-87B8-1424E4D435B0}"/>
    <cellStyle name="Примечание 2 2 2 2 2 4" xfId="38721" xr:uid="{3F9A4B00-E29D-4EC8-9024-6A7CA11C60C2}"/>
    <cellStyle name="Примечание 2 2 2 2 3" xfId="14097" xr:uid="{7BAB3C91-E61D-409A-9829-045522A17F12}"/>
    <cellStyle name="Примечание 2 2 2 2 3 2" xfId="30464" xr:uid="{273078A3-CB8D-42A7-B08B-C27B36A8D0ED}"/>
    <cellStyle name="Примечание 2 2 2 2 3 3" xfId="43847" xr:uid="{75B1D2F1-878D-48FA-A285-C472752AB9B9}"/>
    <cellStyle name="Примечание 2 2 2 2 4" xfId="22849" xr:uid="{EE08D8FA-0C8B-4E5E-B7C7-E6E587543207}"/>
    <cellStyle name="Примечание 2 2 2 2 5" xfId="35915" xr:uid="{8D0A84FD-4D65-4D5C-AEF8-6948E0CDDB21}"/>
    <cellStyle name="Примечание 2 2 2 3" xfId="6501" xr:uid="{3FFD62D9-3EA0-4A29-A1FB-C5F60CF3093F}"/>
    <cellStyle name="Примечание 2 2 2 3 2" xfId="16697" xr:uid="{8387BB6B-BEC7-4169-80B4-C5173D470926}"/>
    <cellStyle name="Примечание 2 2 2 3 2 2" xfId="32583" xr:uid="{DC6870F9-0014-4617-B358-516581095470}"/>
    <cellStyle name="Примечание 2 2 2 3 2 3" xfId="46242" xr:uid="{BF968F7D-724E-4FC5-B89B-6B7640A0D706}"/>
    <cellStyle name="Примечание 2 2 2 3 3" xfId="24136" xr:uid="{E615B7AB-1987-4315-B7BE-F2EDEB9447B6}"/>
    <cellStyle name="Примечание 2 2 2 3 4" xfId="37217" xr:uid="{D46E2E2E-274A-4596-8B3E-E78E78762969}"/>
    <cellStyle name="Примечание 2 2 2 4" xfId="11135" xr:uid="{9B88476B-3D12-47F2-B044-20FFB62E6890}"/>
    <cellStyle name="Примечание 2 2 2 4 2" xfId="27933" xr:uid="{6AD827CA-6143-4C93-A6EF-08F222A6B749}"/>
    <cellStyle name="Примечание 2 2 2 4 3" xfId="41113" xr:uid="{A89F571B-7AB7-4C3B-B124-D504BB63D5FC}"/>
    <cellStyle name="Примечание 2 2 2 5" xfId="20888" xr:uid="{74F7E9EB-2629-4EA9-B915-37082B0B18C5}"/>
    <cellStyle name="Примечание 2 2 2 6" xfId="33911" xr:uid="{3F084B63-6997-4744-88D0-AC3AC11FC48D}"/>
    <cellStyle name="Примечание 2 2 3" xfId="4187" xr:uid="{8C2E0292-D27F-4474-BC08-6CB1885B24C0}"/>
    <cellStyle name="Примечание 2 2 3 2" xfId="5219" xr:uid="{142D1AD6-3106-4B27-9475-D669FD17311B}"/>
    <cellStyle name="Примечание 2 2 3 2 2" xfId="9239" xr:uid="{6814A3F2-BEF7-4624-BF5D-4A81EB4586FE}"/>
    <cellStyle name="Примечание 2 2 3 2 2 2" xfId="11096" xr:uid="{72E96A94-8E14-42C0-A39C-442E252A5302}"/>
    <cellStyle name="Примечание 2 2 3 2 2 2 2" xfId="27897" xr:uid="{A2A8971C-A9B8-4E9F-B3C5-41092D447FF1}"/>
    <cellStyle name="Примечание 2 2 3 2 2 2 3" xfId="41075" xr:uid="{4D0F7335-43B8-4EBB-9803-753EEA531307}"/>
    <cellStyle name="Примечание 2 2 3 2 2 3" xfId="26714" xr:uid="{65D8C717-D363-4B7E-ACF1-CE202C78DF0A}"/>
    <cellStyle name="Примечание 2 2 3 2 2 4" xfId="39790" xr:uid="{B897F586-349B-485B-A113-B1044FE497C1}"/>
    <cellStyle name="Примечание 2 2 3 2 3" xfId="13966" xr:uid="{B314B61B-01A9-4F53-9093-9C872AE4A1CB}"/>
    <cellStyle name="Примечание 2 2 3 2 3 2" xfId="30353" xr:uid="{80BA4138-9CAC-463F-ACAE-653010DE5718}"/>
    <cellStyle name="Примечание 2 2 3 2 3 3" xfId="43730" xr:uid="{134860C8-60FC-42AB-8937-5B5302FFC100}"/>
    <cellStyle name="Примечание 2 2 3 2 4" xfId="22891" xr:uid="{E075E2EB-A127-4D43-8B8E-B92AB3C68789}"/>
    <cellStyle name="Примечание 2 2 3 2 5" xfId="35962" xr:uid="{22E7088F-ED4B-4AB5-9625-8EF88E91A793}"/>
    <cellStyle name="Примечание 2 2 3 3" xfId="7751" xr:uid="{EB0076CD-84D6-4A2B-A659-624A4A2645AA}"/>
    <cellStyle name="Примечание 2 2 3 3 2" xfId="14544" xr:uid="{AD607777-1072-4BD4-B164-CAD25F6AFF01}"/>
    <cellStyle name="Примечание 2 2 3 3 2 2" xfId="30855" xr:uid="{2C71A2BF-4686-4554-B275-5077C067E447}"/>
    <cellStyle name="Примечание 2 2 3 3 2 3" xfId="44267" xr:uid="{1FE68922-C872-4F9E-8746-C354D0669105}"/>
    <cellStyle name="Примечание 2 2 3 3 3" xfId="25273" xr:uid="{9E266613-5B37-4879-9C2A-36972AD67B41}"/>
    <cellStyle name="Примечание 2 2 3 3 4" xfId="38349" xr:uid="{8E5C0C96-980D-4099-853A-433C3F82C705}"/>
    <cellStyle name="Примечание 2 2 3 4" xfId="14960" xr:uid="{C91DDFAB-679D-4CEF-A91C-254DF84C73E7}"/>
    <cellStyle name="Примечание 2 2 3 4 2" xfId="31198" xr:uid="{4C87367E-6E3D-48A1-B563-29EAFDFD8A9A}"/>
    <cellStyle name="Примечание 2 2 3 4 3" xfId="44645" xr:uid="{59456620-2982-4599-A383-47DD3F3E3B5C}"/>
    <cellStyle name="Примечание 2 2 3 5" xfId="22014" xr:uid="{CC9E37B6-127A-4441-B5AE-7DFABA189E99}"/>
    <cellStyle name="Примечание 2 2 3 6" xfId="35063" xr:uid="{92AA1F85-CA7D-4B93-8ECC-30785C499EA6}"/>
    <cellStyle name="Примечание 2 2 4" xfId="2517" xr:uid="{BF274EBA-1F2A-46B0-BF5D-4798F75282F4}"/>
    <cellStyle name="Примечание 2 2 4 2" xfId="5164" xr:uid="{F540C8FB-985A-4BD5-9A5C-406B879D3A7F}"/>
    <cellStyle name="Примечание 2 2 4 2 2" xfId="6144" xr:uid="{57361651-6995-4404-AFF8-5189D8E18A67}"/>
    <cellStyle name="Примечание 2 2 4 2 2 2" xfId="13302" xr:uid="{39363383-1069-4C73-B618-B990E80B34DA}"/>
    <cellStyle name="Примечание 2 2 4 2 2 2 2" xfId="29789" xr:uid="{EE417776-EB4C-45F6-A242-DA0FFF14CF3D}"/>
    <cellStyle name="Примечание 2 2 4 2 2 2 3" xfId="43117" xr:uid="{886A2D44-F107-4F0E-9C4C-AE17A7276A9D}"/>
    <cellStyle name="Примечание 2 2 4 2 2 3" xfId="23789" xr:uid="{DA01A204-4192-49A8-9D60-F99817BAB6C8}"/>
    <cellStyle name="Примечание 2 2 4 2 2 4" xfId="36870" xr:uid="{2204C30B-7F93-4EF7-8CF4-AA3F249BC147}"/>
    <cellStyle name="Примечание 2 2 4 2 3" xfId="13560" xr:uid="{591A3927-7BB7-43D6-94F8-F536CEB4D387}"/>
    <cellStyle name="Примечание 2 2 4 2 3 2" xfId="30004" xr:uid="{EEC2D8D2-6166-4BD9-AE89-35818A7C3CEA}"/>
    <cellStyle name="Примечание 2 2 4 2 3 3" xfId="43353" xr:uid="{05116FBB-4E91-4241-868E-1A20D1C6B3EF}"/>
    <cellStyle name="Примечание 2 2 4 2 4" xfId="22854" xr:uid="{79847781-DADC-4AF6-9628-5A78DFD5A789}"/>
    <cellStyle name="Примечание 2 2 4 2 5" xfId="35920" xr:uid="{79AF4776-7066-4A9A-8691-0184D7646CDC}"/>
    <cellStyle name="Примечание 2 2 4 3" xfId="6183" xr:uid="{7668D9AD-B196-4E3D-9A6D-7B233E705DC1}"/>
    <cellStyle name="Примечание 2 2 4 3 2" xfId="13903" xr:uid="{A684FF6B-A3A5-4214-9451-81F180C107B4}"/>
    <cellStyle name="Примечание 2 2 4 3 2 2" xfId="30295" xr:uid="{775FE1E4-25DB-454C-9E84-2AED8E41D7E9}"/>
    <cellStyle name="Примечание 2 2 4 3 2 3" xfId="43668" xr:uid="{BBA4A252-C308-4607-A27F-C88405E2F94C}"/>
    <cellStyle name="Примечание 2 2 4 3 3" xfId="23828" xr:uid="{F87A7F07-B838-4443-8FE0-CE8C337EE42B}"/>
    <cellStyle name="Примечание 2 2 4 3 4" xfId="36909" xr:uid="{9DA914F3-7596-4F12-A9F0-385BC2A86B72}"/>
    <cellStyle name="Примечание 2 2 4 4" xfId="14787" xr:uid="{1E167988-5364-4831-9CCE-51DA623CB639}"/>
    <cellStyle name="Примечание 2 2 4 4 2" xfId="31053" xr:uid="{9F11458F-35D2-4362-91C1-DBBE606A570E}"/>
    <cellStyle name="Примечание 2 2 4 4 3" xfId="44485" xr:uid="{6B29B95B-9EF4-444A-B32E-C2A764DCA81A}"/>
    <cellStyle name="Примечание 2 2 4 5" xfId="20580" xr:uid="{807957FB-7E3C-4692-AC79-07BD703F5FCC}"/>
    <cellStyle name="Примечание 2 2 4 6" xfId="33603" xr:uid="{B10F20A7-5A21-4095-B773-88877C9B4592}"/>
    <cellStyle name="Примечание 2 2 5" xfId="4131" xr:uid="{78969E04-4A26-4FE0-ADEE-AF7F0161A655}"/>
    <cellStyle name="Примечание 2 2 5 2" xfId="5230" xr:uid="{E32942C7-FE7C-4910-B756-E51805697F43}"/>
    <cellStyle name="Примечание 2 2 5 2 2" xfId="9183" xr:uid="{255B5BF1-4E15-499B-AFF1-1D0C5DD1C187}"/>
    <cellStyle name="Примечание 2 2 5 2 2 2" xfId="16799" xr:uid="{F97E3E39-B8FA-4938-9023-5F4346C916BE}"/>
    <cellStyle name="Примечание 2 2 5 2 2 2 2" xfId="32680" xr:uid="{0C5E43CC-FE40-4B6E-A982-BB2697AED112}"/>
    <cellStyle name="Примечание 2 2 5 2 2 2 3" xfId="46342" xr:uid="{D231006B-17DC-4190-A5BE-1866EF8D11B3}"/>
    <cellStyle name="Примечание 2 2 5 2 2 3" xfId="26661" xr:uid="{F34BDF8D-6F4E-46D3-AE74-DBC98924D075}"/>
    <cellStyle name="Примечание 2 2 5 2 2 4" xfId="39737" xr:uid="{053F4C28-9953-466C-9BCC-F2B73F5F57EE}"/>
    <cellStyle name="Примечание 2 2 5 2 3" xfId="13751" xr:uid="{100593D6-7B2B-460A-906A-8A2B94F5BB52}"/>
    <cellStyle name="Примечание 2 2 5 2 3 2" xfId="30164" xr:uid="{6A2AF584-72B5-472C-A3B0-57A721C4E0DF}"/>
    <cellStyle name="Примечание 2 2 5 2 3 3" xfId="43526" xr:uid="{72551CF6-E6B6-4375-9D7C-3812E172253F}"/>
    <cellStyle name="Примечание 2 2 5 2 4" xfId="22897" xr:uid="{9CC9CA03-09C0-4EE4-8965-B85736CE32D9}"/>
    <cellStyle name="Примечание 2 2 5 2 5" xfId="35970" xr:uid="{9B53F283-6364-4497-B95D-CF2D9F73E8B5}"/>
    <cellStyle name="Примечание 2 2 5 3" xfId="7695" xr:uid="{1EE88825-EBAD-4C97-9E90-99CD5A988D27}"/>
    <cellStyle name="Примечание 2 2 5 3 2" xfId="14122" xr:uid="{32EF8441-7D07-48FB-B45A-E8D3ECEFEEFC}"/>
    <cellStyle name="Примечание 2 2 5 3 2 2" xfId="30487" xr:uid="{87C50263-AE72-4FD4-BB55-F75740A9F1A6}"/>
    <cellStyle name="Примечание 2 2 5 3 2 3" xfId="43870" xr:uid="{494EC187-E389-4340-9C5D-F8253DA4AB5A}"/>
    <cellStyle name="Примечание 2 2 5 3 3" xfId="25220" xr:uid="{F9FFE696-53D9-4EEC-9877-A89DF5B86A33}"/>
    <cellStyle name="Примечание 2 2 5 3 4" xfId="38296" xr:uid="{995E80A8-B95E-4E5E-869C-684D0E8AF2A8}"/>
    <cellStyle name="Примечание 2 2 5 4" xfId="13814" xr:uid="{5D15E860-B5B1-4262-A403-4F1CB7D677F8}"/>
    <cellStyle name="Примечание 2 2 5 4 2" xfId="30217" xr:uid="{FFD80828-0E05-4852-BC03-BACBB25CDB76}"/>
    <cellStyle name="Примечание 2 2 5 4 3" xfId="43586" xr:uid="{1FCC23CC-5E5F-4E14-B944-532A5054804C}"/>
    <cellStyle name="Примечание 2 2 5 5" xfId="21961" xr:uid="{814FCD93-E2CE-43AC-B772-7E0466BF9D6F}"/>
    <cellStyle name="Примечание 2 2 5 6" xfId="35010" xr:uid="{6684A486-EBB8-4245-A001-D916CD84B207}"/>
    <cellStyle name="Примечание 2 2 6" xfId="4498" xr:uid="{4897258F-259D-4B46-8C90-47AB3C6D8F9B}"/>
    <cellStyle name="Примечание 2 2 6 2" xfId="7138" xr:uid="{615E537D-B696-46DB-A3FE-20E6090C5473}"/>
    <cellStyle name="Примечание 2 2 6 2 2" xfId="15337" xr:uid="{814DF499-6CB9-460D-8495-7A579BF4EF0C}"/>
    <cellStyle name="Примечание 2 2 6 2 2 2" xfId="31494" xr:uid="{05E36E56-4DB5-4025-BFDC-4358BC5353EB}"/>
    <cellStyle name="Примечание 2 2 6 2 2 3" xfId="44980" xr:uid="{29DC8B02-C2BA-48C3-8C62-A1EB8C8E67CC}"/>
    <cellStyle name="Примечание 2 2 6 2 3" xfId="24737" xr:uid="{6D5C7768-0189-41B8-82C8-EE8CED8283DC}"/>
    <cellStyle name="Примечание 2 2 6 2 4" xfId="37818" xr:uid="{873FB4A0-C475-4190-927A-C825C7AF4FF0}"/>
    <cellStyle name="Примечание 2 2 6 3" xfId="14917" xr:uid="{9066BA92-9D62-4C45-B574-EBBA817DB554}"/>
    <cellStyle name="Примечание 2 2 6 3 2" xfId="31163" xr:uid="{19AD5774-0D1A-401B-8517-956467F16A1C}"/>
    <cellStyle name="Примечание 2 2 6 3 3" xfId="44606" xr:uid="{A031FEB9-BB02-418D-B7F3-374F2F6EE82F}"/>
    <cellStyle name="Примечание 2 2 6 4" xfId="22316" xr:uid="{A68070C3-7967-4B82-8873-9808AF43C11C}"/>
    <cellStyle name="Примечание 2 2 6 5" xfId="35365" xr:uid="{3B462DDB-E774-414E-A518-89332250C2B7}"/>
    <cellStyle name="Примечание 2 2 7" xfId="5551" xr:uid="{2B316755-C65D-4E2E-BAD2-C4D10A2CE2EE}"/>
    <cellStyle name="Примечание 2 2 7 2" xfId="8733" xr:uid="{DCC7C835-1A22-494C-911C-9B361DBDD1C0}"/>
    <cellStyle name="Примечание 2 2 7 2 2" xfId="12230" xr:uid="{403A0E37-98DA-465C-B9AD-AE63A5D17217}"/>
    <cellStyle name="Примечание 2 2 7 2 2 2" xfId="28912" xr:uid="{95E7BE64-B657-4B62-972E-B0AB1F10DFBB}"/>
    <cellStyle name="Примечание 2 2 7 2 2 3" xfId="42145" xr:uid="{08E55A04-82C7-4B38-98AA-0264092EE7F5}"/>
    <cellStyle name="Примечание 2 2 7 2 3" xfId="26226" xr:uid="{F604E44C-638F-407A-9221-86A47CC07518}"/>
    <cellStyle name="Примечание 2 2 7 2 4" xfId="39302" xr:uid="{28FC6582-AD15-442A-B552-2D09E3287B2F}"/>
    <cellStyle name="Примечание 2 2 7 3" xfId="11394" xr:uid="{D3D890FC-96B7-4F3D-A594-29BA0391FDF5}"/>
    <cellStyle name="Примечание 2 2 7 3 2" xfId="28166" xr:uid="{375F854C-6868-4AFC-AD3B-4F189A80DEE7}"/>
    <cellStyle name="Примечание 2 2 7 3 3" xfId="41356" xr:uid="{D56F05BE-E5A9-4B99-A8E9-A86135282EF5}"/>
    <cellStyle name="Примечание 2 2 7 4" xfId="23198" xr:uid="{3F3EB91B-44C7-47A6-927D-20B298A841AE}"/>
    <cellStyle name="Примечание 2 2 7 5" xfId="36279" xr:uid="{90EE3A00-281C-4E27-B81C-60A8B334892C}"/>
    <cellStyle name="Примечание 2 2 8" xfId="16226" xr:uid="{EC251C45-AB02-473A-AFF6-1F954D3F4BEE}"/>
    <cellStyle name="Примечание 2 2 8 2" xfId="32264" xr:uid="{1D345021-2A4F-48AE-A546-C7E983356009}"/>
    <cellStyle name="Примечание 2 2 8 3" xfId="45792" xr:uid="{61EB363A-EC7A-4287-AC51-D39509874147}"/>
    <cellStyle name="Примечание 2 2 9" xfId="17759" xr:uid="{A436858E-9275-437C-92AB-720C09B74696}"/>
    <cellStyle name="Примечание 2 2 9 2" xfId="33481" xr:uid="{9A62F095-4673-4801-B8A0-EA0A15637120}"/>
    <cellStyle name="Примечание 2 2 9 3" xfId="47260" xr:uid="{29F72958-DBF3-471C-8559-2462DFBD561C}"/>
    <cellStyle name="Примечание 2 20" xfId="3241" xr:uid="{6DCEA9F4-2AC4-4834-A9A8-149054B477E4}"/>
    <cellStyle name="Примечание 2 20 2" xfId="5035" xr:uid="{03D29EB9-867C-4B1C-96AF-90A70E543AEC}"/>
    <cellStyle name="Примечание 2 20 2 2" xfId="8532" xr:uid="{53A2C733-6F97-4BAF-B592-7080A07A6273}"/>
    <cellStyle name="Примечание 2 20 2 2 2" xfId="17421" xr:uid="{18898F4B-D8AC-47CE-968A-45315FBB9B1D}"/>
    <cellStyle name="Примечание 2 20 2 2 2 2" xfId="33175" xr:uid="{DF6C0865-1AF4-44F3-AEEA-7441569D44AD}"/>
    <cellStyle name="Примечание 2 20 2 2 2 3" xfId="46951" xr:uid="{09EAE5F1-C478-4148-9FAD-0448C59D32A2}"/>
    <cellStyle name="Примечание 2 20 2 2 3" xfId="26031" xr:uid="{3430FD3A-6D20-4A80-BF60-B7F8413440EC}"/>
    <cellStyle name="Примечание 2 20 2 2 4" xfId="39107" xr:uid="{FE360042-A3CE-4208-8B0B-52204A488AA1}"/>
    <cellStyle name="Примечание 2 20 2 3" xfId="14439" xr:uid="{68DC322C-1301-4FDA-B3B5-A2028B63C24B}"/>
    <cellStyle name="Примечание 2 20 2 3 2" xfId="30768" xr:uid="{DDC085A9-F083-45FC-9603-8B3E8C070ED6}"/>
    <cellStyle name="Примечание 2 20 2 3 3" xfId="44168" xr:uid="{957173A6-A453-4699-B176-8BF427BB8AE4}"/>
    <cellStyle name="Примечание 2 20 2 4" xfId="22787" xr:uid="{45E90237-8CA1-4820-8E28-F26ECD8591B8}"/>
    <cellStyle name="Примечание 2 20 2 5" xfId="35850" xr:uid="{88DB21F0-2684-4322-A6E9-25D6659A02B9}"/>
    <cellStyle name="Примечание 2 20 3" xfId="6900" xr:uid="{4E99F800-6FFF-4F12-83E5-78F8FA4C4B92}"/>
    <cellStyle name="Примечание 2 20 3 2" xfId="17507" xr:uid="{DC82118A-25C7-4425-B90A-6B54D62DCC08}"/>
    <cellStyle name="Примечание 2 20 3 2 2" xfId="33245" xr:uid="{E7ECE852-9F61-48AC-A771-A00F9216A9E5}"/>
    <cellStyle name="Примечание 2 20 3 2 3" xfId="47032" xr:uid="{FBF8D19E-4707-45A1-986A-818C210E44D2}"/>
    <cellStyle name="Примечание 2 20 3 3" xfId="24523" xr:uid="{802FBB8E-516A-4417-8C47-F4375DEDF3CE}"/>
    <cellStyle name="Примечание 2 20 3 4" xfId="37604" xr:uid="{F540E5A0-0102-4DD7-8AE4-C9D8049FFF9E}"/>
    <cellStyle name="Примечание 2 20 4" xfId="12669" xr:uid="{59DF1843-44AA-4F17-B9B1-DFADEAF80098}"/>
    <cellStyle name="Примечание 2 20 4 2" xfId="29267" xr:uid="{326041AA-16A9-4E70-AA1F-54B2FA71C87A}"/>
    <cellStyle name="Примечание 2 20 4 3" xfId="42538" xr:uid="{CBC35AA9-9DA6-4FD0-91F4-086D966C01A4}"/>
    <cellStyle name="Примечание 2 20 5" xfId="21275" xr:uid="{AB426763-956D-45EE-AFE1-4FDA6B1FD59A}"/>
    <cellStyle name="Примечание 2 20 6" xfId="34298" xr:uid="{5731F505-F536-45C7-9CEE-0583B61D4355}"/>
    <cellStyle name="Примечание 2 21" xfId="2655" xr:uid="{A2951E46-690C-45F3-9F3F-5D50D2BCA675}"/>
    <cellStyle name="Примечание 2 21 2" xfId="7952" xr:uid="{3221017A-39F1-413C-995E-500306252555}"/>
    <cellStyle name="Примечание 2 21 2 2" xfId="15406" xr:uid="{7D237DFD-E6B0-401C-8978-03CCCDE3C4F7}"/>
    <cellStyle name="Примечание 2 21 2 2 2" xfId="31560" xr:uid="{F9DBA45A-FC5A-4B6B-A725-39AFAEA1D63B}"/>
    <cellStyle name="Примечание 2 21 2 2 3" xfId="45048" xr:uid="{ECEB77F9-C66F-49B8-A1D7-6DD5C79BC271}"/>
    <cellStyle name="Примечание 2 21 2 3" xfId="25468" xr:uid="{43753EA0-D4BE-4355-A61D-F9B22BF03FA5}"/>
    <cellStyle name="Примечание 2 21 2 4" xfId="38544" xr:uid="{2A15AE1B-FFA6-4C9C-9D35-6B4FA7C91EBE}"/>
    <cellStyle name="Примечание 2 21 3" xfId="6319" xr:uid="{5E2D3144-AD45-4637-A9C3-725AB782F0F4}"/>
    <cellStyle name="Примечание 2 21 3 2" xfId="15679" xr:uid="{82CE4EEF-1ADA-43BF-9D10-0AE57E0B146E}"/>
    <cellStyle name="Примечание 2 21 3 2 2" xfId="31792" xr:uid="{C6FBA8E0-BEB7-420E-9C66-A4A630E1DD73}"/>
    <cellStyle name="Примечание 2 21 3 2 3" xfId="45300" xr:uid="{1E1525AE-8D0C-4ADF-98D6-70D1356607BD}"/>
    <cellStyle name="Примечание 2 21 3 3" xfId="23959" xr:uid="{BFF7585A-7493-4790-9BDD-0E30F587F330}"/>
    <cellStyle name="Примечание 2 21 3 4" xfId="37040" xr:uid="{089B139C-72EA-48C6-BE79-6A025F3CAACE}"/>
    <cellStyle name="Примечание 2 21 4" xfId="10917" xr:uid="{3C7D6FE0-56BB-42E5-A9E3-F2A38A35C111}"/>
    <cellStyle name="Примечание 2 21 4 2" xfId="27735" xr:uid="{CF31B7E3-5095-484C-AB86-462F5A0CE215}"/>
    <cellStyle name="Примечание 2 21 4 3" xfId="40897" xr:uid="{D7CFF1E9-6810-418C-8A0C-AD7C54381CF3}"/>
    <cellStyle name="Примечание 2 21 5" xfId="20711" xr:uid="{F66A2294-54CD-4CDD-9A0C-F52B16CAE068}"/>
    <cellStyle name="Примечание 2 21 6" xfId="33734" xr:uid="{41C13788-8984-4114-9AE2-729BB3CE9D3F}"/>
    <cellStyle name="Примечание 2 22" xfId="4070" xr:uid="{9B388DF0-D6C9-46EB-AF06-44C804E14300}"/>
    <cellStyle name="Примечание 2 22 2" xfId="9122" xr:uid="{B945CD69-1F2A-4C12-AD78-59989FE7AE8C}"/>
    <cellStyle name="Примечание 2 22 2 2" xfId="11685" xr:uid="{3A07CD6F-D7C9-4332-857C-32898F23426B}"/>
    <cellStyle name="Примечание 2 22 2 2 2" xfId="28419" xr:uid="{E2A927F4-6E78-429C-A552-B5C70951D5F3}"/>
    <cellStyle name="Примечание 2 22 2 2 3" xfId="41628" xr:uid="{3A087857-EA12-4EC1-B5A6-B1B46F6A16A0}"/>
    <cellStyle name="Примечание 2 22 2 3" xfId="26603" xr:uid="{4DD4D997-3071-4388-828B-23D1EE1F2215}"/>
    <cellStyle name="Примечание 2 22 2 4" xfId="39679" xr:uid="{63ADCBFC-9133-4954-9C7C-D8AB6C5B7627}"/>
    <cellStyle name="Примечание 2 22 3" xfId="7634" xr:uid="{9AD4E442-5FDD-45A7-A594-C3EDD3BBC764}"/>
    <cellStyle name="Примечание 2 22 3 2" xfId="15259" xr:uid="{33CC55D9-0164-46DF-A87F-E676881D169F}"/>
    <cellStyle name="Примечание 2 22 3 2 2" xfId="31434" xr:uid="{533EBF2A-EDCB-4AFB-894E-44823A64C151}"/>
    <cellStyle name="Примечание 2 22 3 2 3" xfId="44910" xr:uid="{58A3C2FE-E19C-4347-B866-C2C9385E08CD}"/>
    <cellStyle name="Примечание 2 22 3 3" xfId="25162" xr:uid="{8DFF2463-2B46-4221-BB8E-3B60EE0F7B3F}"/>
    <cellStyle name="Примечание 2 22 3 4" xfId="38238" xr:uid="{89321239-CF01-43CA-86F7-940D526FA608}"/>
    <cellStyle name="Примечание 2 22 4" xfId="14417" xr:uid="{15324AC6-FFC5-41B9-8241-FD34C4E84CEE}"/>
    <cellStyle name="Примечание 2 22 4 2" xfId="30747" xr:uid="{0D7C1062-8666-4747-A4D4-CBBD943C37AA}"/>
    <cellStyle name="Примечание 2 22 4 3" xfId="44147" xr:uid="{08A5B5C3-4271-408A-A904-AB3CD726F60C}"/>
    <cellStyle name="Примечание 2 22 5" xfId="21903" xr:uid="{DF0EB081-21C7-4953-8999-7DDC0CA5C229}"/>
    <cellStyle name="Примечание 2 22 6" xfId="34952" xr:uid="{CE209F66-CE06-4756-8D1D-7578D062A224}"/>
    <cellStyle name="Примечание 2 23" xfId="2564" xr:uid="{9AAB6D77-319A-44FF-B2E7-E2074D58F1A8}"/>
    <cellStyle name="Примечание 2 23 2" xfId="7862" xr:uid="{0209F3C7-FB66-4318-AC85-9D9488C9DA94}"/>
    <cellStyle name="Примечание 2 23 2 2" xfId="17370" xr:uid="{11096B41-DBA2-4D2D-BEFC-52A2DE84C70C}"/>
    <cellStyle name="Примечание 2 23 2 2 2" xfId="33124" xr:uid="{1121577E-DCE6-4EEA-BD86-CB1C042CDF3A}"/>
    <cellStyle name="Примечание 2 23 2 2 3" xfId="46900" xr:uid="{3D2A7ECE-E9E1-4351-A288-46EE6EDCF185}"/>
    <cellStyle name="Примечание 2 23 2 3" xfId="25381" xr:uid="{94B7BEBD-6964-4511-ADD2-4C242AEA5E28}"/>
    <cellStyle name="Примечание 2 23 2 4" xfId="38457" xr:uid="{8525BC7C-913A-47E9-B5AD-CD560AC1FBB2}"/>
    <cellStyle name="Примечание 2 23 3" xfId="6229" xr:uid="{88D32791-6F39-45C9-893B-E6044A8C773E}"/>
    <cellStyle name="Примечание 2 23 3 2" xfId="15474" xr:uid="{A5A81AB9-1E57-46E9-95A0-84A24DE39530}"/>
    <cellStyle name="Примечание 2 23 3 2 2" xfId="31616" xr:uid="{3C8EDCCA-4CE7-45A9-8A5B-0053C5AE35A0}"/>
    <cellStyle name="Примечание 2 23 3 2 3" xfId="45113" xr:uid="{9C29E2DA-5468-4A8B-84F9-FC71912C6B77}"/>
    <cellStyle name="Примечание 2 23 3 3" xfId="23872" xr:uid="{D1B56D1B-4411-496E-89A3-CDD863E8A96E}"/>
    <cellStyle name="Примечание 2 23 3 4" xfId="36953" xr:uid="{5BC62386-6ABA-4AFB-B611-12C5C0874F40}"/>
    <cellStyle name="Примечание 2 23 4" xfId="11355" xr:uid="{0CF3BE55-3A2D-456E-BCE8-9B6C29D3B0B2}"/>
    <cellStyle name="Примечание 2 23 4 2" xfId="28134" xr:uid="{6E399A83-260A-4CDB-90B1-B1F921D1D575}"/>
    <cellStyle name="Примечание 2 23 4 3" xfId="41322" xr:uid="{7313D815-23CE-4B45-B60C-0783CFD6C172}"/>
    <cellStyle name="Примечание 2 23 5" xfId="20624" xr:uid="{C4930FF6-BB41-41C2-9E15-B78A0580CF96}"/>
    <cellStyle name="Примечание 2 23 6" xfId="33647" xr:uid="{62F3F8AD-CB8E-4B5E-A81A-6EB1EB83B0A8}"/>
    <cellStyle name="Примечание 2 24" xfId="4260" xr:uid="{5EF44DB2-F16B-42D3-AB35-65A049941D38}"/>
    <cellStyle name="Примечание 2 24 2" xfId="9312" xr:uid="{A3BB835E-6B26-495E-851F-3E2DA12E0600}"/>
    <cellStyle name="Примечание 2 24 2 2" xfId="12608" xr:uid="{F642D146-F6CF-4494-A9DE-56F0AC175265}"/>
    <cellStyle name="Примечание 2 24 2 2 2" xfId="29220" xr:uid="{92472126-27E5-4BE6-8A96-328199B82BBA}"/>
    <cellStyle name="Примечание 2 24 2 2 3" xfId="42484" xr:uid="{7B869FD1-DC5C-45B9-8255-0B252C4D5616}"/>
    <cellStyle name="Примечание 2 24 2 3" xfId="26785" xr:uid="{63F63924-97C2-471A-8BA5-637FDE96FE66}"/>
    <cellStyle name="Примечание 2 24 2 4" xfId="39861" xr:uid="{BE09CD4C-7E55-49BB-B2CF-E47B1DB69E0C}"/>
    <cellStyle name="Примечание 2 24 3" xfId="7824" xr:uid="{8CAA0EB5-C7AA-4A36-B5E1-F9DE26DB8449}"/>
    <cellStyle name="Примечание 2 24 3 2" xfId="14577" xr:uid="{8B2055EB-B1F3-4FA3-B9A8-C0B8BAB27405}"/>
    <cellStyle name="Примечание 2 24 3 2 2" xfId="30880" xr:uid="{7A311385-1F0F-4798-A438-ACAC18340CDB}"/>
    <cellStyle name="Примечание 2 24 3 2 3" xfId="44297" xr:uid="{5B988180-CC31-4B68-97B1-2FCF9CE1E5EB}"/>
    <cellStyle name="Примечание 2 24 3 3" xfId="25344" xr:uid="{02132EA5-A1DE-415C-8CA5-365FD765250D}"/>
    <cellStyle name="Примечание 2 24 3 4" xfId="38420" xr:uid="{7CBDCE2F-9478-4931-A9C3-4ACD08EDFFD2}"/>
    <cellStyle name="Примечание 2 24 4" xfId="12581" xr:uid="{46F75421-5151-4786-9248-83BBFA03C070}"/>
    <cellStyle name="Примечание 2 24 4 2" xfId="29197" xr:uid="{30853C86-BE19-4365-A3F4-1FA060E119DB}"/>
    <cellStyle name="Примечание 2 24 4 3" xfId="42460" xr:uid="{4B27841C-B49E-42C4-A7A9-99F337F9D35D}"/>
    <cellStyle name="Примечание 2 24 5" xfId="22085" xr:uid="{68B024EB-DF2A-4289-862D-C2F184727CFC}"/>
    <cellStyle name="Примечание 2 24 6" xfId="35134" xr:uid="{E1DC900B-3930-4A20-B6ED-D39852C62666}"/>
    <cellStyle name="Примечание 2 25" xfId="4306" xr:uid="{FE349A99-81CD-4322-944B-5873FAEDB16C}"/>
    <cellStyle name="Примечание 2 25 2" xfId="6174" xr:uid="{822C4EF9-CE7A-48E2-ABC5-F5A23E6A40EB}"/>
    <cellStyle name="Примечание 2 25 2 2" xfId="14398" xr:uid="{27802E85-EB1B-4913-AD03-15FAF4CD4787}"/>
    <cellStyle name="Примечание 2 25 2 2 2" xfId="30730" xr:uid="{5DD81346-283C-4FD3-9A44-4566425A9869}"/>
    <cellStyle name="Примечание 2 25 2 2 3" xfId="44128" xr:uid="{707DE149-E78E-48D9-A1BD-DAE23ECA729B}"/>
    <cellStyle name="Примечание 2 25 2 3" xfId="23819" xr:uid="{E5ED8112-C7CD-4911-8A17-F7F6758CC704}"/>
    <cellStyle name="Примечание 2 25 2 4" xfId="36900" xr:uid="{91349BC1-96A7-40FC-9A51-453A934D6841}"/>
    <cellStyle name="Примечание 2 25 3" xfId="13962" xr:uid="{93DBEC5D-9D01-492A-B0F2-78E573CF6890}"/>
    <cellStyle name="Примечание 2 25 3 2" xfId="30349" xr:uid="{26B356F1-E64B-44A9-A9E9-3B858813F14A}"/>
    <cellStyle name="Примечание 2 25 3 3" xfId="43726" xr:uid="{49AEBFF6-BA4C-46B9-9761-27284DE7427B}"/>
    <cellStyle name="Примечание 2 25 4" xfId="22127" xr:uid="{C663572F-8876-4C67-B565-1FD2151432E4}"/>
    <cellStyle name="Примечание 2 25 5" xfId="35176" xr:uid="{09B0CEE0-63AA-4F67-BCEF-78B802F850E2}"/>
    <cellStyle name="Примечание 2 26" xfId="5286" xr:uid="{87DBA19E-0F95-4433-812E-13CCF89128CA}"/>
    <cellStyle name="Примечание 2 26 2" xfId="9719" xr:uid="{5AAB32E8-0D52-413C-8A6B-85ED0C7275CA}"/>
    <cellStyle name="Примечание 2 26 2 2" xfId="14467" xr:uid="{B43C82AC-C02A-4473-BB12-69435AA3C3A4}"/>
    <cellStyle name="Примечание 2 26 2 2 2" xfId="30792" xr:uid="{84F25212-CF4A-4807-B70B-045C0F7150C2}"/>
    <cellStyle name="Примечание 2 26 2 2 3" xfId="44196" xr:uid="{57326E62-EAC8-42F3-B78B-42A5A1C4C7AB}"/>
    <cellStyle name="Примечание 2 26 2 3" xfId="27018" xr:uid="{976A8023-FF32-4C35-A27D-5CDC2FA11E3D}"/>
    <cellStyle name="Примечание 2 26 2 4" xfId="40135" xr:uid="{1A88BC3B-E0ED-4216-AD45-FB4678D0A916}"/>
    <cellStyle name="Примечание 2 26 3" xfId="12137" xr:uid="{D36AA01F-5AC1-4502-A210-922865274F32}"/>
    <cellStyle name="Примечание 2 26 3 2" xfId="28837" xr:uid="{9130F299-B2AE-4E86-80E6-70B5008A8D45}"/>
    <cellStyle name="Примечание 2 26 3 3" xfId="42057" xr:uid="{A786C307-A678-4B44-A2F6-F0E47A537D9C}"/>
    <cellStyle name="Примечание 2 26 4" xfId="22937" xr:uid="{FC30AFE4-6A03-4E43-AFE0-945773D3186D}"/>
    <cellStyle name="Примечание 2 26 5" xfId="36016" xr:uid="{CB0D1B89-2619-4FE1-8152-D47C8FD4F3F0}"/>
    <cellStyle name="Примечание 2 27" xfId="5362" xr:uid="{51CB791A-75DD-4966-B197-434744264181}"/>
    <cellStyle name="Примечание 2 27 2" xfId="9793" xr:uid="{F4B19148-8DBD-46AE-A97B-6AB96DEBD2C8}"/>
    <cellStyle name="Примечание 2 27 2 2" xfId="10711" xr:uid="{1C282CF9-92FE-468B-8AC7-7CC22A024004}"/>
    <cellStyle name="Примечание 2 27 2 2 2" xfId="27556" xr:uid="{DA27BBE7-05EA-4AB1-9A6D-2C4450D31E7F}"/>
    <cellStyle name="Примечание 2 27 2 2 3" xfId="40692" xr:uid="{E66D2063-FEAC-4D63-91F1-FE0AD06FBDE4}"/>
    <cellStyle name="Примечание 2 27 2 3" xfId="27090" xr:uid="{6BD95D56-0776-4752-82E7-1C46ABF0DC98}"/>
    <cellStyle name="Примечание 2 27 2 4" xfId="40209" xr:uid="{92BD134D-CF67-4697-9CB3-67452CAB7379}"/>
    <cellStyle name="Примечание 2 27 3" xfId="12251" xr:uid="{72A07C36-EE97-4C61-AE96-1383AB064F90}"/>
    <cellStyle name="Примечание 2 27 3 2" xfId="28932" xr:uid="{182DEBD0-4C0F-43F7-B4D2-06579B8B8338}"/>
    <cellStyle name="Примечание 2 27 3 3" xfId="42165" xr:uid="{C2AA79B1-8B83-4E64-8B97-094F77DAB1ED}"/>
    <cellStyle name="Примечание 2 27 4" xfId="23009" xr:uid="{F587DBC7-2D1B-4DC0-9D79-24CD03839D54}"/>
    <cellStyle name="Примечание 2 27 5" xfId="36090" xr:uid="{40D5DD54-BA85-4831-8885-8261629803EF}"/>
    <cellStyle name="Примечание 2 28" xfId="10487" xr:uid="{D456F7EA-4512-4DE3-A328-A896FAB0DFAD}"/>
    <cellStyle name="Примечание 2 28 2" xfId="17593" xr:uid="{1062A35B-BFA1-4C82-BDE4-3A8A8ED2E052}"/>
    <cellStyle name="Примечание 2 28 2 2" xfId="33329" xr:uid="{2BC4014E-1666-4492-8613-5D5F3A23608D}"/>
    <cellStyle name="Примечание 2 28 2 3" xfId="47118" xr:uid="{E95052C3-2A54-4EC1-AABE-0982FB9E213B}"/>
    <cellStyle name="Примечание 2 28 3" xfId="27403" xr:uid="{A5B0A88C-1F3F-4A62-8DC9-729A315DBB5B}"/>
    <cellStyle name="Примечание 2 28 4" xfId="40525" xr:uid="{57CF1882-E25F-40B1-B53D-5D497ACB26C8}"/>
    <cellStyle name="Примечание 2 29" xfId="10575" xr:uid="{6C872D7C-6ED6-4A09-9BDE-62C92AB4E02B}"/>
    <cellStyle name="Примечание 2 29 2" xfId="17620" xr:uid="{1168AC89-36BB-43A0-AC52-D81BF7C574C2}"/>
    <cellStyle name="Примечание 2 29 2 2" xfId="33355" xr:uid="{8785A1D8-9755-4A8F-85BB-EF508DEC3D2C}"/>
    <cellStyle name="Примечание 2 29 2 3" xfId="47145" xr:uid="{F97980D2-C061-4867-AB92-4C0626E056D0}"/>
    <cellStyle name="Примечание 2 29 3" xfId="27434" xr:uid="{C6D3223B-CF29-41EC-A51A-990699EABA31}"/>
    <cellStyle name="Примечание 2 29 4" xfId="40556" xr:uid="{D4F0430A-BCBF-4307-84F3-F80CDB28AD8A}"/>
    <cellStyle name="Примечание 2 3" xfId="3308" xr:uid="{97069E5D-C6CD-4BA2-B44D-DDA5E61B915F}"/>
    <cellStyle name="Примечание 2 3 10" xfId="34355" xr:uid="{16FE2799-91A1-404A-8628-EE4941361EFF}"/>
    <cellStyle name="Примечание 2 3 2" xfId="2670" xr:uid="{8ECAAC49-F732-498F-BF69-8BB8EBC3F02F}"/>
    <cellStyle name="Примечание 2 3 2 2" xfId="7966" xr:uid="{8BA0CB05-7515-4ABC-BE5D-F08B75BA1674}"/>
    <cellStyle name="Примечание 2 3 2 2 2" xfId="11362" xr:uid="{A85E88EE-B288-4291-9F97-FCEAC45B52E0}"/>
    <cellStyle name="Примечание 2 3 2 2 2 2" xfId="28140" xr:uid="{B8DBE0BD-B6DA-4E2E-B20F-61B4CFBDF076}"/>
    <cellStyle name="Примечание 2 3 2 2 2 3" xfId="41328" xr:uid="{94CAAF41-E912-48FE-8BFD-B358B44457E0}"/>
    <cellStyle name="Примечание 2 3 2 2 3" xfId="25482" xr:uid="{24AAD06C-0EF1-44C9-BDBA-A6BAB2B3966E}"/>
    <cellStyle name="Примечание 2 3 2 2 4" xfId="38558" xr:uid="{C6FA87FD-3D53-407D-A8A8-31CBEBF960A5}"/>
    <cellStyle name="Примечание 2 3 2 3" xfId="6333" xr:uid="{F0AABC14-5251-48AF-902C-73E97A82886E}"/>
    <cellStyle name="Примечание 2 3 2 3 2" xfId="16078" xr:uid="{7182AD96-0B27-47DD-8F35-5CF6CB70EA1A}"/>
    <cellStyle name="Примечание 2 3 2 3 2 2" xfId="32138" xr:uid="{60F6BEB9-7843-40F3-A18B-F219794EB4DE}"/>
    <cellStyle name="Примечание 2 3 2 3 2 3" xfId="45658" xr:uid="{CC7E7BEC-33C1-4FB8-BD07-28FF49AECD03}"/>
    <cellStyle name="Примечание 2 3 2 3 3" xfId="23973" xr:uid="{43240C8B-A650-41EF-BC7D-97E5DD9FC47C}"/>
    <cellStyle name="Примечание 2 3 2 3 4" xfId="37054" xr:uid="{03F2619B-BC08-4FF6-88C6-6DC53EAF43BF}"/>
    <cellStyle name="Примечание 2 3 2 4" xfId="14178" xr:uid="{D63B7542-274A-4729-9E2E-8EAF3C31EDEA}"/>
    <cellStyle name="Примечание 2 3 2 4 2" xfId="30531" xr:uid="{D30F33B7-AF24-40D7-BD51-8BFDAAA97B0F}"/>
    <cellStyle name="Примечание 2 3 2 4 3" xfId="43917" xr:uid="{FB7629AF-3586-4E63-8054-556945AB25A3}"/>
    <cellStyle name="Примечание 2 3 2 5" xfId="20725" xr:uid="{ACC44286-35AD-448C-9DE7-039B83654767}"/>
    <cellStyle name="Примечание 2 3 2 6" xfId="33748" xr:uid="{DDD549A9-F49F-4C83-A29C-69B9536DB159}"/>
    <cellStyle name="Примечание 2 3 3" xfId="4075" xr:uid="{CBB71F55-D084-41FE-8671-7A912A4F8579}"/>
    <cellStyle name="Примечание 2 3 3 2" xfId="9127" xr:uid="{DF6BE374-746F-4E4E-9F74-973EE59BD547}"/>
    <cellStyle name="Примечание 2 3 3 2 2" xfId="11314" xr:uid="{992E3AA9-A012-4176-B36A-C8ACDC483CF0}"/>
    <cellStyle name="Примечание 2 3 3 2 2 2" xfId="28094" xr:uid="{3B7874AA-56E3-4B21-A107-7B16E749638B}"/>
    <cellStyle name="Примечание 2 3 3 2 2 3" xfId="41281" xr:uid="{A54B9F0E-4C38-4858-9E6A-DEA606B3A534}"/>
    <cellStyle name="Примечание 2 3 3 2 3" xfId="26608" xr:uid="{2907933E-7D93-48F0-8848-86714DAF5AED}"/>
    <cellStyle name="Примечание 2 3 3 2 4" xfId="39684" xr:uid="{81CC96E3-2E4D-4299-9488-3B92BBB26B2B}"/>
    <cellStyle name="Примечание 2 3 3 3" xfId="7639" xr:uid="{E812786B-5B67-4425-A9DA-3ED056F5DD9E}"/>
    <cellStyle name="Примечание 2 3 3 3 2" xfId="16752" xr:uid="{EDD89ED0-54AA-4369-83F3-9DDC679F8A50}"/>
    <cellStyle name="Примечание 2 3 3 3 2 2" xfId="32634" xr:uid="{7A405774-B7B6-44F3-B791-11851EDFF3E7}"/>
    <cellStyle name="Примечание 2 3 3 3 2 3" xfId="46295" xr:uid="{6F128065-B2FE-472D-A698-D5EC6B3A7884}"/>
    <cellStyle name="Примечание 2 3 3 3 3" xfId="25167" xr:uid="{6C9EC59B-980B-4A5C-994C-C69B0E900689}"/>
    <cellStyle name="Примечание 2 3 3 3 4" xfId="38243" xr:uid="{5F74A624-F646-4AC8-A43E-14DD57ECA951}"/>
    <cellStyle name="Примечание 2 3 3 4" xfId="16101" xr:uid="{DA6EC1C5-B802-4D18-9F18-90C74567229C}"/>
    <cellStyle name="Примечание 2 3 3 4 2" xfId="32159" xr:uid="{08F8A914-442E-4107-97FC-E3C64FF1DBB0}"/>
    <cellStyle name="Примечание 2 3 3 4 3" xfId="45680" xr:uid="{BED1025F-A542-4420-86E3-482560818845}"/>
    <cellStyle name="Примечание 2 3 3 5" xfId="21908" xr:uid="{FE89F1C5-C023-4575-8704-3459ABE7CDFD}"/>
    <cellStyle name="Примечание 2 3 3 6" xfId="34957" xr:uid="{3D5E8DC1-0DB9-4C75-92A2-62DD7DEFA7D5}"/>
    <cellStyle name="Примечание 2 3 4" xfId="2570" xr:uid="{7134A04D-2706-4350-AE78-E6CD4D28F66F}"/>
    <cellStyle name="Примечание 2 3 4 2" xfId="7867" xr:uid="{8A70A038-1CB1-4BFB-9449-58A3D9406BF9}"/>
    <cellStyle name="Примечание 2 3 4 2 2" xfId="17489" xr:uid="{EAD8A0BD-3377-463E-BAC1-64977A7C040C}"/>
    <cellStyle name="Примечание 2 3 4 2 2 2" xfId="33232" xr:uid="{FF60DEC4-7F0B-41AF-BB45-6BF720D382FA}"/>
    <cellStyle name="Примечание 2 3 4 2 2 3" xfId="47018" xr:uid="{1129BA04-71A7-4F4E-AA4E-FECF6337D97E}"/>
    <cellStyle name="Примечание 2 3 4 2 3" xfId="25386" xr:uid="{47A23CAF-A09F-41E4-A0D8-3AC3733C67A4}"/>
    <cellStyle name="Примечание 2 3 4 2 4" xfId="38462" xr:uid="{4CC68E16-C52D-407C-AFAD-A2F92E2FC36B}"/>
    <cellStyle name="Примечание 2 3 4 3" xfId="6234" xr:uid="{B7D66F26-D44D-4210-85D4-673F81EEEE4D}"/>
    <cellStyle name="Примечание 2 3 4 3 2" xfId="16044" xr:uid="{9F8EE888-D3C1-43DA-BC92-948C94CBE78A}"/>
    <cellStyle name="Примечание 2 3 4 3 2 2" xfId="32108" xr:uid="{88ED7CEC-CF18-483D-9094-F699481445C7}"/>
    <cellStyle name="Примечание 2 3 4 3 2 3" xfId="45627" xr:uid="{1E842AE7-7318-4BF7-8F21-3EF892AE5BAA}"/>
    <cellStyle name="Примечание 2 3 4 3 3" xfId="23877" xr:uid="{BCAF5C0B-8894-4AB2-8ED3-B9211329B5D0}"/>
    <cellStyle name="Примечание 2 3 4 3 4" xfId="36958" xr:uid="{1A8BB3F9-3ED6-412B-B507-2D3EA24B9731}"/>
    <cellStyle name="Примечание 2 3 4 4" xfId="12701" xr:uid="{AB104F06-C7A0-41DD-87EE-E377A600417E}"/>
    <cellStyle name="Примечание 2 3 4 4 2" xfId="29288" xr:uid="{1113FB36-EE5D-42E8-AB50-C51C1B4B5531}"/>
    <cellStyle name="Примечание 2 3 4 4 3" xfId="42565" xr:uid="{B6A7CF3E-8DCE-48D6-A5B1-DF86B95DB277}"/>
    <cellStyle name="Примечание 2 3 4 5" xfId="20629" xr:uid="{D0B4F17F-D78B-40AF-8A95-DAC522F553FF}"/>
    <cellStyle name="Примечание 2 3 4 6" xfId="33652" xr:uid="{DE8C6989-2566-4808-93E9-498CBF5DE932}"/>
    <cellStyle name="Примечание 2 3 5" xfId="4262" xr:uid="{51D059C6-E54D-4C12-A42D-F9FA6DFB96C8}"/>
    <cellStyle name="Примечание 2 3 5 2" xfId="9314" xr:uid="{410C6C88-5763-4F1B-A05E-7736EE0D47F7}"/>
    <cellStyle name="Примечание 2 3 5 2 2" xfId="13616" xr:uid="{73B475F1-4C1C-4BE8-9841-46D111BCD7D5}"/>
    <cellStyle name="Примечание 2 3 5 2 2 2" xfId="30054" xr:uid="{82822ED6-0B77-4D96-9959-75CA99380CFF}"/>
    <cellStyle name="Примечание 2 3 5 2 2 3" xfId="43407" xr:uid="{54E70D7C-CBE3-4D25-AA42-DEA376773B62}"/>
    <cellStyle name="Примечание 2 3 5 2 3" xfId="26787" xr:uid="{35C3F339-848B-4C24-A663-B10330A78B48}"/>
    <cellStyle name="Примечание 2 3 5 2 4" xfId="39863" xr:uid="{59D7437F-B76C-4772-A358-BB3D085F9EAE}"/>
    <cellStyle name="Примечание 2 3 5 3" xfId="7826" xr:uid="{6580517C-C0E6-439F-B4E1-1D11B391E468}"/>
    <cellStyle name="Примечание 2 3 5 3 2" xfId="10997" xr:uid="{6ED6EA45-74BE-4EEE-9E5E-2CC733720622}"/>
    <cellStyle name="Примечание 2 3 5 3 2 2" xfId="27804" xr:uid="{773FAF56-5352-435E-9306-932EA31FC56A}"/>
    <cellStyle name="Примечание 2 3 5 3 2 3" xfId="40977" xr:uid="{03AEE55F-4860-4527-B47E-F8D909A5E638}"/>
    <cellStyle name="Примечание 2 3 5 3 3" xfId="25346" xr:uid="{791370E1-C894-4E9E-A352-95535BCC6978}"/>
    <cellStyle name="Примечание 2 3 5 3 4" xfId="38422" xr:uid="{E212D438-718E-4EE7-A843-1FF2589137AC}"/>
    <cellStyle name="Примечание 2 3 5 4" xfId="15417" xr:uid="{54CCB1EF-B15D-4F03-B650-7A6990C87277}"/>
    <cellStyle name="Примечание 2 3 5 4 2" xfId="31568" xr:uid="{F2A43544-469C-493A-A06D-E4EE8887A2BD}"/>
    <cellStyle name="Примечание 2 3 5 4 3" xfId="45059" xr:uid="{524BC039-3550-42C4-9335-F121C8EBEA8E}"/>
    <cellStyle name="Примечание 2 3 5 5" xfId="22087" xr:uid="{D34995CE-44E2-4863-9ECD-96EAB01826AF}"/>
    <cellStyle name="Примечание 2 3 5 6" xfId="35136" xr:uid="{CF73E5C5-4B97-44D7-9F6E-58626ED9B995}"/>
    <cellStyle name="Примечание 2 3 6" xfId="4339" xr:uid="{5BCF4025-3949-465C-84AF-23D1C1B017EB}"/>
    <cellStyle name="Примечание 2 3 6 2" xfId="6958" xr:uid="{718E4B7C-C5C6-4CA9-ADA1-4E437644CDB8}"/>
    <cellStyle name="Примечание 2 3 6 2 2" xfId="14547" xr:uid="{E69BDC5E-9E90-445C-8A96-77CBDC867C30}"/>
    <cellStyle name="Примечание 2 3 6 2 2 2" xfId="30858" xr:uid="{3ABDF0B3-F792-4453-8276-DF4CA18FED4A}"/>
    <cellStyle name="Примечание 2 3 6 2 2 3" xfId="44270" xr:uid="{554006B1-6F44-48C8-B5E9-6A1D056BB3FF}"/>
    <cellStyle name="Примечание 2 3 6 2 3" xfId="24580" xr:uid="{0B5090F2-A95F-478F-A127-C47E47931218}"/>
    <cellStyle name="Примечание 2 3 6 2 4" xfId="37661" xr:uid="{12074B20-4120-45DB-8C60-D0285BD9147D}"/>
    <cellStyle name="Примечание 2 3 6 3" xfId="13289" xr:uid="{DF83EDDA-0904-4842-A462-CCF0B5D2B969}"/>
    <cellStyle name="Примечание 2 3 6 3 2" xfId="29779" xr:uid="{165BDDBE-A8CF-489C-B4D0-DB52D25750DD}"/>
    <cellStyle name="Примечание 2 3 6 3 3" xfId="43106" xr:uid="{25DB88B4-BB04-43C5-8854-8787A059D9D5}"/>
    <cellStyle name="Примечание 2 3 6 4" xfId="22159" xr:uid="{CA5F26EB-2FEB-434E-A68D-CB0D23C735B9}"/>
    <cellStyle name="Примечание 2 3 6 5" xfId="35208" xr:uid="{0362A528-28BE-402A-9C95-27E5FAE752F4}"/>
    <cellStyle name="Примечание 2 3 7" xfId="5394" xr:uid="{06C31DFB-7D9A-4AF9-8422-9BC9561E8130}"/>
    <cellStyle name="Примечание 2 3 7 2" xfId="8571" xr:uid="{E18295B8-5A3D-4554-808D-24584337558C}"/>
    <cellStyle name="Примечание 2 3 7 2 2" xfId="14123" xr:uid="{0538DF0C-AE60-47CC-A670-E1F6D3D964AA}"/>
    <cellStyle name="Примечание 2 3 7 2 2 2" xfId="30488" xr:uid="{A729AC11-E3D9-4A42-BBFB-A16E3AFF59E3}"/>
    <cellStyle name="Примечание 2 3 7 2 2 3" xfId="43871" xr:uid="{F70D90E2-07ED-4764-83DC-B01E40A2754C}"/>
    <cellStyle name="Примечание 2 3 7 2 3" xfId="26069" xr:uid="{4D968276-9F5A-4CE1-A30F-8CA82C2727BE}"/>
    <cellStyle name="Примечание 2 3 7 2 4" xfId="39145" xr:uid="{7149AFDE-E9CC-417F-A4A4-7096482FC14B}"/>
    <cellStyle name="Примечание 2 3 7 3" xfId="14143" xr:uid="{96E9D207-E23A-477E-A086-80774DB3515F}"/>
    <cellStyle name="Примечание 2 3 7 3 2" xfId="30504" xr:uid="{925C235E-244E-4B08-A053-169AA8A77D86}"/>
    <cellStyle name="Примечание 2 3 7 3 3" xfId="43889" xr:uid="{A450BA4F-563D-45A8-BA74-73A3FDDF7A68}"/>
    <cellStyle name="Примечание 2 3 7 4" xfId="23041" xr:uid="{539D6DE9-C3FE-4149-8CE1-C66C9E705C9E}"/>
    <cellStyle name="Примечание 2 3 7 5" xfId="36122" xr:uid="{38485761-E1AD-430C-BDD3-59AD292280C4}"/>
    <cellStyle name="Примечание 2 3 8" xfId="13217" xr:uid="{F124AB5A-B3DA-4ED8-9000-967997770C7D}"/>
    <cellStyle name="Примечание 2 3 8 2" xfId="29718" xr:uid="{8ADC3C58-2451-4873-A1E8-38E72ACA8C41}"/>
    <cellStyle name="Примечание 2 3 8 3" xfId="43037" xr:uid="{49834CE9-F522-4D80-9F7A-352A8CEEA6A6}"/>
    <cellStyle name="Примечание 2 3 9" xfId="21332" xr:uid="{BE3CDEFE-F376-432E-B111-A9DB573B218F}"/>
    <cellStyle name="Примечание 2 30" xfId="12075" xr:uid="{08D1AF2E-D9CB-4FDC-B14A-7BB1CBD6262E}"/>
    <cellStyle name="Примечание 2 30 2" xfId="28775" xr:uid="{705206AF-916A-4512-8688-F34BB555C039}"/>
    <cellStyle name="Примечание 2 30 3" xfId="41995" xr:uid="{309F5A2F-8BA4-4FEF-917F-14D41FA0E187}"/>
    <cellStyle name="Примечание 2 31" xfId="16229" xr:uid="{D43F43D2-DEEB-4488-92E0-C93E62229F17}"/>
    <cellStyle name="Примечание 2 31 2" xfId="32266" xr:uid="{D5BC5A09-1CE5-4FC9-82D9-390E709F26C7}"/>
    <cellStyle name="Примечание 2 31 3" xfId="45794" xr:uid="{C47F5F87-4D47-4596-8B8A-F687E37EF7C9}"/>
    <cellStyle name="Примечание 2 32" xfId="11292" xr:uid="{F8E98BF8-C582-4973-B501-D5A68A662828}"/>
    <cellStyle name="Примечание 2 32 2" xfId="28077" xr:uid="{C30779F3-4B82-483C-865B-4637BCE3A0DA}"/>
    <cellStyle name="Примечание 2 32 3" xfId="41260" xr:uid="{28A7981A-F737-4FB2-B3A9-3BE6DDA05297}"/>
    <cellStyle name="Примечание 2 33" xfId="17674" xr:uid="{DDDB70E5-F767-4EF5-B113-030F702D4D5C}"/>
    <cellStyle name="Примечание 2 33 2" xfId="33397" xr:uid="{7B87CB2A-2382-4F02-8326-4DC4E8710B43}"/>
    <cellStyle name="Примечание 2 33 3" xfId="47186" xr:uid="{A008F395-1D52-4052-968C-BB67BA9F6911}"/>
    <cellStyle name="Примечание 2 34" xfId="33576" xr:uid="{C7D88E23-31E3-43A6-9014-B854D4F20C83}"/>
    <cellStyle name="Примечание 2 4" xfId="3515" xr:uid="{B4E5619C-A4C0-474B-8660-BE32AC1F36F8}"/>
    <cellStyle name="Примечание 2 4 10" xfId="34530" xr:uid="{465414B3-B385-4176-A453-4CA86B44A59E}"/>
    <cellStyle name="Примечание 2 4 2" xfId="2856" xr:uid="{C66010F6-0D9E-4CA5-B8EA-7ED89E692437}"/>
    <cellStyle name="Примечание 2 4 2 2" xfId="8152" xr:uid="{875E4BDB-2CCC-4933-97BE-26BC223C60ED}"/>
    <cellStyle name="Примечание 2 4 2 2 2" xfId="13206" xr:uid="{A05AEDC1-D422-484C-AEBF-41A42E1E9875}"/>
    <cellStyle name="Примечание 2 4 2 2 2 2" xfId="29707" xr:uid="{6D3E4D55-18CD-4275-B51F-401325203FBF}"/>
    <cellStyle name="Примечание 2 4 2 2 2 3" xfId="43026" xr:uid="{8CFD7C2E-3127-44B5-A766-50D08BFB577B}"/>
    <cellStyle name="Примечание 2 4 2 2 3" xfId="25663" xr:uid="{9D3FD3F5-4AB1-4D65-9EA5-E564E7BCEA5F}"/>
    <cellStyle name="Примечание 2 4 2 2 4" xfId="38739" xr:uid="{0882748A-5045-4426-950C-BD2DF5006F99}"/>
    <cellStyle name="Примечание 2 4 2 3" xfId="6519" xr:uid="{4CA7AE8F-0664-4BC2-85E6-441859B20BC3}"/>
    <cellStyle name="Примечание 2 4 2 3 2" xfId="13215" xr:uid="{E1F81B06-3181-41A9-9248-91A82195C35F}"/>
    <cellStyle name="Примечание 2 4 2 3 2 2" xfId="29716" xr:uid="{C0FBF5AB-8E12-42F6-AE31-501A894A7A35}"/>
    <cellStyle name="Примечание 2 4 2 3 2 3" xfId="43035" xr:uid="{91426C2A-AF2B-42A5-BBF4-46CEFE4D5473}"/>
    <cellStyle name="Примечание 2 4 2 3 3" xfId="24154" xr:uid="{4782240B-240C-4BD5-9790-AB90F500B237}"/>
    <cellStyle name="Примечание 2 4 2 3 4" xfId="37235" xr:uid="{D48E40EC-17A4-440E-A831-A5DB5369BDF5}"/>
    <cellStyle name="Примечание 2 4 2 4" xfId="14924" xr:uid="{6E647636-2145-4FF5-907A-997635890A87}"/>
    <cellStyle name="Примечание 2 4 2 4 2" xfId="31170" xr:uid="{22DA58CA-FF1E-4A22-9805-91147BA5ED10}"/>
    <cellStyle name="Примечание 2 4 2 4 3" xfId="44613" xr:uid="{00AAC4E8-BBBD-4B27-9C2C-1F8C9DD6BA6F}"/>
    <cellStyle name="Примечание 2 4 2 5" xfId="20906" xr:uid="{B93C8A10-144F-4D0A-A29A-067875198009}"/>
    <cellStyle name="Примечание 2 4 2 6" xfId="33929" xr:uid="{86E404C1-BEE9-4630-8E48-9A7624245360}"/>
    <cellStyle name="Примечание 2 4 3" xfId="4192" xr:uid="{40307AF0-CF47-4F92-A042-491ADE6C0B13}"/>
    <cellStyle name="Примечание 2 4 3 2" xfId="9244" xr:uid="{FC306DA8-60C3-41B0-BD65-26B3EEF00A27}"/>
    <cellStyle name="Примечание 2 4 3 2 2" xfId="14046" xr:uid="{59A8B5D3-E199-40F2-A965-718140356E31}"/>
    <cellStyle name="Примечание 2 4 3 2 2 2" xfId="30419" xr:uid="{A5B64FA9-1F1A-4CD7-B246-35713208ADEB}"/>
    <cellStyle name="Примечание 2 4 3 2 2 3" xfId="43801" xr:uid="{7182596B-888A-4326-85DB-1FAB91A2BE55}"/>
    <cellStyle name="Примечание 2 4 3 2 3" xfId="26719" xr:uid="{02B10E83-8383-4A39-9066-38CD1CF811AA}"/>
    <cellStyle name="Примечание 2 4 3 2 4" xfId="39795" xr:uid="{3D48BED7-CB79-4CBF-870B-265B245C54C3}"/>
    <cellStyle name="Примечание 2 4 3 3" xfId="7756" xr:uid="{AE39ECCE-8F65-4862-B5BB-C3C4637D7205}"/>
    <cellStyle name="Примечание 2 4 3 3 2" xfId="16027" xr:uid="{602D467B-5FAD-4F49-9BC2-AC8260AAB986}"/>
    <cellStyle name="Примечание 2 4 3 3 2 2" xfId="32093" xr:uid="{3E9F10B4-85CB-4FDD-B333-AA618E2B9785}"/>
    <cellStyle name="Примечание 2 4 3 3 2 3" xfId="45612" xr:uid="{9328AF40-F71C-42AD-9EC5-8575D4518CE4}"/>
    <cellStyle name="Примечание 2 4 3 3 3" xfId="25278" xr:uid="{334BFC80-B589-4B7A-A90C-EA4F4A4F654C}"/>
    <cellStyle name="Примечание 2 4 3 3 4" xfId="38354" xr:uid="{17EE9AAD-E830-4DC8-851B-A87F614B40F1}"/>
    <cellStyle name="Примечание 2 4 3 4" xfId="14922" xr:uid="{B632C61D-6A8C-478C-A23B-48558D646CD6}"/>
    <cellStyle name="Примечание 2 4 3 4 2" xfId="31168" xr:uid="{8B23C3C9-9DCD-4752-882D-CB8A23FC8E25}"/>
    <cellStyle name="Примечание 2 4 3 4 3" xfId="44611" xr:uid="{797132E6-044F-49B3-BF5F-2000B70B7F0B}"/>
    <cellStyle name="Примечание 2 4 3 5" xfId="22019" xr:uid="{73D20F7D-EEDF-4991-BD69-AE2F732881A6}"/>
    <cellStyle name="Примечание 2 4 3 6" xfId="35068" xr:uid="{BF1EF53E-F1E8-43F6-8623-74B85FD2EE5C}"/>
    <cellStyle name="Примечание 2 4 4" xfId="2973" xr:uid="{DA5E4444-A6CA-4399-BB99-A735E033E122}"/>
    <cellStyle name="Примечание 2 4 4 2" xfId="8269" xr:uid="{E156EEC5-10A7-4887-848B-048503560700}"/>
    <cellStyle name="Примечание 2 4 4 2 2" xfId="12199" xr:uid="{FC477648-0FD5-4681-AA7E-392A7CC9CFE4}"/>
    <cellStyle name="Примечание 2 4 4 2 2 2" xfId="28890" xr:uid="{702050AA-34A4-4C1C-9E7A-59605E5682C3}"/>
    <cellStyle name="Примечание 2 4 4 2 2 3" xfId="42117" xr:uid="{0B01608A-E431-4620-AB24-DCACA241E067}"/>
    <cellStyle name="Примечание 2 4 4 2 3" xfId="25777" xr:uid="{253C2D91-64BF-4FD6-AFEE-D79C0A9D9E30}"/>
    <cellStyle name="Примечание 2 4 4 2 4" xfId="38853" xr:uid="{16445419-ED2D-4189-B3E7-BA893F64A066}"/>
    <cellStyle name="Примечание 2 4 4 3" xfId="6636" xr:uid="{F5DE805D-21D3-4D57-8255-C4B48C4C1C35}"/>
    <cellStyle name="Примечание 2 4 4 3 2" xfId="14680" xr:uid="{B75991AA-D7EA-4849-B3B9-72397A41A9AB}"/>
    <cellStyle name="Примечание 2 4 4 3 2 2" xfId="30973" xr:uid="{24BC14B9-E9A1-4ED8-B2C4-3FB06CF2055A}"/>
    <cellStyle name="Примечание 2 4 4 3 2 3" xfId="44394" xr:uid="{6A461CAD-CE24-45FA-816E-447F3F44E45E}"/>
    <cellStyle name="Примечание 2 4 4 3 3" xfId="24268" xr:uid="{822429F4-4A37-48B9-A252-7C46F7CED233}"/>
    <cellStyle name="Примечание 2 4 4 3 4" xfId="37349" xr:uid="{1221BA87-A5E5-4E49-A275-CFB5D1835DCE}"/>
    <cellStyle name="Примечание 2 4 4 4" xfId="12864" xr:uid="{46529C4D-E3CD-4428-8171-E324CD0D6976}"/>
    <cellStyle name="Примечание 2 4 4 4 2" xfId="29426" xr:uid="{D4659D10-F3AC-48D3-8719-6DB054E4FA84}"/>
    <cellStyle name="Примечание 2 4 4 4 3" xfId="42713" xr:uid="{6428F4B4-D522-4176-A504-C066C5931CF6}"/>
    <cellStyle name="Примечание 2 4 4 5" xfId="21020" xr:uid="{6F808A92-4B4B-4CBC-9881-7D80CBC0FDDB}"/>
    <cellStyle name="Примечание 2 4 4 6" xfId="34043" xr:uid="{E9D61231-A470-486A-8E3C-EF88D721BE25}"/>
    <cellStyle name="Примечание 2 4 5" xfId="4110" xr:uid="{FABE2033-F76E-416A-85CD-97A0AA5349E9}"/>
    <cellStyle name="Примечание 2 4 5 2" xfId="9162" xr:uid="{3BC58AA4-3E91-4EF1-ABF5-715357901BC9}"/>
    <cellStyle name="Примечание 2 4 5 2 2" xfId="13743" xr:uid="{503B4A27-40CA-467E-B804-DC6FBE726071}"/>
    <cellStyle name="Примечание 2 4 5 2 2 2" xfId="30156" xr:uid="{9E597C56-28D9-4B78-9362-09D5AACADA5E}"/>
    <cellStyle name="Примечание 2 4 5 2 2 3" xfId="43518" xr:uid="{D98FCBA5-B52C-4FA5-9FE0-CC3EE90C1188}"/>
    <cellStyle name="Примечание 2 4 5 2 3" xfId="26643" xr:uid="{3150D082-5DF8-47D5-BB88-BF68120B4042}"/>
    <cellStyle name="Примечание 2 4 5 2 4" xfId="39719" xr:uid="{2D7F5DC0-B940-4DC7-975A-9714A4DC0795}"/>
    <cellStyle name="Примечание 2 4 5 3" xfId="7674" xr:uid="{192703A2-E3FF-4232-82AE-848A6FD9380E}"/>
    <cellStyle name="Примечание 2 4 5 3 2" xfId="11795" xr:uid="{B567A164-2274-43F6-B6ED-49B8D4B2DD11}"/>
    <cellStyle name="Примечание 2 4 5 3 2 2" xfId="28517" xr:uid="{1804AEB5-FDE0-4DF7-B506-62FF642D80EB}"/>
    <cellStyle name="Примечание 2 4 5 3 2 3" xfId="41729" xr:uid="{041B2F8E-E7AF-45FC-96F1-43E509FC0C25}"/>
    <cellStyle name="Примечание 2 4 5 3 3" xfId="25202" xr:uid="{13449713-F6E9-4FED-97CF-9842C1567314}"/>
    <cellStyle name="Примечание 2 4 5 3 4" xfId="38278" xr:uid="{667D5A95-9AD0-4BEA-A90E-049EE64493AD}"/>
    <cellStyle name="Примечание 2 4 5 4" xfId="13949" xr:uid="{4D2B72D0-1C1B-47DD-9B72-0034AAE4E9F4}"/>
    <cellStyle name="Примечание 2 4 5 4 2" xfId="30337" xr:uid="{FE7423DE-718F-4149-B328-5CF5D46F93DD}"/>
    <cellStyle name="Примечание 2 4 5 4 3" xfId="43714" xr:uid="{7474B3BF-44EC-43BA-838D-10FB5C829409}"/>
    <cellStyle name="Примечание 2 4 5 5" xfId="21943" xr:uid="{4A3667A9-D90A-4D49-B72C-6E0786AAEFBF}"/>
    <cellStyle name="Примечание 2 4 5 6" xfId="34992" xr:uid="{71CD1720-9971-40A7-8B4D-9644ACA35432}"/>
    <cellStyle name="Примечание 2 4 6" xfId="4516" xr:uid="{046D80C0-9C33-46B1-83F4-24B4C840C64C}"/>
    <cellStyle name="Примечание 2 4 6 2" xfId="7157" xr:uid="{1E04030D-8E93-40B8-A2D8-57D2ABDDFC5E}"/>
    <cellStyle name="Примечание 2 4 6 2 2" xfId="14559" xr:uid="{BD561634-B01A-4BEA-BB53-C7CA67BB31B7}"/>
    <cellStyle name="Примечание 2 4 6 2 2 2" xfId="30866" xr:uid="{5F913810-5173-458A-AEDC-B319A1A73AA0}"/>
    <cellStyle name="Примечание 2 4 6 2 2 3" xfId="44280" xr:uid="{5E363718-F124-4B61-9809-DEF88F61E5FF}"/>
    <cellStyle name="Примечание 2 4 6 2 3" xfId="24755" xr:uid="{406054A5-856D-4A77-8A9E-C12C32BE80EA}"/>
    <cellStyle name="Примечание 2 4 6 2 4" xfId="37836" xr:uid="{46249EA7-7E93-47B5-A57E-24501B576BCD}"/>
    <cellStyle name="Примечание 2 4 6 3" xfId="13863" xr:uid="{1F62A552-A1B5-4F8D-847F-BE84C06A24BF}"/>
    <cellStyle name="Примечание 2 4 6 3 2" xfId="30262" xr:uid="{47EA9F69-FA3D-43F3-A8DE-ABED513226A3}"/>
    <cellStyle name="Примечание 2 4 6 3 3" xfId="43633" xr:uid="{79DA0AEA-BFC0-4AE5-A5B4-9E8BE529BEA8}"/>
    <cellStyle name="Примечание 2 4 6 4" xfId="22334" xr:uid="{2EC34619-9E30-4546-AF83-AE548D272B33}"/>
    <cellStyle name="Примечание 2 4 6 5" xfId="35383" xr:uid="{64249A48-B1D4-4E0C-87D3-03B461D12906}"/>
    <cellStyle name="Примечание 2 4 7" xfId="5569" xr:uid="{A9CD6FF7-51B1-491E-898D-38157A8FFFF2}"/>
    <cellStyle name="Примечание 2 4 7 2" xfId="8751" xr:uid="{D5B742CF-E9CB-43C8-BB88-2448D86BF1E7}"/>
    <cellStyle name="Примечание 2 4 7 2 2" xfId="16964" xr:uid="{C7115E22-D0A8-4866-9912-D70AA9862CAC}"/>
    <cellStyle name="Примечание 2 4 7 2 2 2" xfId="32796" xr:uid="{8A8A5065-1998-4242-9B43-F6F36336CF09}"/>
    <cellStyle name="Примечание 2 4 7 2 2 3" xfId="46506" xr:uid="{DB261436-CEE2-4DCA-B4AF-05ECF1DA4BF7}"/>
    <cellStyle name="Примечание 2 4 7 2 3" xfId="26244" xr:uid="{3D81493A-30E8-4EA2-89EE-C6B68F21A060}"/>
    <cellStyle name="Примечание 2 4 7 2 4" xfId="39320" xr:uid="{88367D4E-47FF-44DD-A900-57C1656DACF7}"/>
    <cellStyle name="Примечание 2 4 7 3" xfId="13689" xr:uid="{8FB3031A-C508-4562-946D-85A2E17C59A3}"/>
    <cellStyle name="Примечание 2 4 7 3 2" xfId="30113" xr:uid="{8D140777-AD3B-45FF-BCD9-6A79365F8D80}"/>
    <cellStyle name="Примечание 2 4 7 3 3" xfId="43472" xr:uid="{FC2ED7B5-B766-4D88-A373-79D6A680B6C6}"/>
    <cellStyle name="Примечание 2 4 7 4" xfId="23216" xr:uid="{8AA8BDAA-97F6-46CA-B096-47088F792A2F}"/>
    <cellStyle name="Примечание 2 4 7 5" xfId="36297" xr:uid="{999524B0-0406-47E8-836A-E97F13A146FE}"/>
    <cellStyle name="Примечание 2 4 8" xfId="17321" xr:uid="{5D7E2BCD-41D2-4FFA-B29E-8C20C37D7D29}"/>
    <cellStyle name="Примечание 2 4 8 2" xfId="33075" xr:uid="{E85F6C46-F73E-49E1-B9DC-5CF3B9B23B81}"/>
    <cellStyle name="Примечание 2 4 8 3" xfId="46851" xr:uid="{C1D859EB-D5C0-4497-8B10-9D5B8CB54932}"/>
    <cellStyle name="Примечание 2 4 9" xfId="21478" xr:uid="{B6344977-3170-4D6F-83F5-007428033B06}"/>
    <cellStyle name="Примечание 2 5" xfId="3508" xr:uid="{B3D6CBF0-BB88-4CF2-B7C0-AEE90BD0789D}"/>
    <cellStyle name="Примечание 2 5 2" xfId="2849" xr:uid="{6EC45146-BA21-4B1B-8573-740D7278247F}"/>
    <cellStyle name="Примечание 2 5 2 2" xfId="8145" xr:uid="{B74EFCA8-7319-49FD-B70B-8A18D2C5444F}"/>
    <cellStyle name="Примечание 2 5 2 2 2" xfId="16424" xr:uid="{2BE87A2C-53E5-4802-8F8A-BBEAE90D9D3E}"/>
    <cellStyle name="Примечание 2 5 2 2 2 2" xfId="32438" xr:uid="{B018157E-AB2C-41AF-8ED3-74FA4FEAC093}"/>
    <cellStyle name="Примечание 2 5 2 2 2 3" xfId="45975" xr:uid="{01C6D422-05B6-4B83-B2DE-798CAAA9DC71}"/>
    <cellStyle name="Примечание 2 5 2 2 3" xfId="25656" xr:uid="{30049DC4-FD9B-401A-A40C-EEA81F98C9A0}"/>
    <cellStyle name="Примечание 2 5 2 2 4" xfId="38732" xr:uid="{DFCD2310-3A13-4DB4-AC9E-9C308B10A946}"/>
    <cellStyle name="Примечание 2 5 2 3" xfId="6512" xr:uid="{6D155FDA-C71B-4CF4-8BDE-1314E183D11A}"/>
    <cellStyle name="Примечание 2 5 2 3 2" xfId="17242" xr:uid="{22DD62A6-4BC5-4D61-A2AB-FC9C97A77417}"/>
    <cellStyle name="Примечание 2 5 2 3 2 2" xfId="33001" xr:uid="{77712CF5-B787-4CD9-96E8-11711DEAF9B8}"/>
    <cellStyle name="Примечание 2 5 2 3 2 3" xfId="46776" xr:uid="{1484C80C-D129-4168-A77B-F645ECA645D7}"/>
    <cellStyle name="Примечание 2 5 2 3 3" xfId="24147" xr:uid="{AF83AD45-7071-4CBA-BE74-39FAEE7DB163}"/>
    <cellStyle name="Примечание 2 5 2 3 4" xfId="37228" xr:uid="{79BE080C-F7F6-4144-8A0F-B50D13C70BC0}"/>
    <cellStyle name="Примечание 2 5 2 4" xfId="14566" xr:uid="{79EA6834-E695-4C0B-915A-995D1CFF6D8D}"/>
    <cellStyle name="Примечание 2 5 2 4 2" xfId="30872" xr:uid="{3DCE4369-D3E3-4196-A7EE-26810B8CC82B}"/>
    <cellStyle name="Примечание 2 5 2 4 3" xfId="44287" xr:uid="{2324F67E-5F19-4C82-94DF-00AC5E7932DA}"/>
    <cellStyle name="Примечание 2 5 2 5" xfId="20899" xr:uid="{542A9CF4-3B17-404B-B48C-46FDA6ACF0B8}"/>
    <cellStyle name="Примечание 2 5 2 6" xfId="33922" xr:uid="{087DE420-F512-4939-851C-007C23F42227}"/>
    <cellStyle name="Примечание 2 5 3" xfId="4509" xr:uid="{B5A0B493-6F92-4A83-8A17-72BF495536CD}"/>
    <cellStyle name="Примечание 2 5 3 2" xfId="7150" xr:uid="{BA9E39DF-1309-4358-8016-10676231DEDE}"/>
    <cellStyle name="Примечание 2 5 3 2 2" xfId="11345" xr:uid="{D1F068B4-E36F-4947-889A-72C0C84BF06B}"/>
    <cellStyle name="Примечание 2 5 3 2 2 2" xfId="28124" xr:uid="{3F3276A9-4DC9-423D-83E2-0E66D01191DC}"/>
    <cellStyle name="Примечание 2 5 3 2 2 3" xfId="41312" xr:uid="{2A8B8121-F76B-4D72-9A16-52ECD713ECAF}"/>
    <cellStyle name="Примечание 2 5 3 2 3" xfId="24748" xr:uid="{4C618A13-7A2B-4829-9A3C-870630F57C80}"/>
    <cellStyle name="Примечание 2 5 3 2 4" xfId="37829" xr:uid="{094E0BBB-4355-4197-8F8B-44CDC75A1BA8}"/>
    <cellStyle name="Примечание 2 5 3 3" xfId="13443" xr:uid="{AE59402A-888B-4A11-8004-6BEBBE8C9D67}"/>
    <cellStyle name="Примечание 2 5 3 3 2" xfId="29907" xr:uid="{30539660-5615-40B6-9859-6F3839B7F930}"/>
    <cellStyle name="Примечание 2 5 3 3 3" xfId="43245" xr:uid="{A10FF491-A8A6-4E9A-B8C8-E782F6D1BD4C}"/>
    <cellStyle name="Примечание 2 5 3 4" xfId="22327" xr:uid="{78234846-7824-4470-B358-4EE89DB55ECF}"/>
    <cellStyle name="Примечание 2 5 3 5" xfId="35376" xr:uid="{E14270A7-26C9-4EAC-8478-61497AD058B3}"/>
    <cellStyle name="Примечание 2 5 4" xfId="5562" xr:uid="{79C436A7-C822-470D-A795-D21A25CEA12E}"/>
    <cellStyle name="Примечание 2 5 4 2" xfId="8744" xr:uid="{11912BAA-D984-4640-B6B0-32369AACDE08}"/>
    <cellStyle name="Примечание 2 5 4 2 2" xfId="15698" xr:uid="{CFC7730E-F3C8-4A5B-A96B-9E6A76286D7D}"/>
    <cellStyle name="Примечание 2 5 4 2 2 2" xfId="31810" xr:uid="{00F3F482-B841-4C93-AF93-EB888314BE2D}"/>
    <cellStyle name="Примечание 2 5 4 2 2 3" xfId="45318" xr:uid="{8B2CFC75-AAF1-47F3-AF13-DF34C1255B93}"/>
    <cellStyle name="Примечание 2 5 4 2 3" xfId="26237" xr:uid="{FC6E0F32-6A64-4732-80B1-0382243FB6EA}"/>
    <cellStyle name="Примечание 2 5 4 2 4" xfId="39313" xr:uid="{67821274-5F3D-4D3D-A0A8-0C841E639AA5}"/>
    <cellStyle name="Примечание 2 5 4 3" xfId="13855" xr:uid="{F3C6C435-E104-4B58-8C4C-18C422C83E00}"/>
    <cellStyle name="Примечание 2 5 4 3 2" xfId="30256" xr:uid="{DD81100E-D8E3-42D0-8B5C-6BAFB5208787}"/>
    <cellStyle name="Примечание 2 5 4 3 3" xfId="43627" xr:uid="{B30FA9F1-0DEA-4D24-BA0D-6461F1F8301B}"/>
    <cellStyle name="Примечание 2 5 4 4" xfId="23209" xr:uid="{A7E36CF6-709B-49B8-B3F9-1C3E24ACA12B}"/>
    <cellStyle name="Примечание 2 5 4 5" xfId="36290" xr:uid="{84196939-7C2E-4340-BB98-5B42696C8FB6}"/>
    <cellStyle name="Примечание 2 5 5" xfId="13161" xr:uid="{C9625862-9459-43D1-9884-E90B36948B86}"/>
    <cellStyle name="Примечание 2 5 5 2" xfId="29674" xr:uid="{72B38F43-6FE7-4371-BC71-39D31ABE6664}"/>
    <cellStyle name="Примечание 2 5 5 3" xfId="42986" xr:uid="{51042442-5EFD-465A-8F03-5A1A5AF099D0}"/>
    <cellStyle name="Примечание 2 5 6" xfId="21471" xr:uid="{22C554F8-1AD2-46DD-9229-87FD65E800F7}"/>
    <cellStyle name="Примечание 2 5 7" xfId="34523" xr:uid="{D09EA046-6DD0-4B85-B8B5-7841DEC2B845}"/>
    <cellStyle name="Примечание 2 6" xfId="3305" xr:uid="{43F2DCC1-597A-4888-B927-DC9114CC76FB}"/>
    <cellStyle name="Примечание 2 6 2" xfId="2667" xr:uid="{1D65B5B9-6FD6-4E81-B1E0-112A448132FD}"/>
    <cellStyle name="Примечание 2 6 2 2" xfId="7963" xr:uid="{635742A4-139F-4D1A-AB28-9E3007705AC7}"/>
    <cellStyle name="Примечание 2 6 2 2 2" xfId="11446" xr:uid="{8066FE1A-1BB4-46B6-B136-669C58174AEF}"/>
    <cellStyle name="Примечание 2 6 2 2 2 2" xfId="28211" xr:uid="{2207C342-C2D1-4A00-98AA-8827A85F54CC}"/>
    <cellStyle name="Примечание 2 6 2 2 2 3" xfId="41405" xr:uid="{1C79EF9C-B95F-46D9-BDAA-E41E55CEF766}"/>
    <cellStyle name="Примечание 2 6 2 2 3" xfId="25479" xr:uid="{F3BD960B-A9B4-4687-BC78-4EEA56D4ECFB}"/>
    <cellStyle name="Примечание 2 6 2 2 4" xfId="38555" xr:uid="{B846BB52-0169-4F66-8287-680D4B8B8DB4}"/>
    <cellStyle name="Примечание 2 6 2 3" xfId="6330" xr:uid="{BE73A0F9-046E-486B-964B-212BF25CCBF6}"/>
    <cellStyle name="Примечание 2 6 2 3 2" xfId="13830" xr:uid="{CFEA858F-298E-47E7-A6C2-527416D75FED}"/>
    <cellStyle name="Примечание 2 6 2 3 2 2" xfId="30232" xr:uid="{B2B005FB-75E4-471F-93C5-C6A9701795D1}"/>
    <cellStyle name="Примечание 2 6 2 3 2 3" xfId="43602" xr:uid="{A7318941-5BA6-472A-8573-EE7D02EE1E0D}"/>
    <cellStyle name="Примечание 2 6 2 3 3" xfId="23970" xr:uid="{29E4006A-0ACE-4FBE-BD88-FCE6F728E5F2}"/>
    <cellStyle name="Примечание 2 6 2 3 4" xfId="37051" xr:uid="{64B66A0C-43D3-4DFB-B1BD-29A246458D7F}"/>
    <cellStyle name="Примечание 2 6 2 4" xfId="14350" xr:uid="{1F7F2545-B035-4B01-A7C4-20336089A27C}"/>
    <cellStyle name="Примечание 2 6 2 4 2" xfId="30684" xr:uid="{19C831A4-50A3-4F99-BC3A-CA7583709A10}"/>
    <cellStyle name="Примечание 2 6 2 4 3" xfId="44080" xr:uid="{CAE499C0-4072-4C55-92EA-06FDC433F169}"/>
    <cellStyle name="Примечание 2 6 2 5" xfId="20722" xr:uid="{E9B374FD-C15F-491D-9857-90FA2DFB2A34}"/>
    <cellStyle name="Примечание 2 6 2 6" xfId="33745" xr:uid="{C337E3C4-499D-4151-B704-6B71C302F6CE}"/>
    <cellStyle name="Примечание 2 6 3" xfId="4336" xr:uid="{2D907FE8-128D-454A-B0CE-3567B0744F24}"/>
    <cellStyle name="Примечание 2 6 3 2" xfId="6955" xr:uid="{D441198C-256F-4CED-BF09-2D1A0CDF400A}"/>
    <cellStyle name="Примечание 2 6 3 2 2" xfId="16525" xr:uid="{11A9E3B7-AB03-47F7-BF9C-8F4F81A006E6}"/>
    <cellStyle name="Примечание 2 6 3 2 2 2" xfId="32483" xr:uid="{00F03E1C-BFDB-4116-8E2B-5E69818D658E}"/>
    <cellStyle name="Примечание 2 6 3 2 2 3" xfId="46072" xr:uid="{B0349662-B81E-4734-A18E-0C40C86BE018}"/>
    <cellStyle name="Примечание 2 6 3 2 3" xfId="24577" xr:uid="{3733D4B9-8823-4374-8C32-E02661887574}"/>
    <cellStyle name="Примечание 2 6 3 2 4" xfId="37658" xr:uid="{E5191710-A7A4-410E-AF42-F952B9E44630}"/>
    <cellStyle name="Примечание 2 6 3 3" xfId="15363" xr:uid="{705299BD-5929-45DB-938B-4DA4DC557E03}"/>
    <cellStyle name="Примечание 2 6 3 3 2" xfId="31520" xr:uid="{E3BFA68A-C07F-4C79-B737-3FA0E4FCD28F}"/>
    <cellStyle name="Примечание 2 6 3 3 3" xfId="45006" xr:uid="{21B62CBE-547C-4B5C-A564-4B3B672E0368}"/>
    <cellStyle name="Примечание 2 6 3 4" xfId="22156" xr:uid="{35EE5E46-F66B-41FB-9466-C321857EDD7E}"/>
    <cellStyle name="Примечание 2 6 3 5" xfId="35205" xr:uid="{5C4F814F-70F4-4ABE-94F2-5E249F816E2B}"/>
    <cellStyle name="Примечание 2 6 4" xfId="5391" xr:uid="{BA8C0FCD-B358-40C1-87F5-01A2589E9BE4}"/>
    <cellStyle name="Примечание 2 6 4 2" xfId="8568" xr:uid="{1B5A0D69-D560-4175-A7A2-633B738EA6A9}"/>
    <cellStyle name="Примечание 2 6 4 2 2" xfId="16285" xr:uid="{9418BD7F-D40E-417B-BE00-0FE5DEC3E296}"/>
    <cellStyle name="Примечание 2 6 4 2 2 2" xfId="32317" xr:uid="{7981510A-446B-4B92-96BF-621D86A9D886}"/>
    <cellStyle name="Примечание 2 6 4 2 2 3" xfId="45847" xr:uid="{17FA596B-EA4E-470A-958C-2139B619BCFB}"/>
    <cellStyle name="Примечание 2 6 4 2 3" xfId="26066" xr:uid="{3E2B48E9-E554-4470-B171-E2FE21F7D10E}"/>
    <cellStyle name="Примечание 2 6 4 2 4" xfId="39142" xr:uid="{783610DA-40ED-4BE7-85BC-0C12179B0CBC}"/>
    <cellStyle name="Примечание 2 6 4 3" xfId="12037" xr:uid="{895D0413-97D7-4B92-8E5C-528FDF698602}"/>
    <cellStyle name="Примечание 2 6 4 3 2" xfId="28738" xr:uid="{C5D4D9A5-2B18-485D-9DE1-EC9F8153E6AB}"/>
    <cellStyle name="Примечание 2 6 4 3 3" xfId="41957" xr:uid="{6FAD08D7-D341-444C-BB51-72AF550E87D8}"/>
    <cellStyle name="Примечание 2 6 4 4" xfId="23038" xr:uid="{1E49CDDF-289B-47CA-8CD2-CC317BFA2D0F}"/>
    <cellStyle name="Примечание 2 6 4 5" xfId="36119" xr:uid="{1B58AE3B-69ED-4763-A791-79019120098A}"/>
    <cellStyle name="Примечание 2 6 5" xfId="13952" xr:uid="{47523635-3850-49B8-B12E-E591CB89B79E}"/>
    <cellStyle name="Примечание 2 6 5 2" xfId="30340" xr:uid="{0A66F3CF-221B-47C2-999F-62DA3713203A}"/>
    <cellStyle name="Примечание 2 6 5 3" xfId="43717" xr:uid="{A0BEC376-6C10-4F33-B31B-2C1710F4DDBB}"/>
    <cellStyle name="Примечание 2 6 6" xfId="21329" xr:uid="{10FBA547-4C2D-4864-A5EC-44FF2A2E2479}"/>
    <cellStyle name="Примечание 2 6 7" xfId="34352" xr:uid="{A3AB9CB7-D7A7-4339-86DD-65452BED6F54}"/>
    <cellStyle name="Примечание 2 7" xfId="3524" xr:uid="{7ACF05B4-E8B3-44EF-B6D9-982852C3A239}"/>
    <cellStyle name="Примечание 2 7 2" xfId="2865" xr:uid="{CA33E52D-A4EF-4D23-A63D-68254844F2EC}"/>
    <cellStyle name="Примечание 2 7 2 2" xfId="8161" xr:uid="{7D4521A4-210F-4713-9A5D-2B520A33BB41}"/>
    <cellStyle name="Примечание 2 7 2 2 2" xfId="17381" xr:uid="{4383C81A-0149-4353-A949-DA43295000A8}"/>
    <cellStyle name="Примечание 2 7 2 2 2 2" xfId="33135" xr:uid="{351CD69C-CBC2-4BED-9771-408DC590D461}"/>
    <cellStyle name="Примечание 2 7 2 2 2 3" xfId="46911" xr:uid="{B6237637-07B3-4F9E-9048-F44ADEA3B2AC}"/>
    <cellStyle name="Примечание 2 7 2 2 3" xfId="25672" xr:uid="{88B62F29-D0A5-4D4D-8915-BA10A4831288}"/>
    <cellStyle name="Примечание 2 7 2 2 4" xfId="38748" xr:uid="{908DE475-F734-4B37-AD04-128EA626A72C}"/>
    <cellStyle name="Примечание 2 7 2 3" xfId="6528" xr:uid="{BC4BFA8B-88E6-4F96-8151-E8CEBF762F1C}"/>
    <cellStyle name="Примечание 2 7 2 3 2" xfId="16132" xr:uid="{0706BA1A-DF2F-4DE8-9E5C-3E116C21EE77}"/>
    <cellStyle name="Примечание 2 7 2 3 2 2" xfId="32186" xr:uid="{9145C2C6-7AE0-4E17-8B80-493448789E27}"/>
    <cellStyle name="Примечание 2 7 2 3 2 3" xfId="45707" xr:uid="{F91D39C1-A06A-4E82-AE4E-E6678C41EDC7}"/>
    <cellStyle name="Примечание 2 7 2 3 3" xfId="24163" xr:uid="{5FB96FFE-1C47-4FE6-BF93-CA765D161D44}"/>
    <cellStyle name="Примечание 2 7 2 3 4" xfId="37244" xr:uid="{EFEBD126-E239-4920-AE96-8792AE6068E3}"/>
    <cellStyle name="Примечание 2 7 2 4" xfId="11697" xr:uid="{DB415DEE-7855-4F49-A558-2BEBC40CDFC4}"/>
    <cellStyle name="Примечание 2 7 2 4 2" xfId="28430" xr:uid="{90898EAD-B404-4A9A-B015-12046648E6CF}"/>
    <cellStyle name="Примечание 2 7 2 4 3" xfId="41640" xr:uid="{1A02971B-04C6-43F7-85BA-32630B4B1EEA}"/>
    <cellStyle name="Примечание 2 7 2 5" xfId="20915" xr:uid="{2F317764-071A-4703-8946-FBC055BFC9E0}"/>
    <cellStyle name="Примечание 2 7 2 6" xfId="33938" xr:uid="{644B346E-D308-4B31-9403-B6E7252C53CD}"/>
    <cellStyle name="Примечание 2 7 3" xfId="4524" xr:uid="{536F8BAE-8F58-444F-B0D1-AD3E0D8C5D7E}"/>
    <cellStyle name="Примечание 2 7 3 2" xfId="7166" xr:uid="{3BC89217-16B7-4E84-984A-948E7B72DEFD}"/>
    <cellStyle name="Примечание 2 7 3 2 2" xfId="13426" xr:uid="{8662999E-2B0D-4868-BE91-F667F4E9201F}"/>
    <cellStyle name="Примечание 2 7 3 2 2 2" xfId="29893" xr:uid="{25A89756-D4A4-4800-8D8A-A398DAD2D8E2}"/>
    <cellStyle name="Примечание 2 7 3 2 2 3" xfId="43230" xr:uid="{D47BB448-D330-4348-8A5F-43240AD31766}"/>
    <cellStyle name="Примечание 2 7 3 2 3" xfId="24763" xr:uid="{EB9D9FAC-D839-4DCA-88C7-48A6A7437B9F}"/>
    <cellStyle name="Примечание 2 7 3 2 4" xfId="37844" xr:uid="{915C9D55-4AB1-4D1A-8F19-9647280CEF6E}"/>
    <cellStyle name="Примечание 2 7 3 3" xfId="14342" xr:uid="{7428D3B4-6261-4237-BE9C-9ADA023FB235}"/>
    <cellStyle name="Примечание 2 7 3 3 2" xfId="30676" xr:uid="{031DFC76-EC7E-41BE-AE6E-34AC4D482D29}"/>
    <cellStyle name="Примечание 2 7 3 3 3" xfId="44072" xr:uid="{4741110E-21CA-4A47-BC29-12C2C5B7778F}"/>
    <cellStyle name="Примечание 2 7 3 4" xfId="22342" xr:uid="{A7B7E187-56BF-4F57-8909-03315F9B8956}"/>
    <cellStyle name="Примечание 2 7 3 5" xfId="35391" xr:uid="{88280BAF-DDD8-4A25-8539-837AA7585B79}"/>
    <cellStyle name="Примечание 2 7 4" xfId="5577" xr:uid="{5C6861D2-4769-4A14-8A33-7C91C108ADC5}"/>
    <cellStyle name="Примечание 2 7 4 2" xfId="8759" xr:uid="{5DBEB876-C6B1-4268-BDBE-A4F031B28058}"/>
    <cellStyle name="Примечание 2 7 4 2 2" xfId="13158" xr:uid="{849E09AA-D2F7-4B2B-887C-0B9D54319F60}"/>
    <cellStyle name="Примечание 2 7 4 2 2 2" xfId="29671" xr:uid="{7A252670-3FAE-4A7E-A0D7-D5058618FA5D}"/>
    <cellStyle name="Примечание 2 7 4 2 2 3" xfId="42983" xr:uid="{673731EB-C77A-41BA-9400-E1765801302E}"/>
    <cellStyle name="Примечание 2 7 4 2 3" xfId="26252" xr:uid="{02AF6FF1-1525-47FA-9CA9-63547EBE1B50}"/>
    <cellStyle name="Примечание 2 7 4 2 4" xfId="39328" xr:uid="{111A40D9-676C-4D64-8528-EE7E0B895F7D}"/>
    <cellStyle name="Примечание 2 7 4 3" xfId="15802" xr:uid="{FC1ACEDE-09A9-4B88-AB0B-7484F9AFB0EF}"/>
    <cellStyle name="Примечание 2 7 4 3 2" xfId="31900" xr:uid="{26327F74-33A6-4F55-BD6A-F00AC6AEC831}"/>
    <cellStyle name="Примечание 2 7 4 3 3" xfId="45412" xr:uid="{84C4E0F5-129B-4766-A7D9-805CDCEA7210}"/>
    <cellStyle name="Примечание 2 7 4 4" xfId="23224" xr:uid="{859F492B-6FD7-40D1-9985-DCE9912EFEF5}"/>
    <cellStyle name="Примечание 2 7 4 5" xfId="36305" xr:uid="{9CCABFFF-2D73-4EA0-8056-A4EB7B1CBAD4}"/>
    <cellStyle name="Примечание 2 7 5" xfId="12658" xr:uid="{F3F18804-FBDB-46F9-A30C-15C811B2D7F8}"/>
    <cellStyle name="Примечание 2 7 5 2" xfId="29259" xr:uid="{F029B113-B8AF-4EE6-8D79-354285495C1D}"/>
    <cellStyle name="Примечание 2 7 5 3" xfId="42529" xr:uid="{22A1E67B-209F-424A-9142-F5E416E0DE0A}"/>
    <cellStyle name="Примечание 2 7 6" xfId="21486" xr:uid="{AA4C7D1F-F66D-4389-9810-DA7E26402DDC}"/>
    <cellStyle name="Примечание 2 7 7" xfId="34538" xr:uid="{629457C5-B1A6-4AF9-A222-E96D33D7A40B}"/>
    <cellStyle name="Примечание 2 8" xfId="3531" xr:uid="{BA03AAEF-708C-49DE-AF69-591F4639E6B0}"/>
    <cellStyle name="Примечание 2 8 2" xfId="2872" xr:uid="{34363A21-9955-4EDC-A954-CA070ED31326}"/>
    <cellStyle name="Примечание 2 8 2 2" xfId="8168" xr:uid="{EAF6888D-1ADA-47B2-AE89-87DF24CE2166}"/>
    <cellStyle name="Примечание 2 8 2 2 2" xfId="17202" xr:uid="{97048413-115C-497B-ACC0-CDDE829CCE77}"/>
    <cellStyle name="Примечание 2 8 2 2 2 2" xfId="32965" xr:uid="{96F29F06-CED9-47D5-9B71-7EA5F5CD0CD2}"/>
    <cellStyle name="Примечание 2 8 2 2 2 3" xfId="46737" xr:uid="{4740F5EC-9238-49CB-94CD-E278501304EF}"/>
    <cellStyle name="Примечание 2 8 2 2 3" xfId="25679" xr:uid="{E4721002-BACE-4CAC-8CE7-C2B596080B20}"/>
    <cellStyle name="Примечание 2 8 2 2 4" xfId="38755" xr:uid="{4B5F1188-44CF-4F2A-ADD7-1019EE78E1DD}"/>
    <cellStyle name="Примечание 2 8 2 3" xfId="6535" xr:uid="{94DE351F-EBB7-49F6-BBD5-A87941F0DABA}"/>
    <cellStyle name="Примечание 2 8 2 3 2" xfId="10900" xr:uid="{54FA9362-05DF-48FF-978F-0B4E55594064}"/>
    <cellStyle name="Примечание 2 8 2 3 2 2" xfId="27721" xr:uid="{74D76B41-BA53-420E-AB97-E0BF52658FE5}"/>
    <cellStyle name="Примечание 2 8 2 3 2 3" xfId="40880" xr:uid="{85ACCEBA-9C5D-445C-8C18-E7D139204F01}"/>
    <cellStyle name="Примечание 2 8 2 3 3" xfId="24170" xr:uid="{59CEE584-8F81-41F7-B8EB-56F89F8E46F1}"/>
    <cellStyle name="Примечание 2 8 2 3 4" xfId="37251" xr:uid="{A477BDF6-1C08-4826-8020-67B6CE1E5AF5}"/>
    <cellStyle name="Примечание 2 8 2 4" xfId="16778" xr:uid="{E30A9B79-77C1-4971-AE30-653E7FFC49DA}"/>
    <cellStyle name="Примечание 2 8 2 4 2" xfId="32659" xr:uid="{218D26F7-C8AB-4656-9ACF-DA0913CF3CDE}"/>
    <cellStyle name="Примечание 2 8 2 4 3" xfId="46321" xr:uid="{951D8A93-A4F8-4BAA-B5F8-2BEC392DED0E}"/>
    <cellStyle name="Примечание 2 8 2 5" xfId="20922" xr:uid="{94CD24F1-16A7-480F-A463-043E702D798E}"/>
    <cellStyle name="Примечание 2 8 2 6" xfId="33945" xr:uid="{7DF3924B-955C-4E83-88E4-B0A1084C3B60}"/>
    <cellStyle name="Примечание 2 8 3" xfId="4531" xr:uid="{540445B2-073D-429C-B384-790512E60D57}"/>
    <cellStyle name="Примечание 2 8 3 2" xfId="7173" xr:uid="{86E7F2A8-70F4-4196-AE38-E362B4A21B18}"/>
    <cellStyle name="Примечание 2 8 3 2 2" xfId="15018" xr:uid="{62ECF730-03CC-4061-856F-D266AD633D40}"/>
    <cellStyle name="Примечание 2 8 3 2 2 2" xfId="31243" xr:uid="{288AF6AE-034C-4611-9CAA-073BA772DDFF}"/>
    <cellStyle name="Примечание 2 8 3 2 2 3" xfId="44693" xr:uid="{C2F57324-930D-4F4C-87FA-F613ACE2B895}"/>
    <cellStyle name="Примечание 2 8 3 2 3" xfId="24770" xr:uid="{8BC5040E-9E18-4250-BD24-404F449D7A07}"/>
    <cellStyle name="Примечание 2 8 3 2 4" xfId="37851" xr:uid="{29BAB11D-FE2F-4D7B-BCF6-DBEA5C0E088C}"/>
    <cellStyle name="Примечание 2 8 3 3" xfId="12534" xr:uid="{86D48F4D-D3B2-49DE-97D8-1EA619B050B5}"/>
    <cellStyle name="Примечание 2 8 3 3 2" xfId="29159" xr:uid="{F0689994-BB73-47A2-8E5C-A81C894AC355}"/>
    <cellStyle name="Примечание 2 8 3 3 3" xfId="42418" xr:uid="{E512C41A-1AC2-4CA9-9915-44EE520E6F92}"/>
    <cellStyle name="Примечание 2 8 3 4" xfId="22349" xr:uid="{CF8F9B9E-9AAE-44E8-B4A2-76BF27F4AADD}"/>
    <cellStyle name="Примечание 2 8 3 5" xfId="35398" xr:uid="{E8994217-8A6D-4079-B381-C1EE6E771AD5}"/>
    <cellStyle name="Примечание 2 8 4" xfId="5584" xr:uid="{022EAAE0-8DFB-4D31-A54A-EBF3F63EDDAC}"/>
    <cellStyle name="Примечание 2 8 4 2" xfId="8766" xr:uid="{09024978-BFB7-4B7E-926B-5A5D9182E148}"/>
    <cellStyle name="Примечание 2 8 4 2 2" xfId="15910" xr:uid="{8C80A85A-D961-4ED6-8474-FCD42307A476}"/>
    <cellStyle name="Примечание 2 8 4 2 2 2" xfId="31992" xr:uid="{05611E9C-260B-482F-A501-BA771B4DB763}"/>
    <cellStyle name="Примечание 2 8 4 2 2 3" xfId="45508" xr:uid="{2733A62A-28F1-44FC-8E93-DDB99FCF2F31}"/>
    <cellStyle name="Примечание 2 8 4 2 3" xfId="26259" xr:uid="{B8F7D134-1CE1-46C2-9DB2-38ACA6969B5B}"/>
    <cellStyle name="Примечание 2 8 4 2 4" xfId="39335" xr:uid="{86BE07E7-67B1-4FCE-9F2B-0615862DD374}"/>
    <cellStyle name="Примечание 2 8 4 3" xfId="16053" xr:uid="{FBFAA569-A308-4962-97F9-181C4549AEA0}"/>
    <cellStyle name="Примечание 2 8 4 3 2" xfId="32115" xr:uid="{DD6BCB41-9102-4241-A266-72C730C0C1D8}"/>
    <cellStyle name="Примечание 2 8 4 3 3" xfId="45634" xr:uid="{41521A39-3416-4FA6-8FB8-08B7C82B99BD}"/>
    <cellStyle name="Примечание 2 8 4 4" xfId="23231" xr:uid="{ED8A9F12-9C81-43B5-926F-E3A7F2FA1868}"/>
    <cellStyle name="Примечание 2 8 4 5" xfId="36312" xr:uid="{D759E629-52BF-4684-9CE8-55F1523802F6}"/>
    <cellStyle name="Примечание 2 8 5" xfId="14562" xr:uid="{3263E331-4FD5-4404-94CA-1CC89E172F4E}"/>
    <cellStyle name="Примечание 2 8 5 2" xfId="30869" xr:uid="{B295F8C4-BE2D-47A4-9060-A10C50FCA3C6}"/>
    <cellStyle name="Примечание 2 8 5 3" xfId="44283" xr:uid="{AF49C1B8-A87D-4F74-87F5-BD0B56E3EE51}"/>
    <cellStyle name="Примечание 2 8 6" xfId="21493" xr:uid="{D566C8C4-6490-42D3-B991-261F329CAACE}"/>
    <cellStyle name="Примечание 2 8 7" xfId="34545" xr:uid="{03FD7097-3F73-4314-98FB-7D125F6B93AF}"/>
    <cellStyle name="Примечание 2 9" xfId="3540" xr:uid="{94979F74-5F05-4547-BC2D-7D18DC28E5E2}"/>
    <cellStyle name="Примечание 2 9 2" xfId="2881" xr:uid="{F2F74A70-9E82-42D2-894A-8AD30B8989AA}"/>
    <cellStyle name="Примечание 2 9 2 2" xfId="8177" xr:uid="{51F0FF43-4C48-44C2-863E-0A03BCB066B8}"/>
    <cellStyle name="Примечание 2 9 2 2 2" xfId="14295" xr:uid="{7407669A-067D-4F68-A157-4C88F1CBC34A}"/>
    <cellStyle name="Примечание 2 9 2 2 2 2" xfId="30634" xr:uid="{24A2A70F-E962-4DB7-BEC5-92B7285DB75E}"/>
    <cellStyle name="Примечание 2 9 2 2 2 3" xfId="44028" xr:uid="{180F9E8C-929E-42FB-9E53-E182D1410556}"/>
    <cellStyle name="Примечание 2 9 2 2 3" xfId="25688" xr:uid="{2ACD7F0B-83EC-462D-8559-749CAAC717DB}"/>
    <cellStyle name="Примечание 2 9 2 2 4" xfId="38764" xr:uid="{9847A1AB-4DAE-434E-89B6-053624BF91E2}"/>
    <cellStyle name="Примечание 2 9 2 3" xfId="6544" xr:uid="{25D66D74-DAEB-4BBC-A48B-CAD46DA86D6D}"/>
    <cellStyle name="Примечание 2 9 2 3 2" xfId="11770" xr:uid="{7A9FFA5E-181A-4A66-B0C1-510623AD91B3}"/>
    <cellStyle name="Примечание 2 9 2 3 2 2" xfId="28495" xr:uid="{AB990538-803C-40A3-865E-D32CB0EBDA2D}"/>
    <cellStyle name="Примечание 2 9 2 3 2 3" xfId="41706" xr:uid="{0AA76CE2-1EA3-4EB7-AAA7-3B41E481B727}"/>
    <cellStyle name="Примечание 2 9 2 3 3" xfId="24179" xr:uid="{5F231C78-2F41-4AA8-9628-F8E57DF4D315}"/>
    <cellStyle name="Примечание 2 9 2 3 4" xfId="37260" xr:uid="{EC3C586B-9EE3-48F1-BA4B-994E636B1DF8}"/>
    <cellStyle name="Примечание 2 9 2 4" xfId="15135" xr:uid="{3CE5BD7D-6B4C-4D2B-8AF5-4026B5D17606}"/>
    <cellStyle name="Примечание 2 9 2 4 2" xfId="31335" xr:uid="{256C8923-48C3-4B3A-AE25-F84BE81A12F3}"/>
    <cellStyle name="Примечание 2 9 2 4 3" xfId="44799" xr:uid="{0D5ED63B-E077-4410-A554-559E85A7B44E}"/>
    <cellStyle name="Примечание 2 9 2 5" xfId="20931" xr:uid="{61CA4351-BF7E-43C0-BB28-E288962B6924}"/>
    <cellStyle name="Примечание 2 9 2 6" xfId="33954" xr:uid="{12E9BC38-6B6D-48CB-AD11-1CF9B35CFACB}"/>
    <cellStyle name="Примечание 2 9 3" xfId="4562" xr:uid="{A87C483F-55A8-4E85-9BE4-A47E409DEF2F}"/>
    <cellStyle name="Примечание 2 9 3 2" xfId="7182" xr:uid="{D24D3D34-A5C0-4AB3-969B-9FBA0DAC48B9}"/>
    <cellStyle name="Примечание 2 9 3 2 2" xfId="14784" xr:uid="{BE275291-DD19-4788-8DEF-A471D6907BEB}"/>
    <cellStyle name="Примечание 2 9 3 2 2 2" xfId="31050" xr:uid="{1980D1BE-72D1-4543-84BE-9BB97EC67547}"/>
    <cellStyle name="Примечание 2 9 3 2 2 3" xfId="44482" xr:uid="{C3C7B7FD-5AD8-4600-98C6-39766DAD86FE}"/>
    <cellStyle name="Примечание 2 9 3 2 3" xfId="24779" xr:uid="{8B407EA0-E763-4374-9B84-A6D753E3D8DE}"/>
    <cellStyle name="Примечание 2 9 3 2 4" xfId="37860" xr:uid="{62C1D209-0530-4216-AF02-EA2DCF0111E8}"/>
    <cellStyle name="Примечание 2 9 3 3" xfId="11527" xr:uid="{948F1338-5F8F-4288-AAAD-D4C4E31BCE47}"/>
    <cellStyle name="Примечание 2 9 3 3 2" xfId="28285" xr:uid="{3284BD5D-42D6-4609-8C3B-ADF7F7805BFC}"/>
    <cellStyle name="Примечание 2 9 3 3 3" xfId="41482" xr:uid="{8CA7DA42-CA19-49F9-981F-180AC6F5C8D0}"/>
    <cellStyle name="Примечание 2 9 3 4" xfId="22378" xr:uid="{5475BDEF-7DFE-4435-B119-5DCADB786D7B}"/>
    <cellStyle name="Примечание 2 9 3 5" xfId="35427" xr:uid="{12973C83-A13A-4F97-A844-D84D67D9D381}"/>
    <cellStyle name="Примечание 2 9 4" xfId="5593" xr:uid="{E096E5C8-6B6C-49F8-9486-01DDEF54833E}"/>
    <cellStyle name="Примечание 2 9 4 2" xfId="8775" xr:uid="{2A747621-F7BB-40FF-A0AB-F7F27D9FF0C9}"/>
    <cellStyle name="Примечание 2 9 4 2 2" xfId="15654" xr:uid="{247E8872-2DED-465B-BD01-B6F0EA43EB26}"/>
    <cellStyle name="Примечание 2 9 4 2 2 2" xfId="31772" xr:uid="{89552BDC-68AD-40C0-8B19-E0A48787984F}"/>
    <cellStyle name="Примечание 2 9 4 2 2 3" xfId="45277" xr:uid="{814A2CA0-FFA0-41D8-9C12-9DAE264A9D0D}"/>
    <cellStyle name="Примечание 2 9 4 2 3" xfId="26268" xr:uid="{21D5A9FD-95F4-4692-8619-3930188B35F4}"/>
    <cellStyle name="Примечание 2 9 4 2 4" xfId="39344" xr:uid="{0EDCA705-48D3-4637-875F-2CD0E3CEB7B9}"/>
    <cellStyle name="Примечание 2 9 4 3" xfId="15728" xr:uid="{354B1BDD-8C85-43DE-8B7A-7DEB3C476322}"/>
    <cellStyle name="Примечание 2 9 4 3 2" xfId="31838" xr:uid="{8340D4A1-228C-4F84-B5AF-80B463470038}"/>
    <cellStyle name="Примечание 2 9 4 3 3" xfId="45347" xr:uid="{BB013397-2714-48B9-BEE9-A3BEFCF366A8}"/>
    <cellStyle name="Примечание 2 9 4 4" xfId="23240" xr:uid="{6D203C3E-B4F0-4851-ACE9-5D98642D2186}"/>
    <cellStyle name="Примечание 2 9 4 5" xfId="36321" xr:uid="{BF896D08-E1BF-4311-A631-FD337C1AF328}"/>
    <cellStyle name="Примечание 2 9 5" xfId="13410" xr:uid="{3371A7F6-9604-4540-95A6-8ECB8E407B4B}"/>
    <cellStyle name="Примечание 2 9 5 2" xfId="29879" xr:uid="{E7C125AF-0A7D-4CBA-BD83-41D996255BF5}"/>
    <cellStyle name="Примечание 2 9 5 3" xfId="43214" xr:uid="{A45E48B5-0A7E-4D07-B725-8E9DD022343E}"/>
    <cellStyle name="Примечание 2 9 6" xfId="21502" xr:uid="{F034E8B0-F623-4A4F-8B4E-F859292CBE89}"/>
    <cellStyle name="Примечание 2 9 7" xfId="34554" xr:uid="{2DF23D2C-B731-43A9-B6DB-49E0BE434A7F}"/>
    <cellStyle name="Примечание 3" xfId="2414" xr:uid="{9B9464B1-6070-4A37-8D20-2ED07B47BE82}"/>
    <cellStyle name="Примечание 3 10" xfId="3756" xr:uid="{A55E8DAD-B467-407B-B281-B196680ECCA0}"/>
    <cellStyle name="Примечание 3 10 2" xfId="3067" xr:uid="{83C57BE6-5CF4-4C3D-B60D-55B6815B498E}"/>
    <cellStyle name="Примечание 3 10 2 2" xfId="8363" xr:uid="{76198618-C707-43CF-9B26-5A22FD5C0956}"/>
    <cellStyle name="Примечание 3 10 2 2 2" xfId="11091" xr:uid="{BBD5077E-6368-4C9E-A914-5E4211193984}"/>
    <cellStyle name="Примечание 3 10 2 2 2 2" xfId="27892" xr:uid="{B479E31A-88E6-45D0-8254-EB1A500C311F}"/>
    <cellStyle name="Примечание 3 10 2 2 2 3" xfId="41070" xr:uid="{7D62FB2F-DDC2-4B32-8495-41C7C910C80A}"/>
    <cellStyle name="Примечание 3 10 2 2 3" xfId="25867" xr:uid="{3C1DC2C8-F99F-430D-89F6-9B98B0431DA7}"/>
    <cellStyle name="Примечание 3 10 2 2 4" xfId="38943" xr:uid="{7F4E66E2-9A11-4C73-BD87-D5897D13EFA7}"/>
    <cellStyle name="Примечание 3 10 2 3" xfId="6730" xr:uid="{D56F0F1F-4C30-47CD-B14D-42EF7B79438B}"/>
    <cellStyle name="Примечание 3 10 2 3 2" xfId="15300" xr:uid="{A8E0711A-E4B3-43B7-BF54-C5AD95E06E48}"/>
    <cellStyle name="Примечание 3 10 2 3 2 2" xfId="31468" xr:uid="{22DD4DCA-64D7-4079-BE00-90889818B6E7}"/>
    <cellStyle name="Примечание 3 10 2 3 2 3" xfId="44948" xr:uid="{0512E52F-51BF-49BD-AC36-D53403EF0D81}"/>
    <cellStyle name="Примечание 3 10 2 3 3" xfId="24358" xr:uid="{F4262C32-595B-458B-BDFC-FBA1C29C8EC1}"/>
    <cellStyle name="Примечание 3 10 2 3 4" xfId="37439" xr:uid="{1AA9DD56-DFC7-48A6-A894-A0A392774DA1}"/>
    <cellStyle name="Примечание 3 10 2 4" xfId="14827" xr:uid="{4843F455-94EE-4AF5-BA2F-292754AEE7A7}"/>
    <cellStyle name="Примечание 3 10 2 4 2" xfId="31088" xr:uid="{644D769C-9741-4A2F-B58E-8E26611851AB}"/>
    <cellStyle name="Примечание 3 10 2 4 3" xfId="44524" xr:uid="{19D643B2-EEE0-4290-AD1E-6A6004AA175A}"/>
    <cellStyle name="Примечание 3 10 2 5" xfId="21110" xr:uid="{F8CF64CE-93E7-4519-BDF3-C6356A657676}"/>
    <cellStyle name="Примечание 3 10 2 6" xfId="34133" xr:uid="{E3D0812A-83F7-4EBD-9DFB-0C272F35C235}"/>
    <cellStyle name="Примечание 3 10 3" xfId="4638" xr:uid="{25B1AB50-7FB0-4B1A-931F-627FE032EF98}"/>
    <cellStyle name="Примечание 3 10 3 2" xfId="7388" xr:uid="{47D342BF-5DC5-4FF1-A270-914685249481}"/>
    <cellStyle name="Примечание 3 10 3 2 2" xfId="11171" xr:uid="{CB3B0451-B327-44D7-A0AB-8C8B8CCB7EA3}"/>
    <cellStyle name="Примечание 3 10 3 2 2 2" xfId="27965" xr:uid="{747FF452-F03D-4F46-85CA-BB2E3BE5744D}"/>
    <cellStyle name="Примечание 3 10 3 2 2 3" xfId="41147" xr:uid="{7B51DA14-0A6D-4A6A-BF65-0ECBD27C74CB}"/>
    <cellStyle name="Примечание 3 10 3 2 3" xfId="24947" xr:uid="{6F9476EA-4367-4F37-B194-63AD5351D7E8}"/>
    <cellStyle name="Примечание 3 10 3 2 4" xfId="38025" xr:uid="{67AD0519-0F75-4911-9232-9D8586A677B7}"/>
    <cellStyle name="Примечание 3 10 3 3" xfId="14074" xr:uid="{E61FC83A-3E65-4880-9A0A-A7E125C26B5F}"/>
    <cellStyle name="Примечание 3 10 3 3 2" xfId="30442" xr:uid="{7EBC0AAF-441B-4699-8DFE-8ACBA7991D25}"/>
    <cellStyle name="Примечание 3 10 3 3 3" xfId="43825" xr:uid="{F6179C21-B4FD-4534-9B87-3DB4413CDE19}"/>
    <cellStyle name="Примечание 3 10 3 4" xfId="22448" xr:uid="{2EE389CC-C3EF-418F-AF17-E67562A4411F}"/>
    <cellStyle name="Примечание 3 10 3 5" xfId="35501" xr:uid="{DE6210E6-B136-4DA4-9ABF-6F1E1B1B3CD5}"/>
    <cellStyle name="Примечание 3 10 4" xfId="5758" xr:uid="{7D82279C-24A9-4CFC-8003-28B06EDE8A06}"/>
    <cellStyle name="Примечание 3 10 4 2" xfId="8947" xr:uid="{D478CAE5-7495-4CD6-A52C-4E1DF550A91D}"/>
    <cellStyle name="Примечание 3 10 4 2 2" xfId="12737" xr:uid="{B23B94EF-7097-417C-9623-247E4F1D5348}"/>
    <cellStyle name="Примечание 3 10 4 2 2 2" xfId="29317" xr:uid="{E297FC7D-7143-4622-B248-23DDC033C62A}"/>
    <cellStyle name="Примечание 3 10 4 2 2 3" xfId="42595" xr:uid="{93839DCE-6167-4C26-8DAC-9F4803E9F2DD}"/>
    <cellStyle name="Примечание 3 10 4 2 3" xfId="26433" xr:uid="{DCEECF4E-D52D-4650-954C-95E3017E45A6}"/>
    <cellStyle name="Примечание 3 10 4 2 4" xfId="39509" xr:uid="{63EF700C-F6D6-41C2-A600-2A4D84531626}"/>
    <cellStyle name="Примечание 3 10 4 3" xfId="13979" xr:uid="{A7B60F17-9F2D-47D5-9CD1-3EC2A23B8F2F}"/>
    <cellStyle name="Примечание 3 10 4 3 2" xfId="30366" xr:uid="{A2595879-24A1-4107-A601-89887CC9E346}"/>
    <cellStyle name="Примечание 3 10 4 3 3" xfId="43743" xr:uid="{CF3B8806-9C8F-43F4-A52E-A4B6BFE9413D}"/>
    <cellStyle name="Примечание 3 10 4 4" xfId="23405" xr:uid="{DE9C884A-BA9C-4001-A41F-1F37451D6743}"/>
    <cellStyle name="Примечание 3 10 4 5" xfId="36486" xr:uid="{4BAFBB63-5C58-43EB-8D22-6D2965F0D5F3}"/>
    <cellStyle name="Примечание 3 10 5" xfId="15780" xr:uid="{3088F0D2-3549-4FCE-9633-F52BDD7585FC}"/>
    <cellStyle name="Примечание 3 10 5 2" xfId="31881" xr:uid="{4A55A7D1-13B0-4C16-8834-0865681B7D98}"/>
    <cellStyle name="Примечание 3 10 5 3" xfId="45392" xr:uid="{0F6FE927-347A-4F98-B331-C387E4345F71}"/>
    <cellStyle name="Примечание 3 10 6" xfId="21667" xr:uid="{8698A6F0-19A7-4D3E-93DD-50EB06821DA4}"/>
    <cellStyle name="Примечание 3 10 7" xfId="34721" xr:uid="{B641E676-C742-485D-84B8-6733B8BAEACB}"/>
    <cellStyle name="Примечание 3 11" xfId="3542" xr:uid="{A3467988-90C5-4D4C-B9DB-4DF7082BCE37}"/>
    <cellStyle name="Примечание 3 11 2" xfId="2883" xr:uid="{857DD0AF-7810-4530-8F9F-B774DDA76651}"/>
    <cellStyle name="Примечание 3 11 2 2" xfId="8179" xr:uid="{0B52F988-5E7C-47C3-9336-4CFB473DBBB5}"/>
    <cellStyle name="Примечание 3 11 2 2 2" xfId="10793" xr:uid="{C7D0657E-5D18-49C5-8488-F6262E679EA0}"/>
    <cellStyle name="Примечание 3 11 2 2 2 2" xfId="27627" xr:uid="{1C4FF2DE-F556-4E7E-89F8-12706E2B46BB}"/>
    <cellStyle name="Примечание 3 11 2 2 2 3" xfId="40774" xr:uid="{47D08B1E-3A03-4F10-B98B-3734FEBDFDBE}"/>
    <cellStyle name="Примечание 3 11 2 2 3" xfId="25690" xr:uid="{7876C765-DF33-4514-95AF-2722E344DC40}"/>
    <cellStyle name="Примечание 3 11 2 2 4" xfId="38766" xr:uid="{F8CFFD2D-88EA-44E8-938F-A062ADBA445C}"/>
    <cellStyle name="Примечание 3 11 2 3" xfId="6546" xr:uid="{30982C7E-3103-4A04-931F-5F2DDDBD9C99}"/>
    <cellStyle name="Примечание 3 11 2 3 2" xfId="10579" xr:uid="{D5317798-3B44-42D7-85E8-ED6F452C8E65}"/>
    <cellStyle name="Примечание 3 11 2 3 2 2" xfId="27438" xr:uid="{CE5A9EDF-231C-413C-8CAB-871CE0C109C1}"/>
    <cellStyle name="Примечание 3 11 2 3 2 3" xfId="40560" xr:uid="{98F21F6B-17CE-4055-8E23-01DAAD0AFE6C}"/>
    <cellStyle name="Примечание 3 11 2 3 3" xfId="24181" xr:uid="{4D6A74D4-D1BD-4750-8251-DA2B47C46A4A}"/>
    <cellStyle name="Примечание 3 11 2 3 4" xfId="37262" xr:uid="{64400C50-BEB3-4C1B-84EC-68565AC71A85}"/>
    <cellStyle name="Примечание 3 11 2 4" xfId="16839" xr:uid="{AB556F38-D9BB-432C-958A-4DC1DE10881B}"/>
    <cellStyle name="Примечание 3 11 2 4 2" xfId="32717" xr:uid="{ED13A975-20FA-44EA-9516-BBE01FC742D0}"/>
    <cellStyle name="Примечание 3 11 2 4 3" xfId="46381" xr:uid="{56B6143F-2388-420A-9A71-0F983DA762CA}"/>
    <cellStyle name="Примечание 3 11 2 5" xfId="20933" xr:uid="{E0EDE2D1-06B1-408F-A1B3-97E63265C3C6}"/>
    <cellStyle name="Примечание 3 11 2 6" xfId="33956" xr:uid="{5F083992-32E7-4534-AF38-3EF43A5316EF}"/>
    <cellStyle name="Примечание 3 11 3" xfId="4645" xr:uid="{FCF8D947-D8B7-4932-9A01-AF6A54ADA1EF}"/>
    <cellStyle name="Примечание 3 11 3 2" xfId="7184" xr:uid="{76D921EB-2914-4CAF-B377-5C7715767329}"/>
    <cellStyle name="Примечание 3 11 3 2 2" xfId="11909" xr:uid="{58C98ECF-47AD-4289-849E-F66A59E9B6DF}"/>
    <cellStyle name="Примечание 3 11 3 2 2 2" xfId="28624" xr:uid="{4CF02CE0-030C-47DE-A299-53F1899F63B0}"/>
    <cellStyle name="Примечание 3 11 3 2 2 3" xfId="41840" xr:uid="{8088B58D-EE24-4663-BA4F-26C13C914BA9}"/>
    <cellStyle name="Примечание 3 11 3 2 3" xfId="24781" xr:uid="{D4EE1C06-709B-439F-A87D-909898B5F1D3}"/>
    <cellStyle name="Примечание 3 11 3 2 4" xfId="37862" xr:uid="{BAEB0C25-AB60-46A7-887B-64519ED0E129}"/>
    <cellStyle name="Примечание 3 11 3 3" xfId="11350" xr:uid="{C693DD03-9B45-46A0-87C0-113E5ADDA1B9}"/>
    <cellStyle name="Примечание 3 11 3 3 2" xfId="28129" xr:uid="{F2D0D32B-4FCD-458C-AA52-A4D5A1718154}"/>
    <cellStyle name="Примечание 3 11 3 3 3" xfId="41317" xr:uid="{98C62993-4948-4736-A753-23BD9AEA7D6F}"/>
    <cellStyle name="Примечание 3 11 3 4" xfId="22455" xr:uid="{0ADFC38B-F576-49A0-A2E8-D4E8B0CDBC4B}"/>
    <cellStyle name="Примечание 3 11 3 5" xfId="35508" xr:uid="{367C7694-AB41-49D0-8012-EA246BCE3624}"/>
    <cellStyle name="Примечание 3 11 4" xfId="5595" xr:uid="{A9157C7C-B615-46CA-8F14-0145EF7D5ACD}"/>
    <cellStyle name="Примечание 3 11 4 2" xfId="8777" xr:uid="{5D1823D1-2301-4727-BFED-1273EF4D5E66}"/>
    <cellStyle name="Примечание 3 11 4 2 2" xfId="15065" xr:uid="{82CA99C6-77A6-4E2B-B4EB-B206DD9038AB}"/>
    <cellStyle name="Примечание 3 11 4 2 2 2" xfId="31276" xr:uid="{C59C8AD7-F98A-4685-A5B2-E403FDFE53EF}"/>
    <cellStyle name="Примечание 3 11 4 2 2 3" xfId="44732" xr:uid="{75A54AF1-B47E-4815-AC84-025CC0C454BD}"/>
    <cellStyle name="Примечание 3 11 4 2 3" xfId="26270" xr:uid="{DCA9306B-03C1-4388-8BBA-C0F901BA6402}"/>
    <cellStyle name="Примечание 3 11 4 2 4" xfId="39346" xr:uid="{308A5A0C-AB33-49BA-9780-E20B541FEACF}"/>
    <cellStyle name="Примечание 3 11 4 3" xfId="11739" xr:uid="{B252D402-FF98-4D26-B1D7-58D100F26FB1}"/>
    <cellStyle name="Примечание 3 11 4 3 2" xfId="28466" xr:uid="{7279C4D0-088F-49D4-AE80-F0CEA89430DA}"/>
    <cellStyle name="Примечание 3 11 4 3 3" xfId="41677" xr:uid="{B1A9F9B1-817E-40D9-82B9-281CDB970EC3}"/>
    <cellStyle name="Примечание 3 11 4 4" xfId="23242" xr:uid="{DAEC236D-AE77-4318-B4D1-23E7DA50CB8C}"/>
    <cellStyle name="Примечание 3 11 4 5" xfId="36323" xr:uid="{0CAB4199-5CCB-4361-B589-39B410171CC3}"/>
    <cellStyle name="Примечание 3 11 5" xfId="13928" xr:uid="{6D3F3F15-0A68-414A-B7D3-A6F2893F77AE}"/>
    <cellStyle name="Примечание 3 11 5 2" xfId="30317" xr:uid="{D95021BF-3A43-4E03-B146-8B3B259D59C7}"/>
    <cellStyle name="Примечание 3 11 5 3" xfId="43693" xr:uid="{77B6D833-852F-4C9A-9F6A-17DEF140DD5E}"/>
    <cellStyle name="Примечание 3 11 6" xfId="21504" xr:uid="{09C97650-B0FA-4DC2-941B-6E7FBC866002}"/>
    <cellStyle name="Примечание 3 11 7" xfId="34556" xr:uid="{B33754AD-8E6E-43C4-A1B7-D34FF79B2D86}"/>
    <cellStyle name="Примечание 3 12" xfId="3832" xr:uid="{396D35A3-FBE0-412D-B0FD-1EC7A2DF8B9B}"/>
    <cellStyle name="Примечание 3 12 2" xfId="3094" xr:uid="{00C99538-9192-44D4-B3E2-8516CA0EA2D9}"/>
    <cellStyle name="Примечание 3 12 2 2" xfId="8386" xr:uid="{7A9F30B4-D20B-4CE8-BE5A-EB18875F2184}"/>
    <cellStyle name="Примечание 3 12 2 2 2" xfId="15553" xr:uid="{34064E05-A1DD-471B-8467-7BB995351E30}"/>
    <cellStyle name="Примечание 3 12 2 2 2 2" xfId="31685" xr:uid="{8AF8F096-53A5-416F-A66E-1004F47E20AD}"/>
    <cellStyle name="Примечание 3 12 2 2 2 3" xfId="45185" xr:uid="{AD3CC2B3-2657-4EA5-921A-F66F25BEE232}"/>
    <cellStyle name="Примечание 3 12 2 2 3" xfId="25889" xr:uid="{1A696727-8A6B-4CDD-A690-194B77D3F7F7}"/>
    <cellStyle name="Примечание 3 12 2 2 4" xfId="38965" xr:uid="{2C0C03F3-5B7D-47C5-A1BB-1CDE252BA506}"/>
    <cellStyle name="Примечание 3 12 2 3" xfId="6753" xr:uid="{2C5FA458-ABD7-451A-9A4D-C1B134B9ED02}"/>
    <cellStyle name="Примечание 3 12 2 3 2" xfId="17191" xr:uid="{BBE6701F-0799-4074-9C57-A200BD8A81ED}"/>
    <cellStyle name="Примечание 3 12 2 3 2 2" xfId="32954" xr:uid="{E5FA2E30-CCCC-47C5-91EF-B7C83A76D498}"/>
    <cellStyle name="Примечание 3 12 2 3 2 3" xfId="46726" xr:uid="{464854E9-5A4F-47B6-80B9-6DC69A0E3631}"/>
    <cellStyle name="Примечание 3 12 2 3 3" xfId="24380" xr:uid="{57524907-FA8E-4BEC-9630-6A732AEE0273}"/>
    <cellStyle name="Примечание 3 12 2 3 4" xfId="37461" xr:uid="{E268F20B-FBE5-4F12-873D-A9312CFBE607}"/>
    <cellStyle name="Примечание 3 12 2 4" xfId="13286" xr:uid="{C98C20B3-038E-47F7-9106-EB1A344051F4}"/>
    <cellStyle name="Примечание 3 12 2 4 2" xfId="29776" xr:uid="{8C8F0B91-9A5F-41CE-87BF-AF3C9F171421}"/>
    <cellStyle name="Примечание 3 12 2 4 3" xfId="43103" xr:uid="{C503B595-349C-4805-A5DB-87F7CF3399D7}"/>
    <cellStyle name="Примечание 3 12 2 5" xfId="21132" xr:uid="{0A49BC17-682D-496F-97AD-7271758EC0BE}"/>
    <cellStyle name="Примечание 3 12 2 6" xfId="34155" xr:uid="{AE258ACC-D303-43C4-9454-5F8C320C2484}"/>
    <cellStyle name="Примечание 3 12 3" xfId="4777" xr:uid="{BEEF7892-3989-4A2E-997C-6FA0FFB25273}"/>
    <cellStyle name="Примечание 3 12 3 2" xfId="7419" xr:uid="{6B435400-AEAC-4FEC-9DB3-F31E9B46A67F}"/>
    <cellStyle name="Примечание 3 12 3 2 2" xfId="14284" xr:uid="{FE555548-A6C4-465A-83C9-A60E421D7F7B}"/>
    <cellStyle name="Примечание 3 12 3 2 2 2" xfId="30624" xr:uid="{C3F574E8-901E-4C7D-A950-A3E575E0E8D5}"/>
    <cellStyle name="Примечание 3 12 3 2 2 3" xfId="44017" xr:uid="{68E74D85-ECDF-465C-B3BF-BC3480602E4E}"/>
    <cellStyle name="Примечание 3 12 3 2 3" xfId="24976" xr:uid="{7D57207B-76E9-43F0-8368-0DE596E4836F}"/>
    <cellStyle name="Примечание 3 12 3 2 4" xfId="38052" xr:uid="{93F8D0D9-C28A-4289-8981-7A0B83B8F2B2}"/>
    <cellStyle name="Примечание 3 12 3 3" xfId="14254" xr:uid="{6E4D704F-3D66-4C93-8E30-7EC7EAA0F2CA}"/>
    <cellStyle name="Примечание 3 12 3 3 2" xfId="30598" xr:uid="{B6E6845E-3714-4772-9659-CDF6052CB1E6}"/>
    <cellStyle name="Примечание 3 12 3 3 3" xfId="43990" xr:uid="{3EC026C3-AC14-4ABB-A2D0-B7DD1FEA5AC2}"/>
    <cellStyle name="Примечание 3 12 3 4" xfId="22579" xr:uid="{0F9C4982-1005-4D76-8AB4-D9B3B3B8B017}"/>
    <cellStyle name="Примечание 3 12 3 5" xfId="35632" xr:uid="{526F7585-8841-4D59-993E-509298FFCDE3}"/>
    <cellStyle name="Примечание 3 12 4" xfId="5802" xr:uid="{DF0503D5-486E-43DF-99CC-3C2B3A9E34F3}"/>
    <cellStyle name="Примечание 3 12 4 2" xfId="8963" xr:uid="{4B3A6E09-4A23-494D-9180-1E7526679AD3}"/>
    <cellStyle name="Примечание 3 12 4 2 2" xfId="14894" xr:uid="{D0C21E64-9A5C-43B2-B0A7-3FF255123F12}"/>
    <cellStyle name="Примечание 3 12 4 2 2 2" xfId="31142" xr:uid="{C1FDE1A1-D572-4734-A72F-489B5B985D0F}"/>
    <cellStyle name="Примечание 3 12 4 2 2 3" xfId="44585" xr:uid="{309D49CC-A1BC-43E3-BBDF-3E207C911C45}"/>
    <cellStyle name="Примечание 3 12 4 2 3" xfId="26448" xr:uid="{3F826C1D-6A7A-407E-AB7C-417101178891}"/>
    <cellStyle name="Примечание 3 12 4 2 4" xfId="39524" xr:uid="{410C1333-7185-49D1-A93B-F3C481D1C635}"/>
    <cellStyle name="Примечание 3 12 4 3" xfId="14835" xr:uid="{36983248-C976-4DF5-A246-87F1E5B78B45}"/>
    <cellStyle name="Примечание 3 12 4 3 2" xfId="31092" xr:uid="{CDC59C87-8045-43FC-91FE-72B5CA7B67EF}"/>
    <cellStyle name="Примечание 3 12 4 3 3" xfId="44530" xr:uid="{E449B4B1-79FC-42D7-ACB9-19624404A061}"/>
    <cellStyle name="Примечание 3 12 4 4" xfId="23449" xr:uid="{E67098C3-E3BF-42C6-9B92-C8325D88831E}"/>
    <cellStyle name="Примечание 3 12 4 5" xfId="36530" xr:uid="{026EA248-4D27-4490-871D-A73D26384966}"/>
    <cellStyle name="Примечание 3 12 5" xfId="11494" xr:uid="{3BF055B7-4C3A-41C9-B23E-566D24364E32}"/>
    <cellStyle name="Примечание 3 12 5 2" xfId="28255" xr:uid="{0824A341-E298-42F1-B667-EA4DBA12DAB3}"/>
    <cellStyle name="Примечание 3 12 5 3" xfId="41451" xr:uid="{55FD1065-23A1-4883-B0B0-024E43FEDCE1}"/>
    <cellStyle name="Примечание 3 12 6" xfId="21711" xr:uid="{07F7CEEB-887E-41BB-82DB-287E6A9D98B2}"/>
    <cellStyle name="Примечание 3 12 7" xfId="34765" xr:uid="{45A92796-AA85-4418-BF56-8E9E651A2C2E}"/>
    <cellStyle name="Примечание 3 13" xfId="3749" xr:uid="{35E00A23-0D63-40B9-A39F-7F3546E6365A}"/>
    <cellStyle name="Примечание 3 13 2" xfId="3063" xr:uid="{B07DC1F6-F4D5-4E15-9D44-5E1D56B04D99}"/>
    <cellStyle name="Примечание 3 13 2 2" xfId="8359" xr:uid="{37EE69D7-5507-492B-A7BE-BBAE1B4F2717}"/>
    <cellStyle name="Примечание 3 13 2 2 2" xfId="17406" xr:uid="{C1D3D58E-51B8-4D27-9BED-7964C8EB0522}"/>
    <cellStyle name="Примечание 3 13 2 2 2 2" xfId="33160" xr:uid="{60F4E1F5-7B39-4F1F-BFC7-52E9E5BAFEFC}"/>
    <cellStyle name="Примечание 3 13 2 2 2 3" xfId="46936" xr:uid="{F1F77E99-8E39-4B1A-B4DF-25D0379B3457}"/>
    <cellStyle name="Примечание 3 13 2 2 3" xfId="25863" xr:uid="{6AABB7C4-0B42-4BC8-8F8A-F0F8619E096A}"/>
    <cellStyle name="Примечание 3 13 2 2 4" xfId="38939" xr:uid="{5CF50D68-8F63-49F8-9497-EAF37B580E0D}"/>
    <cellStyle name="Примечание 3 13 2 3" xfId="6726" xr:uid="{1297524D-7E9D-464C-8C6E-46D9C99453C1}"/>
    <cellStyle name="Примечание 3 13 2 3 2" xfId="11021" xr:uid="{EBBDDF12-E3EE-4DB9-9DE9-DBA22125E005}"/>
    <cellStyle name="Примечание 3 13 2 3 2 2" xfId="27828" xr:uid="{AE9FDC6E-B77D-438E-B072-A220C9591502}"/>
    <cellStyle name="Примечание 3 13 2 3 2 3" xfId="41001" xr:uid="{05EB2751-51B0-4FF3-841F-3D96D07B8964}"/>
    <cellStyle name="Примечание 3 13 2 3 3" xfId="24354" xr:uid="{E991ED98-BEC6-425F-B5F4-98573DE207DF}"/>
    <cellStyle name="Примечание 3 13 2 3 4" xfId="37435" xr:uid="{6104E8B2-DBBB-49A3-B9FD-537330E86DE8}"/>
    <cellStyle name="Примечание 3 13 2 4" xfId="10596" xr:uid="{D5D10F2D-2C55-43B0-A2A2-6EC4D8F3E1CA}"/>
    <cellStyle name="Примечание 3 13 2 4 2" xfId="27455" xr:uid="{11CC90F1-B44B-4623-9433-9260037F224B}"/>
    <cellStyle name="Примечание 3 13 2 4 3" xfId="40577" xr:uid="{0DBB27D4-471C-4FFB-8D88-953A91E60256}"/>
    <cellStyle name="Примечание 3 13 2 5" xfId="21106" xr:uid="{C9E369BC-2D49-4210-8BAF-DDCA921F03C3}"/>
    <cellStyle name="Примечание 3 13 2 6" xfId="34129" xr:uid="{DAA073AB-4918-496B-AA82-3653FCF9D6AD}"/>
    <cellStyle name="Примечание 3 13 3" xfId="4761" xr:uid="{21ED64A1-E405-48A2-92A2-C627ABAF17E4}"/>
    <cellStyle name="Примечание 3 13 3 2" xfId="7384" xr:uid="{A633E601-8309-4400-A26D-A1F124592A2E}"/>
    <cellStyle name="Примечание 3 13 3 2 2" xfId="16757" xr:uid="{DF20F940-CA49-4FDA-9B4E-7F7DF142890E}"/>
    <cellStyle name="Примечание 3 13 3 2 2 2" xfId="32639" xr:uid="{505CC24F-936D-4328-987C-137F8ACE92E9}"/>
    <cellStyle name="Примечание 3 13 3 2 2 3" xfId="46300" xr:uid="{F33616B5-1FF0-47C4-954E-2A2744D373F8}"/>
    <cellStyle name="Примечание 3 13 3 2 3" xfId="24943" xr:uid="{AA125CD2-13F9-470E-B02C-5B558752E9B6}"/>
    <cellStyle name="Примечание 3 13 3 2 4" xfId="38021" xr:uid="{5B542445-3D4A-497E-A9E9-7772AB790517}"/>
    <cellStyle name="Примечание 3 13 3 3" xfId="13584" xr:uid="{C41462AD-22B6-4062-93E5-1D7C6B08E1E2}"/>
    <cellStyle name="Примечание 3 13 3 3 2" xfId="30026" xr:uid="{C8DB9B58-E521-4103-A4AA-2D44E31D94B6}"/>
    <cellStyle name="Примечание 3 13 3 3 3" xfId="43377" xr:uid="{0377F4CE-25CE-4AAE-BE96-D8DF99E8181F}"/>
    <cellStyle name="Примечание 3 13 3 4" xfId="22564" xr:uid="{8A92DC70-1F2F-44C8-969A-CC482C04A770}"/>
    <cellStyle name="Примечание 3 13 3 5" xfId="35617" xr:uid="{258FBDFA-2423-41E7-9D2E-5B8BB69E7E82}"/>
    <cellStyle name="Примечание 3 13 4" xfId="5754" xr:uid="{7AEBC34D-1D8F-40D0-AE5D-D6D625395CC3}"/>
    <cellStyle name="Примечание 3 13 4 2" xfId="8943" xr:uid="{0B9CD513-CA12-41AB-B09C-DA86B05371E5}"/>
    <cellStyle name="Примечание 3 13 4 2 2" xfId="11690" xr:uid="{8943CC48-8605-4733-8EEA-0E6AC1C3CB01}"/>
    <cellStyle name="Примечание 3 13 4 2 2 2" xfId="28423" xr:uid="{3C0642FF-416A-43CC-A607-FDA730F4EA0E}"/>
    <cellStyle name="Примечание 3 13 4 2 2 3" xfId="41633" xr:uid="{79386C55-C6B9-41D8-AF34-B5FF27BA8B5F}"/>
    <cellStyle name="Примечание 3 13 4 2 3" xfId="26429" xr:uid="{C55840FA-D196-4D36-AD64-A3F26A75B524}"/>
    <cellStyle name="Примечание 3 13 4 2 4" xfId="39505" xr:uid="{E3A30A89-3E98-4D22-BA26-DD00FA3DF4F3}"/>
    <cellStyle name="Примечание 3 13 4 3" xfId="17214" xr:uid="{66C1C4C7-4DCA-4476-A9D3-4FADBAC196A6}"/>
    <cellStyle name="Примечание 3 13 4 3 2" xfId="32975" xr:uid="{0A34061D-AA88-4E4A-959A-CDE19956021E}"/>
    <cellStyle name="Примечание 3 13 4 3 3" xfId="46748" xr:uid="{4DE91FC5-0A84-46B9-9638-E42CD902ACA2}"/>
    <cellStyle name="Примечание 3 13 4 4" xfId="23401" xr:uid="{F33E9391-F682-4610-ADB9-79742D96E970}"/>
    <cellStyle name="Примечание 3 13 4 5" xfId="36482" xr:uid="{0F497278-7B4F-492A-94D1-2B6660AEBEBC}"/>
    <cellStyle name="Примечание 3 13 5" xfId="10871" xr:uid="{E99F48E7-E192-4FB6-94D6-7E6844DBE99F}"/>
    <cellStyle name="Примечание 3 13 5 2" xfId="27697" xr:uid="{86D41D80-57C5-4272-BBA8-B53A901DD845}"/>
    <cellStyle name="Примечание 3 13 5 3" xfId="40851" xr:uid="{60426499-F2EF-46C7-92C8-69DCBB42DE7B}"/>
    <cellStyle name="Примечание 3 13 6" xfId="21663" xr:uid="{B7C3DC55-D241-4DDC-B498-F47F5A127AA6}"/>
    <cellStyle name="Примечание 3 13 7" xfId="34717" xr:uid="{96E5BAF8-13C9-4EDA-97ED-6C3844A30DBB}"/>
    <cellStyle name="Примечание 3 14" xfId="3847" xr:uid="{4A7AFF54-8BCF-4C5C-9413-60271D7533AC}"/>
    <cellStyle name="Примечание 3 14 2" xfId="3112" xr:uid="{960818B5-C134-4A28-BAB6-994358435A1D}"/>
    <cellStyle name="Примечание 3 14 2 2" xfId="8404" xr:uid="{0D09A5A4-B7CB-4CB6-8487-0EF506B573C8}"/>
    <cellStyle name="Примечание 3 14 2 2 2" xfId="10707" xr:uid="{0D9CE8FD-941C-4DE8-A67D-209C97CD788E}"/>
    <cellStyle name="Примечание 3 14 2 2 2 2" xfId="27552" xr:uid="{47CE4BD8-5F96-4CBA-B633-DC48112521A4}"/>
    <cellStyle name="Примечание 3 14 2 2 2 3" xfId="40688" xr:uid="{98E8BC88-201E-4DBB-9D34-B6B3260F43DC}"/>
    <cellStyle name="Примечание 3 14 2 2 3" xfId="25906" xr:uid="{3877715D-FF55-4401-8D2C-F4AAE4C0D5BA}"/>
    <cellStyle name="Примечание 3 14 2 2 4" xfId="38982" xr:uid="{F45F2019-F344-4511-9D6E-CB36CFC08BD5}"/>
    <cellStyle name="Примечание 3 14 2 3" xfId="6771" xr:uid="{5539C412-A53A-4EB1-8F58-49B186027277}"/>
    <cellStyle name="Примечание 3 14 2 3 2" xfId="17189" xr:uid="{FDCEC9BA-CC73-4122-BD86-BE0A7751A10C}"/>
    <cellStyle name="Примечание 3 14 2 3 2 2" xfId="32952" xr:uid="{4EB0DC20-AFCA-4FC0-9120-2FA51A8301E6}"/>
    <cellStyle name="Примечание 3 14 2 3 2 3" xfId="46724" xr:uid="{CDB0923D-48EF-4563-BD02-547016C9D04C}"/>
    <cellStyle name="Примечание 3 14 2 3 3" xfId="24397" xr:uid="{BC789A9F-09EB-413F-8540-16D09FBAE9C8}"/>
    <cellStyle name="Примечание 3 14 2 3 4" xfId="37478" xr:uid="{7800A406-16A4-49F9-8973-522BF42CB314}"/>
    <cellStyle name="Примечание 3 14 2 4" xfId="12299" xr:uid="{3AC178CD-DE1D-4CF3-8F9B-63D4187A4DF8}"/>
    <cellStyle name="Примечание 3 14 2 4 2" xfId="28971" xr:uid="{C3C7A74F-0952-4EF7-AD1C-A289B98DBFAE}"/>
    <cellStyle name="Примечание 3 14 2 4 3" xfId="42208" xr:uid="{B008909E-9239-4C70-870E-0A205F42B8CD}"/>
    <cellStyle name="Примечание 3 14 2 5" xfId="21149" xr:uid="{373AD3A4-82C7-41CC-943F-AD324825CE46}"/>
    <cellStyle name="Примечание 3 14 2 6" xfId="34172" xr:uid="{80F493E8-3D7A-4368-A121-FE2F55520272}"/>
    <cellStyle name="Примечание 3 14 3" xfId="4792" xr:uid="{F977A604-C158-4E45-ACFC-C11F34D6A7D6}"/>
    <cellStyle name="Примечание 3 14 3 2" xfId="7434" xr:uid="{10751627-F6CE-4757-8BAE-1B452ADA2763}"/>
    <cellStyle name="Примечание 3 14 3 2 2" xfId="12886" xr:uid="{4A41E82A-9ACD-4C41-AB32-2F545929A44A}"/>
    <cellStyle name="Примечание 3 14 3 2 2 2" xfId="29443" xr:uid="{11FCE42A-8C55-49DC-A974-D205BC4F5BF2}"/>
    <cellStyle name="Примечание 3 14 3 2 2 3" xfId="42733" xr:uid="{C744F4C0-9DB7-4C11-BF00-432F205C08B6}"/>
    <cellStyle name="Примечание 3 14 3 2 3" xfId="24991" xr:uid="{F960E7EA-7306-45FE-919F-545E77502B76}"/>
    <cellStyle name="Примечание 3 14 3 2 4" xfId="38067" xr:uid="{5DC8426B-9FA3-4E68-BFE5-2AFF983CA9C5}"/>
    <cellStyle name="Примечание 3 14 3 3" xfId="14955" xr:uid="{50FFE553-61FA-4F95-B6D2-43977FCADA94}"/>
    <cellStyle name="Примечание 3 14 3 3 2" xfId="31194" xr:uid="{6165681A-0C84-48AA-91C8-0DD9ECA30F88}"/>
    <cellStyle name="Примечание 3 14 3 3 3" xfId="44641" xr:uid="{5A7C25C9-BAA1-4F81-B3BF-4D34EC4347FA}"/>
    <cellStyle name="Примечание 3 14 3 4" xfId="22594" xr:uid="{72FA6360-FCC6-4F3D-B177-860827E8732A}"/>
    <cellStyle name="Примечание 3 14 3 5" xfId="35647" xr:uid="{C7777C65-0E64-44D8-9CF0-C6655CFCCE35}"/>
    <cellStyle name="Примечание 3 14 4" xfId="5817" xr:uid="{82AF6B2F-E793-46E2-B690-9FC239DF0220}"/>
    <cellStyle name="Примечание 3 14 4 2" xfId="8978" xr:uid="{A3465C15-9544-4CBC-B128-6A7FFA68F61A}"/>
    <cellStyle name="Примечание 3 14 4 2 2" xfId="12693" xr:uid="{342C7681-DD8A-4379-B7BC-83033D0D13BE}"/>
    <cellStyle name="Примечание 3 14 4 2 2 2" xfId="29283" xr:uid="{32018787-DE09-4F98-870B-5ABB68408039}"/>
    <cellStyle name="Примечание 3 14 4 2 2 3" xfId="42559" xr:uid="{DCB78657-157A-41DE-B16E-2633B64802C8}"/>
    <cellStyle name="Примечание 3 14 4 2 3" xfId="26463" xr:uid="{6EED45A6-A3E8-40D2-8329-4D8EB3BD0226}"/>
    <cellStyle name="Примечание 3 14 4 2 4" xfId="39539" xr:uid="{843D525A-C3D8-4F98-8FBA-51ECF8366925}"/>
    <cellStyle name="Примечание 3 14 4 3" xfId="17350" xr:uid="{1F13C7D9-3798-42AF-950F-E3DAEDB90619}"/>
    <cellStyle name="Примечание 3 14 4 3 2" xfId="33104" xr:uid="{7661DBEE-3FF1-4440-AD0B-48E97325A324}"/>
    <cellStyle name="Примечание 3 14 4 3 3" xfId="46880" xr:uid="{D3C93873-8444-4A4A-AAA2-E14AE936DD7A}"/>
    <cellStyle name="Примечание 3 14 4 4" xfId="23464" xr:uid="{44099811-D055-400A-B4E4-C27814356908}"/>
    <cellStyle name="Примечание 3 14 4 5" xfId="36545" xr:uid="{FB85527F-04AB-40D3-AA37-3A3ACCB215DD}"/>
    <cellStyle name="Примечание 3 14 5" xfId="15600" xr:uid="{F8691460-8EDD-434A-AA27-948A0285EDF0}"/>
    <cellStyle name="Примечание 3 14 5 2" xfId="31725" xr:uid="{3E0F95D3-4D5C-4C4E-AD86-766264A314F3}"/>
    <cellStyle name="Примечание 3 14 5 3" xfId="45227" xr:uid="{9CF0CC09-9861-49BB-920E-D4B4C6346837}"/>
    <cellStyle name="Примечание 3 14 6" xfId="21726" xr:uid="{AED91E87-3D6F-42EE-949D-FA796AD42708}"/>
    <cellStyle name="Примечание 3 14 7" xfId="34780" xr:uid="{8FC89F0A-A5C0-4BB4-A8AB-3AD155111A56}"/>
    <cellStyle name="Примечание 3 15" xfId="3831" xr:uid="{C717C9E5-65AF-42E9-94F7-2A74A9E0D218}"/>
    <cellStyle name="Примечание 3 15 2" xfId="3093" xr:uid="{54349A36-06A6-4EA6-A743-A5D23566A942}"/>
    <cellStyle name="Примечание 3 15 2 2" xfId="8385" xr:uid="{57D61139-3BEF-41A8-ABED-B0C1BAFB275A}"/>
    <cellStyle name="Примечание 3 15 2 2 2" xfId="14246" xr:uid="{9878DA23-9C60-4614-90CD-74CF40B827A5}"/>
    <cellStyle name="Примечание 3 15 2 2 2 2" xfId="30591" xr:uid="{C1CAAC4E-87BF-40FE-A627-8D70F472A4F8}"/>
    <cellStyle name="Примечание 3 15 2 2 2 3" xfId="43983" xr:uid="{DE0101B6-92EF-41EC-B944-E0868CF132E7}"/>
    <cellStyle name="Примечание 3 15 2 2 3" xfId="25888" xr:uid="{4871B8C7-A8F1-4B4D-B3F3-B6005B8C34AD}"/>
    <cellStyle name="Примечание 3 15 2 2 4" xfId="38964" xr:uid="{3B590010-B168-48BD-8E60-8E4E8CA7FE04}"/>
    <cellStyle name="Примечание 3 15 2 3" xfId="6752" xr:uid="{0D156283-98AA-46F6-A638-DC98DA1A21D8}"/>
    <cellStyle name="Примечание 3 15 2 3 2" xfId="14390" xr:uid="{C0E03A02-20DE-4F48-AF22-138A30C3AD71}"/>
    <cellStyle name="Примечание 3 15 2 3 2 2" xfId="30722" xr:uid="{2DE72CE4-EF03-47F8-8444-BCC0CA79234C}"/>
    <cellStyle name="Примечание 3 15 2 3 2 3" xfId="44120" xr:uid="{83671CF5-A609-4463-882C-DCEBB221C750}"/>
    <cellStyle name="Примечание 3 15 2 3 3" xfId="24379" xr:uid="{4612B504-011B-4CBA-99FB-EA11081F1576}"/>
    <cellStyle name="Примечание 3 15 2 3 4" xfId="37460" xr:uid="{2E27E485-4F90-4AC9-A259-83C25B7B8A30}"/>
    <cellStyle name="Примечание 3 15 2 4" xfId="11807" xr:uid="{87CB45F7-3027-4FED-9882-27E518D20C4D}"/>
    <cellStyle name="Примечание 3 15 2 4 2" xfId="28528" xr:uid="{EC225822-0EBD-48B1-B975-F187EE5B81D1}"/>
    <cellStyle name="Примечание 3 15 2 4 3" xfId="41740" xr:uid="{0185174D-339C-49A4-B2D9-AE17C10576D4}"/>
    <cellStyle name="Примечание 3 15 2 5" xfId="21131" xr:uid="{7CD8BC63-E1A1-4ACC-9675-353B716FF004}"/>
    <cellStyle name="Примечание 3 15 2 6" xfId="34154" xr:uid="{879E6DA0-B87F-49D8-84C2-BBCA733DBDB3}"/>
    <cellStyle name="Примечание 3 15 3" xfId="4776" xr:uid="{04EB38ED-3B86-403E-BAAD-C5E69BCCDFC8}"/>
    <cellStyle name="Примечание 3 15 3 2" xfId="7418" xr:uid="{3A9A2AC2-A10E-432A-80AA-585C28948E91}"/>
    <cellStyle name="Примечание 3 15 3 2 2" xfId="11228" xr:uid="{654A1AEF-B571-4538-90D6-B3052BE55A4F}"/>
    <cellStyle name="Примечание 3 15 3 2 2 2" xfId="28022" xr:uid="{D93320EB-1082-472F-A698-43F0690B67EF}"/>
    <cellStyle name="Примечание 3 15 3 2 2 3" xfId="41204" xr:uid="{730F5813-113E-4624-A874-700F5202B4E6}"/>
    <cellStyle name="Примечание 3 15 3 2 3" xfId="24975" xr:uid="{F4E41F1A-62CC-4BFA-873A-FB344AB44A68}"/>
    <cellStyle name="Примечание 3 15 3 2 4" xfId="38051" xr:uid="{A4486329-949B-4250-B108-560C127A08C7}"/>
    <cellStyle name="Примечание 3 15 3 3" xfId="14270" xr:uid="{067F8CE4-A352-40FF-ACA4-B77383D49413}"/>
    <cellStyle name="Примечание 3 15 3 3 2" xfId="30612" xr:uid="{1B9F0B2B-D158-4B54-8F55-B4280AD83BCC}"/>
    <cellStyle name="Примечание 3 15 3 3 3" xfId="44005" xr:uid="{5ADBA44E-C865-4C1D-837A-F700C82F7518}"/>
    <cellStyle name="Примечание 3 15 3 4" xfId="22578" xr:uid="{F009AB90-8A76-4CCD-9999-152ABAC6F76B}"/>
    <cellStyle name="Примечание 3 15 3 5" xfId="35631" xr:uid="{8E72E289-660B-4C4E-B452-41C031611502}"/>
    <cellStyle name="Примечание 3 15 4" xfId="5801" xr:uid="{F954C0D9-5E16-42D0-8474-D5F41A2F8CD6}"/>
    <cellStyle name="Примечание 3 15 4 2" xfId="8962" xr:uid="{C4B67A56-8A5F-4715-9CDF-CFE906B6BEFF}"/>
    <cellStyle name="Примечание 3 15 4 2 2" xfId="13050" xr:uid="{7655E513-6F23-4C1C-9F75-41AC039772B3}"/>
    <cellStyle name="Примечание 3 15 4 2 2 2" xfId="29575" xr:uid="{34E7F6BB-681C-40DF-B120-B32119611984}"/>
    <cellStyle name="Примечание 3 15 4 2 2 3" xfId="42880" xr:uid="{42E54E2E-F8F1-4399-A4C8-8AB4D33ED94E}"/>
    <cellStyle name="Примечание 3 15 4 2 3" xfId="26447" xr:uid="{6A33AB5C-5A7F-4379-881A-E71ADB81AB1C}"/>
    <cellStyle name="Примечание 3 15 4 2 4" xfId="39523" xr:uid="{22A77150-59A5-4A52-AB7A-51672645AA3A}"/>
    <cellStyle name="Примечание 3 15 4 3" xfId="11878" xr:uid="{BDF5A9A7-79F7-4CA9-8668-8120E74E59E7}"/>
    <cellStyle name="Примечание 3 15 4 3 2" xfId="28594" xr:uid="{C962EE65-5952-4C4C-AC70-53A2A9D0C284}"/>
    <cellStyle name="Примечание 3 15 4 3 3" xfId="41810" xr:uid="{207C2EF9-1366-4F90-8E89-22527EDC2A52}"/>
    <cellStyle name="Примечание 3 15 4 4" xfId="23448" xr:uid="{7F4D6D58-FC3A-4028-8BEA-002C81B72B05}"/>
    <cellStyle name="Примечание 3 15 4 5" xfId="36529" xr:uid="{403F7BEC-2F4C-46E4-BF6D-9B0B0FA5A5A4}"/>
    <cellStyle name="Примечание 3 15 5" xfId="14024" xr:uid="{DABDA50A-FC02-4857-ADFB-1CE6789DE4C2}"/>
    <cellStyle name="Примечание 3 15 5 2" xfId="30403" xr:uid="{A8D71A70-78A1-4E81-95F1-558FD41C4E84}"/>
    <cellStyle name="Примечание 3 15 5 3" xfId="43783" xr:uid="{3ED3B0C9-83C5-4D2C-9CFE-CDD109BACE13}"/>
    <cellStyle name="Примечание 3 15 6" xfId="21710" xr:uid="{579CDDFE-F0EE-4CCF-80BD-82E4CEE5933B}"/>
    <cellStyle name="Примечание 3 15 7" xfId="34764" xr:uid="{B1E9944C-09F4-4FA4-B0D0-8E3C47C954BE}"/>
    <cellStyle name="Примечание 3 16" xfId="3860" xr:uid="{3D29EBD4-6830-48D9-97D8-236E55E52524}"/>
    <cellStyle name="Примечание 3 16 2" xfId="3120" xr:uid="{1041DF2F-670E-4CEA-8A28-308569A55558}"/>
    <cellStyle name="Примечание 3 16 2 2" xfId="8412" xr:uid="{59E73DE5-5DB1-486B-83F5-53262666A55F}"/>
    <cellStyle name="Примечание 3 16 2 2 2" xfId="13526" xr:uid="{5ACDB272-3FE3-4441-A25E-968E6864B810}"/>
    <cellStyle name="Примечание 3 16 2 2 2 2" xfId="29978" xr:uid="{5F231D54-8C03-4EFE-BB2A-9C70A6C4D11E}"/>
    <cellStyle name="Примечание 3 16 2 2 2 3" xfId="43322" xr:uid="{05041876-FB4E-402C-991B-29C1F284D732}"/>
    <cellStyle name="Примечание 3 16 2 2 3" xfId="25914" xr:uid="{83BA14E9-F623-46A0-9BDF-4538083FA608}"/>
    <cellStyle name="Примечание 3 16 2 2 4" xfId="38990" xr:uid="{F9C013C1-42CA-47CA-BB40-91D7FC69AF58}"/>
    <cellStyle name="Примечание 3 16 2 3" xfId="6779" xr:uid="{08316AE9-79E5-40AC-BB67-0278B6358A18}"/>
    <cellStyle name="Примечание 3 16 2 3 2" xfId="16966" xr:uid="{9B0C6597-F183-4B32-AC7E-A6D696C7302E}"/>
    <cellStyle name="Примечание 3 16 2 3 2 2" xfId="32798" xr:uid="{DB0F7A3B-668D-4659-B9D2-F8B0A3AF8C9A}"/>
    <cellStyle name="Примечание 3 16 2 3 2 3" xfId="46508" xr:uid="{F29078E0-3323-451F-822F-81C867979D05}"/>
    <cellStyle name="Примечание 3 16 2 3 3" xfId="24405" xr:uid="{FAD3149E-9E1C-4AC2-8EE9-FB6899A0C9A8}"/>
    <cellStyle name="Примечание 3 16 2 3 4" xfId="37486" xr:uid="{54E49F65-FBBC-4434-A917-5267A4EABE43}"/>
    <cellStyle name="Примечание 3 16 2 4" xfId="11166" xr:uid="{974CDF89-B62E-44FB-B357-0761348AA388}"/>
    <cellStyle name="Примечание 3 16 2 4 2" xfId="27960" xr:uid="{6D86ABDD-5243-43F5-9A7A-4C2E98F5A3A3}"/>
    <cellStyle name="Примечание 3 16 2 4 3" xfId="41142" xr:uid="{B555C7D7-68DC-4473-98FA-01D2D9CE8DFE}"/>
    <cellStyle name="Примечание 3 16 2 5" xfId="21157" xr:uid="{A3598D12-1B43-48B6-A4F3-96F10C216CA8}"/>
    <cellStyle name="Примечание 3 16 2 6" xfId="34180" xr:uid="{B3D8ABF0-17D7-4A34-9B49-606D4742AC79}"/>
    <cellStyle name="Примечание 3 16 3" xfId="4800" xr:uid="{16606D48-C727-4616-9D3E-836D804549B5}"/>
    <cellStyle name="Примечание 3 16 3 2" xfId="7444" xr:uid="{EE7DED0C-228F-4A9C-8924-DEFE601A90DF}"/>
    <cellStyle name="Примечание 3 16 3 2 2" xfId="15805" xr:uid="{306FA60F-F98B-4D9A-876F-F10DD2F51D15}"/>
    <cellStyle name="Примечание 3 16 3 2 2 2" xfId="31903" xr:uid="{431D645F-277F-4242-8EF1-9868E7AAF572}"/>
    <cellStyle name="Примечание 3 16 3 2 2 3" xfId="45415" xr:uid="{FEA2D77E-BE72-4737-93BA-B2338476C4A5}"/>
    <cellStyle name="Примечание 3 16 3 2 3" xfId="25001" xr:uid="{2E2316FE-0912-4F84-87BC-B77F6D444DF8}"/>
    <cellStyle name="Примечание 3 16 3 2 4" xfId="38077" xr:uid="{E44B6568-8C45-4756-80A4-24EC06C2A398}"/>
    <cellStyle name="Примечание 3 16 3 3" xfId="17133" xr:uid="{4AAB954E-3CE9-4091-9705-59701C8C7B1D}"/>
    <cellStyle name="Примечание 3 16 3 3 2" xfId="32896" xr:uid="{6615D614-A359-40E9-A55F-BC7EF522502F}"/>
    <cellStyle name="Примечание 3 16 3 3 3" xfId="46668" xr:uid="{C8CB1F7E-F31C-4026-A2A9-F058D12A2D55}"/>
    <cellStyle name="Примечание 3 16 3 4" xfId="22602" xr:uid="{D046CB0F-A2BF-469C-8E00-06951AE8F986}"/>
    <cellStyle name="Примечание 3 16 3 5" xfId="35655" xr:uid="{3A5A724A-4C9F-4296-BE5B-3E599BF07B83}"/>
    <cellStyle name="Примечание 3 16 4" xfId="5827" xr:uid="{28C665DE-06D4-40EC-BB4B-7B82E471B3B8}"/>
    <cellStyle name="Примечание 3 16 4 2" xfId="8985" xr:uid="{B3D276F5-C793-439E-AB3E-63798C19CD5E}"/>
    <cellStyle name="Примечание 3 16 4 2 2" xfId="12476" xr:uid="{3EDB084A-5D61-4231-ACD1-C96CAF757732}"/>
    <cellStyle name="Примечание 3 16 4 2 2 2" xfId="29115" xr:uid="{6DFCF370-6BC1-4586-AE58-D6D1E69A100D}"/>
    <cellStyle name="Примечание 3 16 4 2 2 3" xfId="42368" xr:uid="{939B9541-BB1A-4902-B6A6-3927524D8366}"/>
    <cellStyle name="Примечание 3 16 4 2 3" xfId="26470" xr:uid="{B24F0E9B-542E-4A65-9EC9-CF3CB3A0BA1D}"/>
    <cellStyle name="Примечание 3 16 4 2 4" xfId="39546" xr:uid="{640E4239-54EE-46F0-ACC7-A7F21690FE66}"/>
    <cellStyle name="Примечание 3 16 4 3" xfId="13985" xr:uid="{8B98BC45-12A7-4B25-9D7F-5804F5FFF4D1}"/>
    <cellStyle name="Примечание 3 16 4 3 2" xfId="30371" xr:uid="{5585C7F7-4EDB-49F7-AC5F-FF09DF3ADEE6}"/>
    <cellStyle name="Примечание 3 16 4 3 3" xfId="43749" xr:uid="{9F32A16E-C810-4B20-93BB-598BF522904D}"/>
    <cellStyle name="Примечание 3 16 4 4" xfId="23474" xr:uid="{ED83490A-AD62-41CA-8D1C-F38D031DB068}"/>
    <cellStyle name="Примечание 3 16 4 5" xfId="36555" xr:uid="{0E87B48D-6F15-4C8E-BBD2-39C26A5A483C}"/>
    <cellStyle name="Примечание 3 16 5" xfId="14431" xr:uid="{51277DC9-91FE-4DE3-9A9F-73C05508A14D}"/>
    <cellStyle name="Примечание 3 16 5 2" xfId="30761" xr:uid="{009972FE-3FB2-4A41-B5C9-3B72C65B3634}"/>
    <cellStyle name="Примечание 3 16 5 3" xfId="44161" xr:uid="{AB41976F-F472-49CB-A3E5-7291506B4EC6}"/>
    <cellStyle name="Примечание 3 16 6" xfId="21736" xr:uid="{59972FBE-BA1A-457C-94FF-739DF1F8B8C3}"/>
    <cellStyle name="Примечание 3 16 7" xfId="34790" xr:uid="{5E2F2B86-14DC-4781-9D58-5CCD83966ED0}"/>
    <cellStyle name="Примечание 3 17" xfId="4027" xr:uid="{0CE4732C-9FAD-49F6-9AD3-98F0E1EA5C53}"/>
    <cellStyle name="Примечание 3 17 2" xfId="3247" xr:uid="{88D16255-C504-4C62-A990-1CB3BD9F2AC9}"/>
    <cellStyle name="Примечание 3 17 2 2" xfId="8538" xr:uid="{9D859F67-27BF-48A2-B439-BB406CAFE309}"/>
    <cellStyle name="Примечание 3 17 2 2 2" xfId="10822" xr:uid="{C6D0439B-33D5-4C5F-A996-2D96432EA9AA}"/>
    <cellStyle name="Примечание 3 17 2 2 2 2" xfId="27654" xr:uid="{A024D1EF-179C-4596-B962-22FE1CEE3FE0}"/>
    <cellStyle name="Примечание 3 17 2 2 2 3" xfId="40803" xr:uid="{6FE45650-8B53-4898-9BF0-7CF39653CAA2}"/>
    <cellStyle name="Примечание 3 17 2 2 3" xfId="26037" xr:uid="{8905697D-4293-4D85-B586-7ED455243E76}"/>
    <cellStyle name="Примечание 3 17 2 2 4" xfId="39113" xr:uid="{26F91110-296E-4EEA-9790-B6DAE22AC026}"/>
    <cellStyle name="Примечание 3 17 2 3" xfId="6906" xr:uid="{3029ED15-DB24-4231-A64C-DE70C7D5E602}"/>
    <cellStyle name="Примечание 3 17 2 3 2" xfId="12386" xr:uid="{7495856D-7AFE-4546-8CD4-EB850EF6A50A}"/>
    <cellStyle name="Примечание 3 17 2 3 2 2" xfId="29051" xr:uid="{64FD0730-E459-4BBB-A505-F9651705E3BD}"/>
    <cellStyle name="Примечание 3 17 2 3 2 3" xfId="42292" xr:uid="{D697B9E3-579C-4EA6-8252-5837A3474FE0}"/>
    <cellStyle name="Примечание 3 17 2 3 3" xfId="24529" xr:uid="{0A56D218-0F4E-465A-8D45-0EE929728686}"/>
    <cellStyle name="Примечание 3 17 2 3 4" xfId="37610" xr:uid="{D7FB2206-F070-4AC3-9095-1E6C28AB8959}"/>
    <cellStyle name="Примечание 3 17 2 4" xfId="14906" xr:uid="{D4C287E5-71EC-4132-B4C2-FA38F6265C46}"/>
    <cellStyle name="Примечание 3 17 2 4 2" xfId="31152" xr:uid="{272AA450-44A7-40F8-ADC8-5E090EADFB57}"/>
    <cellStyle name="Примечание 3 17 2 4 3" xfId="44595" xr:uid="{EF455D4E-C9FD-4B15-A2F6-1D75BC09AEC5}"/>
    <cellStyle name="Примечание 3 17 2 5" xfId="21281" xr:uid="{832D16E2-677F-4D01-9DA8-5EB9E9503DAE}"/>
    <cellStyle name="Примечание 3 17 2 6" xfId="34304" xr:uid="{0C8F9100-1D2B-4A4C-BC6D-75675DBC5162}"/>
    <cellStyle name="Примечание 3 17 3" xfId="4932" xr:uid="{7AEA1C29-BE15-4AEB-AF6E-2EF265F3CFB9}"/>
    <cellStyle name="Примечание 3 17 3 2" xfId="7601" xr:uid="{97BFD6C1-E6E4-489B-BF3D-60283C2F0B1B}"/>
    <cellStyle name="Примечание 3 17 3 2 2" xfId="12964" xr:uid="{BB095A43-7D43-454C-A7CF-B1A3985103C1}"/>
    <cellStyle name="Примечание 3 17 3 2 2 2" xfId="29502" xr:uid="{70ABD293-3E4A-4CF3-BDAF-AC9B0B1ED2CA}"/>
    <cellStyle name="Примечание 3 17 3 2 2 3" xfId="42801" xr:uid="{60E92634-FAE6-4E61-8067-4E6CC8718C0E}"/>
    <cellStyle name="Примечание 3 17 3 2 3" xfId="25129" xr:uid="{85998431-B19D-4A61-B397-A83DA4EBD149}"/>
    <cellStyle name="Примечание 3 17 3 2 4" xfId="38205" xr:uid="{B0774110-75B5-49F1-B625-C6E663512812}"/>
    <cellStyle name="Примечание 3 17 3 3" xfId="16375" xr:uid="{9D4F11E0-A94F-4632-A62A-7553B34364D3}"/>
    <cellStyle name="Примечание 3 17 3 3 2" xfId="32395" xr:uid="{871C9635-70D1-4423-A17B-429EB17EA311}"/>
    <cellStyle name="Примечание 3 17 3 3 3" xfId="45929" xr:uid="{27E33846-4908-4A34-9A3C-F0A427F92BF5}"/>
    <cellStyle name="Примечание 3 17 3 4" xfId="22729" xr:uid="{C617BA80-53B6-4F61-8BB1-9A96F92FB9FC}"/>
    <cellStyle name="Примечание 3 17 3 5" xfId="35782" xr:uid="{AE97EE73-665A-44AA-BD8D-1D42DC22E03B}"/>
    <cellStyle name="Примечание 3 17 4" xfId="5955" xr:uid="{FFDA2490-1C59-49D1-8C30-EEF978B759A5}"/>
    <cellStyle name="Примечание 3 17 4 2" xfId="9095" xr:uid="{5D4B3F6D-046D-4D61-9F2F-2D9ADCACCBFB}"/>
    <cellStyle name="Примечание 3 17 4 2 2" xfId="12492" xr:uid="{FEF63AEF-783A-408B-BD6C-562FFD2584AE}"/>
    <cellStyle name="Примечание 3 17 4 2 2 2" xfId="29127" xr:uid="{54F38673-C491-4821-B2CE-12E07DDB84DC}"/>
    <cellStyle name="Примечание 3 17 4 2 2 3" xfId="42381" xr:uid="{E8CFCB15-05B6-4864-958F-6EC16E7700A2}"/>
    <cellStyle name="Примечание 3 17 4 2 3" xfId="26576" xr:uid="{AA2234BD-32C6-4E10-B8AD-483C1428AA97}"/>
    <cellStyle name="Примечание 3 17 4 2 4" xfId="39652" xr:uid="{4C9F5F16-CE86-4104-99A2-87D1A5D51FAD}"/>
    <cellStyle name="Примечание 3 17 4 3" xfId="11477" xr:uid="{94DCB78A-EDC6-4D53-80A2-BA4FA30F8548}"/>
    <cellStyle name="Примечание 3 17 4 3 2" xfId="28241" xr:uid="{B182A387-E785-4C10-9604-433081A7D43C}"/>
    <cellStyle name="Примечание 3 17 4 3 3" xfId="41436" xr:uid="{BEB25C9E-878D-4085-9157-AF0700DFFFD3}"/>
    <cellStyle name="Примечание 3 17 4 4" xfId="23602" xr:uid="{A1CD194D-5418-493A-BF7A-7306F1C5A400}"/>
    <cellStyle name="Примечание 3 17 4 5" xfId="36683" xr:uid="{F96D310C-7471-4620-AFBF-2DC326615604}"/>
    <cellStyle name="Примечание 3 17 5" xfId="11797" xr:uid="{349A4191-D975-4CAA-8CBA-A9BA33DD8903}"/>
    <cellStyle name="Примечание 3 17 5 2" xfId="28519" xr:uid="{91CD827F-87B6-4C03-8C2D-986BF5DFFB96}"/>
    <cellStyle name="Примечание 3 17 5 3" xfId="41731" xr:uid="{F4DCD3E9-3CF1-4C65-A5B6-DEDF2C8AAB6E}"/>
    <cellStyle name="Примечание 3 17 6" xfId="21869" xr:uid="{5650FEA7-1C7D-4FE1-8E79-078B27CCCE77}"/>
    <cellStyle name="Примечание 3 17 7" xfId="34918" xr:uid="{DDA87E23-1E8E-46B6-9F82-DBD8B60880DA}"/>
    <cellStyle name="Примечание 3 18" xfId="3863" xr:uid="{EDE9C651-FE51-4F10-AF5D-872E779999FC}"/>
    <cellStyle name="Примечание 3 18 2" xfId="3123" xr:uid="{D4E10CAB-0137-4FF2-8A3C-612FE352B5FE}"/>
    <cellStyle name="Примечание 3 18 2 2" xfId="8415" xr:uid="{6585318C-67A8-475A-8AAF-6E4C0D42828E}"/>
    <cellStyle name="Примечание 3 18 2 2 2" xfId="11010" xr:uid="{CF34D979-EA9B-45DD-8991-8FAF72892415}"/>
    <cellStyle name="Примечание 3 18 2 2 2 2" xfId="27817" xr:uid="{25639158-309A-4AC5-BE7D-1C047DA7B5EC}"/>
    <cellStyle name="Примечание 3 18 2 2 2 3" xfId="40990" xr:uid="{FFACD184-B468-4F38-8BF8-944980896D26}"/>
    <cellStyle name="Примечание 3 18 2 2 3" xfId="25917" xr:uid="{71C90DC5-5DF0-425F-AA86-57B8B2A1B4E6}"/>
    <cellStyle name="Примечание 3 18 2 2 4" xfId="38993" xr:uid="{0B65B46B-A8EE-401B-B668-C8B814D3D575}"/>
    <cellStyle name="Примечание 3 18 2 3" xfId="6782" xr:uid="{41584E12-25FB-4E9D-9CCF-CD24828234A3}"/>
    <cellStyle name="Примечание 3 18 2 3 2" xfId="17190" xr:uid="{4E9D12E3-F3FC-4EA6-A2B6-C69D197B041E}"/>
    <cellStyle name="Примечание 3 18 2 3 2 2" xfId="32953" xr:uid="{5776CA19-D8BD-436C-BF76-B8EB65BFFB41}"/>
    <cellStyle name="Примечание 3 18 2 3 2 3" xfId="46725" xr:uid="{5FA651B9-C034-4823-8395-3707561BF7FD}"/>
    <cellStyle name="Примечание 3 18 2 3 3" xfId="24408" xr:uid="{E3CA31A3-E45D-4C1D-AB83-2AF1926403EF}"/>
    <cellStyle name="Примечание 3 18 2 3 4" xfId="37489" xr:uid="{F18AB76B-C62D-418B-846E-D41B5284670A}"/>
    <cellStyle name="Примечание 3 18 2 4" xfId="17076" xr:uid="{6303BC96-8B3A-4D2D-B7CF-E184956CE749}"/>
    <cellStyle name="Примечание 3 18 2 4 2" xfId="32846" xr:uid="{98C6998D-3D13-45B9-BE19-800ECE30AAEB}"/>
    <cellStyle name="Примечание 3 18 2 4 3" xfId="46616" xr:uid="{878B426C-14C3-4A74-B458-2793F9026FAE}"/>
    <cellStyle name="Примечание 3 18 2 5" xfId="21160" xr:uid="{E2C09549-EE3A-4A10-8901-59798BE2F8F4}"/>
    <cellStyle name="Примечание 3 18 2 6" xfId="34183" xr:uid="{6355F3F0-49A9-4EE6-9F3F-CCE02D0FA5C5}"/>
    <cellStyle name="Примечание 3 18 3" xfId="4803" xr:uid="{CEB6EC88-31C6-4691-A1C9-771BE77A0387}"/>
    <cellStyle name="Примечание 3 18 3 2" xfId="7447" xr:uid="{042E6F39-152A-4E17-85B0-7BAEEEB0B6EE}"/>
    <cellStyle name="Примечание 3 18 3 2 2" xfId="16630" xr:uid="{2D750455-FB22-4674-8BD9-D30A14D34175}"/>
    <cellStyle name="Примечание 3 18 3 2 2 2" xfId="32536" xr:uid="{87EA6675-661C-4440-9868-700CFE18BD16}"/>
    <cellStyle name="Примечание 3 18 3 2 2 3" xfId="46177" xr:uid="{0FFC5974-8343-4AA0-A1DC-33302954C2BE}"/>
    <cellStyle name="Примечание 3 18 3 2 3" xfId="25004" xr:uid="{6A6C497A-3249-46AF-A881-BB74DC2A3FFF}"/>
    <cellStyle name="Примечание 3 18 3 2 4" xfId="38080" xr:uid="{234BEA88-7B6E-46E2-8008-934ABDC45092}"/>
    <cellStyle name="Примечание 3 18 3 3" xfId="17166" xr:uid="{8B5E218F-AC20-4E89-B57A-B37C6F73B2C1}"/>
    <cellStyle name="Примечание 3 18 3 3 2" xfId="32929" xr:uid="{A93FB41E-4433-4AEC-8848-2E389E3F078D}"/>
    <cellStyle name="Примечание 3 18 3 3 3" xfId="46701" xr:uid="{37BF979A-14A0-4972-A753-47DB0273A234}"/>
    <cellStyle name="Примечание 3 18 3 4" xfId="22605" xr:uid="{8512EF65-9006-48A3-9739-1C97E496447F}"/>
    <cellStyle name="Примечание 3 18 3 5" xfId="35658" xr:uid="{4301F660-F465-4093-8867-D4F27E94FB83}"/>
    <cellStyle name="Примечание 3 18 4" xfId="5830" xr:uid="{2DDEBFAD-CE39-4DB1-9B89-E11EDED3730C}"/>
    <cellStyle name="Примечание 3 18 4 2" xfId="8988" xr:uid="{8A850189-ADCF-45BF-8E04-EBDBE3D43679}"/>
    <cellStyle name="Примечание 3 18 4 2 2" xfId="11282" xr:uid="{C28A9FEC-AEA5-4C1A-A378-D5450E5A30EC}"/>
    <cellStyle name="Примечание 3 18 4 2 2 2" xfId="28069" xr:uid="{74021F13-21BD-41A2-AA10-919EA5B47567}"/>
    <cellStyle name="Примечание 3 18 4 2 2 3" xfId="41251" xr:uid="{E2250D7C-765C-4B85-ADE1-BDBE18A955C4}"/>
    <cellStyle name="Примечание 3 18 4 2 3" xfId="26473" xr:uid="{A9ACCC0C-742C-4602-A8CA-A19336ED93A8}"/>
    <cellStyle name="Примечание 3 18 4 2 4" xfId="39549" xr:uid="{589BE903-FC51-47BC-A565-BF3F1C3B520E}"/>
    <cellStyle name="Примечание 3 18 4 3" xfId="12569" xr:uid="{94A4E577-9A48-452E-8CFA-E336203799B3}"/>
    <cellStyle name="Примечание 3 18 4 3 2" xfId="29187" xr:uid="{E57760B6-DEED-408C-BEE2-4B8865DFA843}"/>
    <cellStyle name="Примечание 3 18 4 3 3" xfId="42449" xr:uid="{C3F339C8-5246-44E7-BC57-18000957097B}"/>
    <cellStyle name="Примечание 3 18 4 4" xfId="23477" xr:uid="{4CB37324-5200-422A-992F-BFD7059B41F1}"/>
    <cellStyle name="Примечание 3 18 4 5" xfId="36558" xr:uid="{A584F86E-A199-4D61-A200-861BF2AA0CEF}"/>
    <cellStyle name="Примечание 3 18 5" xfId="11609" xr:uid="{B3F50C23-33B9-4C38-9852-B43A5976EFFA}"/>
    <cellStyle name="Примечание 3 18 5 2" xfId="28356" xr:uid="{BA184F39-C1E3-4307-8D82-CAFDA031EBC0}"/>
    <cellStyle name="Примечание 3 18 5 3" xfId="41558" xr:uid="{A8CC387B-1AD5-471E-9755-1DD8B9726023}"/>
    <cellStyle name="Примечание 3 18 6" xfId="21739" xr:uid="{BDBBC80E-6857-4E04-9977-6D1C6D1AD03A}"/>
    <cellStyle name="Примечание 3 18 7" xfId="34793" xr:uid="{1CE02E1B-1803-4B8C-A998-870A015B8A83}"/>
    <cellStyle name="Примечание 3 19" xfId="4022" xr:uid="{0C3A2890-EC96-440D-85C2-523AEFFCCEC0}"/>
    <cellStyle name="Примечание 3 19 2" xfId="3245" xr:uid="{E0A93FFA-376F-4453-A7A9-8335A5D07FFE}"/>
    <cellStyle name="Примечание 3 19 2 2" xfId="8536" xr:uid="{1F88BA31-29D2-413C-8935-3F049209BE43}"/>
    <cellStyle name="Примечание 3 19 2 2 2" xfId="10927" xr:uid="{4407FA5A-47BA-4F37-89C7-A2975DD775F3}"/>
    <cellStyle name="Примечание 3 19 2 2 2 2" xfId="27745" xr:uid="{C466FE2D-44E7-49D7-B1DE-5EA1DA8C52BB}"/>
    <cellStyle name="Примечание 3 19 2 2 2 3" xfId="40907" xr:uid="{F5BA990E-884F-45BC-9DCC-C68E7DDD3216}"/>
    <cellStyle name="Примечание 3 19 2 2 3" xfId="26035" xr:uid="{474D8D6E-6D0E-4FC5-B383-7DCE8FEF118B}"/>
    <cellStyle name="Примечание 3 19 2 2 4" xfId="39111" xr:uid="{FE14BE08-725F-4825-9963-C8E552A9E604}"/>
    <cellStyle name="Примечание 3 19 2 3" xfId="6904" xr:uid="{9A940051-9CDA-43F5-92C7-802EA83CA5C7}"/>
    <cellStyle name="Примечание 3 19 2 3 2" xfId="14078" xr:uid="{876DC6E3-9E07-4D73-B93F-71008CF76358}"/>
    <cellStyle name="Примечание 3 19 2 3 2 2" xfId="30446" xr:uid="{6FAC844E-7D6C-43D6-B983-E7FC1D376978}"/>
    <cellStyle name="Примечание 3 19 2 3 2 3" xfId="43829" xr:uid="{A2DA9F15-FD63-4A0A-93B3-B44AB002A270}"/>
    <cellStyle name="Примечание 3 19 2 3 3" xfId="24527" xr:uid="{FAA731D9-E9F8-4042-AB8D-46E43FDAEFC9}"/>
    <cellStyle name="Примечание 3 19 2 3 4" xfId="37608" xr:uid="{3AD5E68A-A9DE-4252-9E0E-9913AD53D6A0}"/>
    <cellStyle name="Примечание 3 19 2 4" xfId="17032" xr:uid="{A9E1D43D-7C30-4CFF-94CD-114D190FDF13}"/>
    <cellStyle name="Примечание 3 19 2 4 2" xfId="32807" xr:uid="{89117C2E-9BBE-4EF3-B512-415151AAAB22}"/>
    <cellStyle name="Примечание 3 19 2 4 3" xfId="46574" xr:uid="{8BAFC438-A20E-42A7-8AB4-D861C64F5A4E}"/>
    <cellStyle name="Примечание 3 19 2 5" xfId="21279" xr:uid="{6CBE5B33-2951-4BD0-9236-B2B37E6EFA24}"/>
    <cellStyle name="Примечание 3 19 2 6" xfId="34302" xr:uid="{9565984C-8533-4430-8776-2F398078065D}"/>
    <cellStyle name="Примечание 3 19 3" xfId="4927" xr:uid="{9AC3A171-1D5F-46BB-935C-4B2E80222D2C}"/>
    <cellStyle name="Примечание 3 19 3 2" xfId="7596" xr:uid="{3F54CF46-F3C9-4851-9C4C-BF9C188CF816}"/>
    <cellStyle name="Примечание 3 19 3 2 2" xfId="14214" xr:uid="{85B5A559-4E2F-4AF8-83AF-00F1EDB87F86}"/>
    <cellStyle name="Примечание 3 19 3 2 2 2" xfId="30559" xr:uid="{8542EEE0-7CFC-4587-966F-F2214CCC9D9B}"/>
    <cellStyle name="Примечание 3 19 3 2 2 3" xfId="43951" xr:uid="{586D656A-D1FD-4B8B-B2D3-4C04679BCC18}"/>
    <cellStyle name="Примечание 3 19 3 2 3" xfId="25124" xr:uid="{53C2F79F-5CFF-4A57-891A-3E86F60E788D}"/>
    <cellStyle name="Примечание 3 19 3 2 4" xfId="38200" xr:uid="{CAABB0EC-D7E6-42EC-8339-586642C9F916}"/>
    <cellStyle name="Примечание 3 19 3 3" xfId="14910" xr:uid="{325AB963-271E-4EA3-891B-AB890625F5B5}"/>
    <cellStyle name="Примечание 3 19 3 3 2" xfId="31156" xr:uid="{71044A69-72CF-47C3-825C-8E835C635205}"/>
    <cellStyle name="Примечание 3 19 3 3 3" xfId="44599" xr:uid="{967717A7-D6C6-4A8D-8681-62F38EB48F59}"/>
    <cellStyle name="Примечание 3 19 3 4" xfId="22724" xr:uid="{B288D34F-F415-4EEF-B897-8BCCF1540C9E}"/>
    <cellStyle name="Примечание 3 19 3 5" xfId="35777" xr:uid="{A93E6C12-B7BA-45C5-90ED-F9200CD3AC68}"/>
    <cellStyle name="Примечание 3 19 4" xfId="5950" xr:uid="{1928992C-2C16-4CC7-9E9B-731F8769BC9A}"/>
    <cellStyle name="Примечание 3 19 4 2" xfId="9093" xr:uid="{79D8CE5D-F7F5-4333-86A1-30F4B4FD2DBB}"/>
    <cellStyle name="Примечание 3 19 4 2 2" xfId="11562" xr:uid="{B16119C2-3E0A-4157-B435-6A45638AAA85}"/>
    <cellStyle name="Примечание 3 19 4 2 2 2" xfId="28318" xr:uid="{F857A337-CE5C-49ED-9755-6E125A9C6905}"/>
    <cellStyle name="Примечание 3 19 4 2 2 3" xfId="41517" xr:uid="{130AC47F-8490-4EA4-BC73-B942D6859787}"/>
    <cellStyle name="Примечание 3 19 4 2 3" xfId="26574" xr:uid="{94507AD5-0327-40E0-A686-71716C84A992}"/>
    <cellStyle name="Примечание 3 19 4 2 4" xfId="39650" xr:uid="{5C02C332-09DD-4FD6-80CE-398DD2676A7E}"/>
    <cellStyle name="Примечание 3 19 4 3" xfId="11863" xr:uid="{A69D4F73-23DA-4DB4-A4C3-9A237E5A0DB5}"/>
    <cellStyle name="Примечание 3 19 4 3 2" xfId="28579" xr:uid="{7B94D73A-3559-43C4-B8DB-D7CE414EEF68}"/>
    <cellStyle name="Примечание 3 19 4 3 3" xfId="41795" xr:uid="{B91A759A-60C5-4647-BB03-46AF59B439E5}"/>
    <cellStyle name="Примечание 3 19 4 4" xfId="23597" xr:uid="{1D8985DD-4C45-4D31-82EB-C62936A71907}"/>
    <cellStyle name="Примечание 3 19 4 5" xfId="36678" xr:uid="{762491E9-35CF-4AB5-83BA-1AFA3679DCCF}"/>
    <cellStyle name="Примечание 3 19 5" xfId="15313" xr:uid="{B53759A3-AA7F-4DF6-9EA1-7FDF2AD50E08}"/>
    <cellStyle name="Примечание 3 19 5 2" xfId="31476" xr:uid="{0C615CC9-8CAF-4CBB-BA31-4FA878D25925}"/>
    <cellStyle name="Примечание 3 19 5 3" xfId="44959" xr:uid="{252A2721-C9CF-485F-9A70-0499E8327527}"/>
    <cellStyle name="Примечание 3 19 6" xfId="21864" xr:uid="{DCF81151-5564-4207-B5AA-2A83FD2B1112}"/>
    <cellStyle name="Примечание 3 19 7" xfId="34913" xr:uid="{86E3C9FB-2C69-442A-88BB-3826E72AEF8E}"/>
    <cellStyle name="Примечание 3 2" xfId="3497" xr:uid="{A538AB96-8973-4B2B-A5F5-5C950AFF1F8C}"/>
    <cellStyle name="Примечание 3 2 10" xfId="20513" xr:uid="{10C16E87-B09E-4191-A8DF-E8BAEB0A946C}"/>
    <cellStyle name="Примечание 3 2 11" xfId="34513" xr:uid="{28CB3857-17FF-42C6-AC8B-E62BC8AF27D1}"/>
    <cellStyle name="Примечание 3 2 2" xfId="2839" xr:uid="{423FB976-EC1C-4754-8428-5D358E2633AA}"/>
    <cellStyle name="Примечание 3 2 2 2" xfId="5159" xr:uid="{82B2FF48-5020-4BE4-8B2E-64133C873CF7}"/>
    <cellStyle name="Примечание 3 2 2 2 2" xfId="8135" xr:uid="{C36DA54F-1EA9-46F2-912F-6BEE765BB0FB}"/>
    <cellStyle name="Примечание 3 2 2 2 2 2" xfId="17377" xr:uid="{35EEF430-8B0A-4731-BE5F-9246CF31BFC1}"/>
    <cellStyle name="Примечание 3 2 2 2 2 2 2" xfId="33131" xr:uid="{A2BE193E-FBAD-40E9-9FE2-3334C9CD8340}"/>
    <cellStyle name="Примечание 3 2 2 2 2 2 3" xfId="46907" xr:uid="{CA0F5BFB-9C6E-4330-A76D-E1B4AB7AEBA3}"/>
    <cellStyle name="Примечание 3 2 2 2 2 3" xfId="25646" xr:uid="{926B3EF4-CE72-4023-B917-31F419003F32}"/>
    <cellStyle name="Примечание 3 2 2 2 2 4" xfId="38722" xr:uid="{CD43A3B5-F0CB-4941-A278-505129685937}"/>
    <cellStyle name="Примечание 3 2 2 2 3" xfId="12646" xr:uid="{D2F679ED-EE04-44DB-A761-13031DC097F3}"/>
    <cellStyle name="Примечание 3 2 2 2 3 2" xfId="29248" xr:uid="{2696B631-51F2-4277-A9DD-9EEDB2FF66C7}"/>
    <cellStyle name="Примечание 3 2 2 2 3 3" xfId="42517" xr:uid="{DA588644-A4A2-45DD-8E7A-CC3CFBCAF9C2}"/>
    <cellStyle name="Примечание 3 2 2 2 4" xfId="22850" xr:uid="{4BFCA617-6F2D-4AC2-A1B3-965D65A59121}"/>
    <cellStyle name="Примечание 3 2 2 2 5" xfId="35916" xr:uid="{EBF895B0-D6B8-4B56-BB17-1A10960FE83D}"/>
    <cellStyle name="Примечание 3 2 2 3" xfId="6502" xr:uid="{18FE5AB0-60F6-4439-8D2E-6C6A79391FB7}"/>
    <cellStyle name="Примечание 3 2 2 3 2" xfId="16216" xr:uid="{BCA44883-2FA2-4C96-947C-5AE282AA7038}"/>
    <cellStyle name="Примечание 3 2 2 3 2 2" xfId="32255" xr:uid="{701B8420-0E98-458C-A234-D8C9FE9BD06D}"/>
    <cellStyle name="Примечание 3 2 2 3 2 3" xfId="45783" xr:uid="{AD9E85AE-720B-463B-970F-E24E015D6308}"/>
    <cellStyle name="Примечание 3 2 2 3 3" xfId="24137" xr:uid="{5366C2A2-9A4C-427C-A8EC-CB775130A8C6}"/>
    <cellStyle name="Примечание 3 2 2 3 4" xfId="37218" xr:uid="{B4CDDBAC-1D16-4B94-A6C3-3685AA74B223}"/>
    <cellStyle name="Примечание 3 2 2 4" xfId="10616" xr:uid="{BBD26313-DC5B-4A31-85CA-5419AD23BEAB}"/>
    <cellStyle name="Примечание 3 2 2 4 2" xfId="27475" xr:uid="{D114E54F-FF29-45D5-B299-9651A78D6202}"/>
    <cellStyle name="Примечание 3 2 2 4 3" xfId="40597" xr:uid="{6680A2B3-9328-41BC-986D-2B12CA3B02C7}"/>
    <cellStyle name="Примечание 3 2 2 5" xfId="20889" xr:uid="{1948E4F2-A84F-4DB8-978A-9BEC960760F9}"/>
    <cellStyle name="Примечание 3 2 2 6" xfId="33912" xr:uid="{A9DAE469-BD08-4023-89E1-7F7BC888EDEA}"/>
    <cellStyle name="Примечание 3 2 3" xfId="4188" xr:uid="{70515600-822A-4593-A468-7DB9A1CEBBE8}"/>
    <cellStyle name="Примечание 3 2 3 2" xfId="5220" xr:uid="{7E7B86B9-CE65-4326-8179-4825B383FFDC}"/>
    <cellStyle name="Примечание 3 2 3 2 2" xfId="9240" xr:uid="{DFAD8F61-C539-4826-AA56-098F799E4426}"/>
    <cellStyle name="Примечание 3 2 3 2 2 2" xfId="13333" xr:uid="{DB2A8A6C-1174-47BA-B294-8A9C4510FBBC}"/>
    <cellStyle name="Примечание 3 2 3 2 2 2 2" xfId="29816" xr:uid="{3829B416-9C67-4A59-884A-1E5D19DD9D12}"/>
    <cellStyle name="Примечание 3 2 3 2 2 2 3" xfId="43147" xr:uid="{425E3506-3D55-4389-80BD-59EC96DBCADC}"/>
    <cellStyle name="Примечание 3 2 3 2 2 3" xfId="26715" xr:uid="{0CE48D44-0F3F-4E78-8016-623A90CE8EBA}"/>
    <cellStyle name="Примечание 3 2 3 2 2 4" xfId="39791" xr:uid="{CA4B54EE-44E6-483E-B144-39139FEDF3DD}"/>
    <cellStyle name="Примечание 3 2 3 2 3" xfId="11585" xr:uid="{35D8E078-FE63-46C7-9686-231D2480091B}"/>
    <cellStyle name="Примечание 3 2 3 2 3 2" xfId="28336" xr:uid="{52180BDC-17DB-406C-A1FD-48E28B74E56E}"/>
    <cellStyle name="Примечание 3 2 3 2 3 3" xfId="41537" xr:uid="{CD364825-6940-4490-8BD9-9D0F4E6A0059}"/>
    <cellStyle name="Примечание 3 2 3 2 4" xfId="22892" xr:uid="{939ED651-E182-4B6A-96E5-64822C7C839F}"/>
    <cellStyle name="Примечание 3 2 3 2 5" xfId="35963" xr:uid="{8465303C-6921-4343-8C5B-AA7ED18E28A0}"/>
    <cellStyle name="Примечание 3 2 3 3" xfId="7752" xr:uid="{A59CD074-93A4-404C-93C2-223C445DCC70}"/>
    <cellStyle name="Примечание 3 2 3 3 2" xfId="13051" xr:uid="{BFA166C0-7FFF-40EB-8FCF-454A55D29E70}"/>
    <cellStyle name="Примечание 3 2 3 3 2 2" xfId="29576" xr:uid="{7175551B-A642-4671-9496-354C44E0DF8C}"/>
    <cellStyle name="Примечание 3 2 3 3 2 3" xfId="42881" xr:uid="{81801B27-A53A-4112-9123-3A192176E730}"/>
    <cellStyle name="Примечание 3 2 3 3 3" xfId="25274" xr:uid="{C798A7AC-A41B-4C6E-BD3C-8133ECDE5A62}"/>
    <cellStyle name="Примечание 3 2 3 3 4" xfId="38350" xr:uid="{7A16A0FC-5B8A-433B-B99B-7C59B17960A5}"/>
    <cellStyle name="Примечание 3 2 3 4" xfId="14821" xr:uid="{53544F00-2997-47CB-AF72-400C980ADD9D}"/>
    <cellStyle name="Примечание 3 2 3 4 2" xfId="31082" xr:uid="{2836639E-2DFA-4EEA-803C-679C6D63AED4}"/>
    <cellStyle name="Примечание 3 2 3 4 3" xfId="44518" xr:uid="{5C2F44B1-104C-4388-90FB-1700CCE8D16D}"/>
    <cellStyle name="Примечание 3 2 3 5" xfId="22015" xr:uid="{CD1A519A-C655-485D-AFC2-6BD282249FDA}"/>
    <cellStyle name="Примечание 3 2 3 6" xfId="35064" xr:uid="{53D5FD4D-AD9D-4503-8BC6-70F7254A0513}"/>
    <cellStyle name="Примечание 3 2 4" xfId="3189" xr:uid="{25B70710-C01C-4C09-AE5D-9088F17B331A}"/>
    <cellStyle name="Примечание 3 2 4 2" xfId="5234" xr:uid="{F3C07370-D61F-4A4E-B050-7815ED046F95}"/>
    <cellStyle name="Примечание 3 2 4 2 2" xfId="8481" xr:uid="{4C5EED22-A771-41D8-8343-4AE73A00AD03}"/>
    <cellStyle name="Примечание 3 2 4 2 2 2" xfId="14248" xr:uid="{136292A2-9127-465B-869C-59FB735E13D4}"/>
    <cellStyle name="Примечание 3 2 4 2 2 2 2" xfId="30592" xr:uid="{6BAACAAE-AD8D-4AD8-A6FF-9B62560965C1}"/>
    <cellStyle name="Примечание 3 2 4 2 2 2 3" xfId="43984" xr:uid="{0365FAF3-9068-4B59-84CD-0AF34EA1EDEB}"/>
    <cellStyle name="Примечание 3 2 4 2 2 3" xfId="25981" xr:uid="{305C8FA6-DD86-4F99-A30F-5815D8DF1B5A}"/>
    <cellStyle name="Примечание 3 2 4 2 2 4" xfId="39057" xr:uid="{3B664F21-EA15-447B-AC39-B8FF449BCE09}"/>
    <cellStyle name="Примечание 3 2 4 2 3" xfId="10915" xr:uid="{3B717147-E3AD-4713-8B82-3918627A1AC0}"/>
    <cellStyle name="Примечание 3 2 4 2 3 2" xfId="27733" xr:uid="{66698018-3F9F-4C45-9985-E544A6EC78D3}"/>
    <cellStyle name="Примечание 3 2 4 2 3 3" xfId="40895" xr:uid="{BA6CC527-1AA8-4435-942D-8F0C93A4F41C}"/>
    <cellStyle name="Примечание 3 2 4 2 4" xfId="22900" xr:uid="{9D48CDB2-179D-43C6-B14D-AE94EBA3EF48}"/>
    <cellStyle name="Примечание 3 2 4 2 5" xfId="35974" xr:uid="{E547A401-03DD-4DF3-9CDC-7EB508085704}"/>
    <cellStyle name="Примечание 3 2 4 3" xfId="6848" xr:uid="{C535FEDB-0C4C-42F6-A2F6-ADF2BB1A3DF1}"/>
    <cellStyle name="Примечание 3 2 4 3 2" xfId="11341" xr:uid="{E6B30503-3470-47C4-BDF2-AD83F865543E}"/>
    <cellStyle name="Примечание 3 2 4 3 2 2" xfId="28120" xr:uid="{622725BC-DEC3-4CF7-8F65-04D4BF41E545}"/>
    <cellStyle name="Примечание 3 2 4 3 2 3" xfId="41308" xr:uid="{02314D90-8F36-4677-AD7C-B57B16ECEEAF}"/>
    <cellStyle name="Примечание 3 2 4 3 3" xfId="24472" xr:uid="{E8A5146B-649E-4C2A-95E2-4C32459AE45A}"/>
    <cellStyle name="Примечание 3 2 4 3 4" xfId="37553" xr:uid="{977573CF-B459-4775-BC45-E048A3D565B2}"/>
    <cellStyle name="Примечание 3 2 4 4" xfId="13900" xr:uid="{1C7A88EE-067B-4195-A8CC-747817F537EB}"/>
    <cellStyle name="Примечание 3 2 4 4 2" xfId="30292" xr:uid="{D47C7110-6FC7-455C-BC19-C5CA2616EC6C}"/>
    <cellStyle name="Примечание 3 2 4 4 3" xfId="43665" xr:uid="{BD01F99F-8582-4E36-9CE6-7C70492526B2}"/>
    <cellStyle name="Примечание 3 2 4 5" xfId="21224" xr:uid="{DD251125-C910-4D47-862A-CE4E12EEB972}"/>
    <cellStyle name="Примечание 3 2 4 6" xfId="34247" xr:uid="{B9FEFE05-93BC-4A75-B548-0EB94176F0F6}"/>
    <cellStyle name="Примечание 3 2 5" xfId="4147" xr:uid="{BA0F4F60-D1BA-4383-AB65-3017AB9AF11B}"/>
    <cellStyle name="Примечание 3 2 5 2" xfId="5052" xr:uid="{90B46372-36EC-420F-A2E7-3D8266CF2CA9}"/>
    <cellStyle name="Примечание 3 2 5 2 2" xfId="9199" xr:uid="{6346C54F-B2E9-4F3E-8FD0-6E1F8C056BFA}"/>
    <cellStyle name="Примечание 3 2 5 2 2 2" xfId="12707" xr:uid="{1C018F80-EBD2-4DCD-B1DD-4231BFBD721D}"/>
    <cellStyle name="Примечание 3 2 5 2 2 2 2" xfId="29293" xr:uid="{72E19BF1-D223-402C-8BAF-7A905E61D6F6}"/>
    <cellStyle name="Примечание 3 2 5 2 2 2 3" xfId="42570" xr:uid="{FD7C6932-48FF-450A-B478-FA6A50C34F17}"/>
    <cellStyle name="Примечание 3 2 5 2 2 3" xfId="26675" xr:uid="{85420293-ECF8-4705-8938-0A1C3188D016}"/>
    <cellStyle name="Примечание 3 2 5 2 2 4" xfId="39751" xr:uid="{2DBBFE6F-50E1-48DB-A212-4BA9D25FE2D3}"/>
    <cellStyle name="Примечание 3 2 5 2 3" xfId="15281" xr:uid="{09EA815A-2477-42F9-8C26-1E722E890D0F}"/>
    <cellStyle name="Примечание 3 2 5 2 3 2" xfId="31453" xr:uid="{8CDE5361-3B50-45B9-957C-AA11EAB068F7}"/>
    <cellStyle name="Примечание 3 2 5 2 3 3" xfId="44930" xr:uid="{7CB55247-8E02-4D85-93AD-8184BDC09228}"/>
    <cellStyle name="Примечание 3 2 5 2 4" xfId="22801" xr:uid="{91E2622E-2730-41FE-9DDB-8A30EFF7EDCA}"/>
    <cellStyle name="Примечание 3 2 5 2 5" xfId="35866" xr:uid="{20BDBB41-E420-4F56-894B-432571C69297}"/>
    <cellStyle name="Примечание 3 2 5 3" xfId="7711" xr:uid="{8D5817C6-E00D-4932-9567-F808BF9F7694}"/>
    <cellStyle name="Примечание 3 2 5 3 2" xfId="11547" xr:uid="{397E69ED-0A60-4428-B8D8-1F81D7150942}"/>
    <cellStyle name="Примечание 3 2 5 3 2 2" xfId="28304" xr:uid="{28B099D3-E7C3-426B-97B9-36602DC58E1B}"/>
    <cellStyle name="Примечание 3 2 5 3 2 3" xfId="41502" xr:uid="{ADDBF7C8-56EB-496C-8B1A-EF31926AE62B}"/>
    <cellStyle name="Примечание 3 2 5 3 3" xfId="25234" xr:uid="{DB8E17D9-6EF9-4964-9639-A0192BB18D77}"/>
    <cellStyle name="Примечание 3 2 5 3 4" xfId="38310" xr:uid="{439B0256-19B2-4903-A13D-41A2A890553D}"/>
    <cellStyle name="Примечание 3 2 5 4" xfId="16120" xr:uid="{D2621298-CB09-4759-BF3D-C8BA92132AF4}"/>
    <cellStyle name="Примечание 3 2 5 4 2" xfId="32175" xr:uid="{06E4E49D-15F2-40AD-9058-3D38D641F691}"/>
    <cellStyle name="Примечание 3 2 5 4 3" xfId="45696" xr:uid="{8A78F48B-D33E-4593-8BFA-B6C04A8D96DD}"/>
    <cellStyle name="Примечание 3 2 5 5" xfId="21975" xr:uid="{61401AD3-F04C-46DE-BA94-3FA7C8CFFE8D}"/>
    <cellStyle name="Примечание 3 2 5 6" xfId="35024" xr:uid="{0C8BDA70-24EE-41EA-8304-E03C010CDA84}"/>
    <cellStyle name="Примечание 3 2 6" xfId="4499" xr:uid="{B53E7FDF-740A-4191-BD94-A768C08FE883}"/>
    <cellStyle name="Примечание 3 2 6 2" xfId="7139" xr:uid="{B4633BAF-4D88-429C-82E8-F41ACBD1AE81}"/>
    <cellStyle name="Примечание 3 2 6 2 2" xfId="14349" xr:uid="{DD8E06DB-DE29-4510-82E6-311D53819509}"/>
    <cellStyle name="Примечание 3 2 6 2 2 2" xfId="30683" xr:uid="{A7CAC174-247C-4E80-9799-3BFDDCBE363D}"/>
    <cellStyle name="Примечание 3 2 6 2 2 3" xfId="44079" xr:uid="{C1E2E13C-AA5D-460B-B923-8D87D0BB50FF}"/>
    <cellStyle name="Примечание 3 2 6 2 3" xfId="24738" xr:uid="{018B0CAA-974B-405C-A12E-DAF21FCB503A}"/>
    <cellStyle name="Примечание 3 2 6 2 4" xfId="37819" xr:uid="{2FFD4F5F-34AA-4B31-A946-32B227C10D25}"/>
    <cellStyle name="Примечание 3 2 6 3" xfId="15900" xr:uid="{5F5AEFB2-838E-4242-930A-996830769A57}"/>
    <cellStyle name="Примечание 3 2 6 3 2" xfId="31983" xr:uid="{F3F4A499-E193-400C-9408-0E47C0233D7A}"/>
    <cellStyle name="Примечание 3 2 6 3 3" xfId="45499" xr:uid="{8E48908F-3F4B-4D26-A72A-DEE7AAC4FDC6}"/>
    <cellStyle name="Примечание 3 2 6 4" xfId="22317" xr:uid="{D5AA4A99-6824-4D8A-B36D-1680EF5580D6}"/>
    <cellStyle name="Примечание 3 2 6 5" xfId="35366" xr:uid="{F4C51BE7-2C7C-4847-BB16-1A04614ADC1B}"/>
    <cellStyle name="Примечание 3 2 7" xfId="5552" xr:uid="{F63B1E8B-3E48-4930-B7BE-0F3B226734DB}"/>
    <cellStyle name="Примечание 3 2 7 2" xfId="8734" xr:uid="{23F38400-8A16-4C74-B1E3-F9B558C89BAF}"/>
    <cellStyle name="Примечание 3 2 7 2 2" xfId="14518" xr:uid="{73E361F7-6276-4B2A-8C2E-8854910EF39D}"/>
    <cellStyle name="Примечание 3 2 7 2 2 2" xfId="30835" xr:uid="{E1BC5BD4-251A-4351-B44C-46DDA6EDEDAF}"/>
    <cellStyle name="Примечание 3 2 7 2 2 3" xfId="44246" xr:uid="{A00EAEB2-BEA9-472C-B543-6C3DC335737D}"/>
    <cellStyle name="Примечание 3 2 7 2 3" xfId="26227" xr:uid="{92D442EF-6D5D-4118-A88C-3429EB42B8FB}"/>
    <cellStyle name="Примечание 3 2 7 2 4" xfId="39303" xr:uid="{BFE503FF-6398-497D-B4E5-069B4D9126D1}"/>
    <cellStyle name="Примечание 3 2 7 3" xfId="11298" xr:uid="{2A524FF1-0F12-4467-8056-022D6988FA9D}"/>
    <cellStyle name="Примечание 3 2 7 3 2" xfId="28082" xr:uid="{D7D50437-EE89-45EE-B432-4ED7D2ADFF97}"/>
    <cellStyle name="Примечание 3 2 7 3 3" xfId="41265" xr:uid="{C7255089-34C6-45AD-B4D0-A26A98480DDC}"/>
    <cellStyle name="Примечание 3 2 7 4" xfId="23199" xr:uid="{7DE1BB08-76EA-4C88-8561-68EEC158F2FA}"/>
    <cellStyle name="Примечание 3 2 7 5" xfId="36280" xr:uid="{EC2A5AE5-506A-4CDC-B6F8-7B044C18C96B}"/>
    <cellStyle name="Примечание 3 2 8" xfId="13716" xr:uid="{76EB12EE-2A2C-4C06-94C7-4358155180C0}"/>
    <cellStyle name="Примечание 3 2 8 2" xfId="30133" xr:uid="{1D7CA512-8760-4EE5-B9E2-AC057DB022C8}"/>
    <cellStyle name="Примечание 3 2 8 3" xfId="43494" xr:uid="{106BEDEA-2D9F-4202-8D11-5C0D80140B09}"/>
    <cellStyle name="Примечание 3 2 9" xfId="17760" xr:uid="{0D95F92B-99B3-44F3-858C-DB0BF94891DF}"/>
    <cellStyle name="Примечание 3 2 9 2" xfId="33482" xr:uid="{5A80D328-9717-4FD8-A744-F5AFC60D713F}"/>
    <cellStyle name="Примечание 3 2 9 3" xfId="47261" xr:uid="{DA310F3E-7D31-408E-824E-77893B6166E8}"/>
    <cellStyle name="Примечание 3 20" xfId="3242" xr:uid="{21881A85-3ABA-441D-B51A-D1A32F22ECF9}"/>
    <cellStyle name="Примечание 3 20 2" xfId="5036" xr:uid="{4D150793-1FB4-4180-82FA-365982F3C3C0}"/>
    <cellStyle name="Примечание 3 20 2 2" xfId="8533" xr:uid="{B8DF0B9D-D39E-46E0-AB0C-5259A75FD471}"/>
    <cellStyle name="Примечание 3 20 2 2 2" xfId="13555" xr:uid="{11543408-8953-4E1A-B2E1-E743D9B93530}"/>
    <cellStyle name="Примечание 3 20 2 2 2 2" xfId="30000" xr:uid="{4368E2C0-F6AC-49CC-B8E9-C7ED78A25761}"/>
    <cellStyle name="Примечание 3 20 2 2 2 3" xfId="43349" xr:uid="{ED1CF215-B139-423A-BD74-17E242FA5DF7}"/>
    <cellStyle name="Примечание 3 20 2 2 3" xfId="26032" xr:uid="{E023B427-F1A9-4E95-8DF3-57BEDAE5EF5F}"/>
    <cellStyle name="Примечание 3 20 2 2 4" xfId="39108" xr:uid="{33B78F3A-E0FB-4BFE-BEB1-9D48257139F2}"/>
    <cellStyle name="Примечание 3 20 2 3" xfId="14962" xr:uid="{6AD3A2EF-7669-4FBE-8D1F-86F4A29398E4}"/>
    <cellStyle name="Примечание 3 20 2 3 2" xfId="31200" xr:uid="{83580850-40B5-4625-A080-8046155883AB}"/>
    <cellStyle name="Примечание 3 20 2 3 3" xfId="44647" xr:uid="{C36FF0CF-41E0-4728-9D31-9F6EF299C494}"/>
    <cellStyle name="Примечание 3 20 2 4" xfId="22788" xr:uid="{92283174-7E02-49BF-9DA2-83882ACB0936}"/>
    <cellStyle name="Примечание 3 20 2 5" xfId="35851" xr:uid="{B1BE8F8D-57BC-450E-BE8B-0B43F602949C}"/>
    <cellStyle name="Примечание 3 20 3" xfId="6901" xr:uid="{1027FC69-B399-4AF4-8BDA-87B4C07C23C1}"/>
    <cellStyle name="Примечание 3 20 3 2" xfId="13684" xr:uid="{85FD5375-AB52-4B2E-BBF3-43008CEA5269}"/>
    <cellStyle name="Примечание 3 20 3 2 2" xfId="30109" xr:uid="{E0627E41-6077-4055-A7DD-B6D52E4FE783}"/>
    <cellStyle name="Примечание 3 20 3 2 3" xfId="43468" xr:uid="{2702E496-740F-43DB-98AB-9FAE0D4E869E}"/>
    <cellStyle name="Примечание 3 20 3 3" xfId="24524" xr:uid="{6F133674-7470-4E3B-91C1-2262E9573D6F}"/>
    <cellStyle name="Примечание 3 20 3 4" xfId="37605" xr:uid="{28979E40-D280-49EC-8A18-B40DB1F8C441}"/>
    <cellStyle name="Примечание 3 20 4" xfId="16302" xr:uid="{710E5E84-3F96-466F-8E60-609C05406FD5}"/>
    <cellStyle name="Примечание 3 20 4 2" xfId="32329" xr:uid="{317F8F01-4FE9-4D05-8820-BCF3B28D4DCB}"/>
    <cellStyle name="Примечание 3 20 4 3" xfId="45860" xr:uid="{B13A1C43-4A99-4E11-B8A9-41D43FB52B4D}"/>
    <cellStyle name="Примечание 3 20 5" xfId="21276" xr:uid="{BD635517-9DBA-49F5-BA3B-D9C0A4B71E99}"/>
    <cellStyle name="Примечание 3 20 6" xfId="34299" xr:uid="{FFD58854-E96A-4A7E-874B-8EC275BF52FF}"/>
    <cellStyle name="Примечание 3 21" xfId="2656" xr:uid="{C7C16150-7209-4DB2-9937-8B6F311EA8FE}"/>
    <cellStyle name="Примечание 3 21 2" xfId="7953" xr:uid="{15BC48BF-BDE6-4D56-AFD4-806256AC19E3}"/>
    <cellStyle name="Примечание 3 21 2 2" xfId="16149" xr:uid="{9DF55D3A-35C3-4406-B9FD-0CE57FFE808F}"/>
    <cellStyle name="Примечание 3 21 2 2 2" xfId="32200" xr:uid="{5D14E4EE-8DF0-4CA1-B515-0C611DA8778C}"/>
    <cellStyle name="Примечание 3 21 2 2 3" xfId="45722" xr:uid="{82F3D162-80AD-44E2-9BF7-BFE0CE3180CA}"/>
    <cellStyle name="Примечание 3 21 2 3" xfId="25469" xr:uid="{008C78EC-E462-4E2C-A1F1-41F0B7152753}"/>
    <cellStyle name="Примечание 3 21 2 4" xfId="38545" xr:uid="{AD677132-17E3-4D63-849C-C99E80E31A0F}"/>
    <cellStyle name="Примечание 3 21 3" xfId="6320" xr:uid="{98F93058-4443-43A5-B76A-DEEF94408E32}"/>
    <cellStyle name="Примечание 3 21 3 2" xfId="13815" xr:uid="{DD31577E-B0CB-40BB-BBA4-B8D65470EE3E}"/>
    <cellStyle name="Примечание 3 21 3 2 2" xfId="30218" xr:uid="{D53052AC-679B-4B84-9FD6-FDA10F426A43}"/>
    <cellStyle name="Примечание 3 21 3 2 3" xfId="43587" xr:uid="{47E46835-C7E8-49B2-A0BE-6EE51A119776}"/>
    <cellStyle name="Примечание 3 21 3 3" xfId="23960" xr:uid="{59E13124-B59A-4092-801A-DCCDFAAE350D}"/>
    <cellStyle name="Примечание 3 21 3 4" xfId="37041" xr:uid="{8A6E78DF-82E9-4272-94FB-2FC447CB8EF2}"/>
    <cellStyle name="Примечание 3 21 4" xfId="12064" xr:uid="{CF00476F-D087-404C-8714-8D488E7CA1D2}"/>
    <cellStyle name="Примечание 3 21 4 2" xfId="28764" xr:uid="{B282EA4A-36CD-41F7-B19C-C8E4219A0BCA}"/>
    <cellStyle name="Примечание 3 21 4 3" xfId="41984" xr:uid="{D84B6D4B-DE62-4281-A1A9-27A17F85CDB3}"/>
    <cellStyle name="Примечание 3 21 5" xfId="20712" xr:uid="{84BAE154-7F4C-4F58-86BF-894F34577E9F}"/>
    <cellStyle name="Примечание 3 21 6" xfId="33735" xr:uid="{576C1B14-376F-4233-8D9E-95CCB400C966}"/>
    <cellStyle name="Примечание 3 22" xfId="4115" xr:uid="{E4A939EA-B385-41A4-B1E7-639375D0CC84}"/>
    <cellStyle name="Примечание 3 22 2" xfId="9167" xr:uid="{1A8DB54B-9A2D-49D8-8386-B15CDB455714}"/>
    <cellStyle name="Примечание 3 22 2 2" xfId="15397" xr:uid="{68DB0EB4-65AD-4101-AD5E-4724B939C960}"/>
    <cellStyle name="Примечание 3 22 2 2 2" xfId="31551" xr:uid="{CB2C09D3-DD83-4DF4-B162-0528C348570F}"/>
    <cellStyle name="Примечание 3 22 2 2 3" xfId="45039" xr:uid="{C4336C25-7E17-43B1-A6CF-9549B8755ACB}"/>
    <cellStyle name="Примечание 3 22 2 3" xfId="26648" xr:uid="{69654FFC-C0ED-4EC7-90E8-DCCC60BF7C66}"/>
    <cellStyle name="Примечание 3 22 2 4" xfId="39724" xr:uid="{EC45C01C-C013-41EB-B517-442881B6FEDA}"/>
    <cellStyle name="Примечание 3 22 3" xfId="7679" xr:uid="{70C51183-7E81-4861-9E12-3AD421977589}"/>
    <cellStyle name="Примечание 3 22 3 2" xfId="14728" xr:uid="{FD3CC268-E5BA-456E-B2C7-427F6002FFFE}"/>
    <cellStyle name="Примечание 3 22 3 2 2" xfId="31011" xr:uid="{07FA2AA0-88D7-43F2-BEA9-A9ABD744148D}"/>
    <cellStyle name="Примечание 3 22 3 2 3" xfId="44436" xr:uid="{D9402BFF-ADBC-488B-B10F-47506C90903E}"/>
    <cellStyle name="Примечание 3 22 3 3" xfId="25207" xr:uid="{4475A4AA-C3CF-4220-8806-D0AC95C4ABE3}"/>
    <cellStyle name="Примечание 3 22 3 4" xfId="38283" xr:uid="{375D4A75-87E8-4FD8-AD80-A4BAC4C662DF}"/>
    <cellStyle name="Примечание 3 22 4" xfId="16758" xr:uid="{BB71359E-26C1-4967-BE06-B0104A71DE1A}"/>
    <cellStyle name="Примечание 3 22 4 2" xfId="32640" xr:uid="{A78661D2-1460-4EE0-9C31-A55C833C202F}"/>
    <cellStyle name="Примечание 3 22 4 3" xfId="46301" xr:uid="{C5896927-E0C5-4C31-9DA7-95F58858FA0D}"/>
    <cellStyle name="Примечание 3 22 5" xfId="21948" xr:uid="{898BCD01-D91B-4180-92ED-03C045473F55}"/>
    <cellStyle name="Примечание 3 22 6" xfId="34997" xr:uid="{A6CE1E3C-46B9-4156-B582-4AF075EDC9CF}"/>
    <cellStyle name="Примечание 3 23" xfId="2565" xr:uid="{DA3E08B7-5638-4ECD-A33E-183208F4A7F0}"/>
    <cellStyle name="Примечание 3 23 2" xfId="7863" xr:uid="{7FC78DA9-6665-4037-BB2B-45F0DEE383CF}"/>
    <cellStyle name="Примечание 3 23 2 2" xfId="13909" xr:uid="{A85CD182-BFB6-4FCA-8548-595FF4BAA18A}"/>
    <cellStyle name="Примечание 3 23 2 2 2" xfId="30300" xr:uid="{ADD4F3E9-1860-45FE-BFBE-1FF9DE1A6FA8}"/>
    <cellStyle name="Примечание 3 23 2 2 3" xfId="43674" xr:uid="{2C188998-1526-4023-B3B8-8A5FEF347D30}"/>
    <cellStyle name="Примечание 3 23 2 3" xfId="25382" xr:uid="{23A6AB5D-55D9-48F4-BE65-9A428C5E9F87}"/>
    <cellStyle name="Примечание 3 23 2 4" xfId="38458" xr:uid="{34348C0C-D2C4-4D4A-BB4D-16C5E55CAAF3}"/>
    <cellStyle name="Примечание 3 23 3" xfId="6230" xr:uid="{53347776-4808-446B-8B9B-34DA2FE0527C}"/>
    <cellStyle name="Примечание 3 23 3 2" xfId="14454" xr:uid="{24324157-C4E8-4EE5-861B-39CDE8B8424E}"/>
    <cellStyle name="Примечание 3 23 3 2 2" xfId="30782" xr:uid="{6713E77B-A8C2-4414-98F2-23278CB68FD4}"/>
    <cellStyle name="Примечание 3 23 3 2 3" xfId="44183" xr:uid="{49347699-3662-4F1F-8854-13EB246AB13E}"/>
    <cellStyle name="Примечание 3 23 3 3" xfId="23873" xr:uid="{305B9FED-5570-47E3-98EF-74464724A3AC}"/>
    <cellStyle name="Примечание 3 23 3 4" xfId="36954" xr:uid="{45458352-FF27-41BD-BF68-EB07B4B8E2C0}"/>
    <cellStyle name="Примечание 3 23 4" xfId="15797" xr:uid="{5D26BC48-4396-4D0F-962A-BA59078F694E}"/>
    <cellStyle name="Примечание 3 23 4 2" xfId="31896" xr:uid="{11BDBCD5-76E8-4A2F-A343-8081A0F12757}"/>
    <cellStyle name="Примечание 3 23 4 3" xfId="45408" xr:uid="{A298F23D-0243-4645-BEB7-010002950839}"/>
    <cellStyle name="Примечание 3 23 5" xfId="20625" xr:uid="{B62B2899-2F5B-490A-9C54-D5A6588F880D}"/>
    <cellStyle name="Примечание 3 23 6" xfId="33648" xr:uid="{67FF8109-ED7E-44FC-8947-012C03593586}"/>
    <cellStyle name="Примечание 3 24" xfId="4261" xr:uid="{645519CF-59DF-4797-B1FA-1EAEFA189CB8}"/>
    <cellStyle name="Примечание 3 24 2" xfId="9313" xr:uid="{5A91CE9E-9692-4270-9D3D-5460AAC445CE}"/>
    <cellStyle name="Примечание 3 24 2 2" xfId="15778" xr:uid="{EF5AAFF2-0D0B-4BB3-8BCC-A8012CF868D8}"/>
    <cellStyle name="Примечание 3 24 2 2 2" xfId="31879" xr:uid="{8FF35483-CA28-4555-A6FC-177E634D6B02}"/>
    <cellStyle name="Примечание 3 24 2 2 3" xfId="45390" xr:uid="{B6412FF5-B82F-4FD5-9440-3164944DD7E8}"/>
    <cellStyle name="Примечание 3 24 2 3" xfId="26786" xr:uid="{C500DCC3-59FF-4E2D-A19E-6CF5F157FB17}"/>
    <cellStyle name="Примечание 3 24 2 4" xfId="39862" xr:uid="{06236E45-2E76-4007-8B19-DAF2454DCFB8}"/>
    <cellStyle name="Примечание 3 24 3" xfId="7825" xr:uid="{B6B47E8D-9479-42E1-98B6-86A6303E0869}"/>
    <cellStyle name="Примечание 3 24 3 2" xfId="13533" xr:uid="{1D2F9A93-F3FE-48AB-8070-8FAC9FFBC521}"/>
    <cellStyle name="Примечание 3 24 3 2 2" xfId="29983" xr:uid="{7C1D9068-0439-4807-951D-1C0A40CDE212}"/>
    <cellStyle name="Примечание 3 24 3 2 3" xfId="43328" xr:uid="{7BF2056B-5081-474B-B31F-5281E1592506}"/>
    <cellStyle name="Примечание 3 24 3 3" xfId="25345" xr:uid="{DD95C293-57C5-4DC5-A6D3-79EEC7AB9A7E}"/>
    <cellStyle name="Примечание 3 24 3 4" xfId="38421" xr:uid="{996DBA54-CF72-49D0-AFF9-CD173048E69E}"/>
    <cellStyle name="Примечание 3 24 4" xfId="17185" xr:uid="{0CC88462-DBFD-42DA-A6CF-E70211BD8D37}"/>
    <cellStyle name="Примечание 3 24 4 2" xfId="32948" xr:uid="{D7AE73D4-DC5C-46EF-945F-72855D27359C}"/>
    <cellStyle name="Примечание 3 24 4 3" xfId="46720" xr:uid="{AFEC3DA1-66FE-4795-A92D-9C6D85A48ED2}"/>
    <cellStyle name="Примечание 3 24 5" xfId="22086" xr:uid="{4BF751E7-2A00-46C7-BB77-B4E6C6C7A672}"/>
    <cellStyle name="Примечание 3 24 6" xfId="35135" xr:uid="{509886EA-963B-4D78-A12A-7964B352A366}"/>
    <cellStyle name="Примечание 3 25" xfId="4307" xr:uid="{0CB39030-6B3F-4792-B91A-A3DFC52E9E90}"/>
    <cellStyle name="Примечание 3 25 2" xfId="6175" xr:uid="{48B5B80B-5276-4F35-82E5-D09F90C83F22}"/>
    <cellStyle name="Примечание 3 25 2 2" xfId="16400" xr:uid="{C5EE3D5E-C3EA-4A1C-9FC0-7A49490DDEC7}"/>
    <cellStyle name="Примечание 3 25 2 2 2" xfId="32416" xr:uid="{86DAD91F-EA8B-48BE-A279-1516A08B9569}"/>
    <cellStyle name="Примечание 3 25 2 2 3" xfId="45951" xr:uid="{50718C31-3679-4114-94AE-0AE36E29E456}"/>
    <cellStyle name="Примечание 3 25 2 3" xfId="23820" xr:uid="{2EC2578E-73D8-4B47-843F-5A6DA510135F}"/>
    <cellStyle name="Примечание 3 25 2 4" xfId="36901" xr:uid="{3550E5DD-C008-494D-A4D8-2CF73928B78B}"/>
    <cellStyle name="Примечание 3 25 3" xfId="11588" xr:uid="{1F6F308F-CDC3-44F8-91A5-EAA20CE88379}"/>
    <cellStyle name="Примечание 3 25 3 2" xfId="28339" xr:uid="{D88CCE18-17A8-48F5-9BBC-C30EBD01033F}"/>
    <cellStyle name="Примечание 3 25 3 3" xfId="41540" xr:uid="{8588D3B4-FC68-40C8-92D0-4E0D3B27B89D}"/>
    <cellStyle name="Примечание 3 25 4" xfId="22128" xr:uid="{E10DED73-815C-41BB-9EE3-D81C2D0F857B}"/>
    <cellStyle name="Примечание 3 25 5" xfId="35177" xr:uid="{6A789773-22D8-4E4A-8B8C-B56E03769924}"/>
    <cellStyle name="Примечание 3 26" xfId="5287" xr:uid="{AB0324AC-9D5B-4679-BD40-501AFA3A55EF}"/>
    <cellStyle name="Примечание 3 26 2" xfId="9720" xr:uid="{99951C4C-CC29-44F1-BC00-ECB785E1C1C4}"/>
    <cellStyle name="Примечание 3 26 2 2" xfId="10730" xr:uid="{14BC30C8-A782-4286-9DFA-6E3A9B545813}"/>
    <cellStyle name="Примечание 3 26 2 2 2" xfId="27571" xr:uid="{69208D1E-3163-4881-A12E-7503D726DEE7}"/>
    <cellStyle name="Примечание 3 26 2 2 3" xfId="40711" xr:uid="{7EB0BBBB-3D93-4A9F-91BD-006B5270ACB1}"/>
    <cellStyle name="Примечание 3 26 2 3" xfId="27019" xr:uid="{C8BBD44E-9835-4420-A0AF-95D4243D9FE0}"/>
    <cellStyle name="Примечание 3 26 2 4" xfId="40136" xr:uid="{E2142C44-76D0-4D42-AAD9-B88E75C33368}"/>
    <cellStyle name="Примечание 3 26 3" xfId="13959" xr:uid="{B53FF4A9-80CA-4D2C-9CD5-02A50300A554}"/>
    <cellStyle name="Примечание 3 26 3 2" xfId="30346" xr:uid="{B9D44FAF-4B6B-46AF-9B0B-4B674B1D8AA6}"/>
    <cellStyle name="Примечание 3 26 3 3" xfId="43723" xr:uid="{46D0CF39-841A-4C96-8E3D-AFD868BDF8E0}"/>
    <cellStyle name="Примечание 3 26 4" xfId="22938" xr:uid="{5EFFB872-E145-4E14-AD3B-4B83B6014FCF}"/>
    <cellStyle name="Примечание 3 26 5" xfId="36017" xr:uid="{B3899750-691A-48E2-BB5B-9C9823FBDBC4}"/>
    <cellStyle name="Примечание 3 27" xfId="5363" xr:uid="{D67EDBA2-5E3E-4072-AC13-CA26710EE189}"/>
    <cellStyle name="Примечание 3 27 2" xfId="9794" xr:uid="{3735CCE4-6FFA-472C-8F8C-E65C04EB7D2E}"/>
    <cellStyle name="Примечание 3 27 2 2" xfId="10993" xr:uid="{24EBF1A4-6BB2-44B3-AC71-A059DE26F020}"/>
    <cellStyle name="Примечание 3 27 2 2 2" xfId="27800" xr:uid="{81155FEA-ED94-4712-B4B6-DD033E17DD31}"/>
    <cellStyle name="Примечание 3 27 2 2 3" xfId="40973" xr:uid="{DE228773-011A-41CE-AD3E-54BC8D068C4B}"/>
    <cellStyle name="Примечание 3 27 2 3" xfId="27091" xr:uid="{FFE35403-8ED4-4A70-BCCD-0970DD4223A9}"/>
    <cellStyle name="Примечание 3 27 2 4" xfId="40210" xr:uid="{F807DDA1-2970-4D6A-ABE8-1FEDFBD83F68}"/>
    <cellStyle name="Примечание 3 27 3" xfId="15401" xr:uid="{611C4B06-B657-49B4-BB87-1C13C315A415}"/>
    <cellStyle name="Примечание 3 27 3 2" xfId="31555" xr:uid="{8307F749-634D-4187-9BD7-894C68CAAB53}"/>
    <cellStyle name="Примечание 3 27 3 3" xfId="45043" xr:uid="{7FB84433-168E-4A04-B169-105B75CA58A2}"/>
    <cellStyle name="Примечание 3 27 4" xfId="23010" xr:uid="{70AE8DBE-FE57-4E50-9DCA-D03574DC88E5}"/>
    <cellStyle name="Примечание 3 27 5" xfId="36091" xr:uid="{1F2E3CFC-1E73-4425-8F83-9D5E6658BF00}"/>
    <cellStyle name="Примечание 3 28" xfId="10576" xr:uid="{58026EC6-625C-4578-8D7D-5951CA7FC0AA}"/>
    <cellStyle name="Примечание 3 28 2" xfId="17621" xr:uid="{B9093C55-BDB9-4D24-A02B-7CB2EC00DE3B}"/>
    <cellStyle name="Примечание 3 28 2 2" xfId="33356" xr:uid="{88C1E0E5-98E6-4D45-9E7F-C23C85C8FCD2}"/>
    <cellStyle name="Примечание 3 28 2 3" xfId="47146" xr:uid="{E90AD646-E497-4CA6-ACE9-BF6A225F3EDB}"/>
    <cellStyle name="Примечание 3 28 3" xfId="27435" xr:uid="{377B001A-618B-4BBD-99EB-BA60F8110F44}"/>
    <cellStyle name="Примечание 3 28 4" xfId="40557" xr:uid="{9AAC0683-41BD-4C14-9281-199BD58E71BC}"/>
    <cellStyle name="Примечание 3 29" xfId="12076" xr:uid="{18BB5F5A-6EE7-48A8-8E6E-513B66218739}"/>
    <cellStyle name="Примечание 3 29 2" xfId="28776" xr:uid="{4271E286-1161-4261-97D8-2D3EDEAE864C}"/>
    <cellStyle name="Примечание 3 29 3" xfId="41996" xr:uid="{09AFA4EF-E6B4-4B2A-AB14-F2743574D75A}"/>
    <cellStyle name="Примечание 3 3" xfId="3307" xr:uid="{8CAB7700-92CB-4091-AA13-EA5C0DA67A52}"/>
    <cellStyle name="Примечание 3 3 10" xfId="34354" xr:uid="{C557B1D2-C73C-43D5-8D1C-E7F7CCA02790}"/>
    <cellStyle name="Примечание 3 3 2" xfId="2669" xr:uid="{732C1799-9F80-4400-8EA2-58A7479F77E3}"/>
    <cellStyle name="Примечание 3 3 2 2" xfId="7965" xr:uid="{8A91693F-96EE-4D8A-B401-B52C46422943}"/>
    <cellStyle name="Примечание 3 3 2 2 2" xfId="15811" xr:uid="{C1CBF16E-0C2E-4DE0-9D56-9ED3DBEBABC9}"/>
    <cellStyle name="Примечание 3 3 2 2 2 2" xfId="31908" xr:uid="{1D6950F9-CEE3-46A1-8781-733A1D1AC4F1}"/>
    <cellStyle name="Примечание 3 3 2 2 2 3" xfId="45420" xr:uid="{34189E5A-8F30-4E0B-A049-B928F58A7F75}"/>
    <cellStyle name="Примечание 3 3 2 2 3" xfId="25481" xr:uid="{355157D1-0D64-49BD-949B-0C9E6D95185D}"/>
    <cellStyle name="Примечание 3 3 2 2 4" xfId="38557" xr:uid="{7D5D25C7-F5C4-40DB-B1DB-60258986E5F2}"/>
    <cellStyle name="Примечание 3 3 2 3" xfId="6332" xr:uid="{3B19DA6A-8BCC-4B97-9129-E480592877DB}"/>
    <cellStyle name="Примечание 3 3 2 3 2" xfId="13432" xr:uid="{70049BD7-F12E-46B6-8BD8-5E85A5B329BE}"/>
    <cellStyle name="Примечание 3 3 2 3 2 2" xfId="29897" xr:uid="{374D452C-D97E-4C73-BF76-D0554BEDB0CB}"/>
    <cellStyle name="Примечание 3 3 2 3 2 3" xfId="43235" xr:uid="{13992229-1DD0-4CD0-B465-A64E8C9DC271}"/>
    <cellStyle name="Примечание 3 3 2 3 3" xfId="23972" xr:uid="{5725DFE0-9286-4278-8342-834DA12EF056}"/>
    <cellStyle name="Примечание 3 3 2 3 4" xfId="37053" xr:uid="{7220680C-0AC2-430D-B448-75C48F00E845}"/>
    <cellStyle name="Примечание 3 3 2 4" xfId="15826" xr:uid="{B53C01D6-B02D-48BB-964C-B3D3B78BE8BF}"/>
    <cellStyle name="Примечание 3 3 2 4 2" xfId="31920" xr:uid="{408C464A-A2BB-4AA1-B404-112722E75CE6}"/>
    <cellStyle name="Примечание 3 3 2 4 3" xfId="45432" xr:uid="{0E1A0F8E-0577-44FF-ACD9-1BB704C22E93}"/>
    <cellStyle name="Примечание 3 3 2 5" xfId="20724" xr:uid="{C02231B3-0F60-49A5-8D56-BBCBBFD95A79}"/>
    <cellStyle name="Примечание 3 3 2 6" xfId="33747" xr:uid="{8773992A-7C23-4547-A24C-BB39722AE78B}"/>
    <cellStyle name="Примечание 3 3 3" xfId="4087" xr:uid="{E831DAC4-12C4-469A-8027-0FA778975439}"/>
    <cellStyle name="Примечание 3 3 3 2" xfId="9139" xr:uid="{8AC97B35-AC03-4776-9F86-76EBAB626748}"/>
    <cellStyle name="Примечание 3 3 3 2 2" xfId="16344" xr:uid="{851B2130-E719-4737-B8F9-893B01F5ABA4}"/>
    <cellStyle name="Примечание 3 3 3 2 2 2" xfId="32367" xr:uid="{5E1E4C25-A22D-4B99-9451-9A6234BC5827}"/>
    <cellStyle name="Примечание 3 3 3 2 2 3" xfId="45899" xr:uid="{58E8694C-3246-4F06-B753-72D5FF0D9E35}"/>
    <cellStyle name="Примечание 3 3 3 2 3" xfId="26620" xr:uid="{4F759A7D-A5E6-4085-92E0-FE73943BB8F6}"/>
    <cellStyle name="Примечание 3 3 3 2 4" xfId="39696" xr:uid="{E36CA99C-735F-4C3B-9D02-0891306BC65E}"/>
    <cellStyle name="Примечание 3 3 3 3" xfId="7651" xr:uid="{B58290EE-A7F2-4785-8B8D-FF5E03685A71}"/>
    <cellStyle name="Примечание 3 3 3 3 2" xfId="10680" xr:uid="{09616BCA-52F9-4631-AA55-89DFC3245C35}"/>
    <cellStyle name="Примечание 3 3 3 3 2 2" xfId="27530" xr:uid="{7931F02F-AC15-4861-86AB-71EB57A84E27}"/>
    <cellStyle name="Примечание 3 3 3 3 2 3" xfId="40661" xr:uid="{2DC7E92B-0DC1-4939-85A7-3BEEC95840BA}"/>
    <cellStyle name="Примечание 3 3 3 3 3" xfId="25179" xr:uid="{518399CB-17FB-4BA0-982D-8F2F65E565B1}"/>
    <cellStyle name="Примечание 3 3 3 3 4" xfId="38255" xr:uid="{6FE599D7-8DD4-4631-9C74-0858A9F1C2E9}"/>
    <cellStyle name="Примечание 3 3 3 4" xfId="17573" xr:uid="{76437185-E890-4A70-A7A6-9D284B36CC2C}"/>
    <cellStyle name="Примечание 3 3 3 4 2" xfId="33310" xr:uid="{ECEDC794-CE59-484D-AF9F-9D3042800433}"/>
    <cellStyle name="Примечание 3 3 3 4 3" xfId="47098" xr:uid="{AF6164C6-9ACB-480C-A0BF-EA88C3FF904E}"/>
    <cellStyle name="Примечание 3 3 3 5" xfId="21920" xr:uid="{5A63217E-0482-4D2F-A90C-89699C93C3D5}"/>
    <cellStyle name="Примечание 3 3 3 6" xfId="34969" xr:uid="{D8DDD61B-BF09-4F60-849D-3587A5A1C667}"/>
    <cellStyle name="Примечание 3 3 4" xfId="2569" xr:uid="{CF0E458B-7F31-4093-9B8F-625B1B29D11D}"/>
    <cellStyle name="Примечание 3 3 4 2" xfId="7866" xr:uid="{C50D7890-14CB-4457-AC2B-8FB0642A5B5F}"/>
    <cellStyle name="Примечание 3 3 4 2 2" xfId="17369" xr:uid="{9B3C2C2E-7B37-41E5-A263-F98EC06D1BEC}"/>
    <cellStyle name="Примечание 3 3 4 2 2 2" xfId="33123" xr:uid="{F4B3C055-0985-49BB-8857-0918B37DD082}"/>
    <cellStyle name="Примечание 3 3 4 2 2 3" xfId="46899" xr:uid="{83084F88-9F2B-479E-887F-AF3270F9AC26}"/>
    <cellStyle name="Примечание 3 3 4 2 3" xfId="25385" xr:uid="{D526BB24-9E04-44B8-A35C-BCA44951E924}"/>
    <cellStyle name="Примечание 3 3 4 2 4" xfId="38461" xr:uid="{A62228F0-1028-4936-A5A0-9B50E9EF93F3}"/>
    <cellStyle name="Примечание 3 3 4 3" xfId="6233" xr:uid="{977CF51F-1FD0-4368-9A63-5676BD203054}"/>
    <cellStyle name="Примечание 3 3 4 3 2" xfId="13765" xr:uid="{75891D5F-762F-4FAB-B61C-C9C584A9D29D}"/>
    <cellStyle name="Примечание 3 3 4 3 2 2" xfId="30175" xr:uid="{0AF47387-2743-46F9-919A-60BC299C704A}"/>
    <cellStyle name="Примечание 3 3 4 3 2 3" xfId="43538" xr:uid="{16950A6E-5F7F-4D34-81A8-69BE4A75A185}"/>
    <cellStyle name="Примечание 3 3 4 3 3" xfId="23876" xr:uid="{B5060A63-111A-4463-85FE-C43C0EA9AF5F}"/>
    <cellStyle name="Примечание 3 3 4 3 4" xfId="36957" xr:uid="{51B92DA0-B9FD-407F-8E80-4B1AD6B22105}"/>
    <cellStyle name="Примечание 3 3 4 4" xfId="14618" xr:uid="{32E64178-F3C2-4CAA-9366-179A0C9BA176}"/>
    <cellStyle name="Примечание 3 3 4 4 2" xfId="30916" xr:uid="{8BD37260-F1BE-461E-AB87-584C3B263B5B}"/>
    <cellStyle name="Примечание 3 3 4 4 3" xfId="44337" xr:uid="{9B19C2D3-2F67-459F-8AF2-C2E96DD51832}"/>
    <cellStyle name="Примечание 3 3 4 5" xfId="20628" xr:uid="{4D5371BF-F026-4298-B374-5FA589B25A6D}"/>
    <cellStyle name="Примечание 3 3 4 6" xfId="33651" xr:uid="{4F9DFA99-10A6-4E5B-96AE-605516C00415}"/>
    <cellStyle name="Примечание 3 3 5" xfId="4256" xr:uid="{F7986A60-88A5-4031-9FF0-33522C6D3295}"/>
    <cellStyle name="Примечание 3 3 5 2" xfId="9308" xr:uid="{A2AC8962-5D12-4E93-9361-26BFB0213BF6}"/>
    <cellStyle name="Примечание 3 3 5 2 2" xfId="13874" xr:uid="{C0A0F252-125D-42FA-B561-4AD3720EDA55}"/>
    <cellStyle name="Примечание 3 3 5 2 2 2" xfId="30271" xr:uid="{6C38DAAD-91E7-4370-9522-3628ADB50488}"/>
    <cellStyle name="Примечание 3 3 5 2 2 3" xfId="43643" xr:uid="{13CDC644-0419-4B4B-A92C-CB650DCFE3BC}"/>
    <cellStyle name="Примечание 3 3 5 2 3" xfId="26781" xr:uid="{B30787F2-A149-498E-89FC-DD45071022D2}"/>
    <cellStyle name="Примечание 3 3 5 2 4" xfId="39857" xr:uid="{A534C635-19E2-4116-AA7F-9B88ABD366CC}"/>
    <cellStyle name="Примечание 3 3 5 3" xfId="7820" xr:uid="{547AF9EC-3C1B-4855-96C9-9164A2781DB6}"/>
    <cellStyle name="Примечание 3 3 5 3 2" xfId="10808" xr:uid="{7D289061-68F2-4256-A316-0D205F04A3D8}"/>
    <cellStyle name="Примечание 3 3 5 3 2 2" xfId="27641" xr:uid="{64FF2F1C-FABA-40A1-B218-31065BEF2E9F}"/>
    <cellStyle name="Примечание 3 3 5 3 2 3" xfId="40789" xr:uid="{165C81E6-0D1A-4009-9A59-91E478282367}"/>
    <cellStyle name="Примечание 3 3 5 3 3" xfId="25340" xr:uid="{92797AC5-C873-40F0-966E-E920A2AD3330}"/>
    <cellStyle name="Примечание 3 3 5 3 4" xfId="38416" xr:uid="{DBF9F7A6-7F30-4D59-BA4D-33B684ACD8A3}"/>
    <cellStyle name="Примечание 3 3 5 4" xfId="14643" xr:uid="{B8209CBD-121D-4F3C-A2C6-05E5538C63DB}"/>
    <cellStyle name="Примечание 3 3 5 4 2" xfId="30939" xr:uid="{A83A54E5-EFAD-4701-A853-1C02D17CB120}"/>
    <cellStyle name="Примечание 3 3 5 4 3" xfId="44360" xr:uid="{1BF6479B-AEB7-4954-9962-01A2DCA54E5C}"/>
    <cellStyle name="Примечание 3 3 5 5" xfId="22081" xr:uid="{27F9C2F2-D99F-4BBD-86FD-AA76A322C347}"/>
    <cellStyle name="Примечание 3 3 5 6" xfId="35130" xr:uid="{8090A768-866D-4211-BC31-02F3A57FA4E0}"/>
    <cellStyle name="Примечание 3 3 6" xfId="4338" xr:uid="{15A69B71-43DA-4926-B5D5-9C16C9ACFF63}"/>
    <cellStyle name="Примечание 3 3 6 2" xfId="6957" xr:uid="{32E175E7-7D19-4055-BFB8-FD90F73FAD7B}"/>
    <cellStyle name="Примечание 3 3 6 2 2" xfId="14714" xr:uid="{EB9E7413-441E-4138-9C44-C2DEF0F3EA27}"/>
    <cellStyle name="Примечание 3 3 6 2 2 2" xfId="31001" xr:uid="{20AE9D68-D69A-4762-9C0F-5DB97D4E2B65}"/>
    <cellStyle name="Примечание 3 3 6 2 2 3" xfId="44424" xr:uid="{C019C8EA-E7AB-42B7-938E-7035381A5FBA}"/>
    <cellStyle name="Примечание 3 3 6 2 3" xfId="24579" xr:uid="{6050E80B-FA54-4B9E-9EB0-B327E907EC80}"/>
    <cellStyle name="Примечание 3 3 6 2 4" xfId="37660" xr:uid="{ED47DCCE-04F4-40BA-9E8B-7984AC682C59}"/>
    <cellStyle name="Примечание 3 3 6 3" xfId="11337" xr:uid="{09AE1050-7119-407E-A759-F563AD201CD6}"/>
    <cellStyle name="Примечание 3 3 6 3 2" xfId="28116" xr:uid="{A59979F6-8B48-4462-82C2-7BD29584BC7F}"/>
    <cellStyle name="Примечание 3 3 6 3 3" xfId="41304" xr:uid="{57B286CA-63CF-4B4C-9310-B4BBE005EB00}"/>
    <cellStyle name="Примечание 3 3 6 4" xfId="22158" xr:uid="{E94A32C0-1B74-4BAD-8613-B9511B052F68}"/>
    <cellStyle name="Примечание 3 3 6 5" xfId="35207" xr:uid="{3EEA3C8E-F63E-47D8-B330-BA195042D39C}"/>
    <cellStyle name="Примечание 3 3 7" xfId="5393" xr:uid="{2A252D00-DC72-4C6E-BFE5-3BCB1F3F1495}"/>
    <cellStyle name="Примечание 3 3 7 2" xfId="8570" xr:uid="{A44BFA20-D25D-47A8-93A8-290F65A786E1}"/>
    <cellStyle name="Примечание 3 3 7 2 2" xfId="16403" xr:uid="{7E9273AA-1062-4EBD-83BA-88452CC781DF}"/>
    <cellStyle name="Примечание 3 3 7 2 2 2" xfId="32419" xr:uid="{52F5517A-8713-4737-B817-EFC6763484E2}"/>
    <cellStyle name="Примечание 3 3 7 2 2 3" xfId="45954" xr:uid="{7EAC6B9D-BDD9-4389-87EC-B2185FCB1370}"/>
    <cellStyle name="Примечание 3 3 7 2 3" xfId="26068" xr:uid="{B94A9E19-A682-4A76-B941-A9D2D329C723}"/>
    <cellStyle name="Примечание 3 3 7 2 4" xfId="39144" xr:uid="{C26B777B-A7D8-4E0D-B733-3596589A3F6E}"/>
    <cellStyle name="Примечание 3 3 7 3" xfId="14494" xr:uid="{DFA593BC-2836-44C7-ABAA-AB2741E2E8F9}"/>
    <cellStyle name="Примечание 3 3 7 3 2" xfId="30817" xr:uid="{402CEFBC-5BA9-4FC0-AEE1-5A40D3ED8F67}"/>
    <cellStyle name="Примечание 3 3 7 3 3" xfId="44223" xr:uid="{2540B289-3407-4732-A9F6-320EA0A49D60}"/>
    <cellStyle name="Примечание 3 3 7 4" xfId="23040" xr:uid="{8E86653A-DDAC-47D1-9DCB-B19907599823}"/>
    <cellStyle name="Примечание 3 3 7 5" xfId="36121" xr:uid="{A42F3925-1746-4C19-A881-3CAC9EABDC2F}"/>
    <cellStyle name="Примечание 3 3 8" xfId="11377" xr:uid="{22153947-5F28-4631-AF9A-198089D7C833}"/>
    <cellStyle name="Примечание 3 3 8 2" xfId="28151" xr:uid="{AAD5DE16-ED61-41A3-8F53-0AFB7022191C}"/>
    <cellStyle name="Примечание 3 3 8 3" xfId="41340" xr:uid="{B769A93F-E312-4E65-9190-B92411A5BC1F}"/>
    <cellStyle name="Примечание 3 3 9" xfId="21331" xr:uid="{0CC5BCBF-6E1B-45E7-A4CE-03C6CFC15C16}"/>
    <cellStyle name="Примечание 3 30" xfId="14241" xr:uid="{FDE4539E-309B-45FE-B6B9-0F5640D9CBD2}"/>
    <cellStyle name="Примечание 3 30 2" xfId="30586" xr:uid="{54CA741C-F334-4531-9C5F-F757E4A13FD1}"/>
    <cellStyle name="Примечание 3 30 3" xfId="43978" xr:uid="{B345B63C-BBF6-42C2-AA65-E0591712ADB8}"/>
    <cellStyle name="Примечание 3 31" xfId="15319" xr:uid="{E660D261-2223-4010-801C-689F75A8B818}"/>
    <cellStyle name="Примечание 3 31 2" xfId="31480" xr:uid="{8FEA5F26-6706-45A4-A0D2-ECEC531435C4}"/>
    <cellStyle name="Примечание 3 31 3" xfId="44965" xr:uid="{CEB260EF-33A0-43B6-8CDC-5B0FF8D5A5C3}"/>
    <cellStyle name="Примечание 3 32" xfId="17675" xr:uid="{B40C81BF-C017-4C10-A392-37FE9682D483}"/>
    <cellStyle name="Примечание 3 32 2" xfId="33398" xr:uid="{24C66F0E-7BD7-4130-A2AD-6F4EEE9BB485}"/>
    <cellStyle name="Примечание 3 32 3" xfId="47187" xr:uid="{3601B801-8E27-45E2-9F43-AE8BCD7194EB}"/>
    <cellStyle name="Примечание 3 33" xfId="33577" xr:uid="{EBD196B0-D0D3-416D-B793-6EA73E40A3C3}"/>
    <cellStyle name="Примечание 3 4" xfId="3517" xr:uid="{4F2419DD-3795-44AF-BEE5-7D3B8457D791}"/>
    <cellStyle name="Примечание 3 4 10" xfId="34532" xr:uid="{C84135F8-E363-4503-BF0F-2DC82298A683}"/>
    <cellStyle name="Примечание 3 4 2" xfId="2858" xr:uid="{C63AFAF4-8081-4684-B0CB-259473FBAA63}"/>
    <cellStyle name="Примечание 3 4 2 2" xfId="8154" xr:uid="{E994610C-9291-44CF-9F17-C48B33FAD683}"/>
    <cellStyle name="Примечание 3 4 2 2 2" xfId="13453" xr:uid="{26CD4511-9637-4FE7-9525-0C868AA2AF45}"/>
    <cellStyle name="Примечание 3 4 2 2 2 2" xfId="29917" xr:uid="{756A3F39-5059-4428-9DC6-8E76ADBAE0D8}"/>
    <cellStyle name="Примечание 3 4 2 2 2 3" xfId="43255" xr:uid="{4AF556C7-DC3B-4472-8DE5-8CE87A07DB2F}"/>
    <cellStyle name="Примечание 3 4 2 2 3" xfId="25665" xr:uid="{D4809143-7CAE-4C5A-85E3-E7D811820421}"/>
    <cellStyle name="Примечание 3 4 2 2 4" xfId="38741" xr:uid="{DAE2FAA9-24F2-43B6-AFF1-ECC31F47F8E4}"/>
    <cellStyle name="Примечание 3 4 2 3" xfId="6521" xr:uid="{F48AFE79-537A-4F82-8348-A0AB45DE4BF6}"/>
    <cellStyle name="Примечание 3 4 2 3 2" xfId="14843" xr:uid="{C718AE62-0252-4006-BFBC-1B195E7C6704}"/>
    <cellStyle name="Примечание 3 4 2 3 2 2" xfId="31100" xr:uid="{0EA71DFF-9ECA-4D6A-BF07-DECAFE835FC1}"/>
    <cellStyle name="Примечание 3 4 2 3 2 3" xfId="44538" xr:uid="{E14129C2-330A-4C1E-B364-C427308B6254}"/>
    <cellStyle name="Примечание 3 4 2 3 3" xfId="24156" xr:uid="{EB831151-9CEE-42C6-BF2E-86C62608CA44}"/>
    <cellStyle name="Примечание 3 4 2 3 4" xfId="37237" xr:uid="{1DC605CD-C822-4CD0-B37F-27034A229B82}"/>
    <cellStyle name="Примечание 3 4 2 4" xfId="14109" xr:uid="{22644A51-141F-4801-8712-3EB028255F01}"/>
    <cellStyle name="Примечание 3 4 2 4 2" xfId="30476" xr:uid="{A5B3E0FD-E5F0-468F-AC91-4499F2E627EC}"/>
    <cellStyle name="Примечание 3 4 2 4 3" xfId="43859" xr:uid="{CB9079DC-B25E-4B41-9289-FAA6B23F94C7}"/>
    <cellStyle name="Примечание 3 4 2 5" xfId="20908" xr:uid="{91827C48-2998-482F-A920-5F182DF61FD5}"/>
    <cellStyle name="Примечание 3 4 2 6" xfId="33931" xr:uid="{64019AEA-6298-461C-9CFB-65B3F823957C}"/>
    <cellStyle name="Примечание 3 4 3" xfId="4194" xr:uid="{38EA8464-6A51-4811-8EBC-5F5AF4A6923F}"/>
    <cellStyle name="Примечание 3 4 3 2" xfId="9246" xr:uid="{618ACEA9-2A4E-4F3F-95EA-A46CEBB27431}"/>
    <cellStyle name="Примечание 3 4 3 2 2" xfId="16299" xr:uid="{625F622B-24A2-457B-9773-39B6CFDCBB59}"/>
    <cellStyle name="Примечание 3 4 3 2 2 2" xfId="32327" xr:uid="{4147EDFD-2DF4-4024-BBE1-8C810CA0817B}"/>
    <cellStyle name="Примечание 3 4 3 2 2 3" xfId="45858" xr:uid="{D681329E-ADE0-435B-A7EA-45D141DFD31D}"/>
    <cellStyle name="Примечание 3 4 3 2 3" xfId="26721" xr:uid="{DB8B3C13-3B6F-40BD-B6C3-BA204E244AB7}"/>
    <cellStyle name="Примечание 3 4 3 2 4" xfId="39797" xr:uid="{B61692EB-5B24-48C0-8795-E6B75EC7F1B6}"/>
    <cellStyle name="Примечание 3 4 3 3" xfId="7758" xr:uid="{EC47A300-F8EC-4831-A3A3-8C253EBD2702}"/>
    <cellStyle name="Примечание 3 4 3 3 2" xfId="14482" xr:uid="{8D5EE2B6-6FF6-4272-BCC4-6861BB5F7257}"/>
    <cellStyle name="Примечание 3 4 3 3 2 2" xfId="30805" xr:uid="{720969B4-1B56-426C-A064-3BFC40705751}"/>
    <cellStyle name="Примечание 3 4 3 3 2 3" xfId="44211" xr:uid="{DD1FAFCC-0FBE-4CB4-ACB7-3385A1D0D0DC}"/>
    <cellStyle name="Примечание 3 4 3 3 3" xfId="25280" xr:uid="{B3FE6FF3-9D7B-45EC-A4C0-B9A6C610064D}"/>
    <cellStyle name="Примечание 3 4 3 3 4" xfId="38356" xr:uid="{EB1D93F4-8105-452F-BD5A-41FA5F8EC1AE}"/>
    <cellStyle name="Примечание 3 4 3 4" xfId="17163" xr:uid="{7411B94B-677D-4C5D-A7A4-75495BA6FABA}"/>
    <cellStyle name="Примечание 3 4 3 4 2" xfId="32926" xr:uid="{A9E306F1-B64B-468F-A1D7-658A18D9095D}"/>
    <cellStyle name="Примечание 3 4 3 4 3" xfId="46698" xr:uid="{B30C1BE2-D6D3-4053-9CA9-8799816A1FE0}"/>
    <cellStyle name="Примечание 3 4 3 5" xfId="22021" xr:uid="{CEA8BB2B-63A0-459C-8E31-522D58AB3285}"/>
    <cellStyle name="Примечание 3 4 3 6" xfId="35070" xr:uid="{1E1D441D-3DC1-45A1-B7F6-CE1431B055FF}"/>
    <cellStyle name="Примечание 3 4 4" xfId="3091" xr:uid="{FC7DB426-C075-40FD-8CA5-ACB985CEBA66}"/>
    <cellStyle name="Примечание 3 4 4 2" xfId="8383" xr:uid="{9B8922DA-2087-42D9-BF4F-C9897C1553BB}"/>
    <cellStyle name="Примечание 3 4 4 2 2" xfId="14519" xr:uid="{024DD893-C34A-4776-AD3E-823DB5AFA1BA}"/>
    <cellStyle name="Примечание 3 4 4 2 2 2" xfId="30836" xr:uid="{E609A88F-6837-471D-8E4D-320FFA850E8E}"/>
    <cellStyle name="Примечание 3 4 4 2 2 3" xfId="44247" xr:uid="{151C3D46-8FE6-4487-ABEA-E5988ACF2E3B}"/>
    <cellStyle name="Примечание 3 4 4 2 3" xfId="25886" xr:uid="{5D1F7EE6-DC24-4E75-BC91-283C0293B40E}"/>
    <cellStyle name="Примечание 3 4 4 2 4" xfId="38962" xr:uid="{5CF2B6A7-0F5D-47CA-A10D-06616F88854C}"/>
    <cellStyle name="Примечание 3 4 4 3" xfId="6750" xr:uid="{3D692748-D457-4641-8999-811F668C3085}"/>
    <cellStyle name="Примечание 3 4 4 3 2" xfId="10578" xr:uid="{DD8EB5D8-582A-4DE6-9AC0-92B0832E3A64}"/>
    <cellStyle name="Примечание 3 4 4 3 2 2" xfId="27437" xr:uid="{BAC905DC-CA44-4367-A41C-2811D8EF9B92}"/>
    <cellStyle name="Примечание 3 4 4 3 2 3" xfId="40559" xr:uid="{BD902362-6B56-4D13-9498-21FE284805EA}"/>
    <cellStyle name="Примечание 3 4 4 3 3" xfId="24377" xr:uid="{6A1B6B96-1658-4081-8B49-D730CE0A52F6}"/>
    <cellStyle name="Примечание 3 4 4 3 4" xfId="37458" xr:uid="{08246302-CCDD-4A5D-A875-8DB9217F1010}"/>
    <cellStyle name="Примечание 3 4 4 4" xfId="11356" xr:uid="{5DC7B350-27FA-4367-9616-6F2946EF7E30}"/>
    <cellStyle name="Примечание 3 4 4 4 2" xfId="28135" xr:uid="{28AF2FD7-B441-402D-A113-86188D0DE2DC}"/>
    <cellStyle name="Примечание 3 4 4 4 3" xfId="41323" xr:uid="{92285A11-A092-4B19-B140-AF610AFC170E}"/>
    <cellStyle name="Примечание 3 4 4 5" xfId="21129" xr:uid="{52A66391-E401-43E8-B204-73DA0796E02C}"/>
    <cellStyle name="Примечание 3 4 4 6" xfId="34152" xr:uid="{2319D465-C2F7-4716-80E7-2463B1182C97}"/>
    <cellStyle name="Примечание 3 4 5" xfId="4240" xr:uid="{CD15DAD2-2F00-469F-8871-3B626E923C18}"/>
    <cellStyle name="Примечание 3 4 5 2" xfId="9292" xr:uid="{5A21753C-FED6-4EBC-A4E7-A1C92C76DF1D}"/>
    <cellStyle name="Примечание 3 4 5 2 2" xfId="14523" xr:uid="{0CF04195-7C83-4042-AC3B-5D488F7A93C4}"/>
    <cellStyle name="Примечание 3 4 5 2 2 2" xfId="30839" xr:uid="{A70E5539-A9E1-415F-A67D-6FB85B4C87BD}"/>
    <cellStyle name="Примечание 3 4 5 2 2 3" xfId="44250" xr:uid="{05DCF542-2B35-46B8-BE71-095A2A75A532}"/>
    <cellStyle name="Примечание 3 4 5 2 3" xfId="26765" xr:uid="{AF07B11C-A3FC-4070-A373-D5E28C9FD654}"/>
    <cellStyle name="Примечание 3 4 5 2 4" xfId="39841" xr:uid="{10BF54F8-6739-4E8A-95D9-D0439AD4B631}"/>
    <cellStyle name="Примечание 3 4 5 3" xfId="7804" xr:uid="{77D7A79A-7746-4749-A29B-2B91D79FA768}"/>
    <cellStyle name="Примечание 3 4 5 3 2" xfId="12815" xr:uid="{90EAD875-7A94-44EF-8CD1-90F16C9773C3}"/>
    <cellStyle name="Примечание 3 4 5 3 2 2" xfId="29388" xr:uid="{0FD21B45-73B1-4F68-9DEC-20E386417197}"/>
    <cellStyle name="Примечание 3 4 5 3 2 3" xfId="42669" xr:uid="{AE2BCF90-6E95-4423-9174-7231C735D335}"/>
    <cellStyle name="Примечание 3 4 5 3 3" xfId="25324" xr:uid="{541F1514-27C2-4EB4-8CCB-FA528E264368}"/>
    <cellStyle name="Примечание 3 4 5 3 4" xfId="38400" xr:uid="{511D4A7B-27AD-4529-B54A-9260F9E4F4EA}"/>
    <cellStyle name="Примечание 3 4 5 4" xfId="11210" xr:uid="{A35CD255-7853-4496-9A71-32A4334A30C9}"/>
    <cellStyle name="Примечание 3 4 5 4 2" xfId="28004" xr:uid="{0ACA54EB-9167-4CA8-B92F-F38217AED393}"/>
    <cellStyle name="Примечание 3 4 5 4 3" xfId="41186" xr:uid="{2BE73533-453D-4CDC-A02E-CF6AC5A1B833}"/>
    <cellStyle name="Примечание 3 4 5 5" xfId="22065" xr:uid="{279E88AB-D7BF-4244-8A55-11FA3818217C}"/>
    <cellStyle name="Примечание 3 4 5 6" xfId="35114" xr:uid="{BCE0C5FB-607E-415D-B3BD-52EA1026E27F}"/>
    <cellStyle name="Примечание 3 4 6" xfId="4518" xr:uid="{276F8B84-A3AD-4037-847D-AED03415A0A5}"/>
    <cellStyle name="Примечание 3 4 6 2" xfId="7159" xr:uid="{50A2B205-FAE8-4F7C-86CC-84F9B8F2B3AD}"/>
    <cellStyle name="Примечание 3 4 6 2 2" xfId="13996" xr:uid="{2F32D0ED-768A-4CE3-A5B2-04CFF34DCF52}"/>
    <cellStyle name="Примечание 3 4 6 2 2 2" xfId="30380" xr:uid="{69D41A19-DE35-438C-B914-6ED9B06FE7E5}"/>
    <cellStyle name="Примечание 3 4 6 2 2 3" xfId="43758" xr:uid="{987A1F14-9A49-49B5-B506-11512333F97B}"/>
    <cellStyle name="Примечание 3 4 6 2 3" xfId="24757" xr:uid="{D721E97A-3484-4B9D-A1F4-159E2519C797}"/>
    <cellStyle name="Примечание 3 4 6 2 4" xfId="37838" xr:uid="{5A99C515-C8BC-43EF-98A1-C9403B48CA12}"/>
    <cellStyle name="Примечание 3 4 6 3" xfId="12391" xr:uid="{F623C81F-E10C-442C-8403-67F79082266D}"/>
    <cellStyle name="Примечание 3 4 6 3 2" xfId="29056" xr:uid="{080568C7-88E8-4032-B926-82E4BEE5886E}"/>
    <cellStyle name="Примечание 3 4 6 3 3" xfId="42297" xr:uid="{BA216BF9-3360-475A-BE47-FB92C928FD9B}"/>
    <cellStyle name="Примечание 3 4 6 4" xfId="22336" xr:uid="{D2720577-3182-4133-AD6A-E176180468CE}"/>
    <cellStyle name="Примечание 3 4 6 5" xfId="35385" xr:uid="{704871A4-5EB3-4013-AC99-2A2EEBDB02F0}"/>
    <cellStyle name="Примечание 3 4 7" xfId="5571" xr:uid="{883001E3-5351-40C4-A325-A55E0D40CFAC}"/>
    <cellStyle name="Примечание 3 4 7 2" xfId="8753" xr:uid="{30A7EF61-AB79-4A02-A5F8-E925FB1DF2C4}"/>
    <cellStyle name="Примечание 3 4 7 2 2" xfId="16065" xr:uid="{E496F547-E7FF-4350-9102-46E3726EC2C2}"/>
    <cellStyle name="Примечание 3 4 7 2 2 2" xfId="32125" xr:uid="{53E3B787-082C-4491-B408-D5BFFB893860}"/>
    <cellStyle name="Примечание 3 4 7 2 2 3" xfId="45645" xr:uid="{6CE295F3-E591-42D2-89A5-416993C3859F}"/>
    <cellStyle name="Примечание 3 4 7 2 3" xfId="26246" xr:uid="{62F8C1D2-4484-451B-9AED-30500A5A0C2A}"/>
    <cellStyle name="Примечание 3 4 7 2 4" xfId="39322" xr:uid="{4C20D859-8226-483A-9CB8-1469B70613A0}"/>
    <cellStyle name="Примечание 3 4 7 3" xfId="16185" xr:uid="{7DDECE7F-2A28-49B7-8193-D8A704144FE0}"/>
    <cellStyle name="Примечание 3 4 7 3 2" xfId="32230" xr:uid="{D4BF2DC8-3C49-44EB-AA50-53470A96E14D}"/>
    <cellStyle name="Примечание 3 4 7 3 3" xfId="45753" xr:uid="{53E62407-3C69-444F-A4AC-8DFED0BE027C}"/>
    <cellStyle name="Примечание 3 4 7 4" xfId="23218" xr:uid="{434E545A-51D3-4C88-9B21-FC3C7482C36C}"/>
    <cellStyle name="Примечание 3 4 7 5" xfId="36299" xr:uid="{F379B3F1-4DFC-46D1-B0E5-1FB734CDD3D2}"/>
    <cellStyle name="Примечание 3 4 8" xfId="11267" xr:uid="{F1B65361-29E1-4BD7-863B-DEB9624ED619}"/>
    <cellStyle name="Примечание 3 4 8 2" xfId="28054" xr:uid="{FFFC2EF2-C012-440F-8143-E688BFE2324E}"/>
    <cellStyle name="Примечание 3 4 8 3" xfId="41236" xr:uid="{92A7B614-9057-4F61-BD9A-9DDEFB17927D}"/>
    <cellStyle name="Примечание 3 4 9" xfId="21480" xr:uid="{731A81A3-EC58-45C8-A41E-C95017160233}"/>
    <cellStyle name="Примечание 3 5" xfId="3493" xr:uid="{D212A125-54D0-45B9-8E13-717AD7FAE355}"/>
    <cellStyle name="Примечание 3 5 2" xfId="2835" xr:uid="{B1177B36-9EB5-4520-87CA-8BD55B1D882B}"/>
    <cellStyle name="Примечание 3 5 2 2" xfId="8131" xr:uid="{BB762544-61FA-449A-BCD0-A9B4A1BE6D62}"/>
    <cellStyle name="Примечание 3 5 2 2 2" xfId="16751" xr:uid="{FAA20D6B-040B-4CC1-9D21-F69A79E3AD8C}"/>
    <cellStyle name="Примечание 3 5 2 2 2 2" xfId="32633" xr:uid="{B0F236C6-CDFD-45FC-BF4C-1ECE4AE42765}"/>
    <cellStyle name="Примечание 3 5 2 2 2 3" xfId="46294" xr:uid="{43631C80-9DF6-407B-B61E-A0B903E23EB8}"/>
    <cellStyle name="Примечание 3 5 2 2 3" xfId="25642" xr:uid="{BDE98C60-2E4D-4D57-8E66-1C1CDF8777F7}"/>
    <cellStyle name="Примечание 3 5 2 2 4" xfId="38718" xr:uid="{50301972-AB16-44B4-8072-F0C152AA2E0C}"/>
    <cellStyle name="Примечание 3 5 2 3" xfId="6498" xr:uid="{883AF5C6-F758-45B2-AB14-A2324C02DFB4}"/>
    <cellStyle name="Примечание 3 5 2 3 2" xfId="11026" xr:uid="{1AE47726-75AC-4222-8415-4A346F05ED78}"/>
    <cellStyle name="Примечание 3 5 2 3 2 2" xfId="27833" xr:uid="{5390923B-8632-4BBB-817D-9C8A5D3FB39D}"/>
    <cellStyle name="Примечание 3 5 2 3 2 3" xfId="41006" xr:uid="{AE432B71-5B6B-49C6-9179-429A42915182}"/>
    <cellStyle name="Примечание 3 5 2 3 3" xfId="24133" xr:uid="{6D2B3D04-AED2-4EBE-A089-88972D5005B3}"/>
    <cellStyle name="Примечание 3 5 2 3 4" xfId="37214" xr:uid="{027EAD84-0F39-47F4-8B66-EB8A078369F6}"/>
    <cellStyle name="Примечание 3 5 2 4" xfId="13495" xr:uid="{480BB84B-38C4-47B4-8A95-192E86347CC7}"/>
    <cellStyle name="Примечание 3 5 2 4 2" xfId="29955" xr:uid="{3374FA91-1CEA-40B7-AC84-B35C6EAEE619}"/>
    <cellStyle name="Примечание 3 5 2 4 3" xfId="43295" xr:uid="{9722CA87-42D8-43BF-826A-F01B75B35BA5}"/>
    <cellStyle name="Примечание 3 5 2 5" xfId="20885" xr:uid="{DF855661-E832-43B5-8567-AF1EECC118F2}"/>
    <cellStyle name="Примечание 3 5 2 6" xfId="33908" xr:uid="{86643680-5FFB-4FA4-80F1-0D7672EC9319}"/>
    <cellStyle name="Примечание 3 5 3" xfId="4495" xr:uid="{456A7861-6F2B-41FF-9C49-781610878512}"/>
    <cellStyle name="Примечание 3 5 3 2" xfId="7135" xr:uid="{786D1F35-54FA-4850-9908-A5BE2F79AFC7}"/>
    <cellStyle name="Примечание 3 5 3 2 2" xfId="10621" xr:uid="{6C2E6768-996C-481E-9C85-4544E469196D}"/>
    <cellStyle name="Примечание 3 5 3 2 2 2" xfId="27480" xr:uid="{FA067CB8-A199-4FA1-8BEE-6A57FDEE6C19}"/>
    <cellStyle name="Примечание 3 5 3 2 2 3" xfId="40602" xr:uid="{93360866-2C42-43EB-9168-6774FD74EDBE}"/>
    <cellStyle name="Примечание 3 5 3 2 3" xfId="24734" xr:uid="{A8A4B175-2197-4A13-A6CA-CAFE116C43B7}"/>
    <cellStyle name="Примечание 3 5 3 2 4" xfId="37815" xr:uid="{52F61749-11D4-430A-A531-ECFB23EB5B75}"/>
    <cellStyle name="Примечание 3 5 3 3" xfId="14449" xr:uid="{BC615B14-C054-4301-AA4A-18104D2F713C}"/>
    <cellStyle name="Примечание 3 5 3 3 2" xfId="30777" xr:uid="{14DAD9B3-AA98-4CCE-9088-0177F75E5B55}"/>
    <cellStyle name="Примечание 3 5 3 3 3" xfId="44178" xr:uid="{6C717E29-A983-4154-A1B4-E20A8C987639}"/>
    <cellStyle name="Примечание 3 5 3 4" xfId="22313" xr:uid="{A789C030-416D-4666-B317-1876A413C0B8}"/>
    <cellStyle name="Примечание 3 5 3 5" xfId="35362" xr:uid="{36CDC1B0-D87B-4AAF-B4AD-D6F95C177DFA}"/>
    <cellStyle name="Примечание 3 5 4" xfId="5548" xr:uid="{BE29B648-50C2-4336-8E9D-19311E44C70E}"/>
    <cellStyle name="Примечание 3 5 4 2" xfId="8730" xr:uid="{16718394-367A-43DA-B438-85EE6F0F7907}"/>
    <cellStyle name="Примечание 3 5 4 2 2" xfId="11682" xr:uid="{A38B3956-0331-4FF7-BB55-94B2B1DECA53}"/>
    <cellStyle name="Примечание 3 5 4 2 2 2" xfId="28418" xr:uid="{5004D849-5B93-4917-AA07-76EC7DB7A74B}"/>
    <cellStyle name="Примечание 3 5 4 2 2 3" xfId="41625" xr:uid="{78A9D160-F9C3-43C0-9311-97E61C1D5306}"/>
    <cellStyle name="Примечание 3 5 4 2 3" xfId="26223" xr:uid="{67A0821E-20F1-4A74-A583-086EE44772A2}"/>
    <cellStyle name="Примечание 3 5 4 2 4" xfId="39299" xr:uid="{C65C948E-F866-4C63-B34C-891EBE9B373B}"/>
    <cellStyle name="Примечание 3 5 4 3" xfId="11718" xr:uid="{11CDAB31-F502-4DAC-9388-E9D448FA740E}"/>
    <cellStyle name="Примечание 3 5 4 3 2" xfId="28449" xr:uid="{342286B6-B306-43D3-873A-040035198D99}"/>
    <cellStyle name="Примечание 3 5 4 3 3" xfId="41659" xr:uid="{3AF88EF7-1091-441F-8BCE-7E3E33CC208E}"/>
    <cellStyle name="Примечание 3 5 4 4" xfId="23195" xr:uid="{1B965B61-3F4E-45E9-B544-6EC437C3A7D0}"/>
    <cellStyle name="Примечание 3 5 4 5" xfId="36276" xr:uid="{62CF4FE5-52F6-4D09-8D93-FEF8707EA847}"/>
    <cellStyle name="Примечание 3 5 5" xfId="15746" xr:uid="{C0605E5F-2A2A-48F8-BCBA-DF3DB2350EA7}"/>
    <cellStyle name="Примечание 3 5 5 2" xfId="31854" xr:uid="{D836B3B5-6F29-43D3-AB3C-635BB60C3466}"/>
    <cellStyle name="Примечание 3 5 5 3" xfId="45364" xr:uid="{C99DED71-FAC2-4CAE-AFBD-6F7CF12C1E80}"/>
    <cellStyle name="Примечание 3 5 6" xfId="21461" xr:uid="{F990AF0B-3E12-43F5-BDD0-A6B3AE63F972}"/>
    <cellStyle name="Примечание 3 5 7" xfId="34509" xr:uid="{49EC36EB-8D96-4A10-AF13-3A527CBDD37B}"/>
    <cellStyle name="Примечание 3 6" xfId="3527" xr:uid="{AFA0BB7B-CDF5-44D8-8361-FD69D492119C}"/>
    <cellStyle name="Примечание 3 6 2" xfId="2868" xr:uid="{3C9270EC-9369-4F96-B7F2-3F002765CB9C}"/>
    <cellStyle name="Примечание 3 6 2 2" xfId="8164" xr:uid="{E0B59639-038F-458A-9E74-E619F89A5A27}"/>
    <cellStyle name="Примечание 3 6 2 2 2" xfId="12103" xr:uid="{42F616BE-ADD9-4725-9362-C4109E7FD1D7}"/>
    <cellStyle name="Примечание 3 6 2 2 2 2" xfId="28803" xr:uid="{39C0833E-2551-4521-A0BB-F8CFCE205FAE}"/>
    <cellStyle name="Примечание 3 6 2 2 2 3" xfId="42023" xr:uid="{87EE351F-177E-4DAE-9947-B8C76C986280}"/>
    <cellStyle name="Примечание 3 6 2 2 3" xfId="25675" xr:uid="{8BA73C8F-CFCF-476C-88E6-51F2238AF5D1}"/>
    <cellStyle name="Примечание 3 6 2 2 4" xfId="38751" xr:uid="{53974829-87B7-4AC0-9AF3-28E7C7C6760A}"/>
    <cellStyle name="Примечание 3 6 2 3" xfId="6531" xr:uid="{859A1718-B367-486D-B39F-331399BF0AD2}"/>
    <cellStyle name="Примечание 3 6 2 3 2" xfId="14626" xr:uid="{2A16EA6C-A52F-46E1-9AF8-8CA0A7D307A6}"/>
    <cellStyle name="Примечание 3 6 2 3 2 2" xfId="30923" xr:uid="{09B83381-B52F-4322-BD06-DD71694528DA}"/>
    <cellStyle name="Примечание 3 6 2 3 2 3" xfId="44344" xr:uid="{F5C810E9-5005-4B76-871F-DD7037C53643}"/>
    <cellStyle name="Примечание 3 6 2 3 3" xfId="24166" xr:uid="{008D32EB-5470-4097-89AB-74FC91182995}"/>
    <cellStyle name="Примечание 3 6 2 3 4" xfId="37247" xr:uid="{80BAF250-079C-45AF-92DE-10C3CB67734C}"/>
    <cellStyle name="Примечание 3 6 2 4" xfId="13675" xr:uid="{A44650A9-0E8C-4EAB-B70A-BC68597FC626}"/>
    <cellStyle name="Примечание 3 6 2 4 2" xfId="30100" xr:uid="{1A03D049-BFFB-40AB-AF82-5F1F34A65BC9}"/>
    <cellStyle name="Примечание 3 6 2 4 3" xfId="43459" xr:uid="{752AA801-0F94-467C-8CB3-4FB9B43BAA1E}"/>
    <cellStyle name="Примечание 3 6 2 5" xfId="20918" xr:uid="{A666E06E-A3EF-466F-9870-1E4A0679B225}"/>
    <cellStyle name="Примечание 3 6 2 6" xfId="33941" xr:uid="{25D90A62-47BA-4295-A013-A013EB9FC726}"/>
    <cellStyle name="Примечание 3 6 3" xfId="4527" xr:uid="{58FF925A-78B4-4288-B2A1-51B3AD05303F}"/>
    <cellStyle name="Примечание 3 6 3 2" xfId="7169" xr:uid="{478F696A-5D04-4623-A4A4-56DB476DC011}"/>
    <cellStyle name="Примечание 3 6 3 2 2" xfId="13066" xr:uid="{5EDD023E-9092-495B-88C3-FADD8D81CC26}"/>
    <cellStyle name="Примечание 3 6 3 2 2 2" xfId="29591" xr:uid="{336AB6B9-71C2-479E-8054-74E3C7C984CF}"/>
    <cellStyle name="Примечание 3 6 3 2 2 3" xfId="42896" xr:uid="{B3D9201F-0B5F-4AD1-9BF6-6BC43D85CBFB}"/>
    <cellStyle name="Примечание 3 6 3 2 3" xfId="24766" xr:uid="{75112DBD-538A-4B76-A502-EFC74907F943}"/>
    <cellStyle name="Примечание 3 6 3 2 4" xfId="37847" xr:uid="{98BB59DD-862C-4603-8B45-7C8C2FE5DB92}"/>
    <cellStyle name="Примечание 3 6 3 3" xfId="16953" xr:uid="{7623915F-59C1-4B5F-A97B-6C09AB735EDC}"/>
    <cellStyle name="Примечание 3 6 3 3 2" xfId="32792" xr:uid="{8D7D9C03-1B13-4463-B349-EAEB07EF0A7A}"/>
    <cellStyle name="Примечание 3 6 3 3 3" xfId="46495" xr:uid="{47E24D15-C54B-4BE9-99C4-0594CE250176}"/>
    <cellStyle name="Примечание 3 6 3 4" xfId="22345" xr:uid="{112601BF-AFF4-4FCC-8D39-CF0EFE13CCC8}"/>
    <cellStyle name="Примечание 3 6 3 5" xfId="35394" xr:uid="{C2A904BD-75A3-4B1C-AF95-1E0A15DCD776}"/>
    <cellStyle name="Примечание 3 6 4" xfId="5580" xr:uid="{02ECFFB5-73FB-4F40-BFFC-E69E6D611488}"/>
    <cellStyle name="Примечание 3 6 4 2" xfId="8762" xr:uid="{19DB9663-D905-4918-BC37-DF49F71908F1}"/>
    <cellStyle name="Примечание 3 6 4 2 2" xfId="12014" xr:uid="{C9846DE4-6E6D-4897-A437-3B5DA648B0CA}"/>
    <cellStyle name="Примечание 3 6 4 2 2 2" xfId="28717" xr:uid="{13D5D0CA-A36E-4575-A02A-030D2087FB96}"/>
    <cellStyle name="Примечание 3 6 4 2 2 3" xfId="41935" xr:uid="{5A5B7726-6AAF-4BF4-85CF-D5890BD360C9}"/>
    <cellStyle name="Примечание 3 6 4 2 3" xfId="26255" xr:uid="{DA3E4082-FEFD-443C-B6BC-D50C4E3C4B6E}"/>
    <cellStyle name="Примечание 3 6 4 2 4" xfId="39331" xr:uid="{F869D7AA-1AC5-46DA-A6EF-AAA2CC5892E8}"/>
    <cellStyle name="Примечание 3 6 4 3" xfId="16888" xr:uid="{1BB9305A-3399-45BB-B844-A3771D039219}"/>
    <cellStyle name="Примечание 3 6 4 3 2" xfId="32764" xr:uid="{1DAEFF92-6D41-4C9F-A473-F8EBA8836F9A}"/>
    <cellStyle name="Примечание 3 6 4 3 3" xfId="46430" xr:uid="{23527AA4-5524-41B0-96EE-DEFDA1DBB272}"/>
    <cellStyle name="Примечание 3 6 4 4" xfId="23227" xr:uid="{42382296-E32C-4B27-BC84-FAAAE77A2176}"/>
    <cellStyle name="Примечание 3 6 4 5" xfId="36308" xr:uid="{15C1B332-D3BD-404C-8663-49C9A5DBA626}"/>
    <cellStyle name="Примечание 3 6 5" xfId="13149" xr:uid="{751AA97D-2CB3-4A39-875B-94D1E9F8E8BD}"/>
    <cellStyle name="Примечание 3 6 5 2" xfId="29663" xr:uid="{02AF98EC-0B16-4FE4-B962-CAE212F133D4}"/>
    <cellStyle name="Примечание 3 6 5 3" xfId="42975" xr:uid="{E2D58584-F9B7-443C-AFCB-441718E06AA9}"/>
    <cellStyle name="Примечание 3 6 6" xfId="21489" xr:uid="{4421C73E-A79D-4AD8-B3A8-0BAEBEE27988}"/>
    <cellStyle name="Примечание 3 6 7" xfId="34541" xr:uid="{5A7DECAA-A1E2-4F65-BDC2-C5AE8DB1B364}"/>
    <cellStyle name="Примечание 3 7" xfId="3511" xr:uid="{21BAA663-84B2-420E-9D7D-7274D71E3461}"/>
    <cellStyle name="Примечание 3 7 2" xfId="2852" xr:uid="{3E8C98F8-C8CC-4FAF-9FF9-55A07C1D283A}"/>
    <cellStyle name="Примечание 3 7 2 2" xfId="8148" xr:uid="{AFF2BCCC-E40D-43CB-8577-BA38DFD4BD8D}"/>
    <cellStyle name="Примечание 3 7 2 2 2" xfId="13878" xr:uid="{F6C11DF5-BBDB-422F-9F76-085B660D4817}"/>
    <cellStyle name="Примечание 3 7 2 2 2 2" xfId="30275" xr:uid="{576BB01A-F6A6-4D30-90D4-61FFD8C11E72}"/>
    <cellStyle name="Примечание 3 7 2 2 2 3" xfId="43647" xr:uid="{0BBA809E-0FEC-47C3-A8FE-68E31FC089D6}"/>
    <cellStyle name="Примечание 3 7 2 2 3" xfId="25659" xr:uid="{F2F6425E-6C70-4A7A-B766-9A1827A9D03C}"/>
    <cellStyle name="Примечание 3 7 2 2 4" xfId="38735" xr:uid="{466EA541-8813-445E-8A64-B5F9C0558451}"/>
    <cellStyle name="Примечание 3 7 2 3" xfId="6515" xr:uid="{7F1D3FF8-FE46-4682-B9DD-CA180ED9F4F2}"/>
    <cellStyle name="Примечание 3 7 2 3 2" xfId="13460" xr:uid="{F1054480-485C-4FC5-8864-2B0462847D76}"/>
    <cellStyle name="Примечание 3 7 2 3 2 2" xfId="29923" xr:uid="{FC8EFF75-9C57-4C29-B1D6-FB0E4CFDB0EA}"/>
    <cellStyle name="Примечание 3 7 2 3 2 3" xfId="43262" xr:uid="{7C7A6A47-AA42-44D7-A3BD-E435D6EF38E4}"/>
    <cellStyle name="Примечание 3 7 2 3 3" xfId="24150" xr:uid="{CFCF847F-3F6C-410C-8B42-B5ACE2AE16A7}"/>
    <cellStyle name="Примечание 3 7 2 3 4" xfId="37231" xr:uid="{40EA1275-D063-48AB-8F95-77C1DA94EA3A}"/>
    <cellStyle name="Примечание 3 7 2 4" xfId="16001" xr:uid="{BC1D037E-040B-447A-BD8A-B3CD9D9747AA}"/>
    <cellStyle name="Примечание 3 7 2 4 2" xfId="32072" xr:uid="{2F41281C-3A9C-4A72-A87D-9112FD2F40B2}"/>
    <cellStyle name="Примечание 3 7 2 4 3" xfId="45591" xr:uid="{FACF0114-A5B7-488B-A634-5D97107A4516}"/>
    <cellStyle name="Примечание 3 7 2 5" xfId="20902" xr:uid="{F50E1078-6E3E-42E9-96EF-AED894FB4A29}"/>
    <cellStyle name="Примечание 3 7 2 6" xfId="33925" xr:uid="{AE04F884-0586-4A80-80DF-A5D669C0DA56}"/>
    <cellStyle name="Примечание 3 7 3" xfId="4512" xr:uid="{A861A35F-0F9A-4FDB-9430-7C4983FE8DE2}"/>
    <cellStyle name="Примечание 3 7 3 2" xfId="7153" xr:uid="{0E1A760E-58AF-4819-A0AD-BCB03E42DA20}"/>
    <cellStyle name="Примечание 3 7 3 2 2" xfId="17233" xr:uid="{48EA57A1-18E1-4C64-BBCD-FCC80033479F}"/>
    <cellStyle name="Примечание 3 7 3 2 2 2" xfId="32992" xr:uid="{C0C955DD-3B31-44CF-B78A-EE0FD07084E3}"/>
    <cellStyle name="Примечание 3 7 3 2 2 3" xfId="46767" xr:uid="{4F97CB3F-DFD7-469E-AC06-81A3B2880CCD}"/>
    <cellStyle name="Примечание 3 7 3 2 3" xfId="24751" xr:uid="{9FAD9867-F83E-4AF4-AE86-50AD6EC91435}"/>
    <cellStyle name="Примечание 3 7 3 2 4" xfId="37832" xr:uid="{1E6FC8A4-E173-4E8D-AC79-5BDA0F9ED43F}"/>
    <cellStyle name="Примечание 3 7 3 3" xfId="16311" xr:uid="{4DCE0E1D-D0AC-4439-A79C-5C108DB338BE}"/>
    <cellStyle name="Примечание 3 7 3 3 2" xfId="32337" xr:uid="{80D20057-1F0A-41A1-A3A3-A505488BAD3E}"/>
    <cellStyle name="Примечание 3 7 3 3 3" xfId="45868" xr:uid="{40FDCFC6-75D9-44D7-918A-E4430B110E15}"/>
    <cellStyle name="Примечание 3 7 3 4" xfId="22330" xr:uid="{D56D8EA6-7484-4A52-9C17-E414FE9C6824}"/>
    <cellStyle name="Примечание 3 7 3 5" xfId="35379" xr:uid="{25785D44-79BE-4416-91CC-5443DA2A3474}"/>
    <cellStyle name="Примечание 3 7 4" xfId="5565" xr:uid="{2BB56005-14E0-40DE-AB64-F38089E2DA61}"/>
    <cellStyle name="Примечание 3 7 4 2" xfId="8747" xr:uid="{340F4EC3-0525-46B8-B8D7-EC8A2860785F}"/>
    <cellStyle name="Примечание 3 7 4 2 2" xfId="12211" xr:uid="{89ADA41F-B663-4A28-A7A6-033F2686F66B}"/>
    <cellStyle name="Примечание 3 7 4 2 2 2" xfId="28898" xr:uid="{A51A3868-02DF-4077-AA51-7B80F4BB8C12}"/>
    <cellStyle name="Примечание 3 7 4 2 2 3" xfId="42128" xr:uid="{6378D316-EFFC-4C84-A8DF-1472D0D7319B}"/>
    <cellStyle name="Примечание 3 7 4 2 3" xfId="26240" xr:uid="{C8819C5B-F518-4AE1-ADAA-DBFE0D6D1CDB}"/>
    <cellStyle name="Примечание 3 7 4 2 4" xfId="39316" xr:uid="{64B6C6B2-0D73-4656-8000-D57FE94934C1}"/>
    <cellStyle name="Примечание 3 7 4 3" xfId="11924" xr:uid="{AA2CBA40-BDEE-43EB-8CB2-8768134B191F}"/>
    <cellStyle name="Примечание 3 7 4 3 2" xfId="28638" xr:uid="{A7256CDA-4FF7-4007-BB3C-3FA57F13222D}"/>
    <cellStyle name="Примечание 3 7 4 3 3" xfId="41855" xr:uid="{B9E9B672-5AAB-4FBB-841F-314837634F5C}"/>
    <cellStyle name="Примечание 3 7 4 4" xfId="23212" xr:uid="{4B5607B1-7AB9-4A4A-9190-9502477B4A52}"/>
    <cellStyle name="Примечание 3 7 4 5" xfId="36293" xr:uid="{FA8AC894-384B-4B67-BD1D-1F617366A86E}"/>
    <cellStyle name="Примечание 3 7 5" xfId="14898" xr:uid="{B10F3D98-0729-4666-B2A0-7E2F6DCF048E}"/>
    <cellStyle name="Примечание 3 7 5 2" xfId="31146" xr:uid="{93ECA7DF-22F4-49B6-8215-9805ED738C5A}"/>
    <cellStyle name="Примечание 3 7 5 3" xfId="44589" xr:uid="{AE982509-7303-4262-A00C-024BFAE3882E}"/>
    <cellStyle name="Примечание 3 7 6" xfId="21474" xr:uid="{16AF27D3-CF3A-4FCA-B1B2-F2797D89B059}"/>
    <cellStyle name="Примечание 3 7 7" xfId="34526" xr:uid="{853DEBBC-4787-4CED-84FC-B86E269F16A7}"/>
    <cellStyle name="Примечание 3 8" xfId="3533" xr:uid="{9AAB9473-9861-4D08-B511-845BAF17F825}"/>
    <cellStyle name="Примечание 3 8 2" xfId="2874" xr:uid="{19CA31AB-002E-4AEA-ABEE-5E8729C1CC09}"/>
    <cellStyle name="Примечание 3 8 2 2" xfId="8170" xr:uid="{716A8CB9-CAAA-43D3-B2D4-52F2743AC163}"/>
    <cellStyle name="Примечание 3 8 2 2 2" xfId="10658" xr:uid="{92AFA7C7-412F-4DBB-A002-C9E57A18A424}"/>
    <cellStyle name="Примечание 3 8 2 2 2 2" xfId="27508" xr:uid="{2ABE2B2E-E4E4-498F-B869-CAA79BC89D4A}"/>
    <cellStyle name="Примечание 3 8 2 2 2 3" xfId="40639" xr:uid="{EDB42466-0300-4EC9-ADE5-963B8E55B69D}"/>
    <cellStyle name="Примечание 3 8 2 2 3" xfId="25681" xr:uid="{D0DD83B2-2588-4789-B29A-766A05499ADD}"/>
    <cellStyle name="Примечание 3 8 2 2 4" xfId="38757" xr:uid="{BEA86E13-A1EE-48D4-9B61-EF3088D582FF}"/>
    <cellStyle name="Примечание 3 8 2 3" xfId="6537" xr:uid="{8F1A88D8-4EC2-4694-9703-1572D1092B71}"/>
    <cellStyle name="Примечание 3 8 2 3 2" xfId="12500" xr:uid="{7BA3454B-5960-4496-BCAC-8D34725450ED}"/>
    <cellStyle name="Примечание 3 8 2 3 2 2" xfId="29134" xr:uid="{D2061A82-7935-4730-AD30-546FE647E46D}"/>
    <cellStyle name="Примечание 3 8 2 3 2 3" xfId="42388" xr:uid="{EB1A86DC-05D6-4D13-8742-392463AAE63E}"/>
    <cellStyle name="Примечание 3 8 2 3 3" xfId="24172" xr:uid="{C5A1391B-45BE-4818-ABBF-9C59F943EDBC}"/>
    <cellStyle name="Примечание 3 8 2 3 4" xfId="37253" xr:uid="{4ACFABD5-58FD-40D1-BE32-F59D884BF130}"/>
    <cellStyle name="Примечание 3 8 2 4" xfId="13575" xr:uid="{0A4EBDA8-AD0D-4592-861D-440A54905CE0}"/>
    <cellStyle name="Примечание 3 8 2 4 2" xfId="30017" xr:uid="{C183FB3F-2611-4EED-9241-14D94A38B29D}"/>
    <cellStyle name="Примечание 3 8 2 4 3" xfId="43368" xr:uid="{775A91E1-3EF6-44F0-B84B-747067A6AE7E}"/>
    <cellStyle name="Примечание 3 8 2 5" xfId="20924" xr:uid="{2D208D51-D739-468C-BB28-0BFE3B76AC61}"/>
    <cellStyle name="Примечание 3 8 2 6" xfId="33947" xr:uid="{62FCAB0C-BDE5-41C7-B95C-CA9A02BC9447}"/>
    <cellStyle name="Примечание 3 8 3" xfId="4533" xr:uid="{670AC1DA-A5F0-4F9C-BAA6-9513F05FB60E}"/>
    <cellStyle name="Примечание 3 8 3 2" xfId="7175" xr:uid="{3D08FCFE-9E67-40F0-B885-453A9FC87FFD}"/>
    <cellStyle name="Примечание 3 8 3 2 2" xfId="15492" xr:uid="{BFA9BE2C-2980-4F6D-8289-9C77A07F297B}"/>
    <cellStyle name="Примечание 3 8 3 2 2 2" xfId="31631" xr:uid="{9C0C2F44-9542-498D-A1A1-529D488B54CB}"/>
    <cellStyle name="Примечание 3 8 3 2 2 3" xfId="45128" xr:uid="{E197AC9C-D513-4BF1-AB35-5448D6548D37}"/>
    <cellStyle name="Примечание 3 8 3 2 3" xfId="24772" xr:uid="{19FA9CD2-F27A-4907-B6F7-5AFB52996073}"/>
    <cellStyle name="Примечание 3 8 3 2 4" xfId="37853" xr:uid="{59BE749E-8F60-4076-8EF8-E7982C17C621}"/>
    <cellStyle name="Примечание 3 8 3 3" xfId="14418" xr:uid="{10D5FD3B-EA62-4B94-AB3B-11D6090F9C3D}"/>
    <cellStyle name="Примечание 3 8 3 3 2" xfId="30748" xr:uid="{CAB7A6C8-72CF-448F-9B01-D6263C522669}"/>
    <cellStyle name="Примечание 3 8 3 3 3" xfId="44148" xr:uid="{CB487CA8-0D79-47C8-93D6-32ADB14E3D3B}"/>
    <cellStyle name="Примечание 3 8 3 4" xfId="22351" xr:uid="{C0A6AFB4-6E3A-4228-9BFD-5AA65E5A77A1}"/>
    <cellStyle name="Примечание 3 8 3 5" xfId="35400" xr:uid="{CE1E0FCF-9E55-4FD6-A110-404352222AC5}"/>
    <cellStyle name="Примечание 3 8 4" xfId="5586" xr:uid="{A0D389CC-6C0B-4104-BEBD-133F1B89CB50}"/>
    <cellStyle name="Примечание 3 8 4 2" xfId="8768" xr:uid="{10FEC8C1-8244-461A-AE12-CF1B96BC657F}"/>
    <cellStyle name="Примечание 3 8 4 2 2" xfId="11284" xr:uid="{B807AE79-6C56-4445-9CAA-53C57D646AED}"/>
    <cellStyle name="Примечание 3 8 4 2 2 2" xfId="28071" xr:uid="{186938D5-F0A3-47A1-998D-62EB519B7019}"/>
    <cellStyle name="Примечание 3 8 4 2 2 3" xfId="41253" xr:uid="{221EB77D-B48D-49F2-986C-8DA6A0831859}"/>
    <cellStyle name="Примечание 3 8 4 2 3" xfId="26261" xr:uid="{4C8164E7-A1DD-46E1-BFE3-FFB88132EFD9}"/>
    <cellStyle name="Примечание 3 8 4 2 4" xfId="39337" xr:uid="{B262AB6C-0E9A-4681-95C2-625D955C4804}"/>
    <cellStyle name="Примечание 3 8 4 3" xfId="13256" xr:uid="{38253478-107D-414E-9198-0496AB426F46}"/>
    <cellStyle name="Примечание 3 8 4 3 2" xfId="29749" xr:uid="{6A5F9308-B1D3-438E-B953-4B4261891390}"/>
    <cellStyle name="Примечание 3 8 4 3 3" xfId="43074" xr:uid="{40AF87F2-1332-4E9F-916D-AD5556E99157}"/>
    <cellStyle name="Примечание 3 8 4 4" xfId="23233" xr:uid="{84B41DA1-F7C7-4D9D-9C9C-2762AEE26D21}"/>
    <cellStyle name="Примечание 3 8 4 5" xfId="36314" xr:uid="{E08214F1-F38D-452B-A2A9-70BF19F35AA9}"/>
    <cellStyle name="Примечание 3 8 5" xfId="15358" xr:uid="{A0DE5B5F-7D0F-4D75-B403-4634952A659C}"/>
    <cellStyle name="Примечание 3 8 5 2" xfId="31515" xr:uid="{C5695C87-6E4F-4B6D-9566-E145F32B6C7F}"/>
    <cellStyle name="Примечание 3 8 5 3" xfId="45001" xr:uid="{6890F8FF-38D3-4E29-B5FA-751C0E4CC8AC}"/>
    <cellStyle name="Примечание 3 8 6" xfId="21495" xr:uid="{CC81C3BD-17BE-4ABB-A4CE-8E35A02EBEFA}"/>
    <cellStyle name="Примечание 3 8 7" xfId="34547" xr:uid="{3753AD4F-C5BB-494E-8773-61A0EC3BD0DB}"/>
    <cellStyle name="Примечание 3 9" xfId="3539" xr:uid="{207A2705-BB7F-454A-9D15-DC18CEB00A1B}"/>
    <cellStyle name="Примечание 3 9 2" xfId="2880" xr:uid="{A62541AE-14A3-4E31-AA05-0D8ED42BD33C}"/>
    <cellStyle name="Примечание 3 9 2 2" xfId="8176" xr:uid="{29A32573-9EC4-49DE-B76F-9A12BEEBCE36}"/>
    <cellStyle name="Примечание 3 9 2 2 2" xfId="10845" xr:uid="{74249AE4-2B84-4D3E-A6B5-476629AF9723}"/>
    <cellStyle name="Примечание 3 9 2 2 2 2" xfId="27674" xr:uid="{1868B668-C8C9-4F97-AB6A-3BF5C10B1108}"/>
    <cellStyle name="Примечание 3 9 2 2 2 3" xfId="40826" xr:uid="{4CB45BC9-7687-4CE5-8DE6-28131D3336C1}"/>
    <cellStyle name="Примечание 3 9 2 2 3" xfId="25687" xr:uid="{F41E8F9F-671C-47BC-93A6-61F6EE959A6D}"/>
    <cellStyle name="Примечание 3 9 2 2 4" xfId="38763" xr:uid="{8F612A79-B917-4B29-B07A-C65ABDB14CBE}"/>
    <cellStyle name="Примечание 3 9 2 3" xfId="6543" xr:uid="{F9B81EA4-5342-4C37-BEF0-FD00C362000F}"/>
    <cellStyle name="Примечание 3 9 2 3 2" xfId="14336" xr:uid="{23F40691-A289-4C95-831F-9899AF602C4C}"/>
    <cellStyle name="Примечание 3 9 2 3 2 2" xfId="30670" xr:uid="{40347CBB-4CBA-4983-A9F4-44109DE22EDD}"/>
    <cellStyle name="Примечание 3 9 2 3 2 3" xfId="44066" xr:uid="{D595AB03-DB1B-4BE1-9472-D105FCFBBDF8}"/>
    <cellStyle name="Примечание 3 9 2 3 3" xfId="24178" xr:uid="{BE205914-BE64-4B9D-B403-71CB5E9A3C59}"/>
    <cellStyle name="Примечание 3 9 2 3 4" xfId="37259" xr:uid="{B4DC8A2B-9D5F-43CF-9B89-C1172290E341}"/>
    <cellStyle name="Примечание 3 9 2 4" xfId="11884" xr:uid="{20A352E0-D210-4C8F-9494-D698423AB44A}"/>
    <cellStyle name="Примечание 3 9 2 4 2" xfId="28600" xr:uid="{5B72C751-0862-41F2-8C88-C8D65D49CFA9}"/>
    <cellStyle name="Примечание 3 9 2 4 3" xfId="41816" xr:uid="{B0271665-6051-430C-99AE-9E9BCD13C4D6}"/>
    <cellStyle name="Примечание 3 9 2 5" xfId="20930" xr:uid="{B5F8051C-2104-4B2E-9111-E87EB06D2663}"/>
    <cellStyle name="Примечание 3 9 2 6" xfId="33953" xr:uid="{D4CFF7FB-A5FE-49CE-A1A9-4E945F9F331D}"/>
    <cellStyle name="Примечание 3 9 3" xfId="4563" xr:uid="{065EAB97-420F-4BF9-9933-6FC88EEC6DAF}"/>
    <cellStyle name="Примечание 3 9 3 2" xfId="7181" xr:uid="{40EB47CF-2E44-4EED-BC46-3AE826A8276B}"/>
    <cellStyle name="Примечание 3 9 3 2 2" xfId="12306" xr:uid="{7B840D9B-BA02-4200-9262-0273C4DDEAA4}"/>
    <cellStyle name="Примечание 3 9 3 2 2 2" xfId="28978" xr:uid="{D8A6597B-AB06-4DA5-B064-CBE6CD14656F}"/>
    <cellStyle name="Примечание 3 9 3 2 2 3" xfId="42215" xr:uid="{97350763-6EA0-4FC3-A2B0-BCFFA1896009}"/>
    <cellStyle name="Примечание 3 9 3 2 3" xfId="24778" xr:uid="{8EB127CF-17D2-4FA0-8E75-B18D2EFFFAE0}"/>
    <cellStyle name="Примечание 3 9 3 2 4" xfId="37859" xr:uid="{CF3CF1A0-C3B8-40A4-A158-12A5F8CE673D}"/>
    <cellStyle name="Примечание 3 9 3 3" xfId="14353" xr:uid="{79C3027B-6F0A-4CEB-8A56-92268516DF0E}"/>
    <cellStyle name="Примечание 3 9 3 3 2" xfId="30687" xr:uid="{FB1E5729-DDEE-49CB-84A5-75A427122723}"/>
    <cellStyle name="Примечание 3 9 3 3 3" xfId="44083" xr:uid="{52A5CF23-9D62-4481-A096-23494F4AA225}"/>
    <cellStyle name="Примечание 3 9 3 4" xfId="22379" xr:uid="{C7886210-21FA-48B4-BF13-B8C483D39B74}"/>
    <cellStyle name="Примечание 3 9 3 5" xfId="35428" xr:uid="{764A281E-D928-4954-B35D-B2C87A6A282F}"/>
    <cellStyle name="Примечание 3 9 4" xfId="5592" xr:uid="{780AA441-B89A-449C-9BAB-BBD5BE071C65}"/>
    <cellStyle name="Примечание 3 9 4 2" xfId="8774" xr:uid="{1B610347-B9AA-450B-B991-DD6FA014802B}"/>
    <cellStyle name="Примечание 3 9 4 2 2" xfId="12716" xr:uid="{163A0BB9-35CE-42CD-A46B-7A00793C2AF5}"/>
    <cellStyle name="Примечание 3 9 4 2 2 2" xfId="29299" xr:uid="{17CFAACA-E25E-48B8-A965-54A008AA8BCE}"/>
    <cellStyle name="Примечание 3 9 4 2 2 3" xfId="42576" xr:uid="{3036D0FF-AA38-455E-9F1F-5C0770D3A244}"/>
    <cellStyle name="Примечание 3 9 4 2 3" xfId="26267" xr:uid="{DAF9E3EE-3E87-47E6-806D-6DEB53BB1CA8}"/>
    <cellStyle name="Примечание 3 9 4 2 4" xfId="39343" xr:uid="{D30C7395-AC6C-479D-A597-306AFF935101}"/>
    <cellStyle name="Примечание 3 9 4 3" xfId="17333" xr:uid="{C2B15669-D7CF-472F-B091-E11AC110095A}"/>
    <cellStyle name="Примечание 3 9 4 3 2" xfId="33087" xr:uid="{09146306-CC25-4A1B-89E2-704792F7B959}"/>
    <cellStyle name="Примечание 3 9 4 3 3" xfId="46863" xr:uid="{FD8237FB-5C08-4DC9-8C1D-92EE5A248EB1}"/>
    <cellStyle name="Примечание 3 9 4 4" xfId="23239" xr:uid="{75B027D8-1ADE-4C7C-AB58-B2185FF977B9}"/>
    <cellStyle name="Примечание 3 9 4 5" xfId="36320" xr:uid="{A538F5F5-48DD-43E6-ADBF-11563F531CF4}"/>
    <cellStyle name="Примечание 3 9 5" xfId="11448" xr:uid="{D8245A0F-F7EF-4EDD-9CD2-A0AD8B1D474A}"/>
    <cellStyle name="Примечание 3 9 5 2" xfId="28213" xr:uid="{631A305B-86C6-4476-AF26-A0B8BFAC36C7}"/>
    <cellStyle name="Примечание 3 9 5 3" xfId="41407" xr:uid="{AEA125EC-ADBB-4B7E-A776-4A01EEE09501}"/>
    <cellStyle name="Примечание 3 9 6" xfId="21501" xr:uid="{60B26068-FBCC-4E7F-9896-D304DA7DC3CB}"/>
    <cellStyle name="Примечание 3 9 7" xfId="34553" xr:uid="{C8F8739C-7EE4-4152-B28C-D5997F97188E}"/>
    <cellStyle name="Примечание 4" xfId="2415" xr:uid="{76A74F91-B7FC-45D2-891D-A53892162172}"/>
    <cellStyle name="Примечание 4 10" xfId="3757" xr:uid="{0553185D-18E3-4469-97B7-C4B2E6E35DFF}"/>
    <cellStyle name="Примечание 4 10 2" xfId="3068" xr:uid="{E53AB315-3EED-4469-9ECA-F3FDC1574F91}"/>
    <cellStyle name="Примечание 4 10 2 2" xfId="8364" xr:uid="{71FDBAFC-4DAA-414A-8603-33953161B5C9}"/>
    <cellStyle name="Примечание 4 10 2 2 2" xfId="17407" xr:uid="{1FE28B8B-341E-4D2C-9636-DF714316A46F}"/>
    <cellStyle name="Примечание 4 10 2 2 2 2" xfId="33161" xr:uid="{2949EB8C-E335-4202-9785-2ABCB4A7954D}"/>
    <cellStyle name="Примечание 4 10 2 2 2 3" xfId="46937" xr:uid="{FE7ED246-A26C-44F8-86B4-51BE8FFE75DE}"/>
    <cellStyle name="Примечание 4 10 2 2 3" xfId="25868" xr:uid="{A7D9D1B0-F837-4781-B418-E318373BD480}"/>
    <cellStyle name="Примечание 4 10 2 2 4" xfId="38944" xr:uid="{843FCC6D-277E-47E7-B552-79CF16231D28}"/>
    <cellStyle name="Примечание 4 10 2 3" xfId="6731" xr:uid="{A0B5C94E-9046-4828-BCD3-A919A5CEB4BB}"/>
    <cellStyle name="Примечание 4 10 2 3 2" xfId="13329" xr:uid="{2DD0545F-6CFC-45E4-A138-3999D363C1B2}"/>
    <cellStyle name="Примечание 4 10 2 3 2 2" xfId="29812" xr:uid="{1AE132C5-8BC0-4B04-B0DE-F32E6AFA383C}"/>
    <cellStyle name="Примечание 4 10 2 3 2 3" xfId="43143" xr:uid="{84D06B79-412D-4CCB-A2A3-F28B1E0510C3}"/>
    <cellStyle name="Примечание 4 10 2 3 3" xfId="24359" xr:uid="{4511EC8B-515C-4E86-8CE8-382C94ADE8B1}"/>
    <cellStyle name="Примечание 4 10 2 3 4" xfId="37440" xr:uid="{C35CAFD2-1087-4D93-83E1-F3F8A4103A73}"/>
    <cellStyle name="Примечание 4 10 2 4" xfId="11507" xr:uid="{C2694692-9637-47C6-B890-4464B5061F64}"/>
    <cellStyle name="Примечание 4 10 2 4 2" xfId="28266" xr:uid="{00FE2EDB-1B60-44EE-B6AC-1B06913ABAC3}"/>
    <cellStyle name="Примечание 4 10 2 4 3" xfId="41463" xr:uid="{61E6EBAE-62BF-41DE-A119-D9EE113B4233}"/>
    <cellStyle name="Примечание 4 10 2 5" xfId="21111" xr:uid="{C5CF838C-A55A-4414-93BD-6B0ACB926E20}"/>
    <cellStyle name="Примечание 4 10 2 6" xfId="34134" xr:uid="{169F6662-C72B-4F09-B8AA-B97CED09B27C}"/>
    <cellStyle name="Примечание 4 10 3" xfId="4639" xr:uid="{4926FCF5-D357-4FBC-92B6-C2173744B9CD}"/>
    <cellStyle name="Примечание 4 10 3 2" xfId="7389" xr:uid="{9D3E3C58-CDBC-4FB9-82B6-2F0AD1F00E62}"/>
    <cellStyle name="Примечание 4 10 3 2 2" xfId="12445" xr:uid="{192449B9-52C3-430E-8D7B-7459982AD84B}"/>
    <cellStyle name="Примечание 4 10 3 2 2 2" xfId="29097" xr:uid="{85A3F6C4-DB4B-4739-ACC8-B7C90A73CEE3}"/>
    <cellStyle name="Примечание 4 10 3 2 2 3" xfId="42343" xr:uid="{42BDA251-26F6-457C-889C-3CE3EC2EE0AE}"/>
    <cellStyle name="Примечание 4 10 3 2 3" xfId="24948" xr:uid="{7023C6D6-261C-4237-AF5B-2D96199D86B5}"/>
    <cellStyle name="Примечание 4 10 3 2 4" xfId="38026" xr:uid="{D1260A46-26FB-4F2D-B7C4-57196C290B57}"/>
    <cellStyle name="Примечание 4 10 3 3" xfId="13121" xr:uid="{2DBE48A8-5B99-43AC-8E88-20B1516ED8DC}"/>
    <cellStyle name="Примечание 4 10 3 3 2" xfId="29635" xr:uid="{246B2236-20A2-41B5-B377-423E0AA1285C}"/>
    <cellStyle name="Примечание 4 10 3 3 3" xfId="42947" xr:uid="{A0D6D371-B0A7-48B3-8989-D68CCBA4ED69}"/>
    <cellStyle name="Примечание 4 10 3 4" xfId="22449" xr:uid="{E9B6E0B6-5D9D-4DAE-9552-F83105FF8D73}"/>
    <cellStyle name="Примечание 4 10 3 5" xfId="35502" xr:uid="{B63DB12B-D421-471E-8DA4-FEF887EB835A}"/>
    <cellStyle name="Примечание 4 10 4" xfId="5759" xr:uid="{36E3947E-B38C-4104-9CE0-E93F19B9341C}"/>
    <cellStyle name="Примечание 4 10 4 2" xfId="8948" xr:uid="{82DB7938-793C-4444-9094-163103DE1836}"/>
    <cellStyle name="Примечание 4 10 4 2 2" xfId="11319" xr:uid="{D0A0384B-0F55-4A2B-97EF-C677821259E8}"/>
    <cellStyle name="Примечание 4 10 4 2 2 2" xfId="28098" xr:uid="{61692BFB-5F89-4C23-9746-5209BC5A726D}"/>
    <cellStyle name="Примечание 4 10 4 2 2 3" xfId="41286" xr:uid="{A558DAF4-F20B-48A5-9A61-11E8C02F158D}"/>
    <cellStyle name="Примечание 4 10 4 2 3" xfId="26434" xr:uid="{F6F44401-2460-417E-98B1-536B9610EC30}"/>
    <cellStyle name="Примечание 4 10 4 2 4" xfId="39510" xr:uid="{FF99FBD8-DF01-4B26-B34A-30B7EF749D1A}"/>
    <cellStyle name="Примечание 4 10 4 3" xfId="17245" xr:uid="{1F20967D-7727-4431-BEA0-F46290BA26B3}"/>
    <cellStyle name="Примечание 4 10 4 3 2" xfId="33004" xr:uid="{99B6ACB4-DA1C-403E-BDEE-2E023D5486E1}"/>
    <cellStyle name="Примечание 4 10 4 3 3" xfId="46779" xr:uid="{A0FE0B96-3C63-4B90-80E4-F2547720F970}"/>
    <cellStyle name="Примечание 4 10 4 4" xfId="23406" xr:uid="{88AA9320-B327-40BB-8D84-521737B9E4EB}"/>
    <cellStyle name="Примечание 4 10 4 5" xfId="36487" xr:uid="{750536A7-1F3E-4BC2-80CD-3AD079D5BE31}"/>
    <cellStyle name="Примечание 4 10 5" xfId="16679" xr:uid="{FF991AD5-B53F-417A-A4FE-9132FA413849}"/>
    <cellStyle name="Примечание 4 10 5 2" xfId="32569" xr:uid="{6DB249EC-5D7B-4016-B02B-A4A429A908F1}"/>
    <cellStyle name="Примечание 4 10 5 3" xfId="46225" xr:uid="{8EFA7D03-E77E-4204-9E09-664796459BAB}"/>
    <cellStyle name="Примечание 4 10 6" xfId="21668" xr:uid="{5AEF1EA2-0134-41C9-B691-5B8AB8AADC13}"/>
    <cellStyle name="Примечание 4 10 7" xfId="34722" xr:uid="{46A350A3-00A6-4F57-B507-F976231FB315}"/>
    <cellStyle name="Примечание 4 11" xfId="3827" xr:uid="{5AAD9D24-1E85-434B-982A-7A430F094C35}"/>
    <cellStyle name="Примечание 4 11 2" xfId="3089" xr:uid="{32FAFA1A-CF7D-4322-BEB8-312E5790093D}"/>
    <cellStyle name="Примечание 4 11 2 2" xfId="8381" xr:uid="{E299E7CF-C7AD-4F65-BB6E-BFB4C67B59E1}"/>
    <cellStyle name="Примечание 4 11 2 2 2" xfId="17409" xr:uid="{85336AA9-BB30-4D16-9B9D-5536B95234B2}"/>
    <cellStyle name="Примечание 4 11 2 2 2 2" xfId="33163" xr:uid="{2C87A49C-B388-4F46-8E01-2B3B92F8F317}"/>
    <cellStyle name="Примечание 4 11 2 2 2 3" xfId="46939" xr:uid="{7EE1225A-150C-480D-BD93-C76FF5F6636E}"/>
    <cellStyle name="Примечание 4 11 2 2 3" xfId="25884" xr:uid="{7985F95C-972D-4067-A6FE-66AAA5D94FE5}"/>
    <cellStyle name="Примечание 4 11 2 2 4" xfId="38960" xr:uid="{6331E86C-B748-42C4-9A38-A3D81B292A5D}"/>
    <cellStyle name="Примечание 4 11 2 3" xfId="6748" xr:uid="{60E07083-5BF5-4CF4-A513-604BAD84FAE3}"/>
    <cellStyle name="Примечание 4 11 2 3 2" xfId="11163" xr:uid="{078F61FF-F834-43AD-896E-707B2D2C59BA}"/>
    <cellStyle name="Примечание 4 11 2 3 2 2" xfId="27957" xr:uid="{1A9B73D4-DB81-47A7-9C84-5FBDD87216FA}"/>
    <cellStyle name="Примечание 4 11 2 3 2 3" xfId="41139" xr:uid="{206A8EFD-32AE-4E27-8A0B-3F15C6655EB4}"/>
    <cellStyle name="Примечание 4 11 2 3 3" xfId="24375" xr:uid="{E542C9CA-EE14-4AD3-B2AB-76070817614B}"/>
    <cellStyle name="Примечание 4 11 2 3 4" xfId="37456" xr:uid="{B6CE510F-7642-4DE0-8D68-066F55CAC68A}"/>
    <cellStyle name="Примечание 4 11 2 4" xfId="12174" xr:uid="{FCCA83A6-24FF-4C68-8BCC-D71D11E65DD4}"/>
    <cellStyle name="Примечание 4 11 2 4 2" xfId="28869" xr:uid="{724A3DD2-3957-46EC-856D-7AA446C4FE0D}"/>
    <cellStyle name="Примечание 4 11 2 4 3" xfId="42094" xr:uid="{3AEC1D89-EBE8-4B4B-935B-801150F08408}"/>
    <cellStyle name="Примечание 4 11 2 5" xfId="21127" xr:uid="{5342FDB3-31AB-44B6-A1A1-9C605E91EAFE}"/>
    <cellStyle name="Примечание 4 11 2 6" xfId="34150" xr:uid="{D1A3F43B-8BB4-46A0-A4D4-0023CD514F80}"/>
    <cellStyle name="Примечание 4 11 3" xfId="4773" xr:uid="{BA8444D1-069F-4A4F-95BD-BDE10EE612F2}"/>
    <cellStyle name="Примечание 4 11 3 2" xfId="7414" xr:uid="{90299B84-9282-47A3-8F6F-68A0C5AA07C5}"/>
    <cellStyle name="Примечание 4 11 3 2 2" xfId="12253" xr:uid="{CCE06EB7-EA4A-457F-8898-63981A054B58}"/>
    <cellStyle name="Примечание 4 11 3 2 2 2" xfId="28934" xr:uid="{BCD1045B-755C-4B3A-AC6B-FD25CD38D72C}"/>
    <cellStyle name="Примечание 4 11 3 2 2 3" xfId="42167" xr:uid="{83EC95FB-E80A-419E-A86D-64E0E3B99313}"/>
    <cellStyle name="Примечание 4 11 3 2 3" xfId="24972" xr:uid="{60B4E863-11CD-4042-8EFC-0F2E39116CB1}"/>
    <cellStyle name="Примечание 4 11 3 2 4" xfId="38048" xr:uid="{44EAD356-4292-4D48-B8AA-5E0318F9975E}"/>
    <cellStyle name="Примечание 4 11 3 3" xfId="17125" xr:uid="{F5149C6D-1E58-44C7-A3DB-51EFC5367A61}"/>
    <cellStyle name="Примечание 4 11 3 3 2" xfId="32888" xr:uid="{4B2978A5-547D-4419-A5A5-E0D2290C02DD}"/>
    <cellStyle name="Примечание 4 11 3 3 3" xfId="46660" xr:uid="{AC7696B4-548B-44DF-AFAE-B75B3833B874}"/>
    <cellStyle name="Примечание 4 11 3 4" xfId="22575" xr:uid="{707CDBB5-ACC8-4764-B14E-4C39C95570FC}"/>
    <cellStyle name="Примечание 4 11 3 5" xfId="35628" xr:uid="{8E660BB6-83DD-4662-AC06-CC0ADBE860AB}"/>
    <cellStyle name="Примечание 4 11 4" xfId="5798" xr:uid="{DF0512B1-9599-4EF4-ABB0-F7720165181D}"/>
    <cellStyle name="Примечание 4 11 4 2" xfId="8959" xr:uid="{3DB82060-54F2-4406-88B3-7BDC08ECD2FF}"/>
    <cellStyle name="Примечание 4 11 4 2 2" xfId="11659" xr:uid="{3EAA0188-E956-4778-A5C5-78A68C2493F5}"/>
    <cellStyle name="Примечание 4 11 4 2 2 2" xfId="28400" xr:uid="{6349723D-3DD0-4367-8CDD-1BB7986ED89E}"/>
    <cellStyle name="Примечание 4 11 4 2 2 3" xfId="41604" xr:uid="{CCF7F459-5A5B-4041-BD81-AF9813AC7922}"/>
    <cellStyle name="Примечание 4 11 4 2 3" xfId="26444" xr:uid="{7D24514E-767B-4365-8783-FBC51A75EE02}"/>
    <cellStyle name="Примечание 4 11 4 2 4" xfId="39520" xr:uid="{731AC729-A431-439F-8454-1E5FAC917F36}"/>
    <cellStyle name="Примечание 4 11 4 3" xfId="13088" xr:uid="{A4FBEA8C-73BB-4BF9-976B-35431A5F73F1}"/>
    <cellStyle name="Примечание 4 11 4 3 2" xfId="29605" xr:uid="{74402EE8-688F-46FE-956C-ADEC3144EB3E}"/>
    <cellStyle name="Примечание 4 11 4 3 3" xfId="42915" xr:uid="{3617FBF0-427E-4345-A2E5-9F4255F87EAE}"/>
    <cellStyle name="Примечание 4 11 4 4" xfId="23445" xr:uid="{60383633-E758-4217-870B-BC36F8EE3726}"/>
    <cellStyle name="Примечание 4 11 4 5" xfId="36526" xr:uid="{5006C63A-295F-4659-B5C9-7D1EF5FBF5B4}"/>
    <cellStyle name="Примечание 4 11 5" xfId="12773" xr:uid="{995C3C17-8913-44B4-941D-716A4835A516}"/>
    <cellStyle name="Примечание 4 11 5 2" xfId="29348" xr:uid="{0644B852-9468-42C0-B816-2F7A46487947}"/>
    <cellStyle name="Примечание 4 11 5 3" xfId="42628" xr:uid="{4DA4FADE-AE05-4FC3-81E5-854DE73D1B06}"/>
    <cellStyle name="Примечание 4 11 6" xfId="21707" xr:uid="{35D85F15-DC40-4C78-9651-0EB6A574A421}"/>
    <cellStyle name="Примечание 4 11 7" xfId="34761" xr:uid="{39CC222B-46E7-42CF-BFC8-A9F0B580D9CD}"/>
    <cellStyle name="Примечание 4 12" xfId="3763" xr:uid="{96789C04-3C0D-43D0-9ABA-0F059EC2BC8E}"/>
    <cellStyle name="Примечание 4 12 2" xfId="3071" xr:uid="{D2DB5592-2777-42E1-80BA-E261DF22EAC0}"/>
    <cellStyle name="Примечание 4 12 2 2" xfId="8367" xr:uid="{2DF06449-F102-49BF-84F9-25731B52E885}"/>
    <cellStyle name="Примечание 4 12 2 2 2" xfId="17408" xr:uid="{44D58094-5169-46AF-91AD-26096F049A42}"/>
    <cellStyle name="Примечание 4 12 2 2 2 2" xfId="33162" xr:uid="{4AC1BD1D-ED9E-44B8-AF7F-F7DDFB8AAC94}"/>
    <cellStyle name="Примечание 4 12 2 2 2 3" xfId="46938" xr:uid="{CA76BC43-830D-4274-BC4E-31CAA20E86E1}"/>
    <cellStyle name="Примечание 4 12 2 2 3" xfId="25871" xr:uid="{13ACF67D-6B71-4AA4-9CE9-3EF377C08438}"/>
    <cellStyle name="Примечание 4 12 2 2 4" xfId="38947" xr:uid="{56C6A250-1F39-429C-9EB1-8BF50B729F8F}"/>
    <cellStyle name="Примечание 4 12 2 3" xfId="6734" xr:uid="{8D7E47F3-5E9D-4F3D-A2B4-078D3A1F74CD}"/>
    <cellStyle name="Примечание 4 12 2 3 2" xfId="17355" xr:uid="{1A497C14-9040-41D0-B1F0-3CE1C70547B9}"/>
    <cellStyle name="Примечание 4 12 2 3 2 2" xfId="33109" xr:uid="{08D3D2D0-F05D-4476-A087-7EFF3F3882D2}"/>
    <cellStyle name="Примечание 4 12 2 3 2 3" xfId="46885" xr:uid="{DF7D2F33-C6CC-4DBF-89A0-5BE06FD06E1D}"/>
    <cellStyle name="Примечание 4 12 2 3 3" xfId="24362" xr:uid="{5B5DA772-48D3-4BD3-9088-F4E37EC30454}"/>
    <cellStyle name="Примечание 4 12 2 3 4" xfId="37443" xr:uid="{66BAF287-D912-4D6C-A964-3AA03BC84A07}"/>
    <cellStyle name="Примечание 4 12 2 4" xfId="11068" xr:uid="{D228057F-A61F-4DF6-B31E-D6EC4B65D4F7}"/>
    <cellStyle name="Примечание 4 12 2 4 2" xfId="27871" xr:uid="{044CEC03-ADCF-4629-8E90-DC704C6C8BCA}"/>
    <cellStyle name="Примечание 4 12 2 4 3" xfId="41047" xr:uid="{37D9C84A-D176-4262-8D03-BD18920077CE}"/>
    <cellStyle name="Примечание 4 12 2 5" xfId="21114" xr:uid="{EACD86ED-453E-4178-94AB-0867A11D83D8}"/>
    <cellStyle name="Примечание 4 12 2 6" xfId="34137" xr:uid="{7F0E1558-87C0-4EBE-AF74-A48AA0A3676D}"/>
    <cellStyle name="Примечание 4 12 3" xfId="4765" xr:uid="{C188B4F7-E308-437E-A64B-8A90448FAEB3}"/>
    <cellStyle name="Примечание 4 12 3 2" xfId="7394" xr:uid="{B203ED92-2BBE-49B6-9C44-A2E1F336A4A1}"/>
    <cellStyle name="Примечание 4 12 3 2 2" xfId="11512" xr:uid="{9825CF6A-722B-4B6C-95E4-A929ABCFE599}"/>
    <cellStyle name="Примечание 4 12 3 2 2 2" xfId="28271" xr:uid="{9BDF8DE3-B88F-4A3E-81D1-1F37398EEA0A}"/>
    <cellStyle name="Примечание 4 12 3 2 2 3" xfId="41468" xr:uid="{09763196-8AEC-426F-978A-4451FF904A72}"/>
    <cellStyle name="Примечание 4 12 3 2 3" xfId="24953" xr:uid="{2399562F-E63E-42F0-99A1-C1C99CAB10EA}"/>
    <cellStyle name="Примечание 4 12 3 2 4" xfId="38029" xr:uid="{09CFA7A1-C4E6-47AC-ABCD-12C73100FCB0}"/>
    <cellStyle name="Примечание 4 12 3 3" xfId="13718" xr:uid="{56E619EA-5170-4517-8E77-37765219737B}"/>
    <cellStyle name="Примечание 4 12 3 3 2" xfId="30135" xr:uid="{7FE6462A-E54F-4066-9C1E-29671CFC5756}"/>
    <cellStyle name="Примечание 4 12 3 3 3" xfId="43496" xr:uid="{609FCB39-CD9A-45AC-A3F0-9D18987159DC}"/>
    <cellStyle name="Примечание 4 12 3 4" xfId="22568" xr:uid="{39A90BFC-8FBF-4B4E-B8AD-E2DE679097E8}"/>
    <cellStyle name="Примечание 4 12 3 5" xfId="35621" xr:uid="{129A34A9-33AA-45B5-A47E-BD2D5A1EFD8A}"/>
    <cellStyle name="Примечание 4 12 4" xfId="5762" xr:uid="{D87F4658-CA9F-4B54-8A34-A0BDEC3DA9F1}"/>
    <cellStyle name="Примечание 4 12 4 2" xfId="8951" xr:uid="{AAE16A76-F962-4CE6-9160-3D85913330AA}"/>
    <cellStyle name="Примечание 4 12 4 2 2" xfId="11656" xr:uid="{B39F0320-1121-4904-80E3-488FACF532DF}"/>
    <cellStyle name="Примечание 4 12 4 2 2 2" xfId="28397" xr:uid="{94383096-64BE-44C2-BE06-5AC80139E7D1}"/>
    <cellStyle name="Примечание 4 12 4 2 2 3" xfId="41601" xr:uid="{CD3B3104-7E17-4A2B-B8C3-0DAD3C00AB7C}"/>
    <cellStyle name="Примечание 4 12 4 2 3" xfId="26437" xr:uid="{2F70E387-F584-4631-8203-E9072B0333F5}"/>
    <cellStyle name="Примечание 4 12 4 2 4" xfId="39513" xr:uid="{0F804D96-3872-41A1-95F4-9B35DA73DBAD}"/>
    <cellStyle name="Примечание 4 12 4 3" xfId="17086" xr:uid="{C48FA657-D278-4F78-8111-6377C4178C76}"/>
    <cellStyle name="Примечание 4 12 4 3 2" xfId="32855" xr:uid="{5BD6C315-1667-49D2-B4DA-62201990268F}"/>
    <cellStyle name="Примечание 4 12 4 3 3" xfId="46626" xr:uid="{FE9A5716-34A9-4A45-B1E4-2E53C9649AA8}"/>
    <cellStyle name="Примечание 4 12 4 4" xfId="23409" xr:uid="{DC9B62C9-B3A4-4A07-98A0-3B8126714127}"/>
    <cellStyle name="Примечание 4 12 4 5" xfId="36490" xr:uid="{05FD1033-E658-43A0-88F6-C8BE8D1AA344}"/>
    <cellStyle name="Примечание 4 12 5" xfId="14881" xr:uid="{C8E2901A-5D83-48CF-BE44-BCB865B45D57}"/>
    <cellStyle name="Примечание 4 12 5 2" xfId="31131" xr:uid="{84644A16-DC15-4281-8C7A-BBEB76E353C6}"/>
    <cellStyle name="Примечание 4 12 5 3" xfId="44572" xr:uid="{EB9080B6-0D34-4950-B5B0-EA9E759DBEE5}"/>
    <cellStyle name="Примечание 4 12 6" xfId="21671" xr:uid="{AB01897E-B6AE-49CD-840E-DF03D39B7398}"/>
    <cellStyle name="Примечание 4 12 7" xfId="34725" xr:uid="{23CC1E92-A6E1-47BD-8F98-DB47EF8494A9}"/>
    <cellStyle name="Примечание 4 13" xfId="3750" xr:uid="{ABDBCFC0-F862-4FD8-A223-F55C246B5E4F}"/>
    <cellStyle name="Примечание 4 13 2" xfId="3064" xr:uid="{350B45CE-AAFA-4D0D-894F-3640A72E83E7}"/>
    <cellStyle name="Примечание 4 13 2 2" xfId="8360" xr:uid="{C6C77B63-9D98-4F15-B467-07DA193A2AD8}"/>
    <cellStyle name="Примечание 4 13 2 2 2" xfId="12533" xr:uid="{610D21D5-898D-4129-8876-76FA1018EF10}"/>
    <cellStyle name="Примечание 4 13 2 2 2 2" xfId="29158" xr:uid="{531CB09A-C25D-4B22-BD2D-825DCDCC36C5}"/>
    <cellStyle name="Примечание 4 13 2 2 2 3" xfId="42417" xr:uid="{4A9E97C9-CEDF-4576-B860-3CEEDE0A635B}"/>
    <cellStyle name="Примечание 4 13 2 2 3" xfId="25864" xr:uid="{17C6FF34-D2E2-46D6-AEC9-C3813B9FC6F2}"/>
    <cellStyle name="Примечание 4 13 2 2 4" xfId="38940" xr:uid="{BA037FFC-C281-4B35-B23E-40505655947A}"/>
    <cellStyle name="Примечание 4 13 2 3" xfId="6727" xr:uid="{02D69A31-5D0B-42E5-BC11-4F081C2CA832}"/>
    <cellStyle name="Примечание 4 13 2 3 2" xfId="14411" xr:uid="{7ADD7C59-B51A-4601-ADF4-32B5DE07086C}"/>
    <cellStyle name="Примечание 4 13 2 3 2 2" xfId="30741" xr:uid="{D9F5BCCC-E596-4865-8491-6581CAF657C2}"/>
    <cellStyle name="Примечание 4 13 2 3 2 3" xfId="44141" xr:uid="{0944C984-6CD4-4791-833D-4FA5A8C84A22}"/>
    <cellStyle name="Примечание 4 13 2 3 3" xfId="24355" xr:uid="{AEB50F69-908F-4BCC-AADC-E2E4400E5497}"/>
    <cellStyle name="Примечание 4 13 2 3 4" xfId="37436" xr:uid="{2CC7B06B-95FE-45CA-8D90-F764A45B838D}"/>
    <cellStyle name="Примечание 4 13 2 4" xfId="17283" xr:uid="{6F4474EE-AB3B-414D-AB8A-F99AC1F1C439}"/>
    <cellStyle name="Примечание 4 13 2 4 2" xfId="33041" xr:uid="{31288DC9-BAAF-43D3-82A1-D574FFDBEF24}"/>
    <cellStyle name="Примечание 4 13 2 4 3" xfId="46817" xr:uid="{443DC45F-F86A-474C-9678-75AB8C2DDA50}"/>
    <cellStyle name="Примечание 4 13 2 5" xfId="21107" xr:uid="{C50B02D2-112E-467C-9F43-97540BC59BFD}"/>
    <cellStyle name="Примечание 4 13 2 6" xfId="34130" xr:uid="{C4454761-3190-4212-BA99-0FB06301D097}"/>
    <cellStyle name="Примечание 4 13 3" xfId="4762" xr:uid="{C52DE425-E496-4066-B673-1B0D9543CF72}"/>
    <cellStyle name="Примечание 4 13 3 2" xfId="7385" xr:uid="{5555F90F-F2DB-4639-8250-A4FE2A6D8CD6}"/>
    <cellStyle name="Примечание 4 13 3 2 2" xfId="13157" xr:uid="{378C8772-5EFE-40E8-ADC0-FA2E2688B03B}"/>
    <cellStyle name="Примечание 4 13 3 2 2 2" xfId="29670" xr:uid="{9D072D14-9E2E-45B2-956C-EE27E1AD8897}"/>
    <cellStyle name="Примечание 4 13 3 2 2 3" xfId="42982" xr:uid="{0EBD1132-8C85-42A1-B397-05700E38725D}"/>
    <cellStyle name="Примечание 4 13 3 2 3" xfId="24944" xr:uid="{06AB0FB9-6274-4469-9EA6-59D84CC28DFF}"/>
    <cellStyle name="Примечание 4 13 3 2 4" xfId="38022" xr:uid="{261321CB-D8F2-47F3-A01E-7EB049EE25D6}"/>
    <cellStyle name="Примечание 4 13 3 3" xfId="11745" xr:uid="{6F2BD3A3-961E-4E1E-B7DD-41505D63D5F3}"/>
    <cellStyle name="Примечание 4 13 3 3 2" xfId="28472" xr:uid="{D54B04EF-29A6-4D8E-9E68-F621B18A5146}"/>
    <cellStyle name="Примечание 4 13 3 3 3" xfId="41683" xr:uid="{9817B80B-04F3-432A-A177-FD49E1CCEEF4}"/>
    <cellStyle name="Примечание 4 13 3 4" xfId="22565" xr:uid="{F1576E07-B11A-4A28-B3F4-6E1AF0A5DFDD}"/>
    <cellStyle name="Примечание 4 13 3 5" xfId="35618" xr:uid="{F52C5115-3050-4AD9-A744-135C1EBA8620}"/>
    <cellStyle name="Примечание 4 13 4" xfId="5755" xr:uid="{79E212DD-4CFD-4CEB-A6A6-1F41EA8D3B93}"/>
    <cellStyle name="Примечание 4 13 4 2" xfId="8944" xr:uid="{A33E7A29-E188-43A1-B714-3AC6E697A3E5}"/>
    <cellStyle name="Примечание 4 13 4 2 2" xfId="16020" xr:uid="{A0973C1A-89C9-41CF-B1A2-530F6DB5C335}"/>
    <cellStyle name="Примечание 4 13 4 2 2 2" xfId="32087" xr:uid="{8439F952-EDB5-4E7B-9407-86A9CCF418BB}"/>
    <cellStyle name="Примечание 4 13 4 2 2 3" xfId="45606" xr:uid="{59030C2F-971B-4DFA-BA6A-22DD1D06745A}"/>
    <cellStyle name="Примечание 4 13 4 2 3" xfId="26430" xr:uid="{8F65DA2D-D727-4A84-BE1C-0E8D77B6B6F2}"/>
    <cellStyle name="Примечание 4 13 4 2 4" xfId="39506" xr:uid="{DA336771-1CC6-494A-8F9B-349E7A58E453}"/>
    <cellStyle name="Примечание 4 13 4 3" xfId="11923" xr:uid="{337576C6-BA6C-4EE7-90E9-850BB4B1A8E3}"/>
    <cellStyle name="Примечание 4 13 4 3 2" xfId="28637" xr:uid="{EC98949A-2BCE-4754-BB91-B0AE62A73D7E}"/>
    <cellStyle name="Примечание 4 13 4 3 3" xfId="41854" xr:uid="{99D62A28-CA28-4362-88CC-FA81B58F1FAE}"/>
    <cellStyle name="Примечание 4 13 4 4" xfId="23402" xr:uid="{382FDAFB-38B7-4673-BD80-9EF6C8216B70}"/>
    <cellStyle name="Примечание 4 13 4 5" xfId="36483" xr:uid="{EA6FA477-3E1D-40CA-9847-F3A6C62BC022}"/>
    <cellStyle name="Примечание 4 13 5" xfId="12132" xr:uid="{C2932105-60F6-4622-B1BE-25E69482F440}"/>
    <cellStyle name="Примечание 4 13 5 2" xfId="28832" xr:uid="{CACBFB84-50D6-4DF6-AF24-D55040A7D16F}"/>
    <cellStyle name="Примечание 4 13 5 3" xfId="42052" xr:uid="{34B5193D-4F1F-4C2F-AF11-C16E6E056B82}"/>
    <cellStyle name="Примечание 4 13 6" xfId="21664" xr:uid="{BFF60951-3848-47BA-BC82-7F39693C673E}"/>
    <cellStyle name="Примечание 4 13 7" xfId="34718" xr:uid="{1FCEAC15-24B6-4BFF-ADA4-1E84F44A8A14}"/>
    <cellStyle name="Примечание 4 14" xfId="3830" xr:uid="{DC225BC4-145A-4932-8B46-DAADB915EF6A}"/>
    <cellStyle name="Примечание 4 14 2" xfId="3092" xr:uid="{ACE1B3A1-ABB5-4F03-B7D0-EBA2999ACACC}"/>
    <cellStyle name="Примечание 4 14 2 2" xfId="8384" xr:uid="{124D2E5F-02C5-45B4-84E6-30F283F83AD7}"/>
    <cellStyle name="Примечание 4 14 2 2 2" xfId="17410" xr:uid="{75E3691A-9AB1-4279-B879-35BBA18ADFE8}"/>
    <cellStyle name="Примечание 4 14 2 2 2 2" xfId="33164" xr:uid="{3F8A2B04-5A85-4C8E-90F4-4F5EC8C16926}"/>
    <cellStyle name="Примечание 4 14 2 2 2 3" xfId="46940" xr:uid="{8601F9DB-0608-4431-8F85-00CEC1E6D4D2}"/>
    <cellStyle name="Примечание 4 14 2 2 3" xfId="25887" xr:uid="{B683463B-F72D-40DC-833C-B1880479DE92}"/>
    <cellStyle name="Примечание 4 14 2 2 4" xfId="38963" xr:uid="{C7901648-8268-4AC0-8C3C-FE3D7663D033}"/>
    <cellStyle name="Примечание 4 14 2 3" xfId="6751" xr:uid="{F2BBF1EF-249A-4BAC-AEFC-942C76AA9443}"/>
    <cellStyle name="Примечание 4 14 2 3 2" xfId="16019" xr:uid="{25087F7F-55F8-4771-A26E-150E99307006}"/>
    <cellStyle name="Примечание 4 14 2 3 2 2" xfId="32086" xr:uid="{B21222EE-2717-4669-B976-2BCA36AC8E46}"/>
    <cellStyle name="Примечание 4 14 2 3 2 3" xfId="45605" xr:uid="{82ACF99C-38A8-408A-BEBC-CD14C11DAD6F}"/>
    <cellStyle name="Примечание 4 14 2 3 3" xfId="24378" xr:uid="{D8187795-B625-4EA4-BD31-140D89D2EBC3}"/>
    <cellStyle name="Примечание 4 14 2 3 4" xfId="37459" xr:uid="{229CED5B-5E09-4AE5-AB49-B7143E1C18A4}"/>
    <cellStyle name="Примечание 4 14 2 4" xfId="12135" xr:uid="{A4C07A88-EC40-470F-8592-31DAA05EBCD3}"/>
    <cellStyle name="Примечание 4 14 2 4 2" xfId="28835" xr:uid="{9C39D66E-DC36-4074-AA47-878AA4332981}"/>
    <cellStyle name="Примечание 4 14 2 4 3" xfId="42055" xr:uid="{F59151EB-6F3D-4E16-A76D-E4EB09FA3627}"/>
    <cellStyle name="Примечание 4 14 2 5" xfId="21130" xr:uid="{1715194A-E144-4E35-A6CF-04BE813B1F0F}"/>
    <cellStyle name="Примечание 4 14 2 6" xfId="34153" xr:uid="{4B9C8144-2D07-4FCB-B458-1B01D0F06552}"/>
    <cellStyle name="Примечание 4 14 3" xfId="4775" xr:uid="{CB10A333-5F7A-4BB9-A009-EC5E45F260BC}"/>
    <cellStyle name="Примечание 4 14 3 2" xfId="7417" xr:uid="{ECB3ADE9-CF4D-47FA-A1E6-EE60C40BE5D8}"/>
    <cellStyle name="Примечание 4 14 3 2 2" xfId="14478" xr:uid="{C3499A76-E2BD-4EF3-9738-813A02F33521}"/>
    <cellStyle name="Примечание 4 14 3 2 2 2" xfId="30802" xr:uid="{94315F9F-88B7-4FC9-87B6-023E145F25AA}"/>
    <cellStyle name="Примечание 4 14 3 2 2 3" xfId="44207" xr:uid="{B5DBC626-C559-4721-9801-70A1049B66A3}"/>
    <cellStyle name="Примечание 4 14 3 2 3" xfId="24974" xr:uid="{6407064A-4E93-4BFE-AE31-6261D0534F60}"/>
    <cellStyle name="Примечание 4 14 3 2 4" xfId="38050" xr:uid="{6872B627-9186-4104-886E-439D7A7097D4}"/>
    <cellStyle name="Примечание 4 14 3 3" xfId="11601" xr:uid="{B47523C7-814A-4AA3-BE6E-82F7904AE754}"/>
    <cellStyle name="Примечание 4 14 3 3 2" xfId="28350" xr:uid="{2A9E89FE-72B0-43DB-B00A-98A9B01D7173}"/>
    <cellStyle name="Примечание 4 14 3 3 3" xfId="41551" xr:uid="{0C8D304A-31AD-4965-91D9-B3EF08CE8DB6}"/>
    <cellStyle name="Примечание 4 14 3 4" xfId="22577" xr:uid="{0C6D6806-42E5-407F-93EC-D19D097FF86C}"/>
    <cellStyle name="Примечание 4 14 3 5" xfId="35630" xr:uid="{3B68C515-C4D6-466D-9757-FB28EDE100D2}"/>
    <cellStyle name="Примечание 4 14 4" xfId="5800" xr:uid="{A0E01154-0C02-4F5C-BE12-8AD7DF8213B8}"/>
    <cellStyle name="Примечание 4 14 4 2" xfId="8961" xr:uid="{DA0F999E-4CC0-4FC5-A209-1F7929B21F62}"/>
    <cellStyle name="Примечание 4 14 4 2 2" xfId="16259" xr:uid="{D2F72CB0-FB6C-4B18-A856-D22208A4CE64}"/>
    <cellStyle name="Примечание 4 14 4 2 2 2" xfId="32293" xr:uid="{88C4AC9D-5269-41D0-9FF8-468DF5756A5B}"/>
    <cellStyle name="Примечание 4 14 4 2 2 3" xfId="45822" xr:uid="{D73DFD04-1F47-4BA5-9B8E-C601E385597C}"/>
    <cellStyle name="Примечание 4 14 4 2 3" xfId="26446" xr:uid="{E0620080-510C-4DDF-A2E2-5A301E84EDDF}"/>
    <cellStyle name="Примечание 4 14 4 2 4" xfId="39522" xr:uid="{B8B75AF3-EF8D-40D6-890B-C0F67409AC22}"/>
    <cellStyle name="Примечание 4 14 4 3" xfId="15234" xr:uid="{499DA9D3-904B-4A68-931D-F2A056CFC2D7}"/>
    <cellStyle name="Примечание 4 14 4 3 2" xfId="31410" xr:uid="{7ED65478-31C3-4FC8-AE12-04654F9CC323}"/>
    <cellStyle name="Примечание 4 14 4 3 3" xfId="44885" xr:uid="{19BA4B65-6B23-46D0-8CEB-1CB439B27282}"/>
    <cellStyle name="Примечание 4 14 4 4" xfId="23447" xr:uid="{90678F9F-04FB-44F2-A537-91CAF86275EE}"/>
    <cellStyle name="Примечание 4 14 4 5" xfId="36528" xr:uid="{9FC1DA5E-E598-490E-8EE8-1174D415B8F2}"/>
    <cellStyle name="Примечание 4 14 5" xfId="17287" xr:uid="{16909C7C-B50D-46F6-8562-59CD570D6842}"/>
    <cellStyle name="Примечание 4 14 5 2" xfId="33045" xr:uid="{F0BA29C0-3444-4140-A7BE-C631EF437996}"/>
    <cellStyle name="Примечание 4 14 5 3" xfId="46821" xr:uid="{7B703169-726E-4849-9896-EC4B7EA707BC}"/>
    <cellStyle name="Примечание 4 14 6" xfId="21709" xr:uid="{C4FE8157-27B0-414D-BF08-9D814CF1AFEC}"/>
    <cellStyle name="Примечание 4 14 7" xfId="34763" xr:uid="{CBB47944-E119-4E7A-8E1D-AFBD7AF5BF14}"/>
    <cellStyle name="Примечание 4 15" xfId="3758" xr:uid="{761079A3-E60E-4A03-B30E-220CE90A15CA}"/>
    <cellStyle name="Примечание 4 15 2" xfId="3069" xr:uid="{DE7BF67B-9C0C-4D76-951E-B8C3AA4089D5}"/>
    <cellStyle name="Примечание 4 15 2 2" xfId="8365" xr:uid="{E2982E20-D878-4F18-AEC5-EA88C3118F01}"/>
    <cellStyle name="Примечание 4 15 2 2 2" xfId="13017" xr:uid="{D69E2DE4-27F3-4299-B1F5-7AB5A93DD40F}"/>
    <cellStyle name="Примечание 4 15 2 2 2 2" xfId="29549" xr:uid="{B82F32ED-C5DF-4500-A636-F483215FA447}"/>
    <cellStyle name="Примечание 4 15 2 2 2 3" xfId="42851" xr:uid="{AAA45E5F-A11D-4168-8972-3B1170810C90}"/>
    <cellStyle name="Примечание 4 15 2 2 3" xfId="25869" xr:uid="{C2025A1A-EE50-41BF-A20B-4508C8E41A96}"/>
    <cellStyle name="Примечание 4 15 2 2 4" xfId="38945" xr:uid="{ADA0D47A-5A9F-4881-83EF-B102A241FCF6}"/>
    <cellStyle name="Примечание 4 15 2 3" xfId="6732" xr:uid="{989FC65C-152A-45F1-8E95-41AC262D3B82}"/>
    <cellStyle name="Примечание 4 15 2 3 2" xfId="17517" xr:uid="{DAB27B4E-23E9-4858-9279-DB9473C60A69}"/>
    <cellStyle name="Примечание 4 15 2 3 2 2" xfId="33255" xr:uid="{36A47634-894B-4354-A1B0-320B27308846}"/>
    <cellStyle name="Примечание 4 15 2 3 2 3" xfId="47042" xr:uid="{BF102743-13BE-4368-BB95-263D69C8C435}"/>
    <cellStyle name="Примечание 4 15 2 3 3" xfId="24360" xr:uid="{BBAB6454-C591-40F2-B7EE-1C5160443E59}"/>
    <cellStyle name="Примечание 4 15 2 3 4" xfId="37441" xr:uid="{FFD9E0C6-179A-4096-92B0-A86F02109B0E}"/>
    <cellStyle name="Примечание 4 15 2 4" xfId="11531" xr:uid="{73706555-7F46-4020-A9F0-95238F1EE0C8}"/>
    <cellStyle name="Примечание 4 15 2 4 2" xfId="28289" xr:uid="{558DB98C-E394-4ADB-BD07-46B8B74728B7}"/>
    <cellStyle name="Примечание 4 15 2 4 3" xfId="41486" xr:uid="{2382FFFE-0AB9-4440-AF93-1A2A3A0CE23D}"/>
    <cellStyle name="Примечание 4 15 2 5" xfId="21112" xr:uid="{E5DF493F-D303-4148-8947-5317148C1EE3}"/>
    <cellStyle name="Примечание 4 15 2 6" xfId="34135" xr:uid="{2D7098D5-1A33-4BEC-B3A5-D8BE024AF216}"/>
    <cellStyle name="Примечание 4 15 3" xfId="4763" xr:uid="{A6AF9CB1-9CDF-4B32-B22A-F6ACDA783F23}"/>
    <cellStyle name="Примечание 4 15 3 2" xfId="7390" xr:uid="{D5A39DD9-0EA3-4154-A4AC-94526BB0B692}"/>
    <cellStyle name="Примечание 4 15 3 2 2" xfId="14764" xr:uid="{E5B631D5-96EC-4784-8B8F-2AF8BD845B1D}"/>
    <cellStyle name="Примечание 4 15 3 2 2 2" xfId="31036" xr:uid="{56189305-0A71-4ACC-9247-BE4501909ED5}"/>
    <cellStyle name="Примечание 4 15 3 2 2 3" xfId="44466" xr:uid="{5E355763-84B1-49EE-8088-E170FDB05D15}"/>
    <cellStyle name="Примечание 4 15 3 2 3" xfId="24949" xr:uid="{5ED55236-91F5-49A5-B469-791ABE88BCEE}"/>
    <cellStyle name="Примечание 4 15 3 2 4" xfId="38027" xr:uid="{ECCEBE94-0FAA-4E97-9ED8-B29C5FD9687C}"/>
    <cellStyle name="Примечание 4 15 3 3" xfId="11537" xr:uid="{EEE25931-DA23-4EF9-BEED-7D629A38CF18}"/>
    <cellStyle name="Примечание 4 15 3 3 2" xfId="28294" xr:uid="{ED57E642-CEC2-4B4F-A9CD-9BD8BC67A443}"/>
    <cellStyle name="Примечание 4 15 3 3 3" xfId="41492" xr:uid="{6B55B3E8-9AD7-42F6-94E3-934F4E60CF10}"/>
    <cellStyle name="Примечание 4 15 3 4" xfId="22566" xr:uid="{6B8B8A64-8DCE-43E8-ACA6-5654D2643C22}"/>
    <cellStyle name="Примечание 4 15 3 5" xfId="35619" xr:uid="{A2CA0CC0-953E-4D12-BE20-5BCB87438281}"/>
    <cellStyle name="Примечание 4 15 4" xfId="5760" xr:uid="{B7B976D1-149F-43CF-A1C1-748C714EEB18}"/>
    <cellStyle name="Примечание 4 15 4 2" xfId="8949" xr:uid="{808EC98D-A3E9-4A69-BFCB-BA90BA84D145}"/>
    <cellStyle name="Примечание 4 15 4 2 2" xfId="12791" xr:uid="{F8894318-23A6-4350-BECC-98A77710D4D0}"/>
    <cellStyle name="Примечание 4 15 4 2 2 2" xfId="29366" xr:uid="{C0626B3E-F3BE-4E95-B829-DD8444D92A1C}"/>
    <cellStyle name="Примечание 4 15 4 2 2 3" xfId="42646" xr:uid="{25FACE58-B91B-4727-BC83-FCA1B92D7D46}"/>
    <cellStyle name="Примечание 4 15 4 2 3" xfId="26435" xr:uid="{763155C3-16E7-4FE5-ABA9-24E6B9666C15}"/>
    <cellStyle name="Примечание 4 15 4 2 4" xfId="39511" xr:uid="{4027A221-D39F-4E63-A87A-E19D6A1CC0A4}"/>
    <cellStyle name="Примечание 4 15 4 3" xfId="14815" xr:uid="{C7A161C4-F167-4234-B5B5-0F0BD102B973}"/>
    <cellStyle name="Примечание 4 15 4 3 2" xfId="31077" xr:uid="{226E079E-8FAF-4122-8B51-A350BE06D1F3}"/>
    <cellStyle name="Примечание 4 15 4 3 3" xfId="44512" xr:uid="{C27907CF-AE57-4B30-897F-448363E2BD54}"/>
    <cellStyle name="Примечание 4 15 4 4" xfId="23407" xr:uid="{13231F2E-E86E-4552-AB3E-F0646B700DC0}"/>
    <cellStyle name="Примечание 4 15 4 5" xfId="36488" xr:uid="{DA889585-3B48-4B64-9E91-1D74B94FFC2A}"/>
    <cellStyle name="Примечание 4 15 5" xfId="17257" xr:uid="{0EA58FF9-D354-4E10-A386-205A826723E5}"/>
    <cellStyle name="Примечание 4 15 5 2" xfId="33016" xr:uid="{DC70D71F-AB44-4740-8857-208F59C92D9F}"/>
    <cellStyle name="Примечание 4 15 5 3" xfId="46791" xr:uid="{83C014DD-1A5C-4526-BDA6-8768EBFB9F4C}"/>
    <cellStyle name="Примечание 4 15 6" xfId="21669" xr:uid="{2F52F3AF-3A31-4042-B9BD-CE31A87A39FD}"/>
    <cellStyle name="Примечание 4 15 7" xfId="34723" xr:uid="{0C5CED48-EF4F-4EA8-951D-E7F53E06BD07}"/>
    <cellStyle name="Примечание 4 16" xfId="3859" xr:uid="{89DE5706-72CB-4DD1-BB06-D9636966E94B}"/>
    <cellStyle name="Примечание 4 16 2" xfId="3119" xr:uid="{47C77A2F-6245-4ED6-81C8-346C864D2E9A}"/>
    <cellStyle name="Примечание 4 16 2 2" xfId="8411" xr:uid="{F50A241A-E261-4AB8-90D6-9132A6988C15}"/>
    <cellStyle name="Примечание 4 16 2 2 2" xfId="12769" xr:uid="{7D875662-BC58-4318-BF19-559BAC7D08B1}"/>
    <cellStyle name="Примечание 4 16 2 2 2 2" xfId="29344" xr:uid="{59308B57-BCF7-47AF-916F-A1E3EEE2B5D3}"/>
    <cellStyle name="Примечание 4 16 2 2 2 3" xfId="42624" xr:uid="{F40D9030-0BAD-4C59-962D-47BBB8360957}"/>
    <cellStyle name="Примечание 4 16 2 2 3" xfId="25913" xr:uid="{E0195263-4CDA-4086-B811-D0FC99CE4B10}"/>
    <cellStyle name="Примечание 4 16 2 2 4" xfId="38989" xr:uid="{39E5F4B7-03CA-4BEC-B0DF-55EC97B70E76}"/>
    <cellStyle name="Примечание 4 16 2 3" xfId="6778" xr:uid="{86CBAAFE-5679-462E-AB4E-1ECEF4308DB5}"/>
    <cellStyle name="Примечание 4 16 2 3 2" xfId="14249" xr:uid="{658AB6FD-956E-46E5-A9E5-9BE4E237FB3A}"/>
    <cellStyle name="Примечание 4 16 2 3 2 2" xfId="30593" xr:uid="{CB4C4D04-D99A-43DC-9F78-4E2930BF5126}"/>
    <cellStyle name="Примечание 4 16 2 3 2 3" xfId="43985" xr:uid="{E5D53DA6-E809-4B7D-A271-65F8159E4B2C}"/>
    <cellStyle name="Примечание 4 16 2 3 3" xfId="24404" xr:uid="{DCC5B7C7-8772-4A00-8DE0-8AB6EB614E4F}"/>
    <cellStyle name="Примечание 4 16 2 3 4" xfId="37485" xr:uid="{34360092-A58F-439F-A0BA-DC8A7DC28583}"/>
    <cellStyle name="Примечание 4 16 2 4" xfId="11639" xr:uid="{0B0FE9A1-CF47-4E47-B4C6-8EF2A75AF366}"/>
    <cellStyle name="Примечание 4 16 2 4 2" xfId="28382" xr:uid="{81AD7727-0828-4972-9525-3F3DC552DC0E}"/>
    <cellStyle name="Примечание 4 16 2 4 3" xfId="41586" xr:uid="{B4BAA5A5-6447-4FF0-986B-4917D3CC7563}"/>
    <cellStyle name="Примечание 4 16 2 5" xfId="21156" xr:uid="{1DF2D94A-B4C6-48F7-B6EE-EE6AAF5BF224}"/>
    <cellStyle name="Примечание 4 16 2 6" xfId="34179" xr:uid="{3D493D2E-F770-411C-A18F-53DD2A85B348}"/>
    <cellStyle name="Примечание 4 16 3" xfId="4799" xr:uid="{77663919-E23C-402D-89D6-5B46C7615B2D}"/>
    <cellStyle name="Примечание 4 16 3 2" xfId="7443" xr:uid="{13E14270-D09E-4B35-86F5-D5CE625233A4}"/>
    <cellStyle name="Примечание 4 16 3 2 2" xfId="13184" xr:uid="{C9068F01-AF9A-4D12-B5B2-354D51A608D2}"/>
    <cellStyle name="Примечание 4 16 3 2 2 2" xfId="29690" xr:uid="{B2C142C4-7C09-40CA-AEA5-EB01B8306BA8}"/>
    <cellStyle name="Примечание 4 16 3 2 2 3" xfId="43007" xr:uid="{85E4E26F-E96E-4327-A677-22F18CB47DBF}"/>
    <cellStyle name="Примечание 4 16 3 2 3" xfId="25000" xr:uid="{FBA0D3B5-8539-495D-A47F-7CA0A7DC0B3C}"/>
    <cellStyle name="Примечание 4 16 3 2 4" xfId="38076" xr:uid="{A01283AE-F2FF-48AC-9DC8-51DF58FC3E82}"/>
    <cellStyle name="Примечание 4 16 3 3" xfId="11777" xr:uid="{94A72F3A-7F30-4C3E-8165-A0755CDA1492}"/>
    <cellStyle name="Примечание 4 16 3 3 2" xfId="28501" xr:uid="{D942349C-F8F7-4CF9-A551-8A23ED174453}"/>
    <cellStyle name="Примечание 4 16 3 3 3" xfId="41712" xr:uid="{03890ED7-4D71-4C5C-8442-3E8A5B634270}"/>
    <cellStyle name="Примечание 4 16 3 4" xfId="22601" xr:uid="{AC35615F-219F-44FE-BFF3-89A3ACA88898}"/>
    <cellStyle name="Примечание 4 16 3 5" xfId="35654" xr:uid="{ABB499E7-C07D-4B93-AB42-384EDD955207}"/>
    <cellStyle name="Примечание 4 16 4" xfId="5826" xr:uid="{D3F5484F-6308-471C-8260-7E22CF65D5E0}"/>
    <cellStyle name="Примечание 4 16 4 2" xfId="8984" xr:uid="{6A04129E-324E-4CE1-83AE-A15369310F62}"/>
    <cellStyle name="Примечание 4 16 4 2 2" xfId="14138" xr:uid="{DA1C4D4B-C251-44EC-A788-7DDB302F6447}"/>
    <cellStyle name="Примечание 4 16 4 2 2 2" xfId="30501" xr:uid="{34028CF3-C592-4B7A-9630-D189B9115565}"/>
    <cellStyle name="Примечание 4 16 4 2 2 3" xfId="43885" xr:uid="{77503BE1-3222-4A94-ABE3-4FE2DA405713}"/>
    <cellStyle name="Примечание 4 16 4 2 3" xfId="26469" xr:uid="{450BFCD5-0EAD-43C1-8BC2-EA6EAC3E8BEB}"/>
    <cellStyle name="Примечание 4 16 4 2 4" xfId="39545" xr:uid="{48F6C8CE-A3B3-4F5E-A14C-AF0C9F938DB4}"/>
    <cellStyle name="Примечание 4 16 4 3" xfId="15496" xr:uid="{2C7A3CBF-36E4-438E-B699-915461F54762}"/>
    <cellStyle name="Примечание 4 16 4 3 2" xfId="31635" xr:uid="{1B3B9B8C-6622-48B0-BCB4-F9236F05EB45}"/>
    <cellStyle name="Примечание 4 16 4 3 3" xfId="45132" xr:uid="{2110F0E3-82D7-49D8-BDA6-A02B55139025}"/>
    <cellStyle name="Примечание 4 16 4 4" xfId="23473" xr:uid="{A65F5519-F373-49F9-B07B-99452D5283CE}"/>
    <cellStyle name="Примечание 4 16 4 5" xfId="36554" xr:uid="{3B049FC6-1F0D-4FFF-A644-57F0DC6445E7}"/>
    <cellStyle name="Примечание 4 16 5" xfId="13373" xr:uid="{02353AAD-DA35-4EFC-B882-30ED2DB8FCCE}"/>
    <cellStyle name="Примечание 4 16 5 2" xfId="29846" xr:uid="{7A94AB79-0CF2-4308-A463-D4C50F011FEA}"/>
    <cellStyle name="Примечание 4 16 5 3" xfId="43181" xr:uid="{385113FD-84E8-44C7-9749-9E7CC3E0BBAA}"/>
    <cellStyle name="Примечание 4 16 6" xfId="21735" xr:uid="{58A7966B-E68E-468F-B8D2-F57E0F655963}"/>
    <cellStyle name="Примечание 4 16 7" xfId="34789" xr:uid="{A072BC49-A7B3-4D40-8DEB-D48B524D82CF}"/>
    <cellStyle name="Примечание 4 17" xfId="4029" xr:uid="{A02CE779-0501-4F4A-8B27-F44F4BA107EC}"/>
    <cellStyle name="Примечание 4 17 2" xfId="3249" xr:uid="{6628BFB4-AC76-4688-B432-888F4B0D0011}"/>
    <cellStyle name="Примечание 4 17 2 2" xfId="8540" xr:uid="{74239808-7CA8-459F-9860-F26ECF3F82EC}"/>
    <cellStyle name="Примечание 4 17 2 2 2" xfId="10774" xr:uid="{364D3ED0-EA0A-4042-8259-23C18CEFE7D3}"/>
    <cellStyle name="Примечание 4 17 2 2 2 2" xfId="27609" xr:uid="{BECFCF0F-B91D-4CEA-BE90-C691F2BF2645}"/>
    <cellStyle name="Примечание 4 17 2 2 2 3" xfId="40755" xr:uid="{97D82B35-7BC7-4D50-B483-356BC30FD276}"/>
    <cellStyle name="Примечание 4 17 2 2 3" xfId="26039" xr:uid="{E920FED2-F18B-4138-A700-6939C99C6AA5}"/>
    <cellStyle name="Примечание 4 17 2 2 4" xfId="39115" xr:uid="{61248C1D-4044-4C2B-8AF2-4D7384F3723B}"/>
    <cellStyle name="Примечание 4 17 2 3" xfId="6908" xr:uid="{5EF916D9-7E39-4923-BA5D-CBEB31EE977D}"/>
    <cellStyle name="Примечание 4 17 2 3 2" xfId="13729" xr:uid="{117F006C-A6DE-4CA9-B171-567B69A843D9}"/>
    <cellStyle name="Примечание 4 17 2 3 2 2" xfId="30145" xr:uid="{9418A1C2-1580-41BC-9ABA-960BB7BBB661}"/>
    <cellStyle name="Примечание 4 17 2 3 2 3" xfId="43507" xr:uid="{C61012B2-821B-4844-8462-25BE8E238276}"/>
    <cellStyle name="Примечание 4 17 2 3 3" xfId="24531" xr:uid="{36846123-526E-45E2-BFF6-B94B1A4AF738}"/>
    <cellStyle name="Примечание 4 17 2 3 4" xfId="37612" xr:uid="{375E01A4-7A2D-4C58-8E25-ABDC3D418C96}"/>
    <cellStyle name="Примечание 4 17 2 4" xfId="17292" xr:uid="{F6B17222-7A15-4B4E-B3B3-64E267AF491E}"/>
    <cellStyle name="Примечание 4 17 2 4 2" xfId="33050" xr:uid="{2A4B0921-75DB-4A45-8027-C9110FCDAD51}"/>
    <cellStyle name="Примечание 4 17 2 4 3" xfId="46826" xr:uid="{B5BD850B-B438-45D4-97A2-B82DA2C84513}"/>
    <cellStyle name="Примечание 4 17 2 5" xfId="21283" xr:uid="{AEBDB46B-B23F-4351-B075-5A784CD4F171}"/>
    <cellStyle name="Примечание 4 17 2 6" xfId="34306" xr:uid="{32F6B589-7D6E-4910-B6C4-2A04EE62E583}"/>
    <cellStyle name="Примечание 4 17 3" xfId="4934" xr:uid="{A4B497D2-AD38-44D4-A029-8B69924D7E5B}"/>
    <cellStyle name="Примечание 4 17 3 2" xfId="7603" xr:uid="{098510B8-6102-463B-8C8E-36A467131B29}"/>
    <cellStyle name="Примечание 4 17 3 2 2" xfId="11016" xr:uid="{49D3A429-2FF4-4153-80FB-2D5315077E54}"/>
    <cellStyle name="Примечание 4 17 3 2 2 2" xfId="27823" xr:uid="{43E6629D-7417-430B-8445-E051BE72AE32}"/>
    <cellStyle name="Примечание 4 17 3 2 2 3" xfId="40996" xr:uid="{DBF88BD5-E101-42E3-8287-8058A292FD76}"/>
    <cellStyle name="Примечание 4 17 3 2 3" xfId="25131" xr:uid="{B713CE03-923C-4989-8775-77E550F2BA80}"/>
    <cellStyle name="Примечание 4 17 3 2 4" xfId="38207" xr:uid="{04A89818-D4EF-4BE0-9D95-5492A7856CAF}"/>
    <cellStyle name="Примечание 4 17 3 3" xfId="11728" xr:uid="{121C0CA4-7A98-4DC5-A8A4-6017678B8028}"/>
    <cellStyle name="Примечание 4 17 3 3 2" xfId="28456" xr:uid="{6F126353-D54B-4945-B80F-3A052BBB9FFC}"/>
    <cellStyle name="Примечание 4 17 3 3 3" xfId="41667" xr:uid="{B90624C0-5109-4E32-8AA8-F7740E6C6CEB}"/>
    <cellStyle name="Примечание 4 17 3 4" xfId="22731" xr:uid="{02E2762A-5A9B-4ECD-96D2-FBAB9653C837}"/>
    <cellStyle name="Примечание 4 17 3 5" xfId="35784" xr:uid="{A5AD4DD4-79CA-488E-A6FB-6D9C840C514D}"/>
    <cellStyle name="Примечание 4 17 4" xfId="5957" xr:uid="{38F017C0-C9F6-4BB0-92F2-87169C8CC956}"/>
    <cellStyle name="Примечание 4 17 4 2" xfId="9097" xr:uid="{BCFF7058-48FF-4922-8A8D-BCF9DE542E63}"/>
    <cellStyle name="Примечание 4 17 4 2 2" xfId="14600" xr:uid="{372E3FB7-ECA8-4E72-B792-EEE5D8B7150A}"/>
    <cellStyle name="Примечание 4 17 4 2 2 2" xfId="30900" xr:uid="{52201137-EBAB-4077-A29D-243613723068}"/>
    <cellStyle name="Примечание 4 17 4 2 2 3" xfId="44319" xr:uid="{8096792C-9D5A-4CDA-AD8F-CA8F3BECD1CA}"/>
    <cellStyle name="Примечание 4 17 4 2 3" xfId="26578" xr:uid="{5BB4AFF7-C539-4000-B5F8-968706F61745}"/>
    <cellStyle name="Примечание 4 17 4 2 4" xfId="39654" xr:uid="{4B2CDA24-433D-44DD-A680-4D5900314814}"/>
    <cellStyle name="Примечание 4 17 4 3" xfId="13467" xr:uid="{1B2C6CB3-B81D-4E9D-B4C1-69C6006DCECD}"/>
    <cellStyle name="Примечание 4 17 4 3 2" xfId="29930" xr:uid="{27FCDC27-4A44-4775-AF1B-DFD559D970F4}"/>
    <cellStyle name="Примечание 4 17 4 3 3" xfId="43269" xr:uid="{BBF2FB7D-7FB7-40D7-90E8-40FB3567309B}"/>
    <cellStyle name="Примечание 4 17 4 4" xfId="23604" xr:uid="{4B843F7E-2FF0-4BE5-938F-C7754C39BBDA}"/>
    <cellStyle name="Примечание 4 17 4 5" xfId="36685" xr:uid="{2A8DD134-8BA7-4513-9123-E653455C1901}"/>
    <cellStyle name="Примечание 4 17 5" xfId="13487" xr:uid="{CC07797D-8957-4D7A-AB9A-24AA99B96143}"/>
    <cellStyle name="Примечание 4 17 5 2" xfId="29948" xr:uid="{ED847D3C-B899-4A5E-AAC8-8C90E7A2DBF9}"/>
    <cellStyle name="Примечание 4 17 5 3" xfId="43288" xr:uid="{D1E4C222-130D-4334-9DE9-FD4DC62CE908}"/>
    <cellStyle name="Примечание 4 17 6" xfId="21871" xr:uid="{AA78B163-D21E-4F93-97B4-A7406B3B3C6E}"/>
    <cellStyle name="Примечание 4 17 7" xfId="34920" xr:uid="{2BF659B6-0FBC-492F-971D-E7E966046BDB}"/>
    <cellStyle name="Примечание 4 18" xfId="3850" xr:uid="{76D1B55C-DF53-446F-A740-B47A0854D67C}"/>
    <cellStyle name="Примечание 4 18 2" xfId="3116" xr:uid="{9C29A17C-CDAF-4B79-A7B3-B37795945A5C}"/>
    <cellStyle name="Примечание 4 18 2 2" xfId="8408" xr:uid="{881C9DCE-07BD-4BC4-91C0-16706D942352}"/>
    <cellStyle name="Примечание 4 18 2 2 2" xfId="13287" xr:uid="{76FB36BC-204E-48D8-81E7-DD111BD418B7}"/>
    <cellStyle name="Примечание 4 18 2 2 2 2" xfId="29777" xr:uid="{621EC0AD-F1EF-426C-B3AA-4D52CC22E225}"/>
    <cellStyle name="Примечание 4 18 2 2 2 3" xfId="43104" xr:uid="{413C1043-A89C-4B6B-B11D-41AA4414134D}"/>
    <cellStyle name="Примечание 4 18 2 2 3" xfId="25910" xr:uid="{3296E1E7-258C-43DD-B5BC-AB70601C1229}"/>
    <cellStyle name="Примечание 4 18 2 2 4" xfId="38986" xr:uid="{FDD90295-247A-4EAE-939A-5A3777E0ABF9}"/>
    <cellStyle name="Примечание 4 18 2 3" xfId="6775" xr:uid="{CC682273-FDB1-47D9-B15A-106DCB0EE060}"/>
    <cellStyle name="Примечание 4 18 2 3 2" xfId="15020" xr:uid="{7C3BEDD0-D176-4834-B7F4-38A615396D47}"/>
    <cellStyle name="Примечание 4 18 2 3 2 2" xfId="31244" xr:uid="{22212EFB-4105-4137-B476-EA5C9D90906B}"/>
    <cellStyle name="Примечание 4 18 2 3 2 3" xfId="44695" xr:uid="{6EE4625E-C854-419B-A8E1-392477242D74}"/>
    <cellStyle name="Примечание 4 18 2 3 3" xfId="24401" xr:uid="{76E8B0E6-481F-4717-A5EF-6AF623521998}"/>
    <cellStyle name="Примечание 4 18 2 3 4" xfId="37482" xr:uid="{81954390-7B5A-465C-895B-902A323FB784}"/>
    <cellStyle name="Примечание 4 18 2 4" xfId="11946" xr:uid="{7EB8E489-894C-4DCE-B35C-25C62DD24FE8}"/>
    <cellStyle name="Примечание 4 18 2 4 2" xfId="28656" xr:uid="{419B2DD3-A95C-468E-A099-3656E02BEF76}"/>
    <cellStyle name="Примечание 4 18 2 4 3" xfId="41874" xr:uid="{9E82CD02-F881-4A48-A86A-7C6FF55672B1}"/>
    <cellStyle name="Примечание 4 18 2 5" xfId="21153" xr:uid="{142172F9-E69F-4885-88D5-A339FD89DF62}"/>
    <cellStyle name="Примечание 4 18 2 6" xfId="34176" xr:uid="{583B8800-29CB-40EA-9269-8B2555F36056}"/>
    <cellStyle name="Примечание 4 18 3" xfId="4795" xr:uid="{93CBDE61-684F-4CBC-B3F1-BFAE7C26A5BB}"/>
    <cellStyle name="Примечание 4 18 3 2" xfId="7437" xr:uid="{6A6C57CF-42A5-4475-A83A-F43304DCD24C}"/>
    <cellStyle name="Примечание 4 18 3 2 2" xfId="16422" xr:uid="{552576DD-AAAF-4DEE-8351-E7E70C075667}"/>
    <cellStyle name="Примечание 4 18 3 2 2 2" xfId="32436" xr:uid="{8BA6870E-A8EC-4C3A-8D57-B1DFB3E8D6E9}"/>
    <cellStyle name="Примечание 4 18 3 2 2 3" xfId="45973" xr:uid="{26A9D7B6-2299-4B49-A545-2A578F1CF3CA}"/>
    <cellStyle name="Примечание 4 18 3 2 3" xfId="24994" xr:uid="{C9B251B5-6183-4F34-BE5F-16D38A592467}"/>
    <cellStyle name="Примечание 4 18 3 2 4" xfId="38070" xr:uid="{CE24C620-BB7A-438A-9C2E-E723051F0045}"/>
    <cellStyle name="Примечание 4 18 3 3" xfId="14942" xr:uid="{D50E705F-6E71-4872-93B2-3CEFC26FAB57}"/>
    <cellStyle name="Примечание 4 18 3 3 2" xfId="31182" xr:uid="{3D6D7218-F4C2-44D8-8CE7-E64CAF610459}"/>
    <cellStyle name="Примечание 4 18 3 3 3" xfId="44629" xr:uid="{6BE94F5C-4851-4A0A-BC55-5CCB37064F60}"/>
    <cellStyle name="Примечание 4 18 3 4" xfId="22597" xr:uid="{40E291ED-3D77-4124-83D0-A036A9313478}"/>
    <cellStyle name="Примечание 4 18 3 5" xfId="35650" xr:uid="{271BBFBE-FFAE-4171-9BDF-D991413958C2}"/>
    <cellStyle name="Примечание 4 18 4" xfId="5820" xr:uid="{D6AB854A-254A-43D2-B92B-B7172FCA020E}"/>
    <cellStyle name="Примечание 4 18 4 2" xfId="8981" xr:uid="{8E2537CE-A4B4-407D-8AEB-ED6667B17533}"/>
    <cellStyle name="Примечание 4 18 4 2 2" xfId="14605" xr:uid="{98CDFA10-9771-465E-B30F-4BC0EF22D3DC}"/>
    <cellStyle name="Примечание 4 18 4 2 2 2" xfId="30905" xr:uid="{25925BAF-C827-4711-9F7F-051911D2FE32}"/>
    <cellStyle name="Примечание 4 18 4 2 2 3" xfId="44324" xr:uid="{9C6DC0F9-3B5E-4320-B900-E483F1768686}"/>
    <cellStyle name="Примечание 4 18 4 2 3" xfId="26466" xr:uid="{A36C1770-DF1C-4B9C-A881-BA94047349B3}"/>
    <cellStyle name="Примечание 4 18 4 2 4" xfId="39542" xr:uid="{209B8CB9-AAA8-4BB7-AD8C-5CA02FECED3D}"/>
    <cellStyle name="Примечание 4 18 4 3" xfId="11489" xr:uid="{E914D5BF-C412-4623-9E8B-CC3B6529974C}"/>
    <cellStyle name="Примечание 4 18 4 3 2" xfId="28251" xr:uid="{E1B4E1BC-6D5F-4AE1-B423-CA289BEB0867}"/>
    <cellStyle name="Примечание 4 18 4 3 3" xfId="41447" xr:uid="{9027F8AA-7974-4DC1-AF7C-BE5A2418267C}"/>
    <cellStyle name="Примечание 4 18 4 4" xfId="23467" xr:uid="{51D919B1-7C86-4326-8AB3-5AEA170CFFFD}"/>
    <cellStyle name="Примечание 4 18 4 5" xfId="36548" xr:uid="{A0EE3FCA-E5A5-4BFB-A57B-A2D37564680E}"/>
    <cellStyle name="Примечание 4 18 5" xfId="12217" xr:uid="{E3DF4AB2-A87E-443D-986F-CF691980E170}"/>
    <cellStyle name="Примечание 4 18 5 2" xfId="28903" xr:uid="{B25A1EBE-86A1-4299-817E-18AB6F21C413}"/>
    <cellStyle name="Примечание 4 18 5 3" xfId="42134" xr:uid="{6A1BEBD6-B140-4DB8-89BF-60023EC53380}"/>
    <cellStyle name="Примечание 4 18 6" xfId="21729" xr:uid="{88C1B68C-4B37-4FDB-A70C-F1FB0EDCC14B}"/>
    <cellStyle name="Примечание 4 18 7" xfId="34783" xr:uid="{0FC22D45-EEE9-4515-BFD0-D3F562C5CEF2}"/>
    <cellStyle name="Примечание 4 19" xfId="4019" xr:uid="{74DFDF57-AB9D-4BBB-B4BB-BC4DA7861CA0}"/>
    <cellStyle name="Примечание 4 19 2" xfId="3244" xr:uid="{03766759-D0E7-45F9-81FA-2A7F89BADE15}"/>
    <cellStyle name="Примечание 4 19 2 2" xfId="8535" xr:uid="{645DC091-0BAB-4B12-B004-C07875267296}"/>
    <cellStyle name="Примечание 4 19 2 2 2" xfId="14230" xr:uid="{2273E1CC-72AE-45A5-BB49-EC3CF362FBC8}"/>
    <cellStyle name="Примечание 4 19 2 2 2 2" xfId="30575" xr:uid="{28769667-E812-48EC-B40D-EF386199467F}"/>
    <cellStyle name="Примечание 4 19 2 2 2 3" xfId="43967" xr:uid="{774D146A-7484-44B3-8AF9-B08F6DCB02B0}"/>
    <cellStyle name="Примечание 4 19 2 2 3" xfId="26034" xr:uid="{53BA23C9-53FF-48A3-95DE-DA8800E90519}"/>
    <cellStyle name="Примечание 4 19 2 2 4" xfId="39110" xr:uid="{3CAC86E6-6FB8-4B92-BC51-CF8C0F416E56}"/>
    <cellStyle name="Примечание 4 19 2 3" xfId="6903" xr:uid="{9A060C35-E834-4142-B837-2A7A504CFD4A}"/>
    <cellStyle name="Примечание 4 19 2 3 2" xfId="13606" xr:uid="{F4D2B923-5EE7-4935-A7AD-B7C0D2A804E9}"/>
    <cellStyle name="Примечание 4 19 2 3 2 2" xfId="30045" xr:uid="{CD9F4694-4A1D-4FAE-8FF4-492701991C64}"/>
    <cellStyle name="Примечание 4 19 2 3 2 3" xfId="43397" xr:uid="{8EF1684D-B3C0-4AE2-9ADF-844C3AC635A9}"/>
    <cellStyle name="Примечание 4 19 2 3 3" xfId="24526" xr:uid="{4F600A56-3C4E-4367-A93D-BD9781381EAB}"/>
    <cellStyle name="Примечание 4 19 2 3 4" xfId="37607" xr:uid="{B343AAA0-779C-4DB6-AD57-273B7CABE5E2}"/>
    <cellStyle name="Примечание 4 19 2 4" xfId="16215" xr:uid="{E2BA1649-253F-4824-AE19-2B8EF26C43E7}"/>
    <cellStyle name="Примечание 4 19 2 4 2" xfId="32254" xr:uid="{09C899DA-A1A4-481F-BB1C-FC5BD44B1164}"/>
    <cellStyle name="Примечание 4 19 2 4 3" xfId="45782" xr:uid="{3AF3DFB5-954A-4724-9AD1-FF3C71DDE27E}"/>
    <cellStyle name="Примечание 4 19 2 5" xfId="21278" xr:uid="{E65EFEFE-0A1C-4D76-95ED-952C74F885C8}"/>
    <cellStyle name="Примечание 4 19 2 6" xfId="34301" xr:uid="{AFDF4F02-DA5C-4636-9433-C8229B85D002}"/>
    <cellStyle name="Примечание 4 19 3" xfId="4924" xr:uid="{7C16D3BA-DECF-4EB7-B984-4A30EDB7D78B}"/>
    <cellStyle name="Примечание 4 19 3 2" xfId="7593" xr:uid="{89872DD6-97CE-41CD-B14F-781FB9A7CF0A}"/>
    <cellStyle name="Примечание 4 19 3 2 2" xfId="11370" xr:uid="{3ABFF9A2-926C-449C-AF05-FE573339F9BE}"/>
    <cellStyle name="Примечание 4 19 3 2 2 2" xfId="28147" xr:uid="{527B3B08-BD8D-4208-B2C0-7FC7965CCA43}"/>
    <cellStyle name="Примечание 4 19 3 2 2 3" xfId="41336" xr:uid="{01A5802E-561E-4F6F-B651-3A38AE5E5110}"/>
    <cellStyle name="Примечание 4 19 3 2 3" xfId="25121" xr:uid="{9BB4F95F-2502-409A-85D6-5F26802D936D}"/>
    <cellStyle name="Примечание 4 19 3 2 4" xfId="38197" xr:uid="{8135CF7E-2FA1-4764-8C3B-A994E2C28E5A}"/>
    <cellStyle name="Примечание 4 19 3 3" xfId="15475" xr:uid="{E0F538B0-61D8-4076-B611-858672EF138A}"/>
    <cellStyle name="Примечание 4 19 3 3 2" xfId="31617" xr:uid="{58C6710F-C614-4D8C-9872-846D9CA794FF}"/>
    <cellStyle name="Примечание 4 19 3 3 3" xfId="45114" xr:uid="{7686552F-13CE-4706-B33E-5D8CE2F4F984}"/>
    <cellStyle name="Примечание 4 19 3 4" xfId="22721" xr:uid="{CABBEA6C-9537-47EC-B34C-1282500731F1}"/>
    <cellStyle name="Примечание 4 19 3 5" xfId="35774" xr:uid="{ED6FE02D-BE95-4516-AEDC-CC6E667C45E2}"/>
    <cellStyle name="Примечание 4 19 4" xfId="5947" xr:uid="{0754B75F-6D0D-4E08-8A7F-9071391CB274}"/>
    <cellStyle name="Примечание 4 19 4 2" xfId="9092" xr:uid="{FE0952D4-1406-44D6-98CE-8B68027CA43B}"/>
    <cellStyle name="Примечание 4 19 4 2 2" xfId="14871" xr:uid="{AC48DC7F-B798-44B0-B0DC-370606945572}"/>
    <cellStyle name="Примечание 4 19 4 2 2 2" xfId="31124" xr:uid="{E3E1CB21-817A-456A-A287-5260AD64086F}"/>
    <cellStyle name="Примечание 4 19 4 2 2 3" xfId="44563" xr:uid="{81FCA576-99A4-497A-8CCE-F943DE402B68}"/>
    <cellStyle name="Примечание 4 19 4 2 3" xfId="26573" xr:uid="{EE0D89B6-57BC-44B8-A555-5F7EF54DFE71}"/>
    <cellStyle name="Примечание 4 19 4 2 4" xfId="39649" xr:uid="{F33AE549-5E94-4941-80F6-29B3FE74CA5D}"/>
    <cellStyle name="Примечание 4 19 4 3" xfId="12241" xr:uid="{658ADCFB-A42B-4E1A-8691-F845C797351A}"/>
    <cellStyle name="Примечание 4 19 4 3 2" xfId="28922" xr:uid="{AD320432-7B02-4C40-B1AB-CE717C2CC058}"/>
    <cellStyle name="Примечание 4 19 4 3 3" xfId="42155" xr:uid="{C9B5E02A-1BA6-49DE-9C18-1980D1485A53}"/>
    <cellStyle name="Примечание 4 19 4 4" xfId="23594" xr:uid="{98304B65-907B-46CB-A264-319DF048AFA3}"/>
    <cellStyle name="Примечание 4 19 4 5" xfId="36675" xr:uid="{EC56EB22-D7C4-446A-A5DF-35F322798D69}"/>
    <cellStyle name="Примечание 4 19 5" xfId="16139" xr:uid="{93A214DE-EA33-44EA-BA66-5934EE1086B1}"/>
    <cellStyle name="Примечание 4 19 5 2" xfId="32193" xr:uid="{81951229-F171-4AD0-B383-B7AFD2FE6502}"/>
    <cellStyle name="Примечание 4 19 5 3" xfId="45714" xr:uid="{EEA3E791-E36D-45F8-9634-C456480901F4}"/>
    <cellStyle name="Примечание 4 19 6" xfId="21861" xr:uid="{DABCAFE3-52E2-4AF8-8252-F3A3E1D3C07B}"/>
    <cellStyle name="Примечание 4 19 7" xfId="34910" xr:uid="{2DFDCA16-89FF-4BB2-A802-F38670FF094B}"/>
    <cellStyle name="Примечание 4 2" xfId="3498" xr:uid="{077D68D9-F91C-4332-A2E7-7D446DD6D250}"/>
    <cellStyle name="Примечание 4 2 10" xfId="20514" xr:uid="{175D0652-041F-4F1A-954F-1F498E2E25E2}"/>
    <cellStyle name="Примечание 4 2 11" xfId="34514" xr:uid="{8326F6F8-B119-4270-A561-7BD190A65268}"/>
    <cellStyle name="Примечание 4 2 2" xfId="2840" xr:uid="{6003B342-202D-4878-95CF-6480ADA33D54}"/>
    <cellStyle name="Примечание 4 2 2 2" xfId="5160" xr:uid="{8FADACF9-081A-4B31-9EB8-389C38C44F6A}"/>
    <cellStyle name="Примечание 4 2 2 2 2" xfId="8136" xr:uid="{45C0A6F3-7FF6-489A-B4B6-98B8EB812747}"/>
    <cellStyle name="Примечание 4 2 2 2 2 2" xfId="13935" xr:uid="{DE65DB48-D85E-43EF-A5DD-B4E33E7416E1}"/>
    <cellStyle name="Примечание 4 2 2 2 2 2 2" xfId="30324" xr:uid="{42F58C3C-DD7A-4A52-8B01-9E2F86B86659}"/>
    <cellStyle name="Примечание 4 2 2 2 2 2 3" xfId="43700" xr:uid="{5FEFF2DC-085E-41BD-AC48-30B09B86470D}"/>
    <cellStyle name="Примечание 4 2 2 2 2 3" xfId="25647" xr:uid="{C7EE326D-6E0A-4831-B007-67BF5DFDFA6F}"/>
    <cellStyle name="Примечание 4 2 2 2 2 4" xfId="38723" xr:uid="{E9793B1F-6E8F-48B6-885C-E02ABC993490}"/>
    <cellStyle name="Примечание 4 2 2 2 3" xfId="16055" xr:uid="{5FDB99D7-6271-41B1-9B3C-9BEACC6D7958}"/>
    <cellStyle name="Примечание 4 2 2 2 3 2" xfId="32117" xr:uid="{859C7485-916B-40B9-878B-1671338E767A}"/>
    <cellStyle name="Примечание 4 2 2 2 3 3" xfId="45636" xr:uid="{1EF4DDC8-1410-4E70-835B-D038DEF64C64}"/>
    <cellStyle name="Примечание 4 2 2 2 4" xfId="22851" xr:uid="{42F3887D-407A-48AB-8548-BEA4A6D70C38}"/>
    <cellStyle name="Примечание 4 2 2 2 5" xfId="35917" xr:uid="{2AA1E76E-0A59-42F8-9703-4522973146A4}"/>
    <cellStyle name="Примечание 4 2 2 3" xfId="6503" xr:uid="{9C795FBF-F981-43AF-83FA-664CBB735EB2}"/>
    <cellStyle name="Примечание 4 2 2 3 2" xfId="15665" xr:uid="{B6B46F0A-198A-4B43-8958-CBFCB15F23BF}"/>
    <cellStyle name="Примечание 4 2 2 3 2 2" xfId="31780" xr:uid="{B432B23C-BA6C-47EC-A21E-2BD2D1163892}"/>
    <cellStyle name="Примечание 4 2 2 3 2 3" xfId="45286" xr:uid="{DB1B6477-65C1-4360-8696-ED5A71D123DF}"/>
    <cellStyle name="Примечание 4 2 2 3 3" xfId="24138" xr:uid="{A40B6E6A-BD0A-4D42-8ADF-A03F06BE4B29}"/>
    <cellStyle name="Примечание 4 2 2 3 4" xfId="37219" xr:uid="{9348CA5E-F4E1-402B-8785-FE5A51F46E68}"/>
    <cellStyle name="Примечание 4 2 2 4" xfId="12967" xr:uid="{787C2A6D-6B0C-4AB5-A82B-0E26B7DB5DC7}"/>
    <cellStyle name="Примечание 4 2 2 4 2" xfId="29505" xr:uid="{F353B2B1-CA8D-4092-B252-775472BBC3DD}"/>
    <cellStyle name="Примечание 4 2 2 4 3" xfId="42804" xr:uid="{7E239987-3F38-4387-AF67-5D68743CF86A}"/>
    <cellStyle name="Примечание 4 2 2 5" xfId="20890" xr:uid="{6285D5A6-CD53-4235-AE22-3EF9CDE0E3E0}"/>
    <cellStyle name="Примечание 4 2 2 6" xfId="33913" xr:uid="{105C48EC-5175-49CA-9373-CF0FAB268AC8}"/>
    <cellStyle name="Примечание 4 2 3" xfId="4189" xr:uid="{2FCF8B6F-0FD7-4BD9-92CD-EAA38694BCDE}"/>
    <cellStyle name="Примечание 4 2 3 2" xfId="5221" xr:uid="{71BCC27A-105D-48D1-8774-BBDB0AB34559}"/>
    <cellStyle name="Примечание 4 2 3 2 2" xfId="9241" xr:uid="{394A6406-AE20-4AF7-95C0-2DD5ABD8CED1}"/>
    <cellStyle name="Примечание 4 2 3 2 2 2" xfId="13946" xr:uid="{1777D855-E968-4125-92AA-8F0B281946CD}"/>
    <cellStyle name="Примечание 4 2 3 2 2 2 2" xfId="30334" xr:uid="{A38E88B7-BC50-4669-AF88-AFF7426B6E8A}"/>
    <cellStyle name="Примечание 4 2 3 2 2 2 3" xfId="43711" xr:uid="{CEC5D864-AC51-4115-BED1-66BCF5E25839}"/>
    <cellStyle name="Примечание 4 2 3 2 2 3" xfId="26716" xr:uid="{CF0D3F2D-EC11-47D1-AC3A-040B48652DFC}"/>
    <cellStyle name="Примечание 4 2 3 2 2 4" xfId="39792" xr:uid="{24BD9A5E-C5C3-4482-A1CC-3CB79FBCBAC1}"/>
    <cellStyle name="Примечание 4 2 3 2 3" xfId="15026" xr:uid="{A526D5C5-735B-4481-951C-96489F05F00A}"/>
    <cellStyle name="Примечание 4 2 3 2 3 2" xfId="31248" xr:uid="{7DE9AA3C-F0B9-47DE-94C9-5070332841EA}"/>
    <cellStyle name="Примечание 4 2 3 2 3 3" xfId="44701" xr:uid="{1F29F5D3-664C-40A6-A83C-89C1089EB803}"/>
    <cellStyle name="Примечание 4 2 3 2 4" xfId="22893" xr:uid="{51985693-16A6-40F3-90F5-31794863751C}"/>
    <cellStyle name="Примечание 4 2 3 2 5" xfId="35964" xr:uid="{E04E4740-F1D8-46FC-8844-3DC21F6E792D}"/>
    <cellStyle name="Примечание 4 2 3 3" xfId="7753" xr:uid="{C8E5A4E6-9C2C-4B93-B5EA-3C1681F373CF}"/>
    <cellStyle name="Примечание 4 2 3 3 2" xfId="14834" xr:uid="{6D8C36F9-AE13-4FB5-86C3-BE24609F1327}"/>
    <cellStyle name="Примечание 4 2 3 3 2 2" xfId="31091" xr:uid="{8FF437D1-406B-4179-9857-8D4D35AF982D}"/>
    <cellStyle name="Примечание 4 2 3 3 2 3" xfId="44529" xr:uid="{24B02A46-7FCF-410C-B80A-F56EFCC570A0}"/>
    <cellStyle name="Примечание 4 2 3 3 3" xfId="25275" xr:uid="{384F448A-0AFE-45C0-9389-64C98BEDD3D5}"/>
    <cellStyle name="Примечание 4 2 3 3 4" xfId="38351" xr:uid="{0D7166CE-5A45-49E3-96BF-CC7D38F3F2ED}"/>
    <cellStyle name="Примечание 4 2 3 4" xfId="14096" xr:uid="{2FCE7A55-53DE-4C81-84A4-6677C4C31F46}"/>
    <cellStyle name="Примечание 4 2 3 4 2" xfId="30463" xr:uid="{DFAF358D-BA58-4D8D-8E66-CAC0023ED752}"/>
    <cellStyle name="Примечание 4 2 3 4 3" xfId="43846" xr:uid="{D099D978-92BD-4933-A131-1C5501720EC2}"/>
    <cellStyle name="Примечание 4 2 3 5" xfId="22016" xr:uid="{54EC0CE7-0A87-48DC-954C-46D69C6FA1CB}"/>
    <cellStyle name="Примечание 4 2 3 6" xfId="35065" xr:uid="{F921406A-90CE-4C84-BC04-4A8AC8DF55D5}"/>
    <cellStyle name="Примечание 4 2 4" xfId="3196" xr:uid="{1AEA5D91-56CC-4FF7-93C9-6BB133C20E96}"/>
    <cellStyle name="Примечание 4 2 4 2" xfId="5067" xr:uid="{063C8E47-3DDE-4A20-A8B1-972092129EBD}"/>
    <cellStyle name="Примечание 4 2 4 2 2" xfId="8488" xr:uid="{6F46ABAA-CCE8-4329-A9AA-A462952C2EBA}"/>
    <cellStyle name="Примечание 4 2 4 2 2 2" xfId="17417" xr:uid="{2A2A0C51-07EF-4A53-AC93-B0E1887D447A}"/>
    <cellStyle name="Примечание 4 2 4 2 2 2 2" xfId="33171" xr:uid="{18821DD5-35FB-4EB7-A354-E005FE6A069D}"/>
    <cellStyle name="Примечание 4 2 4 2 2 2 3" xfId="46947" xr:uid="{39197491-BDD4-4275-95AB-595839CE5920}"/>
    <cellStyle name="Примечание 4 2 4 2 2 3" xfId="25988" xr:uid="{BCB4B723-70AC-4F55-B2EE-0980C977F6EF}"/>
    <cellStyle name="Примечание 4 2 4 2 2 4" xfId="39064" xr:uid="{B61BDF48-B0F6-4871-934A-AA0AD98B7474}"/>
    <cellStyle name="Примечание 4 2 4 2 3" xfId="17468" xr:uid="{7DF392C5-DAF1-471B-B8FE-B970099ED343}"/>
    <cellStyle name="Примечание 4 2 4 2 3 2" xfId="33211" xr:uid="{67B758CC-C39B-48EC-8F7D-984ED232B7AE}"/>
    <cellStyle name="Примечание 4 2 4 2 3 3" xfId="46997" xr:uid="{88152C94-2B96-4A64-B203-B8893BB40BF8}"/>
    <cellStyle name="Примечание 4 2 4 2 4" xfId="22811" xr:uid="{B9680150-2D15-4329-BBAA-5623C32BFF40}"/>
    <cellStyle name="Примечание 4 2 4 2 5" xfId="35877" xr:uid="{3A8E7FAC-D5A8-4BBD-9BE7-043D0A1738C6}"/>
    <cellStyle name="Примечание 4 2 4 3" xfId="6855" xr:uid="{1F110952-AF7C-4B10-9C3A-0475573C180B}"/>
    <cellStyle name="Примечание 4 2 4 3 2" xfId="14135" xr:uid="{448824FB-7EC4-465C-8ECA-C36D81CADE67}"/>
    <cellStyle name="Примечание 4 2 4 3 2 2" xfId="30498" xr:uid="{17098E4C-7FC4-460A-9206-08DF97F74D9D}"/>
    <cellStyle name="Примечание 4 2 4 3 2 3" xfId="43882" xr:uid="{A2D6BC01-1801-42F2-9BD4-EDDF4B58901D}"/>
    <cellStyle name="Примечание 4 2 4 3 3" xfId="24479" xr:uid="{0D1119EC-E1EF-406D-BD8F-3B816E5E756B}"/>
    <cellStyle name="Примечание 4 2 4 3 4" xfId="37560" xr:uid="{C685DAA9-9200-4673-8A41-5E0252A0C750}"/>
    <cellStyle name="Примечание 4 2 4 4" xfId="16824" xr:uid="{6382A5DF-3D78-4623-B142-E63B9AF2AE4B}"/>
    <cellStyle name="Примечание 4 2 4 4 2" xfId="32704" xr:uid="{888D0F65-ED30-41C9-A3D0-9149761DE1C4}"/>
    <cellStyle name="Примечание 4 2 4 4 3" xfId="46367" xr:uid="{E6A15147-24BC-4B3C-81A1-6040C628551B}"/>
    <cellStyle name="Примечание 4 2 4 5" xfId="21231" xr:uid="{F5CF3AEF-CAA4-4D95-823D-8C3A4F5516D1}"/>
    <cellStyle name="Примечание 4 2 4 6" xfId="34254" xr:uid="{B844D439-479C-4BCA-8CEC-9B423D19A2BC}"/>
    <cellStyle name="Примечание 4 2 5" xfId="4153" xr:uid="{644387AD-B811-4D19-BFFC-A8A3068B0B20}"/>
    <cellStyle name="Примечание 4 2 5 2" xfId="5058" xr:uid="{D06A1145-7A85-41DA-B2D5-429892864B9F}"/>
    <cellStyle name="Примечание 4 2 5 2 2" xfId="9205" xr:uid="{282B24E2-4115-4216-B218-8A0B64406F7B}"/>
    <cellStyle name="Примечание 4 2 5 2 2 2" xfId="11833" xr:uid="{DC0D61B1-A84C-4788-8852-A8E997B0FE40}"/>
    <cellStyle name="Примечание 4 2 5 2 2 2 2" xfId="28553" xr:uid="{B87F08F2-7132-4106-AB2E-AFDAACC06F58}"/>
    <cellStyle name="Примечание 4 2 5 2 2 2 3" xfId="41766" xr:uid="{64DC461C-7B62-4F14-8A33-FE69F15EA9C0}"/>
    <cellStyle name="Примечание 4 2 5 2 2 3" xfId="26680" xr:uid="{DB9EC43D-BB11-4D1B-821F-CFE68B0B50B3}"/>
    <cellStyle name="Примечание 4 2 5 2 2 4" xfId="39756" xr:uid="{B79027F2-C0DC-4020-B8A1-E21CB0E93FD5}"/>
    <cellStyle name="Примечание 4 2 5 2 3" xfId="12651" xr:uid="{8CAC1C68-0931-48DC-9020-FC0C7DD435B5}"/>
    <cellStyle name="Примечание 4 2 5 2 3 2" xfId="29253" xr:uid="{04BB6AD4-1D86-4334-A05B-A7D4288963ED}"/>
    <cellStyle name="Примечание 4 2 5 2 3 3" xfId="42522" xr:uid="{E1389838-AB3D-482A-9479-D0A71509D2A4}"/>
    <cellStyle name="Примечание 4 2 5 2 4" xfId="22807" xr:uid="{28785234-ABD0-4540-AE2E-D79915281F3C}"/>
    <cellStyle name="Примечание 4 2 5 2 5" xfId="35872" xr:uid="{64FE4B9F-F119-4A28-9C2A-B33AD27E0AEF}"/>
    <cellStyle name="Примечание 4 2 5 3" xfId="7717" xr:uid="{2F0D9EC6-EF1A-439F-9C99-022353B38704}"/>
    <cellStyle name="Примечание 4 2 5 3 2" xfId="16693" xr:uid="{FB8573F3-63E3-4F90-8E52-840D1C912D4C}"/>
    <cellStyle name="Примечание 4 2 5 3 2 2" xfId="32579" xr:uid="{62F0A4A8-4B81-46FA-B2B0-F10D75D85A5A}"/>
    <cellStyle name="Примечание 4 2 5 3 2 3" xfId="46238" xr:uid="{36331880-AD65-44F4-873A-DCEFF04BA317}"/>
    <cellStyle name="Примечание 4 2 5 3 3" xfId="25239" xr:uid="{3BB4EEB6-F134-4217-8FAA-B4388713AEB1}"/>
    <cellStyle name="Примечание 4 2 5 3 4" xfId="38315" xr:uid="{11F5FE09-7A01-47A0-809A-25F9BE875DA7}"/>
    <cellStyle name="Примечание 4 2 5 4" xfId="10923" xr:uid="{167B1D77-8C26-4215-B0E0-5E413785BA0A}"/>
    <cellStyle name="Примечание 4 2 5 4 2" xfId="27741" xr:uid="{812C02B7-B052-43AD-9EA5-9835A3061C8F}"/>
    <cellStyle name="Примечание 4 2 5 4 3" xfId="40903" xr:uid="{27CEE998-BDBB-40D0-8DF6-BF8BBFB285A6}"/>
    <cellStyle name="Примечание 4 2 5 5" xfId="21980" xr:uid="{8EC2D4F6-3E19-41C1-A2EF-748DA2A71593}"/>
    <cellStyle name="Примечание 4 2 5 6" xfId="35029" xr:uid="{AB812DEA-39B2-4818-A33B-E43BB7A1259D}"/>
    <cellStyle name="Примечание 4 2 6" xfId="4500" xr:uid="{937A8A69-4087-46B8-8338-1EFC2BF145DB}"/>
    <cellStyle name="Примечание 4 2 6 2" xfId="7140" xr:uid="{C9C8262A-4BAF-43CC-8EF4-E8A81838B27A}"/>
    <cellStyle name="Примечание 4 2 6 2 2" xfId="14607" xr:uid="{905F78D3-CE21-4056-AD9A-5791D8443DA7}"/>
    <cellStyle name="Примечание 4 2 6 2 2 2" xfId="30907" xr:uid="{3A45D2FD-5B49-405D-BE80-B84CCD4977A3}"/>
    <cellStyle name="Примечание 4 2 6 2 2 3" xfId="44326" xr:uid="{6DB81EF2-905A-45A8-82D1-65616F94C406}"/>
    <cellStyle name="Примечание 4 2 6 2 3" xfId="24739" xr:uid="{9A0D50C2-69B6-4DBD-8617-C6E3E32E9616}"/>
    <cellStyle name="Примечание 4 2 6 2 4" xfId="37820" xr:uid="{6EB84B26-6E16-4E2E-8E1B-3CA3B8CA20B0}"/>
    <cellStyle name="Примечание 4 2 6 3" xfId="17041" xr:uid="{D6DBDCCA-C582-45FA-8903-F0754A65FDAB}"/>
    <cellStyle name="Примечание 4 2 6 3 2" xfId="32815" xr:uid="{37FA64DD-1FD1-4487-8E9A-D85A9F9D4807}"/>
    <cellStyle name="Примечание 4 2 6 3 3" xfId="46583" xr:uid="{5CC7EC06-429D-4B03-8978-2177AAF6BDD9}"/>
    <cellStyle name="Примечание 4 2 6 4" xfId="22318" xr:uid="{3B78A42C-E78A-4B42-81EE-06E2F927CE44}"/>
    <cellStyle name="Примечание 4 2 6 5" xfId="35367" xr:uid="{D96145CE-7CD5-4AC0-87AC-AFB9556055D0}"/>
    <cellStyle name="Примечание 4 2 7" xfId="5553" xr:uid="{892217C7-5A51-4D2E-81ED-EF5F5FA3E4F4}"/>
    <cellStyle name="Примечание 4 2 7 2" xfId="8735" xr:uid="{A4531CD7-9FF7-4C67-9C7C-E951D5B03E48}"/>
    <cellStyle name="Примечание 4 2 7 2 2" xfId="11312" xr:uid="{0D43556B-24A3-4FBF-AD3E-22A4E8AA7A21}"/>
    <cellStyle name="Примечание 4 2 7 2 2 2" xfId="28093" xr:uid="{A7C03174-4115-41FF-8233-3AE07A6F24AC}"/>
    <cellStyle name="Примечание 4 2 7 2 2 3" xfId="41279" xr:uid="{855CC3A8-881B-4B84-91FC-EF7C66C6BBEA}"/>
    <cellStyle name="Примечание 4 2 7 2 3" xfId="26228" xr:uid="{73660C27-84C9-4FC7-A6D5-54C1860BE484}"/>
    <cellStyle name="Примечание 4 2 7 2 4" xfId="39304" xr:uid="{2E9314A9-45B6-4B7D-9EF1-A6531A0639FC}"/>
    <cellStyle name="Примечание 4 2 7 3" xfId="15324" xr:uid="{867D0E86-F8EF-44C4-B572-8D83A330D36C}"/>
    <cellStyle name="Примечание 4 2 7 3 2" xfId="31485" xr:uid="{78FB5B9D-CDE0-4FFD-B5AD-C3A56235A3F2}"/>
    <cellStyle name="Примечание 4 2 7 3 3" xfId="44970" xr:uid="{06D7BCB5-B3E5-4A52-BE29-F125795E0D34}"/>
    <cellStyle name="Примечание 4 2 7 4" xfId="23200" xr:uid="{8508FF86-1408-4AD2-BEA4-289087FA4BD0}"/>
    <cellStyle name="Примечание 4 2 7 5" xfId="36281" xr:uid="{005B0C31-6850-47B4-ABDC-0619CE48FA0D}"/>
    <cellStyle name="Примечание 4 2 8" xfId="17576" xr:uid="{DE71C941-9C41-462B-AAA9-F54E32882EF0}"/>
    <cellStyle name="Примечание 4 2 8 2" xfId="33313" xr:uid="{D139EA65-3116-4AC4-86B2-2116CBACF16A}"/>
    <cellStyle name="Примечание 4 2 8 3" xfId="47101" xr:uid="{0C4149BA-2EA7-4C0C-A8EA-96D71C2AA605}"/>
    <cellStyle name="Примечание 4 2 9" xfId="17761" xr:uid="{D17B849A-C8D7-4D4F-AD4D-8C1CA6ABB212}"/>
    <cellStyle name="Примечание 4 2 9 2" xfId="33483" xr:uid="{DE0CF9C7-18FC-49AF-9D75-4A7F86D4A890}"/>
    <cellStyle name="Примечание 4 2 9 3" xfId="47262" xr:uid="{3A2A6F7A-B677-4F66-8F3A-72A48967D176}"/>
    <cellStyle name="Примечание 4 20" xfId="3243" xr:uid="{735B2B52-EC51-4BFA-8AAE-664BA6AD5349}"/>
    <cellStyle name="Примечание 4 20 2" xfId="5037" xr:uid="{509BEF20-9542-4CB4-A650-058E20E01726}"/>
    <cellStyle name="Примечание 4 20 2 2" xfId="8534" xr:uid="{8C2ADD4F-C300-4620-98E6-087F38506FC2}"/>
    <cellStyle name="Примечание 4 20 2 2 2" xfId="14704" xr:uid="{5680B039-8A67-46C0-AB03-EAE24C68067E}"/>
    <cellStyle name="Примечание 4 20 2 2 2 2" xfId="30993" xr:uid="{9880DB30-1D3E-4A47-A64B-37C375D38E65}"/>
    <cellStyle name="Примечание 4 20 2 2 2 3" xfId="44415" xr:uid="{C0528D80-05F7-40AA-9EA7-DCD3823D3405}"/>
    <cellStyle name="Примечание 4 20 2 2 3" xfId="26033" xr:uid="{E034B59B-1020-4726-9323-A3D9A73DFD31}"/>
    <cellStyle name="Примечание 4 20 2 2 4" xfId="39109" xr:uid="{D3E657C9-2273-4727-BD8F-3D352A281D5A}"/>
    <cellStyle name="Примечание 4 20 2 3" xfId="12355" xr:uid="{F461C77A-4F13-47D8-AA66-CC9062D80EBB}"/>
    <cellStyle name="Примечание 4 20 2 3 2" xfId="29021" xr:uid="{2F5BD7BF-4ACB-475B-8481-BDB9FF61282F}"/>
    <cellStyle name="Примечание 4 20 2 3 3" xfId="42261" xr:uid="{86FD93C2-CB5F-46C4-B270-7AD5C0375B05}"/>
    <cellStyle name="Примечание 4 20 2 4" xfId="22789" xr:uid="{E586AD37-C222-47DE-BC85-4CE7895997EA}"/>
    <cellStyle name="Примечание 4 20 2 5" xfId="35852" xr:uid="{4C5B63F6-C9AF-403C-804B-B93746D8C25D}"/>
    <cellStyle name="Примечание 4 20 3" xfId="6902" xr:uid="{4D802612-46E8-40B9-9D4E-2AD9040169EE}"/>
    <cellStyle name="Примечание 4 20 3 2" xfId="11823" xr:uid="{20CC695C-9405-471A-B288-556F7C2CE98B}"/>
    <cellStyle name="Примечание 4 20 3 2 2" xfId="28543" xr:uid="{46906711-5A12-4A34-B4AF-3F5D0FEC5780}"/>
    <cellStyle name="Примечание 4 20 3 2 3" xfId="41756" xr:uid="{17EBFEA5-7490-493C-A454-41D879AD9B91}"/>
    <cellStyle name="Примечание 4 20 3 3" xfId="24525" xr:uid="{E521FD1A-23E7-48FC-B31A-6EBB129A15B9}"/>
    <cellStyle name="Примечание 4 20 3 4" xfId="37606" xr:uid="{2F3845B0-41BA-4B46-86C8-5091AD45A5AB}"/>
    <cellStyle name="Примечание 4 20 4" xfId="15689" xr:uid="{9F5E4D37-1242-4593-9EDB-30F0B66E5354}"/>
    <cellStyle name="Примечание 4 20 4 2" xfId="31801" xr:uid="{E4F16765-9648-4835-9F4F-D39549836C27}"/>
    <cellStyle name="Примечание 4 20 4 3" xfId="45309" xr:uid="{DB655229-9638-4DA5-BDEC-92B811B64048}"/>
    <cellStyle name="Примечание 4 20 5" xfId="21277" xr:uid="{FB63E90E-3D2C-4245-B456-FBD77A7078C9}"/>
    <cellStyle name="Примечание 4 20 6" xfId="34300" xr:uid="{34519887-1E5A-4468-8240-8A3C6063B889}"/>
    <cellStyle name="Примечание 4 21" xfId="2657" xr:uid="{5DB21A8F-1E2A-446D-AEB4-3315B709AED4}"/>
    <cellStyle name="Примечание 4 21 2" xfId="7954" xr:uid="{8F20F7B6-EEC8-4B2D-BCD9-30053F8582CD}"/>
    <cellStyle name="Примечание 4 21 2 2" xfId="16889" xr:uid="{3F8443AB-70FF-4951-A025-36AA993B4B8B}"/>
    <cellStyle name="Примечание 4 21 2 2 2" xfId="32765" xr:uid="{7BBCEE13-C12B-47D5-9590-A7989BD66BFB}"/>
    <cellStyle name="Примечание 4 21 2 2 3" xfId="46431" xr:uid="{0F20BD1F-FC88-4B89-8172-C252F041DF9F}"/>
    <cellStyle name="Примечание 4 21 2 3" xfId="25470" xr:uid="{E4043109-11E6-44A5-9585-D053008A7431}"/>
    <cellStyle name="Примечание 4 21 2 4" xfId="38546" xr:uid="{344A5B64-C800-4CB1-9AB2-2B86CE8BFED7}"/>
    <cellStyle name="Примечание 4 21 3" xfId="6321" xr:uid="{819DA2F5-2CB7-4C6D-B13F-B9A0CD0AC2CF}"/>
    <cellStyle name="Примечание 4 21 3 2" xfId="10920" xr:uid="{4124A880-8913-4705-9265-8D5144163E67}"/>
    <cellStyle name="Примечание 4 21 3 2 2" xfId="27738" xr:uid="{2AC8D5A1-8A30-4498-8B0C-116ED0698F88}"/>
    <cellStyle name="Примечание 4 21 3 2 3" xfId="40900" xr:uid="{9E28D248-EF4C-4094-98F1-52E05C159BDB}"/>
    <cellStyle name="Примечание 4 21 3 3" xfId="23961" xr:uid="{42D303C5-A72E-4E39-AAFD-65185DDA361E}"/>
    <cellStyle name="Примечание 4 21 3 4" xfId="37042" xr:uid="{B8A6E9E1-139C-4B75-A005-3BD2285B622E}"/>
    <cellStyle name="Примечание 4 21 4" xfId="16205" xr:uid="{6A7D28A9-3B82-43E7-A6D8-B08DC416B190}"/>
    <cellStyle name="Примечание 4 21 4 2" xfId="32246" xr:uid="{DF7E7686-BB77-49C0-81F2-1A994BE7A56C}"/>
    <cellStyle name="Примечание 4 21 4 3" xfId="45772" xr:uid="{2C28C768-3189-41CA-9BBE-CAF69A9FB554}"/>
    <cellStyle name="Примечание 4 21 5" xfId="20713" xr:uid="{BC4BE4CD-1924-45C1-BB34-89D35E7D6E65}"/>
    <cellStyle name="Примечание 4 21 6" xfId="33736" xr:uid="{BD708A67-B78E-480A-B84C-09A07A1B8F78}"/>
    <cellStyle name="Примечание 4 22" xfId="4066" xr:uid="{B2666510-C1C2-4ABD-B8C7-EF5F8733E6DC}"/>
    <cellStyle name="Примечание 4 22 2" xfId="9118" xr:uid="{4F81062B-8799-404A-B79C-32990F29571D}"/>
    <cellStyle name="Примечание 4 22 2 2" xfId="15194" xr:uid="{381FA050-02D7-477E-BA08-150C7C8CB7CE}"/>
    <cellStyle name="Примечание 4 22 2 2 2" xfId="31378" xr:uid="{579F2C69-1344-4011-AE63-1325AF1929E4}"/>
    <cellStyle name="Примечание 4 22 2 2 3" xfId="44849" xr:uid="{1F03CAE8-7AB0-4B82-95CD-5ACCD8B2CDBA}"/>
    <cellStyle name="Примечание 4 22 2 3" xfId="26599" xr:uid="{AF3ED14F-BA3F-4B4D-8722-801A8FB29E52}"/>
    <cellStyle name="Примечание 4 22 2 4" xfId="39675" xr:uid="{3DEC2E1B-6E70-4CB9-A3AA-F52B62830FA6}"/>
    <cellStyle name="Примечание 4 22 3" xfId="7630" xr:uid="{4375C05F-8410-4666-B43E-34489613315B}"/>
    <cellStyle name="Примечание 4 22 3 2" xfId="16186" xr:uid="{3280A668-2966-4798-A03C-31DBE0AFCCB0}"/>
    <cellStyle name="Примечание 4 22 3 2 2" xfId="32231" xr:uid="{35FE0A47-EFCB-4AD8-88B1-EF335F7786C2}"/>
    <cellStyle name="Примечание 4 22 3 2 3" xfId="45754" xr:uid="{F69D7765-BE80-4E9B-8DCF-E47FCF0D1A56}"/>
    <cellStyle name="Примечание 4 22 3 3" xfId="25158" xr:uid="{7E2C1FF7-8E82-4018-A0E5-D630AA4CFF15}"/>
    <cellStyle name="Примечание 4 22 3 4" xfId="38234" xr:uid="{370E2016-8C9F-46FE-95BC-FA0F47EB91EF}"/>
    <cellStyle name="Примечание 4 22 4" xfId="10627" xr:uid="{707EC539-13FE-4DE5-BC39-EE7FE92B9BD4}"/>
    <cellStyle name="Примечание 4 22 4 2" xfId="27486" xr:uid="{F3AC66F2-DB40-43F5-A564-7DB80D3D8E47}"/>
    <cellStyle name="Примечание 4 22 4 3" xfId="40608" xr:uid="{E790EECF-A9DD-4D4B-A460-69C99A83B399}"/>
    <cellStyle name="Примечание 4 22 5" xfId="21899" xr:uid="{76D6465C-8C1D-49DF-A881-DDF84A643200}"/>
    <cellStyle name="Примечание 4 22 6" xfId="34948" xr:uid="{E4252D50-CDBB-4723-9A57-A9ED5B6F3399}"/>
    <cellStyle name="Примечание 4 23" xfId="2566" xr:uid="{CA0E0F22-72BD-4CDB-8FE5-0A03DA79440D}"/>
    <cellStyle name="Примечание 4 23 2" xfId="7864" xr:uid="{5B92D659-BACC-4356-832A-FEFB39A2F892}"/>
    <cellStyle name="Примечание 4 23 2 2" xfId="17487" xr:uid="{7A25D367-3F11-4870-832D-EDDB43CAB70C}"/>
    <cellStyle name="Примечание 4 23 2 2 2" xfId="33230" xr:uid="{612D4A2C-3539-40F1-BBDF-975D259DBD07}"/>
    <cellStyle name="Примечание 4 23 2 2 3" xfId="47016" xr:uid="{352DDA90-3E9B-4037-B2F0-E7DB62648309}"/>
    <cellStyle name="Примечание 4 23 2 3" xfId="25383" xr:uid="{3927099B-3CB5-420F-A560-229CEB7BBF55}"/>
    <cellStyle name="Примечание 4 23 2 4" xfId="38459" xr:uid="{B90C3577-6941-4166-89BF-9FA94F3F6A0C}"/>
    <cellStyle name="Примечание 4 23 3" xfId="6231" xr:uid="{0182B9A2-D26D-4FE5-BECB-CB3C4E8B5C18}"/>
    <cellStyle name="Примечание 4 23 3 2" xfId="13592" xr:uid="{F1C6575B-7426-4061-97D0-DC821BE489C2}"/>
    <cellStyle name="Примечание 4 23 3 2 2" xfId="30032" xr:uid="{98749CD2-D327-42C1-97A1-F3B969163770}"/>
    <cellStyle name="Примечание 4 23 3 2 3" xfId="43384" xr:uid="{274302ED-CC4C-4CEE-9B02-385B40E7436E}"/>
    <cellStyle name="Примечание 4 23 3 3" xfId="23874" xr:uid="{B7DFCB2F-B69A-4296-A2C7-A134D267C337}"/>
    <cellStyle name="Примечание 4 23 3 4" xfId="36955" xr:uid="{192AC925-4234-4D9B-A514-171B1096723E}"/>
    <cellStyle name="Примечание 4 23 4" xfId="14791" xr:uid="{6519C64A-217E-4214-8456-D920C451E748}"/>
    <cellStyle name="Примечание 4 23 4 2" xfId="31057" xr:uid="{8366A228-881E-4C62-8A63-0341A41717C2}"/>
    <cellStyle name="Примечание 4 23 4 3" xfId="44489" xr:uid="{096D2205-ECC0-450A-92F3-16D373F8E984}"/>
    <cellStyle name="Примечание 4 23 5" xfId="20626" xr:uid="{28F6E7E5-8936-4C3B-A6F6-108183EC6FA7}"/>
    <cellStyle name="Примечание 4 23 6" xfId="33649" xr:uid="{56EC3ADF-AD00-490B-8E0D-E257F0A578FA}"/>
    <cellStyle name="Примечание 4 24" xfId="2533" xr:uid="{6DFD9162-3BC9-4C7C-BCBF-5FBA22FA1074}"/>
    <cellStyle name="Примечание 4 24 2" xfId="6131" xr:uid="{EAB6E398-1F69-46A3-BD15-D017FBBB0B06}"/>
    <cellStyle name="Примечание 4 24 2 2" xfId="12054" xr:uid="{2C8B005B-D808-4212-8105-F928CC9AB81F}"/>
    <cellStyle name="Примечание 4 24 2 2 2" xfId="28754" xr:uid="{5D791CBD-46AE-4CA7-B113-3DE81C68A3AE}"/>
    <cellStyle name="Примечание 4 24 2 2 3" xfId="41974" xr:uid="{A94EFEDA-6F78-4216-86A1-9760C09A2C69}"/>
    <cellStyle name="Примечание 4 24 2 3" xfId="23776" xr:uid="{91EB6FFE-9E2A-4C0E-81CE-5C1B842639D8}"/>
    <cellStyle name="Примечание 4 24 2 4" xfId="36857" xr:uid="{581DB9C5-7A70-46A2-B536-2E3D4324BDC3}"/>
    <cellStyle name="Примечание 4 24 3" xfId="6198" xr:uid="{6A0385CB-68EE-409C-8797-F2D2EE4D5A3C}"/>
    <cellStyle name="Примечание 4 24 3 2" xfId="15446" xr:uid="{FC54C522-217F-430C-A182-B3F0B2E234F5}"/>
    <cellStyle name="Примечание 4 24 3 2 2" xfId="31591" xr:uid="{3A37D66E-D14B-4DC7-937A-F27A3028A759}"/>
    <cellStyle name="Примечание 4 24 3 2 3" xfId="45086" xr:uid="{0EBBF443-9F23-4277-9045-48A103BFB477}"/>
    <cellStyle name="Примечание 4 24 3 3" xfId="23843" xr:uid="{FCB58C6E-1211-4FBD-B34F-3E85B73B3BEF}"/>
    <cellStyle name="Примечание 4 24 3 4" xfId="36924" xr:uid="{7F651CD6-38EB-4179-A432-BA47838719B6}"/>
    <cellStyle name="Примечание 4 24 4" xfId="15852" xr:uid="{9B7F2807-44B2-401E-B243-B65D0A73B318}"/>
    <cellStyle name="Примечание 4 24 4 2" xfId="31945" xr:uid="{EE3B58CD-E289-4E5D-8182-98265E4923ED}"/>
    <cellStyle name="Примечание 4 24 4 3" xfId="45457" xr:uid="{7C9C957F-A73D-4C67-91D7-FAF0FF271991}"/>
    <cellStyle name="Примечание 4 24 5" xfId="20595" xr:uid="{689A70B4-1D9E-40DB-A301-EB0A39B65B77}"/>
    <cellStyle name="Примечание 4 24 6" xfId="33618" xr:uid="{1DDE686D-CC8F-4D3C-B772-D04B1E6B188B}"/>
    <cellStyle name="Примечание 4 25" xfId="4308" xr:uid="{4B7D4217-1BB7-41E6-BA5B-5D8C3871CD07}"/>
    <cellStyle name="Примечание 4 25 2" xfId="6176" xr:uid="{A9913BEC-A9D8-4EB7-94AE-E1B03D173C99}"/>
    <cellStyle name="Примечание 4 25 2 2" xfId="14705" xr:uid="{FB702136-8108-4073-A5ED-31483DF1C573}"/>
    <cellStyle name="Примечание 4 25 2 2 2" xfId="30994" xr:uid="{16D26C07-4A26-49C5-8E02-930F9BB43BB0}"/>
    <cellStyle name="Примечание 4 25 2 2 3" xfId="44416" xr:uid="{77331693-1632-43E1-AEB6-82DDB6ED8BC1}"/>
    <cellStyle name="Примечание 4 25 2 3" xfId="23821" xr:uid="{71213267-641C-4591-A5FD-C1F663B6196E}"/>
    <cellStyle name="Примечание 4 25 2 4" xfId="36902" xr:uid="{1C9916A6-36B7-4E7D-9BB1-54CF323F54A3}"/>
    <cellStyle name="Примечание 4 25 3" xfId="15053" xr:uid="{CE78064B-F6E3-43E1-AB23-D2FF037AADEE}"/>
    <cellStyle name="Примечание 4 25 3 2" xfId="31265" xr:uid="{3871E1C7-2D36-49B4-923F-088BFC3A342B}"/>
    <cellStyle name="Примечание 4 25 3 3" xfId="44721" xr:uid="{F1175E2A-90E3-48B4-848E-B719A34FFABD}"/>
    <cellStyle name="Примечание 4 25 4" xfId="22129" xr:uid="{F04CF073-0AE9-435F-B7E3-BA18E8A90E8B}"/>
    <cellStyle name="Примечание 4 25 5" xfId="35178" xr:uid="{FA7D861B-BFCC-4D95-9CD0-8C59519168EB}"/>
    <cellStyle name="Примечание 4 26" xfId="5288" xr:uid="{17422D83-8431-4A81-B316-D6CFC5CF09F2}"/>
    <cellStyle name="Примечание 4 26 2" xfId="9721" xr:uid="{686A95A7-44B8-4A75-8CCB-8015652E12AE}"/>
    <cellStyle name="Примечание 4 26 2 2" xfId="13046" xr:uid="{71873D0E-D969-4A7E-BEC9-47973745CD62}"/>
    <cellStyle name="Примечание 4 26 2 2 2" xfId="29572" xr:uid="{0EF07EC0-55F3-4A48-87B8-C37FD0A3621C}"/>
    <cellStyle name="Примечание 4 26 2 2 3" xfId="42876" xr:uid="{2F6E929D-0285-4F27-A2EE-C4BA4511E96B}"/>
    <cellStyle name="Примечание 4 26 2 3" xfId="27020" xr:uid="{A8B57BF3-5A7A-4904-8F59-6FFA81B5C9BE}"/>
    <cellStyle name="Примечание 4 26 2 4" xfId="40137" xr:uid="{1085CFC2-607A-4673-B3A9-94C21FD2D755}"/>
    <cellStyle name="Примечание 4 26 3" xfId="15697" xr:uid="{B5AC28B9-3DBD-418C-917F-CFE093FD46ED}"/>
    <cellStyle name="Примечание 4 26 3 2" xfId="31809" xr:uid="{6D099A26-7540-4654-8A17-33D4D1FCB24A}"/>
    <cellStyle name="Примечание 4 26 3 3" xfId="45317" xr:uid="{C25DDFB3-AD9B-4607-BE68-B5395F1E0AC1}"/>
    <cellStyle name="Примечание 4 26 4" xfId="22939" xr:uid="{FF9D4F14-A601-42F4-95EE-85800FA207DA}"/>
    <cellStyle name="Примечание 4 26 5" xfId="36018" xr:uid="{4B28F153-5AD6-43F2-8A61-057D4DEE1EBB}"/>
    <cellStyle name="Примечание 4 27" xfId="5364" xr:uid="{D7268B0F-4EAA-4752-8905-D510F03D3D4B}"/>
    <cellStyle name="Примечание 4 27 2" xfId="9795" xr:uid="{765E0169-50EE-480E-B249-8466D872A594}"/>
    <cellStyle name="Примечание 4 27 2 2" xfId="14421" xr:uid="{FEE28A17-8CEF-49AE-8140-F539BE401ECF}"/>
    <cellStyle name="Примечание 4 27 2 2 2" xfId="30751" xr:uid="{4CB83436-1A52-4847-B197-107F1B75EAB6}"/>
    <cellStyle name="Примечание 4 27 2 2 3" xfId="44151" xr:uid="{FFC063D3-6177-44DA-9CCB-83DA7172F473}"/>
    <cellStyle name="Примечание 4 27 2 3" xfId="27092" xr:uid="{40FEC8B8-8C57-4E95-A5E7-C9925D143459}"/>
    <cellStyle name="Примечание 4 27 2 4" xfId="40211" xr:uid="{9DC05FC4-CAAF-422D-80FF-09E1AF294342}"/>
    <cellStyle name="Примечание 4 27 3" xfId="12916" xr:uid="{F0F633AE-5D34-49F4-B32F-3090B8166AEB}"/>
    <cellStyle name="Примечание 4 27 3 2" xfId="29461" xr:uid="{34410FCE-4837-419D-99BB-0627B0A6B8AD}"/>
    <cellStyle name="Примечание 4 27 3 3" xfId="42757" xr:uid="{9C963FC2-0562-434D-994C-1739DDA7F5C3}"/>
    <cellStyle name="Примечание 4 27 4" xfId="23011" xr:uid="{EBC128D8-1E62-4009-AFB5-6D6C27DE2E19}"/>
    <cellStyle name="Примечание 4 27 5" xfId="36092" xr:uid="{516CC54E-6C2A-45A4-8162-E887D3BDFCC0}"/>
    <cellStyle name="Примечание 4 28" xfId="10577" xr:uid="{B43A2219-5622-4EC9-ADC9-6C1764E5DB52}"/>
    <cellStyle name="Примечание 4 28 2" xfId="17622" xr:uid="{EF48C11E-9214-4FFC-84B5-1B9C581AB8B2}"/>
    <cellStyle name="Примечание 4 28 2 2" xfId="33357" xr:uid="{2E74BF4E-27E7-42B6-9A5C-9EA317555868}"/>
    <cellStyle name="Примечание 4 28 2 3" xfId="47147" xr:uid="{7D27F3A6-6ACA-46B2-8C21-B6CCC11B46E9}"/>
    <cellStyle name="Примечание 4 28 3" xfId="27436" xr:uid="{F41F2B6E-DF7A-4277-82BB-D69A05059E52}"/>
    <cellStyle name="Примечание 4 28 4" xfId="40558" xr:uid="{DAAFD8A4-15B9-4560-A7F9-8FFDB50086BE}"/>
    <cellStyle name="Примечание 4 29" xfId="12077" xr:uid="{E6DD7938-590A-4922-95F0-1E212101759B}"/>
    <cellStyle name="Примечание 4 29 2" xfId="28777" xr:uid="{6CB6BC27-7412-497F-80B2-1C783154275F}"/>
    <cellStyle name="Примечание 4 29 3" xfId="41997" xr:uid="{ABC5805F-4B24-4C0A-A368-302E64B09576}"/>
    <cellStyle name="Примечание 4 3" xfId="3306" xr:uid="{0B8B694B-28E0-403F-93A8-7968F1C010C1}"/>
    <cellStyle name="Примечание 4 3 10" xfId="34353" xr:uid="{ED3E092D-7039-4CA6-AAD9-39CDF4EA1D7C}"/>
    <cellStyle name="Примечание 4 3 2" xfId="2668" xr:uid="{8EED06D6-FA18-412B-BEBA-0E3CFBE1514B}"/>
    <cellStyle name="Примечание 4 3 2 2" xfId="7964" xr:uid="{DE3C737E-A5C2-4EC8-A94F-94B23A77DB70}"/>
    <cellStyle name="Примечание 4 3 2 2 2" xfId="16330" xr:uid="{52C27341-9791-4CDF-A744-51D9E725D40B}"/>
    <cellStyle name="Примечание 4 3 2 2 2 2" xfId="32354" xr:uid="{76CCC4EC-330C-419D-9BB9-C7264EA414E9}"/>
    <cellStyle name="Примечание 4 3 2 2 2 3" xfId="45885" xr:uid="{291DAF61-70F0-476F-A20B-E0B895B7623F}"/>
    <cellStyle name="Примечание 4 3 2 2 3" xfId="25480" xr:uid="{195E6D46-D9E8-4269-A705-AD52138CB89E}"/>
    <cellStyle name="Примечание 4 3 2 2 4" xfId="38556" xr:uid="{CFE86268-4564-47D4-8384-F0CAB27AC833}"/>
    <cellStyle name="Примечание 4 3 2 3" xfId="6331" xr:uid="{8D93D9D1-2C3B-464E-88B2-0A0325FC8D15}"/>
    <cellStyle name="Примечание 4 3 2 3 2" xfId="12524" xr:uid="{7078A447-36DD-4852-8DBF-207590DE58BF}"/>
    <cellStyle name="Примечание 4 3 2 3 2 2" xfId="29151" xr:uid="{CFC58887-9D85-45B8-B8C4-E83E8C16A25A}"/>
    <cellStyle name="Примечание 4 3 2 3 2 3" xfId="42409" xr:uid="{259A2949-C35C-4C8F-80D6-386DBC04907A}"/>
    <cellStyle name="Примечание 4 3 2 3 3" xfId="23971" xr:uid="{54B859E1-5991-40C8-BB9E-598C4206A6F1}"/>
    <cellStyle name="Примечание 4 3 2 3 4" xfId="37052" xr:uid="{3797C1BE-447C-4C2C-8676-6B0E906AD12F}"/>
    <cellStyle name="Примечание 4 3 2 4" xfId="14745" xr:uid="{094B5C56-BFEC-496E-964D-3FD1CEDC677D}"/>
    <cellStyle name="Примечание 4 3 2 4 2" xfId="31023" xr:uid="{881E792F-7EE0-48D5-8531-09DEF9DB4135}"/>
    <cellStyle name="Примечание 4 3 2 4 3" xfId="44449" xr:uid="{98EB2B96-104D-4FBC-9785-74B30F2D2A4E}"/>
    <cellStyle name="Примечание 4 3 2 5" xfId="20723" xr:uid="{79AAFCA5-CD24-4916-8397-A094E4B02CB1}"/>
    <cellStyle name="Примечание 4 3 2 6" xfId="33746" xr:uid="{1D03E76F-9E25-40D1-9385-4E63AB0986B0}"/>
    <cellStyle name="Примечание 4 3 3" xfId="4168" xr:uid="{13EBCAA0-854A-4175-860B-36CE00D05C1E}"/>
    <cellStyle name="Примечание 4 3 3 2" xfId="9220" xr:uid="{32449D80-0631-46EA-B565-EC1F979C9033}"/>
    <cellStyle name="Примечание 4 3 3 2 2" xfId="13174" xr:uid="{F841709B-21D7-4298-B4D6-51E24E39F976}"/>
    <cellStyle name="Примечание 4 3 3 2 2 2" xfId="29684" xr:uid="{3870E268-5EFF-4084-B78C-4CA4DCB14F90}"/>
    <cellStyle name="Примечание 4 3 3 2 2 3" xfId="42998" xr:uid="{72D8F7B1-C8CD-41D1-BC09-9F6762FCAFA2}"/>
    <cellStyle name="Примечание 4 3 3 2 3" xfId="26695" xr:uid="{B5B7326B-83DF-4819-B086-2D90EB1D29DA}"/>
    <cellStyle name="Примечание 4 3 3 2 4" xfId="39771" xr:uid="{CF722242-5945-4275-8E84-73733D732D55}"/>
    <cellStyle name="Примечание 4 3 3 3" xfId="7732" xr:uid="{BF801BA5-77B1-41D7-9B8D-A9EAFD8EBF6E}"/>
    <cellStyle name="Примечание 4 3 3 3 2" xfId="11411" xr:uid="{5509B220-BFA3-409D-BF7F-A6C9056AC3D3}"/>
    <cellStyle name="Примечание 4 3 3 3 2 2" xfId="28181" xr:uid="{DBA0706C-E85A-4FFF-80F0-9A4630D7098F}"/>
    <cellStyle name="Примечание 4 3 3 3 2 3" xfId="41372" xr:uid="{ACD0E954-0C51-4FB0-AD10-820BA6803C8A}"/>
    <cellStyle name="Примечание 4 3 3 3 3" xfId="25254" xr:uid="{10347FAC-B9DC-439E-970B-3E642962697C}"/>
    <cellStyle name="Примечание 4 3 3 3 4" xfId="38330" xr:uid="{18ABCC02-5CF9-4F9B-A355-564DE626F588}"/>
    <cellStyle name="Примечание 4 3 3 4" xfId="11717" xr:uid="{A7DC7B41-A87B-4932-9244-94F9D3591A1D}"/>
    <cellStyle name="Примечание 4 3 3 4 2" xfId="28448" xr:uid="{FFFEDAD1-F8AC-4B06-A34F-09F90A7DDCE0}"/>
    <cellStyle name="Примечание 4 3 3 4 3" xfId="41658" xr:uid="{D3846DBC-428D-47BF-B21E-BD9B4E77E2A5}"/>
    <cellStyle name="Примечание 4 3 3 5" xfId="21995" xr:uid="{F901CE46-417C-4F56-A632-C2377FDFC240}"/>
    <cellStyle name="Примечание 4 3 3 6" xfId="35044" xr:uid="{7E23F4CF-7D48-4E6E-8919-66742B922CCB}"/>
    <cellStyle name="Примечание 4 3 4" xfId="2568" xr:uid="{18D82F76-445C-4D7F-A4B1-1644ECE08AE2}"/>
    <cellStyle name="Примечание 4 3 4 2" xfId="7865" xr:uid="{6C323AD6-53FF-4B32-92C4-068638DA3DDB}"/>
    <cellStyle name="Примечание 4 3 4 2 2" xfId="17490" xr:uid="{FBFFD12C-2125-4DD1-970C-DB1564429F79}"/>
    <cellStyle name="Примечание 4 3 4 2 2 2" xfId="33233" xr:uid="{752E5707-A97C-4408-A559-F9CE8D804DE3}"/>
    <cellStyle name="Примечание 4 3 4 2 2 3" xfId="47019" xr:uid="{4BF6DC76-87AE-4208-884F-B2CBC06DDB14}"/>
    <cellStyle name="Примечание 4 3 4 2 3" xfId="25384" xr:uid="{A05452CF-D5EF-4E02-B497-E5A886E3F406}"/>
    <cellStyle name="Примечание 4 3 4 2 4" xfId="38460" xr:uid="{12D7BC3C-A626-44D1-8135-7B58B08D38B8}"/>
    <cellStyle name="Примечание 4 3 4 3" xfId="6232" xr:uid="{EB955284-FEB4-4075-B35C-2D97543A6DE5}"/>
    <cellStyle name="Примечание 4 3 4 3 2" xfId="15107" xr:uid="{47529D51-80A7-42E6-993D-6D6DD9D3C727}"/>
    <cellStyle name="Примечание 4 3 4 3 2 2" xfId="31312" xr:uid="{7657C97D-16C1-4D84-8D29-40FA982D781D}"/>
    <cellStyle name="Примечание 4 3 4 3 2 3" xfId="44774" xr:uid="{F093F32F-5FD7-4A42-B7CE-3980CB0107B7}"/>
    <cellStyle name="Примечание 4 3 4 3 3" xfId="23875" xr:uid="{63A93F1D-8050-464E-B227-A893BC4ABB36}"/>
    <cellStyle name="Примечание 4 3 4 3 4" xfId="36956" xr:uid="{FCAEA552-E6BF-4E90-8383-E2A6A541AE6C}"/>
    <cellStyle name="Примечание 4 3 4 4" xfId="11708" xr:uid="{B84ABB6E-629A-4E6D-97AC-5A6C95647ABF}"/>
    <cellStyle name="Примечание 4 3 4 4 2" xfId="28440" xr:uid="{AF607E89-7D54-4B6D-9DEB-3E88ED45B0D2}"/>
    <cellStyle name="Примечание 4 3 4 4 3" xfId="41650" xr:uid="{6345AD52-8E54-421B-8C07-94F8A93108B2}"/>
    <cellStyle name="Примечание 4 3 4 5" xfId="20627" xr:uid="{52492400-A6A0-4274-87EA-63057CAE3E25}"/>
    <cellStyle name="Примечание 4 3 4 6" xfId="33650" xr:uid="{1A080D24-906F-40B1-BB2E-827F9141D516}"/>
    <cellStyle name="Примечание 4 3 5" xfId="4227" xr:uid="{0890E2D6-94FD-42E3-9A0A-5AB4DD026B95}"/>
    <cellStyle name="Примечание 4 3 5 2" xfId="9279" xr:uid="{1AC41B55-C5C8-470D-ABC2-EB6F90AE16F9}"/>
    <cellStyle name="Примечание 4 3 5 2 2" xfId="12291" xr:uid="{2A9B57B2-A2F8-4D22-82A8-5BDE405EFC07}"/>
    <cellStyle name="Примечание 4 3 5 2 2 2" xfId="28965" xr:uid="{979AAB3F-8F61-4811-8684-1A9EC8796F83}"/>
    <cellStyle name="Примечание 4 3 5 2 2 3" xfId="42202" xr:uid="{27122FEF-ED16-4B14-B4D4-038A907A873F}"/>
    <cellStyle name="Примечание 4 3 5 2 3" xfId="26752" xr:uid="{08B87468-4AF7-4CD6-BFF8-1734F5D46B26}"/>
    <cellStyle name="Примечание 4 3 5 2 4" xfId="39828" xr:uid="{76999678-1022-4B3E-82A0-DB15AFA0FF30}"/>
    <cellStyle name="Примечание 4 3 5 3" xfId="7791" xr:uid="{6C29A89D-ED20-4F06-97B2-E36C3CA08DC8}"/>
    <cellStyle name="Примечание 4 3 5 3 2" xfId="11971" xr:uid="{18F5652D-5F60-4971-AD86-9EE106D2CA27}"/>
    <cellStyle name="Примечание 4 3 5 3 2 2" xfId="28679" xr:uid="{688A9143-8A0A-4F77-BBDE-797A294ABC36}"/>
    <cellStyle name="Примечание 4 3 5 3 2 3" xfId="41897" xr:uid="{85028D3B-87D0-47D6-A6FE-A764707446E4}"/>
    <cellStyle name="Примечание 4 3 5 3 3" xfId="25311" xr:uid="{2FEB7ADF-DA54-42D5-B771-6FD244659D17}"/>
    <cellStyle name="Примечание 4 3 5 3 4" xfId="38387" xr:uid="{137DF8FC-9C77-4D5A-A293-375B6AF082F6}"/>
    <cellStyle name="Примечание 4 3 5 4" xfId="11837" xr:uid="{D00BA3B5-0070-4027-9ED8-6C78E05BD358}"/>
    <cellStyle name="Примечание 4 3 5 4 2" xfId="28557" xr:uid="{CBECEC4B-D800-42FB-8DE5-61A596D17EA2}"/>
    <cellStyle name="Примечание 4 3 5 4 3" xfId="41770" xr:uid="{47B9E9E5-6618-47CD-87CC-58618B5B1E89}"/>
    <cellStyle name="Примечание 4 3 5 5" xfId="22052" xr:uid="{4AF35CAA-C5E3-4C5A-B37C-38B3D007C437}"/>
    <cellStyle name="Примечание 4 3 5 6" xfId="35101" xr:uid="{ED4CC2AE-BD45-4C63-87F9-69900A6FA23E}"/>
    <cellStyle name="Примечание 4 3 6" xfId="4337" xr:uid="{0CBE96D2-E497-45C1-946E-A1049978BBC3}"/>
    <cellStyle name="Примечание 4 3 6 2" xfId="6956" xr:uid="{0CCCFC3F-0E01-4EAA-9276-F98133E0EA57}"/>
    <cellStyle name="Примечание 4 3 6 2 2" xfId="13071" xr:uid="{46159CE0-D81A-4742-9416-F401E83F1E77}"/>
    <cellStyle name="Примечание 4 3 6 2 2 2" xfId="29593" xr:uid="{E2A95D21-9DE0-4B28-B842-4B6F889CF54B}"/>
    <cellStyle name="Примечание 4 3 6 2 2 3" xfId="42901" xr:uid="{D8E2AC8F-D3D9-4ED8-8684-ACA255CB0724}"/>
    <cellStyle name="Примечание 4 3 6 2 3" xfId="24578" xr:uid="{D150E105-A5CD-4BC5-82A4-A46B95809AF1}"/>
    <cellStyle name="Примечание 4 3 6 2 4" xfId="37659" xr:uid="{30704AA1-493D-4E1F-A32E-D24DE788925B}"/>
    <cellStyle name="Примечание 4 3 6 3" xfId="16171" xr:uid="{B3C0FD27-5D54-4133-87CB-3B872F977FA8}"/>
    <cellStyle name="Примечание 4 3 6 3 2" xfId="32219" xr:uid="{8BC4D329-3FAC-4520-823D-F2EFBEE0BB11}"/>
    <cellStyle name="Примечание 4 3 6 3 3" xfId="45741" xr:uid="{EE12B184-9BCA-4E6B-94CC-3D886C3E3984}"/>
    <cellStyle name="Примечание 4 3 6 4" xfId="22157" xr:uid="{5F9FB0EE-639F-40DD-8C91-BAD27D07B7E5}"/>
    <cellStyle name="Примечание 4 3 6 5" xfId="35206" xr:uid="{8C63D99F-D74C-4FC6-A6AD-493D464529C9}"/>
    <cellStyle name="Примечание 4 3 7" xfId="5392" xr:uid="{7F754FEF-1FBB-4833-B0D6-DD5A5D57D389}"/>
    <cellStyle name="Примечание 4 3 7 2" xfId="8569" xr:uid="{46F1AD53-922B-4F0B-8BFE-9F1AC90EBEAD}"/>
    <cellStyle name="Примечание 4 3 7 2 2" xfId="10704" xr:uid="{5E2F31F6-9294-4033-A763-C1DBA9B203E6}"/>
    <cellStyle name="Примечание 4 3 7 2 2 2" xfId="27549" xr:uid="{037FABE5-18B2-498B-9366-097B9EB2CF0E}"/>
    <cellStyle name="Примечание 4 3 7 2 2 3" xfId="40685" xr:uid="{AA91D5F4-A9FA-41B0-9E23-2554642B0DB7}"/>
    <cellStyle name="Примечание 4 3 7 2 3" xfId="26067" xr:uid="{F660B6F4-79E4-4C04-AF98-0C68B1DD939F}"/>
    <cellStyle name="Примечание 4 3 7 2 4" xfId="39143" xr:uid="{A7215336-A90F-4114-8154-A25851466C75}"/>
    <cellStyle name="Примечание 4 3 7 3" xfId="13288" xr:uid="{B53D4C50-77C4-4C7A-856B-5926F048A32D}"/>
    <cellStyle name="Примечание 4 3 7 3 2" xfId="29778" xr:uid="{B9F25F0A-4293-4140-86D2-AA30EC9E96DC}"/>
    <cellStyle name="Примечание 4 3 7 3 3" xfId="43105" xr:uid="{E7C9F6A2-8929-4B85-A7B1-337AC95FCCF6}"/>
    <cellStyle name="Примечание 4 3 7 4" xfId="23039" xr:uid="{98329A89-8025-47B8-A43E-7BE17BC6BDB4}"/>
    <cellStyle name="Примечание 4 3 7 5" xfId="36120" xr:uid="{3567FB01-1862-4723-BF87-78EB288FD67D}"/>
    <cellStyle name="Примечание 4 3 8" xfId="13307" xr:uid="{D86BB1C5-AF04-47EE-B64B-E841895F3024}"/>
    <cellStyle name="Примечание 4 3 8 2" xfId="29793" xr:uid="{77E8E661-1212-41CF-BBA0-343B09256FB0}"/>
    <cellStyle name="Примечание 4 3 8 3" xfId="43122" xr:uid="{0217185E-CE9C-4369-A990-98F24A6292A1}"/>
    <cellStyle name="Примечание 4 3 9" xfId="21330" xr:uid="{02ECE960-E14B-411C-819E-CF6BE6B54DA0}"/>
    <cellStyle name="Примечание 4 30" xfId="15255" xr:uid="{AE4D3702-22E3-4153-B5A1-170F2826E0EC}"/>
    <cellStyle name="Примечание 4 30 2" xfId="31430" xr:uid="{E5A2BB67-393A-4042-B060-F049EF7FD8C7}"/>
    <cellStyle name="Примечание 4 30 3" xfId="44906" xr:uid="{D5D840E6-8456-4248-ADE8-44CB86E52AE9}"/>
    <cellStyle name="Примечание 4 31" xfId="15904" xr:uid="{811440AB-8A87-4B21-B46C-E57496E4FA0C}"/>
    <cellStyle name="Примечание 4 31 2" xfId="31987" xr:uid="{A49B9552-A493-4D4C-96F7-E4062DA0A06B}"/>
    <cellStyle name="Примечание 4 31 3" xfId="45503" xr:uid="{02914853-2532-43E7-AA9B-F0F777DC683E}"/>
    <cellStyle name="Примечание 4 32" xfId="17676" xr:uid="{AE24ED9B-8309-44E9-816E-A151F907C306}"/>
    <cellStyle name="Примечание 4 32 2" xfId="33399" xr:uid="{EC8D1F1D-3EDE-4C5D-A5BC-B38F55758B85}"/>
    <cellStyle name="Примечание 4 32 3" xfId="47188" xr:uid="{2AC8A8ED-6BF2-4C54-B45C-79D99C5B1E59}"/>
    <cellStyle name="Примечание 4 33" xfId="33578" xr:uid="{A4320E07-A8A1-4D10-8796-ACA4CCEA6562}"/>
    <cellStyle name="Примечание 4 4" xfId="3516" xr:uid="{7928D422-7C2D-489F-AB83-E39F90EE96BA}"/>
    <cellStyle name="Примечание 4 4 10" xfId="34531" xr:uid="{6CDF3305-3090-4B62-88E7-838218D8C970}"/>
    <cellStyle name="Примечание 4 4 2" xfId="2857" xr:uid="{338D0FB8-300A-42F4-9DDB-6E17AC85EE8A}"/>
    <cellStyle name="Примечание 4 4 2 2" xfId="8153" xr:uid="{2F4C6B09-5A25-4CBA-B965-FDC351647880}"/>
    <cellStyle name="Примечание 4 4 2 2 2" xfId="14470" xr:uid="{7F3BA01F-249A-4529-9A88-D57339D6590C}"/>
    <cellStyle name="Примечание 4 4 2 2 2 2" xfId="30794" xr:uid="{0E3C0A1D-380F-45ED-A706-5455FB6B83D7}"/>
    <cellStyle name="Примечание 4 4 2 2 2 3" xfId="44199" xr:uid="{DCEFA4D5-2743-4673-AC6C-FA2169008A8D}"/>
    <cellStyle name="Примечание 4 4 2 2 3" xfId="25664" xr:uid="{13551090-DCC1-410A-91C3-24197604BA32}"/>
    <cellStyle name="Примечание 4 4 2 2 4" xfId="38740" xr:uid="{AF74A670-FB03-4B16-83F3-FB9EB1E65C9B}"/>
    <cellStyle name="Примечание 4 4 2 3" xfId="6520" xr:uid="{FBFF6804-FBBA-4F96-9896-79A609297EF6}"/>
    <cellStyle name="Примечание 4 4 2 3 2" xfId="16527" xr:uid="{C5BFCAF2-1EAC-48FE-852E-C0FFDB1BB817}"/>
    <cellStyle name="Примечание 4 4 2 3 2 2" xfId="32485" xr:uid="{9C80C6A9-CD1D-4517-AE28-EF8352173AC9}"/>
    <cellStyle name="Примечание 4 4 2 3 2 3" xfId="46074" xr:uid="{19ACCE30-16DC-447F-918F-0B795632FDBA}"/>
    <cellStyle name="Примечание 4 4 2 3 3" xfId="24155" xr:uid="{BC56EF2D-3EBC-4925-916D-317EBEC65488}"/>
    <cellStyle name="Примечание 4 4 2 3 4" xfId="37236" xr:uid="{1AE90874-DE87-4AC8-9E4C-572DFC026B65}"/>
    <cellStyle name="Примечание 4 4 2 4" xfId="11557" xr:uid="{643E098F-532B-4D56-866B-EE3731CCBED4}"/>
    <cellStyle name="Примечание 4 4 2 4 2" xfId="28314" xr:uid="{16673790-2227-4BFC-A881-ED9E8FC9A2EB}"/>
    <cellStyle name="Примечание 4 4 2 4 3" xfId="41512" xr:uid="{296E7F1F-12D0-4103-8DFB-BE369E1F3978}"/>
    <cellStyle name="Примечание 4 4 2 5" xfId="20907" xr:uid="{3970FFEA-29AF-42BB-9B75-D834D7FDC6FA}"/>
    <cellStyle name="Примечание 4 4 2 6" xfId="33930" xr:uid="{AFA31121-2B7F-4045-9B4A-D2B7751A2961}"/>
    <cellStyle name="Примечание 4 4 3" xfId="4193" xr:uid="{4BB26323-4CD9-4482-A451-148E3353FD07}"/>
    <cellStyle name="Примечание 4 4 3 2" xfId="9245" xr:uid="{642C4516-32D8-4A78-BAE9-23260205A272}"/>
    <cellStyle name="Примечание 4 4 3 2 2" xfId="10853" xr:uid="{8653C2A1-7349-4A43-829D-0B6A3FCA8EC1}"/>
    <cellStyle name="Примечание 4 4 3 2 2 2" xfId="27681" xr:uid="{895C9695-2619-429F-A038-9A35D38475E1}"/>
    <cellStyle name="Примечание 4 4 3 2 2 3" xfId="40834" xr:uid="{45715FEB-6F5D-42D5-9F8E-31394774F198}"/>
    <cellStyle name="Примечание 4 4 3 2 3" xfId="26720" xr:uid="{ED1F25E6-16D5-4E33-B502-D80D7C209408}"/>
    <cellStyle name="Примечание 4 4 3 2 4" xfId="39796" xr:uid="{FFC26E7A-2F21-4B71-B2CF-03B99E1B4F9E}"/>
    <cellStyle name="Примечание 4 4 3 3" xfId="7757" xr:uid="{FC711134-F150-4E2F-9121-6333485AB610}"/>
    <cellStyle name="Примечание 4 4 3 3 2" xfId="13732" xr:uid="{C2ACE833-D18D-4884-B4FC-1E3D21A20F4E}"/>
    <cellStyle name="Примечание 4 4 3 3 2 2" xfId="30147" xr:uid="{4A45F925-1C8A-4FC5-967E-71020F721E4B}"/>
    <cellStyle name="Примечание 4 4 3 3 2 3" xfId="43509" xr:uid="{27E5F4DA-19F2-469B-8FC8-4AEB1D3E411A}"/>
    <cellStyle name="Примечание 4 4 3 3 3" xfId="25279" xr:uid="{BC0C5C53-4D07-4B42-BA77-39E3C374D840}"/>
    <cellStyle name="Примечание 4 4 3 3 4" xfId="38355" xr:uid="{D00C5E37-895F-40A5-9E21-48DA5D5627FA}"/>
    <cellStyle name="Примечание 4 4 3 4" xfId="10918" xr:uid="{E5315915-7187-44B5-A888-D35DB7AD1231}"/>
    <cellStyle name="Примечание 4 4 3 4 2" xfId="27736" xr:uid="{25A66336-9246-4EE7-BD39-BB58A5CF14BA}"/>
    <cellStyle name="Примечание 4 4 3 4 3" xfId="40898" xr:uid="{A4D5E9EF-BF93-4314-B07C-49561FE0AF60}"/>
    <cellStyle name="Примечание 4 4 3 5" xfId="22020" xr:uid="{0949C4C2-8524-488F-8F25-97EB8014724A}"/>
    <cellStyle name="Примечание 4 4 3 6" xfId="35069" xr:uid="{EF383D15-4A24-4AC5-9B18-60D36F07EC20}"/>
    <cellStyle name="Примечание 4 4 4" xfId="2957" xr:uid="{C83F339A-9E4B-4367-A4B1-48AA61F3A512}"/>
    <cellStyle name="Примечание 4 4 4 2" xfId="8253" xr:uid="{BE69A6EB-7C34-454B-B8CB-75C80A81E083}"/>
    <cellStyle name="Примечание 4 4 4 2 2" xfId="16946" xr:uid="{5E9EFEC2-EDE1-4AF6-AB45-82022847AA22}"/>
    <cellStyle name="Примечание 4 4 4 2 2 2" xfId="32786" xr:uid="{900182C5-E57D-4693-98BB-1DE9486D6119}"/>
    <cellStyle name="Примечание 4 4 4 2 2 3" xfId="46488" xr:uid="{6E4DF979-188F-4EC9-9DE4-966A87FEFF97}"/>
    <cellStyle name="Примечание 4 4 4 2 3" xfId="25762" xr:uid="{32FD75CC-98B8-45DB-9BEF-0546E244D2C9}"/>
    <cellStyle name="Примечание 4 4 4 2 4" xfId="38838" xr:uid="{159202F1-E448-4685-ADF6-99E54B7213A5}"/>
    <cellStyle name="Примечание 4 4 4 3" xfId="6620" xr:uid="{27963AA0-2F8E-4C50-9339-88A5FD836193}"/>
    <cellStyle name="Примечание 4 4 4 3 2" xfId="13295" xr:uid="{A413A1E9-259B-4274-AFCC-674790BD906C}"/>
    <cellStyle name="Примечание 4 4 4 3 2 2" xfId="29783" xr:uid="{3166CD4D-B248-4A0D-9D23-1874005EEEF4}"/>
    <cellStyle name="Примечание 4 4 4 3 2 3" xfId="43111" xr:uid="{1AA22F2B-DFE9-40E5-80E2-EA739030FC47}"/>
    <cellStyle name="Примечание 4 4 4 3 3" xfId="24253" xr:uid="{130175AD-8F58-4D3E-9439-ADFD83D129A4}"/>
    <cellStyle name="Примечание 4 4 4 3 4" xfId="37334" xr:uid="{827836DE-7CEB-4EFD-A1FF-439C44CE9EFE}"/>
    <cellStyle name="Примечание 4 4 4 4" xfId="11743" xr:uid="{D0393255-BAF7-430E-B8B4-E03BA53F73B9}"/>
    <cellStyle name="Примечание 4 4 4 4 2" xfId="28470" xr:uid="{4B1A17F9-8124-4846-A1CA-D071429A0B26}"/>
    <cellStyle name="Примечание 4 4 4 4 3" xfId="41681" xr:uid="{373B0156-64E8-45CF-87B4-301D618057B9}"/>
    <cellStyle name="Примечание 4 4 4 5" xfId="21005" xr:uid="{BD546611-D896-4097-96EE-BC544ADB646B}"/>
    <cellStyle name="Примечание 4 4 4 6" xfId="34028" xr:uid="{AD8838BB-58FF-4038-917A-EB3EAF7EF8EC}"/>
    <cellStyle name="Примечание 4 4 5" xfId="4200" xr:uid="{7AAD951A-D895-499F-94A1-CDAE52EB1239}"/>
    <cellStyle name="Примечание 4 4 5 2" xfId="9252" xr:uid="{35EBD35E-150D-4E0C-A3C0-0B5B8A07183F}"/>
    <cellStyle name="Примечание 4 4 5 2 2" xfId="12845" xr:uid="{91C006B9-41E9-4347-8270-AB5E454AFFC0}"/>
    <cellStyle name="Примечание 4 4 5 2 2 2" xfId="29415" xr:uid="{338D9F10-9BB2-4FC0-9A5F-362E651E9E12}"/>
    <cellStyle name="Примечание 4 4 5 2 2 3" xfId="42698" xr:uid="{C2B65B8E-D52E-413E-A2C5-7388DBB44AFB}"/>
    <cellStyle name="Примечание 4 4 5 2 3" xfId="26727" xr:uid="{679B7BD6-169B-456A-AD27-ED16F4558CA7}"/>
    <cellStyle name="Примечание 4 4 5 2 4" xfId="39803" xr:uid="{F7247B82-62A0-4725-9581-AC5E39D5B8E1}"/>
    <cellStyle name="Примечание 4 4 5 3" xfId="7764" xr:uid="{331BE1B3-4366-441C-8CF0-2850C8F3EAA5}"/>
    <cellStyle name="Примечание 4 4 5 3 2" xfId="10787" xr:uid="{C86C0840-F399-438A-802A-4EECAD3B0BD8}"/>
    <cellStyle name="Примечание 4 4 5 3 2 2" xfId="27621" xr:uid="{CA7FEB62-43B8-4C68-AEA8-AFB215FD405F}"/>
    <cellStyle name="Примечание 4 4 5 3 2 3" xfId="40768" xr:uid="{8DA22FB6-CBF6-4D74-82F3-50F48304093D}"/>
    <cellStyle name="Примечание 4 4 5 3 3" xfId="25286" xr:uid="{F4E43C16-9448-45C0-B88C-618A302666AE}"/>
    <cellStyle name="Примечание 4 4 5 3 4" xfId="38362" xr:uid="{AF0AA024-CCDD-4B32-B24B-BDB0E2750152}"/>
    <cellStyle name="Примечание 4 4 5 4" xfId="12888" xr:uid="{8D36C25A-133D-45DC-B0E9-7292AAEC9786}"/>
    <cellStyle name="Примечание 4 4 5 4 2" xfId="29445" xr:uid="{16389C9E-0A7F-4042-B8E7-94F7C3F7FF5C}"/>
    <cellStyle name="Примечание 4 4 5 4 3" xfId="42735" xr:uid="{C00E9696-6823-42E2-BB1B-A23E350F44BC}"/>
    <cellStyle name="Примечание 4 4 5 5" xfId="22027" xr:uid="{E0F5EC69-C538-4B48-9016-703ADE20C37E}"/>
    <cellStyle name="Примечание 4 4 5 6" xfId="35076" xr:uid="{6E4982C2-C9D4-442E-BEAE-EDD0232C341B}"/>
    <cellStyle name="Примечание 4 4 6" xfId="4517" xr:uid="{6B7126F9-888C-47F0-B03F-309B0926991F}"/>
    <cellStyle name="Примечание 4 4 6 2" xfId="7158" xr:uid="{F49CBDB1-0670-4411-9E62-2F5E44078451}"/>
    <cellStyle name="Примечание 4 4 6 2 2" xfId="15208" xr:uid="{6CDE69D6-A991-4408-BC27-668CC7472DB8}"/>
    <cellStyle name="Примечание 4 4 6 2 2 2" xfId="31389" xr:uid="{8DCFDB2B-B1E1-4305-890B-B79C25F9EE77}"/>
    <cellStyle name="Примечание 4 4 6 2 2 3" xfId="44861" xr:uid="{4797A323-2A60-4320-BAB3-AA8F368EAA29}"/>
    <cellStyle name="Примечание 4 4 6 2 3" xfId="24756" xr:uid="{84749F70-37D9-4972-8968-81B61C5A7360}"/>
    <cellStyle name="Примечание 4 4 6 2 4" xfId="37837" xr:uid="{41CF46DF-0523-425B-9558-89AE5EF3DE0F}"/>
    <cellStyle name="Примечание 4 4 6 3" xfId="14812" xr:uid="{7E9507CC-131F-47BB-A330-C57BDAC689DC}"/>
    <cellStyle name="Примечание 4 4 6 3 2" xfId="31074" xr:uid="{80C839AF-5030-43B2-88D9-D336D86193B7}"/>
    <cellStyle name="Примечание 4 4 6 3 3" xfId="44509" xr:uid="{A147F32A-D6AD-441F-A456-F56ED2D4842A}"/>
    <cellStyle name="Примечание 4 4 6 4" xfId="22335" xr:uid="{C6C4C226-0215-4EEF-85FB-86EBF8DA0BD9}"/>
    <cellStyle name="Примечание 4 4 6 5" xfId="35384" xr:uid="{C73F019E-BA10-43D0-8647-B21456EAB93F}"/>
    <cellStyle name="Примечание 4 4 7" xfId="5570" xr:uid="{A11CBDC1-B654-42BB-8BFE-9E9862300FD5}"/>
    <cellStyle name="Примечание 4 4 7 2" xfId="8752" xr:uid="{7A1EDFEB-ADA7-4783-886F-DCD2F4AED300}"/>
    <cellStyle name="Примечание 4 4 7 2 2" xfId="11290" xr:uid="{731F2D31-497F-4BF1-8650-9633362B4D7F}"/>
    <cellStyle name="Примечание 4 4 7 2 2 2" xfId="28075" xr:uid="{F673441C-33E9-4F33-96E7-E07E51C2A5AF}"/>
    <cellStyle name="Примечание 4 4 7 2 2 3" xfId="41258" xr:uid="{F3EB0D76-604A-49E5-882B-54DFE41B8D1C}"/>
    <cellStyle name="Примечание 4 4 7 2 3" xfId="26245" xr:uid="{FB51F3F6-1009-4872-B37D-999F09529C3B}"/>
    <cellStyle name="Примечание 4 4 7 2 4" xfId="39321" xr:uid="{CE7F4945-5576-4A64-9123-89B4CC9D7C36}"/>
    <cellStyle name="Примечание 4 4 7 3" xfId="11347" xr:uid="{107CBE46-98FD-46B7-83CC-1A06E8733152}"/>
    <cellStyle name="Примечание 4 4 7 3 2" xfId="28126" xr:uid="{9B729B76-9A43-481C-8A3B-9A0AA2BE2BE6}"/>
    <cellStyle name="Примечание 4 4 7 3 3" xfId="41314" xr:uid="{7E46E164-2C07-4012-8A87-2EB7742EF48F}"/>
    <cellStyle name="Примечание 4 4 7 4" xfId="23217" xr:uid="{165A0FEB-8ADE-4021-80F7-2585BDEB6E92}"/>
    <cellStyle name="Примечание 4 4 7 5" xfId="36298" xr:uid="{D53EEC88-802E-45FE-B6A4-2AECFA72F0D2}"/>
    <cellStyle name="Примечание 4 4 8" xfId="17173" xr:uid="{A58F488F-977B-4F34-BA53-8AE6FE53FBC9}"/>
    <cellStyle name="Примечание 4 4 8 2" xfId="32936" xr:uid="{34057A6E-5CD6-443B-A219-6976A8E96A54}"/>
    <cellStyle name="Примечание 4 4 8 3" xfId="46708" xr:uid="{F5ADE829-77B2-4E51-ADBC-EB82D9EF60AB}"/>
    <cellStyle name="Примечание 4 4 9" xfId="21479" xr:uid="{134A9BD2-D6A2-4326-B5A5-1DB06077AF88}"/>
    <cellStyle name="Примечание 4 5" xfId="3501" xr:uid="{FDE1ACDA-CE19-4E92-9E19-0640CEA15857}"/>
    <cellStyle name="Примечание 4 5 2" xfId="2842" xr:uid="{63B224E7-E1E5-40A6-B9E6-8495367AC5D3}"/>
    <cellStyle name="Примечание 4 5 2 2" xfId="8138" xr:uid="{8752437D-FFAC-4DEE-889E-E6C08E7C8BFA}"/>
    <cellStyle name="Примечание 4 5 2 2 2" xfId="12774" xr:uid="{EDD5DEE1-9063-42C8-B40C-7E405A2E7429}"/>
    <cellStyle name="Примечание 4 5 2 2 2 2" xfId="29349" xr:uid="{00F74405-18FF-4639-BA9A-AE9AF94CC8AC}"/>
    <cellStyle name="Примечание 4 5 2 2 2 3" xfId="42629" xr:uid="{129A3571-FF23-4B36-A48B-D98AEC836DA7}"/>
    <cellStyle name="Примечание 4 5 2 2 3" xfId="25649" xr:uid="{DB5EC0A2-5422-4755-B1D2-A75EA6D29A75}"/>
    <cellStyle name="Примечание 4 5 2 2 4" xfId="38725" xr:uid="{81E5064F-D3A4-4F3C-AD89-4E5EFBAAA9D4}"/>
    <cellStyle name="Примечание 4 5 2 3" xfId="6505" xr:uid="{E1CF79CB-DA9E-4D20-A531-BAE0EA6E7FF7}"/>
    <cellStyle name="Примечание 4 5 2 3 2" xfId="12556" xr:uid="{B088BF67-E4A5-4385-A6E6-DE9ADC5378A2}"/>
    <cellStyle name="Примечание 4 5 2 3 2 2" xfId="29178" xr:uid="{7C55E2C8-7519-42CD-A4BC-6BBC870C5028}"/>
    <cellStyle name="Примечание 4 5 2 3 2 3" xfId="42437" xr:uid="{15BAF78C-D391-485A-8318-28F500A52EEE}"/>
    <cellStyle name="Примечание 4 5 2 3 3" xfId="24140" xr:uid="{D8DE99D1-ED98-477B-A86D-77B0857F7B4D}"/>
    <cellStyle name="Примечание 4 5 2 3 4" xfId="37221" xr:uid="{3E1674DF-C95D-43B6-9560-3EDA23053B3B}"/>
    <cellStyle name="Примечание 4 5 2 4" xfId="13724" xr:uid="{4FA7843E-193A-49A8-8082-592C9B4EC7BF}"/>
    <cellStyle name="Примечание 4 5 2 4 2" xfId="30140" xr:uid="{96A86CF5-5FA4-45B6-A9E6-D676002C6AA1}"/>
    <cellStyle name="Примечание 4 5 2 4 3" xfId="43502" xr:uid="{DDCB9903-A46D-4309-9709-E4112057065B}"/>
    <cellStyle name="Примечание 4 5 2 5" xfId="20892" xr:uid="{7AD1FFCD-8514-4E6C-B951-DF4A7E943606}"/>
    <cellStyle name="Примечание 4 5 2 6" xfId="33915" xr:uid="{CB557ECC-D29C-4850-982F-D8A5A22D4A1C}"/>
    <cellStyle name="Примечание 4 5 3" xfId="4502" xr:uid="{181326F2-06FF-4D8E-8404-AB753D782F66}"/>
    <cellStyle name="Примечание 4 5 3 2" xfId="7143" xr:uid="{4A75C9EE-F59C-44C2-8BCF-0B54D46C3390}"/>
    <cellStyle name="Примечание 4 5 3 2 2" xfId="11005" xr:uid="{AD59C5B4-60D8-4702-81D6-7220C9CDED38}"/>
    <cellStyle name="Примечание 4 5 3 2 2 2" xfId="27812" xr:uid="{FD4FD328-F4E2-4B3F-AF54-97B717444870}"/>
    <cellStyle name="Примечание 4 5 3 2 2 3" xfId="40985" xr:uid="{F2CEB758-68D2-4B61-AA89-1E7DF2FBCF21}"/>
    <cellStyle name="Примечание 4 5 3 2 3" xfId="24741" xr:uid="{8702580B-D89A-46CD-8FD2-8004B53D132D}"/>
    <cellStyle name="Примечание 4 5 3 2 4" xfId="37822" xr:uid="{2E0C1D43-CDBA-4822-8DE7-3D84AF60FC24}"/>
    <cellStyle name="Примечание 4 5 3 3" xfId="13316" xr:uid="{28CDC303-37B4-48B9-ABE0-66A4B69B1F1F}"/>
    <cellStyle name="Примечание 4 5 3 3 2" xfId="29801" xr:uid="{8F108972-ADBC-41B0-9ACF-15A694F77571}"/>
    <cellStyle name="Примечание 4 5 3 3 3" xfId="43131" xr:uid="{C8025FE8-ADC0-4A17-81B4-360FB482B207}"/>
    <cellStyle name="Примечание 4 5 3 4" xfId="22320" xr:uid="{3AAC4AE8-97BB-44DD-AF8C-1B6CE650A46C}"/>
    <cellStyle name="Примечание 4 5 3 5" xfId="35369" xr:uid="{78BCC00D-E8BC-490A-B79E-86828DEE3FE2}"/>
    <cellStyle name="Примечание 4 5 4" xfId="5555" xr:uid="{807529BC-B30D-4D2D-AEC0-FCC02A2DFBC1}"/>
    <cellStyle name="Примечание 4 5 4 2" xfId="8737" xr:uid="{2D293522-89F8-4B8C-AB3A-667138A04C27}"/>
    <cellStyle name="Примечание 4 5 4 2 2" xfId="15109" xr:uid="{1AA3CF8C-22CF-4209-B042-12C1977635CB}"/>
    <cellStyle name="Примечание 4 5 4 2 2 2" xfId="31314" xr:uid="{D7013577-BA76-40CE-87D2-E8488A2267BE}"/>
    <cellStyle name="Примечание 4 5 4 2 2 3" xfId="44776" xr:uid="{41AF0DEE-074E-497B-8417-92F927F09742}"/>
    <cellStyle name="Примечание 4 5 4 2 3" xfId="26230" xr:uid="{6F37D2F5-1FE6-4997-8B8E-8C2CDB054700}"/>
    <cellStyle name="Примечание 4 5 4 2 4" xfId="39306" xr:uid="{A640B010-286B-4F1A-93A3-46D78A426C30}"/>
    <cellStyle name="Примечание 4 5 4 3" xfId="11373" xr:uid="{A058C93B-53B6-48FA-9E4C-D83ED344C0EE}"/>
    <cellStyle name="Примечание 4 5 4 3 2" xfId="28149" xr:uid="{AD9CE423-08F0-4B0A-841F-FD00B85ABA58}"/>
    <cellStyle name="Примечание 4 5 4 3 3" xfId="41338" xr:uid="{2AC9F934-36CB-4952-8931-7747BA0DF5BC}"/>
    <cellStyle name="Примечание 4 5 4 4" xfId="23202" xr:uid="{E3D89877-5020-453A-B7A0-2D5F67298141}"/>
    <cellStyle name="Примечание 4 5 4 5" xfId="36283" xr:uid="{23CA9481-18D0-4CBD-926C-7FA00A71B406}"/>
    <cellStyle name="Примечание 4 5 5" xfId="12907" xr:uid="{EBCEDF98-7A5D-49DA-BD0C-B06B2464F1D1}"/>
    <cellStyle name="Примечание 4 5 5 2" xfId="29456" xr:uid="{866B3232-1463-4868-B90C-BC886391B05A}"/>
    <cellStyle name="Примечание 4 5 5 3" xfId="42749" xr:uid="{96F80CB1-9CB8-49D3-AD35-019494F2FB59}"/>
    <cellStyle name="Примечание 4 5 6" xfId="21464" xr:uid="{B0B644FA-C5E4-443E-91A1-06BD0DE652EA}"/>
    <cellStyle name="Примечание 4 5 7" xfId="34516" xr:uid="{D7400440-B917-4D3B-A59A-F1F825CFBC06}"/>
    <cellStyle name="Примечание 4 6" xfId="3529" xr:uid="{2521A0E4-FA6A-4D48-8CB3-40D2DA5098E9}"/>
    <cellStyle name="Примечание 4 6 2" xfId="2870" xr:uid="{84C3F30D-AB7E-4070-9DC8-F6D7917FB9A6}"/>
    <cellStyle name="Примечание 4 6 2 2" xfId="8166" xr:uid="{EDB9FD45-CCA8-4794-874F-F7EBAB080FF5}"/>
    <cellStyle name="Примечание 4 6 2 2 2" xfId="13396" xr:uid="{7DF6FC37-AC11-413D-814A-0A00E95C8378}"/>
    <cellStyle name="Примечание 4 6 2 2 2 2" xfId="29866" xr:uid="{77F97CC0-DDFD-481F-86F3-EF85CF849B52}"/>
    <cellStyle name="Примечание 4 6 2 2 2 3" xfId="43201" xr:uid="{5378F594-DF5E-4417-A84A-4930E6DD36A0}"/>
    <cellStyle name="Примечание 4 6 2 2 3" xfId="25677" xr:uid="{77B9CB01-97C5-4F0C-8D61-465C90BD6BBB}"/>
    <cellStyle name="Примечание 4 6 2 2 4" xfId="38753" xr:uid="{69913ECA-D2F7-4561-9047-57B237457947}"/>
    <cellStyle name="Примечание 4 6 2 3" xfId="6533" xr:uid="{613AA46D-557D-4E7D-9831-A923138F968C}"/>
    <cellStyle name="Примечание 4 6 2 3 2" xfId="13760" xr:uid="{7586AE01-0914-4020-8AB8-F77998B7073A}"/>
    <cellStyle name="Примечание 4 6 2 3 2 2" xfId="30170" xr:uid="{DCAFEE94-16C7-4EC1-A664-E1F07C1722A2}"/>
    <cellStyle name="Примечание 4 6 2 3 2 3" xfId="43533" xr:uid="{6B4176E1-15B8-442F-9BCA-B82AA54562F6}"/>
    <cellStyle name="Примечание 4 6 2 3 3" xfId="24168" xr:uid="{07478492-6AE7-4C23-82C1-7F8B805744E9}"/>
    <cellStyle name="Примечание 4 6 2 3 4" xfId="37249" xr:uid="{4DDAE63C-C22C-4997-8594-BE277EA79F7D}"/>
    <cellStyle name="Примечание 4 6 2 4" xfId="13390" xr:uid="{DF7C5D31-11A7-4BB2-805D-B6ED19093EA5}"/>
    <cellStyle name="Примечание 4 6 2 4 2" xfId="29861" xr:uid="{C19AE43F-C7CA-49FD-BFBE-241C31389844}"/>
    <cellStyle name="Примечание 4 6 2 4 3" xfId="43196" xr:uid="{948E65E7-F810-472D-821F-6AE57F6B3CB0}"/>
    <cellStyle name="Примечание 4 6 2 5" xfId="20920" xr:uid="{E37004FA-D058-454F-910A-C5CD1436EEB9}"/>
    <cellStyle name="Примечание 4 6 2 6" xfId="33943" xr:uid="{0F2BB538-815B-4CB9-867B-A4E89461BE1D}"/>
    <cellStyle name="Примечание 4 6 3" xfId="4529" xr:uid="{EB0796B7-2843-46BB-BA5E-9D4C7BAE741C}"/>
    <cellStyle name="Примечание 4 6 3 2" xfId="7171" xr:uid="{06868951-4059-469B-AC80-144C1F90EBAC}"/>
    <cellStyle name="Примечание 4 6 3 2 2" xfId="12742" xr:uid="{3C45AB5E-F18C-4C17-8961-3BBB7137F61F}"/>
    <cellStyle name="Примечание 4 6 3 2 2 2" xfId="29321" xr:uid="{E053A5F2-D3DC-44ED-B3B9-CE40EC105E93}"/>
    <cellStyle name="Примечание 4 6 3 2 2 3" xfId="42600" xr:uid="{79B69D19-BCE5-4BF7-851A-D3F96CCDA36D}"/>
    <cellStyle name="Примечание 4 6 3 2 3" xfId="24768" xr:uid="{2123868F-9150-46FC-A7F4-A54F2FB42299}"/>
    <cellStyle name="Примечание 4 6 3 2 4" xfId="37849" xr:uid="{EB1FBDFB-60BD-472F-8A64-4DD40539B8FB}"/>
    <cellStyle name="Примечание 4 6 3 3" xfId="15976" xr:uid="{5456E51A-180A-4AB5-8B4F-41D14F3C2DA0}"/>
    <cellStyle name="Примечание 4 6 3 3 2" xfId="32050" xr:uid="{D2273242-73EA-452C-AF3B-C74DF7141A1E}"/>
    <cellStyle name="Примечание 4 6 3 3 3" xfId="45569" xr:uid="{5F38B745-488D-41A4-9855-32115C0A9FC8}"/>
    <cellStyle name="Примечание 4 6 3 4" xfId="22347" xr:uid="{1E14B1E9-D98A-4F84-95CC-81C2C75B0603}"/>
    <cellStyle name="Примечание 4 6 3 5" xfId="35396" xr:uid="{EF2747AD-76F4-454C-AB7E-D84867CB390B}"/>
    <cellStyle name="Примечание 4 6 4" xfId="5582" xr:uid="{2CAD82D5-1E37-4AA7-B838-E40947B1DAE4}"/>
    <cellStyle name="Примечание 4 6 4 2" xfId="8764" xr:uid="{7C4AEE9B-6A39-442F-8BA4-AC9979C0C4EF}"/>
    <cellStyle name="Примечание 4 6 4 2 2" xfId="17109" xr:uid="{39E3190D-79FD-4A6A-B94E-8324FB60342E}"/>
    <cellStyle name="Примечание 4 6 4 2 2 2" xfId="32875" xr:uid="{7296BE7B-2797-4298-A7FA-3FCBA1011EF7}"/>
    <cellStyle name="Примечание 4 6 4 2 2 3" xfId="46646" xr:uid="{B1592B82-2694-4C98-833B-2A94AA91ECD0}"/>
    <cellStyle name="Примечание 4 6 4 2 3" xfId="26257" xr:uid="{EC055D72-0A1C-4441-AE59-F405BE741FC6}"/>
    <cellStyle name="Примечание 4 6 4 2 4" xfId="39333" xr:uid="{5E29E1F5-8249-48DC-8E0C-941929B50057}"/>
    <cellStyle name="Примечание 4 6 4 3" xfId="15712" xr:uid="{ACEBD9E3-C5AE-4DC3-B852-E476BD84794B}"/>
    <cellStyle name="Примечание 4 6 4 3 2" xfId="31822" xr:uid="{85E53BDA-5676-4604-BE30-7B9FD9CAD688}"/>
    <cellStyle name="Примечание 4 6 4 3 3" xfId="45331" xr:uid="{D4513C6D-9025-4940-B602-B2399B9EC68E}"/>
    <cellStyle name="Примечание 4 6 4 4" xfId="23229" xr:uid="{90FCFED1-77AA-493D-8253-ED4E5388BBD2}"/>
    <cellStyle name="Примечание 4 6 4 5" xfId="36310" xr:uid="{B8F67E1D-5E89-4CC2-9813-E5BC90B24A41}"/>
    <cellStyle name="Примечание 4 6 5" xfId="15191" xr:uid="{83947874-D2CC-4D6E-AF6E-06F400349A44}"/>
    <cellStyle name="Примечание 4 6 5 2" xfId="31375" xr:uid="{A5B0E893-2B35-422C-A9D8-8925D46CE8C7}"/>
    <cellStyle name="Примечание 4 6 5 3" xfId="44846" xr:uid="{15614ED1-FE73-42F4-A80E-1180B356FECC}"/>
    <cellStyle name="Примечание 4 6 6" xfId="21491" xr:uid="{93F30FCB-6347-4120-8713-73F482022DC4}"/>
    <cellStyle name="Примечание 4 6 7" xfId="34543" xr:uid="{46E69BBA-00EB-46EA-933E-A9FFBC1E4B25}"/>
    <cellStyle name="Примечание 4 7" xfId="3525" xr:uid="{0C17C1BA-EC06-4BB0-B392-44958F72234E}"/>
    <cellStyle name="Примечание 4 7 2" xfId="2866" xr:uid="{0B8E3BDC-B7A6-4E5D-BF3C-8552050652B4}"/>
    <cellStyle name="Примечание 4 7 2 2" xfId="8162" xr:uid="{3F74E375-0583-485D-AB64-EB163AD62DF6}"/>
    <cellStyle name="Примечание 4 7 2 2 2" xfId="12972" xr:uid="{D2E73696-73C8-405C-8D05-C3FBBFDA10F3}"/>
    <cellStyle name="Примечание 4 7 2 2 2 2" xfId="29510" xr:uid="{37A8D512-1528-4B2F-98F2-1A0768D71D2D}"/>
    <cellStyle name="Примечание 4 7 2 2 2 3" xfId="42809" xr:uid="{E536F5A2-3317-4375-B713-7774389867FF}"/>
    <cellStyle name="Примечание 4 7 2 2 3" xfId="25673" xr:uid="{9B2E587E-CA69-4A5B-A5FF-601DC7004A0A}"/>
    <cellStyle name="Примечание 4 7 2 2 4" xfId="38749" xr:uid="{E891372F-9438-4A6A-BCD6-28EDC844116A}"/>
    <cellStyle name="Примечание 4 7 2 3" xfId="6529" xr:uid="{1FE68FBA-BF1A-4139-B3C0-EFAD8C0F9D11}"/>
    <cellStyle name="Примечание 4 7 2 3 2" xfId="16581" xr:uid="{2B781E62-68E2-483D-BA18-E842A5F72D98}"/>
    <cellStyle name="Примечание 4 7 2 3 2 2" xfId="32504" xr:uid="{D01CF03A-965E-43D6-84F4-D04E23D7EDD6}"/>
    <cellStyle name="Примечание 4 7 2 3 2 3" xfId="46128" xr:uid="{4724248B-D42B-4872-9675-CD847FADD946}"/>
    <cellStyle name="Примечание 4 7 2 3 3" xfId="24164" xr:uid="{EDF97F4E-6864-4247-BF2E-EC5F61C9E03C}"/>
    <cellStyle name="Примечание 4 7 2 3 4" xfId="37245" xr:uid="{AAF6A0B7-0D2D-4E9A-9AD4-81019CEAE3B2}"/>
    <cellStyle name="Примечание 4 7 2 4" xfId="11591" xr:uid="{95A0F2A7-4099-4356-BCC3-1245969A3414}"/>
    <cellStyle name="Примечание 4 7 2 4 2" xfId="28342" xr:uid="{D18C8533-3DDD-4CD3-91F1-71492579F984}"/>
    <cellStyle name="Примечание 4 7 2 4 3" xfId="41543" xr:uid="{777ED64B-3E14-4C56-9373-C7B8B9B7267A}"/>
    <cellStyle name="Примечание 4 7 2 5" xfId="20916" xr:uid="{8FA3DB1B-7553-458B-83EC-310C75ABD59F}"/>
    <cellStyle name="Примечание 4 7 2 6" xfId="33939" xr:uid="{EB2F5A69-5053-4A2C-86F3-07640A086068}"/>
    <cellStyle name="Примечание 4 7 3" xfId="4525" xr:uid="{08D1B860-5BB1-4951-B792-3E9629E90A5C}"/>
    <cellStyle name="Примечание 4 7 3 2" xfId="7167" xr:uid="{11168A26-60B0-4659-9F84-A8B1CD08A44F}"/>
    <cellStyle name="Примечание 4 7 3 2 2" xfId="14457" xr:uid="{E2F1CDE0-9B9C-40E0-AE6B-0B354267A19B}"/>
    <cellStyle name="Примечание 4 7 3 2 2 2" xfId="30785" xr:uid="{BDAA20A3-24ED-4741-A7FC-1AB47F56705D}"/>
    <cellStyle name="Примечание 4 7 3 2 2 3" xfId="44186" xr:uid="{EBC9FB8F-5FC7-4D9F-837C-A7FB5F30DAEE}"/>
    <cellStyle name="Примечание 4 7 3 2 3" xfId="24764" xr:uid="{510B1B8C-73DE-4C53-83A5-FD54B6EF25BC}"/>
    <cellStyle name="Примечание 4 7 3 2 4" xfId="37845" xr:uid="{12156C35-49EF-46FF-B719-CC19A62EA761}"/>
    <cellStyle name="Примечание 4 7 3 3" xfId="10837" xr:uid="{526EF102-5A19-459B-B02A-49CFFF07AFAF}"/>
    <cellStyle name="Примечание 4 7 3 3 2" xfId="27667" xr:uid="{595ACBFD-7BA1-4E70-96D9-AF90775D1843}"/>
    <cellStyle name="Примечание 4 7 3 3 3" xfId="40818" xr:uid="{B5840982-E2C8-469D-AB19-CBD8C9D37144}"/>
    <cellStyle name="Примечание 4 7 3 4" xfId="22343" xr:uid="{B94CB59E-EF72-4A6E-B616-190357349217}"/>
    <cellStyle name="Примечание 4 7 3 5" xfId="35392" xr:uid="{860DDAEA-F8DC-42A5-8793-57C313C50D58}"/>
    <cellStyle name="Примечание 4 7 4" xfId="5578" xr:uid="{8D986FAA-310A-42C7-BCF7-10435A56C8DC}"/>
    <cellStyle name="Примечание 4 7 4 2" xfId="8760" xr:uid="{8D9E821A-417C-449D-8F89-001273DF823B}"/>
    <cellStyle name="Примечание 4 7 4 2 2" xfId="11301" xr:uid="{1E1F630B-2729-4E82-B4F0-ED56A5FBAC3B}"/>
    <cellStyle name="Примечание 4 7 4 2 2 2" xfId="28085" xr:uid="{4EE64DEE-F852-42E7-9FBA-42BDB618F049}"/>
    <cellStyle name="Примечание 4 7 4 2 2 3" xfId="41268" xr:uid="{1BF36CF8-F3CE-4782-B097-3576A78C032E}"/>
    <cellStyle name="Примечание 4 7 4 2 3" xfId="26253" xr:uid="{AF029559-7DA4-41CA-A042-824F00A29D36}"/>
    <cellStyle name="Примечание 4 7 4 2 4" xfId="39329" xr:uid="{53519CFE-C547-4F3F-966C-C444BAE94F24}"/>
    <cellStyle name="Примечание 4 7 4 3" xfId="11552" xr:uid="{DC8F0464-F695-436E-9BC9-3ADA2DC4E9FB}"/>
    <cellStyle name="Примечание 4 7 4 3 2" xfId="28309" xr:uid="{16C23154-EFF0-4C4F-957D-D23AB33D0CDD}"/>
    <cellStyle name="Примечание 4 7 4 3 3" xfId="41507" xr:uid="{3189D644-45C6-4680-A3AB-FA76632B401A}"/>
    <cellStyle name="Примечание 4 7 4 4" xfId="23225" xr:uid="{546C23F0-05EE-40FB-9ECD-2A95C8203D87}"/>
    <cellStyle name="Примечание 4 7 4 5" xfId="36306" xr:uid="{54026F62-9932-47BC-B76F-8E461DDAF11B}"/>
    <cellStyle name="Примечание 4 7 5" xfId="16125" xr:uid="{8CC6A8B6-5992-43B0-94E0-58D4C025FBB8}"/>
    <cellStyle name="Примечание 4 7 5 2" xfId="32180" xr:uid="{13B36597-30F5-43E3-BC91-BB87A96E4036}"/>
    <cellStyle name="Примечание 4 7 5 3" xfId="45701" xr:uid="{F28FFF10-4A77-4885-AF71-C8E4339A24BC}"/>
    <cellStyle name="Примечание 4 7 6" xfId="21487" xr:uid="{225CBBB5-AD4D-4A1B-A5ED-2A9AAFB087CA}"/>
    <cellStyle name="Примечание 4 7 7" xfId="34539" xr:uid="{77C66BEB-135D-4548-AB37-E17C565C2703}"/>
    <cellStyle name="Примечание 4 8" xfId="3532" xr:uid="{A9C7D79F-5FD9-41EA-9F8A-3831FACC6546}"/>
    <cellStyle name="Примечание 4 8 2" xfId="2873" xr:uid="{BF1DA392-1BAD-4F5D-A476-E1CA620B6E92}"/>
    <cellStyle name="Примечание 4 8 2 2" xfId="8169" xr:uid="{1D119053-60D7-4D93-B6F5-D26423FCE808}"/>
    <cellStyle name="Примечание 4 8 2 2 2" xfId="12884" xr:uid="{CA1CEF68-4057-42D0-910F-660698517A3E}"/>
    <cellStyle name="Примечание 4 8 2 2 2 2" xfId="29442" xr:uid="{B1E71139-9F0F-4233-899B-4334D169A692}"/>
    <cellStyle name="Примечание 4 8 2 2 2 3" xfId="42731" xr:uid="{5A3A33F0-8C5B-4D75-ACEE-E622848BCFAA}"/>
    <cellStyle name="Примечание 4 8 2 2 3" xfId="25680" xr:uid="{4F2C4CDA-A62A-4775-A782-4736D7BFC4D1}"/>
    <cellStyle name="Примечание 4 8 2 2 4" xfId="38756" xr:uid="{4E2C676F-5723-4022-BC92-B0E5820EF0B8}"/>
    <cellStyle name="Примечание 4 8 2 3" xfId="6536" xr:uid="{746F43C0-656D-475C-8AF3-49B19168631D}"/>
    <cellStyle name="Примечание 4 8 2 3 2" xfId="13457" xr:uid="{9B5C90BF-8A15-4075-9147-AD08339F786A}"/>
    <cellStyle name="Примечание 4 8 2 3 2 2" xfId="29920" xr:uid="{CE1D467C-173B-4623-B3A8-3323F3752665}"/>
    <cellStyle name="Примечание 4 8 2 3 2 3" xfId="43259" xr:uid="{D2323887-BF6E-4570-926F-AC85A7DA9CA4}"/>
    <cellStyle name="Примечание 4 8 2 3 3" xfId="24171" xr:uid="{1AAA27E1-1049-4586-80D3-8F091B18057B}"/>
    <cellStyle name="Примечание 4 8 2 3 4" xfId="37252" xr:uid="{72913E2A-A09F-4681-9368-4E339ED383DB}"/>
    <cellStyle name="Примечание 4 8 2 4" xfId="11940" xr:uid="{B18C2869-24C3-4E61-8E90-88EE5CADBF4F}"/>
    <cellStyle name="Примечание 4 8 2 4 2" xfId="28651" xr:uid="{EA641DB8-63C3-48FB-94D8-F220F2214194}"/>
    <cellStyle name="Примечание 4 8 2 4 3" xfId="41869" xr:uid="{AC18CCFB-F846-48FC-840C-6A7D380EB1D1}"/>
    <cellStyle name="Примечание 4 8 2 5" xfId="20923" xr:uid="{B1C753D6-C33C-436E-B615-195B60FBE791}"/>
    <cellStyle name="Примечание 4 8 2 6" xfId="33946" xr:uid="{136714BB-C1FB-4F38-AA65-0C90FA6BCF29}"/>
    <cellStyle name="Примечание 4 8 3" xfId="4532" xr:uid="{3247AA70-7166-46A7-A8A2-9603B0CDAAA6}"/>
    <cellStyle name="Примечание 4 8 3 2" xfId="7174" xr:uid="{A70D697D-CDF8-4633-8798-BAFEC5D79A0C}"/>
    <cellStyle name="Примечание 4 8 3 2 2" xfId="14148" xr:uid="{773E660C-4ECD-44FD-85A1-5282A1E5BC34}"/>
    <cellStyle name="Примечание 4 8 3 2 2 2" xfId="30508" xr:uid="{1B35988F-F34B-4212-8101-3D42B691F5A1}"/>
    <cellStyle name="Примечание 4 8 3 2 2 3" xfId="43894" xr:uid="{CE5E56E5-F7E6-4787-9357-AE1108CEEED3}"/>
    <cellStyle name="Примечание 4 8 3 2 3" xfId="24771" xr:uid="{D91E5C65-2723-4AF2-B11B-07F5B1D5E673}"/>
    <cellStyle name="Примечание 4 8 3 2 4" xfId="37852" xr:uid="{6315E611-F428-40A1-B96D-4AA3914C5F52}"/>
    <cellStyle name="Примечание 4 8 3 3" xfId="13943" xr:uid="{22B632FF-CB76-4FB5-80FB-5BC29DFDA9E4}"/>
    <cellStyle name="Примечание 4 8 3 3 2" xfId="30331" xr:uid="{7D50ECAB-28B0-4C4B-98C3-F4EE78F587A7}"/>
    <cellStyle name="Примечание 4 8 3 3 3" xfId="43708" xr:uid="{ECE61CBC-FC65-4952-AAE4-4E01C294B33D}"/>
    <cellStyle name="Примечание 4 8 3 4" xfId="22350" xr:uid="{7E32A538-6D1D-47DD-81FC-B24F8A6313C8}"/>
    <cellStyle name="Примечание 4 8 3 5" xfId="35399" xr:uid="{115F7EE2-9329-4847-B08E-BC8D881F1BA4}"/>
    <cellStyle name="Примечание 4 8 4" xfId="5585" xr:uid="{5644C982-9C5E-4EF4-93AB-BE5CCED6EE62}"/>
    <cellStyle name="Примечание 4 8 4 2" xfId="8767" xr:uid="{0E977ED0-D5C9-4652-B1D4-5FB028426CA7}"/>
    <cellStyle name="Примечание 4 8 4 2 2" xfId="14516" xr:uid="{FEFCCD9A-49FD-4876-95AE-1DF173836823}"/>
    <cellStyle name="Примечание 4 8 4 2 2 2" xfId="30833" xr:uid="{B4153314-477F-4B7A-9313-B82B1FBB9B32}"/>
    <cellStyle name="Примечание 4 8 4 2 2 3" xfId="44244" xr:uid="{A3B13DC8-6CD2-4320-A77E-20E6E13593E7}"/>
    <cellStyle name="Примечание 4 8 4 2 3" xfId="26260" xr:uid="{6A7BB5F8-9292-41E3-8C46-40B047E942E0}"/>
    <cellStyle name="Примечание 4 8 4 2 4" xfId="39336" xr:uid="{D4C3F241-4E79-4862-BB06-FDB685895F7E}"/>
    <cellStyle name="Примечание 4 8 4 3" xfId="13653" xr:uid="{130285E5-99FF-4E58-9A52-64810C681ACA}"/>
    <cellStyle name="Примечание 4 8 4 3 2" xfId="30082" xr:uid="{84ED3EE5-7D3D-4992-80AA-67BF71C69CAA}"/>
    <cellStyle name="Примечание 4 8 4 3 3" xfId="43440" xr:uid="{95EA90CB-83FC-455F-8188-26610C744524}"/>
    <cellStyle name="Примечание 4 8 4 4" xfId="23232" xr:uid="{5E9A197B-CAAD-4D88-A3DA-DFB17488DA84}"/>
    <cellStyle name="Примечание 4 8 4 5" xfId="36313" xr:uid="{F55DCB48-55BD-42A9-BB7E-03B337A50BE4}"/>
    <cellStyle name="Примечание 4 8 5" xfId="15262" xr:uid="{5F44FFEE-9952-499C-83DD-BA2D7043FA24}"/>
    <cellStyle name="Примечание 4 8 5 2" xfId="31437" xr:uid="{81DD2193-F705-434A-B2F3-0D054EB25741}"/>
    <cellStyle name="Примечание 4 8 5 3" xfId="44913" xr:uid="{1AC831C2-F9B6-4309-B0DC-42618C60AA85}"/>
    <cellStyle name="Примечание 4 8 6" xfId="21494" xr:uid="{A7D5B589-CFCB-4400-B07F-D19728784174}"/>
    <cellStyle name="Примечание 4 8 7" xfId="34546" xr:uid="{7E93E925-C4BA-4D24-938B-60B4CF62856C}"/>
    <cellStyle name="Примечание 4 9" xfId="3538" xr:uid="{5826F850-CE85-4785-A1D1-DAEEA06D805F}"/>
    <cellStyle name="Примечание 4 9 2" xfId="2879" xr:uid="{C2B7B640-0D1F-431A-B466-AF0EB3010E3D}"/>
    <cellStyle name="Примечание 4 9 2 2" xfId="8175" xr:uid="{A855BEAF-46E4-43F3-A846-55F0B3A1E6AC}"/>
    <cellStyle name="Примечание 4 9 2 2 2" xfId="14978" xr:uid="{7E7BAC70-773E-4613-A114-9637AF724051}"/>
    <cellStyle name="Примечание 4 9 2 2 2 2" xfId="31214" xr:uid="{95729872-25C6-404F-85A2-F0BB9D84B543}"/>
    <cellStyle name="Примечание 4 9 2 2 2 3" xfId="44662" xr:uid="{B6BA6B02-FFEA-427A-936B-FB24995B04CC}"/>
    <cellStyle name="Примечание 4 9 2 2 3" xfId="25686" xr:uid="{32807FD2-0DEA-4FC2-BD76-AD9DC9D3F349}"/>
    <cellStyle name="Примечание 4 9 2 2 4" xfId="38762" xr:uid="{9C0C0C2B-FEE8-494D-ACB1-3F18E73A5084}"/>
    <cellStyle name="Примечание 4 9 2 3" xfId="6542" xr:uid="{903844D7-8E25-43D4-BBE6-F4DE326D2F23}"/>
    <cellStyle name="Примечание 4 9 2 3 2" xfId="12093" xr:uid="{B0FE531C-A1AD-48DB-9161-F377BB4DA625}"/>
    <cellStyle name="Примечание 4 9 2 3 2 2" xfId="28793" xr:uid="{06064A64-DEFF-4632-AE83-9D0FDF8B2E10}"/>
    <cellStyle name="Примечание 4 9 2 3 2 3" xfId="42013" xr:uid="{87B311A2-99D1-4892-AE3A-FD955098B340}"/>
    <cellStyle name="Примечание 4 9 2 3 3" xfId="24177" xr:uid="{A3BD6B54-5054-4AC9-9645-EEA7DA81F812}"/>
    <cellStyle name="Примечание 4 9 2 3 4" xfId="37258" xr:uid="{671E69EA-32FF-4157-913F-94F55FC3ABBE}"/>
    <cellStyle name="Примечание 4 9 2 4" xfId="15983" xr:uid="{482BB9FE-5AB4-4C74-B3F7-94152705B4D9}"/>
    <cellStyle name="Примечание 4 9 2 4 2" xfId="32057" xr:uid="{98CE785B-E109-496A-B725-3C756ECF7FD4}"/>
    <cellStyle name="Примечание 4 9 2 4 3" xfId="45576" xr:uid="{BBBAA28A-FE2C-4F0B-BB43-FD5438219196}"/>
    <cellStyle name="Примечание 4 9 2 5" xfId="20929" xr:uid="{3EB6169F-E845-4AF1-AE36-7A72CF535965}"/>
    <cellStyle name="Примечание 4 9 2 6" xfId="33952" xr:uid="{2A02CFBC-3D3A-49EE-AECB-58B782F92303}"/>
    <cellStyle name="Примечание 4 9 3" xfId="4564" xr:uid="{F03AD0EA-F969-43A3-B785-C83329CD7C5B}"/>
    <cellStyle name="Примечание 4 9 3 2" xfId="7180" xr:uid="{F94461B3-01FD-4244-82B1-7D2DFC61C64D}"/>
    <cellStyle name="Примечание 4 9 3 2 2" xfId="11762" xr:uid="{8159BD05-0380-4AFF-A7F8-F0398A63B1EE}"/>
    <cellStyle name="Примечание 4 9 3 2 2 2" xfId="28487" xr:uid="{52334364-6CAD-4B76-88D8-C29F01C9790A}"/>
    <cellStyle name="Примечание 4 9 3 2 2 3" xfId="41698" xr:uid="{2A98A0D2-E0B1-47C4-926D-EA2A19C84795}"/>
    <cellStyle name="Примечание 4 9 3 2 3" xfId="24777" xr:uid="{426B1C13-5B5B-41A1-B102-082420A5876A}"/>
    <cellStyle name="Примечание 4 9 3 2 4" xfId="37858" xr:uid="{C45EF5AF-9811-43E2-8418-1A0AF1135106}"/>
    <cellStyle name="Примечание 4 9 3 3" xfId="10589" xr:uid="{DA77BAB1-7B52-4334-AB6C-BA58ACD49CF5}"/>
    <cellStyle name="Примечание 4 9 3 3 2" xfId="27448" xr:uid="{D79BD9ED-DF0A-4FFC-8C24-C915E9D43EA1}"/>
    <cellStyle name="Примечание 4 9 3 3 3" xfId="40570" xr:uid="{337C3C31-9755-4A2C-A4AA-79982B1F166F}"/>
    <cellStyle name="Примечание 4 9 3 4" xfId="22380" xr:uid="{0F432D08-0755-47A7-A1EB-19FF8ACFB31A}"/>
    <cellStyle name="Примечание 4 9 3 5" xfId="35429" xr:uid="{BF94F49C-7CA5-435B-8F5E-E95EF711497B}"/>
    <cellStyle name="Примечание 4 9 4" xfId="5591" xr:uid="{D5D4D7B7-A9D1-4DC2-AD12-91A93292D243}"/>
    <cellStyle name="Примечание 4 9 4 2" xfId="8773" xr:uid="{1FCF3355-6EF5-4548-BF16-CFD623517F9D}"/>
    <cellStyle name="Примечание 4 9 4 2 2" xfId="14434" xr:uid="{4518A350-2373-4F24-833A-30B79238322A}"/>
    <cellStyle name="Примечание 4 9 4 2 2 2" xfId="30764" xr:uid="{85A041FE-26F2-4EDB-8022-825B873EBE18}"/>
    <cellStyle name="Примечание 4 9 4 2 2 3" xfId="44164" xr:uid="{FC4C36BC-D56C-4381-98AC-6B970DAFAAB5}"/>
    <cellStyle name="Примечание 4 9 4 2 3" xfId="26266" xr:uid="{3E016D22-85A2-4C62-9421-009D3894A1AC}"/>
    <cellStyle name="Примечание 4 9 4 2 4" xfId="39342" xr:uid="{9FFF512A-D73F-44AB-9911-47FFF7A90824}"/>
    <cellStyle name="Примечание 4 9 4 3" xfId="16089" xr:uid="{9255E4E9-E832-4FDF-986D-143273D1A15F}"/>
    <cellStyle name="Примечание 4 9 4 3 2" xfId="32148" xr:uid="{C7B3A2CB-FA10-4967-A90F-90F477989BC2}"/>
    <cellStyle name="Примечание 4 9 4 3 3" xfId="45669" xr:uid="{BF5F4E6E-5BDC-43A3-947A-4DC106592140}"/>
    <cellStyle name="Примечание 4 9 4 4" xfId="23238" xr:uid="{B37C4424-E08B-476E-B24C-940419CA250A}"/>
    <cellStyle name="Примечание 4 9 4 5" xfId="36319" xr:uid="{88995413-2045-46BA-B64C-BCAFE224F941}"/>
    <cellStyle name="Примечание 4 9 5" xfId="14976" xr:uid="{DC2F787B-34CE-422A-9AAA-88C6CC36ACB7}"/>
    <cellStyle name="Примечание 4 9 5 2" xfId="31212" xr:uid="{32BBCCB1-7324-4990-8144-8E6D8A71F8AD}"/>
    <cellStyle name="Примечание 4 9 5 3" xfId="44660" xr:uid="{983BDEA3-9F53-4F62-AB9C-B654925CD117}"/>
    <cellStyle name="Примечание 4 9 6" xfId="21500" xr:uid="{C9E3D711-8389-4E0A-8757-EC6E92C37C82}"/>
    <cellStyle name="Примечание 4 9 7" xfId="34552" xr:uid="{4E4AF4C7-AE27-41DA-AC56-09D7C86E021C}"/>
    <cellStyle name="проба" xfId="2416" xr:uid="{D3801F6D-F6DC-4C1C-8C88-9F9EAD8ECF4D}"/>
    <cellStyle name="проба 1" xfId="2417" xr:uid="{2FEF5493-C874-4E41-B877-82084079C0DE}"/>
    <cellStyle name="проба 2" xfId="2418" xr:uid="{1E236C0E-EC81-46F5-96F2-B914ED1A7668}"/>
    <cellStyle name="проба 3" xfId="2419" xr:uid="{69E1D7C2-E31D-4931-A700-DE4FDF59FDDE}"/>
    <cellStyle name="Процентный" xfId="47301" builtinId="5"/>
    <cellStyle name="Процентный 10" xfId="4041" xr:uid="{C69CA40C-6512-473A-B6A2-43F0F052809E}"/>
    <cellStyle name="Процентный 10 2" xfId="4605" xr:uid="{AB18E9CB-527F-4AFA-B49C-715571F288F4}"/>
    <cellStyle name="Процентный 10 3" xfId="4534" xr:uid="{C5345BA0-412A-4E11-8541-872F95D98759}"/>
    <cellStyle name="Процентный 11" xfId="2510" xr:uid="{5BBF3887-17DA-4518-9F26-98E51F1F29AE}"/>
    <cellStyle name="Процентный 11 2" xfId="6179" xr:uid="{44B96E6F-1708-41F5-9250-91933E236D52}"/>
    <cellStyle name="Процентный 11 2 2" xfId="10039" xr:uid="{EE63EE54-07AC-408E-9EA9-69659D28A32F}"/>
    <cellStyle name="Процентный 11 2 2 2" xfId="19003" xr:uid="{9D471491-DCA9-4E67-BDF9-D3E048472063}"/>
    <cellStyle name="Процентный 11 2 2 3" xfId="20265" xr:uid="{21F523B5-E271-43C2-84D8-07E10AF8486F}"/>
    <cellStyle name="Процентный 11 2 2 4" xfId="27335" xr:uid="{F4F8D9E4-D1B2-4763-AE87-E57DBE09FB7F}"/>
    <cellStyle name="Процентный 11 2 2 5" xfId="40454" xr:uid="{00663424-B0D0-4B5B-A8E5-14B9AB06453B}"/>
    <cellStyle name="Процентный 11 2 3" xfId="18299" xr:uid="{87B287CE-6949-4ED5-9F46-8D3DE8B211BC}"/>
    <cellStyle name="Процентный 11 2 4" xfId="19738" xr:uid="{AF10DAC7-C39A-4434-9E86-2F7E9FC5A6B3}"/>
    <cellStyle name="Процентный 11 2 5" xfId="23824" xr:uid="{EA0AFD6B-1156-4816-A0C4-8AB1E6C8CAE7}"/>
    <cellStyle name="Процентный 11 2 6" xfId="36905" xr:uid="{CA04E6D5-942C-4C23-A4D0-7E42927B18A3}"/>
    <cellStyle name="Процентный 11 3" xfId="9407" xr:uid="{5C705A0F-D462-4625-BE2A-F191D6E77628}"/>
    <cellStyle name="Процентный 11 3 2" xfId="18477" xr:uid="{B1337ED8-0D5A-4011-94D5-43B6E5A13BF7}"/>
    <cellStyle name="Процентный 11 3 3" xfId="19817" xr:uid="{3ACCE70D-60E3-4D53-A00F-A0D70227EF76}"/>
    <cellStyle name="Процентный 11 3 4" xfId="26819" xr:uid="{6F56F0E3-0D61-4EAA-876F-E52316E36B60}"/>
    <cellStyle name="Процентный 11 3 5" xfId="39900" xr:uid="{CD518FD5-1ED3-4802-907A-5915ED7A2FD7}"/>
    <cellStyle name="Процентный 11 4" xfId="17834" xr:uid="{1CACC1D3-8EFB-402D-BA09-29C57BF633F2}"/>
    <cellStyle name="Процентный 11 5" xfId="19290" xr:uid="{544CDEDA-2938-40E7-B229-1A3AE176DBFE}"/>
    <cellStyle name="Процентный 11 6" xfId="20576" xr:uid="{650A8A32-AC4A-4D53-BBFB-9CB3DEE04B5F}"/>
    <cellStyle name="Процентный 11 7" xfId="33599" xr:uid="{278E8BF3-BB1A-48F0-97DA-DDE97196526E}"/>
    <cellStyle name="Процентный 12" xfId="4273" xr:uid="{A9B22FCE-FE74-4D0E-9E3D-A9070F51AB9C}"/>
    <cellStyle name="Процентный 12 2" xfId="9534" xr:uid="{F5EC100D-C8B0-45C4-AF58-53D93D701E09}"/>
    <cellStyle name="Процентный 12 2 2" xfId="18602" xr:uid="{70E55EC9-30AE-48CB-A75C-629245186229}"/>
    <cellStyle name="Процентный 12 2 3" xfId="19892" xr:uid="{4AB9A4B7-FED2-4AE3-8C21-804F0436DF9A}"/>
    <cellStyle name="Процентный 12 2 4" xfId="26894" xr:uid="{A8BB9E2F-A149-4B5C-9F37-923C195CB0A8}"/>
    <cellStyle name="Процентный 12 2 5" xfId="39977" xr:uid="{060F683E-48A9-4AA9-BF42-FC4B0962F0C3}"/>
    <cellStyle name="Процентный 12 3" xfId="17909" xr:uid="{A4145ED3-EBA4-4E27-A11B-FEB50D969DB3}"/>
    <cellStyle name="Процентный 12 4" xfId="19365" xr:uid="{29254DD9-FCC5-44A2-A60D-03DABE08729F}"/>
    <cellStyle name="Процентный 12 5" xfId="22097" xr:uid="{EDDA244F-ED75-4C57-9913-84C82A1A5CD9}"/>
    <cellStyle name="Процентный 12 6" xfId="35146" xr:uid="{3FB2997D-B525-4C11-B470-13B9E01B4499}"/>
    <cellStyle name="Процентный 13" xfId="5249" xr:uid="{B37F1E16-4C77-4C52-BF4E-3757CC9CF716}"/>
    <cellStyle name="Процентный 13 2" xfId="9683" xr:uid="{1375A933-2899-4CC2-8C19-FAF67F0F1CB3}"/>
    <cellStyle name="Процентный 13 2 2" xfId="18722" xr:uid="{6D422ADA-41EB-4D0C-83DC-F802DD0A8ACD}"/>
    <cellStyle name="Процентный 13 2 3" xfId="19986" xr:uid="{D46A19EE-3357-4D70-9C71-E183D5061F03}"/>
    <cellStyle name="Процентный 13 2 4" xfId="26988" xr:uid="{5F44DADC-8AB8-452D-83D6-654ECA78CE0A}"/>
    <cellStyle name="Процентный 13 2 5" xfId="40100" xr:uid="{D003D394-23E1-446B-86C2-AE7B9E4DC6B0}"/>
    <cellStyle name="Процентный 13 3" xfId="18019" xr:uid="{57FABCF9-E4CD-4AE6-BF8C-22C31C0A74B3}"/>
    <cellStyle name="Процентный 13 4" xfId="19459" xr:uid="{D39B99A2-3307-402D-8BDD-FAA5F6682B49}"/>
    <cellStyle name="Процентный 13 5" xfId="22907" xr:uid="{77A5162B-7E84-4330-A2B5-180D739E5D55}"/>
    <cellStyle name="Процентный 13 6" xfId="35981" xr:uid="{A051602D-5DDD-4E96-8F8D-EE3B0B01F29F}"/>
    <cellStyle name="Процентный 14" xfId="5342" xr:uid="{1E8E052B-EFF5-4026-8E70-D04C787E3A7C}"/>
    <cellStyle name="Процентный 14 2" xfId="9773" xr:uid="{5DC65426-D9AE-4967-942C-02B02E8F1EDD}"/>
    <cellStyle name="Процентный 14 2 2" xfId="18776" xr:uid="{3410CFFE-3806-4F98-9892-437D792CA139}"/>
    <cellStyle name="Процентный 14 2 3" xfId="20039" xr:uid="{840C2A92-528F-4BBC-9BF6-F5A903CE541F}"/>
    <cellStyle name="Процентный 14 2 4" xfId="27070" xr:uid="{EBD2ECF6-E29B-49BA-AE6C-1BB98FB67C48}"/>
    <cellStyle name="Процентный 14 2 5" xfId="40189" xr:uid="{CBEC4BA9-4372-444A-9AC4-18AEB7C9D3F4}"/>
    <cellStyle name="Процентный 14 3" xfId="18073" xr:uid="{C03C77A9-355A-42CA-A17C-B1F5644A0E17}"/>
    <cellStyle name="Процентный 14 4" xfId="19512" xr:uid="{E312746D-C2AA-4B78-AE10-DD9B737E5E40}"/>
    <cellStyle name="Процентный 14 5" xfId="22989" xr:uid="{FB534C9F-7953-45D8-A88E-C343FA883E7C}"/>
    <cellStyle name="Процентный 14 6" xfId="36070" xr:uid="{EE893131-77EC-4151-BEC5-A42D2186B20A}"/>
    <cellStyle name="Процентный 15" xfId="5969" xr:uid="{60933FB7-800D-4251-AE45-F24650F94D4D}"/>
    <cellStyle name="Процентный 15 2" xfId="9888" xr:uid="{B3FC5AA8-F086-4D37-B55B-66C404842870}"/>
    <cellStyle name="Процентный 15 2 2" xfId="18852" xr:uid="{E775B20C-54D2-4FF9-80BE-91865F86768F}"/>
    <cellStyle name="Процентный 15 2 3" xfId="20114" xr:uid="{3E331F88-B750-423B-ADC9-41845AB430A4}"/>
    <cellStyle name="Процентный 15 2 4" xfId="27184" xr:uid="{183843CB-181A-4212-9E39-F8E1EB7926BB}"/>
    <cellStyle name="Процентный 15 2 5" xfId="40303" xr:uid="{7828C005-0855-472D-9C59-00991C8D9C85}"/>
    <cellStyle name="Процентный 15 3" xfId="18148" xr:uid="{2ED85A7C-12EB-4B59-A7CD-4C9EA3D15674}"/>
    <cellStyle name="Процентный 15 4" xfId="19587" xr:uid="{9660C314-22F0-4D55-B8AA-06C4F8EFF396}"/>
    <cellStyle name="Процентный 15 5" xfId="23615" xr:uid="{03ADAC9B-44FB-47CE-857C-24BD07AD413B}"/>
    <cellStyle name="Процентный 15 6" xfId="36696" xr:uid="{9343341F-E358-449C-A4D2-EC6D8ED72A87}"/>
    <cellStyle name="Процентный 16" xfId="6044" xr:uid="{B8937577-2022-46FE-8246-272486892543}"/>
    <cellStyle name="Процентный 16 2" xfId="9963" xr:uid="{33098395-6DD5-45D9-8474-D58BFBAFC1BF}"/>
    <cellStyle name="Процентный 16 2 2" xfId="18927" xr:uid="{1CEBA2DC-F8BC-430D-AF37-0AEBB739C399}"/>
    <cellStyle name="Процентный 16 2 3" xfId="20189" xr:uid="{01690613-26A1-49F4-A0AA-CADCD20B8CEE}"/>
    <cellStyle name="Процентный 16 2 4" xfId="27259" xr:uid="{12EAF8D9-3C43-45A8-A4B6-F6C338E2970D}"/>
    <cellStyle name="Процентный 16 2 5" xfId="40378" xr:uid="{D35E231D-BB91-4E50-A6D7-9814CF531373}"/>
    <cellStyle name="Процентный 16 3" xfId="18223" xr:uid="{EAE24D0E-C817-4031-827C-25A13B884F9E}"/>
    <cellStyle name="Процентный 16 4" xfId="19662" xr:uid="{0E7FD109-ED3F-4639-B305-2CBE569FE4A2}"/>
    <cellStyle name="Процентный 16 5" xfId="23690" xr:uid="{E836B6C5-07B8-4D9A-A44D-708D4787CEB3}"/>
    <cellStyle name="Процентный 16 6" xfId="36771" xr:uid="{DF0D480B-04AF-498A-B206-2EB34B38598E}"/>
    <cellStyle name="Процентный 17" xfId="9375" xr:uid="{E10101C2-D641-4CC3-938E-3530B63DE538}"/>
    <cellStyle name="Процентный 18" xfId="10203" xr:uid="{B803F034-52C4-40A0-8786-DBBA497D9423}"/>
    <cellStyle name="Процентный 19" xfId="38" xr:uid="{449AE8B9-3364-4956-9E16-7F045B8461C0}"/>
    <cellStyle name="Процентный 2" xfId="3" xr:uid="{478EFB7A-C719-4235-9A43-01FA350DD81E}"/>
    <cellStyle name="Процентный 2 2" xfId="19" xr:uid="{576F2B4F-B654-4D9D-9705-3A897CB183DF}"/>
    <cellStyle name="Процентный 2 2 2" xfId="3809" xr:uid="{DEDAA580-71AB-4100-85F4-4ED3C03A1C51}"/>
    <cellStyle name="Процентный 2 2 3" xfId="10488" xr:uid="{19341A21-535A-41A2-82B8-C6366C887D7B}"/>
    <cellStyle name="Процентный 2 2 4" xfId="2420" xr:uid="{B6FD23EC-2B8F-467C-883D-54D530F9E5C9}"/>
    <cellStyle name="Процентный 2 3" xfId="24" xr:uid="{09CDD6A0-1163-4B46-BA7F-B63172808B38}"/>
    <cellStyle name="Процентный 2 3 2" xfId="10543" xr:uid="{DAF1374C-9C11-4898-91D6-C7A917317126}"/>
    <cellStyle name="Процентный 2 3 3" xfId="2466" xr:uid="{E3102A8B-036A-413B-B86E-6DCB6F9EDA09}"/>
    <cellStyle name="Процентный 2 4" xfId="2496" xr:uid="{35165687-BF5B-4637-85C8-DEE95948C61D}"/>
    <cellStyle name="Процентный 2 5" xfId="42" xr:uid="{9EC1815D-662C-4745-8942-A2A6F4D99850}"/>
    <cellStyle name="Процентный 2 6" xfId="17634" xr:uid="{4F20BC79-E5CC-4D6B-BD8A-FC626173DD73}"/>
    <cellStyle name="Процентный 2 6 2" xfId="19176" xr:uid="{73D9415B-8B46-4FD6-951E-FE6104BC5118}"/>
    <cellStyle name="Процентный 2 6 3" xfId="20331" xr:uid="{17D42E6D-E9A5-4F7E-BD7B-59656EFBC89F}"/>
    <cellStyle name="Процентный 2 6 4" xfId="33363" xr:uid="{B948C20D-84FA-4828-B48D-EE41C4895E21}"/>
    <cellStyle name="Процентный 2 6 5" xfId="47152" xr:uid="{23F4E228-C493-4E16-BD7B-DA02E53DDBA0}"/>
    <cellStyle name="Процентный 2 7" xfId="35" xr:uid="{2CCAAC72-7245-45FA-925A-D64B39502995}"/>
    <cellStyle name="Процентный 2 8" xfId="33541" xr:uid="{E966B27E-EF55-4BF2-A891-6CEAE0794D8B}"/>
    <cellStyle name="Процентный 3" xfId="7" xr:uid="{09C8C7AB-9D0A-4D17-9D0A-C85FFC7922A9}"/>
    <cellStyle name="Процентный 3 2" xfId="10489" xr:uid="{0AF1E6A0-9D1C-4BCF-975A-A44458DBF3AC}"/>
    <cellStyle name="Процентный 3 3" xfId="45" xr:uid="{38E6BC0C-8301-4DA0-87CD-BF98E11086F5}"/>
    <cellStyle name="Процентный 4" xfId="2421" xr:uid="{5C2F1B27-94EC-4DE7-9003-9B058D72E69E}"/>
    <cellStyle name="Процентный 4 2" xfId="10490" xr:uid="{E7B254DF-B2CB-4CE8-8E36-FA2D515C7504}"/>
    <cellStyle name="Процентный 5" xfId="2422" xr:uid="{8F502950-AFD2-4A54-939A-39AFD496EFE2}"/>
    <cellStyle name="Процентный 5 2" xfId="3785" xr:uid="{118F0BF4-1CDC-497C-B252-9FF9FE07EB6F}"/>
    <cellStyle name="Процентный 5 2 2" xfId="10492" xr:uid="{E85448EC-87CF-4AAC-8961-645F955C8E9F}"/>
    <cellStyle name="Процентный 5 3" xfId="10491" xr:uid="{4D3B24A4-B26B-4B36-938C-187FF31A9AA9}"/>
    <cellStyle name="Процентный 6" xfId="2423" xr:uid="{6C1E35E2-579B-4A99-900A-FA91A4BBBD41}"/>
    <cellStyle name="Процентный 6 2" xfId="3777" xr:uid="{FA11DF63-8129-4D35-B6C6-103EA533BCC5}"/>
    <cellStyle name="Процентный 6 2 10" xfId="19318" xr:uid="{443197A0-54B7-48C5-B1B9-2DB29AA786CE}"/>
    <cellStyle name="Процентный 6 2 11" xfId="20524" xr:uid="{F05D976C-732C-4B8B-8667-3F3FF732EE50}"/>
    <cellStyle name="Процентный 6 2 12" xfId="21677" xr:uid="{51814E69-B491-4343-912A-64E49046F7E7}"/>
    <cellStyle name="Процентный 6 2 13" xfId="34731" xr:uid="{FFD4361D-6617-45B4-951F-0BFE60984F46}"/>
    <cellStyle name="Процентный 6 2 2" xfId="4581" xr:uid="{221B4803-34F3-41E4-B1D5-5539CF313310}"/>
    <cellStyle name="Процентный 6 2 2 2" xfId="9574" xr:uid="{868C63A1-E4F8-47DC-820E-342C54BEF214}"/>
    <cellStyle name="Процентный 6 2 2 2 2" xfId="18642" xr:uid="{4578AA90-5550-4C1D-A3FD-40D0A11AB6B2}"/>
    <cellStyle name="Процентный 6 2 2 2 3" xfId="19929" xr:uid="{5CA08457-501B-4546-B7BC-84B5B5349F63}"/>
    <cellStyle name="Процентный 6 2 2 2 4" xfId="26931" xr:uid="{B0A8D78D-45FB-4918-8B2D-1E759EA6B699}"/>
    <cellStyle name="Процентный 6 2 2 2 5" xfId="40014" xr:uid="{1F0FF88D-5E32-48A2-B9DB-739C0EF2287C}"/>
    <cellStyle name="Процентный 6 2 2 3" xfId="17948" xr:uid="{AF3D3825-3529-4054-81C9-E0CBE3A199A6}"/>
    <cellStyle name="Процентный 6 2 2 4" xfId="19402" xr:uid="{7344A697-9747-404A-B6DC-01D77CD77B84}"/>
    <cellStyle name="Процентный 6 2 2 5" xfId="22395" xr:uid="{BDB04F6E-AD81-4ED0-B7C5-60C510348626}"/>
    <cellStyle name="Процентный 6 2 2 6" xfId="35445" xr:uid="{13128BF8-F6B0-409E-936D-A1246426D05A}"/>
    <cellStyle name="Процентный 6 2 3" xfId="5316" xr:uid="{5AD0879F-FB5E-44B6-A6DB-6F1E272F1016}"/>
    <cellStyle name="Процентный 6 2 3 2" xfId="9748" xr:uid="{3B5E152D-F50F-49B7-AC82-B1A7AEA795EB}"/>
    <cellStyle name="Процентный 6 2 3 2 2" xfId="18751" xr:uid="{136206FB-220B-4060-894C-FC8DC92E8DA4}"/>
    <cellStyle name="Процентный 6 2 3 2 3" xfId="20014" xr:uid="{04DCC5BA-65A1-4925-859E-75E72F466936}"/>
    <cellStyle name="Процентный 6 2 3 2 4" xfId="27045" xr:uid="{DF4279DF-EE55-4905-9492-F4868A783861}"/>
    <cellStyle name="Процентный 6 2 3 2 5" xfId="40164" xr:uid="{EDF4D6A6-3F03-47B4-8A36-8A41899A96F7}"/>
    <cellStyle name="Процентный 6 2 3 3" xfId="18048" xr:uid="{F1964F4C-777A-4D29-A22F-3FAFD88F2074}"/>
    <cellStyle name="Процентный 6 2 3 4" xfId="19487" xr:uid="{37AA1199-423F-4091-8BEA-BB9D2EAD4B68}"/>
    <cellStyle name="Процентный 6 2 3 5" xfId="22964" xr:uid="{333308F4-180C-439B-A7E8-531060AFF9EF}"/>
    <cellStyle name="Процентный 6 2 3 6" xfId="36045" xr:uid="{3BD53262-F689-425D-BAAA-2FBC423338FC}"/>
    <cellStyle name="Процентный 6 2 4" xfId="5768" xr:uid="{74D14118-178F-4DE7-9860-C5658E4BDDAE}"/>
    <cellStyle name="Процентный 6 2 4 2" xfId="9831" xr:uid="{1D92A572-C382-4704-BAAC-683F9A80CAE4}"/>
    <cellStyle name="Процентный 6 2 4 2 2" xfId="18805" xr:uid="{EFC0C3AE-AB81-49A7-A497-FAC69EA70458}"/>
    <cellStyle name="Процентный 6 2 4 2 3" xfId="20067" xr:uid="{94AC5F90-B455-4447-9ABE-BC268DE30EEA}"/>
    <cellStyle name="Процентный 6 2 4 2 4" xfId="27127" xr:uid="{62B82819-C4E6-475B-84CF-ABFBEA80389A}"/>
    <cellStyle name="Процентный 6 2 4 2 5" xfId="40246" xr:uid="{43F9D047-153C-4125-82D1-3F2FFAC6BA43}"/>
    <cellStyle name="Процентный 6 2 4 3" xfId="18101" xr:uid="{1DAD347A-98C4-489F-A48A-E471436D8AB2}"/>
    <cellStyle name="Процентный 6 2 4 4" xfId="19540" xr:uid="{0906D5D9-6C51-4AAD-8071-5CA079368B4A}"/>
    <cellStyle name="Процентный 6 2 4 5" xfId="23415" xr:uid="{1C26FB9B-D3BD-4D7C-A6C0-126724D50D93}"/>
    <cellStyle name="Процентный 6 2 4 6" xfId="36496" xr:uid="{08A0BC0E-CE18-4004-B7CB-2A105F5C7A78}"/>
    <cellStyle name="Процентный 6 2 5" xfId="5997" xr:uid="{34402BAD-CB12-4891-A54C-36243D9DB099}"/>
    <cellStyle name="Процентный 6 2 5 2" xfId="9916" xr:uid="{7ECBE2DD-8627-43B5-A3AE-C0DE82FB73FC}"/>
    <cellStyle name="Процентный 6 2 5 2 2" xfId="18880" xr:uid="{CFCE060D-29EF-4ABE-898B-A620C820D52A}"/>
    <cellStyle name="Процентный 6 2 5 2 3" xfId="20142" xr:uid="{0034F390-A0B5-4C0F-8046-41D315F53F3B}"/>
    <cellStyle name="Процентный 6 2 5 2 4" xfId="27212" xr:uid="{34D7F721-FF37-4DE3-AB13-12CE0BFB1D38}"/>
    <cellStyle name="Процентный 6 2 5 2 5" xfId="40331" xr:uid="{999863E3-F328-4F33-B2BD-E9342FC17545}"/>
    <cellStyle name="Процентный 6 2 5 3" xfId="18176" xr:uid="{884C45B7-EC5C-43E0-8F46-802400F4D32E}"/>
    <cellStyle name="Процентный 6 2 5 4" xfId="19615" xr:uid="{4F3CFEC4-DB0C-4D08-BC75-A90497D30A89}"/>
    <cellStyle name="Процентный 6 2 5 5" xfId="23643" xr:uid="{8FD4E378-E134-492E-BF9B-DC68D0AE9BF4}"/>
    <cellStyle name="Процентный 6 2 5 6" xfId="36724" xr:uid="{82EB1EAE-9A86-4887-8FA1-E9F87A46A775}"/>
    <cellStyle name="Процентный 6 2 6" xfId="6072" xr:uid="{F413E1EC-A47E-48E8-9703-7F14E6A88B53}"/>
    <cellStyle name="Процентный 6 2 6 2" xfId="9991" xr:uid="{0E3762A5-0A6D-48F7-AE9B-928708117F3C}"/>
    <cellStyle name="Процентный 6 2 6 2 2" xfId="18955" xr:uid="{C3102C0A-D7BD-4DDE-91D8-4600EBA13DC7}"/>
    <cellStyle name="Процентный 6 2 6 2 3" xfId="20217" xr:uid="{30A11A3F-EE10-4B1C-B4E5-A7382182B6A1}"/>
    <cellStyle name="Процентный 6 2 6 2 4" xfId="27287" xr:uid="{A7B2C10B-7AE2-46D1-B545-4B12A4449AA7}"/>
    <cellStyle name="Процентный 6 2 6 2 5" xfId="40406" xr:uid="{C50E2C84-F232-4B40-9A9F-C8E316D0B4E9}"/>
    <cellStyle name="Процентный 6 2 6 3" xfId="18251" xr:uid="{3918497C-8A9F-48C8-989D-2C504E84EFC3}"/>
    <cellStyle name="Процентный 6 2 6 4" xfId="19690" xr:uid="{C3BE5819-D880-4886-B712-D1858FA9B591}"/>
    <cellStyle name="Процентный 6 2 6 5" xfId="23718" xr:uid="{58A4A85A-A518-426D-B016-83FDF98D66EF}"/>
    <cellStyle name="Процентный 6 2 6 6" xfId="36799" xr:uid="{90D047BF-A385-4175-BB70-7A9C04B9792D}"/>
    <cellStyle name="Процентный 6 2 7" xfId="9473" xr:uid="{4BF7C0AA-2036-4372-A1C1-5E30417D6C56}"/>
    <cellStyle name="Процентный 6 2 7 2" xfId="18541" xr:uid="{E8C68A49-DFE7-45B5-97E9-820BA74C21BB}"/>
    <cellStyle name="Процентный 6 2 7 3" xfId="19845" xr:uid="{985F5A4E-640E-46B1-B6DD-68C60B73968A}"/>
    <cellStyle name="Процентный 6 2 7 4" xfId="26847" xr:uid="{C33C8881-C2B2-4551-998D-31C553973AB1}"/>
    <cellStyle name="Процентный 6 2 7 5" xfId="39930" xr:uid="{A89183DD-BB07-4973-A352-235279082D5A}"/>
    <cellStyle name="Процентный 6 2 8" xfId="17771" xr:uid="{F07AFFCF-45CF-469D-9F2D-E7BF0021F954}"/>
    <cellStyle name="Процентный 6 2 8 2" xfId="19238" xr:uid="{41EE5593-049B-491B-B573-34946B60D2FF}"/>
    <cellStyle name="Процентный 6 2 8 3" xfId="20393" xr:uid="{754D6F08-60C2-4A94-A75B-EE44178F6766}"/>
    <cellStyle name="Процентный 6 2 8 4" xfId="33493" xr:uid="{47954DD2-44BF-45D9-9C7D-4751EEE3726A}"/>
    <cellStyle name="Процентный 6 2 8 5" xfId="47272" xr:uid="{F966DB94-CFAE-46AD-A97A-6FD3AAE7B968}"/>
    <cellStyle name="Процентный 6 2 9" xfId="17862" xr:uid="{72FCE166-73E3-44DC-9861-CE9DBB80A6AE}"/>
    <cellStyle name="Процентный 6 3" xfId="10493" xr:uid="{305E52B9-BD11-4A53-953A-6117788F8F4B}"/>
    <cellStyle name="Процентный 6 4" xfId="17686" xr:uid="{B110CDF6-33B2-476B-B838-1C13255933BD}"/>
    <cellStyle name="Процентный 6 4 2" xfId="19193" xr:uid="{D51A4D9B-A14B-48F2-AB93-65059D2DD587}"/>
    <cellStyle name="Процентный 6 4 3" xfId="20348" xr:uid="{EBAEB1A8-F9C8-4BF0-BF72-B44069BEA155}"/>
    <cellStyle name="Процентный 6 4 4" xfId="33409" xr:uid="{D9CC31E0-6C4E-44DA-AA85-242A9819D9E6}"/>
    <cellStyle name="Процентный 6 4 5" xfId="47198" xr:uid="{9E3A20D5-6E84-4FD8-A65D-8CAB87D059E8}"/>
    <cellStyle name="Процентный 6 5" xfId="20440" xr:uid="{E5BB9BF3-31EC-4671-880F-E4600BEE9375}"/>
    <cellStyle name="Процентный 7" xfId="2424" xr:uid="{1BCFD496-F8A5-40A7-8A1E-FEB16356ED59}"/>
    <cellStyle name="Процентный 7 2" xfId="3800" xr:uid="{883C8AE6-8A5C-4832-AA45-2228EA04D9B0}"/>
    <cellStyle name="Процентный 7 3" xfId="10494" xr:uid="{AAAEF353-8CC4-464D-94FF-1C18E4B5280B}"/>
    <cellStyle name="Процентный 8" xfId="2478" xr:uid="{335CEC62-9BD9-4B5F-BDF7-79FEBEEEB921}"/>
    <cellStyle name="Процентный 8 2" xfId="3807" xr:uid="{32D1D5B7-3892-434C-A664-B86D0F3AAED2}"/>
    <cellStyle name="Процентный 8 2 10" xfId="19338" xr:uid="{096F7C4D-AAC9-4F68-9271-C215BF7FAC22}"/>
    <cellStyle name="Процентный 8 2 11" xfId="20547" xr:uid="{0437F66E-F284-47B9-BCC3-E647C153C1C8}"/>
    <cellStyle name="Процентный 8 2 12" xfId="21697" xr:uid="{34CFEAFF-8312-4838-96AA-FD49445D8B12}"/>
    <cellStyle name="Процентный 8 2 13" xfId="34751" xr:uid="{084622C3-6ADF-453F-95D2-95A9C254C606}"/>
    <cellStyle name="Процентный 8 2 2" xfId="4601" xr:uid="{CF2E8A34-2A61-47F5-A1B2-D69953FB05A5}"/>
    <cellStyle name="Процентный 8 2 2 2" xfId="9594" xr:uid="{F3C4333F-1292-4262-A711-12575287AA85}"/>
    <cellStyle name="Процентный 8 2 2 2 2" xfId="18662" xr:uid="{93BF15A4-1BA3-485D-99F3-79FBC35F5968}"/>
    <cellStyle name="Процентный 8 2 2 2 3" xfId="19949" xr:uid="{A27D79DD-0134-42D6-BDF6-5FF8582680FD}"/>
    <cellStyle name="Процентный 8 2 2 2 4" xfId="26951" xr:uid="{6A5A4A16-052C-4FE7-9EC6-4C65AFFBD505}"/>
    <cellStyle name="Процентный 8 2 2 2 5" xfId="40034" xr:uid="{86FDDE7A-6F28-406A-9B04-845334479496}"/>
    <cellStyle name="Процентный 8 2 2 3" xfId="17968" xr:uid="{77BD3EAF-CF09-42E7-9BEB-55A5B3973D5B}"/>
    <cellStyle name="Процентный 8 2 2 4" xfId="19422" xr:uid="{66B46BD7-2C5A-41BA-9D4D-622456313892}"/>
    <cellStyle name="Процентный 8 2 2 5" xfId="22415" xr:uid="{3403F14E-D1FA-41B4-A9CC-6FEB2B8D1026}"/>
    <cellStyle name="Процентный 8 2 2 6" xfId="35465" xr:uid="{40758A0A-FA46-45F9-8C88-C11F45B2FFE1}"/>
    <cellStyle name="Процентный 8 2 3" xfId="5336" xr:uid="{C3CDEC58-8623-4B97-BD93-6386799DED67}"/>
    <cellStyle name="Процентный 8 2 3 2" xfId="9768" xr:uid="{6D5727B3-B645-484F-A47B-66A2290D18C2}"/>
    <cellStyle name="Процентный 8 2 3 2 2" xfId="18771" xr:uid="{373C773B-4FBD-45A8-8E40-5A5104101073}"/>
    <cellStyle name="Процентный 8 2 3 2 3" xfId="20034" xr:uid="{157311FD-4129-4796-8AC4-0C3E8FE69D0A}"/>
    <cellStyle name="Процентный 8 2 3 2 4" xfId="27065" xr:uid="{018D4B81-F62A-4F66-9354-81C5AAF7BC8B}"/>
    <cellStyle name="Процентный 8 2 3 2 5" xfId="40184" xr:uid="{9D85D05E-8114-4AB4-997D-3A341415A0EA}"/>
    <cellStyle name="Процентный 8 2 3 3" xfId="18068" xr:uid="{1AD9FC13-24FE-4377-B983-96C2AB5E9B12}"/>
    <cellStyle name="Процентный 8 2 3 4" xfId="19507" xr:uid="{377AB4C5-F3BE-4819-9096-0A6EB29EFB1C}"/>
    <cellStyle name="Процентный 8 2 3 5" xfId="22984" xr:uid="{592B9F5D-FB32-4111-8A39-99A00A0F0BE0}"/>
    <cellStyle name="Процентный 8 2 3 6" xfId="36065" xr:uid="{6695E647-451A-43A4-B35E-397ACFBE214F}"/>
    <cellStyle name="Процентный 8 2 4" xfId="5788" xr:uid="{45854A1E-375E-4589-8AC6-2CEF3CF03B93}"/>
    <cellStyle name="Процентный 8 2 4 2" xfId="9851" xr:uid="{1235311B-C430-4BDE-AD96-95959AF4CEF8}"/>
    <cellStyle name="Процентный 8 2 4 2 2" xfId="18825" xr:uid="{B5AD284B-1799-4D0A-89AD-FFB849CA103F}"/>
    <cellStyle name="Процентный 8 2 4 2 3" xfId="20087" xr:uid="{ED713969-B2D2-44B6-8C27-CE59B5B2E675}"/>
    <cellStyle name="Процентный 8 2 4 2 4" xfId="27147" xr:uid="{CF06C811-EF8A-4762-9C7A-0E62BD70DE17}"/>
    <cellStyle name="Процентный 8 2 4 2 5" xfId="40266" xr:uid="{6B8C3783-2B70-44D9-B3EB-30AB4BF6F958}"/>
    <cellStyle name="Процентный 8 2 4 3" xfId="18121" xr:uid="{EBE45CEE-A973-4D88-8BFB-789199FC4EE9}"/>
    <cellStyle name="Процентный 8 2 4 4" xfId="19560" xr:uid="{E7492BE3-E347-4591-BEBD-D87E0947B1E2}"/>
    <cellStyle name="Процентный 8 2 4 5" xfId="23435" xr:uid="{D04FD766-5F6D-4133-ABD5-D2A628E98966}"/>
    <cellStyle name="Процентный 8 2 4 6" xfId="36516" xr:uid="{97F2BD4E-E8AF-4D6E-91E5-46E7A952CB92}"/>
    <cellStyle name="Процентный 8 2 5" xfId="6017" xr:uid="{2B9F7D52-8EEA-4927-8627-4704A4197EB9}"/>
    <cellStyle name="Процентный 8 2 5 2" xfId="9936" xr:uid="{DCBFC4B7-1C16-4231-B2BF-2FC7FE5F3B71}"/>
    <cellStyle name="Процентный 8 2 5 2 2" xfId="18900" xr:uid="{ABAD6213-A1AB-478D-866A-8CDDF4C50D4B}"/>
    <cellStyle name="Процентный 8 2 5 2 3" xfId="20162" xr:uid="{13D1E119-FAA3-47BA-A0CA-333B5EF25E96}"/>
    <cellStyle name="Процентный 8 2 5 2 4" xfId="27232" xr:uid="{32DFD12A-059C-421E-B95E-23267C8C95BB}"/>
    <cellStyle name="Процентный 8 2 5 2 5" xfId="40351" xr:uid="{0D607A55-B360-4999-B835-A46BA4A15AEE}"/>
    <cellStyle name="Процентный 8 2 5 3" xfId="18196" xr:uid="{40CA067D-53E6-420E-82AB-66FB53085488}"/>
    <cellStyle name="Процентный 8 2 5 4" xfId="19635" xr:uid="{AFA61AEA-8461-4168-9345-80C8953C74EF}"/>
    <cellStyle name="Процентный 8 2 5 5" xfId="23663" xr:uid="{853FB71A-89F2-4E40-9B5D-E3F812F454B5}"/>
    <cellStyle name="Процентный 8 2 5 6" xfId="36744" xr:uid="{5CC8DE5F-A850-4E83-AC5C-673022276ECC}"/>
    <cellStyle name="Процентный 8 2 6" xfId="6092" xr:uid="{39265E32-7252-4B2A-BB52-84B20A2F5921}"/>
    <cellStyle name="Процентный 8 2 6 2" xfId="10011" xr:uid="{24FC8729-4340-4F2F-95D9-E82AC81FCF8A}"/>
    <cellStyle name="Процентный 8 2 6 2 2" xfId="18975" xr:uid="{F53C0F25-DB88-4962-8565-4C73E5FFB41B}"/>
    <cellStyle name="Процентный 8 2 6 2 3" xfId="20237" xr:uid="{90CB27C0-EDC7-44C1-8F14-D819037F9B3C}"/>
    <cellStyle name="Процентный 8 2 6 2 4" xfId="27307" xr:uid="{A90E6F1C-080B-4C69-9B62-A6C430E13AC6}"/>
    <cellStyle name="Процентный 8 2 6 2 5" xfId="40426" xr:uid="{565CC4F0-61A1-4211-BDAD-97095B40D47B}"/>
    <cellStyle name="Процентный 8 2 6 3" xfId="18271" xr:uid="{44E2FD51-1F5D-4DED-9246-90488D899504}"/>
    <cellStyle name="Процентный 8 2 6 4" xfId="19710" xr:uid="{2AE9B9BB-06B7-4FFA-AA6B-312B5E56D4B2}"/>
    <cellStyle name="Процентный 8 2 6 5" xfId="23738" xr:uid="{E5CE0C95-A21D-4548-A30F-28C335925F22}"/>
    <cellStyle name="Процентный 8 2 6 6" xfId="36819" xr:uid="{C6871524-9D4F-421D-B982-804F51D3894C}"/>
    <cellStyle name="Процентный 8 2 7" xfId="9493" xr:uid="{188973E0-E10A-4D3C-B908-3CD35DD13113}"/>
    <cellStyle name="Процентный 8 2 7 2" xfId="18561" xr:uid="{93C615DD-9E54-4AFD-BDF1-0965E49D6AF0}"/>
    <cellStyle name="Процентный 8 2 7 3" xfId="19865" xr:uid="{BE64B8BE-4969-4598-9EDB-A204EC7BA50A}"/>
    <cellStyle name="Процентный 8 2 7 4" xfId="26867" xr:uid="{462650F6-8E6D-43A6-A5D9-F9722DCEAEE3}"/>
    <cellStyle name="Процентный 8 2 7 5" xfId="39950" xr:uid="{BFCD6821-2B9B-4112-973D-72BBFBE90FD7}"/>
    <cellStyle name="Процентный 8 2 8" xfId="17794" xr:uid="{E3AB35E6-2663-401D-8AE0-B3309559B14A}"/>
    <cellStyle name="Процентный 8 2 8 2" xfId="19261" xr:uid="{EB2D5D13-CFFC-4FCF-BD7D-9874A0BFB86A}"/>
    <cellStyle name="Процентный 8 2 8 3" xfId="20416" xr:uid="{F7381234-1DF9-4D9E-B750-DC34C5114167}"/>
    <cellStyle name="Процентный 8 2 8 4" xfId="33516" xr:uid="{454300BA-CF16-4A23-8AF3-F124DB1900E1}"/>
    <cellStyle name="Процентный 8 2 8 5" xfId="47295" xr:uid="{13ABEDF2-66F2-47BB-99B7-F961CAE9F835}"/>
    <cellStyle name="Процентный 8 2 9" xfId="17882" xr:uid="{CE23B164-FBCA-4A12-A057-97F7A377C512}"/>
    <cellStyle name="Процентный 8 3" xfId="10495" xr:uid="{04C0C56E-1AF0-4F1D-B9C7-63BCC865BF44}"/>
    <cellStyle name="Процентный 8 4" xfId="17710" xr:uid="{32D951AA-65D8-410D-9663-1B70EA033C1D}"/>
    <cellStyle name="Процентный 8 4 2" xfId="19216" xr:uid="{191BC052-1E16-447C-8851-61292679DF89}"/>
    <cellStyle name="Процентный 8 4 3" xfId="20371" xr:uid="{23513EC7-D6FB-448E-B8AF-A124732C6931}"/>
    <cellStyle name="Процентный 8 4 4" xfId="33432" xr:uid="{872C4C63-45E0-44C5-8E98-1304BDA88DBD}"/>
    <cellStyle name="Процентный 8 4 5" xfId="47221" xr:uid="{5C4B730A-DD00-4A47-BB8F-A19149DDCD2E}"/>
    <cellStyle name="Процентный 8 5" xfId="20463" xr:uid="{4126BCD9-7FB0-4E87-8D98-A97588062F57}"/>
    <cellStyle name="Процентный 9" xfId="2515" xr:uid="{C23EAC7D-4CF7-43EF-B948-34DC49D7FD89}"/>
    <cellStyle name="Процентный 9 2" xfId="4044" xr:uid="{1B0A5765-31CE-4882-8550-CE8126D6271E}"/>
    <cellStyle name="Процентный 9 3" xfId="10546" xr:uid="{1C8B100A-5D06-4280-8F15-0EDAA0289A24}"/>
    <cellStyle name="Процентный 9 3 2" xfId="19166" xr:uid="{1C9A9959-3B74-498F-AFC6-F08FECA647F3}"/>
    <cellStyle name="Процентный 9 3 3" xfId="20323" xr:uid="{7A505CC7-E257-4ED0-8C34-57E72D4A5CE3}"/>
    <cellStyle name="Процентный 9 3 4" xfId="27406" xr:uid="{D6CA5099-BF6F-4D45-8A85-B0BE17CB2DC1}"/>
    <cellStyle name="Процентный 9 3 5" xfId="40528" xr:uid="{F5D89FE6-E93F-4077-BB5E-C19656FD0F60}"/>
    <cellStyle name="Результат сводной таблицы" xfId="30" xr:uid="{0B659DE6-2125-40D3-A923-A65D8AA10F3D}"/>
    <cellStyle name="Результат сводной таблицы 2" xfId="10538" xr:uid="{249AAD03-AE9D-42CE-93A6-E8A5E6EA3910}"/>
    <cellStyle name="Связанная ячейка 1" xfId="2425" xr:uid="{595411CE-EB78-46F5-91EC-8E2B4B48AC1E}"/>
    <cellStyle name="Связанная ячейка 2" xfId="2426" xr:uid="{F9267AC3-D9D5-4B31-912C-170E0D0ACC88}"/>
    <cellStyle name="Связанная ячейка 3" xfId="2427" xr:uid="{58A05C25-2D36-4132-8707-E105FA0403DE}"/>
    <cellStyle name="Связанная ячейка 4" xfId="2428" xr:uid="{6752582E-437A-431C-84AE-2FA12EC2898F}"/>
    <cellStyle name="Стиль 1" xfId="2429" xr:uid="{E7DE906D-BF8A-481A-B238-D85633AB6DF4}"/>
    <cellStyle name="Стиль 1 1" xfId="2430" xr:uid="{557AD28A-6387-4A40-9D22-2D82AD84015D}"/>
    <cellStyle name="Стиль 1 2" xfId="2431" xr:uid="{DA3605AC-9061-48AE-A2D5-44DD26970FE5}"/>
    <cellStyle name="Стиль 1 3" xfId="2432" xr:uid="{7EDC76D7-BB94-49EF-83AE-BCF5C5F3C141}"/>
    <cellStyle name="Стиль 1_Копия Растениеводство форма(Акционеры)" xfId="2433" xr:uid="{1F6B4EA1-A904-41E2-8094-FAC9BCFBDF77}"/>
    <cellStyle name="Текст предупреждения 1" xfId="2434" xr:uid="{2C37D944-7522-42AD-83AC-47D4265E3275}"/>
    <cellStyle name="Текст предупреждения 2" xfId="2435" xr:uid="{36207E9B-0581-4613-A3CE-7D15FCDB5C8D}"/>
    <cellStyle name="Текст предупреждения 3" xfId="2436" xr:uid="{6453B5BA-C2CF-4211-AB9E-4FCD8B9CA748}"/>
    <cellStyle name="Текст предупреждения 4" xfId="2437" xr:uid="{51AEA8A2-FA52-44AB-9A9C-B178A31665A3}"/>
    <cellStyle name="тонны" xfId="2438" xr:uid="{EDEBFD61-8374-4B0B-96F4-2A7C4262ED66}"/>
    <cellStyle name="тонны 1" xfId="2439" xr:uid="{BFF89D35-470D-4122-B08E-F0E4D5116325}"/>
    <cellStyle name="тонны 1 2" xfId="10497" xr:uid="{8DCCDA45-B718-45A2-AF16-650005A787E1}"/>
    <cellStyle name="тонны 2" xfId="2440" xr:uid="{03323D53-AD41-4630-B86B-B07DC7DBF9F7}"/>
    <cellStyle name="тонны 2 2" xfId="10498" xr:uid="{65E997C3-C83E-49A0-9682-E7EA576BF741}"/>
    <cellStyle name="тонны 3" xfId="2441" xr:uid="{A374BD62-4996-4568-BB0B-B5CFB70A4F48}"/>
    <cellStyle name="тонны 3 2" xfId="10499" xr:uid="{D3ED0667-5614-4DA6-9632-75FB0C720B3A}"/>
    <cellStyle name="тонны 4" xfId="10496" xr:uid="{0C2C2424-D6F9-4FB5-BB23-8B3D282B0CC6}"/>
    <cellStyle name="тонны_АГМ" xfId="2442" xr:uid="{608EF5DE-6E1E-428B-BAC2-9D0ECA9B4319}"/>
    <cellStyle name="Тысячи [0]_Cash_flows" xfId="2443" xr:uid="{46D5757B-D9B8-40AE-9798-BCFCEE4376CB}"/>
    <cellStyle name="Тысячи [а]" xfId="2444" xr:uid="{44EC3729-4752-488B-A8BE-6D7249D7175D}"/>
    <cellStyle name="Тысячи [а] 1" xfId="2445" xr:uid="{6319AADC-C752-4DE6-B8F8-4A5F4B5C73C2}"/>
    <cellStyle name="Тысячи [а] 1 2" xfId="10501" xr:uid="{5BF9B1E3-A1A4-438B-BCD4-28F6447E9E9D}"/>
    <cellStyle name="Тысячи [а] 2" xfId="2446" xr:uid="{6D59F1FC-71CD-442E-9F50-32E971155B0A}"/>
    <cellStyle name="Тысячи [а] 2 2" xfId="10502" xr:uid="{EA29D335-FEC7-4F3A-AD28-013EEC5B211E}"/>
    <cellStyle name="Тысячи [а] 3" xfId="2447" xr:uid="{05DA5E17-7814-4C8C-9C60-AEA8B7C942BE}"/>
    <cellStyle name="Тысячи [а] 3 2" xfId="10503" xr:uid="{47D9264F-F35A-4704-A6DA-1EDC500D2A43}"/>
    <cellStyle name="Тысячи [а] 4" xfId="10500" xr:uid="{2203DB0C-56E2-4E3C-BD8F-79538B769DC2}"/>
    <cellStyle name="Тысячи [а]_АГМ" xfId="2448" xr:uid="{A88BE6AC-E03E-49D1-AE81-13C42E6C88E9}"/>
    <cellStyle name="Тысячи_Cash_flows" xfId="2449" xr:uid="{87416698-8787-4D37-91AC-8762A9119339}"/>
    <cellStyle name="Угол сводной таблицы" xfId="25" xr:uid="{D1C44998-0D43-4E49-998F-94A05E1D6CC5}"/>
    <cellStyle name="Угол сводной таблицы 2" xfId="10539" xr:uid="{3BFA742C-B203-4541-B6B2-E8320999112D}"/>
    <cellStyle name="Финансовый" xfId="1" builtinId="3"/>
    <cellStyle name="Финансовый 10" xfId="2468" xr:uid="{9E318CCD-769D-4DA8-813D-02B8F08DFDBB}"/>
    <cellStyle name="Финансовый 10 10" xfId="9391" xr:uid="{113FF5F6-4C9F-4C76-B1D8-B8A1B7DC0574}"/>
    <cellStyle name="Финансовый 10 10 2" xfId="18461" xr:uid="{3A4FC6F0-C996-4835-8F4A-357C82E9C7F3}"/>
    <cellStyle name="Финансовый 10 10 3" xfId="19801" xr:uid="{C167E552-3783-4705-AC84-12DBAF2888D0}"/>
    <cellStyle name="Финансовый 10 10 4" xfId="26803" xr:uid="{B313304C-2E9D-4B49-89F4-E8139C9E2DCC}"/>
    <cellStyle name="Финансовый 10 10 5" xfId="39884" xr:uid="{4DF7BFEE-C476-4A49-9AD2-5BD0B7EC10CB}"/>
    <cellStyle name="Финансовый 10 11" xfId="10504" xr:uid="{B2FCBC98-F289-4B60-BD92-733B0A01F607}"/>
    <cellStyle name="Финансовый 10 12" xfId="17818" xr:uid="{A8DBA2C1-635D-4A5F-BD3D-2E65F51BFF4A}"/>
    <cellStyle name="Финансовый 10 13" xfId="19274" xr:uid="{A1C87BA6-63FA-48D9-8E1C-50A96D01CBAD}"/>
    <cellStyle name="Финансовый 10 14" xfId="20560" xr:uid="{DC4CABDB-02CB-48AE-9CC6-E5DC92F06A63}"/>
    <cellStyle name="Финансовый 10 15" xfId="33583" xr:uid="{799EB258-7BD7-4A14-B265-F63E04FA8A63}"/>
    <cellStyle name="Финансовый 10 2" xfId="2500" xr:uid="{6EC50377-AEF4-4F80-B524-596E43136210}"/>
    <cellStyle name="Финансовый 10 2 10" xfId="19286" xr:uid="{70FBD350-9974-4FFA-BFD6-B918F39115E7}"/>
    <cellStyle name="Финансовый 10 2 11" xfId="20572" xr:uid="{D4ADF3AA-B1BA-4214-8908-F9E128F918C6}"/>
    <cellStyle name="Финансовый 10 2 12" xfId="33595" xr:uid="{37C2EC51-B438-494E-A037-BEC4ECD43132}"/>
    <cellStyle name="Финансовый 10 2 2" xfId="3290" xr:uid="{6415D2CF-03DC-4FE7-BE05-1368D5E70FA6}"/>
    <cellStyle name="Финансовый 10 2 2 2" xfId="6941" xr:uid="{29A59DAA-C9D4-4A1E-BC2E-37C7A9EB6DBF}"/>
    <cellStyle name="Финансовый 10 2 2 2 2" xfId="10083" xr:uid="{20D044B9-1021-4B80-BE26-AD845A0C3777}"/>
    <cellStyle name="Финансовый 10 2 2 2 2 2" xfId="19046" xr:uid="{299CD0AE-BE5F-485C-BA63-9865253C3639}"/>
    <cellStyle name="Финансовый 10 2 2 2 2 3" xfId="20285" xr:uid="{4FDAA9ED-AE9E-45C7-859A-80C85A3701D6}"/>
    <cellStyle name="Финансовый 10 2 2 2 2 4" xfId="27355" xr:uid="{966EAF58-A737-4080-8737-16681B608287}"/>
    <cellStyle name="Финансовый 10 2 2 2 2 5" xfId="40474" xr:uid="{B1E8816D-BC1A-4A68-839D-B9B26CA4FEC2}"/>
    <cellStyle name="Финансовый 10 2 2 2 3" xfId="18342" xr:uid="{DE12C954-6926-4E92-88A0-86B170B6A5CF}"/>
    <cellStyle name="Финансовый 10 2 2 2 4" xfId="19758" xr:uid="{E0231116-FDCD-444A-B816-017BDA842C8C}"/>
    <cellStyle name="Финансовый 10 2 2 2 5" xfId="24563" xr:uid="{E0D4536B-E0CA-4686-A2E0-772677433B57}"/>
    <cellStyle name="Финансовый 10 2 2 2 6" xfId="37644" xr:uid="{2F0E2C9D-1789-4FB0-B10A-108FB4F81129}"/>
    <cellStyle name="Финансовый 10 2 2 3" xfId="9450" xr:uid="{02F1F6F2-A533-4AC0-BDC5-F4726517AA6F}"/>
    <cellStyle name="Финансовый 10 2 2 3 2" xfId="18520" xr:uid="{D2C73300-40E8-4893-BE63-7A564144B113}"/>
    <cellStyle name="Финансовый 10 2 2 3 3" xfId="19837" xr:uid="{C0B82C09-FE9D-4C91-97EB-ECAFC00455FB}"/>
    <cellStyle name="Финансовый 10 2 2 3 4" xfId="26839" xr:uid="{98D69F41-3031-4B6A-9A0D-2D5A7B33CB2A}"/>
    <cellStyle name="Финансовый 10 2 2 3 5" xfId="39920" xr:uid="{11B5B659-9AED-4850-B637-D48D78CBE853}"/>
    <cellStyle name="Финансовый 10 2 2 4" xfId="17854" xr:uid="{14C33402-23B2-4120-8AD1-43BFF84DB957}"/>
    <cellStyle name="Финансовый 10 2 2 5" xfId="19310" xr:uid="{26E7D15B-C4CC-4932-8602-8E6558F4A587}"/>
    <cellStyle name="Финансовый 10 2 2 6" xfId="21315" xr:uid="{6F6D9A67-630D-4361-B19B-4408F70A22C4}"/>
    <cellStyle name="Финансовый 10 2 2 7" xfId="34338" xr:uid="{9E419A07-1136-4FE5-867D-6F239BF5ADF8}"/>
    <cellStyle name="Финансовый 10 2 3" xfId="4326" xr:uid="{F0A64E9E-9D8A-4669-9604-AFA9AA81407C}"/>
    <cellStyle name="Финансовый 10 2 3 2" xfId="9554" xr:uid="{26EFD737-16E6-4A0E-8082-5DC778BE94B0}"/>
    <cellStyle name="Финансовый 10 2 3 2 2" xfId="18622" xr:uid="{8D5D854A-4098-46A0-9D6E-34CC1D69CBD1}"/>
    <cellStyle name="Финансовый 10 2 3 2 3" xfId="19912" xr:uid="{C1B8B46B-FF2B-46DE-A549-126DCBCE4328}"/>
    <cellStyle name="Финансовый 10 2 3 2 4" xfId="26914" xr:uid="{B6990316-D70E-40A1-8C76-0E43B470CC35}"/>
    <cellStyle name="Финансовый 10 2 3 2 5" xfId="39997" xr:uid="{EE90DE50-378D-451C-9859-DC2C84BD12D7}"/>
    <cellStyle name="Финансовый 10 2 3 3" xfId="17929" xr:uid="{F01C2820-AB34-404C-B77E-A307AD03A63A}"/>
    <cellStyle name="Финансовый 10 2 3 4" xfId="19385" xr:uid="{CAB58106-371B-4018-AE8B-42BFC16CD7EC}"/>
    <cellStyle name="Финансовый 10 2 3 5" xfId="22146" xr:uid="{86444CA5-D865-4170-A943-C3FE812E2F14}"/>
    <cellStyle name="Финансовый 10 2 3 6" xfId="35195" xr:uid="{5C438FBA-7D17-49FE-BC5D-2981876A5DBE}"/>
    <cellStyle name="Финансовый 10 2 4" xfId="5306" xr:uid="{5634AC96-AD0D-4A20-946E-3BC397C5184A}"/>
    <cellStyle name="Финансовый 10 2 4 2" xfId="9738" xr:uid="{EA66ED8A-D4E9-43DE-A8C7-B94CD2B2CA87}"/>
    <cellStyle name="Финансовый 10 2 4 2 2" xfId="18743" xr:uid="{21FD58A8-1C72-4797-A9F1-BA3024ACBFC9}"/>
    <cellStyle name="Финансовый 10 2 4 2 3" xfId="20006" xr:uid="{46213136-0A4F-4041-A318-AD092DDEB53E}"/>
    <cellStyle name="Финансовый 10 2 4 2 4" xfId="27037" xr:uid="{FBD275D2-041A-4FC3-947A-F2C7242C2208}"/>
    <cellStyle name="Финансовый 10 2 4 2 5" xfId="40154" xr:uid="{011697E4-CB2B-45F8-99AB-E31DB2608CEE}"/>
    <cellStyle name="Финансовый 10 2 4 3" xfId="18040" xr:uid="{898F8143-4BE6-4F47-AEDE-1198B41FC2F9}"/>
    <cellStyle name="Финансовый 10 2 4 4" xfId="19479" xr:uid="{C864906C-A18E-444A-8A83-CCABCA642901}"/>
    <cellStyle name="Финансовый 10 2 4 5" xfId="22956" xr:uid="{91ED06F3-8509-48D0-A83F-BA6ED2058A74}"/>
    <cellStyle name="Финансовый 10 2 4 6" xfId="36035" xr:uid="{D7ACA8D8-FA83-43EE-BD94-5E4024D39542}"/>
    <cellStyle name="Финансовый 10 2 5" xfId="5381" xr:uid="{0C9CBF00-9472-4BDF-9757-BAF663A66874}"/>
    <cellStyle name="Финансовый 10 2 5 2" xfId="9812" xr:uid="{C3A04BFE-1AAD-49B6-B042-87B34CCCE514}"/>
    <cellStyle name="Финансовый 10 2 5 2 2" xfId="18796" xr:uid="{75EDCEA9-A323-4B7D-A720-9689A12A7595}"/>
    <cellStyle name="Финансовый 10 2 5 2 3" xfId="20059" xr:uid="{F3112E61-B305-4AB3-ABE5-0594724EB824}"/>
    <cellStyle name="Финансовый 10 2 5 2 4" xfId="27109" xr:uid="{D9AED809-257C-44E8-8525-5D172F54F9A2}"/>
    <cellStyle name="Финансовый 10 2 5 2 5" xfId="40228" xr:uid="{BFDCEE63-7ECF-4D54-B798-404DAF7A7C7A}"/>
    <cellStyle name="Финансовый 10 2 5 3" xfId="18093" xr:uid="{67407CA0-88B8-4F81-A49C-9EC7F1297720}"/>
    <cellStyle name="Финансовый 10 2 5 4" xfId="19532" xr:uid="{40C9A218-60CB-4BD2-92F9-E006C3C38A13}"/>
    <cellStyle name="Финансовый 10 2 5 5" xfId="23028" xr:uid="{E1F3F3B6-52F4-4C56-9644-4B80BCD0C19B}"/>
    <cellStyle name="Финансовый 10 2 5 6" xfId="36109" xr:uid="{67B8AF8B-D0F8-4EC1-9309-B1969CE226A8}"/>
    <cellStyle name="Финансовый 10 2 6" xfId="5989" xr:uid="{6FEC7518-C2E6-4951-93EF-3F0778811013}"/>
    <cellStyle name="Финансовый 10 2 6 2" xfId="9908" xr:uid="{3D8D5EFE-F8D2-4027-ACE1-1B3979A922D3}"/>
    <cellStyle name="Финансовый 10 2 6 2 2" xfId="18872" xr:uid="{F17E5360-220E-4830-8EDB-00DD76FD82AA}"/>
    <cellStyle name="Финансовый 10 2 6 2 3" xfId="20134" xr:uid="{D82A6773-77B4-4B6D-8A77-74E897589881}"/>
    <cellStyle name="Финансовый 10 2 6 2 4" xfId="27204" xr:uid="{356A5AB4-3E58-4F09-9967-758E89E72E7E}"/>
    <cellStyle name="Финансовый 10 2 6 2 5" xfId="40323" xr:uid="{D747F169-ED9A-4FB5-9D7F-58BCB96FE343}"/>
    <cellStyle name="Финансовый 10 2 6 3" xfId="18168" xr:uid="{04DC66AC-C7CD-455A-ADB5-919D594B691D}"/>
    <cellStyle name="Финансовый 10 2 6 4" xfId="19607" xr:uid="{65E005BF-C1C4-4E1B-A0AF-6F517CFC3A84}"/>
    <cellStyle name="Финансовый 10 2 6 5" xfId="23635" xr:uid="{A7A505EA-17F3-4CFF-AAA6-A26670DEB9FC}"/>
    <cellStyle name="Финансовый 10 2 6 6" xfId="36716" xr:uid="{F3F06F78-E5C9-4877-BA61-77EF31E34401}"/>
    <cellStyle name="Финансовый 10 2 7" xfId="6064" xr:uid="{FE56E922-2E0F-4097-AF7F-5932B511256B}"/>
    <cellStyle name="Финансовый 10 2 7 2" xfId="9983" xr:uid="{9C0D2307-DF6E-4C23-8F82-2AFFE8D883DB}"/>
    <cellStyle name="Финансовый 10 2 7 2 2" xfId="18947" xr:uid="{35937258-02F0-458D-AA9F-F98B923BFCBC}"/>
    <cellStyle name="Финансовый 10 2 7 2 3" xfId="20209" xr:uid="{3608C1F6-CB3B-414F-8C9E-8924155F0E83}"/>
    <cellStyle name="Финансовый 10 2 7 2 4" xfId="27279" xr:uid="{FEB830FE-5FD0-411E-BB3B-5AEA94C81D10}"/>
    <cellStyle name="Финансовый 10 2 7 2 5" xfId="40398" xr:uid="{84BA333F-8257-4FB3-8798-3734F9727593}"/>
    <cellStyle name="Финансовый 10 2 7 3" xfId="18243" xr:uid="{DF26F9AC-F40E-45BF-940B-A6A908B8EBFF}"/>
    <cellStyle name="Финансовый 10 2 7 4" xfId="19682" xr:uid="{085284D4-EF45-4D17-96F8-24F2482AE938}"/>
    <cellStyle name="Финансовый 10 2 7 5" xfId="23710" xr:uid="{F13356D3-D76D-4869-8222-6149827216E0}"/>
    <cellStyle name="Финансовый 10 2 7 6" xfId="36791" xr:uid="{DD95BD4E-46C4-4194-988F-E7762E5B846E}"/>
    <cellStyle name="Финансовый 10 2 8" xfId="9403" xr:uid="{246200D1-A7F9-40B5-A90E-3E33272211C6}"/>
    <cellStyle name="Финансовый 10 2 8 2" xfId="18473" xr:uid="{EFCDF03F-A391-42CB-AB7E-5AD398E401D6}"/>
    <cellStyle name="Финансовый 10 2 8 3" xfId="19813" xr:uid="{B60E3AF6-CCBA-48FE-B6A6-45D5B046DEA2}"/>
    <cellStyle name="Финансовый 10 2 8 4" xfId="26815" xr:uid="{91C84F4A-3562-4B12-A634-F049EF796033}"/>
    <cellStyle name="Финансовый 10 2 8 5" xfId="39896" xr:uid="{BF6E5066-043E-4B8B-9F97-AFE84668444B}"/>
    <cellStyle name="Финансовый 10 2 9" xfId="17830" xr:uid="{0555D814-403C-4D3C-805E-DC58A80DFCA2}"/>
    <cellStyle name="Финансовый 10 3" xfId="3799" xr:uid="{5DA4B34B-FF86-489B-95FE-AE503EA09B1A}"/>
    <cellStyle name="Финансовый 10 4" xfId="3261" xr:uid="{EA1719C7-1621-4C6C-9926-DEB90A96717C}"/>
    <cellStyle name="Финансовый 10 4 2" xfId="6919" xr:uid="{DFF3DADA-C35D-4482-BC90-CC5FE8D5E4F2}"/>
    <cellStyle name="Финансовый 10 4 2 2" xfId="10070" xr:uid="{059252B7-4F16-4A4D-BDE9-BC04ABA9FFC4}"/>
    <cellStyle name="Финансовый 10 4 2 2 2" xfId="19033" xr:uid="{6E43E487-BB19-473C-8A54-6D252D53360C}"/>
    <cellStyle name="Финансовый 10 4 2 2 3" xfId="20273" xr:uid="{C29284F7-81B6-42A2-B992-6569EEE31FFB}"/>
    <cellStyle name="Финансовый 10 4 2 2 4" xfId="27343" xr:uid="{5E63E671-07B5-4D65-B307-61B9C7F28606}"/>
    <cellStyle name="Финансовый 10 4 2 2 5" xfId="40462" xr:uid="{0BF79E1D-0D1C-4587-8F25-F6F2254A75CF}"/>
    <cellStyle name="Финансовый 10 4 2 3" xfId="18329" xr:uid="{1D455D1A-1E62-49B1-BCD6-013CF3689481}"/>
    <cellStyle name="Финансовый 10 4 2 4" xfId="19746" xr:uid="{3257C31B-87B2-493D-BFFE-CAA37A4CA754}"/>
    <cellStyle name="Финансовый 10 4 2 5" xfId="24542" xr:uid="{D7E2EB03-EF69-43BA-9940-D1EF045FBBB6}"/>
    <cellStyle name="Финансовый 10 4 2 6" xfId="37623" xr:uid="{DA0B64A3-8FCE-4C35-9FFB-58ED851304E5}"/>
    <cellStyle name="Финансовый 10 4 3" xfId="9437" xr:uid="{D776EE0E-2C75-44BF-B25D-99EE52223119}"/>
    <cellStyle name="Финансовый 10 4 3 2" xfId="18507" xr:uid="{6281093F-6C3F-40BF-B2E9-EB4953BF3B47}"/>
    <cellStyle name="Финансовый 10 4 3 3" xfId="19825" xr:uid="{CC49BBA1-46B5-4A2C-B61E-8DCB7E87A5B9}"/>
    <cellStyle name="Финансовый 10 4 3 4" xfId="26827" xr:uid="{348EF9FF-6C1E-4E7A-BF69-BD58095A0328}"/>
    <cellStyle name="Финансовый 10 4 3 5" xfId="39908" xr:uid="{A7EDBB27-5F50-4592-82C0-3A4A81FDDB7D}"/>
    <cellStyle name="Финансовый 10 4 4" xfId="17842" xr:uid="{521C1088-5B2E-4A2B-8206-4D8E3A65706E}"/>
    <cellStyle name="Финансовый 10 4 5" xfId="19298" xr:uid="{5FD68B11-F081-4F95-A95F-2E1D479518AF}"/>
    <cellStyle name="Финансовый 10 4 6" xfId="21294" xr:uid="{0F18D10E-5383-429D-9DC7-079A30249598}"/>
    <cellStyle name="Финансовый 10 4 7" xfId="34317" xr:uid="{EAD488D7-6C26-4165-9A51-9ED284294578}"/>
    <cellStyle name="Финансовый 10 5" xfId="4314" xr:uid="{89EB4A50-6C2C-4363-8712-6CD1CCC78622}"/>
    <cellStyle name="Финансовый 10 5 2" xfId="9542" xr:uid="{B061CB88-9373-401A-B684-9CCFEAFE6E23}"/>
    <cellStyle name="Финансовый 10 5 2 2" xfId="18610" xr:uid="{5BFDFBC6-6082-42EF-98B3-609F075BDE33}"/>
    <cellStyle name="Финансовый 10 5 2 3" xfId="19900" xr:uid="{778B6382-FACA-42F8-8919-7F534235D54F}"/>
    <cellStyle name="Финансовый 10 5 2 4" xfId="26902" xr:uid="{0C9C1D24-5123-4072-A74E-164834213A4E}"/>
    <cellStyle name="Финансовый 10 5 2 5" xfId="39985" xr:uid="{55A914E0-F345-4197-A9D3-73974F9E0163}"/>
    <cellStyle name="Финансовый 10 5 3" xfId="17917" xr:uid="{FC12FAFF-EF4A-4FF7-9F6B-29E7FC831090}"/>
    <cellStyle name="Финансовый 10 5 4" xfId="19373" xr:uid="{53EB7A48-B9CC-4227-A9C7-A97CEACF7A0F}"/>
    <cellStyle name="Финансовый 10 5 5" xfId="22134" xr:uid="{2466329F-A5D7-4390-9F9F-D0BD5828DD95}"/>
    <cellStyle name="Финансовый 10 5 6" xfId="35183" xr:uid="{5AC2210A-A48C-43CA-911D-A085D0478EB3}"/>
    <cellStyle name="Финансовый 10 6" xfId="5294" xr:uid="{98516730-D4A0-4AB9-93F2-FEF34C4DA7FD}"/>
    <cellStyle name="Финансовый 10 6 2" xfId="9726" xr:uid="{F6DC3F2E-EF83-444D-81EF-CF94C56D030A}"/>
    <cellStyle name="Финансовый 10 6 2 2" xfId="18731" xr:uid="{C7FDC7BA-00BE-4B25-B74C-F42C77A2BE8E}"/>
    <cellStyle name="Финансовый 10 6 2 3" xfId="19994" xr:uid="{08AA045A-7BFA-421B-964D-C48EB0EA3CAD}"/>
    <cellStyle name="Финансовый 10 6 2 4" xfId="27025" xr:uid="{BDA9267D-50B3-44C4-917A-877D4252BF8A}"/>
    <cellStyle name="Финансовый 10 6 2 5" xfId="40142" xr:uid="{5D4ADA30-B663-4039-8CCD-6BE50757EB23}"/>
    <cellStyle name="Финансовый 10 6 3" xfId="18028" xr:uid="{68892DC6-7E3A-4A12-AE51-DB70502EF1D9}"/>
    <cellStyle name="Финансовый 10 6 4" xfId="19467" xr:uid="{B10D4845-88A0-48B9-80DC-29635B680936}"/>
    <cellStyle name="Финансовый 10 6 5" xfId="22944" xr:uid="{2700DB58-3D7F-4541-8A45-092653348445}"/>
    <cellStyle name="Финансовый 10 6 6" xfId="36023" xr:uid="{6FDB0261-2E2C-47E6-8832-138605EFF507}"/>
    <cellStyle name="Финансовый 10 7" xfId="5369" xr:uid="{0304B785-DC7F-4E91-B499-BB981D3B998E}"/>
    <cellStyle name="Финансовый 10 7 2" xfId="9800" xr:uid="{8BA9B489-E253-4B00-999B-A8587CEEB7E0}"/>
    <cellStyle name="Финансовый 10 7 2 2" xfId="18784" xr:uid="{1FFC1614-01C1-4A87-9381-41D9851E0238}"/>
    <cellStyle name="Финансовый 10 7 2 3" xfId="20047" xr:uid="{16B05FA5-8F91-46ED-95ED-71417B13F5F1}"/>
    <cellStyle name="Финансовый 10 7 2 4" xfId="27097" xr:uid="{A5701127-EB09-4633-B2A7-F70F0AC36078}"/>
    <cellStyle name="Финансовый 10 7 2 5" xfId="40216" xr:uid="{A6CB5874-31C7-4713-9D55-81F1D34EEEB9}"/>
    <cellStyle name="Финансовый 10 7 3" xfId="18081" xr:uid="{B6FE124E-BFBE-43B5-A61A-C8F3C24CF6DD}"/>
    <cellStyle name="Финансовый 10 7 4" xfId="19520" xr:uid="{E8FE9C2F-018B-408D-AB1F-B46A8A5BC88D}"/>
    <cellStyle name="Финансовый 10 7 5" xfId="23016" xr:uid="{09ECF73C-B556-4F04-9257-439AD2BEC7F0}"/>
    <cellStyle name="Финансовый 10 7 6" xfId="36097" xr:uid="{AE23FE25-FEA3-4753-B896-837DD62192B0}"/>
    <cellStyle name="Финансовый 10 8" xfId="5977" xr:uid="{343D1159-9DE0-4725-9A77-348674182166}"/>
    <cellStyle name="Финансовый 10 8 2" xfId="9896" xr:uid="{78DE6EF7-01D3-484E-A83B-D6C8E1D5EA91}"/>
    <cellStyle name="Финансовый 10 8 2 2" xfId="18860" xr:uid="{E0820F31-0F7A-400F-A391-035DB8DB897E}"/>
    <cellStyle name="Финансовый 10 8 2 3" xfId="20122" xr:uid="{6A9DC54C-5625-49E2-932F-CE950BBE8418}"/>
    <cellStyle name="Финансовый 10 8 2 4" xfId="27192" xr:uid="{62F9CF4E-2AC5-49C6-B193-A70EB0ACD3E7}"/>
    <cellStyle name="Финансовый 10 8 2 5" xfId="40311" xr:uid="{1FFC70A2-735E-47E9-9CC5-9D595ED3EEA8}"/>
    <cellStyle name="Финансовый 10 8 3" xfId="18156" xr:uid="{0D8BF8A9-2E48-4EE5-93A6-AB37FD528CF4}"/>
    <cellStyle name="Финансовый 10 8 4" xfId="19595" xr:uid="{409FEAC6-4138-4DDB-A979-D3D367FB9A42}"/>
    <cellStyle name="Финансовый 10 8 5" xfId="23623" xr:uid="{42A0E70F-0C73-4563-915F-20E5C21631BD}"/>
    <cellStyle name="Финансовый 10 8 6" xfId="36704" xr:uid="{050645A4-8C9B-41DC-9391-312F0EF5654A}"/>
    <cellStyle name="Финансовый 10 9" xfId="6052" xr:uid="{D90E92BF-D43D-4A8E-A035-3B21577A6AFC}"/>
    <cellStyle name="Финансовый 10 9 2" xfId="9971" xr:uid="{24192C21-F327-49AD-A528-B63FC567C836}"/>
    <cellStyle name="Финансовый 10 9 2 2" xfId="18935" xr:uid="{06EC655B-EEEE-4692-99F3-03454D3DC901}"/>
    <cellStyle name="Финансовый 10 9 2 3" xfId="20197" xr:uid="{EC43BFCA-729F-4249-B906-9A9E0EAA8AE8}"/>
    <cellStyle name="Финансовый 10 9 2 4" xfId="27267" xr:uid="{C942FC25-7A82-489A-A848-C5C0E8ABAFD6}"/>
    <cellStyle name="Финансовый 10 9 2 5" xfId="40386" xr:uid="{D5E5D351-9F32-4BC6-BFDF-7FC430BB7206}"/>
    <cellStyle name="Финансовый 10 9 3" xfId="18231" xr:uid="{91A7778B-B5A3-4561-B0DA-9F14DFE797C8}"/>
    <cellStyle name="Финансовый 10 9 4" xfId="19670" xr:uid="{D9504714-25F3-4CBF-9EA0-639F0C9AF652}"/>
    <cellStyle name="Финансовый 10 9 5" xfId="23698" xr:uid="{823B7BA0-D4CB-48E8-85EB-710C3AD6980B}"/>
    <cellStyle name="Финансовый 10 9 6" xfId="36779" xr:uid="{884795E5-0F82-4ADC-AA5A-CBC0444D6CE6}"/>
    <cellStyle name="Финансовый 11" xfId="2477" xr:uid="{3C826E20-5514-40B7-AAEE-CA8909B8D58B}"/>
    <cellStyle name="Финансовый 11 2" xfId="3806" xr:uid="{4568BBD9-BBBA-4035-B251-DDE8C264FA13}"/>
    <cellStyle name="Финансовый 11 2 10" xfId="19337" xr:uid="{A1171A2E-AB28-4FBA-9FA2-318AEBBC7559}"/>
    <cellStyle name="Финансовый 11 2 11" xfId="20546" xr:uid="{F142C56B-16F6-4481-B423-28D3116C5D68}"/>
    <cellStyle name="Финансовый 11 2 12" xfId="21696" xr:uid="{3703D468-1246-46F9-BB17-13064C6A8345}"/>
    <cellStyle name="Финансовый 11 2 13" xfId="34750" xr:uid="{3AF7CF68-B5B3-417D-AFB0-495EB3D19ED8}"/>
    <cellStyle name="Финансовый 11 2 2" xfId="4600" xr:uid="{342C0F55-8A7A-4680-90E2-CD03652AEF07}"/>
    <cellStyle name="Финансовый 11 2 2 2" xfId="7403" xr:uid="{77DF27F0-8E9E-47A3-98F8-96014743E81B}"/>
    <cellStyle name="Финансовый 11 2 2 2 2" xfId="10107" xr:uid="{5619993B-D8E5-45C8-AF65-38DDE1190BE7}"/>
    <cellStyle name="Финансовый 11 2 2 2 2 2" xfId="19070" xr:uid="{E1EFEE31-45D8-4C67-8A97-28D598CACAF4}"/>
    <cellStyle name="Финансовый 11 2 2 2 2 3" xfId="20296" xr:uid="{32BEFA2C-EBE7-4D25-AD2A-9A153FA3D96F}"/>
    <cellStyle name="Финансовый 11 2 2 2 2 4" xfId="27366" xr:uid="{1A2A6C00-1C7C-4117-AA90-E9AE4570707E}"/>
    <cellStyle name="Финансовый 11 2 2 2 2 5" xfId="40485" xr:uid="{C964B043-7594-4B29-AD2F-624A42007874}"/>
    <cellStyle name="Финансовый 11 2 2 2 3" xfId="18365" xr:uid="{06FC635B-31CE-4B47-B480-58620EF2EB87}"/>
    <cellStyle name="Финансовый 11 2 2 2 4" xfId="19769" xr:uid="{8B674535-1E55-4EFE-B1AD-DAA346DA7874}"/>
    <cellStyle name="Финансовый 11 2 2 2 5" xfId="24962" xr:uid="{C1D4C30C-043A-4A6A-8F42-55F49E49059D}"/>
    <cellStyle name="Финансовый 11 2 2 2 6" xfId="38038" xr:uid="{A13FFFA4-647E-41A1-9298-A39BE3ECAF30}"/>
    <cellStyle name="Финансовый 11 2 2 3" xfId="9593" xr:uid="{705F4FA6-FB00-468F-8AF7-28F3CE32D78E}"/>
    <cellStyle name="Финансовый 11 2 2 3 2" xfId="18661" xr:uid="{9821EF00-4C84-4AAD-9725-5F1FCAE6DD0C}"/>
    <cellStyle name="Финансовый 11 2 2 3 3" xfId="19948" xr:uid="{664A65E4-1750-4E03-BCE5-761EB3542F49}"/>
    <cellStyle name="Финансовый 11 2 2 3 4" xfId="26950" xr:uid="{938A3175-8A00-4264-AC7B-2CAE7044A3EE}"/>
    <cellStyle name="Финансовый 11 2 2 3 5" xfId="40033" xr:uid="{104C2467-1B47-4F00-947D-99EF97791CC8}"/>
    <cellStyle name="Финансовый 11 2 2 4" xfId="17967" xr:uid="{56D1AAD0-8F14-4BDB-83F7-03705B609F75}"/>
    <cellStyle name="Финансовый 11 2 2 5" xfId="19421" xr:uid="{BFA7D969-E2E6-4CD8-922F-3845E319286C}"/>
    <cellStyle name="Финансовый 11 2 2 6" xfId="22414" xr:uid="{2028A7AB-C8D5-4CF2-8806-005053A87D12}"/>
    <cellStyle name="Финансовый 11 2 2 7" xfId="35464" xr:uid="{0454E0A5-5DDA-463F-B5C7-4D53C9630C9A}"/>
    <cellStyle name="Финансовый 11 2 3" xfId="5335" xr:uid="{B7AFED25-CFAD-40C0-A545-9E059D37BC59}"/>
    <cellStyle name="Финансовый 11 2 3 2" xfId="9767" xr:uid="{303340BC-9336-493F-9F84-C779C50210B5}"/>
    <cellStyle name="Финансовый 11 2 3 2 2" xfId="18770" xr:uid="{9579F103-AAD3-401C-B65F-CB415F0735C2}"/>
    <cellStyle name="Финансовый 11 2 3 2 3" xfId="20033" xr:uid="{5B489F52-7447-4F7B-AA70-EE948419A578}"/>
    <cellStyle name="Финансовый 11 2 3 2 4" xfId="27064" xr:uid="{594E979D-EEBE-4515-946D-97577A820048}"/>
    <cellStyle name="Финансовый 11 2 3 2 5" xfId="40183" xr:uid="{345372B2-5A5D-4B00-8F51-B6592672E1F3}"/>
    <cellStyle name="Финансовый 11 2 3 3" xfId="18067" xr:uid="{82E88098-FD53-4F61-A2C2-6C14B0385D13}"/>
    <cellStyle name="Финансовый 11 2 3 4" xfId="19506" xr:uid="{C7868DBB-72DE-44F0-9118-E8559F093D52}"/>
    <cellStyle name="Финансовый 11 2 3 5" xfId="22983" xr:uid="{48917E6E-62C3-4C74-9575-266149B5729E}"/>
    <cellStyle name="Финансовый 11 2 3 6" xfId="36064" xr:uid="{3B864A53-86E8-4E23-AA3E-536B2FB05664}"/>
    <cellStyle name="Финансовый 11 2 4" xfId="5787" xr:uid="{ED15D1A5-99C3-4C85-9BF4-0CDE93E073C7}"/>
    <cellStyle name="Финансовый 11 2 4 2" xfId="9850" xr:uid="{9FE2A417-21C5-4A30-AA54-ED1C460EDBBA}"/>
    <cellStyle name="Финансовый 11 2 4 2 2" xfId="18824" xr:uid="{A9DE5C06-5960-45DE-B497-6AAAA962CB86}"/>
    <cellStyle name="Финансовый 11 2 4 2 3" xfId="20086" xr:uid="{897F31E3-83B2-439C-AA7A-F5C24569E96A}"/>
    <cellStyle name="Финансовый 11 2 4 2 4" xfId="27146" xr:uid="{190280BB-BCF6-4F62-9874-9D02AA2EFC33}"/>
    <cellStyle name="Финансовый 11 2 4 2 5" xfId="40265" xr:uid="{51F7045D-B7A2-4C0C-8FDE-765D90E22568}"/>
    <cellStyle name="Финансовый 11 2 4 3" xfId="18120" xr:uid="{D7436AFB-A12E-48E7-BBC6-AFB04DA7E4EE}"/>
    <cellStyle name="Финансовый 11 2 4 4" xfId="19559" xr:uid="{2BAEDEA0-C061-41E9-A378-63461A55E2CB}"/>
    <cellStyle name="Финансовый 11 2 4 5" xfId="23434" xr:uid="{AAF5D4B6-C05E-44F9-9AE3-433DF0E3986B}"/>
    <cellStyle name="Финансовый 11 2 4 6" xfId="36515" xr:uid="{88AAA0A6-5957-414D-BE44-0B99F32617D7}"/>
    <cellStyle name="Финансовый 11 2 5" xfId="6016" xr:uid="{C6F3F3C9-ABA0-4A68-87ED-C1024F6857C4}"/>
    <cellStyle name="Финансовый 11 2 5 2" xfId="9935" xr:uid="{4B391FC7-C293-418B-AD39-113ADF5890F1}"/>
    <cellStyle name="Финансовый 11 2 5 2 2" xfId="18899" xr:uid="{69988011-6B12-421C-BCC8-7E7D563FFEC9}"/>
    <cellStyle name="Финансовый 11 2 5 2 3" xfId="20161" xr:uid="{6DAB9792-3BBF-495F-878A-44DBB8B626D0}"/>
    <cellStyle name="Финансовый 11 2 5 2 4" xfId="27231" xr:uid="{19F424EE-420F-4098-8722-EF7A52623ADE}"/>
    <cellStyle name="Финансовый 11 2 5 2 5" xfId="40350" xr:uid="{BBC1CC62-4B00-40CB-A233-2191CDB8A61F}"/>
    <cellStyle name="Финансовый 11 2 5 3" xfId="18195" xr:uid="{97F96520-9971-4E60-A387-1BEE1F90B99C}"/>
    <cellStyle name="Финансовый 11 2 5 4" xfId="19634" xr:uid="{9862EDCB-292D-4A8A-8A5D-0B76AE9AA152}"/>
    <cellStyle name="Финансовый 11 2 5 5" xfId="23662" xr:uid="{E845F8E0-9F95-4ACB-AD4A-40B7BADDAD15}"/>
    <cellStyle name="Финансовый 11 2 5 6" xfId="36743" xr:uid="{CC873DB0-7BE6-4E38-A00D-C426B656177A}"/>
    <cellStyle name="Финансовый 11 2 6" xfId="6091" xr:uid="{6C506F33-9F6C-49AD-9F2C-2699DD5B2428}"/>
    <cellStyle name="Финансовый 11 2 6 2" xfId="10010" xr:uid="{5F63B0CD-7932-45A0-B48A-2A64BE5D53A0}"/>
    <cellStyle name="Финансовый 11 2 6 2 2" xfId="18974" xr:uid="{6624FDBA-F886-46A3-AC81-0023A402CA5F}"/>
    <cellStyle name="Финансовый 11 2 6 2 3" xfId="20236" xr:uid="{76007E5B-2E7E-439E-BECD-348546C21FAE}"/>
    <cellStyle name="Финансовый 11 2 6 2 4" xfId="27306" xr:uid="{69098AD5-8D56-4399-80C7-257FEF90387E}"/>
    <cellStyle name="Финансовый 11 2 6 2 5" xfId="40425" xr:uid="{DBEFAD29-EC67-4D99-AA2E-4ACB44AF5A33}"/>
    <cellStyle name="Финансовый 11 2 6 3" xfId="18270" xr:uid="{B07359E3-3702-4209-AC65-97C8660F63D2}"/>
    <cellStyle name="Финансовый 11 2 6 4" xfId="19709" xr:uid="{04975346-A1CC-40F5-AF82-D5CF2C29099B}"/>
    <cellStyle name="Финансовый 11 2 6 5" xfId="23737" xr:uid="{446118E6-4022-4DE5-B8D6-3D07B5B14415}"/>
    <cellStyle name="Финансовый 11 2 6 6" xfId="36818" xr:uid="{EC661BB2-A9A6-4AC9-B175-538A9018837E}"/>
    <cellStyle name="Финансовый 11 2 7" xfId="9492" xr:uid="{1F3D0D85-3224-45A9-B7DD-FCAB1A81FFB3}"/>
    <cellStyle name="Финансовый 11 2 7 2" xfId="18560" xr:uid="{37B6ED46-FF1E-47B4-8B87-61B029F2F20E}"/>
    <cellStyle name="Финансовый 11 2 7 3" xfId="19864" xr:uid="{E9067407-DEC7-4D0F-B91C-0A904F8B7EED}"/>
    <cellStyle name="Финансовый 11 2 7 4" xfId="26866" xr:uid="{FDE802FB-A4C0-4C5D-BEE9-43E2648979F2}"/>
    <cellStyle name="Финансовый 11 2 7 5" xfId="39949" xr:uid="{BD08C437-55B7-4A12-AC1D-977731AD71EE}"/>
    <cellStyle name="Финансовый 11 2 8" xfId="17793" xr:uid="{020E0301-8066-4F68-AB0A-C85F686AAA69}"/>
    <cellStyle name="Финансовый 11 2 8 2" xfId="19260" xr:uid="{EC23A787-0CEC-4B28-A072-9F774464A449}"/>
    <cellStyle name="Финансовый 11 2 8 3" xfId="20415" xr:uid="{44B56C66-B7E3-4B5E-A853-D3BFAB8956FB}"/>
    <cellStyle name="Финансовый 11 2 8 4" xfId="33515" xr:uid="{8569F412-1A56-4BB2-97F9-83D3D2EC3030}"/>
    <cellStyle name="Финансовый 11 2 8 5" xfId="47294" xr:uid="{F80332E7-8094-4BDC-8B3D-58931749FEB6}"/>
    <cellStyle name="Финансовый 11 2 9" xfId="17881" xr:uid="{884E923D-04CD-48AB-8D55-3C0045C04765}"/>
    <cellStyle name="Финансовый 11 3" xfId="4023" xr:uid="{81DCBFDB-736E-4F48-86BF-8D41F70A6210}"/>
    <cellStyle name="Финансовый 11 3 10" xfId="34914" xr:uid="{CFB63A65-B337-41B6-A71E-00B9F65FE68C}"/>
    <cellStyle name="Финансовый 11 3 2" xfId="4928" xr:uid="{CC53C8D1-7360-4D04-BD46-BF9EB2916729}"/>
    <cellStyle name="Финансовый 11 3 2 2" xfId="7597" xr:uid="{E8442061-E353-4D48-A020-06B671C49688}"/>
    <cellStyle name="Финансовый 11 3 2 2 2" xfId="10129" xr:uid="{301C48B4-E282-48A1-A6EC-B557529763FD}"/>
    <cellStyle name="Финансовый 11 3 2 2 2 2" xfId="19092" xr:uid="{92F01EA6-FDCB-4F3F-9A96-4190CA3A72FE}"/>
    <cellStyle name="Финансовый 11 3 2 2 2 3" xfId="20312" xr:uid="{D793EC7C-6F0A-468C-B1BE-BF5B2D78495D}"/>
    <cellStyle name="Финансовый 11 3 2 2 2 4" xfId="27382" xr:uid="{5F9BB72C-DFE9-4F37-ADD3-6A23EF924865}"/>
    <cellStyle name="Финансовый 11 3 2 2 2 5" xfId="40501" xr:uid="{A89CBAE2-17A4-4B62-9C88-9666F9730474}"/>
    <cellStyle name="Финансовый 11 3 2 2 3" xfId="18387" xr:uid="{25F24F27-B109-478B-B7D7-AE1D847EC3A0}"/>
    <cellStyle name="Финансовый 11 3 2 2 4" xfId="19785" xr:uid="{0143DB85-6FB2-4931-B9E8-1076BB487EBA}"/>
    <cellStyle name="Финансовый 11 3 2 2 5" xfId="25125" xr:uid="{478B20F7-6E66-4368-847F-C55569B817FE}"/>
    <cellStyle name="Финансовый 11 3 2 2 6" xfId="38201" xr:uid="{F4B51337-7076-4408-8E69-93C9CBB8E4F2}"/>
    <cellStyle name="Финансовый 11 3 2 3" xfId="9626" xr:uid="{B95AF0DB-785A-4D15-B2DB-832DD418ACCA}"/>
    <cellStyle name="Финансовый 11 3 2 3 2" xfId="18691" xr:uid="{ED751228-BDA0-43FA-AD88-0BF9831679EE}"/>
    <cellStyle name="Финансовый 11 3 2 3 3" xfId="19965" xr:uid="{34533EE1-865C-4036-8ECD-564D381FCF14}"/>
    <cellStyle name="Финансовый 11 3 2 3 4" xfId="26967" xr:uid="{BB3909C9-2E64-4FBF-B7A8-4DDE75945AB9}"/>
    <cellStyle name="Финансовый 11 3 2 3 5" xfId="40053" xr:uid="{F7AF1ED1-0B6F-4760-A132-A06030332B15}"/>
    <cellStyle name="Финансовый 11 3 2 4" xfId="17996" xr:uid="{B0BBE299-C76A-4DF5-97D5-82CB69F71E40}"/>
    <cellStyle name="Финансовый 11 3 2 5" xfId="19438" xr:uid="{05622EDE-1BA9-43D5-AD41-2216455643AE}"/>
    <cellStyle name="Финансовый 11 3 2 6" xfId="22725" xr:uid="{09C49867-EC7D-4E7B-90BC-FD1F5BF91843}"/>
    <cellStyle name="Финансовый 11 3 2 7" xfId="35778" xr:uid="{63A4FFE5-AE9F-4D04-AAD9-EC863438913D}"/>
    <cellStyle name="Финансовый 11 3 3" xfId="5951" xr:uid="{F4AEB8DF-50D2-4A2E-B0C0-2931D5B0F30C}"/>
    <cellStyle name="Финансовый 11 3 3 2" xfId="9877" xr:uid="{05D2FC59-9287-4534-A0B0-2B2796AA7361}"/>
    <cellStyle name="Финансовый 11 3 3 2 2" xfId="18841" xr:uid="{A16DDDF2-9E06-4AF0-8018-853DF56FC459}"/>
    <cellStyle name="Финансовый 11 3 3 2 3" xfId="20103" xr:uid="{BE60B94E-E919-4FD7-864E-9834D573FCF7}"/>
    <cellStyle name="Финансовый 11 3 3 2 4" xfId="27173" xr:uid="{4A35EE62-280F-45FE-8F65-1F8E6786E75F}"/>
    <cellStyle name="Финансовый 11 3 3 2 5" xfId="40292" xr:uid="{5AF4C870-4361-4273-88BC-C7474175C72C}"/>
    <cellStyle name="Финансовый 11 3 3 3" xfId="18137" xr:uid="{67B2A7AB-9E2F-4863-B06C-7A41E0102D9B}"/>
    <cellStyle name="Финансовый 11 3 3 4" xfId="19576" xr:uid="{C813B316-5920-416C-AA9E-7AF980A2AD74}"/>
    <cellStyle name="Финансовый 11 3 3 5" xfId="23598" xr:uid="{9BD1AA3C-0555-4DFA-A077-CA7130ED27CE}"/>
    <cellStyle name="Финансовый 11 3 3 6" xfId="36679" xr:uid="{6F88945F-5DB6-46E3-8BEB-33E73980111C}"/>
    <cellStyle name="Финансовый 11 3 4" xfId="6033" xr:uid="{77A54C14-DCAB-4930-BD01-719AC8495314}"/>
    <cellStyle name="Финансовый 11 3 4 2" xfId="9952" xr:uid="{87EBFE1E-E72B-48AA-B50C-B04FA42207EC}"/>
    <cellStyle name="Финансовый 11 3 4 2 2" xfId="18916" xr:uid="{D0BC5C96-0757-4C27-9C88-E56438CC7FD7}"/>
    <cellStyle name="Финансовый 11 3 4 2 3" xfId="20178" xr:uid="{CDC2199C-07B4-4EAD-BA33-789B51C75BC5}"/>
    <cellStyle name="Финансовый 11 3 4 2 4" xfId="27248" xr:uid="{A73F540A-6FCE-4F99-A86B-8E5BF739579B}"/>
    <cellStyle name="Финансовый 11 3 4 2 5" xfId="40367" xr:uid="{A19411FD-B8B5-4B9D-A784-F73EDD5B7FFA}"/>
    <cellStyle name="Финансовый 11 3 4 3" xfId="18212" xr:uid="{4F78FE68-7419-4CC9-97AB-31A2AE79F81E}"/>
    <cellStyle name="Финансовый 11 3 4 4" xfId="19651" xr:uid="{52109BFC-5ADA-44C6-A45F-E6C9ABD36EFE}"/>
    <cellStyle name="Финансовый 11 3 4 5" xfId="23679" xr:uid="{418C0723-B767-4EBB-827F-13058445E2C9}"/>
    <cellStyle name="Финансовый 11 3 4 6" xfId="36760" xr:uid="{821E4B09-F8F0-4C81-A18A-5D0B6C710492}"/>
    <cellStyle name="Финансовый 11 3 5" xfId="6118" xr:uid="{4C099950-DE26-41B3-A5B8-359C7F39CAA1}"/>
    <cellStyle name="Финансовый 11 3 5 2" xfId="10027" xr:uid="{9CD16DDD-D0F2-4A98-A970-C92F7D6954B8}"/>
    <cellStyle name="Финансовый 11 3 5 2 2" xfId="18991" xr:uid="{21ACFCDC-4C5F-484D-AD81-AB8C63FC540D}"/>
    <cellStyle name="Финансовый 11 3 5 2 3" xfId="20253" xr:uid="{F1C992EC-1EFE-4D72-AE0E-19F7666284EE}"/>
    <cellStyle name="Финансовый 11 3 5 2 4" xfId="27323" xr:uid="{D1CBD00F-E351-4768-BA03-64DF4BC41ADA}"/>
    <cellStyle name="Финансовый 11 3 5 2 5" xfId="40442" xr:uid="{4EC3C2BC-F4B9-4C57-81AA-9B4B1252C0A6}"/>
    <cellStyle name="Финансовый 11 3 5 3" xfId="18287" xr:uid="{16FB1A6C-3353-4477-915B-DBA070F38A94}"/>
    <cellStyle name="Финансовый 11 3 5 4" xfId="19726" xr:uid="{B0A9F8BD-A0DC-4F2F-ACC2-3E23788DCE8E}"/>
    <cellStyle name="Финансовый 11 3 5 5" xfId="23764" xr:uid="{BE5B6128-4A79-491D-AE7D-DE11D4751552}"/>
    <cellStyle name="Финансовый 11 3 5 6" xfId="36845" xr:uid="{4B4DB49E-FDD1-4CCC-B94C-42090EDF3332}"/>
    <cellStyle name="Финансовый 11 3 6" xfId="9515" xr:uid="{9CB1B888-831E-4492-8A25-1E5458A7CC14}"/>
    <cellStyle name="Финансовый 11 3 6 2" xfId="18583" xr:uid="{20392BF6-D8F4-4617-9479-838BA7FE7268}"/>
    <cellStyle name="Финансовый 11 3 6 3" xfId="19881" xr:uid="{B9146C10-9E67-4658-9F1D-D3020A4F1047}"/>
    <cellStyle name="Финансовый 11 3 6 4" xfId="26883" xr:uid="{DC808297-F6F6-4B34-AC3F-37526A1AD480}"/>
    <cellStyle name="Финансовый 11 3 6 5" xfId="39966" xr:uid="{4727F393-05E9-4BA8-B642-A217DED59C88}"/>
    <cellStyle name="Финансовый 11 3 7" xfId="17898" xr:uid="{78041B93-F946-4038-9B28-576F27DB4C8F}"/>
    <cellStyle name="Финансовый 11 3 8" xfId="19354" xr:uid="{09C79FB3-827D-45DC-952D-43B654123F86}"/>
    <cellStyle name="Финансовый 11 3 9" xfId="21865" xr:uid="{A8181750-9ACC-4B11-984E-24EA36E72AA9}"/>
    <cellStyle name="Финансовый 11 4" xfId="5068" xr:uid="{7035B2C7-FF8E-4103-9C5E-117C83970594}"/>
    <cellStyle name="Финансовый 11 4 2" xfId="9651" xr:uid="{20A66293-EED5-46EE-AA51-922AF0A12C79}"/>
    <cellStyle name="Финансовый 11 4 2 2" xfId="18703" xr:uid="{3A41DB6D-9DC5-4DA3-A049-0CA99EB6B40D}"/>
    <cellStyle name="Финансовый 11 4 2 3" xfId="19970" xr:uid="{ADF15E4F-F282-4D98-9856-74FBFB7BC417}"/>
    <cellStyle name="Финансовый 11 4 2 4" xfId="26972" xr:uid="{A0958E54-3498-494D-9195-0191C38C9E3F}"/>
    <cellStyle name="Финансовый 11 4 2 5" xfId="40071" xr:uid="{C33E238C-73FC-46D3-A43D-0456BC2A814F}"/>
    <cellStyle name="Финансовый 11 4 3" xfId="18002" xr:uid="{5D98C6BC-1DD6-47BF-8F98-712FCACC0484}"/>
    <cellStyle name="Финансовый 11 4 4" xfId="19443" xr:uid="{B0A5F7A0-71F8-4834-AB8D-60648281C2B8}"/>
    <cellStyle name="Финансовый 11 4 5" xfId="22812" xr:uid="{46B686DF-424D-430D-9E63-4F8389619D9F}"/>
    <cellStyle name="Финансовый 11 4 6" xfId="35878" xr:uid="{C4858C1F-5E61-49FC-A495-9EE4723BB70A}"/>
    <cellStyle name="Финансовый 11 5" xfId="10505" xr:uid="{DD5A1DDE-6CC3-4C20-BBC9-D1C0141BB7CC}"/>
    <cellStyle name="Финансовый 11 6" xfId="17709" xr:uid="{DA6FD3AF-256F-4630-91A5-26E3F36ED07B}"/>
    <cellStyle name="Финансовый 11 6 2" xfId="19215" xr:uid="{5F0238A9-3341-4AEE-B894-6370157FAD6D}"/>
    <cellStyle name="Финансовый 11 6 3" xfId="20370" xr:uid="{C07829E3-B4C1-48B0-8410-FD60CF2C595F}"/>
    <cellStyle name="Финансовый 11 6 4" xfId="33431" xr:uid="{7BF10BB0-807C-4A69-A343-FB32484C6A71}"/>
    <cellStyle name="Финансовый 11 6 5" xfId="47220" xr:uid="{56E1188F-0C9D-4213-AB14-CAEA734A3567}"/>
    <cellStyle name="Финансовый 11 7" xfId="20462" xr:uid="{1EEE0307-FC4E-40A6-BCE8-FA5B7CEBCC89}"/>
    <cellStyle name="Финансовый 12" xfId="2493" xr:uid="{0CFDD8C1-AB47-49BF-8F04-2117F6C73DD7}"/>
    <cellStyle name="Финансовый 12 10" xfId="9399" xr:uid="{A13ECDD4-A3D2-4EBB-9043-762866D77EC6}"/>
    <cellStyle name="Финансовый 12 10 2" xfId="18469" xr:uid="{1850CC2B-5545-4217-A1D4-EF5F59C0A667}"/>
    <cellStyle name="Финансовый 12 10 3" xfId="19809" xr:uid="{79642865-4D81-44E5-9D3B-D158DE9B185F}"/>
    <cellStyle name="Финансовый 12 10 4" xfId="26811" xr:uid="{294B3055-01B8-4156-91EE-AA07EBFA0D33}"/>
    <cellStyle name="Финансовый 12 10 5" xfId="39892" xr:uid="{55158382-6FD4-472A-ADCF-AF9C05B4822C}"/>
    <cellStyle name="Финансовый 12 11" xfId="10506" xr:uid="{DF275818-0FD8-43D4-AC8B-ACFF8F7F7EE3}"/>
    <cellStyle name="Финансовый 12 12" xfId="17711" xr:uid="{76075CAF-99B5-421B-BA25-2BDE111379B7}"/>
    <cellStyle name="Финансовый 12 12 2" xfId="19217" xr:uid="{7D06AE6F-163B-462C-8D8B-9D3424796730}"/>
    <cellStyle name="Финансовый 12 12 3" xfId="20372" xr:uid="{400E02A6-7C52-4FBA-A910-A69F7C6D12FF}"/>
    <cellStyle name="Финансовый 12 12 4" xfId="33433" xr:uid="{D65C7683-8F5B-4789-ABD2-7062C2AF7536}"/>
    <cellStyle name="Финансовый 12 12 5" xfId="47222" xr:uid="{D7C0162C-0BB7-44B6-90FD-09DE8538FEF7}"/>
    <cellStyle name="Финансовый 12 13" xfId="17826" xr:uid="{531093B7-CB49-4846-BAE7-5BE4466E8EAF}"/>
    <cellStyle name="Финансовый 12 14" xfId="19282" xr:uid="{AF785EF5-A7E8-4702-A9F5-5928FB5A2218}"/>
    <cellStyle name="Финансовый 12 15" xfId="20464" xr:uid="{C8F78082-1203-458F-BF67-FFFB4613BD21}"/>
    <cellStyle name="Финансовый 12 16" xfId="20568" xr:uid="{BBDB6A8B-2E53-4AA6-9689-D0957F5B8678}"/>
    <cellStyle name="Финансовый 12 17" xfId="33591" xr:uid="{A8FAADEB-DEBF-4D3C-8420-016D00F7E50B}"/>
    <cellStyle name="Финансовый 12 2" xfId="3811" xr:uid="{F803723F-D17B-4F2A-8DAA-39A7C7DBA29A}"/>
    <cellStyle name="Финансовый 12 2 10" xfId="19339" xr:uid="{48DD801F-6E19-479E-8547-C72D61BE859D}"/>
    <cellStyle name="Финансовый 12 2 11" xfId="20548" xr:uid="{CA42986F-7023-40E2-9723-AACBFD44F07D}"/>
    <cellStyle name="Финансовый 12 2 12" xfId="21698" xr:uid="{36FB95EC-7482-4B16-9AB3-8E61A919DFE9}"/>
    <cellStyle name="Финансовый 12 2 13" xfId="34752" xr:uid="{E9B83487-768E-47ED-85BA-FD7CDB827D1C}"/>
    <cellStyle name="Финансовый 12 2 2" xfId="4602" xr:uid="{4DB0DD70-2923-45DA-9991-15B8ECB78214}"/>
    <cellStyle name="Финансовый 12 2 2 2" xfId="7404" xr:uid="{8B55ACA4-3507-4C03-931A-5ACEAFB32181}"/>
    <cellStyle name="Финансовый 12 2 2 2 2" xfId="10108" xr:uid="{6F66B28B-ACFE-4B16-A427-6E0EC4EB8E88}"/>
    <cellStyle name="Финансовый 12 2 2 2 2 2" xfId="19071" xr:uid="{A0DE08B0-5FF3-477D-AE0A-BCFB0BE59547}"/>
    <cellStyle name="Финансовый 12 2 2 2 2 3" xfId="20297" xr:uid="{04505F5D-217D-4E3D-8A3E-5513D99ED7F0}"/>
    <cellStyle name="Финансовый 12 2 2 2 2 4" xfId="27367" xr:uid="{E1F2F02B-DD7C-47EF-A5F1-4E49B30FD8CE}"/>
    <cellStyle name="Финансовый 12 2 2 2 2 5" xfId="40486" xr:uid="{93B62540-BDFF-4E9B-80B1-38B74524A082}"/>
    <cellStyle name="Финансовый 12 2 2 2 3" xfId="18366" xr:uid="{3D49CDF0-64B6-4FD8-AA10-74816A637AA4}"/>
    <cellStyle name="Финансовый 12 2 2 2 4" xfId="19770" xr:uid="{72015E62-6F1B-4FC9-B23F-CE9662F98E18}"/>
    <cellStyle name="Финансовый 12 2 2 2 5" xfId="24963" xr:uid="{90B98256-5CAF-400B-B678-A69FEF870791}"/>
    <cellStyle name="Финансовый 12 2 2 2 6" xfId="38039" xr:uid="{D7D61E55-86B0-42E3-B7A3-F463CACE42C7}"/>
    <cellStyle name="Финансовый 12 2 2 3" xfId="9595" xr:uid="{0CE09EDD-43C7-429D-BD26-D4BB31E0BD6C}"/>
    <cellStyle name="Финансовый 12 2 2 3 2" xfId="18663" xr:uid="{3794835C-FE80-4B27-AEEE-A31D771A4FB5}"/>
    <cellStyle name="Финансовый 12 2 2 3 3" xfId="19950" xr:uid="{E95BC193-0D13-4FF8-AEA6-71AC145E8C47}"/>
    <cellStyle name="Финансовый 12 2 2 3 4" xfId="26952" xr:uid="{99321E21-F3EA-4926-9A96-FE722CD815D8}"/>
    <cellStyle name="Финансовый 12 2 2 3 5" xfId="40035" xr:uid="{3E7C4517-8B43-4FB0-B68F-4BAA24A45C09}"/>
    <cellStyle name="Финансовый 12 2 2 4" xfId="17969" xr:uid="{3D25FD2F-D28C-4635-82F9-7A67E4E6A408}"/>
    <cellStyle name="Финансовый 12 2 2 5" xfId="19423" xr:uid="{8FF7821E-4369-4875-8056-64EC7F580FBF}"/>
    <cellStyle name="Финансовый 12 2 2 6" xfId="22416" xr:uid="{24738E3F-F449-40F8-B5E9-3BB7585E5786}"/>
    <cellStyle name="Финансовый 12 2 2 7" xfId="35466" xr:uid="{B3D6B53F-E367-44C3-9790-19967BDC6AB9}"/>
    <cellStyle name="Финансовый 12 2 3" xfId="5337" xr:uid="{0C70982A-4BAD-47DF-AF32-2337547DFDD2}"/>
    <cellStyle name="Финансовый 12 2 3 2" xfId="9769" xr:uid="{787030A5-29D3-4A7D-A25C-36D154B0D578}"/>
    <cellStyle name="Финансовый 12 2 3 2 2" xfId="18772" xr:uid="{22A42976-560A-4FE8-AA6D-FE8BF269D81D}"/>
    <cellStyle name="Финансовый 12 2 3 2 3" xfId="20035" xr:uid="{402E66BB-6C61-4FB0-BCA2-4350E97F8ADF}"/>
    <cellStyle name="Финансовый 12 2 3 2 4" xfId="27066" xr:uid="{363C8EF1-35D9-48C2-B72D-76D147C79B38}"/>
    <cellStyle name="Финансовый 12 2 3 2 5" xfId="40185" xr:uid="{8871E801-8557-4A30-920C-AA8EFB90158C}"/>
    <cellStyle name="Финансовый 12 2 3 3" xfId="18069" xr:uid="{EC8F37E6-46E7-4457-90F5-75091B7CE019}"/>
    <cellStyle name="Финансовый 12 2 3 4" xfId="19508" xr:uid="{450D9656-2EEE-4E52-8EDA-D9DEC4773C6E}"/>
    <cellStyle name="Финансовый 12 2 3 5" xfId="22985" xr:uid="{4BF3C9E6-FDE7-48CD-A479-5125B12A7610}"/>
    <cellStyle name="Финансовый 12 2 3 6" xfId="36066" xr:uid="{153E7960-7486-4170-92E2-6B5CAF460181}"/>
    <cellStyle name="Финансовый 12 2 4" xfId="5789" xr:uid="{C2B0B715-0F86-496E-99C2-4393DE52760E}"/>
    <cellStyle name="Финансовый 12 2 4 2" xfId="9852" xr:uid="{AFA17C6F-AC8F-4416-99DD-ACD2950F65C3}"/>
    <cellStyle name="Финансовый 12 2 4 2 2" xfId="18826" xr:uid="{6A5BB721-B0CD-4905-953A-E34A68D5D0F8}"/>
    <cellStyle name="Финансовый 12 2 4 2 3" xfId="20088" xr:uid="{F7491738-065D-43B8-BDF2-5A7E83018571}"/>
    <cellStyle name="Финансовый 12 2 4 2 4" xfId="27148" xr:uid="{00437AD0-C93C-4BC2-B669-3306A0CBA2DD}"/>
    <cellStyle name="Финансовый 12 2 4 2 5" xfId="40267" xr:uid="{620B9E70-459C-4FA4-AC63-25180E672253}"/>
    <cellStyle name="Финансовый 12 2 4 3" xfId="18122" xr:uid="{7B3B50A4-0FFD-4F2F-9A40-9946F157C206}"/>
    <cellStyle name="Финансовый 12 2 4 4" xfId="19561" xr:uid="{E092839A-C3B2-4544-9739-3029836D1C3A}"/>
    <cellStyle name="Финансовый 12 2 4 5" xfId="23436" xr:uid="{F46247E2-6190-4AB7-B5CF-60DC1393960B}"/>
    <cellStyle name="Финансовый 12 2 4 6" xfId="36517" xr:uid="{2B1BD334-5322-4BD3-B93C-94FC51940E88}"/>
    <cellStyle name="Финансовый 12 2 5" xfId="6018" xr:uid="{9EC15FA1-B7A6-4319-BA07-C12C3679E6ED}"/>
    <cellStyle name="Финансовый 12 2 5 2" xfId="9937" xr:uid="{7A36C476-D777-4A2A-B9E7-AE54AC97E15F}"/>
    <cellStyle name="Финансовый 12 2 5 2 2" xfId="18901" xr:uid="{F1C56D5A-2316-476D-B457-6FE267CBCBB8}"/>
    <cellStyle name="Финансовый 12 2 5 2 3" xfId="20163" xr:uid="{C9365B84-EEA8-48D2-AD85-508C9F87184B}"/>
    <cellStyle name="Финансовый 12 2 5 2 4" xfId="27233" xr:uid="{8426BAEC-7BD8-46AB-90B2-E36EBAB5E702}"/>
    <cellStyle name="Финансовый 12 2 5 2 5" xfId="40352" xr:uid="{23B0015A-3035-40A6-BDDE-8E51FE0E09F0}"/>
    <cellStyle name="Финансовый 12 2 5 3" xfId="18197" xr:uid="{7144C064-2265-47F2-8B87-B87CAADB273C}"/>
    <cellStyle name="Финансовый 12 2 5 4" xfId="19636" xr:uid="{1863BA40-DEE0-4603-A365-A83374194037}"/>
    <cellStyle name="Финансовый 12 2 5 5" xfId="23664" xr:uid="{548CA5F8-7EAF-4501-AE71-6AC8A207800C}"/>
    <cellStyle name="Финансовый 12 2 5 6" xfId="36745" xr:uid="{779A4BA7-A876-4EA9-A197-04BE2918EC5A}"/>
    <cellStyle name="Финансовый 12 2 6" xfId="6093" xr:uid="{C6DCBD7E-B0A3-4D58-B518-31377B01EBD2}"/>
    <cellStyle name="Финансовый 12 2 6 2" xfId="10012" xr:uid="{06DCD774-5846-4FE6-A1CD-E314136866E1}"/>
    <cellStyle name="Финансовый 12 2 6 2 2" xfId="18976" xr:uid="{062A8D47-9151-4128-BA3B-C5F16D30F71E}"/>
    <cellStyle name="Финансовый 12 2 6 2 3" xfId="20238" xr:uid="{2D216633-672A-4BAE-87D3-60D1DE57097F}"/>
    <cellStyle name="Финансовый 12 2 6 2 4" xfId="27308" xr:uid="{0CA87145-75C0-4E5E-A41A-239284E5767A}"/>
    <cellStyle name="Финансовый 12 2 6 2 5" xfId="40427" xr:uid="{70A6BA32-E4EE-4106-A17A-5ED1DA67D292}"/>
    <cellStyle name="Финансовый 12 2 6 3" xfId="18272" xr:uid="{A941CB8E-FD76-4F20-942B-BFD306CE7697}"/>
    <cellStyle name="Финансовый 12 2 6 4" xfId="19711" xr:uid="{305C38C6-D569-4AD1-80B9-AEA152F0B721}"/>
    <cellStyle name="Финансовый 12 2 6 5" xfId="23739" xr:uid="{4AF44306-D86B-4354-B142-BAD2ACDE0A4C}"/>
    <cellStyle name="Финансовый 12 2 6 6" xfId="36820" xr:uid="{159ACD6C-9EB5-4E28-9D3D-C3411EC0366A}"/>
    <cellStyle name="Финансовый 12 2 7" xfId="9494" xr:uid="{888EBE80-9A45-45A2-ADCF-172C4BA1C6B9}"/>
    <cellStyle name="Финансовый 12 2 7 2" xfId="18562" xr:uid="{588BF037-ABF7-4BE9-B669-040A3BC4E111}"/>
    <cellStyle name="Финансовый 12 2 7 3" xfId="19866" xr:uid="{209B9A5A-0C93-4E4F-A815-2B2DD8F4B038}"/>
    <cellStyle name="Финансовый 12 2 7 4" xfId="26868" xr:uid="{F5F3772A-CC05-456F-9856-E93CB6BDC3D3}"/>
    <cellStyle name="Финансовый 12 2 7 5" xfId="39951" xr:uid="{153575F7-EF86-4470-A4E3-10376FE35F50}"/>
    <cellStyle name="Финансовый 12 2 8" xfId="17795" xr:uid="{2B7CDF8F-120A-43DB-9352-9ADDAB8AAD73}"/>
    <cellStyle name="Финансовый 12 2 8 2" xfId="19262" xr:uid="{83CDF1BF-6B72-4A77-9034-FABADE60EDC2}"/>
    <cellStyle name="Финансовый 12 2 8 3" xfId="20417" xr:uid="{CAF57439-44D5-4BDE-8A5E-982E29D9CDBD}"/>
    <cellStyle name="Финансовый 12 2 8 4" xfId="33517" xr:uid="{88185EBA-A9C2-40D6-BD15-B3894530F605}"/>
    <cellStyle name="Финансовый 12 2 8 5" xfId="47296" xr:uid="{E3BDA4E1-B278-4E4B-B3FF-4512777BE440}"/>
    <cellStyle name="Финансовый 12 2 9" xfId="17883" xr:uid="{5094098B-C2B3-4166-A896-069FDFC9D5D4}"/>
    <cellStyle name="Финансовый 12 3" xfId="4024" xr:uid="{0054ADAD-2259-47B0-98B4-8DE31F583B10}"/>
    <cellStyle name="Финансовый 12 3 10" xfId="34915" xr:uid="{2CF0B641-3C4C-40DD-BEDB-CE769E9B2327}"/>
    <cellStyle name="Финансовый 12 3 2" xfId="4929" xr:uid="{BCB993E3-33B1-4671-8DAC-ED6D6021B587}"/>
    <cellStyle name="Финансовый 12 3 2 2" xfId="7598" xr:uid="{BC713A3C-9F01-4B07-A70B-A8AB003EBCDC}"/>
    <cellStyle name="Финансовый 12 3 2 2 2" xfId="10130" xr:uid="{41B805AA-FBB3-41A7-8C12-4EF6D0CA4866}"/>
    <cellStyle name="Финансовый 12 3 2 2 2 2" xfId="19093" xr:uid="{CEE19321-7D6B-4B7C-9B5D-26B12DDDBCE2}"/>
    <cellStyle name="Финансовый 12 3 2 2 2 3" xfId="20313" xr:uid="{939D282A-C3B1-4A4F-BA4F-9BBB1DD47D37}"/>
    <cellStyle name="Финансовый 12 3 2 2 2 4" xfId="27383" xr:uid="{BB0FDCA1-14F6-426A-B267-9FF70454DD03}"/>
    <cellStyle name="Финансовый 12 3 2 2 2 5" xfId="40502" xr:uid="{5D01FF81-7FCC-460F-A0B0-AC79BAD92C59}"/>
    <cellStyle name="Финансовый 12 3 2 2 3" xfId="18388" xr:uid="{0506B241-0D0C-4E27-8505-3D8B469B4959}"/>
    <cellStyle name="Финансовый 12 3 2 2 4" xfId="19786" xr:uid="{8B72A51E-562C-4DEB-829D-C75D01F572F6}"/>
    <cellStyle name="Финансовый 12 3 2 2 5" xfId="25126" xr:uid="{7D3DF5DC-F4D5-4192-AAB3-78EE3675B9A6}"/>
    <cellStyle name="Финансовый 12 3 2 2 6" xfId="38202" xr:uid="{D63F796F-BC75-46D9-B67A-68B2608EF2BC}"/>
    <cellStyle name="Финансовый 12 3 2 3" xfId="9627" xr:uid="{7627337A-A4A6-4B01-BB0A-7416B2D07E61}"/>
    <cellStyle name="Финансовый 12 3 2 3 2" xfId="18692" xr:uid="{02FC2872-79B4-468A-AB71-BA9F5784918E}"/>
    <cellStyle name="Финансовый 12 3 2 3 3" xfId="19966" xr:uid="{E27783CF-B8E0-4F7C-ACB7-236A3E4F4DD1}"/>
    <cellStyle name="Финансовый 12 3 2 3 4" xfId="26968" xr:uid="{074ECD9D-F118-41DC-959E-D20146D54AA3}"/>
    <cellStyle name="Финансовый 12 3 2 3 5" xfId="40054" xr:uid="{89427B23-C7CA-409F-A4EA-0495E1614728}"/>
    <cellStyle name="Финансовый 12 3 2 4" xfId="17997" xr:uid="{C6637554-EF17-4759-AEAB-E540192DEAB0}"/>
    <cellStyle name="Финансовый 12 3 2 5" xfId="19439" xr:uid="{6B506C08-0B9D-486C-9A99-0BC1AE73A67D}"/>
    <cellStyle name="Финансовый 12 3 2 6" xfId="22726" xr:uid="{DA949311-11DF-427C-B2EB-66555364BD50}"/>
    <cellStyle name="Финансовый 12 3 2 7" xfId="35779" xr:uid="{49EB35CA-374E-4364-990E-FBC98CC3EC7C}"/>
    <cellStyle name="Финансовый 12 3 3" xfId="5952" xr:uid="{ADB027FD-6693-4E64-87F8-EAB44A75490E}"/>
    <cellStyle name="Финансовый 12 3 3 2" xfId="9878" xr:uid="{523D8DEF-1291-4E00-9F64-3B888BDC39B7}"/>
    <cellStyle name="Финансовый 12 3 3 2 2" xfId="18842" xr:uid="{02DACC22-4D7B-4C07-986B-CD04D011778E}"/>
    <cellStyle name="Финансовый 12 3 3 2 3" xfId="20104" xr:uid="{E1FE8A19-CF74-4D20-8C7D-D6A5F240AF75}"/>
    <cellStyle name="Финансовый 12 3 3 2 4" xfId="27174" xr:uid="{04545511-F38D-4B78-9C9A-9E2FA6ED4A55}"/>
    <cellStyle name="Финансовый 12 3 3 2 5" xfId="40293" xr:uid="{D6A94320-A419-4857-B392-A8E8EE434DA8}"/>
    <cellStyle name="Финансовый 12 3 3 3" xfId="18138" xr:uid="{DC2BB2D8-6037-4997-A545-02855DF024CC}"/>
    <cellStyle name="Финансовый 12 3 3 4" xfId="19577" xr:uid="{8C3D3ED5-BBFC-4149-B063-A3E0AC182641}"/>
    <cellStyle name="Финансовый 12 3 3 5" xfId="23599" xr:uid="{806EBAB3-5B45-4AFE-A79A-333B03308C2C}"/>
    <cellStyle name="Финансовый 12 3 3 6" xfId="36680" xr:uid="{6980115F-70A8-46C3-9FF2-5494A31A615A}"/>
    <cellStyle name="Финансовый 12 3 4" xfId="6034" xr:uid="{9D6F78CF-6A6E-40A2-B059-4A6BB1ED07C7}"/>
    <cellStyle name="Финансовый 12 3 4 2" xfId="9953" xr:uid="{BF5B94AD-8527-400F-82F3-09AE3131EA88}"/>
    <cellStyle name="Финансовый 12 3 4 2 2" xfId="18917" xr:uid="{6BA28D57-7EA9-4BE0-8B16-E64B5317F795}"/>
    <cellStyle name="Финансовый 12 3 4 2 3" xfId="20179" xr:uid="{74E1A459-9C15-446B-A731-75E015127713}"/>
    <cellStyle name="Финансовый 12 3 4 2 4" xfId="27249" xr:uid="{5EFBF308-44C1-4FFE-A401-B186B05DE416}"/>
    <cellStyle name="Финансовый 12 3 4 2 5" xfId="40368" xr:uid="{82FA885C-7EB8-40B8-B792-6B74AFF6686E}"/>
    <cellStyle name="Финансовый 12 3 4 3" xfId="18213" xr:uid="{B4EF6D30-FB6B-4176-9E3F-FB2114B3A9F7}"/>
    <cellStyle name="Финансовый 12 3 4 4" xfId="19652" xr:uid="{2E1A104A-AF9C-4299-BA5B-1A2607274CDF}"/>
    <cellStyle name="Финансовый 12 3 4 5" xfId="23680" xr:uid="{BCFFB521-235F-4A70-8DC4-C2B41C6580D9}"/>
    <cellStyle name="Финансовый 12 3 4 6" xfId="36761" xr:uid="{35E07F96-8B52-4CE5-B213-25EFF69028C5}"/>
    <cellStyle name="Финансовый 12 3 5" xfId="6119" xr:uid="{06528483-D55C-479F-B432-8E2704950981}"/>
    <cellStyle name="Финансовый 12 3 5 2" xfId="10028" xr:uid="{7BD13180-7E6B-4E66-9DD2-2C240B6E48B7}"/>
    <cellStyle name="Финансовый 12 3 5 2 2" xfId="18992" xr:uid="{681E942C-F9FF-4236-A65D-8C8A2DB09CC7}"/>
    <cellStyle name="Финансовый 12 3 5 2 3" xfId="20254" xr:uid="{20084DCA-6CD9-408F-977E-274A8F365DA8}"/>
    <cellStyle name="Финансовый 12 3 5 2 4" xfId="27324" xr:uid="{5E50C967-F6DC-49C9-8028-4DBC1D48D7CB}"/>
    <cellStyle name="Финансовый 12 3 5 2 5" xfId="40443" xr:uid="{5DEB104E-6CD7-4803-93AD-9246FD07CAB6}"/>
    <cellStyle name="Финансовый 12 3 5 3" xfId="18288" xr:uid="{17388DDC-4663-477C-B8EF-8CE05A792345}"/>
    <cellStyle name="Финансовый 12 3 5 4" xfId="19727" xr:uid="{0526B68A-7837-45F4-BD34-51D1CC3256BC}"/>
    <cellStyle name="Финансовый 12 3 5 5" xfId="23765" xr:uid="{06995A96-27BA-4A48-BEB1-5163608D1D75}"/>
    <cellStyle name="Финансовый 12 3 5 6" xfId="36846" xr:uid="{0006AFB6-5C6D-4752-AE3C-04A10EB8EEC5}"/>
    <cellStyle name="Финансовый 12 3 6" xfId="9516" xr:uid="{D2443067-7A9A-4E67-8839-7FE9FB9C16E1}"/>
    <cellStyle name="Финансовый 12 3 6 2" xfId="18584" xr:uid="{EC06C68B-CE2F-4F55-BB5D-EAC12AF93762}"/>
    <cellStyle name="Финансовый 12 3 6 3" xfId="19882" xr:uid="{C12E32B9-D417-4CF8-8B54-4C4020377F17}"/>
    <cellStyle name="Финансовый 12 3 6 4" xfId="26884" xr:uid="{B9AD940B-4105-4A43-A163-E8454D2C5FF1}"/>
    <cellStyle name="Финансовый 12 3 6 5" xfId="39967" xr:uid="{394B4AD2-8E32-4D0A-8EE2-C3852255F8DF}"/>
    <cellStyle name="Финансовый 12 3 7" xfId="17899" xr:uid="{C640A06C-FAF5-46A0-B064-CFCB6253084D}"/>
    <cellStyle name="Финансовый 12 3 8" xfId="19355" xr:uid="{3822D74C-5A45-4252-8513-72AA30E5347A}"/>
    <cellStyle name="Финансовый 12 3 9" xfId="21866" xr:uid="{88A33DA0-D79B-494B-B5E5-55EB233628B3}"/>
    <cellStyle name="Финансовый 12 4" xfId="3285" xr:uid="{6FFC59E8-A3B0-45D2-9ABE-3DB88B7EAE16}"/>
    <cellStyle name="Финансовый 12 4 2" xfId="5071" xr:uid="{CEBF5099-91F7-4752-9B10-9B4AD969B5AE}"/>
    <cellStyle name="Финансовый 12 4 2 2" xfId="9653" xr:uid="{1121A24B-6347-4EF2-9F80-EA40D539F367}"/>
    <cellStyle name="Финансовый 12 4 2 2 2" xfId="18704" xr:uid="{1834181C-DA9B-4121-976A-C72DC9BE6386}"/>
    <cellStyle name="Финансовый 12 4 2 2 3" xfId="19971" xr:uid="{1CF2F1C7-0542-4C51-BE5A-CF1C3C27C7D2}"/>
    <cellStyle name="Финансовый 12 4 2 2 4" xfId="26973" xr:uid="{037AC1B4-0D1C-4FE3-BBD6-BE70414C91F8}"/>
    <cellStyle name="Финансовый 12 4 2 2 5" xfId="40073" xr:uid="{E5E5375F-5E8F-476A-8BBA-92092DA55142}"/>
    <cellStyle name="Финансовый 12 4 2 3" xfId="18003" xr:uid="{FF2DDB79-7357-4E73-AAC5-1B60CAC9DBCF}"/>
    <cellStyle name="Финансовый 12 4 2 4" xfId="19444" xr:uid="{D32FA75B-AC23-4F36-A96B-0CBF845844FC}"/>
    <cellStyle name="Финансовый 12 4 2 5" xfId="22814" xr:uid="{280BDD7B-7175-4A4A-8B5B-092C9FCA4892}"/>
    <cellStyle name="Финансовый 12 4 2 6" xfId="35881" xr:uid="{33081353-C13D-4E70-ABF3-E8F8504EA9B6}"/>
    <cellStyle name="Финансовый 12 4 3" xfId="6937" xr:uid="{A3ADA709-F2F0-4ADF-8B99-3B4D8D1494ED}"/>
    <cellStyle name="Финансовый 12 4 3 2" xfId="10079" xr:uid="{96702F29-750F-40C0-B39E-A09428A40540}"/>
    <cellStyle name="Финансовый 12 4 3 2 2" xfId="19042" xr:uid="{B22BEEB5-FE96-41AE-BA65-619A51C66856}"/>
    <cellStyle name="Финансовый 12 4 3 2 3" xfId="20281" xr:uid="{7086E9FF-A84E-4DD4-B4B5-7C1043D331A4}"/>
    <cellStyle name="Финансовый 12 4 3 2 4" xfId="27351" xr:uid="{535C3564-1F07-4562-BEE5-53055864C83A}"/>
    <cellStyle name="Финансовый 12 4 3 2 5" xfId="40470" xr:uid="{0C589E25-F975-4BD9-A7A1-33929D779FC9}"/>
    <cellStyle name="Финансовый 12 4 3 3" xfId="18338" xr:uid="{1E4FCAEA-2934-4B3F-BFED-B7182E879C93}"/>
    <cellStyle name="Финансовый 12 4 3 4" xfId="19754" xr:uid="{BF708A29-47C9-432D-80D0-DA0A01EE143F}"/>
    <cellStyle name="Финансовый 12 4 3 5" xfId="24559" xr:uid="{FF77D57B-1610-4B90-A917-C346F33FF05A}"/>
    <cellStyle name="Финансовый 12 4 3 6" xfId="37640" xr:uid="{73A73F0E-A38E-4A61-AC49-A86BC62C22B9}"/>
    <cellStyle name="Финансовый 12 4 4" xfId="9446" xr:uid="{24F0D7CC-25AF-45BC-A71F-B3D086E06FCC}"/>
    <cellStyle name="Финансовый 12 4 4 2" xfId="18516" xr:uid="{29F57CEF-E636-42D0-9188-51DD29CF03E9}"/>
    <cellStyle name="Финансовый 12 4 4 3" xfId="19833" xr:uid="{D88A67F3-229A-4BEF-A786-6780B139C050}"/>
    <cellStyle name="Финансовый 12 4 4 4" xfId="26835" xr:uid="{9C35FCD3-9F67-4702-B6E7-12C6E7B44F69}"/>
    <cellStyle name="Финансовый 12 4 4 5" xfId="39916" xr:uid="{A31F16D2-0312-4E3B-AE71-701300BC14C1}"/>
    <cellStyle name="Финансовый 12 4 5" xfId="17850" xr:uid="{A521DD58-97B8-499D-B4E6-36F5BE165E68}"/>
    <cellStyle name="Финансовый 12 4 6" xfId="19306" xr:uid="{96E06F72-08AB-4650-94C7-CEA9BF07B083}"/>
    <cellStyle name="Финансовый 12 4 7" xfId="21311" xr:uid="{9D852A51-7E98-40F8-A37F-1373C54607CF}"/>
    <cellStyle name="Финансовый 12 4 8" xfId="34334" xr:uid="{57FFCA5A-2FBD-49EF-BD43-0CC495AD1022}"/>
    <cellStyle name="Финансовый 12 5" xfId="4322" xr:uid="{0AC86B2B-D049-4108-8C4E-265FCD9BAA60}"/>
    <cellStyle name="Финансовый 12 5 2" xfId="9550" xr:uid="{C234BC78-2B0C-4C22-B9D9-A63C52CA447D}"/>
    <cellStyle name="Финансовый 12 5 2 2" xfId="18618" xr:uid="{2B83DE6C-EAE8-4CFA-96F3-32DE0187ABDA}"/>
    <cellStyle name="Финансовый 12 5 2 3" xfId="19908" xr:uid="{894F1A10-6DDB-4C88-A5D3-875B7E92381D}"/>
    <cellStyle name="Финансовый 12 5 2 4" xfId="26910" xr:uid="{369266BD-A5C2-43AD-AB72-1CACEEAC24E2}"/>
    <cellStyle name="Финансовый 12 5 2 5" xfId="39993" xr:uid="{EF440C29-CA13-411F-84B0-7420BD500C4E}"/>
    <cellStyle name="Финансовый 12 5 3" xfId="17925" xr:uid="{A6EE6091-289C-4D2B-B0B2-557130BC70CD}"/>
    <cellStyle name="Финансовый 12 5 4" xfId="19381" xr:uid="{9F9FFF39-FD98-4844-9448-8C0275155F03}"/>
    <cellStyle name="Финансовый 12 5 5" xfId="22142" xr:uid="{5B018E34-D3D5-4BA3-A815-A365F42A981E}"/>
    <cellStyle name="Финансовый 12 5 6" xfId="35191" xr:uid="{8778241C-0C73-444A-88C6-8D03225C230B}"/>
    <cellStyle name="Финансовый 12 6" xfId="5302" xr:uid="{58C26B03-F551-470C-A1F8-F16F2670C27B}"/>
    <cellStyle name="Финансовый 12 6 2" xfId="9734" xr:uid="{75E2472A-52FB-4C6C-B8B7-9FD15791FB61}"/>
    <cellStyle name="Финансовый 12 6 2 2" xfId="18739" xr:uid="{CC199117-7DD2-469C-97A9-2A1F699919DD}"/>
    <cellStyle name="Финансовый 12 6 2 3" xfId="20002" xr:uid="{F43661A6-E5AF-479E-8614-28023243ACCF}"/>
    <cellStyle name="Финансовый 12 6 2 4" xfId="27033" xr:uid="{95280BEB-E30A-4376-A42A-1B951E60F55B}"/>
    <cellStyle name="Финансовый 12 6 2 5" xfId="40150" xr:uid="{1B7EAEAD-616C-4F6A-AA31-A79912FD064F}"/>
    <cellStyle name="Финансовый 12 6 3" xfId="18036" xr:uid="{F5975147-A2CA-4263-9CA4-DFE664DBB33C}"/>
    <cellStyle name="Финансовый 12 6 4" xfId="19475" xr:uid="{023F3BC0-6786-4F17-AC95-3D3169C4DEF0}"/>
    <cellStyle name="Финансовый 12 6 5" xfId="22952" xr:uid="{B9FBA6CE-DCAA-440D-B63B-59A670400FBA}"/>
    <cellStyle name="Финансовый 12 6 6" xfId="36031" xr:uid="{EA4C4EA6-D733-45F5-A9A6-1CDD0F624195}"/>
    <cellStyle name="Финансовый 12 7" xfId="5377" xr:uid="{CCDAD13F-C5E5-443F-8E54-5AEFA0B5856A}"/>
    <cellStyle name="Финансовый 12 7 2" xfId="9808" xr:uid="{67FD2BAA-D2FC-4821-A309-7447044072B6}"/>
    <cellStyle name="Финансовый 12 7 2 2" xfId="18792" xr:uid="{6B05FC6C-DB24-479C-B285-3B18D1C02A16}"/>
    <cellStyle name="Финансовый 12 7 2 3" xfId="20055" xr:uid="{36E61FB2-D67D-4628-985A-0E9A4268BED0}"/>
    <cellStyle name="Финансовый 12 7 2 4" xfId="27105" xr:uid="{692C1383-2182-4092-9F07-67EA7FE2C1F4}"/>
    <cellStyle name="Финансовый 12 7 2 5" xfId="40224" xr:uid="{A515EDD8-C951-4F20-8540-13EF55588EF8}"/>
    <cellStyle name="Финансовый 12 7 3" xfId="18089" xr:uid="{73EEFFA2-3035-4E0F-8BE5-CF69F8AFC050}"/>
    <cellStyle name="Финансовый 12 7 4" xfId="19528" xr:uid="{C84778C7-7899-4879-9C29-6F6D115B09D1}"/>
    <cellStyle name="Финансовый 12 7 5" xfId="23024" xr:uid="{E8DDD3E0-8BFA-4739-90D5-8B7A0666CBD8}"/>
    <cellStyle name="Финансовый 12 7 6" xfId="36105" xr:uid="{F4329369-434C-43A0-9577-4D79D74B501F}"/>
    <cellStyle name="Финансовый 12 8" xfId="5985" xr:uid="{A9A2BFDC-F6DB-4B71-8F15-428BEBE1DB34}"/>
    <cellStyle name="Финансовый 12 8 2" xfId="9904" xr:uid="{4662BAE9-4767-4121-B2D5-974DC95991B4}"/>
    <cellStyle name="Финансовый 12 8 2 2" xfId="18868" xr:uid="{42AAE7E4-EC4E-4517-B422-C3CAD2D95D2F}"/>
    <cellStyle name="Финансовый 12 8 2 3" xfId="20130" xr:uid="{C400C843-F8D4-4709-B850-617722C95DBF}"/>
    <cellStyle name="Финансовый 12 8 2 4" xfId="27200" xr:uid="{4780C27D-7AD6-43E0-91F6-574FF5FC5467}"/>
    <cellStyle name="Финансовый 12 8 2 5" xfId="40319" xr:uid="{5692F3C5-0144-482E-A79C-AC074B32EE0D}"/>
    <cellStyle name="Финансовый 12 8 3" xfId="18164" xr:uid="{28B32BB1-3F4C-4A85-A4B0-4B0048600B1F}"/>
    <cellStyle name="Финансовый 12 8 4" xfId="19603" xr:uid="{DE4BBBCB-68F2-42D6-AD61-01D792C5896F}"/>
    <cellStyle name="Финансовый 12 8 5" xfId="23631" xr:uid="{FF895966-876F-4C47-AFCD-1BCCAE2843EA}"/>
    <cellStyle name="Финансовый 12 8 6" xfId="36712" xr:uid="{2D412CF1-2D7C-44E7-9AEB-9621D8DD9BE3}"/>
    <cellStyle name="Финансовый 12 9" xfId="6060" xr:uid="{A9FCC7B5-24ED-4C77-960F-BD93CAEB24E8}"/>
    <cellStyle name="Финансовый 12 9 2" xfId="9979" xr:uid="{A04A16D9-A167-4745-AED9-04F8DDF7DC7E}"/>
    <cellStyle name="Финансовый 12 9 2 2" xfId="18943" xr:uid="{ED446E3D-122E-4952-86A7-CB9AD9645D95}"/>
    <cellStyle name="Финансовый 12 9 2 3" xfId="20205" xr:uid="{8AC6DA52-4B62-46FF-8190-65D1DB57EF39}"/>
    <cellStyle name="Финансовый 12 9 2 4" xfId="27275" xr:uid="{1BBF68D9-6F7D-4496-B130-8D52C58BCF49}"/>
    <cellStyle name="Финансовый 12 9 2 5" xfId="40394" xr:uid="{F033E18E-5601-47F2-9A33-3540FA9CB688}"/>
    <cellStyle name="Финансовый 12 9 3" xfId="18239" xr:uid="{0A9FFC5A-8C63-42AD-A3DC-13A334310BB7}"/>
    <cellStyle name="Финансовый 12 9 4" xfId="19678" xr:uid="{4DEE7711-6C06-4252-A671-DC7C60F9F138}"/>
    <cellStyle name="Финансовый 12 9 5" xfId="23706" xr:uid="{40D10042-E726-4F85-8424-5B6CA2C367F1}"/>
    <cellStyle name="Финансовый 12 9 6" xfId="36787" xr:uid="{E000DC55-CBF8-4ECC-9D39-0EF719B7A5B6}"/>
    <cellStyle name="Финансовый 13" xfId="2505" xr:uid="{262EAA0B-096F-4E7C-85B0-FFD7B10DD28F}"/>
    <cellStyle name="Финансовый 13 10" xfId="9405" xr:uid="{F02C8E58-A952-4B4E-908D-1D1587EDB5F8}"/>
    <cellStyle name="Финансовый 13 10 2" xfId="18475" xr:uid="{E78C7245-A121-46BF-A729-A2BFD4692B93}"/>
    <cellStyle name="Финансовый 13 10 3" xfId="19815" xr:uid="{6C31443C-59D3-43D4-81D0-C215EA3DEE42}"/>
    <cellStyle name="Финансовый 13 10 4" xfId="26817" xr:uid="{35FF2978-A603-464E-ABB7-07CF51ABB2B2}"/>
    <cellStyle name="Финансовый 13 10 5" xfId="39898" xr:uid="{7B005765-6645-4E9E-9C97-0F150D0F668D}"/>
    <cellStyle name="Финансовый 13 11" xfId="10507" xr:uid="{B98ED1AD-2977-4F37-BD42-E06EC91399A6}"/>
    <cellStyle name="Финансовый 13 12" xfId="17680" xr:uid="{BC0C94AD-A37E-4D9D-9038-D50F46F78DEE}"/>
    <cellStyle name="Финансовый 13 12 2" xfId="19187" xr:uid="{1727DCB9-883D-4B7D-9A11-67B935D50245}"/>
    <cellStyle name="Финансовый 13 12 3" xfId="20342" xr:uid="{416752CE-0FDB-4D2C-AD3F-E2AB7D6B309D}"/>
    <cellStyle name="Финансовый 13 12 4" xfId="33403" xr:uid="{96981141-F771-4151-95F5-B81516C8300E}"/>
    <cellStyle name="Финансовый 13 12 5" xfId="47192" xr:uid="{B3FD6847-D081-40F2-9CD0-C2FC54590828}"/>
    <cellStyle name="Финансовый 13 13" xfId="17832" xr:uid="{3DF0CBA6-0A3A-4867-8DE3-F673E99390A9}"/>
    <cellStyle name="Финансовый 13 14" xfId="19288" xr:uid="{D1915B95-E492-4734-80E7-EF3A0D4C69B3}"/>
    <cellStyle name="Финансовый 13 15" xfId="20434" xr:uid="{322D7B0A-8330-4E03-8E37-F610B866AB7B}"/>
    <cellStyle name="Финансовый 13 16" xfId="20574" xr:uid="{BD9A6B0C-FA4E-480C-9444-794E2A291E25}"/>
    <cellStyle name="Финансовый 13 17" xfId="33597" xr:uid="{FCE3021D-3D57-4DAE-995F-130F6609965D}"/>
    <cellStyle name="Финансовый 13 2" xfId="3819" xr:uid="{E58B75CA-158B-4A8D-897A-10ED1116EE15}"/>
    <cellStyle name="Финансовый 13 2 10" xfId="17713" xr:uid="{572F6CFC-0FF4-488B-8840-053A68001B7A}"/>
    <cellStyle name="Финансовый 13 2 10 2" xfId="19219" xr:uid="{9587BD21-6607-4A01-9A9E-D2AF04EC0FCB}"/>
    <cellStyle name="Финансовый 13 2 10 3" xfId="20374" xr:uid="{60637040-4180-42FC-918D-D0C975244869}"/>
    <cellStyle name="Финансовый 13 2 10 4" xfId="33435" xr:uid="{31C3E5FD-9DEC-4701-BBB4-50CF802C6BD9}"/>
    <cellStyle name="Финансовый 13 2 10 5" xfId="47224" xr:uid="{BE2482D6-0E48-4FAA-B7FC-8CD067AE116D}"/>
    <cellStyle name="Финансовый 13 2 11" xfId="17885" xr:uid="{232B4468-3A3C-45EC-83E8-52990C011D34}"/>
    <cellStyle name="Финансовый 13 2 12" xfId="19341" xr:uid="{A901E46A-39E2-4706-89A6-12E2A72D01F5}"/>
    <cellStyle name="Финансовый 13 2 13" xfId="20466" xr:uid="{E88A4929-1F85-443A-BDA6-EC3DCA035A32}"/>
    <cellStyle name="Финансовый 13 2 14" xfId="21700" xr:uid="{D2D6A17C-46D3-440C-827D-15D15EF333C6}"/>
    <cellStyle name="Финансовый 13 2 15" xfId="34754" xr:uid="{FC1778C0-EBBB-4E41-8667-E38FEF0FEC3B}"/>
    <cellStyle name="Финансовый 13 2 2" xfId="4030" xr:uid="{6D738BEF-B9E9-4BA5-8651-1BC07242CAA1}"/>
    <cellStyle name="Финансовый 13 2 2 10" xfId="20550" xr:uid="{9ED99F9E-E4C9-4C6A-89FD-22B4F98B74FF}"/>
    <cellStyle name="Финансовый 13 2 2 11" xfId="21872" xr:uid="{A1105247-F94B-48D6-A5E7-9D58F48C0AD3}"/>
    <cellStyle name="Финансовый 13 2 2 12" xfId="34921" xr:uid="{8F9B7931-C010-431F-ACC0-B3311DDD6E65}"/>
    <cellStyle name="Финансовый 13 2 2 2" xfId="4604" xr:uid="{7B8DF6FB-1AA2-4783-B6E4-E51B80C02946}"/>
    <cellStyle name="Финансовый 13 2 2 2 2" xfId="7604" xr:uid="{78EA0E54-2B93-4231-B08E-FC782190C723}"/>
    <cellStyle name="Финансовый 13 2 2 2 2 2" xfId="10132" xr:uid="{E5F8E91C-0E6E-4148-96B3-2026E51DF768}"/>
    <cellStyle name="Финансовый 13 2 2 2 2 2 2" xfId="19095" xr:uid="{558DB0FD-DDD5-48E5-B6DB-82BDE2D7DE62}"/>
    <cellStyle name="Финансовый 13 2 2 2 2 2 3" xfId="20315" xr:uid="{FF882582-8CC7-4330-9E6D-FECE3CFC2BA7}"/>
    <cellStyle name="Финансовый 13 2 2 2 2 2 4" xfId="27385" xr:uid="{C544C65A-FA5E-4708-B24F-6F8D752ED338}"/>
    <cellStyle name="Финансовый 13 2 2 2 2 2 5" xfId="40504" xr:uid="{78D6E5A4-A51A-41A9-9F31-44692A71ECA0}"/>
    <cellStyle name="Финансовый 13 2 2 2 2 3" xfId="18390" xr:uid="{D087FD9A-43C9-464A-9828-E6DC8E0EC8F4}"/>
    <cellStyle name="Финансовый 13 2 2 2 2 4" xfId="19788" xr:uid="{E5DE383B-EA90-4748-8000-5B63D2A7AD24}"/>
    <cellStyle name="Финансовый 13 2 2 2 2 5" xfId="25132" xr:uid="{7BA58153-9077-452E-A6D2-E7D4CC4DDBE6}"/>
    <cellStyle name="Финансовый 13 2 2 2 2 6" xfId="38208" xr:uid="{12F110FB-97B4-4967-8C29-5285598DA4B7}"/>
    <cellStyle name="Финансовый 13 2 2 2 3" xfId="9597" xr:uid="{C4E601A1-1FE7-46F3-9047-844288F96C27}"/>
    <cellStyle name="Финансовый 13 2 2 2 3 2" xfId="18665" xr:uid="{90EAEAE6-ACB3-4A05-98DF-F1721B914306}"/>
    <cellStyle name="Финансовый 13 2 2 2 3 3" xfId="19952" xr:uid="{07CD8D5B-3596-4128-BB16-061D53DB5A44}"/>
    <cellStyle name="Финансовый 13 2 2 2 3 4" xfId="26954" xr:uid="{45826722-3B19-45F9-AF39-00913E9F384F}"/>
    <cellStyle name="Финансовый 13 2 2 2 3 5" xfId="40037" xr:uid="{93E51D0A-08CF-485A-8763-DB0C354DFD1D}"/>
    <cellStyle name="Финансовый 13 2 2 2 4" xfId="17971" xr:uid="{8340EECC-2656-4535-BB3C-7EC8BD1D75AD}"/>
    <cellStyle name="Финансовый 13 2 2 2 5" xfId="19425" xr:uid="{AC9283FC-817E-418D-AA99-884383343136}"/>
    <cellStyle name="Финансовый 13 2 2 2 6" xfId="22418" xr:uid="{FAF0F21D-A65E-47C2-9A3E-91F70956B65C}"/>
    <cellStyle name="Финансовый 13 2 2 2 7" xfId="35468" xr:uid="{E42FD0F4-71C6-46D0-8260-A334BD89BEA6}"/>
    <cellStyle name="Финансовый 13 2 2 3" xfId="5958" xr:uid="{F94C36B4-6A35-471A-A0B0-3036B8249AEE}"/>
    <cellStyle name="Финансовый 13 2 2 3 2" xfId="9880" xr:uid="{3C4A3C7E-6E8F-4128-842D-46F896BA1788}"/>
    <cellStyle name="Финансовый 13 2 2 3 2 2" xfId="18844" xr:uid="{6016E9D8-030A-4BE6-909E-C99B11479FE1}"/>
    <cellStyle name="Финансовый 13 2 2 3 2 3" xfId="20106" xr:uid="{0FCB7987-9B5D-468C-861E-C03B9163EC97}"/>
    <cellStyle name="Финансовый 13 2 2 3 2 4" xfId="27176" xr:uid="{F70F2D06-DBC1-4B59-9FE8-122E920E6F18}"/>
    <cellStyle name="Финансовый 13 2 2 3 2 5" xfId="40295" xr:uid="{F5032069-B293-418D-BC14-56F4520C7CD5}"/>
    <cellStyle name="Финансовый 13 2 2 3 3" xfId="18140" xr:uid="{F675B321-F93C-42A6-A1BF-A158ADF06461}"/>
    <cellStyle name="Финансовый 13 2 2 3 4" xfId="19579" xr:uid="{2E1E9553-CF0A-4724-9124-795BEDF2DDBF}"/>
    <cellStyle name="Финансовый 13 2 2 3 5" xfId="23605" xr:uid="{1D7D16B8-8272-4607-B969-F12EC764F896}"/>
    <cellStyle name="Финансовый 13 2 2 3 6" xfId="36686" xr:uid="{BEC4E2D4-2832-41AF-9C7D-FB12324C35AB}"/>
    <cellStyle name="Финансовый 13 2 2 4" xfId="6036" xr:uid="{88505EAD-29F9-41A2-A1C3-0302C10B0DE9}"/>
    <cellStyle name="Финансовый 13 2 2 4 2" xfId="9955" xr:uid="{7A132E3D-E214-4D7A-A7F1-91B89555BDCA}"/>
    <cellStyle name="Финансовый 13 2 2 4 2 2" xfId="18919" xr:uid="{53D4849E-C7CF-4B78-B436-F875947AD1A4}"/>
    <cellStyle name="Финансовый 13 2 2 4 2 3" xfId="20181" xr:uid="{734DE797-AC67-438C-914B-6C0DE6A17FA3}"/>
    <cellStyle name="Финансовый 13 2 2 4 2 4" xfId="27251" xr:uid="{609A82B8-6923-4AE7-81BB-D55358E8B45F}"/>
    <cellStyle name="Финансовый 13 2 2 4 2 5" xfId="40370" xr:uid="{9AFC4410-2E63-4989-B21E-FE2ACA6F1371}"/>
    <cellStyle name="Финансовый 13 2 2 4 3" xfId="18215" xr:uid="{0108EA11-5A75-46C1-BB82-D997012FC77E}"/>
    <cellStyle name="Финансовый 13 2 2 4 4" xfId="19654" xr:uid="{9B21540E-1C0A-42B8-86FE-CE0BAF79C8F7}"/>
    <cellStyle name="Финансовый 13 2 2 4 5" xfId="23682" xr:uid="{39084A3A-7D0F-4062-8B27-6272C7AE1765}"/>
    <cellStyle name="Финансовый 13 2 2 4 6" xfId="36763" xr:uid="{45FFEDFC-5F9F-414A-A419-33F6E5447B84}"/>
    <cellStyle name="Финансовый 13 2 2 5" xfId="6121" xr:uid="{87B386D0-9F5C-43B5-A3E6-997C0D16130B}"/>
    <cellStyle name="Финансовый 13 2 2 5 2" xfId="10030" xr:uid="{361C1010-32A1-48A3-A580-620A35CC59AF}"/>
    <cellStyle name="Финансовый 13 2 2 5 2 2" xfId="18994" xr:uid="{3F172D69-2BC8-48CC-B01B-5D28CE8A9713}"/>
    <cellStyle name="Финансовый 13 2 2 5 2 3" xfId="20256" xr:uid="{C0CD1DC8-8F7B-4F87-B04D-E4EDBDF3235B}"/>
    <cellStyle name="Финансовый 13 2 2 5 2 4" xfId="27326" xr:uid="{7A8CEA7D-FC9D-4C75-AFFF-C69EFCEAB566}"/>
    <cellStyle name="Финансовый 13 2 2 5 2 5" xfId="40445" xr:uid="{44F578AE-F688-41E3-B30A-5A9DF1058D4D}"/>
    <cellStyle name="Финансовый 13 2 2 5 3" xfId="18290" xr:uid="{CF763564-FFD2-45F1-9169-834E0E78D6A6}"/>
    <cellStyle name="Финансовый 13 2 2 5 4" xfId="19729" xr:uid="{363A6AF5-1266-4307-BF30-D3C4BB03B056}"/>
    <cellStyle name="Финансовый 13 2 2 5 5" xfId="23767" xr:uid="{6E269ED7-541C-47BC-8E06-DC62DB1357C7}"/>
    <cellStyle name="Финансовый 13 2 2 5 6" xfId="36848" xr:uid="{B585F41C-E3AB-4355-BB41-E7E4BCE3FC05}"/>
    <cellStyle name="Финансовый 13 2 2 6" xfId="9518" xr:uid="{85C385A7-CD1B-4DAF-8659-BC4A15B57154}"/>
    <cellStyle name="Финансовый 13 2 2 6 2" xfId="18586" xr:uid="{7B66B303-5CC3-4DA6-BDD5-0F2CE4BF184B}"/>
    <cellStyle name="Финансовый 13 2 2 6 3" xfId="19884" xr:uid="{68679D4A-9AFE-413F-8253-B2D24E96C68C}"/>
    <cellStyle name="Финансовый 13 2 2 6 4" xfId="26886" xr:uid="{2C0B0EFC-D266-47D9-A095-A575765CCFAC}"/>
    <cellStyle name="Финансовый 13 2 2 6 5" xfId="39969" xr:uid="{9F776BD1-4DB1-4E94-BD17-7A7A7B4D47A8}"/>
    <cellStyle name="Финансовый 13 2 2 7" xfId="17797" xr:uid="{294E1AD1-0939-49A3-B51B-BE66B266FB1A}"/>
    <cellStyle name="Финансовый 13 2 2 7 2" xfId="19264" xr:uid="{B9CB15AB-06B8-4125-B746-69857A831D35}"/>
    <cellStyle name="Финансовый 13 2 2 7 3" xfId="20419" xr:uid="{A708781C-30C2-4B9C-BD63-D2448D48A6E0}"/>
    <cellStyle name="Финансовый 13 2 2 7 4" xfId="33519" xr:uid="{727DA186-CD50-4FA9-88B7-D4AF10B45386}"/>
    <cellStyle name="Финансовый 13 2 2 7 5" xfId="47298" xr:uid="{0753C665-1487-41BB-B1B6-6E61507B65DB}"/>
    <cellStyle name="Финансовый 13 2 2 8" xfId="17901" xr:uid="{F281F751-8475-4F47-B2ED-E42A20153E85}"/>
    <cellStyle name="Финансовый 13 2 2 9" xfId="19357" xr:uid="{D143F15B-1287-49D4-ABEC-B352E3F6575A}"/>
    <cellStyle name="Финансовый 13 2 3" xfId="4565" xr:uid="{10FA2300-0FCE-434F-8A1D-A9E9F671A467}"/>
    <cellStyle name="Финансовый 13 2 3 2" xfId="7406" xr:uid="{EA61A20E-58B0-467D-AAC0-0FBC4356FCF0}"/>
    <cellStyle name="Финансовый 13 2 3 2 2" xfId="10110" xr:uid="{F6889339-073B-4624-9DBA-28B6A6D50428}"/>
    <cellStyle name="Финансовый 13 2 3 2 2 2" xfId="19073" xr:uid="{0BAAF749-E9E2-42C9-BF91-32454D1F7A0A}"/>
    <cellStyle name="Финансовый 13 2 3 2 2 3" xfId="20299" xr:uid="{1A7C6F8F-9296-4CE9-8455-89E7D4CA63AB}"/>
    <cellStyle name="Финансовый 13 2 3 2 2 4" xfId="27369" xr:uid="{30265A59-B2FD-480F-8E86-34DF830E9628}"/>
    <cellStyle name="Финансовый 13 2 3 2 2 5" xfId="40488" xr:uid="{D0CC73CC-17A4-44A0-B965-28FA2114F7A9}"/>
    <cellStyle name="Финансовый 13 2 3 2 3" xfId="18368" xr:uid="{8D12740C-452A-4F8A-8D1D-8D0A80395275}"/>
    <cellStyle name="Финансовый 13 2 3 2 4" xfId="19772" xr:uid="{D5050579-B017-490C-B592-15B4AF0F9D72}"/>
    <cellStyle name="Финансовый 13 2 3 2 5" xfId="24965" xr:uid="{DE05CF56-CFBB-467D-B95B-1FC2108A1FC5}"/>
    <cellStyle name="Финансовый 13 2 3 2 6" xfId="38041" xr:uid="{50B1852A-E1CF-47DD-92AA-161F4A15C9DF}"/>
    <cellStyle name="Финансовый 13 2 3 3" xfId="9559" xr:uid="{5E5D3CB3-A284-40CF-AFCB-D8CA97C0E102}"/>
    <cellStyle name="Финансовый 13 2 3 3 2" xfId="18627" xr:uid="{D3E468E5-1D63-49E5-8619-556F51F192B8}"/>
    <cellStyle name="Финансовый 13 2 3 3 3" xfId="19915" xr:uid="{51F208C8-4B5E-4115-8ED8-C7CC419EE88B}"/>
    <cellStyle name="Финансовый 13 2 3 3 4" xfId="26917" xr:uid="{D2CF1217-3977-4F11-908C-D056E4D30AEB}"/>
    <cellStyle name="Финансовый 13 2 3 3 5" xfId="40000" xr:uid="{36B72D5B-3FEC-4FD5-9E65-20DC2C3DC961}"/>
    <cellStyle name="Финансовый 13 2 3 4" xfId="17934" xr:uid="{449F5DF9-716E-47DE-B685-0B077C26AA02}"/>
    <cellStyle name="Финансовый 13 2 3 5" xfId="19388" xr:uid="{9CA7F745-4669-4354-8816-6279DAD771FA}"/>
    <cellStyle name="Финансовый 13 2 3 6" xfId="22381" xr:uid="{DCDDE758-4E8B-4F04-B96A-EB90D73EC96E}"/>
    <cellStyle name="Финансовый 13 2 3 7" xfId="35430" xr:uid="{C02C8D6C-70D9-4E17-9F14-B7B96F74ECB1}"/>
    <cellStyle name="Финансовый 13 2 4" xfId="5339" xr:uid="{B28BA094-AA52-4686-BA1D-43C714C1D9FC}"/>
    <cellStyle name="Финансовый 13 2 4 2" xfId="9771" xr:uid="{F9142C28-770C-4A5F-B9A2-6E7FDE7FCB2D}"/>
    <cellStyle name="Финансовый 13 2 4 2 2" xfId="18774" xr:uid="{2A3E6F99-856D-4BAA-A440-9D34DBAFF490}"/>
    <cellStyle name="Финансовый 13 2 4 2 3" xfId="20037" xr:uid="{E2FED3BB-DADC-45A5-85F8-D8BDFC08DA28}"/>
    <cellStyle name="Финансовый 13 2 4 2 4" xfId="27068" xr:uid="{9306C06B-A909-49B4-9DBF-1B86DA9DA4B0}"/>
    <cellStyle name="Финансовый 13 2 4 2 5" xfId="40187" xr:uid="{FA48E606-B5D3-46A9-B8D3-32845CB76A85}"/>
    <cellStyle name="Финансовый 13 2 4 3" xfId="18071" xr:uid="{33BBBFD5-D384-4FAF-B16B-C8A322184EFD}"/>
    <cellStyle name="Финансовый 13 2 4 4" xfId="19510" xr:uid="{F5B9C02E-183B-4376-B9F5-419108767D92}"/>
    <cellStyle name="Финансовый 13 2 4 5" xfId="22987" xr:uid="{0AAD55C7-59E2-49E2-AD7B-E9E7A902C3AB}"/>
    <cellStyle name="Финансовый 13 2 4 6" xfId="36068" xr:uid="{DF8F4859-C934-4AAB-BE3B-9A461373D3F4}"/>
    <cellStyle name="Финансовый 13 2 5" xfId="5791" xr:uid="{6B56D4CF-3D6C-41BB-8C3F-2FD32B895C4C}"/>
    <cellStyle name="Финансовый 13 2 5 2" xfId="9854" xr:uid="{2F42798A-F1A1-4482-B9DA-DE0602344D7B}"/>
    <cellStyle name="Финансовый 13 2 5 2 2" xfId="18828" xr:uid="{F0D2014A-7DE8-4D4F-8286-1F4047F66951}"/>
    <cellStyle name="Финансовый 13 2 5 2 3" xfId="20090" xr:uid="{84F59972-1DEC-400B-8E4F-B1CBF773D5C7}"/>
    <cellStyle name="Финансовый 13 2 5 2 4" xfId="27150" xr:uid="{462115A1-432A-4F81-824A-F5C6532DED4E}"/>
    <cellStyle name="Финансовый 13 2 5 2 5" xfId="40269" xr:uid="{D43C8F40-9811-4984-A8A4-32494BA7CFEA}"/>
    <cellStyle name="Финансовый 13 2 5 3" xfId="18124" xr:uid="{33497E0B-0127-441E-88D9-DED9B0F5A70C}"/>
    <cellStyle name="Финансовый 13 2 5 4" xfId="19563" xr:uid="{86E5ABDE-6F2C-4585-A254-F57F048D05BA}"/>
    <cellStyle name="Финансовый 13 2 5 5" xfId="23438" xr:uid="{C603B0C5-66F1-4ABD-B0F6-1CF15C6967CF}"/>
    <cellStyle name="Финансовый 13 2 5 6" xfId="36519" xr:uid="{AAE7A5DF-D875-4E8B-BF35-B27C099B1A36}"/>
    <cellStyle name="Финансовый 13 2 6" xfId="6020" xr:uid="{D8F40D33-CD24-439C-B719-3830801CBA06}"/>
    <cellStyle name="Финансовый 13 2 6 2" xfId="9939" xr:uid="{3B6447BE-ED6B-4D72-953F-4742BA379C80}"/>
    <cellStyle name="Финансовый 13 2 6 2 2" xfId="18903" xr:uid="{51420484-C8E8-4BF4-A9E1-253876E5D2BE}"/>
    <cellStyle name="Финансовый 13 2 6 2 3" xfId="20165" xr:uid="{4D903B18-48AB-4F44-817A-021803445C57}"/>
    <cellStyle name="Финансовый 13 2 6 2 4" xfId="27235" xr:uid="{44FEE6C0-EFD4-4264-B5F7-A11FC29F5B95}"/>
    <cellStyle name="Финансовый 13 2 6 2 5" xfId="40354" xr:uid="{42E6BAE2-422F-4753-BBAC-E1EEA54C05B5}"/>
    <cellStyle name="Финансовый 13 2 6 3" xfId="18199" xr:uid="{4A6DB6B0-9538-4A69-9E9D-702599FE9F7A}"/>
    <cellStyle name="Финансовый 13 2 6 4" xfId="19638" xr:uid="{0043759B-8E88-480A-9866-943A727D5ABD}"/>
    <cellStyle name="Финансовый 13 2 6 5" xfId="23666" xr:uid="{33A9753D-F514-4624-8C7A-77AC0FEC67C6}"/>
    <cellStyle name="Финансовый 13 2 6 6" xfId="36747" xr:uid="{9367D121-4A65-4A57-B1F4-63BC45618CC6}"/>
    <cellStyle name="Финансовый 13 2 7" xfId="6095" xr:uid="{EFF8467D-AC59-41AD-BCB0-9E2B39A5FBCA}"/>
    <cellStyle name="Финансовый 13 2 7 2" xfId="10014" xr:uid="{07C2DFD6-3971-4EDB-AD01-EBD33E1FA83F}"/>
    <cellStyle name="Финансовый 13 2 7 2 2" xfId="18978" xr:uid="{9BF58918-F42E-4B9E-BC47-3CACC21E884E}"/>
    <cellStyle name="Финансовый 13 2 7 2 3" xfId="20240" xr:uid="{B0932232-1466-43EB-980F-183F37A0D63A}"/>
    <cellStyle name="Финансовый 13 2 7 2 4" xfId="27310" xr:uid="{B2E0B4B2-4807-43E3-A27A-EC4719E77DE2}"/>
    <cellStyle name="Финансовый 13 2 7 2 5" xfId="40429" xr:uid="{6CDDF885-521F-4278-8349-DDF1E57DEE3D}"/>
    <cellStyle name="Финансовый 13 2 7 3" xfId="18274" xr:uid="{2D8C7D0D-C051-41E1-81DC-2CAB73D40566}"/>
    <cellStyle name="Финансовый 13 2 7 4" xfId="19713" xr:uid="{8B0CC3D9-1875-4D30-A710-CD964385C5C6}"/>
    <cellStyle name="Финансовый 13 2 7 5" xfId="23741" xr:uid="{08DB5C97-97C8-4DF3-A216-0BF8A0D80891}"/>
    <cellStyle name="Финансовый 13 2 7 6" xfId="36822" xr:uid="{BA8F6AF5-0775-45BD-920E-37D76F214998}"/>
    <cellStyle name="Финансовый 13 2 8" xfId="9496" xr:uid="{17250A56-90CC-4367-B009-61EEA2F4C8E0}"/>
    <cellStyle name="Финансовый 13 2 8 2" xfId="18564" xr:uid="{1B13A54D-7158-4067-8577-B6D584FA7F80}"/>
    <cellStyle name="Финансовый 13 2 8 3" xfId="19868" xr:uid="{668B09BB-12D2-479D-81CE-B6B814642F1D}"/>
    <cellStyle name="Финансовый 13 2 8 4" xfId="26870" xr:uid="{1BD87D0E-748E-463F-B8CA-9D6CA2BCB77E}"/>
    <cellStyle name="Финансовый 13 2 8 5" xfId="39953" xr:uid="{5A76C181-B5B3-4075-A38B-81EDB0548695}"/>
    <cellStyle name="Финансовый 13 2 9" xfId="10508" xr:uid="{D1F9E2FF-E067-4319-89A5-4935B427B511}"/>
    <cellStyle name="Финансовый 13 3" xfId="3764" xr:uid="{346884FC-749E-4E00-87AB-07008A1BBB80}"/>
    <cellStyle name="Финансовый 13 3 10" xfId="19313" xr:uid="{A1737E59-F42B-43C7-865C-CEE15F0D53BD}"/>
    <cellStyle name="Финансовый 13 3 11" xfId="20518" xr:uid="{856CC426-333A-4BE2-8F72-2C2F32751FEA}"/>
    <cellStyle name="Финансовый 13 3 12" xfId="21672" xr:uid="{5E436720-3F15-4D45-AD73-E0DC6AE1EB49}"/>
    <cellStyle name="Финансовый 13 3 13" xfId="34726" xr:uid="{CF6C51EB-F65A-458D-8C2A-2D49C5BC5DBA}"/>
    <cellStyle name="Финансовый 13 3 2" xfId="4576" xr:uid="{18D0EDAA-1D69-40D5-8F7E-FCB2CF87521F}"/>
    <cellStyle name="Финансовый 13 3 2 2" xfId="9569" xr:uid="{58778C9D-88B2-4C98-9434-205555ED3DC6}"/>
    <cellStyle name="Финансовый 13 3 2 2 2" xfId="18637" xr:uid="{67802F2E-BB1E-43FA-890C-9FABE1C548C2}"/>
    <cellStyle name="Финансовый 13 3 2 2 3" xfId="19924" xr:uid="{920B266D-4445-424A-86A0-E9ECC834EAD0}"/>
    <cellStyle name="Финансовый 13 3 2 2 4" xfId="26926" xr:uid="{0918D6F2-EA93-42EF-86D0-A14F44744DD2}"/>
    <cellStyle name="Финансовый 13 3 2 2 5" xfId="40009" xr:uid="{FBB0F3E0-6F63-4F2B-983E-9BA515614912}"/>
    <cellStyle name="Финансовый 13 3 2 3" xfId="17943" xr:uid="{79888E20-599C-473C-9202-2A5D3EAF3D70}"/>
    <cellStyle name="Финансовый 13 3 2 4" xfId="19397" xr:uid="{D3F01D8D-B608-4FB8-B752-F564B83C1F8B}"/>
    <cellStyle name="Финансовый 13 3 2 5" xfId="22390" xr:uid="{80344A7A-6788-446F-9C51-9826352C9081}"/>
    <cellStyle name="Финансовый 13 3 2 6" xfId="35440" xr:uid="{99F014C7-2132-4CEE-A224-7C6AB5B3EC6E}"/>
    <cellStyle name="Финансовый 13 3 3" xfId="5311" xr:uid="{4655D6DD-3B89-45F3-A6FB-BAC21C445EF6}"/>
    <cellStyle name="Финансовый 13 3 3 2" xfId="9743" xr:uid="{27705100-2D82-4047-8924-C61D69D43964}"/>
    <cellStyle name="Финансовый 13 3 3 2 2" xfId="18746" xr:uid="{760F06AE-103F-4FF0-A407-2A41C3524481}"/>
    <cellStyle name="Финансовый 13 3 3 2 3" xfId="20009" xr:uid="{CEBB2A99-5551-458E-8EE5-5B502933602A}"/>
    <cellStyle name="Финансовый 13 3 3 2 4" xfId="27040" xr:uid="{6F857FB4-8DEC-468B-BE46-E1DE7A282319}"/>
    <cellStyle name="Финансовый 13 3 3 2 5" xfId="40159" xr:uid="{25BA28EE-A99D-4FF2-9BDB-6D6B71C79698}"/>
    <cellStyle name="Финансовый 13 3 3 3" xfId="18043" xr:uid="{2C4A55DA-4F40-4EB5-9A64-8ECF54D2DD70}"/>
    <cellStyle name="Финансовый 13 3 3 4" xfId="19482" xr:uid="{319C8D9C-3632-4854-9C0C-937EB3E38C96}"/>
    <cellStyle name="Финансовый 13 3 3 5" xfId="22959" xr:uid="{5B563A63-5101-4B83-918C-ECEE9BD67A94}"/>
    <cellStyle name="Финансовый 13 3 3 6" xfId="36040" xr:uid="{2F84E461-FEAC-43F6-A578-F00C90FF1A7A}"/>
    <cellStyle name="Финансовый 13 3 4" xfId="5763" xr:uid="{4E34C550-92EB-4556-AFA6-35664B4B2CCA}"/>
    <cellStyle name="Финансовый 13 3 4 2" xfId="9826" xr:uid="{6C335BFB-1A57-4E7D-A159-D9956DF2D663}"/>
    <cellStyle name="Финансовый 13 3 4 2 2" xfId="18800" xr:uid="{32262710-AD9C-4DC3-AEBA-0CC6EF6871BF}"/>
    <cellStyle name="Финансовый 13 3 4 2 3" xfId="20062" xr:uid="{B28E81B6-9A24-424B-BF55-53490EFA9036}"/>
    <cellStyle name="Финансовый 13 3 4 2 4" xfId="27122" xr:uid="{372F2DA5-42C8-440C-AD5E-69331CFBD81E}"/>
    <cellStyle name="Финансовый 13 3 4 2 5" xfId="40241" xr:uid="{CA00A300-B024-4374-9595-E2D401B53855}"/>
    <cellStyle name="Финансовый 13 3 4 3" xfId="18096" xr:uid="{91928321-D2A7-432B-9C77-B1D0A67A1101}"/>
    <cellStyle name="Финансовый 13 3 4 4" xfId="19535" xr:uid="{50FC8A79-E6EA-4522-AF7D-74A36B99DD9D}"/>
    <cellStyle name="Финансовый 13 3 4 5" xfId="23410" xr:uid="{EA876541-E9C2-4D45-A86B-DE11102712F9}"/>
    <cellStyle name="Финансовый 13 3 4 6" xfId="36491" xr:uid="{2BB1EA70-B739-49EB-BDFB-3EE721557658}"/>
    <cellStyle name="Финансовый 13 3 5" xfId="5992" xr:uid="{60C31196-1481-4B0C-A09E-763D6C2A8DB4}"/>
    <cellStyle name="Финансовый 13 3 5 2" xfId="9911" xr:uid="{618440CE-D78A-4865-B148-AC3815AEC60F}"/>
    <cellStyle name="Финансовый 13 3 5 2 2" xfId="18875" xr:uid="{5B86EB42-0549-42C4-9275-65C5E09417DA}"/>
    <cellStyle name="Финансовый 13 3 5 2 3" xfId="20137" xr:uid="{947E4F18-EDC1-4A3C-9157-4B3BB9C32691}"/>
    <cellStyle name="Финансовый 13 3 5 2 4" xfId="27207" xr:uid="{8C11C7B7-C685-4CDE-A588-071DD63D42E9}"/>
    <cellStyle name="Финансовый 13 3 5 2 5" xfId="40326" xr:uid="{9C9BC9BC-41B4-4BA4-B0DE-E69353A1C1B0}"/>
    <cellStyle name="Финансовый 13 3 5 3" xfId="18171" xr:uid="{B08BF87B-C1A3-4601-AC00-50E566233218}"/>
    <cellStyle name="Финансовый 13 3 5 4" xfId="19610" xr:uid="{C185C0F5-9FE2-417A-9C25-BCEB07DFFE02}"/>
    <cellStyle name="Финансовый 13 3 5 5" xfId="23638" xr:uid="{7B98C956-CA77-47BB-96C8-E285F4BD76F7}"/>
    <cellStyle name="Финансовый 13 3 5 6" xfId="36719" xr:uid="{8CA2AE89-F2EA-41CE-8F5D-787B4E742C3A}"/>
    <cellStyle name="Финансовый 13 3 6" xfId="6067" xr:uid="{075A877F-8EFF-470A-95D3-5502753CB4EA}"/>
    <cellStyle name="Финансовый 13 3 6 2" xfId="9986" xr:uid="{D066D38F-31E1-4333-A3B2-67B4ED1D08AB}"/>
    <cellStyle name="Финансовый 13 3 6 2 2" xfId="18950" xr:uid="{8EFC00E5-58E0-43CA-A606-7F20B5B86AB6}"/>
    <cellStyle name="Финансовый 13 3 6 2 3" xfId="20212" xr:uid="{C01D04AA-792E-4813-BF95-6CE086BE883A}"/>
    <cellStyle name="Финансовый 13 3 6 2 4" xfId="27282" xr:uid="{F6C4A6D5-C89B-4E6C-8CE6-A1EF74127939}"/>
    <cellStyle name="Финансовый 13 3 6 2 5" xfId="40401" xr:uid="{D9469CF3-BDED-43C4-93CF-16468D338705}"/>
    <cellStyle name="Финансовый 13 3 6 3" xfId="18246" xr:uid="{EE598C30-071A-474E-93B1-DFD6F1B725DB}"/>
    <cellStyle name="Финансовый 13 3 6 4" xfId="19685" xr:uid="{B7C2F5D4-B1A9-406D-A0E3-4DAC43B60FF2}"/>
    <cellStyle name="Финансовый 13 3 6 5" xfId="23713" xr:uid="{DE346926-5AE4-47E8-88DE-6AB2588A2C22}"/>
    <cellStyle name="Финансовый 13 3 6 6" xfId="36794" xr:uid="{077B6FB0-3629-4F70-A101-1A42033EE67D}"/>
    <cellStyle name="Финансовый 13 3 7" xfId="9468" xr:uid="{BDD3D4DE-396F-43DC-ABCD-343ABF531735}"/>
    <cellStyle name="Финансовый 13 3 7 2" xfId="18536" xr:uid="{578EC9D3-C209-494F-BEAC-A6BB9C32A156}"/>
    <cellStyle name="Финансовый 13 3 7 3" xfId="19840" xr:uid="{DCB82E99-2ADC-4E41-B80E-7A2045DFCCA3}"/>
    <cellStyle name="Финансовый 13 3 7 4" xfId="26842" xr:uid="{96BADC7E-BC41-41E0-9EE8-DDA48C293929}"/>
    <cellStyle name="Финансовый 13 3 7 5" xfId="39925" xr:uid="{FC5BD2E7-02DE-4774-BB46-22D88CDFE2E1}"/>
    <cellStyle name="Финансовый 13 3 8" xfId="17765" xr:uid="{93312EF4-D56C-4442-9112-EB8CDD305FE7}"/>
    <cellStyle name="Финансовый 13 3 8 2" xfId="19232" xr:uid="{C6B43141-A88B-4326-AC8E-1AB5EA1667C4}"/>
    <cellStyle name="Финансовый 13 3 8 3" xfId="20387" xr:uid="{CF57A536-B937-4F5F-B355-D2152972554D}"/>
    <cellStyle name="Финансовый 13 3 8 4" xfId="33487" xr:uid="{2F67B480-4FB6-4ABC-AF17-CB52E671B0D8}"/>
    <cellStyle name="Финансовый 13 3 8 5" xfId="47266" xr:uid="{FD08935A-CB9C-446B-BED3-3C85B59F1FD6}"/>
    <cellStyle name="Финансовый 13 3 9" xfId="17857" xr:uid="{97AE525B-8724-40EE-A441-AA67930EA91E}"/>
    <cellStyle name="Финансовый 13 4" xfId="3296" xr:uid="{82FB834C-89ED-4BE2-941B-DF55AFED6823}"/>
    <cellStyle name="Финансовый 13 4 2" xfId="4640" xr:uid="{E84A1007-7906-43AF-82A9-A03ECA43AA39}"/>
    <cellStyle name="Финансовый 13 4 2 2" xfId="9603" xr:uid="{CB6E3C5A-7B9F-449D-9EFC-D952CEB59560}"/>
    <cellStyle name="Финансовый 13 4 2 2 2" xfId="18668" xr:uid="{26241D34-9676-44E8-9618-EA5CF4D2BE4C}"/>
    <cellStyle name="Финансовый 13 4 2 2 3" xfId="19955" xr:uid="{80D6803E-6F8A-4E63-B9EA-7673F56DFE7E}"/>
    <cellStyle name="Финансовый 13 4 2 2 4" xfId="26957" xr:uid="{E1DE1458-1347-4653-AD3F-AD422684895E}"/>
    <cellStyle name="Финансовый 13 4 2 2 5" xfId="40043" xr:uid="{C7BD47FD-D04A-49FB-816B-EE732E12CFE9}"/>
    <cellStyle name="Финансовый 13 4 2 3" xfId="17974" xr:uid="{B37A6883-7C56-442D-8CC3-CD7F0BB01A07}"/>
    <cellStyle name="Финансовый 13 4 2 4" xfId="19428" xr:uid="{46238BA7-D78A-4A5E-AB9A-A42ED75AA68F}"/>
    <cellStyle name="Финансовый 13 4 2 5" xfId="22450" xr:uid="{88BD83C4-78E9-495A-BB31-5214E4E4D1E0}"/>
    <cellStyle name="Финансовый 13 4 2 6" xfId="35503" xr:uid="{C58CE572-753D-44B0-8F47-DB8B9146750B}"/>
    <cellStyle name="Финансовый 13 4 3" xfId="6947" xr:uid="{75440B83-75F9-4456-A50A-687BD395D78E}"/>
    <cellStyle name="Финансовый 13 4 3 2" xfId="10085" xr:uid="{6647E997-E56A-414D-9BD4-92E681A30959}"/>
    <cellStyle name="Финансовый 13 4 3 2 2" xfId="19048" xr:uid="{71273507-A1F1-48FD-A431-D018561386FD}"/>
    <cellStyle name="Финансовый 13 4 3 2 3" xfId="20287" xr:uid="{9278BC9D-C700-43B9-AAFF-AC29597D04C6}"/>
    <cellStyle name="Финансовый 13 4 3 2 4" xfId="27357" xr:uid="{3590D091-B624-4613-8332-E5F3533FC281}"/>
    <cellStyle name="Финансовый 13 4 3 2 5" xfId="40476" xr:uid="{78B4B1E1-9F68-4001-AF92-467DA74B993A}"/>
    <cellStyle name="Финансовый 13 4 3 3" xfId="18344" xr:uid="{301B9021-FE02-432A-A6F3-B04FEFBF31F1}"/>
    <cellStyle name="Финансовый 13 4 3 4" xfId="19760" xr:uid="{16371FE6-AE26-497A-B7FC-6155D61BA3ED}"/>
    <cellStyle name="Финансовый 13 4 3 5" xfId="24569" xr:uid="{61AFE5B5-3BFE-42FE-A472-48CCB227878C}"/>
    <cellStyle name="Финансовый 13 4 3 6" xfId="37650" xr:uid="{1CC3F572-CA1F-4A36-9B0D-FFDC38BD5045}"/>
    <cellStyle name="Финансовый 13 4 4" xfId="9452" xr:uid="{1A1C97CB-B467-4981-B943-393263D324D7}"/>
    <cellStyle name="Финансовый 13 4 4 2" xfId="18522" xr:uid="{821EF1F5-17B7-4DE3-8775-D4B1BF7202F8}"/>
    <cellStyle name="Финансовый 13 4 4 3" xfId="19839" xr:uid="{D74C91A8-7A5E-4B03-9ED7-D7373254A37F}"/>
    <cellStyle name="Финансовый 13 4 4 4" xfId="26841" xr:uid="{815F2205-40EB-4FC1-96A3-E9290B32BB3D}"/>
    <cellStyle name="Финансовый 13 4 4 5" xfId="39922" xr:uid="{D0C927E8-8827-4952-A5A9-A1A137FA432F}"/>
    <cellStyle name="Финансовый 13 4 5" xfId="17856" xr:uid="{BDD8A953-7939-4429-B80F-051C7F6DB522}"/>
    <cellStyle name="Финансовый 13 4 6" xfId="19312" xr:uid="{4C4DF73E-CFAC-400E-B9F2-E5170783B9EC}"/>
    <cellStyle name="Финансовый 13 4 7" xfId="21321" xr:uid="{841E656B-28D3-4F71-85B4-F9719BC90934}"/>
    <cellStyle name="Финансовый 13 4 8" xfId="34344" xr:uid="{AF31F1A2-ECF5-4BAE-8809-7BA18B7C0494}"/>
    <cellStyle name="Финансовый 13 5" xfId="4329" xr:uid="{9A894A83-944F-45C7-A535-B57B7E761E69}"/>
    <cellStyle name="Финансовый 13 5 2" xfId="6177" xr:uid="{2ABA83BE-D1F1-49F2-AEFD-802C8C0790BF}"/>
    <cellStyle name="Финансовый 13 5 2 2" xfId="10037" xr:uid="{EF8668CE-D0BB-46A0-9813-9E03EEE5055C}"/>
    <cellStyle name="Финансовый 13 5 2 2 2" xfId="19001" xr:uid="{5526EE7E-4CBC-4383-BB3E-DCBC06447303}"/>
    <cellStyle name="Финансовый 13 5 2 2 3" xfId="20263" xr:uid="{4E5DDFA9-30C1-4F7A-BD65-66BA5C8A91E1}"/>
    <cellStyle name="Финансовый 13 5 2 2 4" xfId="27333" xr:uid="{94F36F84-AB78-4B03-93BB-E1FB140BAAFC}"/>
    <cellStyle name="Финансовый 13 5 2 2 5" xfId="40452" xr:uid="{8DA6B6C5-5981-40CF-B5AF-026790617CAF}"/>
    <cellStyle name="Финансовый 13 5 2 3" xfId="18297" xr:uid="{D1901435-942D-430F-91DE-626E7C3E8DF9}"/>
    <cellStyle name="Финансовый 13 5 2 4" xfId="19736" xr:uid="{B69C2FB5-8874-4418-87E3-342494DA3C4C}"/>
    <cellStyle name="Финансовый 13 5 2 5" xfId="23822" xr:uid="{A1DC69FF-6F0C-49B8-BF07-9EFD6453D0C1}"/>
    <cellStyle name="Финансовый 13 5 2 6" xfId="36903" xr:uid="{D06AF5D5-FC5A-4A95-B3D9-3010E6E7BB7B}"/>
    <cellStyle name="Финансовый 13 5 3" xfId="9556" xr:uid="{60B78257-8AAF-42D1-A2EC-BC6541B37989}"/>
    <cellStyle name="Финансовый 13 5 3 2" xfId="18624" xr:uid="{4E28F226-AE06-443F-BE7A-79AE5249A296}"/>
    <cellStyle name="Финансовый 13 5 3 3" xfId="19914" xr:uid="{E0B6512E-6B07-4445-82E9-FBC4EB4F783B}"/>
    <cellStyle name="Финансовый 13 5 3 4" xfId="26916" xr:uid="{F3BE88A5-75BF-4028-A127-BC3AB5E46FE5}"/>
    <cellStyle name="Финансовый 13 5 3 5" xfId="39999" xr:uid="{38DD8A00-A894-4BFC-A0F7-76CB4F472774}"/>
    <cellStyle name="Финансовый 13 5 4" xfId="17931" xr:uid="{494C5A0A-D291-4538-A31B-1C8C8BEB316C}"/>
    <cellStyle name="Финансовый 13 5 5" xfId="19387" xr:uid="{D2FC1507-7099-4F90-866D-878D6D572220}"/>
    <cellStyle name="Финансовый 13 5 6" xfId="22149" xr:uid="{18FCB324-C2B1-49E3-959D-A82CC6CDB9FE}"/>
    <cellStyle name="Финансовый 13 5 7" xfId="35198" xr:uid="{36521807-B6AD-4411-A378-426B49D48535}"/>
    <cellStyle name="Финансовый 13 6" xfId="5308" xr:uid="{9A6DB407-2CC9-425E-94FA-E661E8CC1273}"/>
    <cellStyle name="Финансовый 13 6 2" xfId="9740" xr:uid="{42E068D1-3929-468C-B911-11F9737D3337}"/>
    <cellStyle name="Финансовый 13 6 2 2" xfId="18745" xr:uid="{269BFB45-2944-4058-A10B-AED7429A0449}"/>
    <cellStyle name="Финансовый 13 6 2 3" xfId="20008" xr:uid="{A1FA91B3-5258-4E09-8F92-F2C85EB262B9}"/>
    <cellStyle name="Финансовый 13 6 2 4" xfId="27039" xr:uid="{7C75F9F0-FB3F-4F54-81BF-E7C65B35CDCE}"/>
    <cellStyle name="Финансовый 13 6 2 5" xfId="40156" xr:uid="{ACCC3FB5-71D3-42F8-B64D-44B77480A5D6}"/>
    <cellStyle name="Финансовый 13 6 3" xfId="18042" xr:uid="{F3656EDB-C7E4-4C02-B30D-42BE1929945C}"/>
    <cellStyle name="Финансовый 13 6 4" xfId="19481" xr:uid="{2E46ACC8-A9C2-4B31-9DCC-18A211C3EEFE}"/>
    <cellStyle name="Финансовый 13 6 5" xfId="22958" xr:uid="{D6BF077F-B2D7-4B33-9566-5F9A6A129DD4}"/>
    <cellStyle name="Финансовый 13 6 6" xfId="36037" xr:uid="{A93D33D1-5F19-4331-B85B-1D0CF5DE30AA}"/>
    <cellStyle name="Финансовый 13 7" xfId="5384" xr:uid="{4C90B4A7-436A-4D8B-9209-8150E5B1B5B8}"/>
    <cellStyle name="Финансовый 13 7 2" xfId="9814" xr:uid="{123E3A61-AE6F-4204-AD51-EED499E38B66}"/>
    <cellStyle name="Финансовый 13 7 2 2" xfId="18798" xr:uid="{865DEA13-CA0F-44BC-B593-CCCC18A56BEE}"/>
    <cellStyle name="Финансовый 13 7 2 3" xfId="20061" xr:uid="{534BE778-2DA0-4C4F-8BCB-FE432B353818}"/>
    <cellStyle name="Финансовый 13 7 2 4" xfId="27111" xr:uid="{63F47A0B-079B-4BF4-A014-DA90B451CDBD}"/>
    <cellStyle name="Финансовый 13 7 2 5" xfId="40230" xr:uid="{EBF44230-D9C3-421E-9F2A-3A34940F318B}"/>
    <cellStyle name="Финансовый 13 7 3" xfId="18095" xr:uid="{749137AB-6864-4B28-B16A-D88004CE0515}"/>
    <cellStyle name="Финансовый 13 7 4" xfId="19534" xr:uid="{19B2E09B-0805-4817-B7C1-00B76D5632C6}"/>
    <cellStyle name="Финансовый 13 7 5" xfId="23031" xr:uid="{25F2D566-08E2-40D2-93F2-A42D57D95387}"/>
    <cellStyle name="Финансовый 13 7 6" xfId="36112" xr:uid="{47B0E326-5009-4662-8AD5-78A1769FC3BD}"/>
    <cellStyle name="Финансовый 13 8" xfId="5991" xr:uid="{75B48963-8A99-4ABF-BC7D-3C214C4210E4}"/>
    <cellStyle name="Финансовый 13 8 2" xfId="9910" xr:uid="{1294EE9E-11DB-482B-B057-4B233B18BB54}"/>
    <cellStyle name="Финансовый 13 8 2 2" xfId="18874" xr:uid="{47471758-B22A-4530-85C9-A1AFC1B37FB3}"/>
    <cellStyle name="Финансовый 13 8 2 3" xfId="20136" xr:uid="{DE82C38B-64BA-4B19-9A4F-195EC8A1AD7C}"/>
    <cellStyle name="Финансовый 13 8 2 4" xfId="27206" xr:uid="{A628210D-D7C7-47B6-A4EE-58B8F59968E2}"/>
    <cellStyle name="Финансовый 13 8 2 5" xfId="40325" xr:uid="{EBFD708F-2240-497D-BB32-EBA66318390E}"/>
    <cellStyle name="Финансовый 13 8 3" xfId="18170" xr:uid="{76A4072A-B873-494B-A802-EBB5648BE8CD}"/>
    <cellStyle name="Финансовый 13 8 4" xfId="19609" xr:uid="{C856B929-DBF2-4404-911F-70090BD3542B}"/>
    <cellStyle name="Финансовый 13 8 5" xfId="23637" xr:uid="{D2129359-9C46-44F8-82D1-178CEAE6D460}"/>
    <cellStyle name="Финансовый 13 8 6" xfId="36718" xr:uid="{5620B5D2-BA7F-4FA2-BAA2-BE172EEDE903}"/>
    <cellStyle name="Финансовый 13 9" xfId="6066" xr:uid="{C670122F-E8E1-4E86-BCA9-8730C971BAA9}"/>
    <cellStyle name="Финансовый 13 9 2" xfId="9985" xr:uid="{43B96BA6-F2E3-47C6-BA1C-6EF3E67CAEC9}"/>
    <cellStyle name="Финансовый 13 9 2 2" xfId="18949" xr:uid="{36075B11-7776-4071-84CA-3D2F584C7875}"/>
    <cellStyle name="Финансовый 13 9 2 3" xfId="20211" xr:uid="{BDFDC696-D3C4-4172-8349-2ECCECBE8B0C}"/>
    <cellStyle name="Финансовый 13 9 2 4" xfId="27281" xr:uid="{A6F1021A-28FE-4E3A-A247-1D663E0D7A4E}"/>
    <cellStyle name="Финансовый 13 9 2 5" xfId="40400" xr:uid="{55F12C19-C5EC-4A5C-8BC7-25022F8C443C}"/>
    <cellStyle name="Финансовый 13 9 3" xfId="18245" xr:uid="{930A7527-4057-45B7-B6E1-A2166E06910D}"/>
    <cellStyle name="Финансовый 13 9 4" xfId="19684" xr:uid="{460F5614-724D-4864-A3FE-5E5542549CCF}"/>
    <cellStyle name="Финансовый 13 9 5" xfId="23712" xr:uid="{0B7FF832-BD7C-4DDC-8DF7-F05D5D46951E}"/>
    <cellStyle name="Финансовый 13 9 6" xfId="36793" xr:uid="{9920A34F-E160-4528-B982-0D119969D883}"/>
    <cellStyle name="Финансовый 14" xfId="2514" xr:uid="{954D4E65-7BBF-410F-8EAF-C0859BF2210F}"/>
    <cellStyle name="Финансовый 14 2" xfId="4043" xr:uid="{2F140555-5DE9-4FC0-8D4B-F9BE4A95F0D5}"/>
    <cellStyle name="Финансовый 14 2 10" xfId="20551" xr:uid="{8E0A5E77-4F8A-41D1-99DB-18A722566E4F}"/>
    <cellStyle name="Финансовый 14 2 11" xfId="21879" xr:uid="{BFA00765-6FE1-4014-872B-CDBF111AE3EC}"/>
    <cellStyle name="Финансовый 14 2 12" xfId="34928" xr:uid="{1476DE10-0F1A-4330-8BA9-959B7E4C18E0}"/>
    <cellStyle name="Финансовый 14 2 2" xfId="4606" xr:uid="{A5304664-405A-4A7C-B0CA-271C29DBF870}"/>
    <cellStyle name="Финансовый 14 2 2 2" xfId="7611" xr:uid="{A613974A-1E27-4B36-9E85-5F477315F8C3}"/>
    <cellStyle name="Финансовый 14 2 2 2 2" xfId="10137" xr:uid="{764E33F3-AFAC-45BD-BAA0-826BE2E61CEA}"/>
    <cellStyle name="Финансовый 14 2 2 2 2 2" xfId="19100" xr:uid="{AA9D403F-5039-4881-A19C-3342E720CC9B}"/>
    <cellStyle name="Финансовый 14 2 2 2 2 3" xfId="20320" xr:uid="{9195CE5A-DC89-4BEE-8235-CAC4EC06DA3D}"/>
    <cellStyle name="Финансовый 14 2 2 2 2 4" xfId="27390" xr:uid="{97ADE750-1064-467C-9B7C-27867C2B37E3}"/>
    <cellStyle name="Финансовый 14 2 2 2 2 5" xfId="40509" xr:uid="{774548CF-5456-48F3-8EBC-A115477118AB}"/>
    <cellStyle name="Финансовый 14 2 2 2 3" xfId="18395" xr:uid="{132E3A57-6E4F-466E-8EAA-3782AE4B63DA}"/>
    <cellStyle name="Финансовый 14 2 2 2 4" xfId="19793" xr:uid="{E76EEA83-7817-4223-8D7E-93DAE34EDB09}"/>
    <cellStyle name="Финансовый 14 2 2 2 5" xfId="25139" xr:uid="{9DF8742E-C3B3-4AAE-9591-EC118023B169}"/>
    <cellStyle name="Финансовый 14 2 2 2 6" xfId="38215" xr:uid="{E2A3194B-9EB8-482A-A238-FE9011EB0948}"/>
    <cellStyle name="Финансовый 14 2 2 3" xfId="9598" xr:uid="{B47651D8-5781-45A2-B94B-935B4D4ED6CD}"/>
    <cellStyle name="Финансовый 14 2 2 3 2" xfId="18666" xr:uid="{43B68A11-DF28-485A-BA44-C902FCEFB933}"/>
    <cellStyle name="Финансовый 14 2 2 3 3" xfId="19953" xr:uid="{ABA7A80C-65CD-405A-8BC3-C0ACB65550ED}"/>
    <cellStyle name="Финансовый 14 2 2 3 4" xfId="26955" xr:uid="{CB067784-BB0C-45DE-BF7C-7983DE2547FE}"/>
    <cellStyle name="Финансовый 14 2 2 3 5" xfId="40038" xr:uid="{7FD10E68-228E-4C32-AD7A-FF7ABB7AA33D}"/>
    <cellStyle name="Финансовый 14 2 2 4" xfId="17972" xr:uid="{5540591D-4B63-42B0-BB13-4E2D8F367F8A}"/>
    <cellStyle name="Финансовый 14 2 2 5" xfId="19426" xr:uid="{3AFFF07E-5A0F-4AFF-9ED4-71119E7801DC}"/>
    <cellStyle name="Финансовый 14 2 2 6" xfId="22419" xr:uid="{D091EEFD-C8FC-41EC-930F-6E9D800ABCC8}"/>
    <cellStyle name="Финансовый 14 2 2 7" xfId="35469" xr:uid="{270D9B10-4C4B-43DC-80F3-525D64892CC3}"/>
    <cellStyle name="Финансовый 14 2 3" xfId="5965" xr:uid="{D9D98476-69CE-459F-9934-2EC693DD56F7}"/>
    <cellStyle name="Финансовый 14 2 3 2" xfId="9885" xr:uid="{7B9FF814-7AB8-44E1-A100-F19A9CD6BBBB}"/>
    <cellStyle name="Финансовый 14 2 3 2 2" xfId="18849" xr:uid="{A5C49E9B-AD46-45EF-BA25-2FB61A34D5A0}"/>
    <cellStyle name="Финансовый 14 2 3 2 3" xfId="20111" xr:uid="{0A8A229A-873F-4DC4-9EB6-626805EA8805}"/>
    <cellStyle name="Финансовый 14 2 3 2 4" xfId="27181" xr:uid="{E5527211-F2E3-458D-BC1C-F7CE424EC6A3}"/>
    <cellStyle name="Финансовый 14 2 3 2 5" xfId="40300" xr:uid="{459EB88F-9F8C-48BA-8DF9-926D3FA2C93C}"/>
    <cellStyle name="Финансовый 14 2 3 3" xfId="18145" xr:uid="{044480F9-0D87-48BD-903A-52601BC6D9F2}"/>
    <cellStyle name="Финансовый 14 2 3 4" xfId="19584" xr:uid="{4C16D9A1-2D06-4736-B34F-1BC97D9E0C0F}"/>
    <cellStyle name="Финансовый 14 2 3 5" xfId="23612" xr:uid="{12087FE8-C83F-46F7-B69D-2C9C34530DAF}"/>
    <cellStyle name="Финансовый 14 2 3 6" xfId="36693" xr:uid="{264A5C47-AFC5-48FD-A5EC-23EDDE5C80EC}"/>
    <cellStyle name="Финансовый 14 2 4" xfId="6041" xr:uid="{56E2B3C6-E716-4156-A622-4CDEC658F321}"/>
    <cellStyle name="Финансовый 14 2 4 2" xfId="9960" xr:uid="{805A66C6-B265-4019-895F-0EB5174A33C3}"/>
    <cellStyle name="Финансовый 14 2 4 2 2" xfId="18924" xr:uid="{0030CFEC-245A-4463-83AA-5009AC680212}"/>
    <cellStyle name="Финансовый 14 2 4 2 3" xfId="20186" xr:uid="{91718F35-9C8C-4A79-8B2B-E2870C53037B}"/>
    <cellStyle name="Финансовый 14 2 4 2 4" xfId="27256" xr:uid="{DC7AF509-80B9-4370-B779-09662D57D75E}"/>
    <cellStyle name="Финансовый 14 2 4 2 5" xfId="40375" xr:uid="{71210620-BEEA-483B-B682-BA111D388023}"/>
    <cellStyle name="Финансовый 14 2 4 3" xfId="18220" xr:uid="{9EC76F9C-2CE2-4BD8-BD6B-833AAB9988A9}"/>
    <cellStyle name="Финансовый 14 2 4 4" xfId="19659" xr:uid="{6C36747F-4802-4B98-8B06-4445C906F1C8}"/>
    <cellStyle name="Финансовый 14 2 4 5" xfId="23687" xr:uid="{9FFD0A65-90C5-4F7C-9CEF-AB55FC01A324}"/>
    <cellStyle name="Финансовый 14 2 4 6" xfId="36768" xr:uid="{C7B68DDB-10DA-4FEB-82ED-FA996941B3B9}"/>
    <cellStyle name="Финансовый 14 2 5" xfId="6126" xr:uid="{28EF10C0-1994-4358-84BE-60DB4D8C17E9}"/>
    <cellStyle name="Финансовый 14 2 5 2" xfId="10035" xr:uid="{F1480B1F-4EE5-4700-AAD5-B1FF9305A5E6}"/>
    <cellStyle name="Финансовый 14 2 5 2 2" xfId="18999" xr:uid="{C7418832-3AF6-47E9-A65C-DCE652589287}"/>
    <cellStyle name="Финансовый 14 2 5 2 3" xfId="20261" xr:uid="{3A2F5A6D-6F0E-4550-92A2-161E2EB2B982}"/>
    <cellStyle name="Финансовый 14 2 5 2 4" xfId="27331" xr:uid="{867DCAE4-24B4-4908-98A2-FFBE1CF6355C}"/>
    <cellStyle name="Финансовый 14 2 5 2 5" xfId="40450" xr:uid="{24103C6B-DF55-41AB-94DE-41F216727B15}"/>
    <cellStyle name="Финансовый 14 2 5 3" xfId="18295" xr:uid="{67FFDF66-4E77-4B4F-A1E7-D12A43D672CE}"/>
    <cellStyle name="Финансовый 14 2 5 4" xfId="19734" xr:uid="{506D92B1-B006-4F5B-9F7E-D5812EBCC964}"/>
    <cellStyle name="Финансовый 14 2 5 5" xfId="23772" xr:uid="{38AF5AF1-E3E2-434B-9A11-6732A95195E4}"/>
    <cellStyle name="Финансовый 14 2 5 6" xfId="36853" xr:uid="{933F40E1-B5AD-43D3-983E-F2CFD0799719}"/>
    <cellStyle name="Финансовый 14 2 6" xfId="9523" xr:uid="{2A61D05B-532E-4CAB-A2FC-7CCCEA0AF5FE}"/>
    <cellStyle name="Финансовый 14 2 6 2" xfId="18591" xr:uid="{E09C42ED-4D72-48E4-9822-1227B1723993}"/>
    <cellStyle name="Финансовый 14 2 6 3" xfId="19889" xr:uid="{FD3E4F81-FE15-4526-A971-58E06C24F3FF}"/>
    <cellStyle name="Финансовый 14 2 6 4" xfId="26891" xr:uid="{A58BDF45-3054-45DF-8924-C00AF01DB95D}"/>
    <cellStyle name="Финансовый 14 2 6 5" xfId="39974" xr:uid="{CCFC7614-A694-4CED-A389-E482B7F24BD2}"/>
    <cellStyle name="Финансовый 14 2 7" xfId="17798" xr:uid="{8147076F-8FE3-45B6-91C7-B6DB093E1EBB}"/>
    <cellStyle name="Финансовый 14 2 7 2" xfId="19265" xr:uid="{7EB417F8-2C6E-4CCF-A4C8-E3ECB6D8864F}"/>
    <cellStyle name="Финансовый 14 2 7 3" xfId="20420" xr:uid="{C610B197-DCAE-4708-8ED7-2D9AC37B9475}"/>
    <cellStyle name="Финансовый 14 2 7 4" xfId="33520" xr:uid="{5A413F0D-F9D7-4F2B-85D9-813A7AAC742C}"/>
    <cellStyle name="Финансовый 14 2 7 5" xfId="47299" xr:uid="{D7D54EAA-DF65-4DEF-9B3F-E66495CABD9A}"/>
    <cellStyle name="Финансовый 14 2 8" xfId="17906" xr:uid="{155B74BE-5AFB-475B-A79A-8F62149A6654}"/>
    <cellStyle name="Финансовый 14 2 9" xfId="19362" xr:uid="{F9CAC765-25F3-4971-9281-47F3833C4D00}"/>
    <cellStyle name="Финансовый 14 3" xfId="5173" xr:uid="{2A8CBB0C-3807-46C5-88EE-33B6001A6FEF}"/>
    <cellStyle name="Финансовый 14 3 2" xfId="9672" xr:uid="{BE31F4CF-9256-48B8-AC80-3B7BD274B39D}"/>
    <cellStyle name="Финансовый 14 3 2 2" xfId="18719" xr:uid="{AF18AC46-AB11-4F29-A9DD-8FA3A2B1EEF7}"/>
    <cellStyle name="Финансовый 14 3 2 3" xfId="19984" xr:uid="{4C06745C-8A68-4AA7-8142-24811E9F7AA7}"/>
    <cellStyle name="Финансовый 14 3 2 4" xfId="26986" xr:uid="{5643CF89-7CED-44CA-8CF5-7A0B21B40139}"/>
    <cellStyle name="Финансовый 14 3 2 5" xfId="40090" xr:uid="{F4EEB5D7-4D13-4159-A3CA-34054EC89CBA}"/>
    <cellStyle name="Финансовый 14 3 3" xfId="18017" xr:uid="{A8486EFE-DEBB-4F51-A204-D7E6FBB29A93}"/>
    <cellStyle name="Финансовый 14 3 4" xfId="19457" xr:uid="{14F748C4-FC89-4DA7-845E-93B896188024}"/>
    <cellStyle name="Финансовый 14 3 5" xfId="22862" xr:uid="{569558EA-5DBB-4A7B-BDCB-9D83085FCECA}"/>
    <cellStyle name="Финансовый 14 3 6" xfId="35928" xr:uid="{8833F5CF-C592-44B1-956B-C782938B5447}"/>
    <cellStyle name="Финансовый 14 4" xfId="10530" xr:uid="{31056D50-F544-4750-BBD0-7220E645C2C4}"/>
    <cellStyle name="Финансовый 14 4 2" xfId="19164" xr:uid="{75257218-5F1C-41E8-8D66-A9594BABAC16}"/>
    <cellStyle name="Финансовый 14 4 3" xfId="20321" xr:uid="{379B9997-CE77-4130-B654-E92802A5D434}"/>
    <cellStyle name="Финансовый 14 4 4" xfId="27404" xr:uid="{FB2F6D6A-03FA-4061-8F31-64EB4AD194E4}"/>
    <cellStyle name="Финансовый 14 4 5" xfId="40526" xr:uid="{0B35933A-E2E5-48BF-82A6-66106CBCAEE5}"/>
    <cellStyle name="Финансовый 14 5" xfId="17714" xr:uid="{93E8E4AC-CD0B-4ABF-B5ED-2C9F64820C8C}"/>
    <cellStyle name="Финансовый 14 5 2" xfId="19220" xr:uid="{64B82B58-74A0-4C2F-9D5C-BF3420FC49C7}"/>
    <cellStyle name="Финансовый 14 5 3" xfId="20375" xr:uid="{A7BA9E20-EA2D-476E-A299-4BFC028A03BF}"/>
    <cellStyle name="Финансовый 14 5 4" xfId="33436" xr:uid="{94963EF9-6F46-4098-AA44-FA2FA2677FA7}"/>
    <cellStyle name="Финансовый 14 5 5" xfId="47225" xr:uid="{342BED3B-8EE8-45E1-9091-D7AFC58FA0B5}"/>
    <cellStyle name="Финансовый 14 6" xfId="20467" xr:uid="{6686EA2D-AE3B-43FC-8E94-75D745692AB7}"/>
    <cellStyle name="Финансовый 15" xfId="3858" xr:uid="{AA500C69-C4E1-46FB-BD19-8B8AC28E22DF}"/>
    <cellStyle name="Финансовый 15 10" xfId="17888" xr:uid="{98B8070D-E82E-4172-B4CB-C852178315A1}"/>
    <cellStyle name="Финансовый 15 11" xfId="19344" xr:uid="{7CACAD41-0AA0-4ADB-B430-70DA21F46495}"/>
    <cellStyle name="Финансовый 15 12" xfId="20428" xr:uid="{D4ED46A3-4979-41BB-8DA9-726FA9496A6B}"/>
    <cellStyle name="Финансовый 15 13" xfId="21734" xr:uid="{AD2E0595-4CED-4203-90F1-DC9EADB8EA6B}"/>
    <cellStyle name="Финансовый 15 14" xfId="34788" xr:uid="{B6D7879A-E9A4-453F-BDFB-4F0FB963758F}"/>
    <cellStyle name="Финансовый 15 2" xfId="4569" xr:uid="{756BD4D2-DE19-464C-B451-2437209F83B6}"/>
    <cellStyle name="Финансовый 15 2 2" xfId="7442" xr:uid="{98E00B19-2890-4B2A-93DD-0F5A48EC2D73}"/>
    <cellStyle name="Финансовый 15 2 2 2" xfId="10114" xr:uid="{7A319751-3A81-43D5-B577-3E637D49A00B}"/>
    <cellStyle name="Финансовый 15 2 2 2 2" xfId="19077" xr:uid="{4B23DB27-1EDA-4C17-8A54-9270516F11B6}"/>
    <cellStyle name="Финансовый 15 2 2 2 3" xfId="20302" xr:uid="{F5CEF02A-FF33-46DF-9CE4-746EA1A613EB}"/>
    <cellStyle name="Финансовый 15 2 2 2 4" xfId="27372" xr:uid="{3D8D3CC6-25EA-4EBA-93B6-083835F51F4A}"/>
    <cellStyle name="Финансовый 15 2 2 2 5" xfId="40491" xr:uid="{F00B7999-CFE9-47AC-8398-EC8271DC9372}"/>
    <cellStyle name="Финансовый 15 2 2 3" xfId="18372" xr:uid="{2247D382-4F46-4743-BB59-2B9D9D026045}"/>
    <cellStyle name="Финансовый 15 2 2 4" xfId="19775" xr:uid="{8FF27CC6-550B-48AA-8C0E-B680ECB9E5DA}"/>
    <cellStyle name="Финансовый 15 2 2 5" xfId="24999" xr:uid="{F35A5A2E-8677-45D0-856A-9CFA83B77B0A}"/>
    <cellStyle name="Финансовый 15 2 2 6" xfId="38075" xr:uid="{F4BCC569-F6F8-4441-97C3-4EA35B073458}"/>
    <cellStyle name="Финансовый 15 2 3" xfId="9563" xr:uid="{839705A9-3D15-4339-BD4A-4BF1D74E51E0}"/>
    <cellStyle name="Финансовый 15 2 3 2" xfId="18631" xr:uid="{899850BA-D127-474C-9635-93BEF357E7C5}"/>
    <cellStyle name="Финансовый 15 2 3 3" xfId="19919" xr:uid="{76E6C964-8CFD-4E04-AEB9-B5D4C3CF8198}"/>
    <cellStyle name="Финансовый 15 2 3 4" xfId="26921" xr:uid="{4557AC93-2E99-461D-BBB7-03B26CAA4750}"/>
    <cellStyle name="Финансовый 15 2 3 5" xfId="40004" xr:uid="{47811A87-8A53-4AED-A343-EDA0D40EAA08}"/>
    <cellStyle name="Финансовый 15 2 4" xfId="17720" xr:uid="{0BD4E170-42DE-47FE-A00F-C77B3BAEFE17}"/>
    <cellStyle name="Финансовый 15 2 4 2" xfId="19226" xr:uid="{2DAA3E52-DB24-47C3-A2FD-A159AFC8AF7A}"/>
    <cellStyle name="Финансовый 15 2 4 3" xfId="20381" xr:uid="{25B6813A-C5E3-46E0-87F6-5F58E5579D87}"/>
    <cellStyle name="Финансовый 15 2 4 4" xfId="33442" xr:uid="{1E7D2E8C-9FCA-469A-95BD-A5B5F8000368}"/>
    <cellStyle name="Финансовый 15 2 4 5" xfId="47231" xr:uid="{1543D520-0765-47A3-B3E2-7C726480C9F3}"/>
    <cellStyle name="Финансовый 15 2 5" xfId="17938" xr:uid="{30A6F158-D3D1-4525-BD60-45B3765BCC99}"/>
    <cellStyle name="Финансовый 15 2 6" xfId="19392" xr:uid="{8FD93F74-F5FA-4613-8060-2FF378C936FE}"/>
    <cellStyle name="Финансовый 15 2 7" xfId="20473" xr:uid="{BACE6BE1-CC69-471F-B23C-DE7F3D8900D1}"/>
    <cellStyle name="Финансовый 15 2 8" xfId="22385" xr:uid="{C1567EF2-4C26-4070-88D4-C44E57F71222}"/>
    <cellStyle name="Финансовый 15 2 9" xfId="35434" xr:uid="{01378F42-AB5C-4B50-AFA7-1310ECC59210}"/>
    <cellStyle name="Финансовый 15 3" xfId="4535" xr:uid="{242D18C0-0DE8-41D5-847B-F3227A152110}"/>
    <cellStyle name="Финансовый 15 4" xfId="5825" xr:uid="{674654B3-544A-4CB3-90AF-849600332144}"/>
    <cellStyle name="Финансовый 15 4 2" xfId="9857" xr:uid="{8B713746-1454-4FD7-B364-AEC3A47E5762}"/>
    <cellStyle name="Финансовый 15 4 2 2" xfId="18831" xr:uid="{F9D89E6A-9E25-4EB5-AA21-BCB388A82AD1}"/>
    <cellStyle name="Финансовый 15 4 2 3" xfId="20093" xr:uid="{4F643C03-43A6-4CC0-A969-0C572D4C2C34}"/>
    <cellStyle name="Финансовый 15 4 2 4" xfId="27153" xr:uid="{2869346C-928B-423E-8D6B-D003D79684D7}"/>
    <cellStyle name="Финансовый 15 4 2 5" xfId="40272" xr:uid="{D2ABE5C4-250B-41DD-9A43-B56ABD053AA4}"/>
    <cellStyle name="Финансовый 15 4 3" xfId="18127" xr:uid="{828DC83E-F36C-4779-AD87-AFF214731347}"/>
    <cellStyle name="Финансовый 15 4 4" xfId="19566" xr:uid="{CDB7C925-7E02-4F48-9E5E-35D43968C3A7}"/>
    <cellStyle name="Финансовый 15 4 5" xfId="23472" xr:uid="{F77156AC-A761-4F15-A3BB-AFBB46CDE317}"/>
    <cellStyle name="Финансовый 15 4 6" xfId="36553" xr:uid="{FDE31D7E-E894-4AF5-946B-8AC1A957E5A2}"/>
    <cellStyle name="Финансовый 15 5" xfId="6023" xr:uid="{B8022632-EAB9-4C05-9808-4B2C8E835DE3}"/>
    <cellStyle name="Финансовый 15 5 2" xfId="9942" xr:uid="{0045406C-CF3C-42A7-88C8-C6C155643547}"/>
    <cellStyle name="Финансовый 15 5 2 2" xfId="18906" xr:uid="{A65FB220-A4A8-4923-AA1C-13ADBB530F66}"/>
    <cellStyle name="Финансовый 15 5 2 3" xfId="20168" xr:uid="{4EAFF372-734F-438B-9954-A58DD7255F74}"/>
    <cellStyle name="Финансовый 15 5 2 4" xfId="27238" xr:uid="{6C709C52-1188-4518-8EC5-5DEED19CE465}"/>
    <cellStyle name="Финансовый 15 5 2 5" xfId="40357" xr:uid="{E84EECEF-8B0C-44B5-9EAF-EB092592AFFE}"/>
    <cellStyle name="Финансовый 15 5 3" xfId="18202" xr:uid="{D2BB8C8D-8868-4C8F-A68D-BF7258D125B8}"/>
    <cellStyle name="Финансовый 15 5 4" xfId="19641" xr:uid="{E951F219-591B-4280-BFE2-FB082B059BF8}"/>
    <cellStyle name="Финансовый 15 5 5" xfId="23669" xr:uid="{E2A2E55D-1744-414A-9B62-A0AC65989941}"/>
    <cellStyle name="Финансовый 15 5 6" xfId="36750" xr:uid="{BFD3444B-8D1F-4243-A9BA-3AF5BB7AE65C}"/>
    <cellStyle name="Финансовый 15 6" xfId="6098" xr:uid="{8F8D7EAB-4C12-4863-AC03-DF3F8073831D}"/>
    <cellStyle name="Финансовый 15 6 2" xfId="10017" xr:uid="{26E7F04C-1A50-4C9B-9715-66BCD7392823}"/>
    <cellStyle name="Финансовый 15 6 2 2" xfId="18981" xr:uid="{2D7C749F-6A60-49F1-8D91-F8AA4B5DDAF1}"/>
    <cellStyle name="Финансовый 15 6 2 3" xfId="20243" xr:uid="{9B89AE5C-8B1B-4B68-AE1E-899BB59FCC2A}"/>
    <cellStyle name="Финансовый 15 6 2 4" xfId="27313" xr:uid="{41FA29CC-E55D-4064-8C5D-02DA4E76DAB9}"/>
    <cellStyle name="Финансовый 15 6 2 5" xfId="40432" xr:uid="{775E3CD9-EBB6-4117-9879-B9F4B8195CF0}"/>
    <cellStyle name="Финансовый 15 6 3" xfId="18277" xr:uid="{01BE2A32-AF47-416E-BCFA-2256A6868281}"/>
    <cellStyle name="Финансовый 15 6 4" xfId="19716" xr:uid="{DC78B1DE-49A2-4957-8E61-18C3B2547D18}"/>
    <cellStyle name="Финансовый 15 6 5" xfId="23744" xr:uid="{FE825114-3722-4DFE-A589-39767A6DF582}"/>
    <cellStyle name="Финансовый 15 6 6" xfId="36825" xr:uid="{C796F591-26A6-4310-B3F8-FD9EE6A5A59F}"/>
    <cellStyle name="Финансовый 15 7" xfId="9500" xr:uid="{8F7E3435-2D12-4516-93FA-6DFEFDB35CE5}"/>
    <cellStyle name="Финансовый 15 7 2" xfId="18568" xr:uid="{35AED59E-5790-4F1C-94B6-85532FA68134}"/>
    <cellStyle name="Финансовый 15 7 3" xfId="19871" xr:uid="{4664AEFE-4D67-4A49-BD0F-58E95CD244B8}"/>
    <cellStyle name="Финансовый 15 7 4" xfId="26873" xr:uid="{DD2DA398-BD72-42FA-A436-6278CC12A0A2}"/>
    <cellStyle name="Финансовый 15 7 5" xfId="39956" xr:uid="{B1AB84EA-6752-4B56-955A-31CA57722D93}"/>
    <cellStyle name="Финансовый 15 8" xfId="10531" xr:uid="{B7662F34-0A59-4F7D-999E-916FA53C803A}"/>
    <cellStyle name="Финансовый 15 9" xfId="17640" xr:uid="{679DC796-B6AE-4B12-9AF8-3D88B514F9E4}"/>
    <cellStyle name="Финансовый 15 9 2" xfId="19181" xr:uid="{E2D6AC30-0909-43CE-8B7F-C56BCEF589D1}"/>
    <cellStyle name="Финансовый 15 9 3" xfId="20336" xr:uid="{3A77ADA9-2AAE-4A40-8352-DB11609BF702}"/>
    <cellStyle name="Финансовый 15 9 4" xfId="33368" xr:uid="{47E789A2-3689-4711-A9D7-B4A821495950}"/>
    <cellStyle name="Финансовый 15 9 5" xfId="47157" xr:uid="{43C1C640-E882-4917-A3DA-45937AB33F0C}"/>
    <cellStyle name="Финансовый 16" xfId="3856" xr:uid="{381D928B-A528-4024-9264-B4C11441AA97}"/>
    <cellStyle name="Финансовый 16 2" xfId="10533" xr:uid="{D06F4377-A651-404E-8C8B-DA738CD02295}"/>
    <cellStyle name="Финансовый 17" xfId="2509" xr:uid="{F09010E2-5330-43F5-BC79-4D6DC9FB244E}"/>
    <cellStyle name="Финансовый 17 2" xfId="10548" xr:uid="{DD6B57AE-6F7D-4A52-ACF0-C6FB2EC2C7B8}"/>
    <cellStyle name="Финансовый 17 2 2" xfId="19168" xr:uid="{D3E2A4A8-26C6-4C6C-B294-4706C6E24465}"/>
    <cellStyle name="Финансовый 17 2 3" xfId="20325" xr:uid="{4E6630FF-CDBC-439F-9298-FA9C81CE2807}"/>
    <cellStyle name="Финансовый 17 2 4" xfId="27408" xr:uid="{ED67D2E3-58F0-44D8-8553-3E68704408DD}"/>
    <cellStyle name="Финансовый 17 2 5" xfId="40530" xr:uid="{3B10780E-59A0-42DB-8132-A11E12DB4E48}"/>
    <cellStyle name="Финансовый 18" xfId="3257" xr:uid="{7E5F93A0-8645-49F8-B4DC-4515E1947420}"/>
    <cellStyle name="Финансовый 19" xfId="4061" xr:uid="{ECAB9367-E822-4573-9E3C-BE428AF1A878}"/>
    <cellStyle name="Финансовый 2" xfId="4" xr:uid="{9C288659-9D0C-43DF-8445-542C91484003}"/>
    <cellStyle name="Финансовый 2 10" xfId="40" xr:uid="{3FBF3A0B-A272-4020-AF9C-F2414BBFC304}"/>
    <cellStyle name="Финансовый 2 11" xfId="20426" xr:uid="{5C3A3303-9A48-4CE1-BED0-75F8D4AA8005}"/>
    <cellStyle name="Финансовый 2 2" xfId="8" xr:uid="{A7298A2B-095C-4856-8309-02F7B449ACD4}"/>
    <cellStyle name="Финансовый 2 2 2" xfId="2450" xr:uid="{8DB21E2B-8A1A-4592-A015-3D7FDA05DC35}"/>
    <cellStyle name="Финансовый 2 2 3" xfId="10510" xr:uid="{F4339971-473A-47F1-A2A3-74C586524242}"/>
    <cellStyle name="Финансовый 2 2 4" xfId="44" xr:uid="{30CD0F35-0E90-40E7-9BF6-16BA514C79D4}"/>
    <cellStyle name="Финансовый 2 3" xfId="43" xr:uid="{6282251E-51AD-4D1F-8F38-E834619700B8}"/>
    <cellStyle name="Финансовый 2 3 2" xfId="3808" xr:uid="{8A68EF3B-57D7-4B01-AB7E-F5B8C682FCE1}"/>
    <cellStyle name="Финансовый 2 3 3" xfId="10511" xr:uid="{4FDA42BC-1F39-4A0A-9BF8-1EFA3509FA69}"/>
    <cellStyle name="Финансовый 2 4" xfId="2465" xr:uid="{096C8B35-6FBC-4376-A712-8508B5CCD9DB}"/>
    <cellStyle name="Финансовый 2 4 2" xfId="3812" xr:uid="{C2161CD5-8D46-4AE6-9F6A-42909E91E99A}"/>
    <cellStyle name="Финансовый 2 4 2 10" xfId="19340" xr:uid="{9CAC0972-DC88-43B1-8086-EA71C73450EB}"/>
    <cellStyle name="Финансовый 2 4 2 11" xfId="20549" xr:uid="{7428B537-2B91-412B-B673-BA821F6AD517}"/>
    <cellStyle name="Финансовый 2 4 2 12" xfId="21699" xr:uid="{96E23FD6-4D4D-4E74-81EF-DC19D655EF53}"/>
    <cellStyle name="Финансовый 2 4 2 13" xfId="34753" xr:uid="{DA0311AF-DBAD-4A01-A046-B5C220BCC641}"/>
    <cellStyle name="Финансовый 2 4 2 2" xfId="4603" xr:uid="{F03481D5-21DB-49B5-9CDB-76A9984890AF}"/>
    <cellStyle name="Финансовый 2 4 2 2 2" xfId="7405" xr:uid="{885D3699-BCE2-4F19-8F71-5592A0E16C01}"/>
    <cellStyle name="Финансовый 2 4 2 2 2 2" xfId="10109" xr:uid="{13BAF73C-7DFC-4AD2-894D-9C29C980D370}"/>
    <cellStyle name="Финансовый 2 4 2 2 2 2 2" xfId="19072" xr:uid="{D478C1A8-DDD2-448F-BC8B-D8CDCE873EA8}"/>
    <cellStyle name="Финансовый 2 4 2 2 2 2 3" xfId="20298" xr:uid="{3121A3A9-3978-488A-B482-49BC27BF6854}"/>
    <cellStyle name="Финансовый 2 4 2 2 2 2 4" xfId="27368" xr:uid="{E6F3AED4-301D-4A1A-92DB-5C6B552FA97F}"/>
    <cellStyle name="Финансовый 2 4 2 2 2 2 5" xfId="40487" xr:uid="{7E462E3B-A000-4A74-AE04-C1ECBAB58D3D}"/>
    <cellStyle name="Финансовый 2 4 2 2 2 3" xfId="18367" xr:uid="{67F06300-01B9-4A27-BDFE-9AAF57134D5E}"/>
    <cellStyle name="Финансовый 2 4 2 2 2 4" xfId="19771" xr:uid="{312FACF6-5FAA-4F01-A870-661F40F0878D}"/>
    <cellStyle name="Финансовый 2 4 2 2 2 5" xfId="24964" xr:uid="{9929A2D4-D120-49CF-B6C4-5D4944BD3576}"/>
    <cellStyle name="Финансовый 2 4 2 2 2 6" xfId="38040" xr:uid="{80F65C08-2351-4636-9700-0D209ACE66A4}"/>
    <cellStyle name="Финансовый 2 4 2 2 3" xfId="9596" xr:uid="{E681FE75-2001-4B21-8249-FFAAE83413F8}"/>
    <cellStyle name="Финансовый 2 4 2 2 3 2" xfId="18664" xr:uid="{B3CE5F3C-2CEC-446F-8EC5-345D236905AA}"/>
    <cellStyle name="Финансовый 2 4 2 2 3 3" xfId="19951" xr:uid="{BD219B4C-8371-4FE1-B355-6723D2102F79}"/>
    <cellStyle name="Финансовый 2 4 2 2 3 4" xfId="26953" xr:uid="{DE6B8E0C-7A01-4CF1-A661-4C64C0742266}"/>
    <cellStyle name="Финансовый 2 4 2 2 3 5" xfId="40036" xr:uid="{741FE784-CB9D-49C5-8F24-D46A1E8F50CE}"/>
    <cellStyle name="Финансовый 2 4 2 2 4" xfId="17970" xr:uid="{2C47E3F9-1DDA-4D26-A69D-169021653101}"/>
    <cellStyle name="Финансовый 2 4 2 2 5" xfId="19424" xr:uid="{40E754B0-8749-4272-A982-8E3B511BF7B8}"/>
    <cellStyle name="Финансовый 2 4 2 2 6" xfId="22417" xr:uid="{55FEC2EB-CFCE-4DAF-847F-C343FA3A7DA9}"/>
    <cellStyle name="Финансовый 2 4 2 2 7" xfId="35467" xr:uid="{0F9AEF2D-76EC-43B8-80E2-A1FD6282363D}"/>
    <cellStyle name="Финансовый 2 4 2 3" xfId="5338" xr:uid="{64EA9045-72B1-44FE-9CD0-FD39957E8574}"/>
    <cellStyle name="Финансовый 2 4 2 3 2" xfId="9770" xr:uid="{A95C4286-F386-4619-BA06-410C719E8151}"/>
    <cellStyle name="Финансовый 2 4 2 3 2 2" xfId="18773" xr:uid="{EA75A076-043B-4630-A4AA-F712BA9F5ABE}"/>
    <cellStyle name="Финансовый 2 4 2 3 2 3" xfId="20036" xr:uid="{AC5B5373-1F3E-4061-9558-1B1E5136B329}"/>
    <cellStyle name="Финансовый 2 4 2 3 2 4" xfId="27067" xr:uid="{B1CB6A96-E983-4155-B5C2-E9E94C21E812}"/>
    <cellStyle name="Финансовый 2 4 2 3 2 5" xfId="40186" xr:uid="{FDA398C9-628F-445E-9003-776F919F261D}"/>
    <cellStyle name="Финансовый 2 4 2 3 3" xfId="18070" xr:uid="{CA37AA47-660E-4435-A289-52982BB1D284}"/>
    <cellStyle name="Финансовый 2 4 2 3 4" xfId="19509" xr:uid="{1A636DDE-AAD0-466A-9390-8F821E1EEE16}"/>
    <cellStyle name="Финансовый 2 4 2 3 5" xfId="22986" xr:uid="{E9639911-F60A-45CC-86EA-853F3E8850B8}"/>
    <cellStyle name="Финансовый 2 4 2 3 6" xfId="36067" xr:uid="{277A6B8E-F196-4B93-8407-22D7DB6C4951}"/>
    <cellStyle name="Финансовый 2 4 2 4" xfId="5790" xr:uid="{1651B4B2-50D7-4877-889A-AD270BAA580D}"/>
    <cellStyle name="Финансовый 2 4 2 4 2" xfId="9853" xr:uid="{2EDD0A9F-BD04-460F-9006-7B73CBAEE3B6}"/>
    <cellStyle name="Финансовый 2 4 2 4 2 2" xfId="18827" xr:uid="{AD972919-3CAD-4EE0-9653-338FF2D317C7}"/>
    <cellStyle name="Финансовый 2 4 2 4 2 3" xfId="20089" xr:uid="{611F71C5-7936-452A-8C48-1AA55EFE68A5}"/>
    <cellStyle name="Финансовый 2 4 2 4 2 4" xfId="27149" xr:uid="{D81D9873-1BD4-48B1-9FBC-739E1D2E378B}"/>
    <cellStyle name="Финансовый 2 4 2 4 2 5" xfId="40268" xr:uid="{532A84A9-7853-48F4-B3D9-5A2AE9CF5D3D}"/>
    <cellStyle name="Финансовый 2 4 2 4 3" xfId="18123" xr:uid="{CD9093F5-0955-45C2-B834-9EF5BCA92E2B}"/>
    <cellStyle name="Финансовый 2 4 2 4 4" xfId="19562" xr:uid="{78257AD8-830E-4585-B049-E252FB43942E}"/>
    <cellStyle name="Финансовый 2 4 2 4 5" xfId="23437" xr:uid="{10CD2DD1-9B90-43D8-A974-70E1E7A6FAD8}"/>
    <cellStyle name="Финансовый 2 4 2 4 6" xfId="36518" xr:uid="{42EFE98D-D7DC-44E7-8C47-E8B7E19DB3D8}"/>
    <cellStyle name="Финансовый 2 4 2 5" xfId="6019" xr:uid="{171ADBFD-CCA9-4103-A8A9-56D588DA7FA1}"/>
    <cellStyle name="Финансовый 2 4 2 5 2" xfId="9938" xr:uid="{29B34E8D-75C7-478B-A583-A2A069C5AE92}"/>
    <cellStyle name="Финансовый 2 4 2 5 2 2" xfId="18902" xr:uid="{77A19DFE-3BEA-48C1-9FA1-A4B6114EEC6F}"/>
    <cellStyle name="Финансовый 2 4 2 5 2 3" xfId="20164" xr:uid="{09F61A94-80AB-46D8-BE0F-CB6E4C14C1F7}"/>
    <cellStyle name="Финансовый 2 4 2 5 2 4" xfId="27234" xr:uid="{9D6CD9D8-AEA3-4A35-ABE5-CFDAF59FBAEA}"/>
    <cellStyle name="Финансовый 2 4 2 5 2 5" xfId="40353" xr:uid="{274A77B1-657D-4A18-9DFF-D2576BA716AB}"/>
    <cellStyle name="Финансовый 2 4 2 5 3" xfId="18198" xr:uid="{F3959741-B583-4C67-AD25-0759D5B4D005}"/>
    <cellStyle name="Финансовый 2 4 2 5 4" xfId="19637" xr:uid="{9EB0D453-F7F3-4218-9BFA-BD7FEABB2966}"/>
    <cellStyle name="Финансовый 2 4 2 5 5" xfId="23665" xr:uid="{8E28B158-0CDA-4FD4-978F-77C40B340629}"/>
    <cellStyle name="Финансовый 2 4 2 5 6" xfId="36746" xr:uid="{7DC37B3E-0264-4A3D-8926-E3B7B984314D}"/>
    <cellStyle name="Финансовый 2 4 2 6" xfId="6094" xr:uid="{E10C13D0-D00E-41BF-A4A1-FA30A2B1FAEC}"/>
    <cellStyle name="Финансовый 2 4 2 6 2" xfId="10013" xr:uid="{B886B22C-2E81-4E65-B670-2A4CA6546990}"/>
    <cellStyle name="Финансовый 2 4 2 6 2 2" xfId="18977" xr:uid="{4F0C3433-BB56-42DE-96B6-BAE2E8108779}"/>
    <cellStyle name="Финансовый 2 4 2 6 2 3" xfId="20239" xr:uid="{BF0A09B0-69D5-4DF6-ADB5-622EC5CF9A9F}"/>
    <cellStyle name="Финансовый 2 4 2 6 2 4" xfId="27309" xr:uid="{A5C0E1CA-2B45-4DC0-9E47-901D15D37744}"/>
    <cellStyle name="Финансовый 2 4 2 6 2 5" xfId="40428" xr:uid="{3E9247EB-E5A8-4D95-B012-3D44905B9EE8}"/>
    <cellStyle name="Финансовый 2 4 2 6 3" xfId="18273" xr:uid="{D151553D-0EEF-4DBF-B924-0AD82471EEEC}"/>
    <cellStyle name="Финансовый 2 4 2 6 4" xfId="19712" xr:uid="{68403311-65E1-455D-8928-C00F4E740A5A}"/>
    <cellStyle name="Финансовый 2 4 2 6 5" xfId="23740" xr:uid="{E6FAA645-59CD-4C78-974F-A71D2BC356FC}"/>
    <cellStyle name="Финансовый 2 4 2 6 6" xfId="36821" xr:uid="{108B6499-2318-4451-819E-97F14B94F835}"/>
    <cellStyle name="Финансовый 2 4 2 7" xfId="9495" xr:uid="{AFBE9E32-45CC-44C2-9DE5-6B01DA411055}"/>
    <cellStyle name="Финансовый 2 4 2 7 2" xfId="18563" xr:uid="{269E854C-862F-4CFF-B2E1-9D6451E0E0E4}"/>
    <cellStyle name="Финансовый 2 4 2 7 3" xfId="19867" xr:uid="{6ECB3A13-76FA-43B6-AE8E-4DF098404F1B}"/>
    <cellStyle name="Финансовый 2 4 2 7 4" xfId="26869" xr:uid="{DFDCD007-2528-48E3-8DF0-64DA6D587D36}"/>
    <cellStyle name="Финансовый 2 4 2 7 5" xfId="39952" xr:uid="{7F4BBE2C-6190-434A-AC2A-1BA90D68D83A}"/>
    <cellStyle name="Финансовый 2 4 2 8" xfId="17796" xr:uid="{05A74587-72B6-4186-8D45-085C58ADA4B7}"/>
    <cellStyle name="Финансовый 2 4 2 8 2" xfId="19263" xr:uid="{2CE595FA-AA96-4B7A-90AA-45D2FBEFDD06}"/>
    <cellStyle name="Финансовый 2 4 2 8 3" xfId="20418" xr:uid="{C37CB21B-76FC-48C2-A370-1C9503004083}"/>
    <cellStyle name="Финансовый 2 4 2 8 4" xfId="33518" xr:uid="{7347EDDA-3AC9-485D-A5F0-3327BF7005E8}"/>
    <cellStyle name="Финансовый 2 4 2 8 5" xfId="47297" xr:uid="{94725DEB-7E15-4CC1-BD21-54C251FC9718}"/>
    <cellStyle name="Финансовый 2 4 2 9" xfId="17884" xr:uid="{AED06C52-778C-4378-A9E8-5C8BACB041B1}"/>
    <cellStyle name="Финансовый 2 4 3" xfId="4025" xr:uid="{C99471A8-B72D-4A5E-8DF7-9EF360E7DD2E}"/>
    <cellStyle name="Финансовый 2 4 3 10" xfId="34916" xr:uid="{94126C6B-EE12-4878-8373-F70514804F65}"/>
    <cellStyle name="Финансовый 2 4 3 2" xfId="4930" xr:uid="{7E47AACB-4226-4647-B081-3427D77AA045}"/>
    <cellStyle name="Финансовый 2 4 3 2 2" xfId="7599" xr:uid="{14474B35-45DB-4507-A193-CC68E5FA1CAC}"/>
    <cellStyle name="Финансовый 2 4 3 2 2 2" xfId="10131" xr:uid="{F222E218-1E5C-47CE-817D-6C3760FA3B2A}"/>
    <cellStyle name="Финансовый 2 4 3 2 2 2 2" xfId="19094" xr:uid="{8EFAA15F-B494-4A59-BCCF-22DFC5F862F7}"/>
    <cellStyle name="Финансовый 2 4 3 2 2 2 3" xfId="20314" xr:uid="{40E3660B-3677-440D-AAA8-3E7E01BD160A}"/>
    <cellStyle name="Финансовый 2 4 3 2 2 2 4" xfId="27384" xr:uid="{3469C764-4209-4CCA-AC05-2D8F090BDE12}"/>
    <cellStyle name="Финансовый 2 4 3 2 2 2 5" xfId="40503" xr:uid="{F5E78557-8BD3-488B-B826-3759244CB0E7}"/>
    <cellStyle name="Финансовый 2 4 3 2 2 3" xfId="18389" xr:uid="{AF4F582A-7E37-4BD7-95E9-A4599D6562E7}"/>
    <cellStyle name="Финансовый 2 4 3 2 2 4" xfId="19787" xr:uid="{AE590BB2-69C8-4F47-882B-AA77893D7B1E}"/>
    <cellStyle name="Финансовый 2 4 3 2 2 5" xfId="25127" xr:uid="{356ED7D5-C758-4D23-B837-287B94D6AEA4}"/>
    <cellStyle name="Финансовый 2 4 3 2 2 6" xfId="38203" xr:uid="{8D6E9CC5-4819-4585-9B74-5E939CCCA380}"/>
    <cellStyle name="Финансовый 2 4 3 2 3" xfId="9628" xr:uid="{D43E0F53-D608-4720-9041-0870C2CC225B}"/>
    <cellStyle name="Финансовый 2 4 3 2 3 2" xfId="18693" xr:uid="{ECE333B9-E411-4D3E-BFD2-897C711BF562}"/>
    <cellStyle name="Финансовый 2 4 3 2 3 3" xfId="19967" xr:uid="{13137617-F35C-4CD3-A263-F65B75F1342A}"/>
    <cellStyle name="Финансовый 2 4 3 2 3 4" xfId="26969" xr:uid="{161BC1D0-17B8-475B-AF96-2E25EE77A81C}"/>
    <cellStyle name="Финансовый 2 4 3 2 3 5" xfId="40055" xr:uid="{34CB085B-1A40-447B-9F96-A645365977FB}"/>
    <cellStyle name="Финансовый 2 4 3 2 4" xfId="17998" xr:uid="{D6A39AD6-A459-43FE-9E73-1BF50DB5C56E}"/>
    <cellStyle name="Финансовый 2 4 3 2 5" xfId="19440" xr:uid="{354BEC14-FDEA-42CE-8956-50C3AA5B2758}"/>
    <cellStyle name="Финансовый 2 4 3 2 6" xfId="22727" xr:uid="{3F257A34-E44D-4FD8-9DBE-CE4CBE7DBBEE}"/>
    <cellStyle name="Финансовый 2 4 3 2 7" xfId="35780" xr:uid="{84943C07-BB4A-4AD9-ACBD-DB85722FD51B}"/>
    <cellStyle name="Финансовый 2 4 3 3" xfId="5953" xr:uid="{699C412F-3991-4033-9FF5-27CA682C1461}"/>
    <cellStyle name="Финансовый 2 4 3 3 2" xfId="9879" xr:uid="{E7EF1770-AA8B-4C8A-A9CF-0C520D4CDA62}"/>
    <cellStyle name="Финансовый 2 4 3 3 2 2" xfId="18843" xr:uid="{E5F4DD71-2F4F-4F2B-A28A-60708CC1F330}"/>
    <cellStyle name="Финансовый 2 4 3 3 2 3" xfId="20105" xr:uid="{B93F98D0-DBE3-4405-AABF-E92619E03340}"/>
    <cellStyle name="Финансовый 2 4 3 3 2 4" xfId="27175" xr:uid="{FF06C191-9B99-429D-AF2A-A7AA199513F0}"/>
    <cellStyle name="Финансовый 2 4 3 3 2 5" xfId="40294" xr:uid="{506BEE7E-8BC9-4B1D-A047-ED07158CBF92}"/>
    <cellStyle name="Финансовый 2 4 3 3 3" xfId="18139" xr:uid="{794D2B55-50B9-41F5-8C16-DB1392F94A36}"/>
    <cellStyle name="Финансовый 2 4 3 3 4" xfId="19578" xr:uid="{FB3E0B17-C801-472A-BE7F-BFED2D7A38C3}"/>
    <cellStyle name="Финансовый 2 4 3 3 5" xfId="23600" xr:uid="{A7CCB02C-6580-402C-8935-AA3D60CD70A1}"/>
    <cellStyle name="Финансовый 2 4 3 3 6" xfId="36681" xr:uid="{B6BA03FF-8A46-423E-BC32-0BFFC9174997}"/>
    <cellStyle name="Финансовый 2 4 3 4" xfId="6035" xr:uid="{1C49ECDB-8C11-4F7D-B344-7B6743447214}"/>
    <cellStyle name="Финансовый 2 4 3 4 2" xfId="9954" xr:uid="{7F1DF8BC-1C2D-47F4-9DDD-77622002885D}"/>
    <cellStyle name="Финансовый 2 4 3 4 2 2" xfId="18918" xr:uid="{749AC45A-6342-4539-83E4-C3098C286152}"/>
    <cellStyle name="Финансовый 2 4 3 4 2 3" xfId="20180" xr:uid="{5FECEAB9-30D3-47CC-8908-58E3D8B77696}"/>
    <cellStyle name="Финансовый 2 4 3 4 2 4" xfId="27250" xr:uid="{2437505F-71DD-4BA2-BD19-A84E58F75CCD}"/>
    <cellStyle name="Финансовый 2 4 3 4 2 5" xfId="40369" xr:uid="{4B61A505-1932-4966-B004-B5DA24DA9FE6}"/>
    <cellStyle name="Финансовый 2 4 3 4 3" xfId="18214" xr:uid="{DEAB0502-B0DE-4D62-B6C6-CBF783AFF5B5}"/>
    <cellStyle name="Финансовый 2 4 3 4 4" xfId="19653" xr:uid="{497240AD-EBEF-4EA5-A372-71101517A502}"/>
    <cellStyle name="Финансовый 2 4 3 4 5" xfId="23681" xr:uid="{C0B0D21B-3451-47A3-A50F-30F5E686D465}"/>
    <cellStyle name="Финансовый 2 4 3 4 6" xfId="36762" xr:uid="{1215B1DB-8BF3-499F-9714-847A0A3590CD}"/>
    <cellStyle name="Финансовый 2 4 3 5" xfId="6120" xr:uid="{E001D556-94D1-428B-8219-C3C30BCA7AD1}"/>
    <cellStyle name="Финансовый 2 4 3 5 2" xfId="10029" xr:uid="{2AF2FF61-EB38-4A94-859C-8EAF285786BD}"/>
    <cellStyle name="Финансовый 2 4 3 5 2 2" xfId="18993" xr:uid="{D86D367F-D2A2-4ACE-A6AE-08B459174FAD}"/>
    <cellStyle name="Финансовый 2 4 3 5 2 3" xfId="20255" xr:uid="{B11D18A6-230A-4ABA-8C65-F2FC4935133C}"/>
    <cellStyle name="Финансовый 2 4 3 5 2 4" xfId="27325" xr:uid="{146B4AA4-66D7-4365-A132-9E43ED0F3595}"/>
    <cellStyle name="Финансовый 2 4 3 5 2 5" xfId="40444" xr:uid="{F53A051A-9906-45A5-BDBF-32DF7B8438CB}"/>
    <cellStyle name="Финансовый 2 4 3 5 3" xfId="18289" xr:uid="{E341782E-9D88-42BA-94FD-34DE614B61D0}"/>
    <cellStyle name="Финансовый 2 4 3 5 4" xfId="19728" xr:uid="{C7ED75D6-1C0E-46D0-B430-F9063EF91CB3}"/>
    <cellStyle name="Финансовый 2 4 3 5 5" xfId="23766" xr:uid="{3F214FA7-208A-4068-B894-9E5BF18AFC07}"/>
    <cellStyle name="Финансовый 2 4 3 5 6" xfId="36847" xr:uid="{2CE139D2-B09C-499C-B789-75FF7E282337}"/>
    <cellStyle name="Финансовый 2 4 3 6" xfId="9517" xr:uid="{E9A51555-638B-4E51-9112-7604FC547DCD}"/>
    <cellStyle name="Финансовый 2 4 3 6 2" xfId="18585" xr:uid="{F6685701-BCF0-4237-8ACF-A427C12E2589}"/>
    <cellStyle name="Финансовый 2 4 3 6 3" xfId="19883" xr:uid="{CF5EEC56-760D-4982-823E-91F0AD1B58DA}"/>
    <cellStyle name="Финансовый 2 4 3 6 4" xfId="26885" xr:uid="{E5AF37FB-41F8-4D10-B68D-42437FDC9CC1}"/>
    <cellStyle name="Финансовый 2 4 3 6 5" xfId="39968" xr:uid="{E4536EB6-6A7A-4C97-855E-5FC3F6C9BFEB}"/>
    <cellStyle name="Финансовый 2 4 3 7" xfId="17900" xr:uid="{E7EC07EF-4FEA-465A-AE46-CD6914EA4625}"/>
    <cellStyle name="Финансовый 2 4 3 8" xfId="19356" xr:uid="{E501F538-21E1-4F3F-BC15-A3E73A90EC6E}"/>
    <cellStyle name="Финансовый 2 4 3 9" xfId="21867" xr:uid="{C101B9A5-DEB1-41E2-A9E9-0A91401C38ED}"/>
    <cellStyle name="Финансовый 2 4 4" xfId="5072" xr:uid="{6339FB77-0FDC-45E2-9FC2-2379AA526270}"/>
    <cellStyle name="Финансовый 2 4 4 2" xfId="9654" xr:uid="{66FD4045-66B0-4D75-9EA9-1540D216FC07}"/>
    <cellStyle name="Финансовый 2 4 4 2 2" xfId="18705" xr:uid="{71BFC0D3-0CCA-41BE-A2D3-521FF221B603}"/>
    <cellStyle name="Финансовый 2 4 4 2 3" xfId="19972" xr:uid="{9A34E786-4DF0-4ECC-802A-75ECAF18FCF5}"/>
    <cellStyle name="Финансовый 2 4 4 2 4" xfId="26974" xr:uid="{5CA0F013-091D-40C0-A8B8-62E9C3024CA7}"/>
    <cellStyle name="Финансовый 2 4 4 2 5" xfId="40074" xr:uid="{ADEA89D3-B863-44B0-AEC4-98AD82A2396B}"/>
    <cellStyle name="Финансовый 2 4 4 3" xfId="18004" xr:uid="{72580209-85C4-4E3B-8B13-1B61F360463A}"/>
    <cellStyle name="Финансовый 2 4 4 4" xfId="19445" xr:uid="{DC5EB45A-9717-4002-8EC4-B26979FDC49F}"/>
    <cellStyle name="Финансовый 2 4 4 5" xfId="22815" xr:uid="{D96E7558-4CD0-4543-BBD5-1088C73EE868}"/>
    <cellStyle name="Финансовый 2 4 4 6" xfId="35882" xr:uid="{EE991BD4-9504-4282-932C-A61E3A5BBA8E}"/>
    <cellStyle name="Финансовый 2 4 5" xfId="10512" xr:uid="{9C49740A-3B73-4944-8B7F-9A328A238AD1}"/>
    <cellStyle name="Финансовый 2 4 6" xfId="17712" xr:uid="{4136A79F-C4AD-4297-A4B5-315F1910CAB5}"/>
    <cellStyle name="Финансовый 2 4 6 2" xfId="19218" xr:uid="{143E463D-EB67-44D7-B9A9-D2F57048F28D}"/>
    <cellStyle name="Финансовый 2 4 6 3" xfId="20373" xr:uid="{837AEB64-1573-4B01-8419-0F14CF1A0FF8}"/>
    <cellStyle name="Финансовый 2 4 6 4" xfId="33434" xr:uid="{73919D1A-B1E3-48B9-A052-ECA0A2EBEA36}"/>
    <cellStyle name="Финансовый 2 4 6 5" xfId="47223" xr:uid="{48AB8BBD-8E7B-4382-9D98-5E5E1E7F1183}"/>
    <cellStyle name="Финансовый 2 4 7" xfId="20465" xr:uid="{DCD7AD34-CADD-4638-ACC4-CF06CAE7EDE3}"/>
    <cellStyle name="Финансовый 2 5" xfId="2489" xr:uid="{EF46031F-B7B0-4379-899E-AE76C08F07C9}"/>
    <cellStyle name="Финансовый 2 5 10" xfId="17641" xr:uid="{39994656-8194-488E-8D02-1D1F767E9E1C}"/>
    <cellStyle name="Финансовый 2 5 10 2" xfId="19182" xr:uid="{B2CC2310-9896-4898-B16C-C4A5D52EAFE1}"/>
    <cellStyle name="Финансовый 2 5 10 3" xfId="20337" xr:uid="{9479F56A-03FB-4968-8E82-9E98D32B5408}"/>
    <cellStyle name="Финансовый 2 5 10 4" xfId="33369" xr:uid="{FFC7295C-980E-41F7-8AAF-A9BD6F3C21E0}"/>
    <cellStyle name="Финансовый 2 5 10 5" xfId="47158" xr:uid="{C7CFCAA9-FBFF-44E3-9C45-F710E2458D30}"/>
    <cellStyle name="Финансовый 2 5 11" xfId="17823" xr:uid="{F1B8FB39-432F-4C47-B3A3-60C3AFC9DC66}"/>
    <cellStyle name="Финансовый 2 5 12" xfId="19279" xr:uid="{E0B5B982-9C2E-4728-8F48-C4802D086535}"/>
    <cellStyle name="Финансовый 2 5 13" xfId="20429" xr:uid="{8B9B5F62-D12A-4E19-93A3-524381351072}"/>
    <cellStyle name="Финансовый 2 5 14" xfId="20565" xr:uid="{FF50867D-3429-4BB6-8112-D239A57D5ADD}"/>
    <cellStyle name="Финансовый 2 5 15" xfId="33588" xr:uid="{66F2A7F7-D7CF-4AAA-B8AB-9E57738CAC9F}"/>
    <cellStyle name="Финансовый 2 5 2" xfId="4032" xr:uid="{A5A6D3CE-0104-48BC-8AF2-176DDD0E3309}"/>
    <cellStyle name="Финансовый 2 5 2 10" xfId="20474" xr:uid="{FC20D688-0EED-4581-9D9C-6E1926F22372}"/>
    <cellStyle name="Финансовый 2 5 2 11" xfId="21874" xr:uid="{FC6DDCBA-0429-4C78-BA2B-33FA387E06C3}"/>
    <cellStyle name="Финансовый 2 5 2 12" xfId="34923" xr:uid="{1B97CCBB-C8F6-4630-A034-DABC54E02D62}"/>
    <cellStyle name="Финансовый 2 5 2 2" xfId="4570" xr:uid="{A1DE1CAD-45CE-4FF5-9966-4079BCFBFE85}"/>
    <cellStyle name="Финансовый 2 5 2 2 2" xfId="7606" xr:uid="{9BD5CB41-5790-4E13-B706-0A96D21DAB3D}"/>
    <cellStyle name="Финансовый 2 5 2 2 2 2" xfId="10133" xr:uid="{CE3131CC-1774-4230-9447-29B09F1A6DDC}"/>
    <cellStyle name="Финансовый 2 5 2 2 2 2 2" xfId="19096" xr:uid="{CC6A1B90-4933-407F-B035-31A1406F3CF7}"/>
    <cellStyle name="Финансовый 2 5 2 2 2 2 3" xfId="20316" xr:uid="{1AE089F8-E94A-4189-AB79-5A80444FA0E0}"/>
    <cellStyle name="Финансовый 2 5 2 2 2 2 4" xfId="27386" xr:uid="{00AF0557-DB14-45A3-A959-BBC0653CF91D}"/>
    <cellStyle name="Финансовый 2 5 2 2 2 2 5" xfId="40505" xr:uid="{71281B4A-F543-4E75-AD80-D5F1EB84036A}"/>
    <cellStyle name="Финансовый 2 5 2 2 2 3" xfId="18391" xr:uid="{11CEE906-8BF5-4A14-9B98-CF01CFF48417}"/>
    <cellStyle name="Финансовый 2 5 2 2 2 4" xfId="19789" xr:uid="{CF97C400-7150-4B3C-8A68-6E50CE955E39}"/>
    <cellStyle name="Финансовый 2 5 2 2 2 5" xfId="25134" xr:uid="{319D3B80-48F3-4FE5-BBB1-FF0511D830EC}"/>
    <cellStyle name="Финансовый 2 5 2 2 2 6" xfId="38210" xr:uid="{0412E5A6-A3F6-4987-AE50-15DA359DCD22}"/>
    <cellStyle name="Финансовый 2 5 2 2 3" xfId="9564" xr:uid="{00044EB4-B273-492C-8829-324264887E2D}"/>
    <cellStyle name="Финансовый 2 5 2 2 3 2" xfId="18632" xr:uid="{C073C84F-5532-478B-AEFB-7E5F086E67D8}"/>
    <cellStyle name="Финансовый 2 5 2 2 3 3" xfId="19920" xr:uid="{4BE2D3D0-5C51-4AE2-8559-3C0F3C7B3970}"/>
    <cellStyle name="Финансовый 2 5 2 2 3 4" xfId="26922" xr:uid="{EFEB8398-A47F-4041-B8B5-5CA9C0E04A26}"/>
    <cellStyle name="Финансовый 2 5 2 2 3 5" xfId="40005" xr:uid="{7B23ED99-03D7-498D-8DB2-EBF82448995E}"/>
    <cellStyle name="Финансовый 2 5 2 2 4" xfId="17939" xr:uid="{7B4668AD-CBD7-4B3C-A22B-A3CC0239229B}"/>
    <cellStyle name="Финансовый 2 5 2 2 5" xfId="19393" xr:uid="{41E9FDE5-310E-4D08-9C43-201B065327FB}"/>
    <cellStyle name="Финансовый 2 5 2 2 6" xfId="22386" xr:uid="{3189A5FA-8970-4234-A7D1-61041E95561E}"/>
    <cellStyle name="Финансовый 2 5 2 2 7" xfId="35435" xr:uid="{3EFE4CFD-3BAF-46CF-A53C-B523484DF087}"/>
    <cellStyle name="Финансовый 2 5 2 3" xfId="5960" xr:uid="{C0BE279C-86D2-4E67-9AD5-6F75882A62C0}"/>
    <cellStyle name="Финансовый 2 5 2 3 2" xfId="9881" xr:uid="{71858996-8A60-4A9C-9F25-8046FB407422}"/>
    <cellStyle name="Финансовый 2 5 2 3 2 2" xfId="18845" xr:uid="{5CFB53D2-C4BD-4631-944A-B259BFAAD2D2}"/>
    <cellStyle name="Финансовый 2 5 2 3 2 3" xfId="20107" xr:uid="{D2FF44C5-5797-467C-A0D6-6CDA07797907}"/>
    <cellStyle name="Финансовый 2 5 2 3 2 4" xfId="27177" xr:uid="{888A34A8-DFAD-4143-ABB2-7C8702106F99}"/>
    <cellStyle name="Финансовый 2 5 2 3 2 5" xfId="40296" xr:uid="{1CB345AD-604E-4E4A-8866-83181782FE0D}"/>
    <cellStyle name="Финансовый 2 5 2 3 3" xfId="18141" xr:uid="{0E3FF805-A906-4E94-AD8B-E2AE0420910A}"/>
    <cellStyle name="Финансовый 2 5 2 3 4" xfId="19580" xr:uid="{0950F29C-D375-40B0-A64F-335D3DB81B53}"/>
    <cellStyle name="Финансовый 2 5 2 3 5" xfId="23607" xr:uid="{5CB8DBAD-8FEA-4268-B598-4004640687DC}"/>
    <cellStyle name="Финансовый 2 5 2 3 6" xfId="36688" xr:uid="{199EBB7D-B9DC-4D49-99AF-1DA61FBE7A83}"/>
    <cellStyle name="Финансовый 2 5 2 4" xfId="6037" xr:uid="{3DC9B867-3AEB-4AB6-AF4B-33C2F5312ED8}"/>
    <cellStyle name="Финансовый 2 5 2 4 2" xfId="9956" xr:uid="{47AAE94C-9AA2-4CED-A12D-E6B9FABCF88A}"/>
    <cellStyle name="Финансовый 2 5 2 4 2 2" xfId="18920" xr:uid="{0C636957-CE4B-45FC-BC38-5A8028F94AC6}"/>
    <cellStyle name="Финансовый 2 5 2 4 2 3" xfId="20182" xr:uid="{834D29B8-0F12-4A5F-914C-448FA32E663B}"/>
    <cellStyle name="Финансовый 2 5 2 4 2 4" xfId="27252" xr:uid="{79649BA7-17BD-44AA-87CC-AB7C57F534A9}"/>
    <cellStyle name="Финансовый 2 5 2 4 2 5" xfId="40371" xr:uid="{C6501D3B-6C32-47F9-9DFC-587F531A5CBD}"/>
    <cellStyle name="Финансовый 2 5 2 4 3" xfId="18216" xr:uid="{A198F59C-230D-4BC7-9A08-FA4B6AABACA8}"/>
    <cellStyle name="Финансовый 2 5 2 4 4" xfId="19655" xr:uid="{7084960A-4FC0-44F5-90E2-D9CEEB1D2DAF}"/>
    <cellStyle name="Финансовый 2 5 2 4 5" xfId="23683" xr:uid="{C55EBFDF-718B-4057-B024-A4500F84E221}"/>
    <cellStyle name="Финансовый 2 5 2 4 6" xfId="36764" xr:uid="{D83FCDBF-CCE2-4177-9D3D-BE68276F1933}"/>
    <cellStyle name="Финансовый 2 5 2 5" xfId="6122" xr:uid="{B8ADDD55-FD10-4D9C-994F-AD0670222252}"/>
    <cellStyle name="Финансовый 2 5 2 5 2" xfId="10031" xr:uid="{998BB883-559A-45F8-88CD-AD5EE95B1D5A}"/>
    <cellStyle name="Финансовый 2 5 2 5 2 2" xfId="18995" xr:uid="{D815D2BC-0277-40CD-8C2E-72ADA6B6C639}"/>
    <cellStyle name="Финансовый 2 5 2 5 2 3" xfId="20257" xr:uid="{95EE0AA9-C9D2-4629-B716-4C3FC94C3830}"/>
    <cellStyle name="Финансовый 2 5 2 5 2 4" xfId="27327" xr:uid="{B2C48333-B88B-4E40-A127-29442EA2CF46}"/>
    <cellStyle name="Финансовый 2 5 2 5 2 5" xfId="40446" xr:uid="{7DD1F631-AA88-4013-8EFB-952CF359CE50}"/>
    <cellStyle name="Финансовый 2 5 2 5 3" xfId="18291" xr:uid="{7841076B-4969-4DE6-BAF6-FEF6B73D1028}"/>
    <cellStyle name="Финансовый 2 5 2 5 4" xfId="19730" xr:uid="{3534A90A-A17C-489E-BCBB-7214C10D0588}"/>
    <cellStyle name="Финансовый 2 5 2 5 5" xfId="23768" xr:uid="{FA2792AA-B5D9-492E-AAE9-38D2BB4A1FFC}"/>
    <cellStyle name="Финансовый 2 5 2 5 6" xfId="36849" xr:uid="{56B64FDE-7DF0-4B89-B84E-0D265970D15A}"/>
    <cellStyle name="Финансовый 2 5 2 6" xfId="9519" xr:uid="{B0D185D0-A7ED-43DE-A26C-EE2CC412E29C}"/>
    <cellStyle name="Финансовый 2 5 2 6 2" xfId="18587" xr:uid="{8430B37E-15D9-47D9-8A8E-69537CD8C231}"/>
    <cellStyle name="Финансовый 2 5 2 6 3" xfId="19885" xr:uid="{8CED9656-ABFF-4FC2-AB50-14263FF413DB}"/>
    <cellStyle name="Финансовый 2 5 2 6 4" xfId="26887" xr:uid="{8984BC79-68A5-4647-853B-56E05F753C7A}"/>
    <cellStyle name="Финансовый 2 5 2 6 5" xfId="39970" xr:uid="{A2B7419B-5F71-49D1-8AC9-39AD2413F142}"/>
    <cellStyle name="Финансовый 2 5 2 7" xfId="17721" xr:uid="{EC52AB5C-6F06-47C3-B48A-3497B0A02E0B}"/>
    <cellStyle name="Финансовый 2 5 2 7 2" xfId="19227" xr:uid="{B769B716-D39F-4B4B-898C-9188EBAC7B5A}"/>
    <cellStyle name="Финансовый 2 5 2 7 3" xfId="20382" xr:uid="{26EF65C1-910C-4E59-BD25-118B8A88A036}"/>
    <cellStyle name="Финансовый 2 5 2 7 4" xfId="33443" xr:uid="{1705DCFE-7848-4C17-BF4C-8B7A67A1E766}"/>
    <cellStyle name="Финансовый 2 5 2 7 5" xfId="47232" xr:uid="{D295BDFF-0B51-49C2-B743-FEDD1ECF3984}"/>
    <cellStyle name="Финансовый 2 5 2 8" xfId="17902" xr:uid="{8FFDD652-6557-497D-8993-6AA8488C3B47}"/>
    <cellStyle name="Финансовый 2 5 2 9" xfId="19358" xr:uid="{C51CE230-30C9-4041-B913-26FD654D6FFC}"/>
    <cellStyle name="Финансовый 2 5 3" xfId="3281" xr:uid="{7C4E8818-9BF2-429A-A9E4-D310E37463E1}"/>
    <cellStyle name="Финансовый 2 5 3 2" xfId="5075" xr:uid="{DC580FDC-B018-4291-A86B-D884D74B33CF}"/>
    <cellStyle name="Финансовый 2 5 3 2 2" xfId="9656" xr:uid="{988D69AF-D8BF-414D-BFDA-B2F40F48B285}"/>
    <cellStyle name="Финансовый 2 5 3 2 2 2" xfId="18706" xr:uid="{23FD1B45-D49D-4C80-A1A5-F0209868AB96}"/>
    <cellStyle name="Финансовый 2 5 3 2 2 3" xfId="19973" xr:uid="{EA2DAECB-E45B-49DC-AA04-01CA81829873}"/>
    <cellStyle name="Финансовый 2 5 3 2 2 4" xfId="26975" xr:uid="{4F7F3AF2-A41F-49E9-9C27-2F732C1CBCB2}"/>
    <cellStyle name="Финансовый 2 5 3 2 2 5" xfId="40076" xr:uid="{DD3AECE3-E62A-40AA-A73C-5F831C385A56}"/>
    <cellStyle name="Финансовый 2 5 3 2 3" xfId="18005" xr:uid="{9B5B874D-0FE4-4CB1-8B2C-14C935379E8B}"/>
    <cellStyle name="Финансовый 2 5 3 2 4" xfId="19446" xr:uid="{7B8AC788-C650-487D-BB31-41873528E7F8}"/>
    <cellStyle name="Финансовый 2 5 3 2 5" xfId="22816" xr:uid="{29B01F70-BF3D-40BC-BFF5-768696382DE0}"/>
    <cellStyle name="Финансовый 2 5 3 2 6" xfId="35884" xr:uid="{07A1AB94-31AE-441E-BFE4-C51A14ED5E95}"/>
    <cellStyle name="Финансовый 2 5 3 3" xfId="6934" xr:uid="{5E085BA9-997B-4B3C-8B7B-923F6B9E53AB}"/>
    <cellStyle name="Финансовый 2 5 3 3 2" xfId="10076" xr:uid="{80EF59CA-2996-44F2-8A28-E74FCF32DA64}"/>
    <cellStyle name="Финансовый 2 5 3 3 2 2" xfId="19039" xr:uid="{9A743F38-9618-479B-AA7C-D75091830588}"/>
    <cellStyle name="Финансовый 2 5 3 3 2 3" xfId="20278" xr:uid="{C6D13AAD-D381-43D6-88C0-03023ED4F9A0}"/>
    <cellStyle name="Финансовый 2 5 3 3 2 4" xfId="27348" xr:uid="{0FAFC995-01CA-4E50-8DEE-5D4F78E24E54}"/>
    <cellStyle name="Финансовый 2 5 3 3 2 5" xfId="40467" xr:uid="{CEE363DC-9C1A-4259-B433-C9BF9608A4BF}"/>
    <cellStyle name="Финансовый 2 5 3 3 3" xfId="18335" xr:uid="{57C736C1-236C-476A-80EF-0D189A54D567}"/>
    <cellStyle name="Финансовый 2 5 3 3 4" xfId="19751" xr:uid="{201B18BD-A765-41E7-B523-7A9F140F36AE}"/>
    <cellStyle name="Финансовый 2 5 3 3 5" xfId="24556" xr:uid="{7C34090C-2728-4ADA-BCBD-70C8099B0B41}"/>
    <cellStyle name="Финансовый 2 5 3 3 6" xfId="37637" xr:uid="{D9A08ED4-2A3E-47E1-BE02-3AAE52F9021F}"/>
    <cellStyle name="Финансовый 2 5 3 4" xfId="9443" xr:uid="{A302CB5E-3F15-4651-8C67-41226E82D0D2}"/>
    <cellStyle name="Финансовый 2 5 3 4 2" xfId="18513" xr:uid="{B2AAA554-2F1A-45A5-AF61-E0D166A5820F}"/>
    <cellStyle name="Финансовый 2 5 3 4 3" xfId="19830" xr:uid="{1615B464-AF63-4D6F-9E78-A701D4B6BD90}"/>
    <cellStyle name="Финансовый 2 5 3 4 4" xfId="26832" xr:uid="{11D89540-CE68-4444-A167-0CEDD06F9143}"/>
    <cellStyle name="Финансовый 2 5 3 4 5" xfId="39913" xr:uid="{30F041AB-4C8D-47E9-B0AC-7C3C0C17B8A6}"/>
    <cellStyle name="Финансовый 2 5 3 5" xfId="17847" xr:uid="{90E28FB4-5F17-4DD0-BE4C-62E5B3E26799}"/>
    <cellStyle name="Финансовый 2 5 3 6" xfId="19303" xr:uid="{6702EBEB-4A08-46AC-A7D4-AAE2A5D20AEB}"/>
    <cellStyle name="Финансовый 2 5 3 7" xfId="21308" xr:uid="{3CFE1DE3-D364-48F3-81D3-636A034920C4}"/>
    <cellStyle name="Финансовый 2 5 3 8" xfId="34331" xr:uid="{ABF4255B-F7EB-40F8-8021-9F879C681628}"/>
    <cellStyle name="Финансовый 2 5 4" xfId="4319" xr:uid="{E68AC8B5-FF68-4C40-9837-4C7B055A135D}"/>
    <cellStyle name="Финансовый 2 5 4 2" xfId="9547" xr:uid="{DF939D1E-5C6D-49B4-881C-C744BE947D64}"/>
    <cellStyle name="Финансовый 2 5 4 2 2" xfId="18615" xr:uid="{736BA3E5-3F59-4738-8870-B0D4EE3B9BFA}"/>
    <cellStyle name="Финансовый 2 5 4 2 3" xfId="19905" xr:uid="{252E5E0A-BACD-483B-9B51-285B7686AA0D}"/>
    <cellStyle name="Финансовый 2 5 4 2 4" xfId="26907" xr:uid="{FE5C3558-C16B-48A0-AD50-861F15CAD514}"/>
    <cellStyle name="Финансовый 2 5 4 2 5" xfId="39990" xr:uid="{6F2D0A2F-F35E-4E5F-B831-86D998C94D12}"/>
    <cellStyle name="Финансовый 2 5 4 3" xfId="17922" xr:uid="{97960B71-6FD0-4599-9309-D5EC23156F22}"/>
    <cellStyle name="Финансовый 2 5 4 4" xfId="19378" xr:uid="{187F837B-B0C2-428D-8973-C78BE2D11FEE}"/>
    <cellStyle name="Финансовый 2 5 4 5" xfId="22139" xr:uid="{7DF89DA8-ACB6-40DC-9FCC-8D85081A1C73}"/>
    <cellStyle name="Финансовый 2 5 4 6" xfId="35188" xr:uid="{8D56DD35-8917-4578-BC24-5C93B24ACCFB}"/>
    <cellStyle name="Финансовый 2 5 5" xfId="5299" xr:uid="{49C43674-282B-4A9F-93F4-A2E066A31524}"/>
    <cellStyle name="Финансовый 2 5 5 2" xfId="9731" xr:uid="{155EB25D-D8BC-4AC5-8F00-7BB23A4A29B3}"/>
    <cellStyle name="Финансовый 2 5 5 2 2" xfId="18736" xr:uid="{907C894F-2C49-4449-8C4E-BA2FF94E2495}"/>
    <cellStyle name="Финансовый 2 5 5 2 3" xfId="19999" xr:uid="{05CF0B7C-EC4A-4722-9AE7-4652E8CF3378}"/>
    <cellStyle name="Финансовый 2 5 5 2 4" xfId="27030" xr:uid="{F64FDC08-65FE-4CF2-89E4-2CB6342082C6}"/>
    <cellStyle name="Финансовый 2 5 5 2 5" xfId="40147" xr:uid="{F7C43FB8-C77F-4032-BE10-9D9FAB2BD770}"/>
    <cellStyle name="Финансовый 2 5 5 3" xfId="18033" xr:uid="{142B3E5A-FA62-4D4D-926E-76904C1A3219}"/>
    <cellStyle name="Финансовый 2 5 5 4" xfId="19472" xr:uid="{99DF4924-EDD6-4090-94B4-CCC4CF6901C0}"/>
    <cellStyle name="Финансовый 2 5 5 5" xfId="22949" xr:uid="{EFBB3B21-69A6-4B5A-A561-9AD1E4A3A605}"/>
    <cellStyle name="Финансовый 2 5 5 6" xfId="36028" xr:uid="{15B84EE5-BE42-448D-AAF8-D721BE5D4969}"/>
    <cellStyle name="Финансовый 2 5 6" xfId="5374" xr:uid="{0B9FA88D-F057-4FF8-9C4B-60B27ABACA38}"/>
    <cellStyle name="Финансовый 2 5 6 2" xfId="9805" xr:uid="{41EE23F1-2D10-4BC2-96F7-D000D73073CA}"/>
    <cellStyle name="Финансовый 2 5 6 2 2" xfId="18789" xr:uid="{D833D031-D9B5-4C51-89EE-22DC0C792921}"/>
    <cellStyle name="Финансовый 2 5 6 2 3" xfId="20052" xr:uid="{C1A7E3A7-CD71-40F3-8422-A8AF75969592}"/>
    <cellStyle name="Финансовый 2 5 6 2 4" xfId="27102" xr:uid="{D64CEBAA-3D0E-44B9-8AA6-3185267A3FF3}"/>
    <cellStyle name="Финансовый 2 5 6 2 5" xfId="40221" xr:uid="{C165093C-4724-46C0-A5AC-8B76E0144CAC}"/>
    <cellStyle name="Финансовый 2 5 6 3" xfId="18086" xr:uid="{671B6031-ADB9-45A7-88E1-235B9395654A}"/>
    <cellStyle name="Финансовый 2 5 6 4" xfId="19525" xr:uid="{ED5EA9EB-AA36-4F4A-BDF2-17924F964796}"/>
    <cellStyle name="Финансовый 2 5 6 5" xfId="23021" xr:uid="{0D33F911-841B-41FB-8A7B-ED2B89CF1B37}"/>
    <cellStyle name="Финансовый 2 5 6 6" xfId="36102" xr:uid="{26F04021-1239-4444-A7B2-240D60911977}"/>
    <cellStyle name="Финансовый 2 5 7" xfId="5982" xr:uid="{279366C8-DF5E-4058-8C2F-D452601717F7}"/>
    <cellStyle name="Финансовый 2 5 7 2" xfId="9901" xr:uid="{D59D6445-0E19-4E55-9FC9-F2E0936F548C}"/>
    <cellStyle name="Финансовый 2 5 7 2 2" xfId="18865" xr:uid="{2D16D812-87BB-42E7-9A79-71CD35CCAFD8}"/>
    <cellStyle name="Финансовый 2 5 7 2 3" xfId="20127" xr:uid="{9C8E2AD0-AB1E-4687-B14E-038E081EDA02}"/>
    <cellStyle name="Финансовый 2 5 7 2 4" xfId="27197" xr:uid="{C8B9DF63-A6B8-4900-8AB1-9B92E6FE825B}"/>
    <cellStyle name="Финансовый 2 5 7 2 5" xfId="40316" xr:uid="{61347A16-9B17-4F60-BC8D-175BC5B0C81E}"/>
    <cellStyle name="Финансовый 2 5 7 3" xfId="18161" xr:uid="{84572DF9-FAAF-414B-9980-2D6C190FC42A}"/>
    <cellStyle name="Финансовый 2 5 7 4" xfId="19600" xr:uid="{B88CA862-BDD7-485F-BEBD-FA1DDEA995DB}"/>
    <cellStyle name="Финансовый 2 5 7 5" xfId="23628" xr:uid="{D859653C-1894-461D-9551-6D74E6D60357}"/>
    <cellStyle name="Финансовый 2 5 7 6" xfId="36709" xr:uid="{73EAB083-17DB-4B86-9909-2D99088F9323}"/>
    <cellStyle name="Финансовый 2 5 8" xfId="6057" xr:uid="{632F14EF-B15C-44A0-8938-759F60080E0A}"/>
    <cellStyle name="Финансовый 2 5 8 2" xfId="9976" xr:uid="{064BDFD1-6BF1-4F61-8A09-29717EBD5D1F}"/>
    <cellStyle name="Финансовый 2 5 8 2 2" xfId="18940" xr:uid="{FBF17799-C763-447F-A4C2-66ECFE93D44F}"/>
    <cellStyle name="Финансовый 2 5 8 2 3" xfId="20202" xr:uid="{62679C67-F248-4E31-B4E9-C45F1D7CD09A}"/>
    <cellStyle name="Финансовый 2 5 8 2 4" xfId="27272" xr:uid="{9A639A14-86CE-46DC-8D0A-80853413CC19}"/>
    <cellStyle name="Финансовый 2 5 8 2 5" xfId="40391" xr:uid="{9B8EB35F-1E73-4CCC-8BEC-199C22DC26DF}"/>
    <cellStyle name="Финансовый 2 5 8 3" xfId="18236" xr:uid="{007C8137-6CF0-41D1-A37D-E1D49B3E3ED2}"/>
    <cellStyle name="Финансовый 2 5 8 4" xfId="19675" xr:uid="{63054DA3-0BE7-48F6-8D27-1D4BBCA276FD}"/>
    <cellStyle name="Финансовый 2 5 8 5" xfId="23703" xr:uid="{4241A46A-828F-4796-B493-47AF4AF25297}"/>
    <cellStyle name="Финансовый 2 5 8 6" xfId="36784" xr:uid="{0BAF1B97-DCCA-451F-8AE7-49B398E3498B}"/>
    <cellStyle name="Финансовый 2 5 9" xfId="9396" xr:uid="{B011A41C-FFF5-42A7-8E61-829E5B041C15}"/>
    <cellStyle name="Финансовый 2 5 9 2" xfId="18466" xr:uid="{81FA5A5E-764F-4D63-B95B-A04D29BD9E7C}"/>
    <cellStyle name="Финансовый 2 5 9 3" xfId="19806" xr:uid="{29059212-6A0C-459E-B6FC-B147A4F68AAE}"/>
    <cellStyle name="Финансовый 2 5 9 4" xfId="26808" xr:uid="{CD04ED6B-F91F-4DD6-A58D-B318C1F492C1}"/>
    <cellStyle name="Финансовый 2 5 9 5" xfId="39889" xr:uid="{05476920-B55A-4C39-8925-C78B5831F569}"/>
    <cellStyle name="Финансовый 2 6" xfId="2495" xr:uid="{63F3A9CA-E78A-4C6E-BC7E-77742EBF8E84}"/>
    <cellStyle name="Финансовый 2 6 2" xfId="17718" xr:uid="{2620858F-AA22-4A4B-B40D-34A0D0B8074C}"/>
    <cellStyle name="Финансовый 2 6 2 2" xfId="19224" xr:uid="{DE1AD26A-B8E3-4F6E-8376-C987E6F93FB7}"/>
    <cellStyle name="Финансовый 2 6 2 3" xfId="20379" xr:uid="{C7AAEA1A-8E26-4D7C-9DA1-3BE9865F6F06}"/>
    <cellStyle name="Финансовый 2 6 2 4" xfId="33440" xr:uid="{A9CF59D3-250F-469C-B4D2-2490F696080C}"/>
    <cellStyle name="Финансовый 2 6 2 5" xfId="47229" xr:uid="{E44C0414-C9D5-4201-9021-8420CC088B31}"/>
    <cellStyle name="Финансовый 2 6 3" xfId="20471" xr:uid="{10CAEE15-4436-4355-9C72-114A1C6AFB88}"/>
    <cellStyle name="Финансовый 2 7" xfId="3854" xr:uid="{3E6CB5B1-73AA-4F2A-A122-C4D8F08DD49C}"/>
    <cellStyle name="Финансовый 2 7 10" xfId="34786" xr:uid="{F537F405-30C4-400E-A590-968E8311488E}"/>
    <cellStyle name="Финансовый 2 7 2" xfId="4567" xr:uid="{73D90217-EDE3-4A33-ACAA-191332DF27F3}"/>
    <cellStyle name="Финансовый 2 7 2 2" xfId="7440" xr:uid="{923D6DFC-D7A4-41B0-A157-C62C6557A50D}"/>
    <cellStyle name="Финансовый 2 7 2 2 2" xfId="10112" xr:uid="{7ABEDEE7-AB46-4249-B4D1-60B9973352B5}"/>
    <cellStyle name="Финансовый 2 7 2 2 2 2" xfId="19075" xr:uid="{4BBE0C62-B8F6-46EB-A533-0AA2511F714C}"/>
    <cellStyle name="Финансовый 2 7 2 2 2 3" xfId="20300" xr:uid="{7519B83E-CCFE-4FDF-B907-F934D2FB2C33}"/>
    <cellStyle name="Финансовый 2 7 2 2 2 4" xfId="27370" xr:uid="{84A77ECA-DAE4-499E-B9ED-8937A44B6BB4}"/>
    <cellStyle name="Финансовый 2 7 2 2 2 5" xfId="40489" xr:uid="{3595CE03-9A90-49FB-A9FA-307CEA0CC9A2}"/>
    <cellStyle name="Финансовый 2 7 2 2 3" xfId="18370" xr:uid="{D15036FA-8985-445C-8C51-39097821251E}"/>
    <cellStyle name="Финансовый 2 7 2 2 4" xfId="19773" xr:uid="{EFB3437A-43FA-4E06-BD4B-4416E1EC75B0}"/>
    <cellStyle name="Финансовый 2 7 2 2 5" xfId="24997" xr:uid="{4846B04C-7955-4817-A118-219945D9FD03}"/>
    <cellStyle name="Финансовый 2 7 2 2 6" xfId="38073" xr:uid="{6C96ECF0-D062-4F71-87C6-D572AE0A309A}"/>
    <cellStyle name="Финансовый 2 7 2 3" xfId="9561" xr:uid="{6361EBF9-5055-4D46-B9C3-91CE34702B36}"/>
    <cellStyle name="Финансовый 2 7 2 3 2" xfId="18629" xr:uid="{C37E3DCD-9E90-4664-9C56-680F95232FCA}"/>
    <cellStyle name="Финансовый 2 7 2 3 3" xfId="19917" xr:uid="{2A1C39E4-BE69-4173-B563-D8EF5C7313FA}"/>
    <cellStyle name="Финансовый 2 7 2 3 4" xfId="26919" xr:uid="{D703F1A2-BF12-41BE-BACA-755566F1E8A8}"/>
    <cellStyle name="Финансовый 2 7 2 3 5" xfId="40002" xr:uid="{A82224E8-BF4A-4B57-92FD-404FAECCB3F0}"/>
    <cellStyle name="Финансовый 2 7 2 4" xfId="17936" xr:uid="{8808207D-CCBF-4BC1-951C-B581177FD1DE}"/>
    <cellStyle name="Финансовый 2 7 2 5" xfId="19390" xr:uid="{CF111AED-9C26-48F8-A4C2-E76F9DBAF818}"/>
    <cellStyle name="Финансовый 2 7 2 6" xfId="22383" xr:uid="{4A3C1F16-A7F5-4BB4-BD9D-98FD42FF1555}"/>
    <cellStyle name="Финансовый 2 7 2 7" xfId="35432" xr:uid="{293CE887-4EC9-4D8E-988A-CBEBFD6077F3}"/>
    <cellStyle name="Финансовый 2 7 3" xfId="5823" xr:uid="{E22CC883-891E-4D64-952F-54D3FE1B47A1}"/>
    <cellStyle name="Финансовый 2 7 3 2" xfId="9855" xr:uid="{0B2C1188-B818-4C16-867D-77E70337E398}"/>
    <cellStyle name="Финансовый 2 7 3 2 2" xfId="18829" xr:uid="{09520F01-F425-4E9D-9CC2-460CC1E4DE6A}"/>
    <cellStyle name="Финансовый 2 7 3 2 3" xfId="20091" xr:uid="{4D1C3096-069F-4528-8FEE-565DA3AA850B}"/>
    <cellStyle name="Финансовый 2 7 3 2 4" xfId="27151" xr:uid="{3D13BDD2-BFF7-47E9-848F-FD552AE6DD11}"/>
    <cellStyle name="Финансовый 2 7 3 2 5" xfId="40270" xr:uid="{80AC2AE3-70BB-418F-AFBF-CC3A6CAA8025}"/>
    <cellStyle name="Финансовый 2 7 3 3" xfId="18125" xr:uid="{04499ABA-A995-4F7C-87FE-34C0DE9E86EF}"/>
    <cellStyle name="Финансовый 2 7 3 4" xfId="19564" xr:uid="{691EAEE1-DBBA-4ACB-B368-C8C3BE70ECB1}"/>
    <cellStyle name="Финансовый 2 7 3 5" xfId="23470" xr:uid="{EE042B19-97CC-41F8-A063-8CC6DF935B96}"/>
    <cellStyle name="Финансовый 2 7 3 6" xfId="36551" xr:uid="{EAD88262-D9F2-4F7C-9B8C-5955B6FFDF77}"/>
    <cellStyle name="Финансовый 2 7 4" xfId="6021" xr:uid="{386ADAEA-5ED9-4DA7-BA26-509A4D49F505}"/>
    <cellStyle name="Финансовый 2 7 4 2" xfId="9940" xr:uid="{E50ED0DA-5CC1-41F8-8B8A-396E6D776675}"/>
    <cellStyle name="Финансовый 2 7 4 2 2" xfId="18904" xr:uid="{9AF1EC8B-2C5C-43C1-948D-0360DABAE5D6}"/>
    <cellStyle name="Финансовый 2 7 4 2 3" xfId="20166" xr:uid="{88821A04-AE3D-4685-8C07-66BCB68707EB}"/>
    <cellStyle name="Финансовый 2 7 4 2 4" xfId="27236" xr:uid="{D4F32E6E-4811-457E-8328-19C9258DCB56}"/>
    <cellStyle name="Финансовый 2 7 4 2 5" xfId="40355" xr:uid="{80B8F51F-8509-476D-BDAB-CCBD70B79729}"/>
    <cellStyle name="Финансовый 2 7 4 3" xfId="18200" xr:uid="{FDFEAA0E-3B77-4DE2-BA18-6E2C5399982D}"/>
    <cellStyle name="Финансовый 2 7 4 4" xfId="19639" xr:uid="{DA05186B-9024-4271-BE4B-C6688F5CFC75}"/>
    <cellStyle name="Финансовый 2 7 4 5" xfId="23667" xr:uid="{909D5472-349A-4C88-A2A7-72C9F797D020}"/>
    <cellStyle name="Финансовый 2 7 4 6" xfId="36748" xr:uid="{4CC4F675-9214-4E0F-9A08-7302898BF7E6}"/>
    <cellStyle name="Финансовый 2 7 5" xfId="6096" xr:uid="{1730DA62-9F86-4DD9-A2CF-BD16B66FEB69}"/>
    <cellStyle name="Финансовый 2 7 5 2" xfId="10015" xr:uid="{7603F3FE-B0A1-451C-93F1-43FDA50623EF}"/>
    <cellStyle name="Финансовый 2 7 5 2 2" xfId="18979" xr:uid="{3F014D3F-F60C-47B3-BE75-FC656E6899F2}"/>
    <cellStyle name="Финансовый 2 7 5 2 3" xfId="20241" xr:uid="{262769FE-86FF-4B97-BE43-2A59F2434811}"/>
    <cellStyle name="Финансовый 2 7 5 2 4" xfId="27311" xr:uid="{FF5B0C3E-E46D-458F-836C-A2D1183AEEC1}"/>
    <cellStyle name="Финансовый 2 7 5 2 5" xfId="40430" xr:uid="{E023C03F-AD93-4274-9B49-3C46C7946BBD}"/>
    <cellStyle name="Финансовый 2 7 5 3" xfId="18275" xr:uid="{CF490DEF-CE0C-4632-A527-AE459E8976D8}"/>
    <cellStyle name="Финансовый 2 7 5 4" xfId="19714" xr:uid="{8B412A4F-3215-4ADC-BC82-C9A3EAC10DE6}"/>
    <cellStyle name="Финансовый 2 7 5 5" xfId="23742" xr:uid="{BAA92CF5-71A2-436D-9708-C97A8212DA5E}"/>
    <cellStyle name="Финансовый 2 7 5 6" xfId="36823" xr:uid="{3A6F688A-1D4B-45E8-BD6E-67A5AC2602CB}"/>
    <cellStyle name="Финансовый 2 7 6" xfId="9498" xr:uid="{733EC4AC-F901-45F1-A086-FAE619D55A3D}"/>
    <cellStyle name="Финансовый 2 7 6 2" xfId="18566" xr:uid="{73B01632-F808-4F45-8409-8F26C422E0A9}"/>
    <cellStyle name="Финансовый 2 7 6 3" xfId="19869" xr:uid="{B9C152F3-1D0B-46FC-B0B6-8B6B76AD320E}"/>
    <cellStyle name="Финансовый 2 7 6 4" xfId="26871" xr:uid="{1CF0874D-F328-4824-8EE3-F7FD4AA57D1A}"/>
    <cellStyle name="Финансовый 2 7 6 5" xfId="39954" xr:uid="{14AE9037-C706-4C64-94DB-86B010013838}"/>
    <cellStyle name="Финансовый 2 7 7" xfId="17886" xr:uid="{1EE989A9-FCF2-48D0-B0DF-E756187DFA3E}"/>
    <cellStyle name="Финансовый 2 7 8" xfId="19342" xr:uid="{EB1892F9-FEEB-4AFD-8348-D1E9E4267A30}"/>
    <cellStyle name="Финансовый 2 7 9" xfId="21732" xr:uid="{9783F531-0DAD-47F3-BE1C-6063C767124B}"/>
    <cellStyle name="Финансовый 2 8" xfId="10509" xr:uid="{223B0C4B-4BBE-446E-9C69-FD85594E7DD8}"/>
    <cellStyle name="Финансовый 2 9" xfId="17638" xr:uid="{388C50DE-8740-4A94-9FB9-75C1A2AEF5F3}"/>
    <cellStyle name="Финансовый 2 9 2" xfId="19179" xr:uid="{5DE70AF2-1591-4FD5-9849-25EE01C25163}"/>
    <cellStyle name="Финансовый 2 9 3" xfId="20334" xr:uid="{40CC33A8-DBD1-4EA2-98A5-8F21239008ED}"/>
    <cellStyle name="Финансовый 2 9 4" xfId="33366" xr:uid="{F0207675-B9F5-4BD2-933F-C63211E43F66}"/>
    <cellStyle name="Финансовый 2 9 5" xfId="47155" xr:uid="{68236A2C-D989-4144-BB10-0494F823EFCF}"/>
    <cellStyle name="Финансовый 20" xfId="2658" xr:uid="{70FF9A5C-8B85-430A-9602-2CAB2152E35F}"/>
    <cellStyle name="Финансовый 21" xfId="2531" xr:uid="{E21C3A5C-FD47-43BF-8C91-1D992864D40F}"/>
    <cellStyle name="Финансовый 22" xfId="2567" xr:uid="{F720B2D3-CC39-43FC-AA90-675D77E2D09A}"/>
    <cellStyle name="Финансовый 23" xfId="4272" xr:uid="{AF1915E8-E99E-4FE7-9765-F26CBC7867E4}"/>
    <cellStyle name="Финансовый 24" xfId="4309" xr:uid="{3A7EF64F-ACD7-43CC-A14A-2347E02C2BCD}"/>
    <cellStyle name="Финансовый 25" xfId="4276" xr:uid="{5582DC66-3713-4897-BC6B-51116E975680}"/>
    <cellStyle name="Финансовый 26" xfId="4278" xr:uid="{C943DCB1-0E64-429F-A388-0859D170B35B}"/>
    <cellStyle name="Финансовый 27" xfId="4277" xr:uid="{B1AFD9CC-D848-4FCF-8967-4B8616A8AFAF}"/>
    <cellStyle name="Финансовый 28" xfId="5245" xr:uid="{17DFE8C7-8212-4684-A505-A1188F760E3C}"/>
    <cellStyle name="Финансовый 29" xfId="5248" xr:uid="{0FC98ABC-04C0-4D58-A688-7DBDED380119}"/>
    <cellStyle name="Финансовый 3" xfId="6" xr:uid="{63F5B2FF-D38A-42BF-86BA-31B0D4CD0ACC}"/>
    <cellStyle name="Финансовый 3 2" xfId="2452" xr:uid="{C315B091-630D-42A0-87AF-E28AA29E47CD}"/>
    <cellStyle name="Финансовый 3 2 2" xfId="10514" xr:uid="{BEFED518-2D14-4F41-B289-C3DBD64C0E16}"/>
    <cellStyle name="Финансовый 3 3" xfId="2487" xr:uid="{0DFA6133-837D-4C12-92A8-6CA50E627849}"/>
    <cellStyle name="Финансовый 3 3 10" xfId="17822" xr:uid="{E8DA6682-D71E-40D0-84D2-88231AD7345B}"/>
    <cellStyle name="Финансовый 3 3 11" xfId="19278" xr:uid="{30C90CDA-CFBA-4887-847D-BBAEC5048ECF}"/>
    <cellStyle name="Финансовый 3 3 12" xfId="20564" xr:uid="{BE36CC4E-3614-4ECB-92F3-132F0EE86B9E}"/>
    <cellStyle name="Финансовый 3 3 13" xfId="33587" xr:uid="{188895F8-D369-4244-B8A4-645B514291AD}"/>
    <cellStyle name="Финансовый 3 3 2" xfId="4014" xr:uid="{8C6E74B0-9F13-4769-9A33-92C5CFECFCA2}"/>
    <cellStyle name="Финансовый 3 3 3" xfId="3279" xr:uid="{3CACB194-24F7-4C49-9DAE-AA441FA11C0C}"/>
    <cellStyle name="Финансовый 3 3 3 2" xfId="6933" xr:uid="{DE12391D-DC78-41E5-BA8A-126D306CB609}"/>
    <cellStyle name="Финансовый 3 3 3 2 2" xfId="10075" xr:uid="{D502778D-34AF-40FF-B999-4865399929B0}"/>
    <cellStyle name="Финансовый 3 3 3 2 2 2" xfId="19038" xr:uid="{28CF0712-6F4C-45F9-8582-3C31DCDA07E3}"/>
    <cellStyle name="Финансовый 3 3 3 2 2 3" xfId="20277" xr:uid="{CF984EDE-55E4-4013-98D7-132D3EA42C06}"/>
    <cellStyle name="Финансовый 3 3 3 2 2 4" xfId="27347" xr:uid="{B2670544-B3EC-4112-92CD-BEDB128C3943}"/>
    <cellStyle name="Финансовый 3 3 3 2 2 5" xfId="40466" xr:uid="{32FAFD8C-F333-4670-BAAB-A07F3CDE1B1A}"/>
    <cellStyle name="Финансовый 3 3 3 2 3" xfId="18334" xr:uid="{91BA734A-61B8-41D0-9C65-ECC12C5B2E13}"/>
    <cellStyle name="Финансовый 3 3 3 2 4" xfId="19750" xr:uid="{E47D1C5F-0DD1-4368-973F-BF1DE9EDDFF8}"/>
    <cellStyle name="Финансовый 3 3 3 2 5" xfId="24555" xr:uid="{14BDBE94-D3BC-4A61-B80E-81389AF48602}"/>
    <cellStyle name="Финансовый 3 3 3 2 6" xfId="37636" xr:uid="{EA31F585-5E03-4B2D-AA4A-C4171011BA18}"/>
    <cellStyle name="Финансовый 3 3 3 3" xfId="9442" xr:uid="{A638A55B-2C2C-4322-A1D9-A088E7768255}"/>
    <cellStyle name="Финансовый 3 3 3 3 2" xfId="18512" xr:uid="{9DDE89EB-25E6-4D5E-B124-D59A81893BF8}"/>
    <cellStyle name="Финансовый 3 3 3 3 3" xfId="19829" xr:uid="{F45BFDDE-3BC6-4129-A028-A389DA28FBC4}"/>
    <cellStyle name="Финансовый 3 3 3 3 4" xfId="26831" xr:uid="{4BA4627F-2963-4676-800C-66F8D34D695A}"/>
    <cellStyle name="Финансовый 3 3 3 3 5" xfId="39912" xr:uid="{35D88968-B6EC-4E46-8E03-2397E97DA6BB}"/>
    <cellStyle name="Финансовый 3 3 3 4" xfId="17846" xr:uid="{D80A3514-4C7C-4D91-A4AB-C6737EEFFC87}"/>
    <cellStyle name="Финансовый 3 3 3 5" xfId="19302" xr:uid="{AB524F2A-7BD5-4985-99E9-863E011487FA}"/>
    <cellStyle name="Финансовый 3 3 3 6" xfId="21307" xr:uid="{D6D2B486-9EFE-4FB0-89AD-C4AF912E95A2}"/>
    <cellStyle name="Финансовый 3 3 3 7" xfId="34330" xr:uid="{48D19021-EDF6-4756-A818-7283DD5EA3E1}"/>
    <cellStyle name="Финансовый 3 3 4" xfId="4318" xr:uid="{FD671A1F-E862-4C54-91FB-774419C931E5}"/>
    <cellStyle name="Финансовый 3 3 4 2" xfId="9546" xr:uid="{9F2669D2-227C-4D33-8980-EAEEF8EFC79E}"/>
    <cellStyle name="Финансовый 3 3 4 2 2" xfId="18614" xr:uid="{40195FC0-5A11-41A8-A4B1-7275E7EFA07B}"/>
    <cellStyle name="Финансовый 3 3 4 2 3" xfId="19904" xr:uid="{D9877E00-169D-4C81-AA19-ED56FB0CCB1A}"/>
    <cellStyle name="Финансовый 3 3 4 2 4" xfId="26906" xr:uid="{FB7C0E24-EE28-4CBF-9BC8-94354AA5D8C6}"/>
    <cellStyle name="Финансовый 3 3 4 2 5" xfId="39989" xr:uid="{21FF5088-28F6-4596-85EC-251E7A3B5F1F}"/>
    <cellStyle name="Финансовый 3 3 4 3" xfId="17921" xr:uid="{E5CE2CEE-4465-4180-A495-575B6AFFAFAD}"/>
    <cellStyle name="Финансовый 3 3 4 4" xfId="19377" xr:uid="{151443AD-4159-4BD6-861C-447A9803BC80}"/>
    <cellStyle name="Финансовый 3 3 4 5" xfId="22138" xr:uid="{EC70930C-53C3-43B0-A285-F3C2E45AEF37}"/>
    <cellStyle name="Финансовый 3 3 4 6" xfId="35187" xr:uid="{03F52618-F10E-4F94-83A1-6DB4E8D870EF}"/>
    <cellStyle name="Финансовый 3 3 5" xfId="5298" xr:uid="{C0A6358E-7E2C-4A3A-A298-709D69AC1E21}"/>
    <cellStyle name="Финансовый 3 3 5 2" xfId="9730" xr:uid="{3560C6EE-72FC-4D35-94AE-CB95CA192438}"/>
    <cellStyle name="Финансовый 3 3 5 2 2" xfId="18735" xr:uid="{A741EF03-C1DF-4A9F-87F8-2FD80EED74E9}"/>
    <cellStyle name="Финансовый 3 3 5 2 3" xfId="19998" xr:uid="{7B6E900B-1F32-4A16-A434-BC72882D8C96}"/>
    <cellStyle name="Финансовый 3 3 5 2 4" xfId="27029" xr:uid="{05D72833-13E8-41D5-8A6B-EC950A359983}"/>
    <cellStyle name="Финансовый 3 3 5 2 5" xfId="40146" xr:uid="{2B9A730C-136E-4885-A1EC-F5E0312D8EAA}"/>
    <cellStyle name="Финансовый 3 3 5 3" xfId="18032" xr:uid="{A6676ACE-DD37-42E1-A58C-64C2A7F93C9A}"/>
    <cellStyle name="Финансовый 3 3 5 4" xfId="19471" xr:uid="{D25C828B-2C09-405B-911B-3F05C852AAB7}"/>
    <cellStyle name="Финансовый 3 3 5 5" xfId="22948" xr:uid="{88602963-25ED-4217-B4DC-B368207B199F}"/>
    <cellStyle name="Финансовый 3 3 5 6" xfId="36027" xr:uid="{CF07D0BF-954B-4844-AE38-F5BCF69A58B7}"/>
    <cellStyle name="Финансовый 3 3 6" xfId="5373" xr:uid="{D4305E99-57F8-4381-B6DA-4EEDF8975D7A}"/>
    <cellStyle name="Финансовый 3 3 6 2" xfId="9804" xr:uid="{29954BBD-4B8B-4A0E-A419-06FAEF14BAF2}"/>
    <cellStyle name="Финансовый 3 3 6 2 2" xfId="18788" xr:uid="{D9FE5FB8-8CF9-4CDF-BF24-80CA76E53115}"/>
    <cellStyle name="Финансовый 3 3 6 2 3" xfId="20051" xr:uid="{B38F576C-161E-4698-A82E-3F2BE2CF1300}"/>
    <cellStyle name="Финансовый 3 3 6 2 4" xfId="27101" xr:uid="{E8B970F9-F7F8-4275-BCA9-097B3602F5BE}"/>
    <cellStyle name="Финансовый 3 3 6 2 5" xfId="40220" xr:uid="{3768C5FA-5030-4CED-A466-BF35FA49933D}"/>
    <cellStyle name="Финансовый 3 3 6 3" xfId="18085" xr:uid="{B3C62D72-8D9C-46B5-A9EE-0A5934ECB7EB}"/>
    <cellStyle name="Финансовый 3 3 6 4" xfId="19524" xr:uid="{825488BC-674F-4336-A095-A149AC2D1FF0}"/>
    <cellStyle name="Финансовый 3 3 6 5" xfId="23020" xr:uid="{863BCD92-471F-455A-8116-9B4BD77C9786}"/>
    <cellStyle name="Финансовый 3 3 6 6" xfId="36101" xr:uid="{ABAC89A9-E158-476E-8A13-53E79EBA7D68}"/>
    <cellStyle name="Финансовый 3 3 7" xfId="5981" xr:uid="{4018B87B-A4E7-4897-B256-6F81076F5797}"/>
    <cellStyle name="Финансовый 3 3 7 2" xfId="9900" xr:uid="{F57388EE-CE6C-46C3-BAB4-624B0DE3F74F}"/>
    <cellStyle name="Финансовый 3 3 7 2 2" xfId="18864" xr:uid="{4C7060BA-9240-4D50-9D55-8CA184CBC8D1}"/>
    <cellStyle name="Финансовый 3 3 7 2 3" xfId="20126" xr:uid="{5008F675-85A0-474F-B62F-EC13610C7C9A}"/>
    <cellStyle name="Финансовый 3 3 7 2 4" xfId="27196" xr:uid="{E73EC296-B770-40E2-A0AB-68D336A34EB2}"/>
    <cellStyle name="Финансовый 3 3 7 2 5" xfId="40315" xr:uid="{548A0512-CB61-4E0F-8870-3B2A9622BC2F}"/>
    <cellStyle name="Финансовый 3 3 7 3" xfId="18160" xr:uid="{3DCB3977-CD86-424E-B3AE-A75780C039E7}"/>
    <cellStyle name="Финансовый 3 3 7 4" xfId="19599" xr:uid="{2BCE7A8E-CE7A-4FAA-9275-3A8B0D798096}"/>
    <cellStyle name="Финансовый 3 3 7 5" xfId="23627" xr:uid="{CB470ED1-A423-47D9-AD6A-47A5D553ED2F}"/>
    <cellStyle name="Финансовый 3 3 7 6" xfId="36708" xr:uid="{65EFF55F-AED7-4D5D-8515-1173305B1F01}"/>
    <cellStyle name="Финансовый 3 3 8" xfId="6056" xr:uid="{30D15AF6-D4C7-447D-850B-3A6ED931C442}"/>
    <cellStyle name="Финансовый 3 3 8 2" xfId="9975" xr:uid="{DFFCC166-330F-465B-87BE-F54397452561}"/>
    <cellStyle name="Финансовый 3 3 8 2 2" xfId="18939" xr:uid="{9464F32A-28E5-42CA-8844-858C638D489A}"/>
    <cellStyle name="Финансовый 3 3 8 2 3" xfId="20201" xr:uid="{1E35E92D-785C-40E4-8AF5-6121ACE87579}"/>
    <cellStyle name="Финансовый 3 3 8 2 4" xfId="27271" xr:uid="{61252F00-245A-42BD-AC02-80669925572C}"/>
    <cellStyle name="Финансовый 3 3 8 2 5" xfId="40390" xr:uid="{1E5C9AB8-922F-4182-A1C3-0FC5AD365A0C}"/>
    <cellStyle name="Финансовый 3 3 8 3" xfId="18235" xr:uid="{EB12DB49-0970-49BB-9D50-35384BC68117}"/>
    <cellStyle name="Финансовый 3 3 8 4" xfId="19674" xr:uid="{E11F4965-4E78-4FAA-B95A-FB7D2F0C7116}"/>
    <cellStyle name="Финансовый 3 3 8 5" xfId="23702" xr:uid="{46B6E458-9050-4DB3-B590-CB40EE10383C}"/>
    <cellStyle name="Финансовый 3 3 8 6" xfId="36783" xr:uid="{7B79CFF0-835D-434C-A456-A67D045B28E3}"/>
    <cellStyle name="Финансовый 3 3 9" xfId="9395" xr:uid="{9D0AB37B-7A6D-4A0D-AF18-CDA4874A4CAF}"/>
    <cellStyle name="Финансовый 3 3 9 2" xfId="18465" xr:uid="{9F3A822A-20AF-4D09-8283-2C5A75083411}"/>
    <cellStyle name="Финансовый 3 3 9 3" xfId="19805" xr:uid="{00FE4221-ACB5-4811-809F-6C8AA875BFCD}"/>
    <cellStyle name="Финансовый 3 3 9 4" xfId="26807" xr:uid="{127194D0-EDEF-45F1-BB3F-D2E7FC70A069}"/>
    <cellStyle name="Финансовый 3 3 9 5" xfId="39888" xr:uid="{4EBE0154-6565-467D-A735-18425FD9ACB0}"/>
    <cellStyle name="Финансовый 3 4" xfId="2453" xr:uid="{9341829A-A389-4D0A-827C-FF96CCB73E6D}"/>
    <cellStyle name="Финансовый 3 4 2" xfId="2470" xr:uid="{A1A2BEA3-1853-4B13-B6C2-C26722CE385B}"/>
    <cellStyle name="Финансовый 3 4 2 10" xfId="19275" xr:uid="{CB057EA2-9ACB-4B1E-9499-63D078B2CB23}"/>
    <cellStyle name="Финансовый 3 4 2 11" xfId="20561" xr:uid="{BC81F6DF-1D42-4D43-ABCB-CEAB56C17B9B}"/>
    <cellStyle name="Финансовый 3 4 2 12" xfId="33584" xr:uid="{8EA2176B-2FE0-4F33-905B-9E0ADD7837F4}"/>
    <cellStyle name="Финансовый 3 4 2 2" xfId="3263" xr:uid="{208E1699-1C06-4516-8F78-F4C3CD53CC58}"/>
    <cellStyle name="Финансовый 3 4 2 2 2" xfId="6921" xr:uid="{67100213-D254-44D5-BF30-98E00F443AEB}"/>
    <cellStyle name="Финансовый 3 4 2 2 2 2" xfId="10071" xr:uid="{8BF36FD3-54C5-428A-916F-C4C01E6DF355}"/>
    <cellStyle name="Финансовый 3 4 2 2 2 2 2" xfId="19034" xr:uid="{622E9393-2F5D-4BF9-A2C2-2CD847F59823}"/>
    <cellStyle name="Финансовый 3 4 2 2 2 2 3" xfId="20274" xr:uid="{40F321BD-EAD6-434E-BFD5-5D1AB0DDDB59}"/>
    <cellStyle name="Финансовый 3 4 2 2 2 2 4" xfId="27344" xr:uid="{F8EA38DE-6FE9-4437-9F90-9652D08A7AD9}"/>
    <cellStyle name="Финансовый 3 4 2 2 2 2 5" xfId="40463" xr:uid="{BCB071A1-967F-4F93-8D58-8ABEDB0934E2}"/>
    <cellStyle name="Финансовый 3 4 2 2 2 3" xfId="18330" xr:uid="{E782AE7B-543C-4545-BF50-0E13EE193A8A}"/>
    <cellStyle name="Финансовый 3 4 2 2 2 4" xfId="19747" xr:uid="{30C3656F-98D5-425C-9352-3AFEF5DB8B91}"/>
    <cellStyle name="Финансовый 3 4 2 2 2 5" xfId="24544" xr:uid="{21B479A4-C4A4-4487-8B56-2BB2826CC40F}"/>
    <cellStyle name="Финансовый 3 4 2 2 2 6" xfId="37625" xr:uid="{9D405344-C363-42C4-A8FE-469B8A939207}"/>
    <cellStyle name="Финансовый 3 4 2 2 3" xfId="9438" xr:uid="{DEF2A7C1-DE9D-483F-86E1-229047C648F6}"/>
    <cellStyle name="Финансовый 3 4 2 2 3 2" xfId="18508" xr:uid="{36DAAB62-656B-47D0-A497-D53F5B4F7B1F}"/>
    <cellStyle name="Финансовый 3 4 2 2 3 3" xfId="19826" xr:uid="{FBF5DE0D-390D-4630-977D-57662F824D78}"/>
    <cellStyle name="Финансовый 3 4 2 2 3 4" xfId="26828" xr:uid="{42FB1443-2F3F-400A-B461-7C8C93AB188C}"/>
    <cellStyle name="Финансовый 3 4 2 2 3 5" xfId="39909" xr:uid="{DABAF8B6-ADEC-4AF0-8704-59EFF2D6A1FC}"/>
    <cellStyle name="Финансовый 3 4 2 2 4" xfId="17843" xr:uid="{9E3D72E3-03B0-4183-9959-06060E2E932F}"/>
    <cellStyle name="Финансовый 3 4 2 2 5" xfId="19299" xr:uid="{031BD2D1-035B-4F3E-A7F3-953F0A595F65}"/>
    <cellStyle name="Финансовый 3 4 2 2 6" xfId="21296" xr:uid="{183D4A02-C97F-492C-8C0F-8E49A84ABA79}"/>
    <cellStyle name="Финансовый 3 4 2 2 7" xfId="34319" xr:uid="{5F8B09DC-D9A1-46D7-B93D-0F7D76C45CAB}"/>
    <cellStyle name="Финансовый 3 4 2 3" xfId="4315" xr:uid="{C767C176-1384-4EC1-9EDB-809FD1F6B4FE}"/>
    <cellStyle name="Финансовый 3 4 2 3 2" xfId="9543" xr:uid="{0A340FF5-49F4-4431-807F-0573778ED166}"/>
    <cellStyle name="Финансовый 3 4 2 3 2 2" xfId="18611" xr:uid="{11C23547-C986-44E8-954D-1003A8E2E6FE}"/>
    <cellStyle name="Финансовый 3 4 2 3 2 3" xfId="19901" xr:uid="{7DA93E5F-5B38-4BED-8848-8EE7E63FE0B9}"/>
    <cellStyle name="Финансовый 3 4 2 3 2 4" xfId="26903" xr:uid="{E9847EAF-D2A0-48A3-80CE-92A89299581F}"/>
    <cellStyle name="Финансовый 3 4 2 3 2 5" xfId="39986" xr:uid="{A7D2A755-7190-4002-8065-5D6F2859DD83}"/>
    <cellStyle name="Финансовый 3 4 2 3 3" xfId="17918" xr:uid="{DAFD483E-1843-4009-B6A4-3E6E61D4CD5C}"/>
    <cellStyle name="Финансовый 3 4 2 3 4" xfId="19374" xr:uid="{EC75B6BF-4109-4425-AB9A-DC0985092832}"/>
    <cellStyle name="Финансовый 3 4 2 3 5" xfId="22135" xr:uid="{47DAE1E8-077B-4E1B-ADF0-72678420B41B}"/>
    <cellStyle name="Финансовый 3 4 2 3 6" xfId="35184" xr:uid="{C797E801-E2E9-406D-9EDD-02317F7F3719}"/>
    <cellStyle name="Финансовый 3 4 2 4" xfId="5295" xr:uid="{E3C05B77-C2F7-4909-96C9-9FE9A4FA1DF7}"/>
    <cellStyle name="Финансовый 3 4 2 4 2" xfId="9727" xr:uid="{2C897287-2513-4A6D-BDDC-2486E2ADF03C}"/>
    <cellStyle name="Финансовый 3 4 2 4 2 2" xfId="18732" xr:uid="{362E7605-2740-4675-8083-424F2AD04A61}"/>
    <cellStyle name="Финансовый 3 4 2 4 2 3" xfId="19995" xr:uid="{CFC47712-66AE-4F87-ACB3-474B5598D302}"/>
    <cellStyle name="Финансовый 3 4 2 4 2 4" xfId="27026" xr:uid="{EC0F272D-2FE8-4693-810A-FD8457F9433E}"/>
    <cellStyle name="Финансовый 3 4 2 4 2 5" xfId="40143" xr:uid="{84C16718-7E91-486E-B3C1-39A71BE0F87F}"/>
    <cellStyle name="Финансовый 3 4 2 4 3" xfId="18029" xr:uid="{979E1D55-AF2D-41EC-9849-5CC4C5AB4C8F}"/>
    <cellStyle name="Финансовый 3 4 2 4 4" xfId="19468" xr:uid="{3F3E9356-24F0-43D1-BB4E-8A61A7010E51}"/>
    <cellStyle name="Финансовый 3 4 2 4 5" xfId="22945" xr:uid="{F5205830-8A4D-4BB6-97DB-0794B2B33A5A}"/>
    <cellStyle name="Финансовый 3 4 2 4 6" xfId="36024" xr:uid="{68D327A5-3E80-4AAE-9DC5-C47BC6005E19}"/>
    <cellStyle name="Финансовый 3 4 2 5" xfId="5370" xr:uid="{B2B6AA38-EDD4-44F0-8098-3C4F51919707}"/>
    <cellStyle name="Финансовый 3 4 2 5 2" xfId="9801" xr:uid="{7D080EBA-6443-4019-8973-0D2F2D837809}"/>
    <cellStyle name="Финансовый 3 4 2 5 2 2" xfId="18785" xr:uid="{09364980-17C7-4486-99DE-18E4DC62EC96}"/>
    <cellStyle name="Финансовый 3 4 2 5 2 3" xfId="20048" xr:uid="{D0B6CCF8-B7BD-4097-A9F7-38111AAD0ACB}"/>
    <cellStyle name="Финансовый 3 4 2 5 2 4" xfId="27098" xr:uid="{6839597E-D12A-4678-9598-8E1298864696}"/>
    <cellStyle name="Финансовый 3 4 2 5 2 5" xfId="40217" xr:uid="{3543AB10-9DE1-44A7-943E-E59CC1E4E17C}"/>
    <cellStyle name="Финансовый 3 4 2 5 3" xfId="18082" xr:uid="{6360BD0E-3DFB-4F98-98AF-0B222C8E61A9}"/>
    <cellStyle name="Финансовый 3 4 2 5 4" xfId="19521" xr:uid="{EE2EA680-1812-4BF2-BB4A-21BC4C78B68D}"/>
    <cellStyle name="Финансовый 3 4 2 5 5" xfId="23017" xr:uid="{2A91F19E-757F-4F58-A6E5-EFAC3C5AAAFC}"/>
    <cellStyle name="Финансовый 3 4 2 5 6" xfId="36098" xr:uid="{595AD60F-AD49-444C-ACF1-118A51654A9A}"/>
    <cellStyle name="Финансовый 3 4 2 6" xfId="5978" xr:uid="{DE35AF74-64EE-49D6-9781-16BB1EBE2EF8}"/>
    <cellStyle name="Финансовый 3 4 2 6 2" xfId="9897" xr:uid="{B09989B2-4786-4CB7-A624-439C80B36CAA}"/>
    <cellStyle name="Финансовый 3 4 2 6 2 2" xfId="18861" xr:uid="{EC9BA8FA-6B1B-4E38-9004-B96026C11B18}"/>
    <cellStyle name="Финансовый 3 4 2 6 2 3" xfId="20123" xr:uid="{09108922-C987-436E-9D5B-8D58D383174F}"/>
    <cellStyle name="Финансовый 3 4 2 6 2 4" xfId="27193" xr:uid="{BD0136CE-3344-41E3-ACFC-B3E98006BF05}"/>
    <cellStyle name="Финансовый 3 4 2 6 2 5" xfId="40312" xr:uid="{B421A01F-7A00-4FFE-A2A2-3232A9ECEADD}"/>
    <cellStyle name="Финансовый 3 4 2 6 3" xfId="18157" xr:uid="{BD051973-C570-4ABF-85CF-7853A78554EF}"/>
    <cellStyle name="Финансовый 3 4 2 6 4" xfId="19596" xr:uid="{E6A2F7FC-CA34-4F33-BA9C-D0C8F9484CAB}"/>
    <cellStyle name="Финансовый 3 4 2 6 5" xfId="23624" xr:uid="{4D8F9635-D165-49DA-A54D-0FF86AB7C902}"/>
    <cellStyle name="Финансовый 3 4 2 6 6" xfId="36705" xr:uid="{38AAE65D-7A78-4D9D-B92A-599C73682FFC}"/>
    <cellStyle name="Финансовый 3 4 2 7" xfId="6053" xr:uid="{62FF7BCA-75FD-456C-B6A6-4A81584653BE}"/>
    <cellStyle name="Финансовый 3 4 2 7 2" xfId="9972" xr:uid="{31C43B0F-DCF9-40B0-A746-35B803ED8E96}"/>
    <cellStyle name="Финансовый 3 4 2 7 2 2" xfId="18936" xr:uid="{62443620-A9D5-4737-855A-AD70EFAF2568}"/>
    <cellStyle name="Финансовый 3 4 2 7 2 3" xfId="20198" xr:uid="{CB962E48-6B58-4332-AC14-A69E07045CC1}"/>
    <cellStyle name="Финансовый 3 4 2 7 2 4" xfId="27268" xr:uid="{85150BF5-E344-446C-B6BF-73C34F0BC60C}"/>
    <cellStyle name="Финансовый 3 4 2 7 2 5" xfId="40387" xr:uid="{2E8B107A-3C14-49FA-8B30-9112A3A93A5E}"/>
    <cellStyle name="Финансовый 3 4 2 7 3" xfId="18232" xr:uid="{C344C311-F1DC-4173-8263-8AE3DAF16ABF}"/>
    <cellStyle name="Финансовый 3 4 2 7 4" xfId="19671" xr:uid="{F6EBCAAB-1861-487C-B3B6-319543F8AE3D}"/>
    <cellStyle name="Финансовый 3 4 2 7 5" xfId="23699" xr:uid="{24D6469D-86A7-4DBB-9630-89504FD7B771}"/>
    <cellStyle name="Финансовый 3 4 2 7 6" xfId="36780" xr:uid="{2BDBE536-C1B6-4636-866E-7D314C56739B}"/>
    <cellStyle name="Финансовый 3 4 2 8" xfId="9392" xr:uid="{496C4441-D8AA-4B60-8809-8DE689D7F18E}"/>
    <cellStyle name="Финансовый 3 4 2 8 2" xfId="18462" xr:uid="{B2035621-E2BB-4CF4-9AE2-1F0AB73B8ADD}"/>
    <cellStyle name="Финансовый 3 4 2 8 3" xfId="19802" xr:uid="{36DAB22B-0AF3-4C02-B9FE-1E311A1A3C4D}"/>
    <cellStyle name="Финансовый 3 4 2 8 4" xfId="26804" xr:uid="{BC05BEF3-6C89-4CA7-BB95-5958410FE42F}"/>
    <cellStyle name="Финансовый 3 4 2 8 5" xfId="39885" xr:uid="{16FA7D33-554B-4BEF-A6E9-D5F2432F65FD}"/>
    <cellStyle name="Финансовый 3 4 2 9" xfId="17819" xr:uid="{1AFA24CF-9E8A-4C53-8ACA-398CCC6F0926}"/>
    <cellStyle name="Финансовый 3 4 3" xfId="10515" xr:uid="{F9DCDD90-7C9A-44F6-8A9B-C1D55134E73E}"/>
    <cellStyle name="Финансовый 3 5" xfId="4040" xr:uid="{7BDC40B4-8DE3-4576-A064-036311D155AF}"/>
    <cellStyle name="Финансовый 3 5 10" xfId="20470" xr:uid="{12D5CEDA-6CC5-49DB-A12B-B6523BBAF6A8}"/>
    <cellStyle name="Финансовый 3 5 11" xfId="21878" xr:uid="{A257795C-BD92-407B-B393-285B8D4AC951}"/>
    <cellStyle name="Финансовый 3 5 12" xfId="34927" xr:uid="{D6F1261E-D1DA-4626-B819-367D0F882CEC}"/>
    <cellStyle name="Финансовый 3 5 2" xfId="4566" xr:uid="{1A7B2CD6-08B3-4ABB-917D-34F2C22D6CB1}"/>
    <cellStyle name="Финансовый 3 5 2 2" xfId="7610" xr:uid="{75E75873-9F57-4D32-AEA8-62B101B6471A}"/>
    <cellStyle name="Финансовый 3 5 2 2 2" xfId="10136" xr:uid="{A2ADA84D-51ED-46CD-B558-073CF1BA41D6}"/>
    <cellStyle name="Финансовый 3 5 2 2 2 2" xfId="19099" xr:uid="{7400EEC1-EEBC-4895-BFC8-101B452CC71E}"/>
    <cellStyle name="Финансовый 3 5 2 2 2 3" xfId="20319" xr:uid="{AED5CD9E-DF53-4719-B33B-C90001987CDD}"/>
    <cellStyle name="Финансовый 3 5 2 2 2 4" xfId="27389" xr:uid="{6768A6E9-73B0-4443-8B2B-DC38A30209C2}"/>
    <cellStyle name="Финансовый 3 5 2 2 2 5" xfId="40508" xr:uid="{D600050C-EF7F-4ADF-A843-52213CF49CD2}"/>
    <cellStyle name="Финансовый 3 5 2 2 3" xfId="18394" xr:uid="{7D401ED4-DE53-4465-8E23-9DE99DC44C31}"/>
    <cellStyle name="Финансовый 3 5 2 2 4" xfId="19792" xr:uid="{20C6FFE0-CDE7-468C-96DC-C9D2CF966FF6}"/>
    <cellStyle name="Финансовый 3 5 2 2 5" xfId="25138" xr:uid="{B901EDCB-FF0C-4BF8-A5A9-2502B4BE6F97}"/>
    <cellStyle name="Финансовый 3 5 2 2 6" xfId="38214" xr:uid="{4DA0D6CB-1898-4296-B1B9-2FECF4BD0808}"/>
    <cellStyle name="Финансовый 3 5 2 3" xfId="9560" xr:uid="{BAB282E8-FC9F-4F14-8878-B0CCE1927718}"/>
    <cellStyle name="Финансовый 3 5 2 3 2" xfId="18628" xr:uid="{6FE07358-B7EE-494A-9B6E-8A7177D3728B}"/>
    <cellStyle name="Финансовый 3 5 2 3 3" xfId="19916" xr:uid="{0D55F028-7DD2-49E9-804B-114D05B2918C}"/>
    <cellStyle name="Финансовый 3 5 2 3 4" xfId="26918" xr:uid="{76FBB9B3-41FB-44E1-9ED6-FCE0C705B09B}"/>
    <cellStyle name="Финансовый 3 5 2 3 5" xfId="40001" xr:uid="{0469D8FD-0AB0-47BB-8102-EBA2C1D7EC0E}"/>
    <cellStyle name="Финансовый 3 5 2 4" xfId="17935" xr:uid="{36C5FC42-AFC9-4A77-8B10-801C996BD7A8}"/>
    <cellStyle name="Финансовый 3 5 2 5" xfId="19389" xr:uid="{A7038364-F4C6-4330-8FDF-FC013A0ECD73}"/>
    <cellStyle name="Финансовый 3 5 2 6" xfId="22382" xr:uid="{6B1ADD21-23A0-4D23-AA73-F9E8E8F10A2A}"/>
    <cellStyle name="Финансовый 3 5 2 7" xfId="35431" xr:uid="{34A6611D-46C7-4484-AAD5-E09BFD2F031A}"/>
    <cellStyle name="Финансовый 3 5 3" xfId="5964" xr:uid="{9C60DA4F-E5CA-4258-9E35-24AD058A481D}"/>
    <cellStyle name="Финансовый 3 5 3 2" xfId="9884" xr:uid="{9C266068-F402-4246-83C0-EBA8AEF31212}"/>
    <cellStyle name="Финансовый 3 5 3 2 2" xfId="18848" xr:uid="{300875C3-28BD-48CC-BB9B-D4F2386429DD}"/>
    <cellStyle name="Финансовый 3 5 3 2 3" xfId="20110" xr:uid="{C6912B93-1270-41A3-A7EA-5DAE3409C81F}"/>
    <cellStyle name="Финансовый 3 5 3 2 4" xfId="27180" xr:uid="{DBCF7B82-F9BC-49F2-8AAD-51D08220E829}"/>
    <cellStyle name="Финансовый 3 5 3 2 5" xfId="40299" xr:uid="{0AAA3442-1F24-4F89-AEE3-FDBC40A1CC5D}"/>
    <cellStyle name="Финансовый 3 5 3 3" xfId="18144" xr:uid="{9991AB3F-D07F-4492-9065-3299DF64F6AF}"/>
    <cellStyle name="Финансовый 3 5 3 4" xfId="19583" xr:uid="{3569192A-9892-4C11-8017-BA9028B5EFD8}"/>
    <cellStyle name="Финансовый 3 5 3 5" xfId="23611" xr:uid="{6170926B-35A4-4C95-9D11-B2775E19BEEA}"/>
    <cellStyle name="Финансовый 3 5 3 6" xfId="36692" xr:uid="{88244F3E-C6B0-4312-B057-ECF3D236EF54}"/>
    <cellStyle name="Финансовый 3 5 4" xfId="6040" xr:uid="{636B9E3A-DDF9-4010-9860-069E3EA5B889}"/>
    <cellStyle name="Финансовый 3 5 4 2" xfId="9959" xr:uid="{D5AF6D95-0C87-4CBC-8E6C-A5D827AD08FC}"/>
    <cellStyle name="Финансовый 3 5 4 2 2" xfId="18923" xr:uid="{9A717DA5-D20C-4784-B9F8-2C4C44499074}"/>
    <cellStyle name="Финансовый 3 5 4 2 3" xfId="20185" xr:uid="{B39A6C3D-37CE-4C68-A647-1DCF49CBB68A}"/>
    <cellStyle name="Финансовый 3 5 4 2 4" xfId="27255" xr:uid="{AA3584DE-F8FF-4831-B878-46BF2DCD7A58}"/>
    <cellStyle name="Финансовый 3 5 4 2 5" xfId="40374" xr:uid="{DDE98C1C-CA71-4FE8-AA77-B5C00EC2E1C5}"/>
    <cellStyle name="Финансовый 3 5 4 3" xfId="18219" xr:uid="{CF209C34-980D-4ACA-8113-D3D139A20613}"/>
    <cellStyle name="Финансовый 3 5 4 4" xfId="19658" xr:uid="{64EF61A9-35DE-4038-97A7-1D1AC109EFDA}"/>
    <cellStyle name="Финансовый 3 5 4 5" xfId="23686" xr:uid="{93A37E94-7F52-429B-9C71-C901E70EE632}"/>
    <cellStyle name="Финансовый 3 5 4 6" xfId="36767" xr:uid="{B4472A1E-1FD0-437D-B1C0-AE625BE01D11}"/>
    <cellStyle name="Финансовый 3 5 5" xfId="6125" xr:uid="{91E42E73-2BD4-4065-9A76-D15D2FC15788}"/>
    <cellStyle name="Финансовый 3 5 5 2" xfId="10034" xr:uid="{E5EAFB04-CEEE-43D8-825D-8731B6D2CE5D}"/>
    <cellStyle name="Финансовый 3 5 5 2 2" xfId="18998" xr:uid="{CF7D0C11-8398-4A20-9AD9-0FAB7C90D9BC}"/>
    <cellStyle name="Финансовый 3 5 5 2 3" xfId="20260" xr:uid="{9CCDCEA7-9B4E-4B65-85FC-E46DD0CC5711}"/>
    <cellStyle name="Финансовый 3 5 5 2 4" xfId="27330" xr:uid="{729FDF15-566C-4796-96F5-E428C42541BF}"/>
    <cellStyle name="Финансовый 3 5 5 2 5" xfId="40449" xr:uid="{FC5F9C04-9EA6-42D4-A7E0-9F500DB9E8FB}"/>
    <cellStyle name="Финансовый 3 5 5 3" xfId="18294" xr:uid="{10471C2D-3341-41D3-BC5E-D0C230FE59EC}"/>
    <cellStyle name="Финансовый 3 5 5 4" xfId="19733" xr:uid="{179F2AAA-86EF-4686-8AED-864BAC7B2CF8}"/>
    <cellStyle name="Финансовый 3 5 5 5" xfId="23771" xr:uid="{74D85594-9AE7-4483-A042-DE2A0B7A3507}"/>
    <cellStyle name="Финансовый 3 5 5 6" xfId="36852" xr:uid="{50748B4A-0F64-4923-A154-04C008074C2C}"/>
    <cellStyle name="Финансовый 3 5 6" xfId="9522" xr:uid="{B14D26F2-2A3F-472A-8673-F81A5B696CFE}"/>
    <cellStyle name="Финансовый 3 5 6 2" xfId="18590" xr:uid="{BDFCAF23-90E3-43C9-82B3-7A74B577E795}"/>
    <cellStyle name="Финансовый 3 5 6 3" xfId="19888" xr:uid="{609CE66A-727B-40D7-9703-30A0A0499C4F}"/>
    <cellStyle name="Финансовый 3 5 6 4" xfId="26890" xr:uid="{A032DA06-DA88-4BBF-B21F-18B96BBC0934}"/>
    <cellStyle name="Финансовый 3 5 6 5" xfId="39973" xr:uid="{C04BBE0F-114E-4E15-8C4D-A432DEFCB088}"/>
    <cellStyle name="Финансовый 3 5 7" xfId="17717" xr:uid="{D057F79A-787C-40E2-B689-B4D5BA122DC7}"/>
    <cellStyle name="Финансовый 3 5 7 2" xfId="19223" xr:uid="{A81D3804-54E4-473B-A0A2-9AD7C270ECDB}"/>
    <cellStyle name="Финансовый 3 5 7 3" xfId="20378" xr:uid="{BFE7A505-F205-454E-954B-E9B35F3CF7AE}"/>
    <cellStyle name="Финансовый 3 5 7 4" xfId="33439" xr:uid="{8078973E-0779-454C-9C63-517FBD8A37ED}"/>
    <cellStyle name="Финансовый 3 5 7 5" xfId="47228" xr:uid="{A6A99C28-8E86-411A-AE29-5907148A4779}"/>
    <cellStyle name="Финансовый 3 5 8" xfId="17905" xr:uid="{C4594CED-82F4-4856-9D80-10C2F9DABF69}"/>
    <cellStyle name="Финансовый 3 5 9" xfId="19361" xr:uid="{2838720F-E339-4C80-94BD-E989454A34A5}"/>
    <cellStyle name="Финансовый 3 6" xfId="10513" xr:uid="{6C596080-EBFF-4801-93DC-FC562D5D0C90}"/>
    <cellStyle name="Финансовый 3 7" xfId="17637" xr:uid="{13037EAC-4200-482E-876F-E754585504E4}"/>
    <cellStyle name="Финансовый 3 7 2" xfId="19178" xr:uid="{34130EBF-900D-4D9C-8417-D13014A71AFC}"/>
    <cellStyle name="Финансовый 3 7 3" xfId="20333" xr:uid="{36DE7561-F427-4FE0-B33E-10F9F169E68C}"/>
    <cellStyle name="Финансовый 3 7 4" xfId="33365" xr:uid="{3958F417-7538-4302-87F7-19ED698034DB}"/>
    <cellStyle name="Финансовый 3 7 5" xfId="47154" xr:uid="{6B673FDF-7AE1-4464-8ED5-119CFF8C846F}"/>
    <cellStyle name="Финансовый 3 8" xfId="2451" xr:uid="{BB57B1BC-8731-405B-A6F7-03219B9C5DE8}"/>
    <cellStyle name="Финансовый 3 9" xfId="20425" xr:uid="{02F304D9-6588-486A-8E50-BCCD61B445CB}"/>
    <cellStyle name="Финансовый 30" xfId="5292" xr:uid="{144B476B-44E0-4474-8E8E-A9E25D00A418}"/>
    <cellStyle name="Финансовый 31" xfId="5252" xr:uid="{2C4AE424-2FB5-451F-AF7D-C17B4E967E5B}"/>
    <cellStyle name="Финансовый 32" xfId="5341" xr:uid="{2C895213-DBEB-49FA-9ECC-178D9FCB56C0}"/>
    <cellStyle name="Финансовый 33" xfId="5968" xr:uid="{843BD9C9-1C96-448A-B5BE-504F0AA72FF6}"/>
    <cellStyle name="Финансовый 34" xfId="9374" xr:uid="{EA693B88-AFC2-4AC0-B3D0-9B151320BECC}"/>
    <cellStyle name="Финансовый 35" xfId="10201" xr:uid="{4A63F76A-D9CB-49E4-97F0-9051E11E7B3B}"/>
    <cellStyle name="Финансовый 36" xfId="37" xr:uid="{D13FAAD9-C6D8-4B14-8092-38A4F4E2CC1E}"/>
    <cellStyle name="Финансовый 37" xfId="17625" xr:uid="{80F5E57D-CAA9-4081-BB9C-ADA75F01016A}"/>
    <cellStyle name="Финансовый 37 2" xfId="19172" xr:uid="{AAC98A40-A5E6-44D7-8F44-6AF90EF428FE}"/>
    <cellStyle name="Финансовый 37 3" xfId="20327" xr:uid="{6D45144F-8CD3-44AE-A6CD-61C6AEC5D27E}"/>
    <cellStyle name="Финансовый 37 4" xfId="33359" xr:uid="{8222BF46-8A7F-496A-8FBA-89C4BF259EFC}"/>
    <cellStyle name="Финансовый 37 5" xfId="47149" xr:uid="{6CB30E50-C121-4D50-A352-FC2D80EEBFD5}"/>
    <cellStyle name="Финансовый 38" xfId="17623" xr:uid="{0EF03277-CC93-4DB8-834D-CA50721155C7}"/>
    <cellStyle name="Финансовый 39" xfId="19171" xr:uid="{F800FFF6-F67E-4FCF-8A3C-3B816135DB71}"/>
    <cellStyle name="Финансовый 4" xfId="9" xr:uid="{CDA3335D-74F2-41AF-970C-421F149111D3}"/>
    <cellStyle name="Финансовый 4 10" xfId="6046" xr:uid="{CE25F5DA-1EC7-43FC-A4A9-6304E22924FD}"/>
    <cellStyle name="Финансовый 4 10 2" xfId="9965" xr:uid="{C36DF4AE-6727-4B9D-9CAA-147BFF20286D}"/>
    <cellStyle name="Финансовый 4 10 2 2" xfId="18929" xr:uid="{885A3BC4-31DA-4BDA-AE67-A347B983C0EE}"/>
    <cellStyle name="Финансовый 4 10 2 3" xfId="20191" xr:uid="{C0AE71A7-9B34-4A48-92EE-01EE4094F4E6}"/>
    <cellStyle name="Финансовый 4 10 2 4" xfId="27261" xr:uid="{C0E14F1E-F928-4286-9548-4B9C4DBF65D6}"/>
    <cellStyle name="Финансовый 4 10 2 5" xfId="40380" xr:uid="{61621CA3-0B25-4A62-B290-2B1BB3081119}"/>
    <cellStyle name="Финансовый 4 10 3" xfId="18225" xr:uid="{F8082F0C-AE4F-4E7C-806F-6C5EB361DA58}"/>
    <cellStyle name="Финансовый 4 10 4" xfId="19664" xr:uid="{50FB2AB0-88E1-4125-90C8-B37D0BA8951A}"/>
    <cellStyle name="Финансовый 4 10 5" xfId="23692" xr:uid="{9F572988-B409-4266-A972-75BF0FED5A93}"/>
    <cellStyle name="Финансовый 4 10 6" xfId="36773" xr:uid="{8BB8BCD4-DB43-47C5-B205-1A73B2EFD4B5}"/>
    <cellStyle name="Финансовый 4 11" xfId="9377" xr:uid="{BF7E0BAA-E775-44EC-8361-5907681A12E0}"/>
    <cellStyle name="Финансовый 4 11 2" xfId="18453" xr:uid="{7090E646-ADB0-4CEE-8E41-C264FA9C5028}"/>
    <cellStyle name="Финансовый 4 11 3" xfId="19795" xr:uid="{27FB4792-02DB-40F3-B655-6F3E95FF594E}"/>
    <cellStyle name="Финансовый 4 11 4" xfId="26797" xr:uid="{EB475505-6DD7-4B69-9F42-3DBFB5F79814}"/>
    <cellStyle name="Финансовый 4 11 5" xfId="39873" xr:uid="{99F7E42C-E3AC-4E45-BC81-5C58E12AAEDB}"/>
    <cellStyle name="Финансовый 4 12" xfId="10516" xr:uid="{9E32824A-0D98-4615-AF39-73E7BBBEAB1B}"/>
    <cellStyle name="Финансовый 4 13" xfId="17639" xr:uid="{B2960BC6-780B-4BE0-8EEE-C247085A9342}"/>
    <cellStyle name="Финансовый 4 13 2" xfId="19180" xr:uid="{31A2C824-EE8A-40F9-BD00-7E42E6777522}"/>
    <cellStyle name="Финансовый 4 13 3" xfId="20335" xr:uid="{A98DE0A8-728E-42F9-B0B3-E8DAA6C8A14F}"/>
    <cellStyle name="Финансовый 4 13 4" xfId="33367" xr:uid="{71F35C02-81F8-416E-9354-24D65788DB72}"/>
    <cellStyle name="Финансовый 4 13 5" xfId="47156" xr:uid="{72F7347F-FF14-4590-8256-CA5FCEFAF991}"/>
    <cellStyle name="Финансовый 4 14" xfId="47" xr:uid="{752E75D3-522D-4A78-95A5-F46CD83BC5ED}"/>
    <cellStyle name="Финансовый 4 15" xfId="17812" xr:uid="{48E6B633-0DDF-4B5F-A2FD-1FA0507D5A58}"/>
    <cellStyle name="Финансовый 4 16" xfId="19268" xr:uid="{A03FC85F-4406-48ED-99F3-D21E76B200C4}"/>
    <cellStyle name="Финансовый 4 17" xfId="20427" xr:uid="{E4DD6D26-1279-412C-B2C1-7A0408F9B7B6}"/>
    <cellStyle name="Финансовый 4 18" xfId="20554" xr:uid="{B9A9D0AF-AD14-4A91-852C-CC62BA9556B2}"/>
    <cellStyle name="Финансовый 4 19" xfId="33543" xr:uid="{D0E06388-94F5-4544-930C-D9F68176BDD8}"/>
    <cellStyle name="Финансовый 4 2" xfId="2490" xr:uid="{F06AAC6B-C308-499F-A095-08920CF0598F}"/>
    <cellStyle name="Финансовый 4 2 10" xfId="17824" xr:uid="{CECFE3F0-C10D-4C9E-82E9-D9C5CB2E86FC}"/>
    <cellStyle name="Финансовый 4 2 11" xfId="19280" xr:uid="{A5AC025F-02F6-488D-8316-89A8ADAB4455}"/>
    <cellStyle name="Финансовый 4 2 12" xfId="20566" xr:uid="{3AFD825B-3231-4277-A97C-72CA8360EC98}"/>
    <cellStyle name="Финансовый 4 2 13" xfId="33589" xr:uid="{A2D698A1-7680-4BA4-A6AB-BEEE9A014161}"/>
    <cellStyle name="Финансовый 4 2 2" xfId="4034" xr:uid="{3AF40490-7E49-47E3-A502-46C138EE6BEE}"/>
    <cellStyle name="Финансовый 4 2 3" xfId="3282" xr:uid="{E682C9BE-CB83-40FA-B87F-FB4FD11A0310}"/>
    <cellStyle name="Финансовый 4 2 3 2" xfId="6935" xr:uid="{91646B90-93AC-4550-BAC1-2A957B8E9C3F}"/>
    <cellStyle name="Финансовый 4 2 3 2 2" xfId="10077" xr:uid="{51638C3D-CAA4-498E-A931-183B0E9B4145}"/>
    <cellStyle name="Финансовый 4 2 3 2 2 2" xfId="19040" xr:uid="{CD7A52CF-B83B-4D5F-B6A3-B9676AFEC52C}"/>
    <cellStyle name="Финансовый 4 2 3 2 2 3" xfId="20279" xr:uid="{46B2C5F0-85E1-4AD6-B975-FF2B68575EBE}"/>
    <cellStyle name="Финансовый 4 2 3 2 2 4" xfId="27349" xr:uid="{D74CBC76-23D5-4875-A2E6-5E410EE59068}"/>
    <cellStyle name="Финансовый 4 2 3 2 2 5" xfId="40468" xr:uid="{8684A818-BBDC-4341-A134-8EAFC293596A}"/>
    <cellStyle name="Финансовый 4 2 3 2 3" xfId="18336" xr:uid="{C10E029B-12D9-45DB-83BF-90D7BA50C73D}"/>
    <cellStyle name="Финансовый 4 2 3 2 4" xfId="19752" xr:uid="{65BC388A-A03A-41DA-A3BC-1A760FD8B6A5}"/>
    <cellStyle name="Финансовый 4 2 3 2 5" xfId="24557" xr:uid="{AD13D0B9-8C80-4AB4-AA48-663E24D08CC0}"/>
    <cellStyle name="Финансовый 4 2 3 2 6" xfId="37638" xr:uid="{62E51BE7-A001-4FAB-A572-C1284F556C2C}"/>
    <cellStyle name="Финансовый 4 2 3 3" xfId="9444" xr:uid="{DCAA6AC1-3C6D-4B39-A3A9-DD28A32BF14A}"/>
    <cellStyle name="Финансовый 4 2 3 3 2" xfId="18514" xr:uid="{A340BDA8-B04A-4DAC-ABFC-8C39E704AD71}"/>
    <cellStyle name="Финансовый 4 2 3 3 3" xfId="19831" xr:uid="{CB2A18CE-1A3E-486D-A5A0-4C057C8D6F1C}"/>
    <cellStyle name="Финансовый 4 2 3 3 4" xfId="26833" xr:uid="{983FA798-0121-401E-82E1-D69B83D31912}"/>
    <cellStyle name="Финансовый 4 2 3 3 5" xfId="39914" xr:uid="{B56717FE-C9B2-4144-9E3C-E6B10E23C872}"/>
    <cellStyle name="Финансовый 4 2 3 4" xfId="17848" xr:uid="{0A4978DB-1033-4BC2-9A59-3EC8476940EE}"/>
    <cellStyle name="Финансовый 4 2 3 5" xfId="19304" xr:uid="{2D460255-9C4E-49A3-BD0E-6812775BB487}"/>
    <cellStyle name="Финансовый 4 2 3 6" xfId="21309" xr:uid="{AF6F9ED4-6FE3-46E7-8C60-86F9ABBB3724}"/>
    <cellStyle name="Финансовый 4 2 3 7" xfId="34332" xr:uid="{1528EBEB-5D9E-4699-81D2-EC267F9C1095}"/>
    <cellStyle name="Финансовый 4 2 4" xfId="4320" xr:uid="{692268D0-38A4-45E5-AC66-7511CAFD037E}"/>
    <cellStyle name="Финансовый 4 2 4 2" xfId="9548" xr:uid="{5E20262F-4FCC-423C-96A4-27A0FBA7E2C3}"/>
    <cellStyle name="Финансовый 4 2 4 2 2" xfId="18616" xr:uid="{E0A28699-5B15-4D5A-878E-C9176ACFA8D1}"/>
    <cellStyle name="Финансовый 4 2 4 2 3" xfId="19906" xr:uid="{FCC3A91C-D40F-43C6-99F0-16C40759FC5C}"/>
    <cellStyle name="Финансовый 4 2 4 2 4" xfId="26908" xr:uid="{8619FB9D-4FC6-43C2-9C5C-BC22BCFF9E98}"/>
    <cellStyle name="Финансовый 4 2 4 2 5" xfId="39991" xr:uid="{28343A37-5FE6-4493-9291-7FA0C7AB7898}"/>
    <cellStyle name="Финансовый 4 2 4 3" xfId="17923" xr:uid="{51FD0A99-A1E9-4D7D-B1F7-94AF7C492ADC}"/>
    <cellStyle name="Финансовый 4 2 4 4" xfId="19379" xr:uid="{3116E13A-FB48-445E-967A-2567B935A13B}"/>
    <cellStyle name="Финансовый 4 2 4 5" xfId="22140" xr:uid="{F6C0F33C-0EBC-4861-B3CA-BC7F29BBF841}"/>
    <cellStyle name="Финансовый 4 2 4 6" xfId="35189" xr:uid="{D8E87C59-F0EE-45EC-BC32-6F2B3DA1CFA5}"/>
    <cellStyle name="Финансовый 4 2 5" xfId="5300" xr:uid="{27939328-E8D8-4CA1-8083-AD9D283AF518}"/>
    <cellStyle name="Финансовый 4 2 5 2" xfId="9732" xr:uid="{2CFAFB44-D98C-49B4-9AF4-2D69BA90FBCB}"/>
    <cellStyle name="Финансовый 4 2 5 2 2" xfId="18737" xr:uid="{5A652753-C3BE-4C46-A5AD-DE18E0171E9B}"/>
    <cellStyle name="Финансовый 4 2 5 2 3" xfId="20000" xr:uid="{0491287B-BF63-43D1-8FEE-9C5813CBB082}"/>
    <cellStyle name="Финансовый 4 2 5 2 4" xfId="27031" xr:uid="{55114DAC-04EC-4833-B983-5B199FBE6446}"/>
    <cellStyle name="Финансовый 4 2 5 2 5" xfId="40148" xr:uid="{0EE70182-52DA-43BD-A912-03FD37B02DE9}"/>
    <cellStyle name="Финансовый 4 2 5 3" xfId="18034" xr:uid="{9055331B-3269-4E87-BBD0-CCC60B64B179}"/>
    <cellStyle name="Финансовый 4 2 5 4" xfId="19473" xr:uid="{CA8F9F1C-DFFE-4F08-B07B-68883B72F8F1}"/>
    <cellStyle name="Финансовый 4 2 5 5" xfId="22950" xr:uid="{0BE09D10-5DD1-494B-87CA-3AC87552ED5D}"/>
    <cellStyle name="Финансовый 4 2 5 6" xfId="36029" xr:uid="{7D81BCB4-320A-4EF4-BBED-242242E59253}"/>
    <cellStyle name="Финансовый 4 2 6" xfId="5375" xr:uid="{B29A8321-1FC8-4223-BCE8-A4CF520253D1}"/>
    <cellStyle name="Финансовый 4 2 6 2" xfId="9806" xr:uid="{E8B6CEBD-3C75-48FD-9E7A-7565EE26E5E4}"/>
    <cellStyle name="Финансовый 4 2 6 2 2" xfId="18790" xr:uid="{1B19728B-7F55-4E0D-8235-EEDB5DA5DF92}"/>
    <cellStyle name="Финансовый 4 2 6 2 3" xfId="20053" xr:uid="{ACA36B53-B87F-4518-9AC6-9035CB5A4030}"/>
    <cellStyle name="Финансовый 4 2 6 2 4" xfId="27103" xr:uid="{4043B3FD-A144-4E41-873E-FBCE30ACFB3B}"/>
    <cellStyle name="Финансовый 4 2 6 2 5" xfId="40222" xr:uid="{45EEABD4-801A-4777-A28F-5BD7052B43C6}"/>
    <cellStyle name="Финансовый 4 2 6 3" xfId="18087" xr:uid="{08A41379-EF2C-4A03-8831-3212B8FB3533}"/>
    <cellStyle name="Финансовый 4 2 6 4" xfId="19526" xr:uid="{8F5E9E31-B127-454C-9B3E-88E5E5155586}"/>
    <cellStyle name="Финансовый 4 2 6 5" xfId="23022" xr:uid="{24BDC774-EFE8-4F10-B05D-45287E9D54D8}"/>
    <cellStyle name="Финансовый 4 2 6 6" xfId="36103" xr:uid="{073CAFD0-7FB8-44E5-9203-A0EAD20C0664}"/>
    <cellStyle name="Финансовый 4 2 7" xfId="5983" xr:uid="{E7ED2826-7F38-4AAD-8C23-77A8D027CBD5}"/>
    <cellStyle name="Финансовый 4 2 7 2" xfId="9902" xr:uid="{CC317B2B-4DF9-4734-BF34-4BB80D6E3C4C}"/>
    <cellStyle name="Финансовый 4 2 7 2 2" xfId="18866" xr:uid="{53B19984-8347-4F40-A05A-B53F099CA6EB}"/>
    <cellStyle name="Финансовый 4 2 7 2 3" xfId="20128" xr:uid="{2B5B9B35-7B50-483E-9E0D-8AE5DF4973A9}"/>
    <cellStyle name="Финансовый 4 2 7 2 4" xfId="27198" xr:uid="{67693B87-753D-4C74-814B-F9CEDDD04644}"/>
    <cellStyle name="Финансовый 4 2 7 2 5" xfId="40317" xr:uid="{0453EDC6-0E9C-4629-A345-0E40E0A688DE}"/>
    <cellStyle name="Финансовый 4 2 7 3" xfId="18162" xr:uid="{4734C033-3381-4210-BFFA-8CCB59B4E86A}"/>
    <cellStyle name="Финансовый 4 2 7 4" xfId="19601" xr:uid="{6182789A-27C5-4E3A-ACE0-BAB8E6456F99}"/>
    <cellStyle name="Финансовый 4 2 7 5" xfId="23629" xr:uid="{EF6B5819-2B33-4321-A538-3C9C378307FD}"/>
    <cellStyle name="Финансовый 4 2 7 6" xfId="36710" xr:uid="{E4B74C08-C654-4E5E-BECB-6839C52ED2D8}"/>
    <cellStyle name="Финансовый 4 2 8" xfId="6058" xr:uid="{133963DE-9DDC-4CE8-972B-F2B3334F17C1}"/>
    <cellStyle name="Финансовый 4 2 8 2" xfId="9977" xr:uid="{D580B09D-E00D-42B1-B3AC-91F801FB802D}"/>
    <cellStyle name="Финансовый 4 2 8 2 2" xfId="18941" xr:uid="{FDC5EEB2-C3A2-4D37-871B-63CAFF242548}"/>
    <cellStyle name="Финансовый 4 2 8 2 3" xfId="20203" xr:uid="{6C54ED56-3BF4-4F97-B7BD-EF2C5B2182B5}"/>
    <cellStyle name="Финансовый 4 2 8 2 4" xfId="27273" xr:uid="{AF14AE2D-832A-483F-B582-3BA713267DC7}"/>
    <cellStyle name="Финансовый 4 2 8 2 5" xfId="40392" xr:uid="{7C09E15A-9B3A-40F0-ADF4-96831C571053}"/>
    <cellStyle name="Финансовый 4 2 8 3" xfId="18237" xr:uid="{5071AF72-93A0-4774-8988-CD27C99D3802}"/>
    <cellStyle name="Финансовый 4 2 8 4" xfId="19676" xr:uid="{99B22466-0F06-4466-BD02-927C0BC31FC3}"/>
    <cellStyle name="Финансовый 4 2 8 5" xfId="23704" xr:uid="{36E15239-CFCC-4580-AB01-7F89EBBC544D}"/>
    <cellStyle name="Финансовый 4 2 8 6" xfId="36785" xr:uid="{6578AD3B-A03E-41CB-81E8-6122CACB1564}"/>
    <cellStyle name="Финансовый 4 2 9" xfId="9397" xr:uid="{013BDC68-5AED-45B0-8EE4-E07321E6E680}"/>
    <cellStyle name="Финансовый 4 2 9 2" xfId="18467" xr:uid="{66345900-8CBB-4B2B-825F-EFD3FF439923}"/>
    <cellStyle name="Финансовый 4 2 9 3" xfId="19807" xr:uid="{CEF9B155-DC80-40EA-9DDB-E218ECF7CF76}"/>
    <cellStyle name="Финансовый 4 2 9 4" xfId="26809" xr:uid="{61A94AD0-2F83-4980-A7A7-453DBF5461EF}"/>
    <cellStyle name="Финансовый 4 2 9 5" xfId="39890" xr:uid="{408E46D6-EA37-43DF-AB76-3797903F81D4}"/>
    <cellStyle name="Финансовый 4 3" xfId="3762" xr:uid="{0407E09C-F03C-4760-9081-7D9CD9C1470C}"/>
    <cellStyle name="Финансовый 4 3 2" xfId="4568" xr:uid="{8F2A8800-39BE-45BC-83F7-90D5E129C6AE}"/>
    <cellStyle name="Финансовый 4 3 2 2" xfId="9562" xr:uid="{112B3A27-534B-4F47-81B5-568243BDB901}"/>
    <cellStyle name="Финансовый 4 3 2 2 2" xfId="18630" xr:uid="{CB9D5AEA-0C56-48A2-815A-AB04CA7F0B2A}"/>
    <cellStyle name="Финансовый 4 3 2 2 3" xfId="19918" xr:uid="{365ABA6A-DD9D-44E5-8A5B-C21D3D45E8E5}"/>
    <cellStyle name="Финансовый 4 3 2 2 4" xfId="26920" xr:uid="{1A4807C0-8523-4093-BC58-DE9F518E57C7}"/>
    <cellStyle name="Финансовый 4 3 2 2 5" xfId="40003" xr:uid="{47B02B34-B6FD-45E7-98BB-638E4EA54D47}"/>
    <cellStyle name="Финансовый 4 3 2 3" xfId="17937" xr:uid="{308002EE-8161-4FFA-A03F-1EBBF9E4FAF2}"/>
    <cellStyle name="Финансовый 4 3 2 4" xfId="19391" xr:uid="{A3A73D8B-65EF-470D-97D2-485C6BD47F91}"/>
    <cellStyle name="Финансовый 4 3 2 5" xfId="22384" xr:uid="{1ADA8B90-242E-4BC8-BACD-B276D47FF375}"/>
    <cellStyle name="Финансовый 4 3 2 6" xfId="35433" xr:uid="{66A5D0D4-C997-45E9-ABA3-3D45C514F9FC}"/>
    <cellStyle name="Финансовый 4 3 3" xfId="17719" xr:uid="{7A3E2EC0-AB51-49D9-A27B-1931E6216674}"/>
    <cellStyle name="Финансовый 4 3 3 2" xfId="19225" xr:uid="{8F2F090C-423B-4C1B-9325-CE7694753474}"/>
    <cellStyle name="Финансовый 4 3 3 3" xfId="20380" xr:uid="{F40B7AF1-AA8A-441A-9158-E947F5251C9A}"/>
    <cellStyle name="Финансовый 4 3 3 4" xfId="33441" xr:uid="{38042D5F-4F52-48A5-ABAD-212EB0BCC935}"/>
    <cellStyle name="Финансовый 4 3 3 5" xfId="47230" xr:uid="{B292DB42-E156-4EFA-8719-DEEF28E308E9}"/>
    <cellStyle name="Финансовый 4 3 4" xfId="20472" xr:uid="{24CA9CEA-F3D9-4225-950F-D1738489A991}"/>
    <cellStyle name="Финансовый 4 4" xfId="3857" xr:uid="{86F26D84-8E23-4364-AEF5-E656002C66CC}"/>
    <cellStyle name="Финансовый 4 4 10" xfId="34787" xr:uid="{8E4C3E2F-95C6-47CB-AC49-E5ED2AC35FBE}"/>
    <cellStyle name="Финансовый 4 4 2" xfId="4798" xr:uid="{BF7A895E-7930-41D5-AD37-AAD54419EA1A}"/>
    <cellStyle name="Финансовый 4 4 2 2" xfId="7441" xr:uid="{643CB936-B865-4544-9B7B-1E34E0262AB7}"/>
    <cellStyle name="Финансовый 4 4 2 2 2" xfId="10113" xr:uid="{F521BAFA-F9D0-45D5-9029-3EDBBD62E0F4}"/>
    <cellStyle name="Финансовый 4 4 2 2 2 2" xfId="19076" xr:uid="{FC1E62B8-35BA-4A10-8773-551C5B9CEC47}"/>
    <cellStyle name="Финансовый 4 4 2 2 2 3" xfId="20301" xr:uid="{02B1F484-ADBA-4D3D-A38C-60E48DD9A208}"/>
    <cellStyle name="Финансовый 4 4 2 2 2 4" xfId="27371" xr:uid="{83F46631-1B5D-48DA-B77B-58EA5421A88F}"/>
    <cellStyle name="Финансовый 4 4 2 2 2 5" xfId="40490" xr:uid="{2BB273B3-C4A8-4C2F-8181-16551F2F7942}"/>
    <cellStyle name="Финансовый 4 4 2 2 3" xfId="18371" xr:uid="{073FAD69-D718-4DA0-B054-8BBBEE560A09}"/>
    <cellStyle name="Финансовый 4 4 2 2 4" xfId="19774" xr:uid="{DCF65980-9AA8-4CFB-9E92-FE2E05AF409F}"/>
    <cellStyle name="Финансовый 4 4 2 2 5" xfId="24998" xr:uid="{E0D77721-9F0B-479C-92FA-4E7196829104}"/>
    <cellStyle name="Финансовый 4 4 2 2 6" xfId="38074" xr:uid="{14B77447-ACAC-4CFC-9567-17979B3B5C4D}"/>
    <cellStyle name="Финансовый 4 4 2 3" xfId="9612" xr:uid="{5CACB283-14CE-400A-A01C-A718347C7BA2}"/>
    <cellStyle name="Финансовый 4 4 2 3 2" xfId="18677" xr:uid="{54FF823A-5568-483D-B5F6-756D69799032}"/>
    <cellStyle name="Финансовый 4 4 2 3 3" xfId="19956" xr:uid="{006D95C4-61A2-4F83-8F95-43691AF2E4D1}"/>
    <cellStyle name="Финансовый 4 4 2 3 4" xfId="26958" xr:uid="{6E4B08F7-3943-46CE-9747-2F414B5AC86E}"/>
    <cellStyle name="Финансовый 4 4 2 3 5" xfId="40044" xr:uid="{08F6B474-EC43-4734-8521-C0D124F5CEDB}"/>
    <cellStyle name="Финансовый 4 4 2 4" xfId="17982" xr:uid="{130534CD-6678-4ADF-A3D5-F5205BA06E33}"/>
    <cellStyle name="Финансовый 4 4 2 5" xfId="19429" xr:uid="{3CF44487-0CC4-4A6C-96CE-42C90176FB20}"/>
    <cellStyle name="Финансовый 4 4 2 6" xfId="22600" xr:uid="{27BC80A1-4CA7-4957-9BA9-06420B6F202E}"/>
    <cellStyle name="Финансовый 4 4 2 7" xfId="35653" xr:uid="{B5F9BECF-0269-4033-8BFC-1A1508B64B60}"/>
    <cellStyle name="Финансовый 4 4 3" xfId="5824" xr:uid="{0CBFCA83-74BA-4CC7-81B8-24771CFAD3F6}"/>
    <cellStyle name="Финансовый 4 4 3 2" xfId="9856" xr:uid="{9E881C3C-0435-4B21-AB2F-45F2C54B38C1}"/>
    <cellStyle name="Финансовый 4 4 3 2 2" xfId="18830" xr:uid="{EDD3E904-274A-4D65-AA4F-A123A043726D}"/>
    <cellStyle name="Финансовый 4 4 3 2 3" xfId="20092" xr:uid="{2E4A7E6F-20A9-4293-8AF4-51FBC18239C0}"/>
    <cellStyle name="Финансовый 4 4 3 2 4" xfId="27152" xr:uid="{81B36AB3-D4CA-4D67-A601-F1CAAAFF34B7}"/>
    <cellStyle name="Финансовый 4 4 3 2 5" xfId="40271" xr:uid="{A10524E2-9D51-4AFC-A3E1-804F90C64494}"/>
    <cellStyle name="Финансовый 4 4 3 3" xfId="18126" xr:uid="{D3B4ABA5-EAEC-435D-BA07-4801328A0218}"/>
    <cellStyle name="Финансовый 4 4 3 4" xfId="19565" xr:uid="{C55A7666-5597-4E67-A86B-41CEBE2EC5E8}"/>
    <cellStyle name="Финансовый 4 4 3 5" xfId="23471" xr:uid="{54898AD1-1013-43BC-81C7-1F414A7B9AE2}"/>
    <cellStyle name="Финансовый 4 4 3 6" xfId="36552" xr:uid="{55CE231C-6987-4C01-92F7-DFCBCF398BD6}"/>
    <cellStyle name="Финансовый 4 4 4" xfId="6022" xr:uid="{9A2D99AB-5868-4BF3-B2D4-B780B5AF1819}"/>
    <cellStyle name="Финансовый 4 4 4 2" xfId="9941" xr:uid="{A1BE0EB9-BE5A-4FD0-B590-B9FA0B1065F8}"/>
    <cellStyle name="Финансовый 4 4 4 2 2" xfId="18905" xr:uid="{833579A1-DC3D-4061-A91A-8EE89E105784}"/>
    <cellStyle name="Финансовый 4 4 4 2 3" xfId="20167" xr:uid="{D4E23CC9-FB5C-4481-895B-78AB660E3335}"/>
    <cellStyle name="Финансовый 4 4 4 2 4" xfId="27237" xr:uid="{65E1D806-020D-4D43-9D30-70E2117A3665}"/>
    <cellStyle name="Финансовый 4 4 4 2 5" xfId="40356" xr:uid="{FB970D35-E8DB-4D4E-8D08-8313879627A7}"/>
    <cellStyle name="Финансовый 4 4 4 3" xfId="18201" xr:uid="{914F23E4-8D9B-457D-9780-5B8E6B0E2E2B}"/>
    <cellStyle name="Финансовый 4 4 4 4" xfId="19640" xr:uid="{48BC5F04-664D-4220-B018-64B06B6B8F47}"/>
    <cellStyle name="Финансовый 4 4 4 5" xfId="23668" xr:uid="{602407E3-7931-4CB4-8EC7-633286219D95}"/>
    <cellStyle name="Финансовый 4 4 4 6" xfId="36749" xr:uid="{5831DF1D-50C9-42A4-AAB9-E39EE01D30B2}"/>
    <cellStyle name="Финансовый 4 4 5" xfId="6097" xr:uid="{24308EE1-E2E8-4A7D-833A-A233EB930E04}"/>
    <cellStyle name="Финансовый 4 4 5 2" xfId="10016" xr:uid="{D4CB89D5-E32E-41DF-9BBC-AC5BB137016B}"/>
    <cellStyle name="Финансовый 4 4 5 2 2" xfId="18980" xr:uid="{B3B40C72-8EDA-427C-95EE-51950F96EA67}"/>
    <cellStyle name="Финансовый 4 4 5 2 3" xfId="20242" xr:uid="{6B6C476A-A5A3-478A-9550-5A26A1B97511}"/>
    <cellStyle name="Финансовый 4 4 5 2 4" xfId="27312" xr:uid="{1FE72AD6-6426-4D6A-BE1C-0DDF1304910A}"/>
    <cellStyle name="Финансовый 4 4 5 2 5" xfId="40431" xr:uid="{F81822D9-6D7A-45AF-ADE7-CFD746966242}"/>
    <cellStyle name="Финансовый 4 4 5 3" xfId="18276" xr:uid="{2388BC04-9C06-4F7A-BB49-42468CBAF7A3}"/>
    <cellStyle name="Финансовый 4 4 5 4" xfId="19715" xr:uid="{F77EA4E6-2A0E-4EC4-BA0A-2900307EC3CF}"/>
    <cellStyle name="Финансовый 4 4 5 5" xfId="23743" xr:uid="{52632E56-FA1E-4AD7-AC34-1445AEEC4E70}"/>
    <cellStyle name="Финансовый 4 4 5 6" xfId="36824" xr:uid="{BA3EA7F3-3367-43FC-9F18-3D8C4607C697}"/>
    <cellStyle name="Финансовый 4 4 6" xfId="9499" xr:uid="{1AE4E25F-D10A-4C8E-B666-467DEBCF04CA}"/>
    <cellStyle name="Финансовый 4 4 6 2" xfId="18567" xr:uid="{6FBCBDCC-27A8-448B-8D1B-05149C448DF7}"/>
    <cellStyle name="Финансовый 4 4 6 3" xfId="19870" xr:uid="{CDDAF608-681D-4178-BF9D-30246BD42E75}"/>
    <cellStyle name="Финансовый 4 4 6 4" xfId="26872" xr:uid="{BE47E300-6F91-4954-9A18-5743A3ACE395}"/>
    <cellStyle name="Финансовый 4 4 6 5" xfId="39955" xr:uid="{D0773C3B-0A7D-43F9-8445-BFDD97301D17}"/>
    <cellStyle name="Финансовый 4 4 7" xfId="17887" xr:uid="{E66AB9B2-EC2A-45E7-8B05-805221C9E3A3}"/>
    <cellStyle name="Финансовый 4 4 8" xfId="19343" xr:uid="{3FC1735E-EA4E-4DE2-8769-DFB75CC45412}"/>
    <cellStyle name="Финансовый 4 4 9" xfId="21733" xr:uid="{C84AF7C5-18FD-479F-A49F-8E76406AFE99}"/>
    <cellStyle name="Финансовый 4 5" xfId="2522" xr:uid="{DF251087-4D97-480F-A25B-A60CA4DABE85}"/>
    <cellStyle name="Финансовый 4 5 2" xfId="6188" xr:uid="{FA2F0BD0-4A68-4231-913E-9560421A8278}"/>
    <cellStyle name="Финансовый 4 5 2 2" xfId="10041" xr:uid="{C1A62AFA-5B3D-4EC7-A0E9-E1061F79CDE4}"/>
    <cellStyle name="Финансовый 4 5 2 2 2" xfId="19005" xr:uid="{496082DF-19D7-4AEB-9A01-891E57712098}"/>
    <cellStyle name="Финансовый 4 5 2 2 3" xfId="20267" xr:uid="{32DF7695-0359-483A-8398-38BF746D5284}"/>
    <cellStyle name="Финансовый 4 5 2 2 4" xfId="27337" xr:uid="{AB16E639-F96E-4BE0-9B65-9C4E7829D0FB}"/>
    <cellStyle name="Финансовый 4 5 2 2 5" xfId="40456" xr:uid="{7E5D13D5-52DC-4760-9CCA-B8EABFE2D4BF}"/>
    <cellStyle name="Финансовый 4 5 2 3" xfId="18301" xr:uid="{0EB21E87-85EC-4163-8AE7-389F12E9A4E8}"/>
    <cellStyle name="Финансовый 4 5 2 4" xfId="19740" xr:uid="{3D29EC12-3336-42B6-9FAD-104C8ACE988E}"/>
    <cellStyle name="Финансовый 4 5 2 5" xfId="23833" xr:uid="{342BDAB8-8295-4F19-AA4D-F758C1877F84}"/>
    <cellStyle name="Финансовый 4 5 2 6" xfId="36914" xr:uid="{10ECB502-4322-44C3-903F-05913264A427}"/>
    <cellStyle name="Финансовый 4 5 3" xfId="9409" xr:uid="{952C8586-5FD3-4704-81FB-51619C719E5B}"/>
    <cellStyle name="Финансовый 4 5 3 2" xfId="18479" xr:uid="{7EA777AC-288B-4A52-9F9C-A752F2485B9C}"/>
    <cellStyle name="Финансовый 4 5 3 3" xfId="19819" xr:uid="{F2601488-CAC8-41E2-A7A5-73881EBBAF21}"/>
    <cellStyle name="Финансовый 4 5 3 4" xfId="26821" xr:uid="{E53EAF66-502B-44AB-8A09-DFFC3F77F2EB}"/>
    <cellStyle name="Финансовый 4 5 3 5" xfId="39902" xr:uid="{52FDA7FD-2F52-4097-A47F-86C100D7913E}"/>
    <cellStyle name="Финансовый 4 5 4" xfId="17836" xr:uid="{583AC93F-D5CE-4744-AF70-27AE523368F5}"/>
    <cellStyle name="Финансовый 4 5 5" xfId="19292" xr:uid="{E9AE93D5-DAC6-40CB-9436-3E48C8422DF0}"/>
    <cellStyle name="Финансовый 4 5 6" xfId="20585" xr:uid="{ED402305-DB33-4952-BD6C-0A82D597DDDB}"/>
    <cellStyle name="Финансовый 4 5 7" xfId="33608" xr:uid="{8925AA21-AA28-45DB-87CA-F1610F73FCD9}"/>
    <cellStyle name="Финансовый 4 6" xfId="4275" xr:uid="{CD3E3F4B-77CA-4C96-85F2-54CAA077345F}"/>
    <cellStyle name="Финансовый 4 6 2" xfId="9536" xr:uid="{252CFC11-43BB-47E6-80EE-71ECEAAC7A9F}"/>
    <cellStyle name="Финансовый 4 6 2 2" xfId="18604" xr:uid="{20467FE9-8A59-4FA1-A424-A5C1CB7587FB}"/>
    <cellStyle name="Финансовый 4 6 2 3" xfId="19894" xr:uid="{8E2ACEE7-BB7C-4D29-9D7D-44663A7F2559}"/>
    <cellStyle name="Финансовый 4 6 2 4" xfId="26896" xr:uid="{E1AA2C2E-1F5D-4B3F-9D8E-451F5975A2B8}"/>
    <cellStyle name="Финансовый 4 6 2 5" xfId="39979" xr:uid="{BE9EFF91-7AE3-458A-B44E-8BE9012B33EF}"/>
    <cellStyle name="Финансовый 4 6 3" xfId="17911" xr:uid="{E5BE0A1C-B5BA-4834-B807-22DE952EE68E}"/>
    <cellStyle name="Финансовый 4 6 4" xfId="19367" xr:uid="{B1FA3278-CBA3-4B54-B52D-E3A8580D2031}"/>
    <cellStyle name="Финансовый 4 6 5" xfId="22099" xr:uid="{DB48336C-81B6-47BF-8D98-540E035C4BBE}"/>
    <cellStyle name="Финансовый 4 6 6" xfId="35148" xr:uid="{810F4286-2668-46CA-9121-FF7A7245EF0A}"/>
    <cellStyle name="Финансовый 4 7" xfId="5251" xr:uid="{00BD3419-B76F-4D8C-8432-8A085B9500D2}"/>
    <cellStyle name="Финансовый 4 7 2" xfId="9685" xr:uid="{C86E574E-D9EF-414F-BC31-31AE0DD408F4}"/>
    <cellStyle name="Финансовый 4 7 2 2" xfId="18724" xr:uid="{FB3B3CF7-1B18-4BF0-ACBA-674FD17F5256}"/>
    <cellStyle name="Финансовый 4 7 2 3" xfId="19988" xr:uid="{EA51F3A8-CF1F-479F-98B9-2663998C9CB8}"/>
    <cellStyle name="Финансовый 4 7 2 4" xfId="26990" xr:uid="{62572821-9C68-400B-A7E0-10765B38CD29}"/>
    <cellStyle name="Финансовый 4 7 2 5" xfId="40102" xr:uid="{C6EF5014-88D5-470C-9D19-59688F30312D}"/>
    <cellStyle name="Финансовый 4 7 3" xfId="18021" xr:uid="{74F9F6CC-0983-4578-B894-AFF32DB56FC8}"/>
    <cellStyle name="Финансовый 4 7 4" xfId="19461" xr:uid="{7F3ACA88-04FA-48F2-A5D8-55F5CF577F1F}"/>
    <cellStyle name="Финансовый 4 7 5" xfId="22909" xr:uid="{3FF98D69-7EE1-444E-BB0E-2397F78900B8}"/>
    <cellStyle name="Финансовый 4 7 6" xfId="35983" xr:uid="{D5C2C0E0-621E-4563-AFCC-E8352F2C7C00}"/>
    <cellStyle name="Финансовый 4 8" xfId="5344" xr:uid="{3E47D9D5-B01B-46F7-81DD-9E0F36FDF5CF}"/>
    <cellStyle name="Финансовый 4 8 2" xfId="9775" xr:uid="{30CA3528-E70B-4F0B-B131-2304B1C39939}"/>
    <cellStyle name="Финансовый 4 8 2 2" xfId="18778" xr:uid="{499094A1-09D1-44D9-8D18-5B60E0618032}"/>
    <cellStyle name="Финансовый 4 8 2 3" xfId="20041" xr:uid="{CDB6418F-E990-4D36-AAFB-C9BA14E6729A}"/>
    <cellStyle name="Финансовый 4 8 2 4" xfId="27072" xr:uid="{EC8229EF-10B2-4A65-A5E6-A393D3A96AD9}"/>
    <cellStyle name="Финансовый 4 8 2 5" xfId="40191" xr:uid="{8A3BE009-A6CE-4F8F-8A8A-47479CC48442}"/>
    <cellStyle name="Финансовый 4 8 3" xfId="18075" xr:uid="{6C6F576C-41CB-47D7-8DE0-0125BA6EF567}"/>
    <cellStyle name="Финансовый 4 8 4" xfId="19514" xr:uid="{00BA8923-0AFA-4EC0-A96F-3B549BC311D4}"/>
    <cellStyle name="Финансовый 4 8 5" xfId="22991" xr:uid="{E34430E9-E317-418B-8882-61228B570F7A}"/>
    <cellStyle name="Финансовый 4 8 6" xfId="36072" xr:uid="{0799ED96-B749-419D-92C0-853C8F654C7A}"/>
    <cellStyle name="Финансовый 4 9" xfId="5971" xr:uid="{E49038E3-1D20-4AE1-9603-E60DC2DA1033}"/>
    <cellStyle name="Финансовый 4 9 2" xfId="9890" xr:uid="{F4419C72-EF86-4BAC-AFF8-079CCB214DB6}"/>
    <cellStyle name="Финансовый 4 9 2 2" xfId="18854" xr:uid="{2F8C3EE5-E451-4CBB-94BF-B88CD49E6A5D}"/>
    <cellStyle name="Финансовый 4 9 2 3" xfId="20116" xr:uid="{090CFB3E-B5EB-44F5-95EE-2BAB58A3FBA0}"/>
    <cellStyle name="Финансовый 4 9 2 4" xfId="27186" xr:uid="{6168209E-8BF2-4FBD-83C0-929E593D3F54}"/>
    <cellStyle name="Финансовый 4 9 2 5" xfId="40305" xr:uid="{90D311F4-6C12-441F-A798-13109BC505D4}"/>
    <cellStyle name="Финансовый 4 9 3" xfId="18150" xr:uid="{6B60A81A-DA18-4163-A1DE-3AFCE259694E}"/>
    <cellStyle name="Финансовый 4 9 4" xfId="19589" xr:uid="{E3E45965-3F00-4BF5-9359-AE6483B9C9AD}"/>
    <cellStyle name="Финансовый 4 9 5" xfId="23617" xr:uid="{C275559C-7B67-41B7-BD7D-E135ADC2FFD8}"/>
    <cellStyle name="Финансовый 4 9 6" xfId="36698" xr:uid="{9194A7F7-784C-4B9D-8453-7949902A06F4}"/>
    <cellStyle name="Финансовый 40" xfId="20326" xr:uid="{EC4006C4-428B-4E6F-BF3B-28A0F168D1A8}"/>
    <cellStyle name="Финансовый 41" xfId="20423" xr:uid="{73B1488C-AB7F-49A2-8234-DC8F4D6D7961}"/>
    <cellStyle name="Финансовый 42" xfId="33358" xr:uid="{C4DE0678-D0C1-4324-8EB0-206B7F8F6DC0}"/>
    <cellStyle name="Финансовый 43" xfId="33533" xr:uid="{3365B36D-42A9-4B9E-9012-6FF0EA948F36}"/>
    <cellStyle name="Финансовый 44" xfId="33534" xr:uid="{EDB328C2-18B8-4416-BC71-45F6EF6AECDE}"/>
    <cellStyle name="Финансовый 45" xfId="33538" xr:uid="{CD6F8CE7-35D9-48CB-AC60-3F140F2D9F76}"/>
    <cellStyle name="Финансовый 46" xfId="47148" xr:uid="{CA234B0D-30D5-4D2F-8573-B43B529F44C9}"/>
    <cellStyle name="Финансовый 5" xfId="20" xr:uid="{25AA47F1-2C31-45E9-91C8-7690738D8B1F}"/>
    <cellStyle name="Финансовый 5 10" xfId="9386" xr:uid="{D736C26A-7FDE-4FAF-A4CD-5448C03EB6BB}"/>
    <cellStyle name="Финансовый 5 10 2" xfId="18457" xr:uid="{6C83D293-3560-4B2F-8C28-731C03CE88CD}"/>
    <cellStyle name="Финансовый 5 10 3" xfId="19797" xr:uid="{E662C55E-37BE-48D8-9296-2A35FFF047DE}"/>
    <cellStyle name="Финансовый 5 10 4" xfId="26799" xr:uid="{5992A31D-0564-4DEC-91E1-2D84F588C48D}"/>
    <cellStyle name="Финансовый 5 10 5" xfId="39880" xr:uid="{3FBD0847-5182-4348-BB8A-DCD34B73472B}"/>
    <cellStyle name="Финансовый 5 11" xfId="10517" xr:uid="{7EEC41E6-7B37-4CCF-B82D-E02EA536BC7D}"/>
    <cellStyle name="Финансовый 5 12" xfId="17677" xr:uid="{BBA40B7E-A0A4-4175-8D0F-F1D7ECCBCAB0}"/>
    <cellStyle name="Финансовый 5 12 2" xfId="19184" xr:uid="{E852D09C-C5D7-40A7-B464-416DD3509845}"/>
    <cellStyle name="Финансовый 5 12 3" xfId="20339" xr:uid="{44D2F680-C3B7-4EBC-84C2-5E0B4CEE8194}"/>
    <cellStyle name="Финансовый 5 12 4" xfId="33400" xr:uid="{8A70BBE2-3EBC-43BD-8CC2-9B446171FE54}"/>
    <cellStyle name="Финансовый 5 12 5" xfId="47189" xr:uid="{F4A89980-D921-4B56-9F87-B1D08353AB68}"/>
    <cellStyle name="Финансовый 5 13" xfId="2454" xr:uid="{3B1F762D-CD83-43FB-AFDA-490799B24B01}"/>
    <cellStyle name="Финансовый 5 14" xfId="17814" xr:uid="{B9B97063-F009-4134-99C9-C32B9034AE11}"/>
    <cellStyle name="Финансовый 5 15" xfId="19270" xr:uid="{8EB5FA8E-6B99-4A72-89FC-172375426198}"/>
    <cellStyle name="Финансовый 5 16" xfId="20431" xr:uid="{DFA0C489-3877-451F-A136-051F0220F60B}"/>
    <cellStyle name="Финансовый 5 17" xfId="20556" xr:uid="{62ED848D-6773-4F70-998F-BF35E2262EB3}"/>
    <cellStyle name="Финансовый 5 18" xfId="33579" xr:uid="{D334D0D9-A0C4-4465-A862-414F852EC22C}"/>
    <cellStyle name="Финансовый 5 2" xfId="2455" xr:uid="{21D9B4BF-4DEE-4467-83AF-FF13877CBF26}"/>
    <cellStyle name="Финансовый 5 2 10" xfId="10518" xr:uid="{5AC056BF-F380-46CB-87E5-ED07569E8C25}"/>
    <cellStyle name="Финансовый 5 2 11" xfId="17678" xr:uid="{7908D23B-99B8-426A-AD3D-D281901A6736}"/>
    <cellStyle name="Финансовый 5 2 11 2" xfId="19185" xr:uid="{50A23C18-EB9C-4BD2-B4B7-3011522F2EB4}"/>
    <cellStyle name="Финансовый 5 2 11 3" xfId="20340" xr:uid="{6234FD5E-FB0D-4D3B-9DA0-43369ADBD781}"/>
    <cellStyle name="Финансовый 5 2 11 4" xfId="33401" xr:uid="{05145086-8533-4EE9-8F8E-B31C595ED09C}"/>
    <cellStyle name="Финансовый 5 2 11 5" xfId="47190" xr:uid="{AAE4B9C5-218E-4A3F-BCAF-0A3C941AC80D}"/>
    <cellStyle name="Финансовый 5 2 12" xfId="17815" xr:uid="{93C6BA81-D70C-4BC3-BEA0-267FBB02F6A6}"/>
    <cellStyle name="Финансовый 5 2 13" xfId="19271" xr:uid="{FB423BD9-DEF4-43DD-BE54-8FFC3E8FD77C}"/>
    <cellStyle name="Финансовый 5 2 14" xfId="20432" xr:uid="{BFAF9765-EBB4-4B6E-ABCF-D7BC2A310527}"/>
    <cellStyle name="Финансовый 5 2 15" xfId="20557" xr:uid="{93A4FD74-F58D-4572-8DA7-D88D0269BB2B}"/>
    <cellStyle name="Финансовый 5 2 16" xfId="33580" xr:uid="{9709E7C5-1E0E-4AAD-99E3-7D56A45829E7}"/>
    <cellStyle name="Финансовый 5 2 2" xfId="4039" xr:uid="{6E8C5F8E-13C7-4E62-8F05-DD3EB378AA4B}"/>
    <cellStyle name="Финансовый 5 2 2 10" xfId="20516" xr:uid="{2430325A-52D0-4F03-9144-5866B584DACD}"/>
    <cellStyle name="Финансовый 5 2 2 11" xfId="21877" xr:uid="{BE9054F0-7589-44A6-A254-71D937452C7D}"/>
    <cellStyle name="Финансовый 5 2 2 12" xfId="34926" xr:uid="{53CCB315-CCB7-498D-A87E-2B3F0420CFF0}"/>
    <cellStyle name="Финансовый 5 2 2 2" xfId="4574" xr:uid="{288E6355-26B1-4D60-8FAA-398376102E87}"/>
    <cellStyle name="Финансовый 5 2 2 2 2" xfId="7609" xr:uid="{A97DCBEB-2061-4B74-B58F-D1BD625F5DBC}"/>
    <cellStyle name="Финансовый 5 2 2 2 2 2" xfId="10135" xr:uid="{61237895-33B4-4FB7-B535-B0692B0CAB51}"/>
    <cellStyle name="Финансовый 5 2 2 2 2 2 2" xfId="19098" xr:uid="{216FC2EC-EBAC-464F-B3EF-9296550F757F}"/>
    <cellStyle name="Финансовый 5 2 2 2 2 2 3" xfId="20318" xr:uid="{760EA4BA-7A3B-41E1-A7CB-8CF9F6B813BB}"/>
    <cellStyle name="Финансовый 5 2 2 2 2 2 4" xfId="27388" xr:uid="{DA791939-A089-4166-824F-DC3A53E8ED6B}"/>
    <cellStyle name="Финансовый 5 2 2 2 2 2 5" xfId="40507" xr:uid="{AD174608-75FD-41EF-8C26-1C728D7A2AF1}"/>
    <cellStyle name="Финансовый 5 2 2 2 2 3" xfId="18393" xr:uid="{2B0196FB-FD56-42EE-9F69-CA97F8BAD6CB}"/>
    <cellStyle name="Финансовый 5 2 2 2 2 4" xfId="19791" xr:uid="{A0A975E4-9E2E-4CC1-883D-A2A1715CAE80}"/>
    <cellStyle name="Финансовый 5 2 2 2 2 5" xfId="25137" xr:uid="{129986DC-0521-4B13-AF0E-F75D88CA32FA}"/>
    <cellStyle name="Финансовый 5 2 2 2 2 6" xfId="38213" xr:uid="{440C82E1-435A-466F-A9BF-328B0D3BF4C3}"/>
    <cellStyle name="Финансовый 5 2 2 2 3" xfId="9567" xr:uid="{4B27C1AA-E724-44B7-87A6-B2A00C5C51F8}"/>
    <cellStyle name="Финансовый 5 2 2 2 3 2" xfId="18635" xr:uid="{7BB21EA8-347D-4A64-BEA6-96CF091B4D67}"/>
    <cellStyle name="Финансовый 5 2 2 2 3 3" xfId="19922" xr:uid="{0DCC03B0-E4CD-45E3-9689-90D65F813872}"/>
    <cellStyle name="Финансовый 5 2 2 2 3 4" xfId="26924" xr:uid="{95179B66-A630-477B-8F54-D0D0D61E19AF}"/>
    <cellStyle name="Финансовый 5 2 2 2 3 5" xfId="40007" xr:uid="{DA25FF73-48A2-40DA-ACA6-DF0A39722C14}"/>
    <cellStyle name="Финансовый 5 2 2 2 4" xfId="17941" xr:uid="{9357C3CD-05AD-445C-8EBD-F65DA7CF36A1}"/>
    <cellStyle name="Финансовый 5 2 2 2 5" xfId="19395" xr:uid="{373F607E-8A0A-4AD2-B450-1538F4BC6F2D}"/>
    <cellStyle name="Финансовый 5 2 2 2 6" xfId="22388" xr:uid="{82DF8BFE-77DD-48F7-9125-2FD7019AC57A}"/>
    <cellStyle name="Финансовый 5 2 2 2 7" xfId="35438" xr:uid="{17348E94-79B7-48D3-BEF4-2C87815A60EB}"/>
    <cellStyle name="Финансовый 5 2 2 3" xfId="5963" xr:uid="{C5DEEE58-39E8-4D1C-B579-76D68CE51BDF}"/>
    <cellStyle name="Финансовый 5 2 2 3 2" xfId="9883" xr:uid="{05B5775B-4CFC-489E-A282-B0CB4D17C209}"/>
    <cellStyle name="Финансовый 5 2 2 3 2 2" xfId="18847" xr:uid="{2BD390C7-94C8-4981-8A72-2334AEC05DE0}"/>
    <cellStyle name="Финансовый 5 2 2 3 2 3" xfId="20109" xr:uid="{6A5EC940-7820-4245-B63E-8B691B7C0C87}"/>
    <cellStyle name="Финансовый 5 2 2 3 2 4" xfId="27179" xr:uid="{4B549E3F-5049-4407-9B7C-44B9BC439B6C}"/>
    <cellStyle name="Финансовый 5 2 2 3 2 5" xfId="40298" xr:uid="{9DC90905-6DDA-40DD-8350-3384E8893612}"/>
    <cellStyle name="Финансовый 5 2 2 3 3" xfId="18143" xr:uid="{AA449F23-D3C1-4560-ABFF-FE3323F9EB64}"/>
    <cellStyle name="Финансовый 5 2 2 3 4" xfId="19582" xr:uid="{220350AD-2693-4885-B9FB-D6423EADFF08}"/>
    <cellStyle name="Финансовый 5 2 2 3 5" xfId="23610" xr:uid="{91F0B65B-3A30-4206-9C0E-3D5178F3F42B}"/>
    <cellStyle name="Финансовый 5 2 2 3 6" xfId="36691" xr:uid="{B50EABD4-03B7-4BA0-8498-21A6E862D602}"/>
    <cellStyle name="Финансовый 5 2 2 4" xfId="6039" xr:uid="{139DE4D6-CA0C-4941-9750-B892098C3FCA}"/>
    <cellStyle name="Финансовый 5 2 2 4 2" xfId="9958" xr:uid="{ABE43A0E-7B63-44EA-9C4C-8BBA72D982E0}"/>
    <cellStyle name="Финансовый 5 2 2 4 2 2" xfId="18922" xr:uid="{E8BB404C-7FB1-49DE-9B97-322A00B7CEB3}"/>
    <cellStyle name="Финансовый 5 2 2 4 2 3" xfId="20184" xr:uid="{77406B13-B674-4206-A22F-216A56DD3498}"/>
    <cellStyle name="Финансовый 5 2 2 4 2 4" xfId="27254" xr:uid="{072E1F8A-98D6-46CF-BAA6-7666220BBA03}"/>
    <cellStyle name="Финансовый 5 2 2 4 2 5" xfId="40373" xr:uid="{619E37D6-D6B2-4DE5-99B5-FF9EE95A2BC5}"/>
    <cellStyle name="Финансовый 5 2 2 4 3" xfId="18218" xr:uid="{216FF1DB-2B3E-4761-BD7B-61F746BDD1ED}"/>
    <cellStyle name="Финансовый 5 2 2 4 4" xfId="19657" xr:uid="{B20E0320-04B7-475E-9200-3B45D0BEAA4D}"/>
    <cellStyle name="Финансовый 5 2 2 4 5" xfId="23685" xr:uid="{BBC2F6FD-6456-4F3D-B199-F19EFBB9996F}"/>
    <cellStyle name="Финансовый 5 2 2 4 6" xfId="36766" xr:uid="{564B00FD-A069-49C6-8012-A1458F26C513}"/>
    <cellStyle name="Финансовый 5 2 2 5" xfId="6124" xr:uid="{A9D0B0E3-1843-40DA-9DAF-3300A09ACC47}"/>
    <cellStyle name="Финансовый 5 2 2 5 2" xfId="10033" xr:uid="{F2DC5EC2-D2D2-4F59-A8F8-F4DF52C04564}"/>
    <cellStyle name="Финансовый 5 2 2 5 2 2" xfId="18997" xr:uid="{809E08B2-E7AA-4C0F-B427-2DED84AE1114}"/>
    <cellStyle name="Финансовый 5 2 2 5 2 3" xfId="20259" xr:uid="{9EC7EC7C-0A89-4801-91F1-5E46844A6531}"/>
    <cellStyle name="Финансовый 5 2 2 5 2 4" xfId="27329" xr:uid="{728DD9A3-B8EC-4C8B-94D1-F62C6326A9CC}"/>
    <cellStyle name="Финансовый 5 2 2 5 2 5" xfId="40448" xr:uid="{398CFD6E-89FC-4A1C-8159-B620D7BB892A}"/>
    <cellStyle name="Финансовый 5 2 2 5 3" xfId="18293" xr:uid="{C4214167-3D64-4064-BFFF-11955686D24D}"/>
    <cellStyle name="Финансовый 5 2 2 5 4" xfId="19732" xr:uid="{75E61831-3DEF-4CDE-A80C-9041BBA75FCF}"/>
    <cellStyle name="Финансовый 5 2 2 5 5" xfId="23770" xr:uid="{5A686B18-381A-4ED8-A386-C9A200EA8D8D}"/>
    <cellStyle name="Финансовый 5 2 2 5 6" xfId="36851" xr:uid="{4C32AC7E-CEE0-45B5-9973-854B9E8D9D48}"/>
    <cellStyle name="Финансовый 5 2 2 6" xfId="9521" xr:uid="{9123E2B9-087B-4B63-A67C-CD41574B6069}"/>
    <cellStyle name="Финансовый 5 2 2 6 2" xfId="18589" xr:uid="{1B495020-4333-4367-9C1C-59E1354CDCF3}"/>
    <cellStyle name="Финансовый 5 2 2 6 3" xfId="19887" xr:uid="{23E982C1-8B50-48A4-9EAA-EFB8E2E5F5F2}"/>
    <cellStyle name="Финансовый 5 2 2 6 4" xfId="26889" xr:uid="{474081A0-8887-46C6-B955-AD1940E78DCA}"/>
    <cellStyle name="Финансовый 5 2 2 6 5" xfId="39972" xr:uid="{79A595F6-E8CE-47E6-BB0F-3FB9ED3D6627}"/>
    <cellStyle name="Финансовый 5 2 2 7" xfId="17763" xr:uid="{439A04A2-62B7-427D-A152-CC11930A1D33}"/>
    <cellStyle name="Финансовый 5 2 2 7 2" xfId="19230" xr:uid="{07699839-6A8B-46D0-A16A-D8A312BF221B}"/>
    <cellStyle name="Финансовый 5 2 2 7 3" xfId="20385" xr:uid="{D3656F39-7185-4A29-8CE5-9D37C23B80A2}"/>
    <cellStyle name="Финансовый 5 2 2 7 4" xfId="33485" xr:uid="{D5C06A05-E401-4284-AFE2-0B019CB1C3A0}"/>
    <cellStyle name="Финансовый 5 2 2 7 5" xfId="47264" xr:uid="{E938D5B8-777B-4B08-842C-4B6265D531EC}"/>
    <cellStyle name="Финансовый 5 2 2 8" xfId="17904" xr:uid="{8E8768C2-3908-4030-98FB-D708DFB366C1}"/>
    <cellStyle name="Финансовый 5 2 2 9" xfId="19360" xr:uid="{6E76079D-70FB-4B35-9E95-BC0BEF75CA57}"/>
    <cellStyle name="Финансовый 5 2 3" xfId="3254" xr:uid="{468A2825-7A8C-42C8-BB14-8F6115B98FE5}"/>
    <cellStyle name="Финансовый 5 2 3 2" xfId="6913" xr:uid="{3399FFC7-BAA0-47B8-B76A-28D97981850D}"/>
    <cellStyle name="Финансовый 5 2 3 2 2" xfId="10067" xr:uid="{86C51AD8-21BF-44E3-8E0A-8ECDB41C531F}"/>
    <cellStyle name="Финансовый 5 2 3 2 2 2" xfId="19030" xr:uid="{757C4356-8EA0-4F8C-9115-F662363E341B}"/>
    <cellStyle name="Финансовый 5 2 3 2 2 3" xfId="20270" xr:uid="{4E285C04-D767-4868-9FD3-A64A6E761140}"/>
    <cellStyle name="Финансовый 5 2 3 2 2 4" xfId="27340" xr:uid="{D307C167-5916-42EB-952C-E6386B80E891}"/>
    <cellStyle name="Финансовый 5 2 3 2 2 5" xfId="40459" xr:uid="{1650C4C5-ECBD-4940-AC2C-D34DC4F83D4D}"/>
    <cellStyle name="Финансовый 5 2 3 2 3" xfId="18326" xr:uid="{017F7C01-DE70-45F0-BD2C-A79B54AB84D5}"/>
    <cellStyle name="Финансовый 5 2 3 2 4" xfId="19743" xr:uid="{475005E8-7F59-4C0D-9F89-D324250FB5CE}"/>
    <cellStyle name="Финансовый 5 2 3 2 5" xfId="24536" xr:uid="{AD45F118-B422-423A-8759-CC2FDE1D7107}"/>
    <cellStyle name="Финансовый 5 2 3 2 6" xfId="37617" xr:uid="{876F5AA4-E679-40C4-8E86-94AA345979A0}"/>
    <cellStyle name="Финансовый 5 2 3 3" xfId="9434" xr:uid="{CAF225B8-98A4-48EF-9217-8FE9288CF0D2}"/>
    <cellStyle name="Финансовый 5 2 3 3 2" xfId="18504" xr:uid="{FA011B39-21E5-4600-A661-94396424FE6D}"/>
    <cellStyle name="Финансовый 5 2 3 3 3" xfId="19822" xr:uid="{7D16DA73-37D3-42D7-8718-9F17522686C7}"/>
    <cellStyle name="Финансовый 5 2 3 3 4" xfId="26824" xr:uid="{8F34CB4B-CD44-44B3-9BE7-9FE6B509279C}"/>
    <cellStyle name="Финансовый 5 2 3 3 5" xfId="39905" xr:uid="{EBA01222-E462-417E-974B-41D4595BD0A0}"/>
    <cellStyle name="Финансовый 5 2 3 4" xfId="17839" xr:uid="{A7808F66-DC90-4710-AC28-E8AA5CA7D638}"/>
    <cellStyle name="Финансовый 5 2 3 5" xfId="19295" xr:uid="{3287928A-14FC-4A54-B85F-3ABCB73D64CF}"/>
    <cellStyle name="Финансовый 5 2 3 6" xfId="21288" xr:uid="{BB619088-E626-4742-A27D-7CECB972FEC5}"/>
    <cellStyle name="Финансовый 5 2 3 7" xfId="34311" xr:uid="{742660E6-37CA-4F3B-A165-17F392E58709}"/>
    <cellStyle name="Финансовый 5 2 4" xfId="4311" xr:uid="{E66B919E-B7B5-47F9-9950-9F2EDCF42E5C}"/>
    <cellStyle name="Финансовый 5 2 4 2" xfId="9539" xr:uid="{B9CB142A-DD73-4BA1-9A9F-31BF933D9B83}"/>
    <cellStyle name="Финансовый 5 2 4 2 2" xfId="18607" xr:uid="{37BDEF10-83B6-43FD-9216-5F432D49172E}"/>
    <cellStyle name="Финансовый 5 2 4 2 3" xfId="19897" xr:uid="{222E637E-2110-400F-A468-B53C67370E76}"/>
    <cellStyle name="Финансовый 5 2 4 2 4" xfId="26899" xr:uid="{B0A75230-6FA8-486D-945E-A7E8896DC0EC}"/>
    <cellStyle name="Финансовый 5 2 4 2 5" xfId="39982" xr:uid="{E6B4D952-36E5-4657-93D9-8689C094BF6E}"/>
    <cellStyle name="Финансовый 5 2 4 3" xfId="17914" xr:uid="{8EC88D39-8595-4C1C-9008-11C3A8E42B69}"/>
    <cellStyle name="Финансовый 5 2 4 4" xfId="19370" xr:uid="{0FBFE138-74BF-4B93-8E3D-79571FBD4489}"/>
    <cellStyle name="Финансовый 5 2 4 5" xfId="22131" xr:uid="{23214100-281F-4AD6-BBF3-B60DD965FE7E}"/>
    <cellStyle name="Финансовый 5 2 4 6" xfId="35180" xr:uid="{A45D538A-42C6-4C77-B516-7E2B1D30E5D7}"/>
    <cellStyle name="Финансовый 5 2 5" xfId="5290" xr:uid="{B88C5B14-0D6D-47A1-971B-7A898C42291E}"/>
    <cellStyle name="Финансовый 5 2 5 2" xfId="9723" xr:uid="{34FAAF29-8FA6-4A3C-B6C8-ABB2BFBD9558}"/>
    <cellStyle name="Финансовый 5 2 5 2 2" xfId="18728" xr:uid="{70FC2A64-9587-471E-AE3B-CA4EB01A0E1F}"/>
    <cellStyle name="Финансовый 5 2 5 2 3" xfId="19991" xr:uid="{E07E9D76-C53E-44DC-940D-6AC0E2551EF8}"/>
    <cellStyle name="Финансовый 5 2 5 2 4" xfId="27022" xr:uid="{A7BB1EAF-11AB-4684-A8FB-AD9B83453E46}"/>
    <cellStyle name="Финансовый 5 2 5 2 5" xfId="40139" xr:uid="{1855E7B7-5A58-4D33-938B-F5EFE07F936A}"/>
    <cellStyle name="Финансовый 5 2 5 3" xfId="18025" xr:uid="{AA3C8CB5-DCB7-4F46-B60F-1B84F02BAF09}"/>
    <cellStyle name="Финансовый 5 2 5 4" xfId="19464" xr:uid="{514D71D6-A3E4-4A72-953A-A8FE85678BBD}"/>
    <cellStyle name="Финансовый 5 2 5 5" xfId="22941" xr:uid="{2874B81A-F1EB-4D75-B01A-A81C9AB5546C}"/>
    <cellStyle name="Финансовый 5 2 5 6" xfId="36020" xr:uid="{5D6327E8-9BD1-42F2-86DC-476691309AF9}"/>
    <cellStyle name="Финансовый 5 2 6" xfId="5366" xr:uid="{ABC78304-6528-4AD8-9351-336BFB142D49}"/>
    <cellStyle name="Финансовый 5 2 6 2" xfId="9797" xr:uid="{6A6418DB-066F-492A-8ECE-3C16377417A3}"/>
    <cellStyle name="Финансовый 5 2 6 2 2" xfId="18781" xr:uid="{4C993E9C-39E1-4180-BE55-5E7A609A7628}"/>
    <cellStyle name="Финансовый 5 2 6 2 3" xfId="20044" xr:uid="{97C5DBEB-08D9-4337-AAD8-66DC6E7C00E0}"/>
    <cellStyle name="Финансовый 5 2 6 2 4" xfId="27094" xr:uid="{C6C040E0-68AF-4AA3-8130-3202FE4ECA30}"/>
    <cellStyle name="Финансовый 5 2 6 2 5" xfId="40213" xr:uid="{D010F729-FFB1-4BB6-9C46-E8363596FFD6}"/>
    <cellStyle name="Финансовый 5 2 6 3" xfId="18078" xr:uid="{A6AEA01B-AFEA-428B-B35D-DECDFB0A1B27}"/>
    <cellStyle name="Финансовый 5 2 6 4" xfId="19517" xr:uid="{A1F8BD35-2C93-4446-BC72-CD603098C333}"/>
    <cellStyle name="Финансовый 5 2 6 5" xfId="23013" xr:uid="{0F0F5DE3-EC7C-4777-AF54-05401A8F810E}"/>
    <cellStyle name="Финансовый 5 2 6 6" xfId="36094" xr:uid="{D68859FF-AC5D-4B6F-B56E-F0136A5ADECD}"/>
    <cellStyle name="Финансовый 5 2 7" xfId="5974" xr:uid="{D0F50BA9-A04A-4CE7-8061-9BC35869C600}"/>
    <cellStyle name="Финансовый 5 2 7 2" xfId="9893" xr:uid="{26D909DD-8EB3-4DC2-BC01-7C1175D544E0}"/>
    <cellStyle name="Финансовый 5 2 7 2 2" xfId="18857" xr:uid="{DD56A5DD-4AFA-4A5E-8E47-95CAC6B3A83F}"/>
    <cellStyle name="Финансовый 5 2 7 2 3" xfId="20119" xr:uid="{96C6C740-BD22-4551-8AF0-C368AC6A7709}"/>
    <cellStyle name="Финансовый 5 2 7 2 4" xfId="27189" xr:uid="{243A213E-9D58-429A-BA5D-0C90DD63C38C}"/>
    <cellStyle name="Финансовый 5 2 7 2 5" xfId="40308" xr:uid="{DEB6449C-5C01-4351-8813-80AA802BDA36}"/>
    <cellStyle name="Финансовый 5 2 7 3" xfId="18153" xr:uid="{4289EB68-CE9D-42F7-8C14-7027FA04DB06}"/>
    <cellStyle name="Финансовый 5 2 7 4" xfId="19592" xr:uid="{29438319-899F-4B8E-937A-BDBE58EBB575}"/>
    <cellStyle name="Финансовый 5 2 7 5" xfId="23620" xr:uid="{32AFAF25-602A-4F48-A5DC-F16CFE3ACE30}"/>
    <cellStyle name="Финансовый 5 2 7 6" xfId="36701" xr:uid="{EEF066AD-ED38-4695-ACFA-362CA8EF7946}"/>
    <cellStyle name="Финансовый 5 2 8" xfId="6049" xr:uid="{0F0D097F-2EE7-4BC7-845A-8DA8F1C00527}"/>
    <cellStyle name="Финансовый 5 2 8 2" xfId="9968" xr:uid="{6941F294-1AEE-43DF-8B87-AF776118A735}"/>
    <cellStyle name="Финансовый 5 2 8 2 2" xfId="18932" xr:uid="{4183C55B-E1C7-4972-AA29-DAA0927E1778}"/>
    <cellStyle name="Финансовый 5 2 8 2 3" xfId="20194" xr:uid="{1A1324FB-15AE-4D61-B330-90101ED4BB05}"/>
    <cellStyle name="Финансовый 5 2 8 2 4" xfId="27264" xr:uid="{25FD6430-5123-4D93-8233-FBE6FCE39AE7}"/>
    <cellStyle name="Финансовый 5 2 8 2 5" xfId="40383" xr:uid="{139D1C4D-9CCE-4C82-9F1E-7820EE3F0964}"/>
    <cellStyle name="Финансовый 5 2 8 3" xfId="18228" xr:uid="{249F3C15-21A9-45C3-AE34-08AFAA2F7F66}"/>
    <cellStyle name="Финансовый 5 2 8 4" xfId="19667" xr:uid="{3418B69D-6FEA-470A-8C72-7203257733B8}"/>
    <cellStyle name="Финансовый 5 2 8 5" xfId="23695" xr:uid="{C285789E-967A-4B2F-83AC-53D93232DF9E}"/>
    <cellStyle name="Финансовый 5 2 8 6" xfId="36776" xr:uid="{7DD0FDBF-BE7C-49A4-8050-E236C8197220}"/>
    <cellStyle name="Финансовый 5 2 9" xfId="9387" xr:uid="{8CA81FB0-574E-4EC8-8121-E209FE2B81EC}"/>
    <cellStyle name="Финансовый 5 2 9 2" xfId="18458" xr:uid="{459A698C-F972-4911-BC20-FFEF30CF5A68}"/>
    <cellStyle name="Финансовый 5 2 9 3" xfId="19798" xr:uid="{261A9212-7819-4DED-AA77-B9C71FFFE8F5}"/>
    <cellStyle name="Финансовый 5 2 9 4" xfId="26800" xr:uid="{FC8DD551-50D7-40F3-AA69-BE74E66406C1}"/>
    <cellStyle name="Финансовый 5 2 9 5" xfId="39881" xr:uid="{FB65ACA7-4D48-4238-9E50-053E61F8FE64}"/>
    <cellStyle name="Финансовый 5 3" xfId="4038" xr:uid="{AA8147C6-3A7C-4671-88D8-B27390FA795E}"/>
    <cellStyle name="Финансовый 5 3 10" xfId="20515" xr:uid="{90BB23EF-995E-40EB-9427-156C2F41DA53}"/>
    <cellStyle name="Финансовый 5 3 11" xfId="21876" xr:uid="{7EBDF3DA-F6AB-497D-9E64-C850AA7DB5B3}"/>
    <cellStyle name="Финансовый 5 3 12" xfId="34925" xr:uid="{96EB39B0-7168-48FD-8D43-6AA4502C9726}"/>
    <cellStyle name="Финансовый 5 3 2" xfId="4573" xr:uid="{D878CC80-A633-4003-B53E-5FAFB27CC0F8}"/>
    <cellStyle name="Финансовый 5 3 2 2" xfId="7608" xr:uid="{5ADCE19C-E877-4ED3-9886-E464B390820B}"/>
    <cellStyle name="Финансовый 5 3 2 2 2" xfId="10134" xr:uid="{561BBE03-E4BD-4859-B0A6-7448B61FF4AA}"/>
    <cellStyle name="Финансовый 5 3 2 2 2 2" xfId="19097" xr:uid="{FA96EEE3-8610-4BB5-B877-66CE78507C78}"/>
    <cellStyle name="Финансовый 5 3 2 2 2 3" xfId="20317" xr:uid="{16094CA3-56ED-47B7-B15F-DE07DA46CDE2}"/>
    <cellStyle name="Финансовый 5 3 2 2 2 4" xfId="27387" xr:uid="{DDC27C4D-5EB2-4CF7-955D-EDA6A7137E0A}"/>
    <cellStyle name="Финансовый 5 3 2 2 2 5" xfId="40506" xr:uid="{E5C693E7-D265-4230-86B2-73CA3CCD6F41}"/>
    <cellStyle name="Финансовый 5 3 2 2 3" xfId="18392" xr:uid="{14673023-2EE0-4A17-88BE-638F38E458C6}"/>
    <cellStyle name="Финансовый 5 3 2 2 4" xfId="19790" xr:uid="{21047C3F-A419-4883-9955-7F90DF27AC0A}"/>
    <cellStyle name="Финансовый 5 3 2 2 5" xfId="25136" xr:uid="{CFC309B0-5F7B-41B7-92E3-711D2A103D4C}"/>
    <cellStyle name="Финансовый 5 3 2 2 6" xfId="38212" xr:uid="{E567FD63-2881-44FC-AF62-81870954F677}"/>
    <cellStyle name="Финансовый 5 3 2 3" xfId="9566" xr:uid="{8E286AB1-7760-4F06-897F-752E1AD676EF}"/>
    <cellStyle name="Финансовый 5 3 2 3 2" xfId="18634" xr:uid="{FE2C7C07-B9B7-49B8-AFA0-3C3D0674160F}"/>
    <cellStyle name="Финансовый 5 3 2 3 3" xfId="19921" xr:uid="{5E2CB0D8-6EB8-4ED4-BA4F-5A185835C0B9}"/>
    <cellStyle name="Финансовый 5 3 2 3 4" xfId="26923" xr:uid="{BA200797-3297-4E61-A7F3-28149229181B}"/>
    <cellStyle name="Финансовый 5 3 2 3 5" xfId="40006" xr:uid="{007AEBDF-D994-4625-A41A-8E942005BC2A}"/>
    <cellStyle name="Финансовый 5 3 2 4" xfId="17940" xr:uid="{DC9C8C07-5270-41EA-B728-41A9E0FDAC58}"/>
    <cellStyle name="Финансовый 5 3 2 5" xfId="19394" xr:uid="{B61E5F6A-74E0-4656-8149-4ED8C4325913}"/>
    <cellStyle name="Финансовый 5 3 2 6" xfId="22387" xr:uid="{3A01E7AC-78FF-4CAB-980E-6D2BA50F60C5}"/>
    <cellStyle name="Финансовый 5 3 2 7" xfId="35437" xr:uid="{9FAC9BF0-17CB-49E8-8423-0C4B3ADB9BF6}"/>
    <cellStyle name="Финансовый 5 3 3" xfId="5962" xr:uid="{0A9DF591-1124-43A8-AFB8-489BC6BAFB25}"/>
    <cellStyle name="Финансовый 5 3 3 2" xfId="9882" xr:uid="{617B6870-EBDF-499A-BC43-B40E30C447E0}"/>
    <cellStyle name="Финансовый 5 3 3 2 2" xfId="18846" xr:uid="{40B24F9C-36C5-4CB1-91F8-46E41D2E2153}"/>
    <cellStyle name="Финансовый 5 3 3 2 3" xfId="20108" xr:uid="{3482FB67-0853-4EBC-BF02-40F85EBE4ED1}"/>
    <cellStyle name="Финансовый 5 3 3 2 4" xfId="27178" xr:uid="{9651AECF-5D6C-4C6F-9100-69BB31D3CB57}"/>
    <cellStyle name="Финансовый 5 3 3 2 5" xfId="40297" xr:uid="{1F65AFDB-2DD3-46F2-8493-67DB592AE212}"/>
    <cellStyle name="Финансовый 5 3 3 3" xfId="18142" xr:uid="{F555E8D5-E466-48F1-8911-DA68DF83D8A2}"/>
    <cellStyle name="Финансовый 5 3 3 4" xfId="19581" xr:uid="{AEBADE92-5E35-4969-AD1C-80724C1964F9}"/>
    <cellStyle name="Финансовый 5 3 3 5" xfId="23609" xr:uid="{E92E0543-A7E7-4F5A-AC83-D2EF4350F2DD}"/>
    <cellStyle name="Финансовый 5 3 3 6" xfId="36690" xr:uid="{EC487878-AD7D-437E-A103-78B117452528}"/>
    <cellStyle name="Финансовый 5 3 4" xfId="6038" xr:uid="{EFEB7BA1-698F-4751-BC31-D2BAA1361CCF}"/>
    <cellStyle name="Финансовый 5 3 4 2" xfId="9957" xr:uid="{FED29F01-5AAF-448D-8275-F0157F489178}"/>
    <cellStyle name="Финансовый 5 3 4 2 2" xfId="18921" xr:uid="{48D2CB3C-26F7-4AF1-88DB-9E22E7A96984}"/>
    <cellStyle name="Финансовый 5 3 4 2 3" xfId="20183" xr:uid="{9C0B67F6-BF63-495F-8703-80924B24916C}"/>
    <cellStyle name="Финансовый 5 3 4 2 4" xfId="27253" xr:uid="{3A1BECEE-EC09-4635-833C-B7D4F2E6B9B3}"/>
    <cellStyle name="Финансовый 5 3 4 2 5" xfId="40372" xr:uid="{D0F0CABD-7BB9-4F69-A39F-D0FE739F6406}"/>
    <cellStyle name="Финансовый 5 3 4 3" xfId="18217" xr:uid="{0435ED5B-965C-41BE-BD8A-D956790F34EC}"/>
    <cellStyle name="Финансовый 5 3 4 4" xfId="19656" xr:uid="{D5BC49D3-2911-413A-9ED0-D1A5986786BB}"/>
    <cellStyle name="Финансовый 5 3 4 5" xfId="23684" xr:uid="{F5426C6C-8961-45E6-A1D3-F2C187EAE148}"/>
    <cellStyle name="Финансовый 5 3 4 6" xfId="36765" xr:uid="{F8FE1C51-6BC9-4DC2-82FA-302ED58F7537}"/>
    <cellStyle name="Финансовый 5 3 5" xfId="6123" xr:uid="{55E4AF6F-13C5-4A02-9283-B961D8E73F70}"/>
    <cellStyle name="Финансовый 5 3 5 2" xfId="10032" xr:uid="{19AE18C6-89BF-4472-8FA6-DBF62D920AC6}"/>
    <cellStyle name="Финансовый 5 3 5 2 2" xfId="18996" xr:uid="{9A870C6F-F471-416D-8B4E-DFB8E4044599}"/>
    <cellStyle name="Финансовый 5 3 5 2 3" xfId="20258" xr:uid="{B6DBFE81-FBA3-4C64-94B4-FFC474DFFE9B}"/>
    <cellStyle name="Финансовый 5 3 5 2 4" xfId="27328" xr:uid="{562CFC22-1BF5-4215-A152-8BB2F6512AFD}"/>
    <cellStyle name="Финансовый 5 3 5 2 5" xfId="40447" xr:uid="{3C503265-B8AA-4335-B7F6-14D71164E59C}"/>
    <cellStyle name="Финансовый 5 3 5 3" xfId="18292" xr:uid="{290E15C7-85A3-4670-AEBC-43EAD31A758C}"/>
    <cellStyle name="Финансовый 5 3 5 4" xfId="19731" xr:uid="{87E939CF-F6DC-4071-B709-0FD4A7AAE558}"/>
    <cellStyle name="Финансовый 5 3 5 5" xfId="23769" xr:uid="{3593E20C-F27C-44B6-A87F-D7CFB3403D4E}"/>
    <cellStyle name="Финансовый 5 3 5 6" xfId="36850" xr:uid="{0E5C9C24-10BF-446D-94C8-EC799C9A145C}"/>
    <cellStyle name="Финансовый 5 3 6" xfId="9520" xr:uid="{F9751BED-29DD-4D97-A3B2-102DF0CBFFD2}"/>
    <cellStyle name="Финансовый 5 3 6 2" xfId="18588" xr:uid="{4BCF2625-86E9-446D-941D-040846C86694}"/>
    <cellStyle name="Финансовый 5 3 6 3" xfId="19886" xr:uid="{121CF89B-41F8-42D7-B23C-2BE66D93726E}"/>
    <cellStyle name="Финансовый 5 3 6 4" xfId="26888" xr:uid="{DDF8C7BB-BB13-4208-B38C-6516E95E46EB}"/>
    <cellStyle name="Финансовый 5 3 6 5" xfId="39971" xr:uid="{422455F9-2B23-4711-A03A-5D701DF834BF}"/>
    <cellStyle name="Финансовый 5 3 7" xfId="17762" xr:uid="{0E5BB5D3-9F4C-4E88-A586-7E5E8EF77614}"/>
    <cellStyle name="Финансовый 5 3 7 2" xfId="19229" xr:uid="{BB04ECC4-A480-457C-A687-00FECB05F02F}"/>
    <cellStyle name="Финансовый 5 3 7 3" xfId="20384" xr:uid="{01D9C66F-3C64-4FAB-807A-BEAED7E04404}"/>
    <cellStyle name="Финансовый 5 3 7 4" xfId="33484" xr:uid="{2AC02959-4614-4F8F-BF04-31740593C23B}"/>
    <cellStyle name="Финансовый 5 3 7 5" xfId="47263" xr:uid="{EA456C6B-D265-48EE-89D2-3A56CD26886A}"/>
    <cellStyle name="Финансовый 5 3 8" xfId="17903" xr:uid="{53EA8F2C-6588-4E6D-B473-CF7FE94EE7E5}"/>
    <cellStyle name="Финансовый 5 3 9" xfId="19359" xr:uid="{3710AB44-A919-49D0-95AC-198F3554138A}"/>
    <cellStyle name="Финансовый 5 4" xfId="3253" xr:uid="{93A370F4-9727-4CD2-BF4C-8704DF1EFD08}"/>
    <cellStyle name="Финансовый 5 4 2" xfId="6912" xr:uid="{2A6AC83C-5746-4BB9-993A-B287270F8652}"/>
    <cellStyle name="Финансовый 5 4 2 2" xfId="10066" xr:uid="{DD7D98A3-4465-4A34-982C-1EAC56D1D857}"/>
    <cellStyle name="Финансовый 5 4 2 2 2" xfId="19029" xr:uid="{11065D4B-9249-49A9-B5B8-38D4985EE50F}"/>
    <cellStyle name="Финансовый 5 4 2 2 3" xfId="20269" xr:uid="{E59F2E01-286C-44DD-882C-03A3999428E7}"/>
    <cellStyle name="Финансовый 5 4 2 2 4" xfId="27339" xr:uid="{91354F4B-C690-4283-8E77-530E12A8A9A7}"/>
    <cellStyle name="Финансовый 5 4 2 2 5" xfId="40458" xr:uid="{BB0CAD64-A2F0-401B-B862-6831E3A44F1F}"/>
    <cellStyle name="Финансовый 5 4 2 3" xfId="18325" xr:uid="{D552CB58-0422-4DD0-9895-B2B4ECDF4B76}"/>
    <cellStyle name="Финансовый 5 4 2 4" xfId="19742" xr:uid="{FDD3B3C7-C1DD-44C4-9B54-35E381C18E83}"/>
    <cellStyle name="Финансовый 5 4 2 5" xfId="24535" xr:uid="{53132501-9B47-43AC-B15B-DA9A4E2F2DA7}"/>
    <cellStyle name="Финансовый 5 4 2 6" xfId="37616" xr:uid="{A6A81938-AF7A-4145-BB82-4666823D484D}"/>
    <cellStyle name="Финансовый 5 4 3" xfId="9433" xr:uid="{FCB86633-CB66-48E3-8542-3AFB2818F651}"/>
    <cellStyle name="Финансовый 5 4 3 2" xfId="18503" xr:uid="{8F67184F-9259-4ABA-BEE1-8C58D8DF5A05}"/>
    <cellStyle name="Финансовый 5 4 3 3" xfId="19821" xr:uid="{51F0F057-A8FA-4EE7-BB4C-7CD37B7D4799}"/>
    <cellStyle name="Финансовый 5 4 3 4" xfId="26823" xr:uid="{0247793C-53B9-40AE-954B-D0DD8F02BD45}"/>
    <cellStyle name="Финансовый 5 4 3 5" xfId="39904" xr:uid="{6C27E06C-DE91-4B3F-A77D-6D68FDEBFF50}"/>
    <cellStyle name="Финансовый 5 4 4" xfId="17838" xr:uid="{BEFD4C87-E1B0-4D4D-AF2B-8FC9560EF694}"/>
    <cellStyle name="Финансовый 5 4 5" xfId="19294" xr:uid="{76DD9DEF-FEE0-4D14-9F1A-F354B327F9DC}"/>
    <cellStyle name="Финансовый 5 4 6" xfId="21287" xr:uid="{02C94615-145E-430B-9255-359395647700}"/>
    <cellStyle name="Финансовый 5 4 7" xfId="34310" xr:uid="{FC903685-DB67-49A3-B02A-4DCAAF7DA5F2}"/>
    <cellStyle name="Финансовый 5 5" xfId="4310" xr:uid="{58741F2E-33F1-4D96-B195-D40906770E6C}"/>
    <cellStyle name="Финансовый 5 5 2" xfId="9538" xr:uid="{4A565932-2257-44B4-B5E1-270EFC4D2C42}"/>
    <cellStyle name="Финансовый 5 5 2 2" xfId="18606" xr:uid="{F198EDC3-6879-44A2-B225-AF038569BC6C}"/>
    <cellStyle name="Финансовый 5 5 2 3" xfId="19896" xr:uid="{FBFD9811-381C-47DC-81C1-F81BF0633D31}"/>
    <cellStyle name="Финансовый 5 5 2 4" xfId="26898" xr:uid="{00CC0351-B657-41A6-83E7-F132EE9612B1}"/>
    <cellStyle name="Финансовый 5 5 2 5" xfId="39981" xr:uid="{4B1D539E-8D00-4BB9-B3F4-F944B77A3F58}"/>
    <cellStyle name="Финансовый 5 5 3" xfId="17913" xr:uid="{958787CE-46A8-4ECD-80B2-A4BBC255FF3F}"/>
    <cellStyle name="Финансовый 5 5 4" xfId="19369" xr:uid="{3014DA26-978F-4BB7-994F-70E73151D38E}"/>
    <cellStyle name="Финансовый 5 5 5" xfId="22130" xr:uid="{942FE5C7-08FE-427D-8B6B-4CFA8525CDD2}"/>
    <cellStyle name="Финансовый 5 5 6" xfId="35179" xr:uid="{68141F00-6A3C-46CB-B7E5-862451808639}"/>
    <cellStyle name="Финансовый 5 6" xfId="5289" xr:uid="{CF32617C-1736-4932-85D3-22D74F28DCEB}"/>
    <cellStyle name="Финансовый 5 6 2" xfId="9722" xr:uid="{44BBF31D-4895-4B4F-895C-6EAA107E89FD}"/>
    <cellStyle name="Финансовый 5 6 2 2" xfId="18727" xr:uid="{300A140B-3543-460D-95D7-96B11A4FD963}"/>
    <cellStyle name="Финансовый 5 6 2 3" xfId="19990" xr:uid="{E9EAE723-CFB4-41BE-BC7A-622B7EAEB396}"/>
    <cellStyle name="Финансовый 5 6 2 4" xfId="27021" xr:uid="{6A5F34C8-8967-4992-A1AF-95B6F30F6CBD}"/>
    <cellStyle name="Финансовый 5 6 2 5" xfId="40138" xr:uid="{0A05D630-A49C-43D1-98F9-B85C008D59CE}"/>
    <cellStyle name="Финансовый 5 6 3" xfId="18024" xr:uid="{DFC78196-DAB4-4BE8-B461-C913B8A4C7E3}"/>
    <cellStyle name="Финансовый 5 6 4" xfId="19463" xr:uid="{B0C0DD6D-D373-432E-83DA-071EA1C6ADB9}"/>
    <cellStyle name="Финансовый 5 6 5" xfId="22940" xr:uid="{EB8BF4B2-6A83-40B8-9396-413EF662A141}"/>
    <cellStyle name="Финансовый 5 6 6" xfId="36019" xr:uid="{9B5F668B-A496-4C0E-9527-DE0DEE997A51}"/>
    <cellStyle name="Финансовый 5 7" xfId="5365" xr:uid="{C30FD686-64A4-4270-83CC-DF716187372F}"/>
    <cellStyle name="Финансовый 5 7 2" xfId="9796" xr:uid="{F24DB441-587F-4B11-A277-3A7A74CF9843}"/>
    <cellStyle name="Финансовый 5 7 2 2" xfId="18780" xr:uid="{1B5664D9-77E3-42F7-A2A4-413003D6037B}"/>
    <cellStyle name="Финансовый 5 7 2 3" xfId="20043" xr:uid="{9C63221E-02DA-454C-AAAC-8668AD017B31}"/>
    <cellStyle name="Финансовый 5 7 2 4" xfId="27093" xr:uid="{6DDBDA8F-3A42-4211-8BEE-7FBCB84A3B6F}"/>
    <cellStyle name="Финансовый 5 7 2 5" xfId="40212" xr:uid="{C90043A1-91E5-4CC0-85DD-F012C310E914}"/>
    <cellStyle name="Финансовый 5 7 3" xfId="18077" xr:uid="{6BC860E1-5194-47E6-91DA-9E44D6B6BB64}"/>
    <cellStyle name="Финансовый 5 7 4" xfId="19516" xr:uid="{62E36595-BE74-4FB5-8A44-32DC2242D69E}"/>
    <cellStyle name="Финансовый 5 7 5" xfId="23012" xr:uid="{38E80153-FE2C-41A7-A74F-7A2FF2B8C050}"/>
    <cellStyle name="Финансовый 5 7 6" xfId="36093" xr:uid="{6840B5E5-D60A-413A-AB4C-6255ED2D61CF}"/>
    <cellStyle name="Финансовый 5 8" xfId="5973" xr:uid="{13F51704-AE17-44EA-84DB-C6DCB9AD412B}"/>
    <cellStyle name="Финансовый 5 8 2" xfId="9892" xr:uid="{1E191DC6-7701-46FC-B38C-522D29B120E4}"/>
    <cellStyle name="Финансовый 5 8 2 2" xfId="18856" xr:uid="{D1B783E9-B9F8-4EC5-9FFA-793F4224B5C7}"/>
    <cellStyle name="Финансовый 5 8 2 3" xfId="20118" xr:uid="{7CB412AE-2722-4282-9B70-FE0B01A716B5}"/>
    <cellStyle name="Финансовый 5 8 2 4" xfId="27188" xr:uid="{45ACA4F8-ACA6-4A0B-96A3-14520E4E178A}"/>
    <cellStyle name="Финансовый 5 8 2 5" xfId="40307" xr:uid="{EC5E71B7-4C62-48B5-A934-D887347F6142}"/>
    <cellStyle name="Финансовый 5 8 3" xfId="18152" xr:uid="{7D8C4F9F-BF28-46B9-BB7C-DDBF2BB63BEC}"/>
    <cellStyle name="Финансовый 5 8 4" xfId="19591" xr:uid="{A37721BB-1D42-49BA-9663-C632B6195CB4}"/>
    <cellStyle name="Финансовый 5 8 5" xfId="23619" xr:uid="{0F8538DE-08C4-4BFD-BA4D-D25F050168C7}"/>
    <cellStyle name="Финансовый 5 8 6" xfId="36700" xr:uid="{71A1A668-E4FA-4521-B307-E745CABC27AB}"/>
    <cellStyle name="Финансовый 5 9" xfId="6048" xr:uid="{34933B48-574F-4C6E-82BC-988FABFF9345}"/>
    <cellStyle name="Финансовый 5 9 2" xfId="9967" xr:uid="{9ED19DD3-DA38-4208-A953-0626EFAEBC99}"/>
    <cellStyle name="Финансовый 5 9 2 2" xfId="18931" xr:uid="{5A4CC7EF-2155-4EB2-A95C-9FE8B30C40B1}"/>
    <cellStyle name="Финансовый 5 9 2 3" xfId="20193" xr:uid="{405F5E9C-62D3-45C3-92D7-7D5C9A2ACE51}"/>
    <cellStyle name="Финансовый 5 9 2 4" xfId="27263" xr:uid="{171FDCC6-3C32-4113-BC7B-57F3FFFA46BA}"/>
    <cellStyle name="Финансовый 5 9 2 5" xfId="40382" xr:uid="{F04273C3-639D-4E0E-9EB5-C5CA69ECC3D7}"/>
    <cellStyle name="Финансовый 5 9 3" xfId="18227" xr:uid="{F2322FFE-DBDE-456C-B273-49BDD864EE67}"/>
    <cellStyle name="Финансовый 5 9 4" xfId="19666" xr:uid="{BA73CB2E-0A1E-4C2E-B7EB-268951B47DCB}"/>
    <cellStyle name="Финансовый 5 9 5" xfId="23694" xr:uid="{E5DA7F7D-A890-426E-897C-97FD11118C09}"/>
    <cellStyle name="Финансовый 5 9 6" xfId="36775" xr:uid="{0B413BBF-ECB9-4BE2-9E94-E3276381289E}"/>
    <cellStyle name="Финансовый 6" xfId="31" xr:uid="{5F9B548C-E10D-491F-806E-8C137957879D}"/>
    <cellStyle name="Финансовый 6 10" xfId="5291" xr:uid="{97A9A290-5314-478B-9E8C-36E4946ADAC5}"/>
    <cellStyle name="Финансовый 6 10 2" xfId="9724" xr:uid="{351733C2-08F7-48D8-8072-BB4C843680E3}"/>
    <cellStyle name="Финансовый 6 10 2 2" xfId="18729" xr:uid="{7246D518-AFF2-4AEB-BB0D-30C4FB01AFD3}"/>
    <cellStyle name="Финансовый 6 10 2 3" xfId="19992" xr:uid="{B128665E-2C9F-4C82-846B-81F8F4E8423D}"/>
    <cellStyle name="Финансовый 6 10 2 4" xfId="27023" xr:uid="{1941BBF5-E7C4-4739-B3E7-3E90F948FB14}"/>
    <cellStyle name="Финансовый 6 10 2 5" xfId="40140" xr:uid="{C81182A3-5116-485D-9EE5-E178ED464058}"/>
    <cellStyle name="Финансовый 6 10 3" xfId="18026" xr:uid="{89311888-2DC7-4091-8C20-F24D5C3C307B}"/>
    <cellStyle name="Финансовый 6 10 4" xfId="19465" xr:uid="{3A05A11D-EC63-42AE-978F-C3B041D67F22}"/>
    <cellStyle name="Финансовый 6 10 5" xfId="22942" xr:uid="{1A5869E5-8B31-4BF6-9AB4-BCE5E633B2D0}"/>
    <cellStyle name="Финансовый 6 10 6" xfId="36021" xr:uid="{D6893721-DFD8-4C60-9911-DA851DE527F9}"/>
    <cellStyle name="Финансовый 6 11" xfId="5367" xr:uid="{FB690FCE-39EB-479F-B524-B6B01D7552D8}"/>
    <cellStyle name="Финансовый 6 11 2" xfId="9798" xr:uid="{7AEBCC95-BB4B-420D-9543-1154C848D73F}"/>
    <cellStyle name="Финансовый 6 11 2 2" xfId="18782" xr:uid="{9E7544A5-92B2-4B4E-BF7E-F9E8EC93D419}"/>
    <cellStyle name="Финансовый 6 11 2 3" xfId="20045" xr:uid="{C5E0F8F7-B83D-4B9A-8DD3-DCAA46330B3B}"/>
    <cellStyle name="Финансовый 6 11 2 4" xfId="27095" xr:uid="{284FBC98-8ED6-4C3C-B442-B36FC1FA3373}"/>
    <cellStyle name="Финансовый 6 11 2 5" xfId="40214" xr:uid="{F4927D4F-A3F0-4073-B462-8A54DE125463}"/>
    <cellStyle name="Финансовый 6 11 3" xfId="18079" xr:uid="{2F604CDF-B3D3-4A0C-A0A6-E2B9E0CC4297}"/>
    <cellStyle name="Финансовый 6 11 4" xfId="19518" xr:uid="{F6003565-94CF-418D-BAB2-6D869272FD4C}"/>
    <cellStyle name="Финансовый 6 11 5" xfId="23014" xr:uid="{75B320F9-E24A-49C6-8456-21FCABC54001}"/>
    <cellStyle name="Финансовый 6 11 6" xfId="36095" xr:uid="{488C56DE-8A11-4831-91F8-3EF467CC15F0}"/>
    <cellStyle name="Финансовый 6 12" xfId="5975" xr:uid="{741AFA74-A8E9-4078-B8B7-FBB81F538106}"/>
    <cellStyle name="Финансовый 6 12 2" xfId="9894" xr:uid="{C6D8CD82-19C2-42B5-B3FA-19B813057014}"/>
    <cellStyle name="Финансовый 6 12 2 2" xfId="18858" xr:uid="{92A2383A-7581-48EA-90E9-CFFAB6EA908F}"/>
    <cellStyle name="Финансовый 6 12 2 3" xfId="20120" xr:uid="{3AF9C197-7429-4B26-8DF2-CBA99D7039DB}"/>
    <cellStyle name="Финансовый 6 12 2 4" xfId="27190" xr:uid="{0B43E8DD-C7B0-4624-A958-26B1FF310723}"/>
    <cellStyle name="Финансовый 6 12 2 5" xfId="40309" xr:uid="{A2D73D87-5F10-4CF9-8373-DF0135ECE90D}"/>
    <cellStyle name="Финансовый 6 12 3" xfId="18154" xr:uid="{276CEEB3-173C-4FCE-B822-5B507B6C9418}"/>
    <cellStyle name="Финансовый 6 12 4" xfId="19593" xr:uid="{52B54181-60E8-4DA5-A25B-1F6BC3169DDC}"/>
    <cellStyle name="Финансовый 6 12 5" xfId="23621" xr:uid="{7DFCA00B-9CDC-479F-A4FC-B6EDE6B422C1}"/>
    <cellStyle name="Финансовый 6 12 6" xfId="36702" xr:uid="{BBCECF78-D4BB-4B89-9BFC-3689276CB1FA}"/>
    <cellStyle name="Финансовый 6 13" xfId="6050" xr:uid="{43C85287-B80C-4119-AD41-72DE11FF04BB}"/>
    <cellStyle name="Финансовый 6 13 2" xfId="9969" xr:uid="{D5DBDFE1-D8E2-44CE-AC3C-31B7F4468423}"/>
    <cellStyle name="Финансовый 6 13 2 2" xfId="18933" xr:uid="{E59D9CED-7D83-40EF-A375-02B444ACEC68}"/>
    <cellStyle name="Финансовый 6 13 2 3" xfId="20195" xr:uid="{B3D36DB1-C315-4C81-8212-8452558F1CA0}"/>
    <cellStyle name="Финансовый 6 13 2 4" xfId="27265" xr:uid="{291DDA7A-117F-4660-B9D7-93E97847415A}"/>
    <cellStyle name="Финансовый 6 13 2 5" xfId="40384" xr:uid="{C75CF237-BDD5-4061-AC31-90F00ED51659}"/>
    <cellStyle name="Финансовый 6 13 3" xfId="18229" xr:uid="{E501C63B-1107-47A3-AA9A-BEC1FC3CD23C}"/>
    <cellStyle name="Финансовый 6 13 4" xfId="19668" xr:uid="{4535C729-22E7-493D-B4DB-31792D6ED9A7}"/>
    <cellStyle name="Финансовый 6 13 5" xfId="23696" xr:uid="{EF1559F1-EC93-43E7-90BA-9DDF6B978520}"/>
    <cellStyle name="Финансовый 6 13 6" xfId="36777" xr:uid="{DEC8E7CA-92CC-45A2-BB4E-8AF6CB825672}"/>
    <cellStyle name="Финансовый 6 14" xfId="9388" xr:uid="{E2F2C070-B13E-4833-AE81-5C2BC9863CA8}"/>
    <cellStyle name="Финансовый 6 14 2" xfId="18459" xr:uid="{79E80024-4A30-4DE1-96A1-596D5F9098DF}"/>
    <cellStyle name="Финансовый 6 14 3" xfId="19799" xr:uid="{001B666A-DB37-48F0-9245-35761358AE90}"/>
    <cellStyle name="Финансовый 6 14 4" xfId="26801" xr:uid="{626D95A5-C928-41DA-B2D4-B91BE91EE3B8}"/>
    <cellStyle name="Финансовый 6 14 5" xfId="39882" xr:uid="{F8F68070-6370-41F6-93DA-0AC1CE953108}"/>
    <cellStyle name="Финансовый 6 15" xfId="10519" xr:uid="{6720609E-B89A-4BDE-A64C-D1CCD17ED403}"/>
    <cellStyle name="Финансовый 6 16" xfId="17679" xr:uid="{BA3C020E-0ECA-45B6-9272-2D5C9FB2CCEB}"/>
    <cellStyle name="Финансовый 6 16 2" xfId="19186" xr:uid="{E0B59002-D260-498D-823F-E41495B6F025}"/>
    <cellStyle name="Финансовый 6 16 3" xfId="20341" xr:uid="{9E012F64-5337-48EF-BAC0-EDD6D1C9B84D}"/>
    <cellStyle name="Финансовый 6 16 4" xfId="33402" xr:uid="{776ED021-C334-44E6-99F8-6B7707AE5F1B}"/>
    <cellStyle name="Финансовый 6 16 5" xfId="47191" xr:uid="{90BF4729-4C38-4136-B9FE-256F9189F661}"/>
    <cellStyle name="Финансовый 6 17" xfId="2456" xr:uid="{C949015A-EC67-41EE-BD73-4C1B3BA2DE44}"/>
    <cellStyle name="Финансовый 6 18" xfId="17816" xr:uid="{5E93E14B-1BF2-49F5-9432-FC06CEED493E}"/>
    <cellStyle name="Финансовый 6 19" xfId="19272" xr:uid="{A48AE962-12B5-4E78-8BFE-EDD0CA8858A1}"/>
    <cellStyle name="Финансовый 6 2" xfId="3789" xr:uid="{A5711136-52A9-44A6-BBDD-E61CF16571A5}"/>
    <cellStyle name="Финансовый 6 2 10" xfId="17694" xr:uid="{823D4D84-AB90-4730-9410-80D9025FAE1E}"/>
    <cellStyle name="Финансовый 6 2 10 2" xfId="19201" xr:uid="{D840078B-767E-4208-A658-9F33F6F2C584}"/>
    <cellStyle name="Финансовый 6 2 10 3" xfId="20356" xr:uid="{EF69E86A-9C7F-47D4-AD90-DF0E64EA0735}"/>
    <cellStyle name="Финансовый 6 2 10 4" xfId="33417" xr:uid="{14483A9D-9DE9-4CD7-9E4D-ABA52AF4F45A}"/>
    <cellStyle name="Финансовый 6 2 10 5" xfId="47206" xr:uid="{FD8937FB-421D-44CF-9C7D-0F1AA0C0F049}"/>
    <cellStyle name="Финансовый 6 2 11" xfId="17869" xr:uid="{0207E524-0FA6-4665-90E5-A34D708B1AFC}"/>
    <cellStyle name="Финансовый 6 2 12" xfId="19325" xr:uid="{8CB198D8-FD4B-4537-989E-79B82BF56D67}"/>
    <cellStyle name="Финансовый 6 2 13" xfId="20448" xr:uid="{DC4A9487-957E-48C8-8FB2-1F78E304F1E5}"/>
    <cellStyle name="Финансовый 6 2 14" xfId="21684" xr:uid="{FA0560F2-DB1C-48F2-B491-7ECBD1048EBB}"/>
    <cellStyle name="Финансовый 6 2 15" xfId="34738" xr:uid="{77C848DF-300A-4F91-92E7-8E50C2E4CF4B}"/>
    <cellStyle name="Финансовый 6 2 2" xfId="4015" xr:uid="{2ACD5BBF-8991-437F-B490-668BE9DCE569}"/>
    <cellStyle name="Финансовый 6 2 2 10" xfId="19349" xr:uid="{A1298C03-EC34-4EFE-A303-301356313A26}"/>
    <cellStyle name="Финансовый 6 2 2 11" xfId="20532" xr:uid="{6FB5279F-769F-41E9-803E-0CBD56B3888D}"/>
    <cellStyle name="Финансовый 6 2 2 12" xfId="21857" xr:uid="{0ED08573-59DC-40DB-A2F9-6BC9A9EC74F2}"/>
    <cellStyle name="Финансовый 6 2 2 13" xfId="34906" xr:uid="{53B0955F-1BF5-4B6B-A285-64FF2EBBCECF}"/>
    <cellStyle name="Финансовый 6 2 2 2" xfId="5167" xr:uid="{0CA3CBD4-2068-4BC6-9A6A-E15C224C2363}"/>
    <cellStyle name="Финансовый 6 2 2 2 2" xfId="7589" xr:uid="{24AE1649-2500-460D-B61E-B8FAB07D9796}"/>
    <cellStyle name="Финансовый 6 2 2 2 2 2" xfId="10124" xr:uid="{8ED2904C-C7F3-4D5C-84DD-F042AFFD3F59}"/>
    <cellStyle name="Финансовый 6 2 2 2 2 2 2" xfId="19087" xr:uid="{0DB8722B-4A10-46F4-BB85-E15893031FB6}"/>
    <cellStyle name="Финансовый 6 2 2 2 2 2 3" xfId="20307" xr:uid="{24346D83-7962-4EBF-B520-2D1A2EE61A40}"/>
    <cellStyle name="Финансовый 6 2 2 2 2 2 4" xfId="27377" xr:uid="{B7E21AE7-155F-441A-83CB-759D062A8216}"/>
    <cellStyle name="Финансовый 6 2 2 2 2 2 5" xfId="40496" xr:uid="{EEBEA62A-6902-4D69-8644-55D1ABD11B2B}"/>
    <cellStyle name="Финансовый 6 2 2 2 2 3" xfId="18382" xr:uid="{244FD394-10DE-471E-ADA2-9A2FE6CF4ED2}"/>
    <cellStyle name="Финансовый 6 2 2 2 2 4" xfId="19780" xr:uid="{D694616C-C9E6-49B3-96B2-E4443127B6B9}"/>
    <cellStyle name="Финансовый 6 2 2 2 2 5" xfId="25117" xr:uid="{9265A765-C071-42F7-B024-9194AC8F6F60}"/>
    <cellStyle name="Финансовый 6 2 2 2 2 6" xfId="38193" xr:uid="{6AA9B7C9-1C65-4728-9540-EBDF59E0290E}"/>
    <cellStyle name="Финансовый 6 2 2 2 3" xfId="9666" xr:uid="{21E5E750-6200-470E-A885-68103638D8D2}"/>
    <cellStyle name="Финансовый 6 2 2 2 3 2" xfId="18713" xr:uid="{F9698FBA-CBFE-4B40-88CF-55BE579BF3CA}"/>
    <cellStyle name="Финансовый 6 2 2 2 3 3" xfId="19978" xr:uid="{359B70A0-FD53-40D9-9744-A41A0F5C12B6}"/>
    <cellStyle name="Финансовый 6 2 2 2 3 4" xfId="26980" xr:uid="{4A3CEB6F-EEDA-4A2D-846F-AEDEBDBC20F9}"/>
    <cellStyle name="Финансовый 6 2 2 2 3 5" xfId="40084" xr:uid="{A55510BB-6277-4A0D-8C98-7712F35254AB}"/>
    <cellStyle name="Финансовый 6 2 2 2 4" xfId="18011" xr:uid="{1E901246-1C31-4EFA-BFA2-4B6DB2CF5308}"/>
    <cellStyle name="Финансовый 6 2 2 2 5" xfId="19451" xr:uid="{CDA42DB3-60D6-46D0-92D2-CE3576FC54CD}"/>
    <cellStyle name="Финансовый 6 2 2 2 6" xfId="22856" xr:uid="{339A3929-444A-4298-B016-C62C218192D8}"/>
    <cellStyle name="Финансовый 6 2 2 2 7" xfId="35922" xr:uid="{1EB11B06-B380-465C-9B0F-506F3F3C5246}"/>
    <cellStyle name="Финансовый 6 2 2 3" xfId="4921" xr:uid="{D194AE0E-00C5-4C3D-A2F5-0DE71E70D550}"/>
    <cellStyle name="Финансовый 6 2 2 3 2" xfId="9622" xr:uid="{65C985BB-C608-49AD-8067-6C7B03331F9F}"/>
    <cellStyle name="Финансовый 6 2 2 3 2 2" xfId="18687" xr:uid="{A80D1D03-C0C8-43E6-9085-615F3092E069}"/>
    <cellStyle name="Финансовый 6 2 2 3 2 3" xfId="19961" xr:uid="{F3BC182F-8C27-42EB-A83A-485527C12BF0}"/>
    <cellStyle name="Финансовый 6 2 2 3 2 4" xfId="26963" xr:uid="{2674373E-0547-411E-A614-F4616CFCA3F4}"/>
    <cellStyle name="Финансовый 6 2 2 3 2 5" xfId="40049" xr:uid="{9B8C0B4C-B8DE-4A6D-A202-EEAADED5F1CD}"/>
    <cellStyle name="Финансовый 6 2 2 3 3" xfId="17992" xr:uid="{50C71D79-FF88-4638-9A9F-88CF8FE3DBCB}"/>
    <cellStyle name="Финансовый 6 2 2 3 4" xfId="19434" xr:uid="{DC0C3DE3-32F4-4EA7-9AB5-A116A6A26B53}"/>
    <cellStyle name="Финансовый 6 2 2 3 5" xfId="22718" xr:uid="{6CCAE572-87CB-4115-BBC5-A2BCFEB30B68}"/>
    <cellStyle name="Финансовый 6 2 2 3 6" xfId="35771" xr:uid="{C93C1F7D-210F-441A-B375-0D17D2733989}"/>
    <cellStyle name="Финансовый 6 2 2 4" xfId="5943" xr:uid="{25221A83-BAB6-4E18-AD47-26650E733EEA}"/>
    <cellStyle name="Финансовый 6 2 2 4 2" xfId="9872" xr:uid="{7EA27B6B-3653-48AF-93A1-89DC15CC40E4}"/>
    <cellStyle name="Финансовый 6 2 2 4 2 2" xfId="18836" xr:uid="{157790ED-EBA4-4594-A464-DA7A4D3FB4CF}"/>
    <cellStyle name="Финансовый 6 2 2 4 2 3" xfId="20098" xr:uid="{6F5ABB64-93EA-4CC1-A6D5-C0F60ADEFA23}"/>
    <cellStyle name="Финансовый 6 2 2 4 2 4" xfId="27168" xr:uid="{922303DB-5801-4BE2-8CC6-ACF449AAFC70}"/>
    <cellStyle name="Финансовый 6 2 2 4 2 5" xfId="40287" xr:uid="{21817444-9FB0-4089-A640-3D51029D69B3}"/>
    <cellStyle name="Финансовый 6 2 2 4 3" xfId="18132" xr:uid="{96FDDE74-2348-407A-8D07-1FE1C86DA6CF}"/>
    <cellStyle name="Финансовый 6 2 2 4 4" xfId="19571" xr:uid="{326094C2-1449-4AE4-9ABB-57227DCBCEA3}"/>
    <cellStyle name="Финансовый 6 2 2 4 5" xfId="23590" xr:uid="{1DE83EA6-FC46-47AB-ADAB-EAB65CD0FA5A}"/>
    <cellStyle name="Финансовый 6 2 2 4 6" xfId="36671" xr:uid="{B30FE498-8DDB-442B-9BA9-C95F26644614}"/>
    <cellStyle name="Финансовый 6 2 2 5" xfId="6028" xr:uid="{E5261F3D-B755-4D73-8127-B2B9DDC7ECFC}"/>
    <cellStyle name="Финансовый 6 2 2 5 2" xfId="9947" xr:uid="{BBEE15D1-BBEB-4079-A305-7DC184C4E11D}"/>
    <cellStyle name="Финансовый 6 2 2 5 2 2" xfId="18911" xr:uid="{D9CBD930-C419-4974-9485-ED45847F047B}"/>
    <cellStyle name="Финансовый 6 2 2 5 2 3" xfId="20173" xr:uid="{3F0E385B-75F3-425B-A12C-0B6BF18A4E1C}"/>
    <cellStyle name="Финансовый 6 2 2 5 2 4" xfId="27243" xr:uid="{BE6CDC20-E077-4782-BD9A-1FC2F1448158}"/>
    <cellStyle name="Финансовый 6 2 2 5 2 5" xfId="40362" xr:uid="{1CB889A3-6484-4A4A-9320-A70F860EF56B}"/>
    <cellStyle name="Финансовый 6 2 2 5 3" xfId="18207" xr:uid="{F6E784ED-E230-479B-952E-906648ABDEEA}"/>
    <cellStyle name="Финансовый 6 2 2 5 4" xfId="19646" xr:uid="{A303771D-F124-4721-825C-93B2A6CC2BED}"/>
    <cellStyle name="Финансовый 6 2 2 5 5" xfId="23674" xr:uid="{E19A4879-C147-48EC-9880-67DFB8D81294}"/>
    <cellStyle name="Финансовый 6 2 2 5 6" xfId="36755" xr:uid="{855B2746-5FC8-4D07-8C27-3FA1A8EBDD14}"/>
    <cellStyle name="Финансовый 6 2 2 6" xfId="6113" xr:uid="{81BD3E9F-EBA1-4955-BF9C-1862B95D0857}"/>
    <cellStyle name="Финансовый 6 2 2 6 2" xfId="10022" xr:uid="{0C31A3DB-6EC4-4051-9AE3-591413B943FA}"/>
    <cellStyle name="Финансовый 6 2 2 6 2 2" xfId="18986" xr:uid="{66220AF4-36FB-443A-946C-DC06CC0EDFCB}"/>
    <cellStyle name="Финансовый 6 2 2 6 2 3" xfId="20248" xr:uid="{5D3FD987-2F8E-469F-8079-3A50D9251527}"/>
    <cellStyle name="Финансовый 6 2 2 6 2 4" xfId="27318" xr:uid="{999FB43F-0F20-44BF-8ECB-80E81BAAAA99}"/>
    <cellStyle name="Финансовый 6 2 2 6 2 5" xfId="40437" xr:uid="{BA42EE85-7D10-4370-9A43-D96B867BB853}"/>
    <cellStyle name="Финансовый 6 2 2 6 3" xfId="18282" xr:uid="{1FE982DF-A94F-4219-A886-AEA7389715F2}"/>
    <cellStyle name="Финансовый 6 2 2 6 4" xfId="19721" xr:uid="{67DDF5B4-8D47-4FE1-A453-4072F5D286D8}"/>
    <cellStyle name="Финансовый 6 2 2 6 5" xfId="23759" xr:uid="{86700998-E976-4FAF-842B-B180DD487495}"/>
    <cellStyle name="Финансовый 6 2 2 6 6" xfId="36840" xr:uid="{C81589B9-356A-4336-ACD3-AB9A5742951D}"/>
    <cellStyle name="Финансовый 6 2 2 7" xfId="9510" xr:uid="{20368117-B5E7-4FF5-B39B-3750CC898E60}"/>
    <cellStyle name="Финансовый 6 2 2 7 2" xfId="18578" xr:uid="{13AA67D5-CD09-4AD6-9342-C17F11D33FB2}"/>
    <cellStyle name="Финансовый 6 2 2 7 3" xfId="19876" xr:uid="{1F7A78A9-E967-4CCB-B189-60A765E9DAAA}"/>
    <cellStyle name="Финансовый 6 2 2 7 4" xfId="26878" xr:uid="{CB73888B-C12E-4B12-B624-2ADE1F83B1F1}"/>
    <cellStyle name="Финансовый 6 2 2 7 5" xfId="39961" xr:uid="{B2DDF212-D617-4862-871F-2C71AEB894F7}"/>
    <cellStyle name="Финансовый 6 2 2 8" xfId="17779" xr:uid="{49D86E3E-6ED6-4D2F-B120-7D6B72D326D3}"/>
    <cellStyle name="Финансовый 6 2 2 8 2" xfId="19246" xr:uid="{9C747D6E-94E9-40F8-B7D4-0A6930A6718F}"/>
    <cellStyle name="Финансовый 6 2 2 8 3" xfId="20401" xr:uid="{6AD2131A-8081-47E8-AB81-049C9AB67E72}"/>
    <cellStyle name="Финансовый 6 2 2 8 4" xfId="33501" xr:uid="{69164BF1-662E-4CC1-9DB5-CE23E31EEFA2}"/>
    <cellStyle name="Финансовый 6 2 2 8 5" xfId="47280" xr:uid="{273167A5-9713-4492-BECE-23D26C310574}"/>
    <cellStyle name="Финансовый 6 2 2 9" xfId="17893" xr:uid="{2067F194-79A3-4439-B784-CFAE2072F171}"/>
    <cellStyle name="Финансовый 6 2 3" xfId="4588" xr:uid="{788EB6C3-3500-4750-B11E-91BAA68A7F69}"/>
    <cellStyle name="Финансовый 6 2 3 2" xfId="7399" xr:uid="{D0000CC5-9AB4-4D16-9648-9B7621F7A6EE}"/>
    <cellStyle name="Финансовый 6 2 3 2 2" xfId="10103" xr:uid="{3372D6D8-0F9D-4AFF-A2C2-038037D00F80}"/>
    <cellStyle name="Финансовый 6 2 3 2 2 2" xfId="19066" xr:uid="{CE72AE00-CCD3-41D6-970F-9240D65EA0EC}"/>
    <cellStyle name="Финансовый 6 2 3 2 2 3" xfId="20292" xr:uid="{C597A076-4F3E-4E83-B02A-B5871AE4EAE6}"/>
    <cellStyle name="Финансовый 6 2 3 2 2 4" xfId="27362" xr:uid="{5EE4B509-8F99-46F9-88ED-7E52D37E5AF5}"/>
    <cellStyle name="Финансовый 6 2 3 2 2 5" xfId="40481" xr:uid="{5598CC4B-E003-4BC0-8905-CFF55C2A599D}"/>
    <cellStyle name="Финансовый 6 2 3 2 3" xfId="18361" xr:uid="{126BF59A-DEEB-4D88-B74D-78CA7408E0B9}"/>
    <cellStyle name="Финансовый 6 2 3 2 4" xfId="19765" xr:uid="{82345613-0003-4BE2-8590-2E22387ABCDC}"/>
    <cellStyle name="Финансовый 6 2 3 2 5" xfId="24958" xr:uid="{AF54641D-BFBE-4036-93F8-972B0C731DA9}"/>
    <cellStyle name="Финансовый 6 2 3 2 6" xfId="38034" xr:uid="{A3E8027C-253D-4C7B-BC67-4B7D46A35A9E}"/>
    <cellStyle name="Финансовый 6 2 3 3" xfId="9581" xr:uid="{2A435586-DB6B-4977-A23F-3472E5A6565C}"/>
    <cellStyle name="Финансовый 6 2 3 3 2" xfId="18649" xr:uid="{0B33D285-3B2C-4C6E-8A69-E893A5F3F326}"/>
    <cellStyle name="Финансовый 6 2 3 3 3" xfId="19936" xr:uid="{627A32DE-154E-499C-BA81-AC247B401C81}"/>
    <cellStyle name="Финансовый 6 2 3 3 4" xfId="26938" xr:uid="{0F18F4CC-D3A1-4061-BDCE-4D23B9C64660}"/>
    <cellStyle name="Финансовый 6 2 3 3 5" xfId="40021" xr:uid="{E362E8A3-48B6-4ADE-B7DB-05C3784E2A77}"/>
    <cellStyle name="Финансовый 6 2 3 4" xfId="17955" xr:uid="{3DDCD861-1D29-43EA-AB7C-3A5589E9E7FF}"/>
    <cellStyle name="Финансовый 6 2 3 5" xfId="19409" xr:uid="{DAB89BAB-9C70-46D2-8271-8E3E43F47DD8}"/>
    <cellStyle name="Финансовый 6 2 3 6" xfId="22402" xr:uid="{7BD5A148-BFD4-4EAD-8DA7-35DFB7D82509}"/>
    <cellStyle name="Финансовый 6 2 3 7" xfId="35452" xr:uid="{023C4E55-24AA-4132-9C88-A48B3581135B}"/>
    <cellStyle name="Финансовый 6 2 4" xfId="5323" xr:uid="{7B52EF6A-6AF1-4886-A562-E3A5CFF78B12}"/>
    <cellStyle name="Финансовый 6 2 4 2" xfId="9755" xr:uid="{BFDB8326-5B12-4905-99C7-2B5AFA11C4FF}"/>
    <cellStyle name="Финансовый 6 2 4 2 2" xfId="18758" xr:uid="{FE8A6B9E-1D20-45A6-B1CF-A9FBD6552CCA}"/>
    <cellStyle name="Финансовый 6 2 4 2 3" xfId="20021" xr:uid="{5B5F58B8-DF21-40BF-B8B7-72FAB8DD8EC5}"/>
    <cellStyle name="Финансовый 6 2 4 2 4" xfId="27052" xr:uid="{3F0385EE-4331-4471-9B69-DC68EF76D015}"/>
    <cellStyle name="Финансовый 6 2 4 2 5" xfId="40171" xr:uid="{AA097BDE-8D27-4820-93C0-0D6BB368D4B8}"/>
    <cellStyle name="Финансовый 6 2 4 3" xfId="18055" xr:uid="{AC98D713-8002-4016-8628-43F475D78049}"/>
    <cellStyle name="Финансовый 6 2 4 4" xfId="19494" xr:uid="{F1DAEA86-E8B8-40B2-999A-CD0B72FE0A27}"/>
    <cellStyle name="Финансовый 6 2 4 5" xfId="22971" xr:uid="{3C627E84-C768-4632-93C6-A302B0C7A89B}"/>
    <cellStyle name="Финансовый 6 2 4 6" xfId="36052" xr:uid="{4B1B2FB4-0F3D-47CF-A72B-98DE2459826B}"/>
    <cellStyle name="Финансовый 6 2 5" xfId="5775" xr:uid="{42AE8262-9D49-4B13-AB2D-F2E7E6E6A133}"/>
    <cellStyle name="Финансовый 6 2 5 2" xfId="9838" xr:uid="{0A4A6E58-BE5F-4A44-A446-7D98280DD497}"/>
    <cellStyle name="Финансовый 6 2 5 2 2" xfId="18812" xr:uid="{7D95D81A-9923-4222-B223-CDB8C6221D1F}"/>
    <cellStyle name="Финансовый 6 2 5 2 3" xfId="20074" xr:uid="{4C6D579F-FD9E-4752-8767-737083269CE0}"/>
    <cellStyle name="Финансовый 6 2 5 2 4" xfId="27134" xr:uid="{26747923-B835-4AC5-8530-3643D74FAED9}"/>
    <cellStyle name="Финансовый 6 2 5 2 5" xfId="40253" xr:uid="{4AA44603-F47E-47EF-A16D-68085AEB3154}"/>
    <cellStyle name="Финансовый 6 2 5 3" xfId="18108" xr:uid="{D94603F4-2A4D-4ABB-BEB8-83CEB0A181ED}"/>
    <cellStyle name="Финансовый 6 2 5 4" xfId="19547" xr:uid="{7E2EA60B-2B47-469E-8AF9-97307C105B43}"/>
    <cellStyle name="Финансовый 6 2 5 5" xfId="23422" xr:uid="{6E76BE7A-B61A-48B8-B8DE-720DE125B6D5}"/>
    <cellStyle name="Финансовый 6 2 5 6" xfId="36503" xr:uid="{27C26F1B-6F43-419B-A216-5714F110F5D6}"/>
    <cellStyle name="Финансовый 6 2 6" xfId="6004" xr:uid="{4EC0E337-02D9-4ADC-A30A-3BC735B442CA}"/>
    <cellStyle name="Финансовый 6 2 6 2" xfId="9923" xr:uid="{30CF7B18-A9FA-4F5E-B6A0-B8651CE76B94}"/>
    <cellStyle name="Финансовый 6 2 6 2 2" xfId="18887" xr:uid="{9B231F99-C08F-4BA8-8C5B-A464F38B2867}"/>
    <cellStyle name="Финансовый 6 2 6 2 3" xfId="20149" xr:uid="{19E2D726-594D-44E2-A109-2EDE3FA76545}"/>
    <cellStyle name="Финансовый 6 2 6 2 4" xfId="27219" xr:uid="{EBA4DB92-0CFA-4074-872B-17079C07DDE0}"/>
    <cellStyle name="Финансовый 6 2 6 2 5" xfId="40338" xr:uid="{F3B60E29-8ED1-4A5E-9BC5-003EDD154084}"/>
    <cellStyle name="Финансовый 6 2 6 3" xfId="18183" xr:uid="{FCE59C3B-D92C-4D33-8DB8-03599C2D4868}"/>
    <cellStyle name="Финансовый 6 2 6 4" xfId="19622" xr:uid="{A693FA27-B70F-4B9C-8683-DEE5904731CE}"/>
    <cellStyle name="Финансовый 6 2 6 5" xfId="23650" xr:uid="{5DD3D407-5D05-40FC-95CC-0292F144E5B1}"/>
    <cellStyle name="Финансовый 6 2 6 6" xfId="36731" xr:uid="{F3B81547-5370-4E46-B8CF-02D0F5B057B1}"/>
    <cellStyle name="Финансовый 6 2 7" xfId="6079" xr:uid="{D51E33F6-0231-4550-A28D-D807FD5C743B}"/>
    <cellStyle name="Финансовый 6 2 7 2" xfId="9998" xr:uid="{DD0A391A-1B2B-46B7-A209-F20451EEB80E}"/>
    <cellStyle name="Финансовый 6 2 7 2 2" xfId="18962" xr:uid="{FEA90E67-3F12-4F7C-A457-4C58CAC7A3D1}"/>
    <cellStyle name="Финансовый 6 2 7 2 3" xfId="20224" xr:uid="{7B33C9DA-F66B-4E10-A229-3D3235BE27D7}"/>
    <cellStyle name="Финансовый 6 2 7 2 4" xfId="27294" xr:uid="{366C9D34-8050-4D6E-91F9-0B3990D8FBB7}"/>
    <cellStyle name="Финансовый 6 2 7 2 5" xfId="40413" xr:uid="{FE33BC02-4429-4079-8A0D-64D4D73E34C2}"/>
    <cellStyle name="Финансовый 6 2 7 3" xfId="18258" xr:uid="{6F685C51-47E3-4F9A-A805-BB9A1BC8F792}"/>
    <cellStyle name="Финансовый 6 2 7 4" xfId="19697" xr:uid="{CAC564DA-9058-47F6-97EA-45C848E8C012}"/>
    <cellStyle name="Финансовый 6 2 7 5" xfId="23725" xr:uid="{4EAA657A-C068-491D-BB9F-53F38AAECB65}"/>
    <cellStyle name="Финансовый 6 2 7 6" xfId="36806" xr:uid="{065BC3F8-7E9D-4AAC-AF6C-1C4BC3BD39B6}"/>
    <cellStyle name="Финансовый 6 2 8" xfId="9480" xr:uid="{90744E35-D863-49B1-B1C9-F8136072F19E}"/>
    <cellStyle name="Финансовый 6 2 8 2" xfId="18548" xr:uid="{02EBEBC8-2079-4698-AF15-0392CC7AD713}"/>
    <cellStyle name="Финансовый 6 2 8 3" xfId="19852" xr:uid="{00E38609-96BB-42EE-8EFB-516747BE6F33}"/>
    <cellStyle name="Финансовый 6 2 8 4" xfId="26854" xr:uid="{9B2934ED-5EDB-43D4-B04B-F6F986EBEAB2}"/>
    <cellStyle name="Финансовый 6 2 8 5" xfId="39937" xr:uid="{B2AEB598-D275-4268-86C8-A4B30167A819}"/>
    <cellStyle name="Финансовый 6 2 9" xfId="10520" xr:uid="{8C6E761A-82F9-40A0-8E2B-5ABE79AD59CA}"/>
    <cellStyle name="Финансовый 6 20" xfId="20433" xr:uid="{690BF95E-C64E-4CED-9A2E-3A3D9109EAF5}"/>
    <cellStyle name="Финансовый 6 21" xfId="20558" xr:uid="{2C96D02A-C14B-4622-87D9-8C1E4103559C}"/>
    <cellStyle name="Финансовый 6 22" xfId="33581" xr:uid="{1E5B0E25-0297-4608-B6D8-0554654CB881}"/>
    <cellStyle name="Финансовый 6 3" xfId="3792" xr:uid="{E725BF55-D133-41BC-9865-665FCC9FF26A}"/>
    <cellStyle name="Финансовый 6 3 10" xfId="17697" xr:uid="{8BBE9ED6-B364-4A00-9D51-0450422D0768}"/>
    <cellStyle name="Финансовый 6 3 10 2" xfId="19204" xr:uid="{AE4C8387-66CA-48B9-9A88-99AA79BE1113}"/>
    <cellStyle name="Финансовый 6 3 10 3" xfId="20359" xr:uid="{2035B039-E402-4C54-8FDA-8DBDFD36307A}"/>
    <cellStyle name="Финансовый 6 3 10 4" xfId="33420" xr:uid="{962CEBC1-8DC3-4C86-B535-ABE136A91278}"/>
    <cellStyle name="Финансовый 6 3 10 5" xfId="47209" xr:uid="{02302BA1-0B28-47B4-AB3C-EF3D63827125}"/>
    <cellStyle name="Финансовый 6 3 11" xfId="17872" xr:uid="{EF90067D-CE77-4F82-B9ED-9E128D274BDA}"/>
    <cellStyle name="Финансовый 6 3 12" xfId="19328" xr:uid="{F12E7E83-5E1D-43E4-8A78-A56717C32E70}"/>
    <cellStyle name="Финансовый 6 3 13" xfId="20451" xr:uid="{F7AAC08B-C636-44C1-932A-AE94F3E7D78A}"/>
    <cellStyle name="Финансовый 6 3 14" xfId="21687" xr:uid="{8D6FDD9B-70A5-4B50-B7C2-6C41A165B62A}"/>
    <cellStyle name="Финансовый 6 3 15" xfId="34741" xr:uid="{5536F792-1912-451C-9902-1B76AE0CBC23}"/>
    <cellStyle name="Финансовый 6 3 2" xfId="4017" xr:uid="{95C3FD87-B706-4F4D-A208-DCF53DD06E8A}"/>
    <cellStyle name="Финансовый 6 3 2 10" xfId="19350" xr:uid="{B8719046-B687-411B-A683-E9D831CC86F2}"/>
    <cellStyle name="Финансовый 6 3 2 11" xfId="20535" xr:uid="{EB5864CB-B48F-4195-AF1E-E1067FB5CDCA}"/>
    <cellStyle name="Финансовый 6 3 2 12" xfId="21859" xr:uid="{0424897D-8038-4F68-845C-58C0D2C63256}"/>
    <cellStyle name="Финансовый 6 3 2 13" xfId="34908" xr:uid="{BE6BE800-6786-441D-8CE5-D26542A61AEC}"/>
    <cellStyle name="Финансовый 6 3 2 2" xfId="5168" xr:uid="{05066E8D-059A-4537-8F16-7A340DFB9752}"/>
    <cellStyle name="Финансовый 6 3 2 2 2" xfId="7591" xr:uid="{670413AA-CF6A-46F8-AC14-CC7AC70ED346}"/>
    <cellStyle name="Финансовый 6 3 2 2 2 2" xfId="10125" xr:uid="{E122808E-B911-4816-9DF1-0D6F1A1F9350}"/>
    <cellStyle name="Финансовый 6 3 2 2 2 2 2" xfId="19088" xr:uid="{D8D5E2C8-C9FE-42A0-A14A-E2D11119A854}"/>
    <cellStyle name="Финансовый 6 3 2 2 2 2 3" xfId="20308" xr:uid="{1CB01990-D025-4448-A763-51BDE1D8C521}"/>
    <cellStyle name="Финансовый 6 3 2 2 2 2 4" xfId="27378" xr:uid="{AFB1D4F5-C178-4203-BEC1-7C1354A9BC59}"/>
    <cellStyle name="Финансовый 6 3 2 2 2 2 5" xfId="40497" xr:uid="{44F5C28D-47DC-41DB-96EA-A0DC0F93E125}"/>
    <cellStyle name="Финансовый 6 3 2 2 2 3" xfId="18383" xr:uid="{240B3DAB-D1B7-4766-80F2-887B2405D000}"/>
    <cellStyle name="Финансовый 6 3 2 2 2 4" xfId="19781" xr:uid="{2D8B5E62-21F9-4798-88C3-62A9D52AE542}"/>
    <cellStyle name="Финансовый 6 3 2 2 2 5" xfId="25119" xr:uid="{CC33FE74-9533-43F2-B770-D0F5CB0CC1BE}"/>
    <cellStyle name="Финансовый 6 3 2 2 2 6" xfId="38195" xr:uid="{121CEDB0-6515-4B7D-BD87-4B7BD8AAE548}"/>
    <cellStyle name="Финансовый 6 3 2 2 3" xfId="9667" xr:uid="{57489BAC-0E96-4D3D-93C2-40E2D9FD9BBA}"/>
    <cellStyle name="Финансовый 6 3 2 2 3 2" xfId="18714" xr:uid="{80BDD4A2-4A23-4216-8AEC-F780C2CCD1BA}"/>
    <cellStyle name="Финансовый 6 3 2 2 3 3" xfId="19979" xr:uid="{985C0BF7-20CD-4458-AE42-C6A40C79E481}"/>
    <cellStyle name="Финансовый 6 3 2 2 3 4" xfId="26981" xr:uid="{0A42D56A-84D0-44A1-925C-8E29C2954556}"/>
    <cellStyle name="Финансовый 6 3 2 2 3 5" xfId="40085" xr:uid="{CEF27E30-2D95-4BA2-B8D3-67F2B4D994A4}"/>
    <cellStyle name="Финансовый 6 3 2 2 4" xfId="18012" xr:uid="{BBB51108-4F39-4BCF-8C51-25B73D573FAE}"/>
    <cellStyle name="Финансовый 6 3 2 2 5" xfId="19452" xr:uid="{0AE87AFC-16D8-4A1A-B4F3-FA8F92F5CC91}"/>
    <cellStyle name="Финансовый 6 3 2 2 6" xfId="22857" xr:uid="{DBD27A46-7FE2-4A9B-BC67-719C8FB18499}"/>
    <cellStyle name="Финансовый 6 3 2 2 7" xfId="35923" xr:uid="{8AB6BCCD-E5B5-410E-987B-7E7568FA578A}"/>
    <cellStyle name="Финансовый 6 3 2 3" xfId="4923" xr:uid="{DFCD4C14-7667-4942-94B1-9492BFD6CE68}"/>
    <cellStyle name="Финансовый 6 3 2 3 2" xfId="9623" xr:uid="{1729BCBC-2E55-4680-A8FA-1181FA0DD6BB}"/>
    <cellStyle name="Финансовый 6 3 2 3 2 2" xfId="18688" xr:uid="{67643D58-3047-48B9-B5D1-5252C545997C}"/>
    <cellStyle name="Финансовый 6 3 2 3 2 3" xfId="19962" xr:uid="{61C4030D-EE1A-405B-BE0C-61F9DAF30D06}"/>
    <cellStyle name="Финансовый 6 3 2 3 2 4" xfId="26964" xr:uid="{9EE2B93B-FF1E-483C-948C-B143842C43F8}"/>
    <cellStyle name="Финансовый 6 3 2 3 2 5" xfId="40050" xr:uid="{299B07CB-5C10-4781-B20B-5A191C1BB5E1}"/>
    <cellStyle name="Финансовый 6 3 2 3 3" xfId="17993" xr:uid="{0E93E1CA-19E8-473E-A5CC-08A056960293}"/>
    <cellStyle name="Финансовый 6 3 2 3 4" xfId="19435" xr:uid="{0505CEFB-5066-4D2E-AE8C-A6C86856F28C}"/>
    <cellStyle name="Финансовый 6 3 2 3 5" xfId="22720" xr:uid="{2114A8E0-6CC2-4EF6-9DAC-61B7A28BBB38}"/>
    <cellStyle name="Финансовый 6 3 2 3 6" xfId="35773" xr:uid="{BF083235-9194-4388-9045-0BBA28CC4356}"/>
    <cellStyle name="Финансовый 6 3 2 4" xfId="5945" xr:uid="{08AD1AA5-25A7-4965-A080-3B57777CC0DE}"/>
    <cellStyle name="Финансовый 6 3 2 4 2" xfId="9873" xr:uid="{E7D9EFD4-15F7-4919-B9F0-2A65812A33A5}"/>
    <cellStyle name="Финансовый 6 3 2 4 2 2" xfId="18837" xr:uid="{6E74C739-38F6-4F97-AB4A-5D918684CD0F}"/>
    <cellStyle name="Финансовый 6 3 2 4 2 3" xfId="20099" xr:uid="{51AE1CA8-9208-422E-9EB3-6FF032E1E73D}"/>
    <cellStyle name="Финансовый 6 3 2 4 2 4" xfId="27169" xr:uid="{46FFEEB3-00F9-49CC-903E-FE1B880A9087}"/>
    <cellStyle name="Финансовый 6 3 2 4 2 5" xfId="40288" xr:uid="{54FD6034-C1A0-4F57-96DF-62006BDB0E38}"/>
    <cellStyle name="Финансовый 6 3 2 4 3" xfId="18133" xr:uid="{643D974D-3B5D-4635-9C15-7DA5579F19D9}"/>
    <cellStyle name="Финансовый 6 3 2 4 4" xfId="19572" xr:uid="{34F99868-6A33-48F6-86EA-3EF1F3F23902}"/>
    <cellStyle name="Финансовый 6 3 2 4 5" xfId="23592" xr:uid="{FCECADB4-7680-431E-B7B0-D77893B865BC}"/>
    <cellStyle name="Финансовый 6 3 2 4 6" xfId="36673" xr:uid="{0AA5ED33-599D-468D-9F1A-0F6DD80C3505}"/>
    <cellStyle name="Финансовый 6 3 2 5" xfId="6029" xr:uid="{7A6B53D7-E0A1-4F52-8BA3-CF1F5FB0A9B6}"/>
    <cellStyle name="Финансовый 6 3 2 5 2" xfId="9948" xr:uid="{35AA35FE-D1E7-42A0-93E1-E830928A3522}"/>
    <cellStyle name="Финансовый 6 3 2 5 2 2" xfId="18912" xr:uid="{B73A81F0-9C6E-430C-A4ED-E0FAA42E0A89}"/>
    <cellStyle name="Финансовый 6 3 2 5 2 3" xfId="20174" xr:uid="{9149A2CC-60B2-485F-8870-8E5457700F72}"/>
    <cellStyle name="Финансовый 6 3 2 5 2 4" xfId="27244" xr:uid="{684E4D19-C004-44DB-971D-9D1A7A32F77C}"/>
    <cellStyle name="Финансовый 6 3 2 5 2 5" xfId="40363" xr:uid="{F925B159-9B4F-4082-B20D-B1A26925525E}"/>
    <cellStyle name="Финансовый 6 3 2 5 3" xfId="18208" xr:uid="{0AB8A8C6-99AB-4CCA-B450-4EAEB79DD7F1}"/>
    <cellStyle name="Финансовый 6 3 2 5 4" xfId="19647" xr:uid="{C99037EF-0559-4047-B45E-7A3D4E64621D}"/>
    <cellStyle name="Финансовый 6 3 2 5 5" xfId="23675" xr:uid="{7F89724F-F5DE-4036-B456-66157F1AFE6C}"/>
    <cellStyle name="Финансовый 6 3 2 5 6" xfId="36756" xr:uid="{609A10E7-57DA-44FC-B3DF-C8F478565EC3}"/>
    <cellStyle name="Финансовый 6 3 2 6" xfId="6114" xr:uid="{C52B8C28-1CC6-4751-A2EB-AF10F753AE3B}"/>
    <cellStyle name="Финансовый 6 3 2 6 2" xfId="10023" xr:uid="{BA48CB5A-15B5-48F9-9A6C-73856C54F80D}"/>
    <cellStyle name="Финансовый 6 3 2 6 2 2" xfId="18987" xr:uid="{E176F93A-32C6-4695-BA54-A25AC9546363}"/>
    <cellStyle name="Финансовый 6 3 2 6 2 3" xfId="20249" xr:uid="{F5B4D6BE-B349-40BA-9DD5-BFCA71AF2804}"/>
    <cellStyle name="Финансовый 6 3 2 6 2 4" xfId="27319" xr:uid="{0E5B8AFE-ADB4-48FE-AE42-DCE93825F824}"/>
    <cellStyle name="Финансовый 6 3 2 6 2 5" xfId="40438" xr:uid="{1DB68DF1-E369-47E6-AC6C-674451AEF030}"/>
    <cellStyle name="Финансовый 6 3 2 6 3" xfId="18283" xr:uid="{7BAFA843-EDE0-483A-A71B-E2E4680EDA75}"/>
    <cellStyle name="Финансовый 6 3 2 6 4" xfId="19722" xr:uid="{5F4E9DD0-8045-4A1F-BE46-1C448CEEEED7}"/>
    <cellStyle name="Финансовый 6 3 2 6 5" xfId="23760" xr:uid="{354675EB-C67F-4551-9BE3-83890D49E217}"/>
    <cellStyle name="Финансовый 6 3 2 6 6" xfId="36841" xr:uid="{286540CA-8EE1-47DE-9993-BA4407B6306C}"/>
    <cellStyle name="Финансовый 6 3 2 7" xfId="9511" xr:uid="{E434F460-FCAB-49A0-8F20-197188410152}"/>
    <cellStyle name="Финансовый 6 3 2 7 2" xfId="18579" xr:uid="{7446E719-8877-47E7-A300-783DC3C64CCF}"/>
    <cellStyle name="Финансовый 6 3 2 7 3" xfId="19877" xr:uid="{BA69D57B-DC70-4116-97E3-1F650DA8C470}"/>
    <cellStyle name="Финансовый 6 3 2 7 4" xfId="26879" xr:uid="{4D0D3749-A552-4E4B-AE9D-190D1D9EE502}"/>
    <cellStyle name="Финансовый 6 3 2 7 5" xfId="39962" xr:uid="{6F0A3D01-08AA-4D9E-B3B9-0916B1048BD5}"/>
    <cellStyle name="Финансовый 6 3 2 8" xfId="17782" xr:uid="{01F1D528-105D-469A-91F0-611A111EE7F9}"/>
    <cellStyle name="Финансовый 6 3 2 8 2" xfId="19249" xr:uid="{A6B77D07-B89F-455B-873A-4AC6CB8502DA}"/>
    <cellStyle name="Финансовый 6 3 2 8 3" xfId="20404" xr:uid="{EAEE57BF-42B8-491B-9966-7C3BC45A0224}"/>
    <cellStyle name="Финансовый 6 3 2 8 4" xfId="33504" xr:uid="{8461BE84-356A-4883-A9C7-4B84CA81FE7A}"/>
    <cellStyle name="Финансовый 6 3 2 8 5" xfId="47283" xr:uid="{2EBE7933-F0A3-44DD-9CA9-A5F03F9987BF}"/>
    <cellStyle name="Финансовый 6 3 2 9" xfId="17894" xr:uid="{DC96A51A-601B-45B0-9DD2-417D8846DC40}"/>
    <cellStyle name="Финансовый 6 3 3" xfId="4591" xr:uid="{008184E1-9E66-48FF-8201-C52A97B3D877}"/>
    <cellStyle name="Финансовый 6 3 3 2" xfId="7400" xr:uid="{28C29A66-B311-4538-A7B6-79D761B5655B}"/>
    <cellStyle name="Финансовый 6 3 3 2 2" xfId="10104" xr:uid="{D8FA3CDD-39BB-43AD-ACF8-836E50A0B0B8}"/>
    <cellStyle name="Финансовый 6 3 3 2 2 2" xfId="19067" xr:uid="{14C60462-F523-466E-9458-4A5CD3751842}"/>
    <cellStyle name="Финансовый 6 3 3 2 2 3" xfId="20293" xr:uid="{077A43A7-3A17-4B7E-A9AD-2A34925CCD7C}"/>
    <cellStyle name="Финансовый 6 3 3 2 2 4" xfId="27363" xr:uid="{42D1805F-34DD-40CB-829A-A0EF4E2C036B}"/>
    <cellStyle name="Финансовый 6 3 3 2 2 5" xfId="40482" xr:uid="{B414A3B4-65B9-448D-A4F6-A8D4BCEADEE1}"/>
    <cellStyle name="Финансовый 6 3 3 2 3" xfId="18362" xr:uid="{AF65F728-424F-4ED9-9647-23E991367CD4}"/>
    <cellStyle name="Финансовый 6 3 3 2 4" xfId="19766" xr:uid="{EBBA509B-9FD4-482C-B151-C4463C1CD093}"/>
    <cellStyle name="Финансовый 6 3 3 2 5" xfId="24959" xr:uid="{CB1DB7BA-A198-44EB-B469-876ECFC5E056}"/>
    <cellStyle name="Финансовый 6 3 3 2 6" xfId="38035" xr:uid="{2F46AF03-F004-4C12-8A3F-24BAEA9533A7}"/>
    <cellStyle name="Финансовый 6 3 3 3" xfId="9584" xr:uid="{D7916101-0340-48C2-893E-16FC49FD02E5}"/>
    <cellStyle name="Финансовый 6 3 3 3 2" xfId="18652" xr:uid="{07D9048F-41AD-4F0C-9FE8-D01242A534D0}"/>
    <cellStyle name="Финансовый 6 3 3 3 3" xfId="19939" xr:uid="{2210C67B-C128-44FD-B7DD-C19F7A8FC697}"/>
    <cellStyle name="Финансовый 6 3 3 3 4" xfId="26941" xr:uid="{F53C8383-726E-4783-9BF1-FD5E89560597}"/>
    <cellStyle name="Финансовый 6 3 3 3 5" xfId="40024" xr:uid="{B8864329-B7EB-484B-8898-D6942B958FE0}"/>
    <cellStyle name="Финансовый 6 3 3 4" xfId="17958" xr:uid="{DBE122F8-91E6-4C67-B3E7-FCC8390BD62D}"/>
    <cellStyle name="Финансовый 6 3 3 5" xfId="19412" xr:uid="{D01328EA-F36B-4139-8B97-DA6F795E88FF}"/>
    <cellStyle name="Финансовый 6 3 3 6" xfId="22405" xr:uid="{7AEC2648-611F-4564-8CA7-1C8AD2729EB9}"/>
    <cellStyle name="Финансовый 6 3 3 7" xfId="35455" xr:uid="{F8A63FD2-0900-46C0-8E70-7DF6887BB1D5}"/>
    <cellStyle name="Финансовый 6 3 4" xfId="5326" xr:uid="{BB59F16E-1B56-471E-9AB2-749904D05184}"/>
    <cellStyle name="Финансовый 6 3 4 2" xfId="9758" xr:uid="{16EF0BB0-5C7A-484E-B3F9-DCB9EA99D0F0}"/>
    <cellStyle name="Финансовый 6 3 4 2 2" xfId="18761" xr:uid="{CD26F766-56BB-4C03-9378-5415BE2092B2}"/>
    <cellStyle name="Финансовый 6 3 4 2 3" xfId="20024" xr:uid="{8269BA0F-7018-486B-B315-EFA6DA3E9951}"/>
    <cellStyle name="Финансовый 6 3 4 2 4" xfId="27055" xr:uid="{45AC874A-EC5F-43B5-AB73-25AF55857CED}"/>
    <cellStyle name="Финансовый 6 3 4 2 5" xfId="40174" xr:uid="{3E316B87-741C-406D-90E1-CD101AEF3D4B}"/>
    <cellStyle name="Финансовый 6 3 4 3" xfId="18058" xr:uid="{83081818-01D5-4CEA-9803-97A5A380815D}"/>
    <cellStyle name="Финансовый 6 3 4 4" xfId="19497" xr:uid="{7534B01C-4482-4AD5-A690-E9BA2403265C}"/>
    <cellStyle name="Финансовый 6 3 4 5" xfId="22974" xr:uid="{0F8C3445-8A0B-4747-8DBE-0819F877BF5A}"/>
    <cellStyle name="Финансовый 6 3 4 6" xfId="36055" xr:uid="{39685A5C-E541-4503-B699-ED949ACB123A}"/>
    <cellStyle name="Финансовый 6 3 5" xfId="5778" xr:uid="{1ADAE888-183E-4186-B21A-80E1AF9836B8}"/>
    <cellStyle name="Финансовый 6 3 5 2" xfId="9841" xr:uid="{26F4B674-E33C-4C8D-9AB2-5DAF01C4BA13}"/>
    <cellStyle name="Финансовый 6 3 5 2 2" xfId="18815" xr:uid="{058DDD56-463E-4622-905C-F10979B4A744}"/>
    <cellStyle name="Финансовый 6 3 5 2 3" xfId="20077" xr:uid="{3C2A3B18-4C06-45FF-98B9-AB9DCE944B94}"/>
    <cellStyle name="Финансовый 6 3 5 2 4" xfId="27137" xr:uid="{6F1DDAD3-377C-4457-9129-7BF804BC3199}"/>
    <cellStyle name="Финансовый 6 3 5 2 5" xfId="40256" xr:uid="{4A9DAD90-CA4A-40F8-8DBB-EE99A3F317B4}"/>
    <cellStyle name="Финансовый 6 3 5 3" xfId="18111" xr:uid="{DF4C5322-49DC-4AF8-8C72-A6F68EE8604F}"/>
    <cellStyle name="Финансовый 6 3 5 4" xfId="19550" xr:uid="{C624C945-54F9-40F2-A14A-84E3CA86B356}"/>
    <cellStyle name="Финансовый 6 3 5 5" xfId="23425" xr:uid="{B230B141-12AC-472A-81F1-DBC19AD327AB}"/>
    <cellStyle name="Финансовый 6 3 5 6" xfId="36506" xr:uid="{9163F887-C482-4E12-A00E-38E61D65FFE8}"/>
    <cellStyle name="Финансовый 6 3 6" xfId="6007" xr:uid="{51F3B47F-9053-4A4E-86E1-32C336A73A0B}"/>
    <cellStyle name="Финансовый 6 3 6 2" xfId="9926" xr:uid="{3A66958A-E374-42E8-A616-5377EB174AB0}"/>
    <cellStyle name="Финансовый 6 3 6 2 2" xfId="18890" xr:uid="{E5E78409-0359-482A-92EC-CD6DA13670CB}"/>
    <cellStyle name="Финансовый 6 3 6 2 3" xfId="20152" xr:uid="{F2F27E31-1F82-4848-9C7C-A35D1FCC2C52}"/>
    <cellStyle name="Финансовый 6 3 6 2 4" xfId="27222" xr:uid="{ED9D4627-7194-4688-8CC9-F01EEE5566C7}"/>
    <cellStyle name="Финансовый 6 3 6 2 5" xfId="40341" xr:uid="{5428F79A-03F9-4591-B0AB-F52BC9070058}"/>
    <cellStyle name="Финансовый 6 3 6 3" xfId="18186" xr:uid="{C4A0F27A-409E-44DE-B29C-0463CEE24C1F}"/>
    <cellStyle name="Финансовый 6 3 6 4" xfId="19625" xr:uid="{45E1AEA3-2DDE-4477-8C01-64CD58132DCE}"/>
    <cellStyle name="Финансовый 6 3 6 5" xfId="23653" xr:uid="{AA9DA602-3E92-49C4-AE9A-44A262DD1C6C}"/>
    <cellStyle name="Финансовый 6 3 6 6" xfId="36734" xr:uid="{7B0E8AA5-4B08-4D06-8229-6B843C96238D}"/>
    <cellStyle name="Финансовый 6 3 7" xfId="6082" xr:uid="{1BD9C762-ADAD-4E02-8DB4-11DC4DD666C1}"/>
    <cellStyle name="Финансовый 6 3 7 2" xfId="10001" xr:uid="{41B4BF96-09F5-48C9-864E-4542F7E24D6A}"/>
    <cellStyle name="Финансовый 6 3 7 2 2" xfId="18965" xr:uid="{698CC76E-0A5B-41FA-A99B-44FCBF6A03A2}"/>
    <cellStyle name="Финансовый 6 3 7 2 3" xfId="20227" xr:uid="{ACC56FF9-6745-4FD0-B0A3-74952BB65143}"/>
    <cellStyle name="Финансовый 6 3 7 2 4" xfId="27297" xr:uid="{3C49F8D4-3889-4FBB-A84B-059387DC28D1}"/>
    <cellStyle name="Финансовый 6 3 7 2 5" xfId="40416" xr:uid="{594E5D4B-F877-42EF-8520-978593D1DF43}"/>
    <cellStyle name="Финансовый 6 3 7 3" xfId="18261" xr:uid="{E731DD56-1F06-44EC-A83B-736223FE36C5}"/>
    <cellStyle name="Финансовый 6 3 7 4" xfId="19700" xr:uid="{8B8B3462-3181-4635-8C67-9CEFD2471D90}"/>
    <cellStyle name="Финансовый 6 3 7 5" xfId="23728" xr:uid="{4661F078-FB7D-4720-953A-E36C623C8270}"/>
    <cellStyle name="Финансовый 6 3 7 6" xfId="36809" xr:uid="{4E072771-8547-4FAC-B6F8-0EAA40181288}"/>
    <cellStyle name="Финансовый 6 3 8" xfId="9483" xr:uid="{9B0E5FE5-958C-49DB-8ACC-A49C45ABF3FA}"/>
    <cellStyle name="Финансовый 6 3 8 2" xfId="18551" xr:uid="{FB7FF8D4-ADBD-4E96-BA8D-C02A8AAE0A32}"/>
    <cellStyle name="Финансовый 6 3 8 3" xfId="19855" xr:uid="{4D3C5DA9-7D4B-41A2-A9B6-37EA1732FC84}"/>
    <cellStyle name="Финансовый 6 3 8 4" xfId="26857" xr:uid="{E6156665-4738-41F5-BE8F-A7B05B785C4C}"/>
    <cellStyle name="Финансовый 6 3 8 5" xfId="39940" xr:uid="{AF27D355-86A4-490C-B63D-B3225B1D7966}"/>
    <cellStyle name="Финансовый 6 3 9" xfId="10521" xr:uid="{B2EF320B-E467-449E-BE0B-E881920DA59A}"/>
    <cellStyle name="Финансовый 6 4" xfId="3795" xr:uid="{5FD7B1A9-47FE-446F-A8F4-B89092ED1286}"/>
    <cellStyle name="Финансовый 6 4 10" xfId="17700" xr:uid="{90509FAA-79E9-49A6-91DF-3398948FF39D}"/>
    <cellStyle name="Финансовый 6 4 10 2" xfId="19207" xr:uid="{8799B4C1-7738-403C-ABDB-5D5DEC67F97F}"/>
    <cellStyle name="Финансовый 6 4 10 3" xfId="20362" xr:uid="{AE93BA04-86D0-40C4-A99E-B5A5BA1AFF37}"/>
    <cellStyle name="Финансовый 6 4 10 4" xfId="33423" xr:uid="{3F3010EA-F54E-4752-9449-7F0AFCE96DB1}"/>
    <cellStyle name="Финансовый 6 4 10 5" xfId="47212" xr:uid="{F0584336-E5F4-4FC7-AD97-6559012CC24F}"/>
    <cellStyle name="Финансовый 6 4 11" xfId="17875" xr:uid="{66A516E1-526D-4378-B86D-36B7F630B97F}"/>
    <cellStyle name="Финансовый 6 4 12" xfId="19331" xr:uid="{9646E0A7-94BE-44CD-8DC2-D5451122D50D}"/>
    <cellStyle name="Финансовый 6 4 13" xfId="20454" xr:uid="{09BB1239-9113-4965-B3B1-A34FFD129C52}"/>
    <cellStyle name="Финансовый 6 4 14" xfId="21690" xr:uid="{0C503DB6-DF1E-4FCE-BD5F-1248DD80ECD9}"/>
    <cellStyle name="Финансовый 6 4 15" xfId="34744" xr:uid="{053AC288-9D4B-4463-A1B9-BD3CB636F6C7}"/>
    <cellStyle name="Финансовый 6 4 2" xfId="4020" xr:uid="{D516CF19-C801-4BC7-B8FC-1C719A9D509B}"/>
    <cellStyle name="Финансовый 6 4 2 10" xfId="19352" xr:uid="{FB615D0F-B8DE-4FC8-9645-897C5D9BC072}"/>
    <cellStyle name="Финансовый 6 4 2 11" xfId="20538" xr:uid="{AE579EC9-4816-42B0-9EBC-0079C03BE847}"/>
    <cellStyle name="Финансовый 6 4 2 12" xfId="21862" xr:uid="{53A90217-1B36-428C-97AD-82368124FAF8}"/>
    <cellStyle name="Финансовый 6 4 2 13" xfId="34911" xr:uid="{6E29BC74-338C-4455-A894-24776F7BEFB4}"/>
    <cellStyle name="Финансовый 6 4 2 2" xfId="5169" xr:uid="{31C5C670-332C-4212-A872-9357AA78CDBC}"/>
    <cellStyle name="Финансовый 6 4 2 2 2" xfId="7594" xr:uid="{9889E157-0C3E-45E0-8F94-FC5DA69586C5}"/>
    <cellStyle name="Финансовый 6 4 2 2 2 2" xfId="10127" xr:uid="{E765C0AE-4C90-407F-BB00-136549338005}"/>
    <cellStyle name="Финансовый 6 4 2 2 2 2 2" xfId="19090" xr:uid="{8BCBA6D8-B4B3-40B8-9427-705C6D668289}"/>
    <cellStyle name="Финансовый 6 4 2 2 2 2 3" xfId="20310" xr:uid="{72AF7749-94AA-432A-9516-7DB3DA5568E1}"/>
    <cellStyle name="Финансовый 6 4 2 2 2 2 4" xfId="27380" xr:uid="{2EE2E544-08D8-42B4-BB74-A1EA222AACCF}"/>
    <cellStyle name="Финансовый 6 4 2 2 2 2 5" xfId="40499" xr:uid="{B59D1820-A888-463C-8006-D895B384B029}"/>
    <cellStyle name="Финансовый 6 4 2 2 2 3" xfId="18385" xr:uid="{5EDFB1B8-E108-426C-996E-3FB6509E8C7C}"/>
    <cellStyle name="Финансовый 6 4 2 2 2 4" xfId="19783" xr:uid="{2B7BD0FB-705E-4FED-9B0E-52B6B417685E}"/>
    <cellStyle name="Финансовый 6 4 2 2 2 5" xfId="25122" xr:uid="{5508E155-1E16-4AD4-AEA4-4A1E0336EBD7}"/>
    <cellStyle name="Финансовый 6 4 2 2 2 6" xfId="38198" xr:uid="{BDEA6455-AC77-45B4-AA03-C384F0B4FCCC}"/>
    <cellStyle name="Финансовый 6 4 2 2 3" xfId="9668" xr:uid="{DFAA82EA-10FA-415B-B7D4-690742FDA3D0}"/>
    <cellStyle name="Финансовый 6 4 2 2 3 2" xfId="18715" xr:uid="{3EFABD76-76BA-4DAD-8B6E-2A5E5AF0AE7B}"/>
    <cellStyle name="Финансовый 6 4 2 2 3 3" xfId="19980" xr:uid="{162256D2-3E6D-4A0B-BFC9-BBB226973059}"/>
    <cellStyle name="Финансовый 6 4 2 2 3 4" xfId="26982" xr:uid="{745B45FA-6381-4E0B-BBE3-C90E2431B26D}"/>
    <cellStyle name="Финансовый 6 4 2 2 3 5" xfId="40086" xr:uid="{649C2A82-B580-4C0F-ACA0-6ACED68CA64D}"/>
    <cellStyle name="Финансовый 6 4 2 2 4" xfId="18013" xr:uid="{0BE6210B-10D0-4246-94B9-99A0E8566A04}"/>
    <cellStyle name="Финансовый 6 4 2 2 5" xfId="19453" xr:uid="{309A07CD-7F62-4C61-9359-72651F4E1749}"/>
    <cellStyle name="Финансовый 6 4 2 2 6" xfId="22858" xr:uid="{F59250B0-27CD-4B28-8283-9B5A32CA1E73}"/>
    <cellStyle name="Финансовый 6 4 2 2 7" xfId="35924" xr:uid="{F1E0BCA5-6106-4BB3-858F-2F0804BD00C6}"/>
    <cellStyle name="Финансовый 6 4 2 3" xfId="4925" xr:uid="{30FD52AB-B96A-47E1-BEE6-D0AC9B73A009}"/>
    <cellStyle name="Финансовый 6 4 2 3 2" xfId="9624" xr:uid="{E9E3C6E3-0C88-42CE-9BFE-179D08AF9680}"/>
    <cellStyle name="Финансовый 6 4 2 3 2 2" xfId="18689" xr:uid="{3C67E2E6-2D71-4FCC-84F5-3CA4B5D9EEB1}"/>
    <cellStyle name="Финансовый 6 4 2 3 2 3" xfId="19963" xr:uid="{7CE0142E-C9B5-42EE-AE92-52CA312B9BDF}"/>
    <cellStyle name="Финансовый 6 4 2 3 2 4" xfId="26965" xr:uid="{05748A3C-6216-4008-BDAC-E5E6FCA28033}"/>
    <cellStyle name="Финансовый 6 4 2 3 2 5" xfId="40051" xr:uid="{EF5CCA5D-0439-4995-B287-3FFAB984D1A9}"/>
    <cellStyle name="Финансовый 6 4 2 3 3" xfId="17994" xr:uid="{D0D2FB9F-DAFC-4022-99C3-D29AEFFBC2FF}"/>
    <cellStyle name="Финансовый 6 4 2 3 4" xfId="19436" xr:uid="{82326F5C-FC67-46D0-A8E3-5FE077E0BDCF}"/>
    <cellStyle name="Финансовый 6 4 2 3 5" xfId="22722" xr:uid="{F5B37D1F-7E32-49EF-BFBF-D150006C0AC9}"/>
    <cellStyle name="Финансовый 6 4 2 3 6" xfId="35775" xr:uid="{9B651ADE-17FF-4A74-802E-E4A6A3DC8EC0}"/>
    <cellStyle name="Финансовый 6 4 2 4" xfId="5948" xr:uid="{E32FC1B9-3F85-4F48-8F6C-152CD0431F0D}"/>
    <cellStyle name="Финансовый 6 4 2 4 2" xfId="9875" xr:uid="{17E5B19C-47FE-4C18-909B-C34290A8C7DD}"/>
    <cellStyle name="Финансовый 6 4 2 4 2 2" xfId="18839" xr:uid="{8F18C0AE-24F7-4A85-8378-D01DACEF5AF6}"/>
    <cellStyle name="Финансовый 6 4 2 4 2 3" xfId="20101" xr:uid="{9787BC68-9ED6-4D02-A8E1-F3881451B1EE}"/>
    <cellStyle name="Финансовый 6 4 2 4 2 4" xfId="27171" xr:uid="{16252EE6-0D70-4ADD-93B7-504B0045F42B}"/>
    <cellStyle name="Финансовый 6 4 2 4 2 5" xfId="40290" xr:uid="{7DA840C1-CC8B-4B12-A18C-75DD99B05A9F}"/>
    <cellStyle name="Финансовый 6 4 2 4 3" xfId="18135" xr:uid="{A98DE968-D767-4E58-877C-C292110EE00B}"/>
    <cellStyle name="Финансовый 6 4 2 4 4" xfId="19574" xr:uid="{AA877DCC-C06C-45D3-817A-4E00DCD15490}"/>
    <cellStyle name="Финансовый 6 4 2 4 5" xfId="23595" xr:uid="{5031C61E-1AC3-4E97-AE5F-1786E2D2C0DF}"/>
    <cellStyle name="Финансовый 6 4 2 4 6" xfId="36676" xr:uid="{7BD24F66-1BFC-46AE-BB4A-A92DF1F83E2A}"/>
    <cellStyle name="Финансовый 6 4 2 5" xfId="6031" xr:uid="{E8A0FF8E-A286-4BC0-97CA-E0064E9C76BD}"/>
    <cellStyle name="Финансовый 6 4 2 5 2" xfId="9950" xr:uid="{A34B0774-21F7-40AA-B19F-12379D2EC10C}"/>
    <cellStyle name="Финансовый 6 4 2 5 2 2" xfId="18914" xr:uid="{5BDAAF5C-867D-42B6-A2ED-5BAD7C36340E}"/>
    <cellStyle name="Финансовый 6 4 2 5 2 3" xfId="20176" xr:uid="{BA09770C-BC27-4EAD-998D-39267CEE666F}"/>
    <cellStyle name="Финансовый 6 4 2 5 2 4" xfId="27246" xr:uid="{B76D1603-0A45-4BA3-884E-CA7DF072759D}"/>
    <cellStyle name="Финансовый 6 4 2 5 2 5" xfId="40365" xr:uid="{DB675BAA-7DBF-4A0A-9956-2BDEC4966BC8}"/>
    <cellStyle name="Финансовый 6 4 2 5 3" xfId="18210" xr:uid="{6C3ADE79-80B7-4B77-B087-22C928ADCD43}"/>
    <cellStyle name="Финансовый 6 4 2 5 4" xfId="19649" xr:uid="{FE830555-B47F-487F-B824-C5ACDE735AB9}"/>
    <cellStyle name="Финансовый 6 4 2 5 5" xfId="23677" xr:uid="{38A4D697-18C1-45D0-803C-03BAD29A77FF}"/>
    <cellStyle name="Финансовый 6 4 2 5 6" xfId="36758" xr:uid="{F60A61FC-CA8B-4A09-B6E2-4CD5EA86C069}"/>
    <cellStyle name="Финансовый 6 4 2 6" xfId="6116" xr:uid="{16A0AEF7-E892-4B2E-85F2-6DC9E3B9AA3C}"/>
    <cellStyle name="Финансовый 6 4 2 6 2" xfId="10025" xr:uid="{796AA503-A2D2-4DCB-BC11-771F37D9066D}"/>
    <cellStyle name="Финансовый 6 4 2 6 2 2" xfId="18989" xr:uid="{C74C5601-0263-4FBB-BB6E-DEE3F1E728A6}"/>
    <cellStyle name="Финансовый 6 4 2 6 2 3" xfId="20251" xr:uid="{F9624211-D337-4321-9FBB-AD3BB861DE34}"/>
    <cellStyle name="Финансовый 6 4 2 6 2 4" xfId="27321" xr:uid="{1C342F07-66C4-4E62-92BB-48C71F2E9563}"/>
    <cellStyle name="Финансовый 6 4 2 6 2 5" xfId="40440" xr:uid="{A9B6E839-8BD7-4A44-B10D-06D72FFBFF4C}"/>
    <cellStyle name="Финансовый 6 4 2 6 3" xfId="18285" xr:uid="{AFC4276D-D18B-4857-AB06-4F862770D77E}"/>
    <cellStyle name="Финансовый 6 4 2 6 4" xfId="19724" xr:uid="{31FF43D0-65E4-4DDD-B56A-289DE8D403EC}"/>
    <cellStyle name="Финансовый 6 4 2 6 5" xfId="23762" xr:uid="{BC5BA597-6FF1-46D7-8E36-E940A115C9FB}"/>
    <cellStyle name="Финансовый 6 4 2 6 6" xfId="36843" xr:uid="{B04BDA9C-5A3C-4362-91F2-CE29911D5307}"/>
    <cellStyle name="Финансовый 6 4 2 7" xfId="9513" xr:uid="{5FCC4B63-8647-475E-933E-1C938B869CE2}"/>
    <cellStyle name="Финансовый 6 4 2 7 2" xfId="18581" xr:uid="{6C913E38-6D33-4919-8F50-394A34F2DD3C}"/>
    <cellStyle name="Финансовый 6 4 2 7 3" xfId="19879" xr:uid="{C9018EC7-7EAB-4502-A592-B9ADCB368795}"/>
    <cellStyle name="Финансовый 6 4 2 7 4" xfId="26881" xr:uid="{4A0423A6-5DE4-42DF-97B2-87ADF9DFFBFF}"/>
    <cellStyle name="Финансовый 6 4 2 7 5" xfId="39964" xr:uid="{D3E39756-536B-4712-B7CC-95C2E05EE53D}"/>
    <cellStyle name="Финансовый 6 4 2 8" xfId="17785" xr:uid="{F08EAD38-C73F-4549-92CB-B69FAB25B484}"/>
    <cellStyle name="Финансовый 6 4 2 8 2" xfId="19252" xr:uid="{04380D51-84E1-4074-81DB-9BEFABFBA8C0}"/>
    <cellStyle name="Финансовый 6 4 2 8 3" xfId="20407" xr:uid="{8421AE41-450E-4B0F-9150-DD78A2248117}"/>
    <cellStyle name="Финансовый 6 4 2 8 4" xfId="33507" xr:uid="{CE09F6E9-9F6F-4742-8919-583F55FE4B79}"/>
    <cellStyle name="Финансовый 6 4 2 8 5" xfId="47286" xr:uid="{7B55C4FF-C4C1-433E-94C2-E61E9B38D632}"/>
    <cellStyle name="Финансовый 6 4 2 9" xfId="17896" xr:uid="{9D55B3A7-EEE0-43CA-8AC3-4B4653D95A66}"/>
    <cellStyle name="Финансовый 6 4 3" xfId="4594" xr:uid="{283840ED-F7C2-4CD2-8F34-B7932EF8968B}"/>
    <cellStyle name="Финансовый 6 4 3 2" xfId="7401" xr:uid="{C8442070-B4A8-40AE-B250-C0260C441F3A}"/>
    <cellStyle name="Финансовый 6 4 3 2 2" xfId="10105" xr:uid="{29DDAF7B-E164-45F0-AFEC-B7CDAD22B3D7}"/>
    <cellStyle name="Финансовый 6 4 3 2 2 2" xfId="19068" xr:uid="{21B4D505-85E4-41FA-9C3F-F271D5B665CC}"/>
    <cellStyle name="Финансовый 6 4 3 2 2 3" xfId="20294" xr:uid="{119F8FF8-681E-45ED-8854-7BF3BF2BDEEC}"/>
    <cellStyle name="Финансовый 6 4 3 2 2 4" xfId="27364" xr:uid="{F555AD6D-4D72-4659-A6C4-CEB378FB7BF8}"/>
    <cellStyle name="Финансовый 6 4 3 2 2 5" xfId="40483" xr:uid="{2DA67473-8883-4FD7-9877-8C2A1964B08A}"/>
    <cellStyle name="Финансовый 6 4 3 2 3" xfId="18363" xr:uid="{94AA3BAD-6B3F-4D64-896E-9F86E7C763E2}"/>
    <cellStyle name="Финансовый 6 4 3 2 4" xfId="19767" xr:uid="{1B6424BF-EBB0-4157-98EE-0266E2A9A896}"/>
    <cellStyle name="Финансовый 6 4 3 2 5" xfId="24960" xr:uid="{137D611E-2229-4795-9B2C-036428D6D952}"/>
    <cellStyle name="Финансовый 6 4 3 2 6" xfId="38036" xr:uid="{EA787218-6F2E-4F78-911F-68A863C003E7}"/>
    <cellStyle name="Финансовый 6 4 3 3" xfId="9587" xr:uid="{583424A8-707D-4C23-964E-1900E35B4199}"/>
    <cellStyle name="Финансовый 6 4 3 3 2" xfId="18655" xr:uid="{330A16A5-9730-41E5-8CB4-E9C02E344310}"/>
    <cellStyle name="Финансовый 6 4 3 3 3" xfId="19942" xr:uid="{F174F512-CDC4-4F25-ABCA-7B070BAB09DC}"/>
    <cellStyle name="Финансовый 6 4 3 3 4" xfId="26944" xr:uid="{E26D9276-4945-4145-B0F8-A19233AD6FDB}"/>
    <cellStyle name="Финансовый 6 4 3 3 5" xfId="40027" xr:uid="{702A897A-B2C8-4A3C-BE24-2D287CA834EF}"/>
    <cellStyle name="Финансовый 6 4 3 4" xfId="17961" xr:uid="{B6C5BB0E-A747-49D3-A93B-98FC7CFD5AF5}"/>
    <cellStyle name="Финансовый 6 4 3 5" xfId="19415" xr:uid="{4894A240-A418-4537-A304-3D1FA9F92FDF}"/>
    <cellStyle name="Финансовый 6 4 3 6" xfId="22408" xr:uid="{BB253945-FDBD-4E7B-80BB-17CECDB6C603}"/>
    <cellStyle name="Финансовый 6 4 3 7" xfId="35458" xr:uid="{B75AD9DF-FA10-4474-A635-F259A0345EA3}"/>
    <cellStyle name="Финансовый 6 4 4" xfId="5329" xr:uid="{0D14A7B9-BC99-40A2-AD00-ABBDC12DA776}"/>
    <cellStyle name="Финансовый 6 4 4 2" xfId="9761" xr:uid="{092305CA-403E-430E-B952-546269602D2E}"/>
    <cellStyle name="Финансовый 6 4 4 2 2" xfId="18764" xr:uid="{127C303D-0C77-4B0A-9AB1-CCAE0413C237}"/>
    <cellStyle name="Финансовый 6 4 4 2 3" xfId="20027" xr:uid="{7349F369-C510-423F-A4DA-A5C6E2C930AD}"/>
    <cellStyle name="Финансовый 6 4 4 2 4" xfId="27058" xr:uid="{70C21247-6840-4D08-989E-5C44B6518F62}"/>
    <cellStyle name="Финансовый 6 4 4 2 5" xfId="40177" xr:uid="{F3830B98-3F73-4791-BA0A-38DB115C19EA}"/>
    <cellStyle name="Финансовый 6 4 4 3" xfId="18061" xr:uid="{BC21239F-B7FE-49EC-9CA7-7EC0BB341FBD}"/>
    <cellStyle name="Финансовый 6 4 4 4" xfId="19500" xr:uid="{D68F6861-8488-46A9-957D-68F4C8A0BF8A}"/>
    <cellStyle name="Финансовый 6 4 4 5" xfId="22977" xr:uid="{C6988487-6585-4CA4-AEBA-84BF3F315B3C}"/>
    <cellStyle name="Финансовый 6 4 4 6" xfId="36058" xr:uid="{9A12F584-AC02-416D-BCC8-2AF3C298A580}"/>
    <cellStyle name="Финансовый 6 4 5" xfId="5781" xr:uid="{9F122EB3-71CB-4B7D-AC22-3EB89521E23D}"/>
    <cellStyle name="Финансовый 6 4 5 2" xfId="9844" xr:uid="{7504B128-FBB5-4978-8CB6-F28FC0611657}"/>
    <cellStyle name="Финансовый 6 4 5 2 2" xfId="18818" xr:uid="{32857F32-0D6B-442B-8B97-BF497449433D}"/>
    <cellStyle name="Финансовый 6 4 5 2 3" xfId="20080" xr:uid="{DA2BC152-AC6F-49B4-8E28-7112F5627AF8}"/>
    <cellStyle name="Финансовый 6 4 5 2 4" xfId="27140" xr:uid="{62CE254A-9F50-428A-94E1-E6A93B902D1F}"/>
    <cellStyle name="Финансовый 6 4 5 2 5" xfId="40259" xr:uid="{0F58DE90-A1AE-46AD-B371-FD3A74F30735}"/>
    <cellStyle name="Финансовый 6 4 5 3" xfId="18114" xr:uid="{4E56BE2A-9B50-473D-A884-468108A78508}"/>
    <cellStyle name="Финансовый 6 4 5 4" xfId="19553" xr:uid="{F1CB3672-083D-481D-A366-64A423F9D8CF}"/>
    <cellStyle name="Финансовый 6 4 5 5" xfId="23428" xr:uid="{E0A849EB-B56C-4E9D-BCD5-CF7F16043629}"/>
    <cellStyle name="Финансовый 6 4 5 6" xfId="36509" xr:uid="{37F7DCE2-2392-4677-92AE-B7DADCAA33B6}"/>
    <cellStyle name="Финансовый 6 4 6" xfId="6010" xr:uid="{19E48D85-B1AB-4701-90BF-2CC16AF436CA}"/>
    <cellStyle name="Финансовый 6 4 6 2" xfId="9929" xr:uid="{DACF7A58-D619-4392-B13A-B780C2F813C0}"/>
    <cellStyle name="Финансовый 6 4 6 2 2" xfId="18893" xr:uid="{36B1692E-2203-4E73-9A90-6B8067F55BA7}"/>
    <cellStyle name="Финансовый 6 4 6 2 3" xfId="20155" xr:uid="{74741A91-EF91-4132-A20F-AC9E8DCEE0E3}"/>
    <cellStyle name="Финансовый 6 4 6 2 4" xfId="27225" xr:uid="{CCC22644-4082-4F44-AA64-B559BD374864}"/>
    <cellStyle name="Финансовый 6 4 6 2 5" xfId="40344" xr:uid="{CA701509-2775-4507-9EC2-2693FEC48372}"/>
    <cellStyle name="Финансовый 6 4 6 3" xfId="18189" xr:uid="{FBC84A3F-6CC4-4327-9471-3D4505503A03}"/>
    <cellStyle name="Финансовый 6 4 6 4" xfId="19628" xr:uid="{E73370F2-F355-4A99-B1C3-5C2FB03A98F9}"/>
    <cellStyle name="Финансовый 6 4 6 5" xfId="23656" xr:uid="{F3DEEB31-29BE-4618-9B95-4C53CE543902}"/>
    <cellStyle name="Финансовый 6 4 6 6" xfId="36737" xr:uid="{1D2D944F-BAF2-4A06-B508-2D52CA6C08C9}"/>
    <cellStyle name="Финансовый 6 4 7" xfId="6085" xr:uid="{B00DEA55-3717-48C2-8EDA-4B6B7F9AB354}"/>
    <cellStyle name="Финансовый 6 4 7 2" xfId="10004" xr:uid="{FF50CC83-2F3F-491A-AE72-4143B90CB035}"/>
    <cellStyle name="Финансовый 6 4 7 2 2" xfId="18968" xr:uid="{E11D6AD4-4A74-425E-96CA-154E661D3366}"/>
    <cellStyle name="Финансовый 6 4 7 2 3" xfId="20230" xr:uid="{E236416C-B9D9-4D0C-BBD4-A651A7EE1751}"/>
    <cellStyle name="Финансовый 6 4 7 2 4" xfId="27300" xr:uid="{1D6C6B6E-9E46-4EF2-9305-6180453A101D}"/>
    <cellStyle name="Финансовый 6 4 7 2 5" xfId="40419" xr:uid="{16A8B180-06CE-43C2-AC14-677A8B1C28FA}"/>
    <cellStyle name="Финансовый 6 4 7 3" xfId="18264" xr:uid="{B4363A67-3B20-4065-AAFC-06D9CB9E48AD}"/>
    <cellStyle name="Финансовый 6 4 7 4" xfId="19703" xr:uid="{06B62320-3098-4963-A590-7B94C65D13BC}"/>
    <cellStyle name="Финансовый 6 4 7 5" xfId="23731" xr:uid="{91774AC8-A5B0-4F10-870F-7055C570C27A}"/>
    <cellStyle name="Финансовый 6 4 7 6" xfId="36812" xr:uid="{9829CBD1-91C8-44C0-91C1-11D8EE5CFD40}"/>
    <cellStyle name="Финансовый 6 4 8" xfId="9486" xr:uid="{70819317-8E7A-4F36-B37D-CB5BCFDF7E78}"/>
    <cellStyle name="Финансовый 6 4 8 2" xfId="18554" xr:uid="{9B762B72-1767-483F-A0C1-C0C90FEC618D}"/>
    <cellStyle name="Финансовый 6 4 8 3" xfId="19858" xr:uid="{51006A8A-016A-4E04-8179-3CE51CB2F773}"/>
    <cellStyle name="Финансовый 6 4 8 4" xfId="26860" xr:uid="{65C30627-4F06-42C0-835A-263991D567AC}"/>
    <cellStyle name="Финансовый 6 4 8 5" xfId="39943" xr:uid="{716F0EA3-9D96-4D59-9974-6E3D2A450C0F}"/>
    <cellStyle name="Финансовый 6 4 9" xfId="10522" xr:uid="{D52D07BF-DA9E-459A-A8AB-F3D9F44CAFD0}"/>
    <cellStyle name="Финансовый 6 5" xfId="3797" xr:uid="{D52E07CA-849A-4BB1-A246-747C41027B57}"/>
    <cellStyle name="Финансовый 6 5 10" xfId="17702" xr:uid="{967A6B9C-65F2-4397-95C9-F752FF3FFC0F}"/>
    <cellStyle name="Финансовый 6 5 10 2" xfId="19209" xr:uid="{B11C6F9E-CA34-42EA-961D-BEC23679352D}"/>
    <cellStyle name="Финансовый 6 5 10 3" xfId="20364" xr:uid="{68D6C6C4-6370-41F7-B822-6E9B21EA63D1}"/>
    <cellStyle name="Финансовый 6 5 10 4" xfId="33425" xr:uid="{4DEA3F45-B442-4BF1-AEEB-F1378AFE758C}"/>
    <cellStyle name="Финансовый 6 5 10 5" xfId="47214" xr:uid="{A7831507-91BC-4F4D-9271-48AD9560C63E}"/>
    <cellStyle name="Финансовый 6 5 11" xfId="17877" xr:uid="{EEFB9529-51CB-41FA-A868-B18C9635D0D6}"/>
    <cellStyle name="Финансовый 6 5 12" xfId="19333" xr:uid="{3C91D505-F073-4A7F-8F0B-9290E760CA7F}"/>
    <cellStyle name="Финансовый 6 5 13" xfId="20456" xr:uid="{2689D3BF-B318-46C5-B0E3-8575863B36EF}"/>
    <cellStyle name="Финансовый 6 5 14" xfId="21692" xr:uid="{4033E524-C858-480B-A480-D94B172C45DF}"/>
    <cellStyle name="Финансовый 6 5 15" xfId="34746" xr:uid="{193D5E5C-6B5D-415F-B89D-75B57CD7AB91}"/>
    <cellStyle name="Финансовый 6 5 2" xfId="4021" xr:uid="{C63B8267-8996-40E3-93B0-1F94B00FD0D5}"/>
    <cellStyle name="Финансовый 6 5 2 10" xfId="19353" xr:uid="{4372EC8B-5C85-4114-8090-17A767D9F938}"/>
    <cellStyle name="Финансовый 6 5 2 11" xfId="20540" xr:uid="{30BE4FD7-368E-4138-BF70-6DEFD71168EC}"/>
    <cellStyle name="Финансовый 6 5 2 12" xfId="21863" xr:uid="{9BF8A42E-46F5-47EE-AD68-DB5C083FDFC7}"/>
    <cellStyle name="Финансовый 6 5 2 13" xfId="34912" xr:uid="{523A7AA2-7042-444A-A242-26F3DDCCA0A3}"/>
    <cellStyle name="Финансовый 6 5 2 2" xfId="5170" xr:uid="{01A690D6-EEE2-4FFA-AF5B-969CF6DA4B41}"/>
    <cellStyle name="Финансовый 6 5 2 2 2" xfId="7595" xr:uid="{E1372B3A-20F3-4B7D-ADC8-2851C19C935B}"/>
    <cellStyle name="Финансовый 6 5 2 2 2 2" xfId="10128" xr:uid="{599748ED-71B2-493C-9EC5-FA2DABA77179}"/>
    <cellStyle name="Финансовый 6 5 2 2 2 2 2" xfId="19091" xr:uid="{DC2FA2EE-84CC-4EE5-8FB4-153A34F4B85E}"/>
    <cellStyle name="Финансовый 6 5 2 2 2 2 3" xfId="20311" xr:uid="{1A3CD050-8B76-4261-8B2F-6BD2E9B3A100}"/>
    <cellStyle name="Финансовый 6 5 2 2 2 2 4" xfId="27381" xr:uid="{667573F3-36E9-487E-9196-CAA2359B46CF}"/>
    <cellStyle name="Финансовый 6 5 2 2 2 2 5" xfId="40500" xr:uid="{0B3630B0-9965-43DA-B1EC-9F7E684D0DA4}"/>
    <cellStyle name="Финансовый 6 5 2 2 2 3" xfId="18386" xr:uid="{D75468AA-B25D-4D58-AF3B-E70D0C37573D}"/>
    <cellStyle name="Финансовый 6 5 2 2 2 4" xfId="19784" xr:uid="{12A8DFF1-90FF-43F9-996E-77CBB0423EE8}"/>
    <cellStyle name="Финансовый 6 5 2 2 2 5" xfId="25123" xr:uid="{D5EB80E8-94F8-43F8-9E39-B7C7431C7242}"/>
    <cellStyle name="Финансовый 6 5 2 2 2 6" xfId="38199" xr:uid="{E529B993-E5C2-4379-9964-0218A792D248}"/>
    <cellStyle name="Финансовый 6 5 2 2 3" xfId="9669" xr:uid="{3228F464-E675-4278-B1D1-95078CB83651}"/>
    <cellStyle name="Финансовый 6 5 2 2 3 2" xfId="18716" xr:uid="{2054C8E7-A362-4613-BEB7-5282EC32C05E}"/>
    <cellStyle name="Финансовый 6 5 2 2 3 3" xfId="19981" xr:uid="{488997E2-F181-4342-91C0-96A8956F12CB}"/>
    <cellStyle name="Финансовый 6 5 2 2 3 4" xfId="26983" xr:uid="{C8362B6A-2C96-48AA-852F-880DBEBDFE97}"/>
    <cellStyle name="Финансовый 6 5 2 2 3 5" xfId="40087" xr:uid="{2FA575C1-14B7-4629-A5E4-AE8B63A8634E}"/>
    <cellStyle name="Финансовый 6 5 2 2 4" xfId="18014" xr:uid="{095083CF-4626-4BC2-A081-9C0C25117EAE}"/>
    <cellStyle name="Финансовый 6 5 2 2 5" xfId="19454" xr:uid="{B058E40E-A130-4626-A026-5A3297470A49}"/>
    <cellStyle name="Финансовый 6 5 2 2 6" xfId="22859" xr:uid="{461BDD39-0FE1-4149-B826-12FAC2CCA3A1}"/>
    <cellStyle name="Финансовый 6 5 2 2 7" xfId="35925" xr:uid="{D91679CE-0B32-499E-81BF-7F1F0195B9C6}"/>
    <cellStyle name="Финансовый 6 5 2 3" xfId="4926" xr:uid="{D047F559-C882-4057-A308-FAB16B5140D7}"/>
    <cellStyle name="Финансовый 6 5 2 3 2" xfId="9625" xr:uid="{1EA26341-09F1-4BFD-85BA-34B8C5E37366}"/>
    <cellStyle name="Финансовый 6 5 2 3 2 2" xfId="18690" xr:uid="{B475E390-0CBA-42F7-9EF3-15E49F780687}"/>
    <cellStyle name="Финансовый 6 5 2 3 2 3" xfId="19964" xr:uid="{13F7B3F8-C634-4323-887D-DE92C023580E}"/>
    <cellStyle name="Финансовый 6 5 2 3 2 4" xfId="26966" xr:uid="{8FE2AA99-0D3F-49F2-8853-79627BF3D0ED}"/>
    <cellStyle name="Финансовый 6 5 2 3 2 5" xfId="40052" xr:uid="{1331C5FE-0AAC-4556-A885-D434234C18E8}"/>
    <cellStyle name="Финансовый 6 5 2 3 3" xfId="17995" xr:uid="{5C4BF36E-16FD-4299-A9DF-FBE1C1A510A9}"/>
    <cellStyle name="Финансовый 6 5 2 3 4" xfId="19437" xr:uid="{0F2694A8-59BC-424E-B9A2-8ED09341325E}"/>
    <cellStyle name="Финансовый 6 5 2 3 5" xfId="22723" xr:uid="{8DFC347E-2324-4650-BE91-CCE8A5034538}"/>
    <cellStyle name="Финансовый 6 5 2 3 6" xfId="35776" xr:uid="{BCA6024D-C841-40ED-BDCB-B4439BB18170}"/>
    <cellStyle name="Финансовый 6 5 2 4" xfId="5949" xr:uid="{55AA7D2A-26FF-4AF2-8450-52121679CF81}"/>
    <cellStyle name="Финансовый 6 5 2 4 2" xfId="9876" xr:uid="{4D0E306F-F5CD-4234-8210-EF2A7A66C267}"/>
    <cellStyle name="Финансовый 6 5 2 4 2 2" xfId="18840" xr:uid="{9B9274B0-E95C-4A11-8C4E-71A36E4E6ACA}"/>
    <cellStyle name="Финансовый 6 5 2 4 2 3" xfId="20102" xr:uid="{C6EE98C0-7B28-43FA-8CD7-0AB19C191E31}"/>
    <cellStyle name="Финансовый 6 5 2 4 2 4" xfId="27172" xr:uid="{B8708F6A-BA9A-4576-B43C-9A0260140D6C}"/>
    <cellStyle name="Финансовый 6 5 2 4 2 5" xfId="40291" xr:uid="{E7E2D6E1-4D60-4A65-9767-4AF185E1B3AD}"/>
    <cellStyle name="Финансовый 6 5 2 4 3" xfId="18136" xr:uid="{7EF6A336-A0D3-47B8-A676-3FE8B923582F}"/>
    <cellStyle name="Финансовый 6 5 2 4 4" xfId="19575" xr:uid="{628D64C5-26D7-48E2-8A53-1A431219D375}"/>
    <cellStyle name="Финансовый 6 5 2 4 5" xfId="23596" xr:uid="{31B064BE-0FE9-4E26-A71F-DE5E8F478F0A}"/>
    <cellStyle name="Финансовый 6 5 2 4 6" xfId="36677" xr:uid="{905D88E0-E721-4F61-B133-F0C30BC9645E}"/>
    <cellStyle name="Финансовый 6 5 2 5" xfId="6032" xr:uid="{97178B75-5310-4E9D-88B5-FF4F5958BE03}"/>
    <cellStyle name="Финансовый 6 5 2 5 2" xfId="9951" xr:uid="{14C9EFE2-8B35-4364-B7F0-F8798518912F}"/>
    <cellStyle name="Финансовый 6 5 2 5 2 2" xfId="18915" xr:uid="{D8C34182-E77F-4811-A64C-E8B854782497}"/>
    <cellStyle name="Финансовый 6 5 2 5 2 3" xfId="20177" xr:uid="{27675ED9-AF7D-4D6E-AFF0-DC924FF7488E}"/>
    <cellStyle name="Финансовый 6 5 2 5 2 4" xfId="27247" xr:uid="{2FE48751-D6CD-4A00-94E0-0659008678E6}"/>
    <cellStyle name="Финансовый 6 5 2 5 2 5" xfId="40366" xr:uid="{3015F376-7B03-4001-8601-00768BBF2179}"/>
    <cellStyle name="Финансовый 6 5 2 5 3" xfId="18211" xr:uid="{D945613E-3776-4F5E-89BA-027163E29CBC}"/>
    <cellStyle name="Финансовый 6 5 2 5 4" xfId="19650" xr:uid="{6B97433A-601B-4553-8265-E58F34881E21}"/>
    <cellStyle name="Финансовый 6 5 2 5 5" xfId="23678" xr:uid="{945C402A-3988-4180-9A7D-379905D7E16E}"/>
    <cellStyle name="Финансовый 6 5 2 5 6" xfId="36759" xr:uid="{2A3E80BB-6255-435D-9C18-47ABC156E494}"/>
    <cellStyle name="Финансовый 6 5 2 6" xfId="6117" xr:uid="{400C775B-B44A-4401-93A4-E1835B8F5584}"/>
    <cellStyle name="Финансовый 6 5 2 6 2" xfId="10026" xr:uid="{70D000C3-B03F-44A2-A4D4-FEDF79332F79}"/>
    <cellStyle name="Финансовый 6 5 2 6 2 2" xfId="18990" xr:uid="{5B977698-6BBA-4C26-8B14-EA1450261CB9}"/>
    <cellStyle name="Финансовый 6 5 2 6 2 3" xfId="20252" xr:uid="{6D989C2E-0869-4FF6-A1F3-E3A412641A47}"/>
    <cellStyle name="Финансовый 6 5 2 6 2 4" xfId="27322" xr:uid="{42A11FA8-F047-4C1C-98E4-9FF4E3E0F382}"/>
    <cellStyle name="Финансовый 6 5 2 6 2 5" xfId="40441" xr:uid="{02B4541E-94FB-4870-8888-FFD97ED0B9FD}"/>
    <cellStyle name="Финансовый 6 5 2 6 3" xfId="18286" xr:uid="{7E5AD706-6590-43B2-98C2-F26CE0565BA7}"/>
    <cellStyle name="Финансовый 6 5 2 6 4" xfId="19725" xr:uid="{881588F4-03FA-42E4-8AE2-BC356E9F0251}"/>
    <cellStyle name="Финансовый 6 5 2 6 5" xfId="23763" xr:uid="{EB880AFB-7F7D-46EC-82F0-24B577EE8630}"/>
    <cellStyle name="Финансовый 6 5 2 6 6" xfId="36844" xr:uid="{A7D07703-E59F-47A5-AE06-7383A571C326}"/>
    <cellStyle name="Финансовый 6 5 2 7" xfId="9514" xr:uid="{F129A857-2CAC-46FD-ABDE-6B00EBAEE72E}"/>
    <cellStyle name="Финансовый 6 5 2 7 2" xfId="18582" xr:uid="{E2AE19A3-F0F0-499D-B003-27EB7B1112A9}"/>
    <cellStyle name="Финансовый 6 5 2 7 3" xfId="19880" xr:uid="{4DDC118E-2651-4783-8709-0761640C4E84}"/>
    <cellStyle name="Финансовый 6 5 2 7 4" xfId="26882" xr:uid="{D3B4A7B4-8195-4334-B854-8ACCE05CACA3}"/>
    <cellStyle name="Финансовый 6 5 2 7 5" xfId="39965" xr:uid="{5C79D487-F479-43C2-9485-DEBF28CE4ECA}"/>
    <cellStyle name="Финансовый 6 5 2 8" xfId="17787" xr:uid="{6ECF78B9-D124-4E8A-954C-F6631D4D84BA}"/>
    <cellStyle name="Финансовый 6 5 2 8 2" xfId="19254" xr:uid="{568355E0-90D8-4672-A200-BB5D85CD4805}"/>
    <cellStyle name="Финансовый 6 5 2 8 3" xfId="20409" xr:uid="{A0681309-60F1-42A8-9391-87AA9BC4A9C1}"/>
    <cellStyle name="Финансовый 6 5 2 8 4" xfId="33509" xr:uid="{FA94757A-343F-43C6-81D7-E3CE175EA7FB}"/>
    <cellStyle name="Финансовый 6 5 2 8 5" xfId="47288" xr:uid="{496C8732-BCE7-4FFF-8CDF-FB8CD446672C}"/>
    <cellStyle name="Финансовый 6 5 2 9" xfId="17897" xr:uid="{E5E3D47F-FCF2-42AE-94E4-F6E8B35E057C}"/>
    <cellStyle name="Финансовый 6 5 3" xfId="4596" xr:uid="{AB5D92B5-D4D6-42B1-897D-2C5088A05B7C}"/>
    <cellStyle name="Финансовый 6 5 3 2" xfId="7402" xr:uid="{6F92816A-0D5E-4987-B197-9DE1B8EC6426}"/>
    <cellStyle name="Финансовый 6 5 3 2 2" xfId="10106" xr:uid="{9E913679-6488-4B48-B767-DC0A7472799B}"/>
    <cellStyle name="Финансовый 6 5 3 2 2 2" xfId="19069" xr:uid="{5196F1B2-A5B0-4149-80B5-367798670E1C}"/>
    <cellStyle name="Финансовый 6 5 3 2 2 3" xfId="20295" xr:uid="{4885A3D2-CFDF-4052-A12D-2BFE75332A49}"/>
    <cellStyle name="Финансовый 6 5 3 2 2 4" xfId="27365" xr:uid="{2106BACA-4F25-4071-93E1-E6F2DE8E5D68}"/>
    <cellStyle name="Финансовый 6 5 3 2 2 5" xfId="40484" xr:uid="{AB9A1934-8877-4ABC-8C91-814BBB8C5F27}"/>
    <cellStyle name="Финансовый 6 5 3 2 3" xfId="18364" xr:uid="{315FC97B-6E65-4613-A9B0-45B514F1E59F}"/>
    <cellStyle name="Финансовый 6 5 3 2 4" xfId="19768" xr:uid="{0062BA82-39F0-4318-BFF4-82FEBC71BFA6}"/>
    <cellStyle name="Финансовый 6 5 3 2 5" xfId="24961" xr:uid="{249065B0-D5C7-4012-B59F-18C278DF1816}"/>
    <cellStyle name="Финансовый 6 5 3 2 6" xfId="38037" xr:uid="{9480930C-B841-4D78-9D89-E1ECF42B4EA3}"/>
    <cellStyle name="Финансовый 6 5 3 3" xfId="9589" xr:uid="{E2F05876-4CF2-4C58-A520-24715873ADC5}"/>
    <cellStyle name="Финансовый 6 5 3 3 2" xfId="18657" xr:uid="{63AC7F81-566A-4D1F-8E68-5EF4914387B2}"/>
    <cellStyle name="Финансовый 6 5 3 3 3" xfId="19944" xr:uid="{5DC775F3-A6B9-4E08-A3A4-6CA0AD7DFE95}"/>
    <cellStyle name="Финансовый 6 5 3 3 4" xfId="26946" xr:uid="{EDA110F0-886F-4297-A4F9-53447719794A}"/>
    <cellStyle name="Финансовый 6 5 3 3 5" xfId="40029" xr:uid="{295B92B4-B1EA-45FC-B50F-83816573970C}"/>
    <cellStyle name="Финансовый 6 5 3 4" xfId="17963" xr:uid="{F27087DF-2305-4B0B-8D3E-39FC0B7A00F9}"/>
    <cellStyle name="Финансовый 6 5 3 5" xfId="19417" xr:uid="{1B94691A-2C04-4CFD-921D-1FEACF0E4618}"/>
    <cellStyle name="Финансовый 6 5 3 6" xfId="22410" xr:uid="{69FFA632-F7CE-4972-9B4B-1336428CAFE4}"/>
    <cellStyle name="Финансовый 6 5 3 7" xfId="35460" xr:uid="{8ABE6B18-9084-474F-A231-275C59616AA6}"/>
    <cellStyle name="Финансовый 6 5 4" xfId="5331" xr:uid="{52671FC5-6F8F-440C-859E-89D67962671E}"/>
    <cellStyle name="Финансовый 6 5 4 2" xfId="9763" xr:uid="{FF3BFE08-BA0C-4632-9E69-48FD74DA8EB7}"/>
    <cellStyle name="Финансовый 6 5 4 2 2" xfId="18766" xr:uid="{656CFE8A-8F6A-46AF-8543-35DC02B576ED}"/>
    <cellStyle name="Финансовый 6 5 4 2 3" xfId="20029" xr:uid="{498F70F2-2F3C-469C-8159-5D159A05A950}"/>
    <cellStyle name="Финансовый 6 5 4 2 4" xfId="27060" xr:uid="{D0F62153-B849-4F5E-9418-9411A7E2FA0E}"/>
    <cellStyle name="Финансовый 6 5 4 2 5" xfId="40179" xr:uid="{8FD9F92D-65DC-4ABB-897F-3AEBCF4E16E5}"/>
    <cellStyle name="Финансовый 6 5 4 3" xfId="18063" xr:uid="{5D81D1DB-C6E6-4DA1-921F-BB47FF0CE3CB}"/>
    <cellStyle name="Финансовый 6 5 4 4" xfId="19502" xr:uid="{8A7F6FE9-8177-4865-A176-1482783F1944}"/>
    <cellStyle name="Финансовый 6 5 4 5" xfId="22979" xr:uid="{DA241AAC-9392-4082-86D8-B7332F74238B}"/>
    <cellStyle name="Финансовый 6 5 4 6" xfId="36060" xr:uid="{C0FD23A4-B600-4322-B65F-7C9EA8A7134F}"/>
    <cellStyle name="Финансовый 6 5 5" xfId="5783" xr:uid="{3D72C84C-7D3D-4E17-A6B9-F1D237D14E56}"/>
    <cellStyle name="Финансовый 6 5 5 2" xfId="9846" xr:uid="{A1F9F0C2-6DFC-40DA-8675-293BEF323A93}"/>
    <cellStyle name="Финансовый 6 5 5 2 2" xfId="18820" xr:uid="{8E1C4CC0-BC06-4EC6-8377-DC07575D1561}"/>
    <cellStyle name="Финансовый 6 5 5 2 3" xfId="20082" xr:uid="{49DD6066-659E-48DF-B336-EE8AAB425FC1}"/>
    <cellStyle name="Финансовый 6 5 5 2 4" xfId="27142" xr:uid="{129BE4F9-EB43-44AD-962C-6B465AEF0C08}"/>
    <cellStyle name="Финансовый 6 5 5 2 5" xfId="40261" xr:uid="{9C06941B-544D-42CF-A5E5-28524754DE49}"/>
    <cellStyle name="Финансовый 6 5 5 3" xfId="18116" xr:uid="{E44F1D06-E413-4833-B74E-8077E84054CE}"/>
    <cellStyle name="Финансовый 6 5 5 4" xfId="19555" xr:uid="{0D05D202-C95F-488A-90A9-A531DB362FC6}"/>
    <cellStyle name="Финансовый 6 5 5 5" xfId="23430" xr:uid="{4C74F5FA-FDD4-42B1-9CD7-2BC15F07021C}"/>
    <cellStyle name="Финансовый 6 5 5 6" xfId="36511" xr:uid="{DD026791-F536-4041-85B2-FE873343C2A2}"/>
    <cellStyle name="Финансовый 6 5 6" xfId="6012" xr:uid="{D18825B5-7912-4F04-AF2B-CD4040E188C0}"/>
    <cellStyle name="Финансовый 6 5 6 2" xfId="9931" xr:uid="{CFE4670A-06DC-46FF-83FE-E138765ADAFA}"/>
    <cellStyle name="Финансовый 6 5 6 2 2" xfId="18895" xr:uid="{0A22EDD3-34E2-415B-9333-8894081F2D3D}"/>
    <cellStyle name="Финансовый 6 5 6 2 3" xfId="20157" xr:uid="{3E11E979-C169-4A1D-AA3C-9D048CDA9C9C}"/>
    <cellStyle name="Финансовый 6 5 6 2 4" xfId="27227" xr:uid="{FDF1A802-A92C-4EC0-B4BF-293187AEDD9E}"/>
    <cellStyle name="Финансовый 6 5 6 2 5" xfId="40346" xr:uid="{8CA511BF-2EF4-4E48-B058-D1C169ADD851}"/>
    <cellStyle name="Финансовый 6 5 6 3" xfId="18191" xr:uid="{6EB3E6E1-F62D-4CD8-B971-075352AA430B}"/>
    <cellStyle name="Финансовый 6 5 6 4" xfId="19630" xr:uid="{FE1A9A7B-704A-4D79-9678-DF490AC2FDF0}"/>
    <cellStyle name="Финансовый 6 5 6 5" xfId="23658" xr:uid="{63D7AC8D-0FF0-4D84-90C6-75823B87F074}"/>
    <cellStyle name="Финансовый 6 5 6 6" xfId="36739" xr:uid="{2A08FB4D-F409-47D1-BD68-52CDDD32425C}"/>
    <cellStyle name="Финансовый 6 5 7" xfId="6087" xr:uid="{519C8271-969A-4066-9FFE-8CD4E70E0F23}"/>
    <cellStyle name="Финансовый 6 5 7 2" xfId="10006" xr:uid="{863D5C29-4BE1-4C5E-B164-A1438F0C8AC6}"/>
    <cellStyle name="Финансовый 6 5 7 2 2" xfId="18970" xr:uid="{3B08E036-303C-4849-9DD1-38576751BA94}"/>
    <cellStyle name="Финансовый 6 5 7 2 3" xfId="20232" xr:uid="{4C72C35A-2416-4835-B218-4B248996B510}"/>
    <cellStyle name="Финансовый 6 5 7 2 4" xfId="27302" xr:uid="{5914E1AE-CB97-407B-AC50-D3A839429464}"/>
    <cellStyle name="Финансовый 6 5 7 2 5" xfId="40421" xr:uid="{F9F21150-5F8F-47C0-ABE3-F2C960EBC20A}"/>
    <cellStyle name="Финансовый 6 5 7 3" xfId="18266" xr:uid="{D8AB1B32-A428-48B9-A311-231ACC318E51}"/>
    <cellStyle name="Финансовый 6 5 7 4" xfId="19705" xr:uid="{EE456EB9-FA3E-4BA4-B5E8-295A85C27A23}"/>
    <cellStyle name="Финансовый 6 5 7 5" xfId="23733" xr:uid="{6484EFB8-B47C-4062-A7B1-5ADFAC244979}"/>
    <cellStyle name="Финансовый 6 5 7 6" xfId="36814" xr:uid="{4925B035-4913-42EE-B70D-5765A97DEF1B}"/>
    <cellStyle name="Финансовый 6 5 8" xfId="9488" xr:uid="{34426875-1B97-4DE4-A116-AD028F68041A}"/>
    <cellStyle name="Финансовый 6 5 8 2" xfId="18556" xr:uid="{BE59DB65-7162-40B3-BDD0-311167FD2E55}"/>
    <cellStyle name="Финансовый 6 5 8 3" xfId="19860" xr:uid="{2E2B754F-C32A-41DE-9E9F-EC57D26876A6}"/>
    <cellStyle name="Финансовый 6 5 8 4" xfId="26862" xr:uid="{73E5FC87-FF23-4CEF-8273-44F69E20338E}"/>
    <cellStyle name="Финансовый 6 5 8 5" xfId="39945" xr:uid="{F67F7C88-D8C5-45DA-BC1E-695CC68FC405}"/>
    <cellStyle name="Финансовый 6 5 9" xfId="10523" xr:uid="{EE2D921D-7052-453B-8D5A-03803F805F26}"/>
    <cellStyle name="Финансовый 6 6" xfId="3803" xr:uid="{4B422E11-9B47-4DE9-B4F4-9191DCED9629}"/>
    <cellStyle name="Финансовый 6 6 2" xfId="10524" xr:uid="{7E583261-4A4E-4298-952E-C717CA5C9560}"/>
    <cellStyle name="Финансовый 6 7" xfId="4018" xr:uid="{A79305E2-C89E-4256-B4FC-CED37EF6DEBD}"/>
    <cellStyle name="Финансовый 6 7 10" xfId="20517" xr:uid="{55B31EDD-61C3-4AE8-A834-8DA92E4117CA}"/>
    <cellStyle name="Финансовый 6 7 11" xfId="21860" xr:uid="{C54F960A-DC60-47C1-9616-E6126A08C39C}"/>
    <cellStyle name="Финансовый 6 7 12" xfId="34909" xr:uid="{8B051B84-646B-4DAA-BFE4-7DB9B0F4F38F}"/>
    <cellStyle name="Финансовый 6 7 2" xfId="4575" xr:uid="{3EA233D3-91D2-43AA-B95E-742488E2C1B8}"/>
    <cellStyle name="Финансовый 6 7 2 2" xfId="7592" xr:uid="{D5107BFB-41C4-4136-9A3B-5C1DCE33DF01}"/>
    <cellStyle name="Финансовый 6 7 2 2 2" xfId="10126" xr:uid="{112EBE8D-0005-48E9-B319-0C5DBB5732FD}"/>
    <cellStyle name="Финансовый 6 7 2 2 2 2" xfId="19089" xr:uid="{81EA0CCD-21D0-4B6E-8FEA-B7BA24AC6B99}"/>
    <cellStyle name="Финансовый 6 7 2 2 2 3" xfId="20309" xr:uid="{AE269657-5063-4A81-92DB-248D52990FD7}"/>
    <cellStyle name="Финансовый 6 7 2 2 2 4" xfId="27379" xr:uid="{E142DE2B-FDDF-4219-8FC3-BCF0A29D0DD0}"/>
    <cellStyle name="Финансовый 6 7 2 2 2 5" xfId="40498" xr:uid="{68E0228C-7652-415B-BE49-553DBF4C742B}"/>
    <cellStyle name="Финансовый 6 7 2 2 3" xfId="18384" xr:uid="{F9FB6BEF-3BA2-4B51-8F20-BF3E4A780D7E}"/>
    <cellStyle name="Финансовый 6 7 2 2 4" xfId="19782" xr:uid="{48E4B393-DA46-4E92-BA20-4E6E57E71C69}"/>
    <cellStyle name="Финансовый 6 7 2 2 5" xfId="25120" xr:uid="{10128BE6-2B6A-4140-8EB7-959511CEFD90}"/>
    <cellStyle name="Финансовый 6 7 2 2 6" xfId="38196" xr:uid="{9AF8533A-4236-4F6D-9819-070105F387E8}"/>
    <cellStyle name="Финансовый 6 7 2 3" xfId="9568" xr:uid="{5787AEDE-2B59-4550-9441-C106F07D1E53}"/>
    <cellStyle name="Финансовый 6 7 2 3 2" xfId="18636" xr:uid="{35321AF3-61C5-4D10-8175-CE6DC742508D}"/>
    <cellStyle name="Финансовый 6 7 2 3 3" xfId="19923" xr:uid="{4B19C19A-5E79-4B37-A570-851BE1AED4E5}"/>
    <cellStyle name="Финансовый 6 7 2 3 4" xfId="26925" xr:uid="{3531F5FF-EB82-441C-96C8-D4E67381538B}"/>
    <cellStyle name="Финансовый 6 7 2 3 5" xfId="40008" xr:uid="{AD13BCFF-E277-46F1-AF82-D9778DD7A2A3}"/>
    <cellStyle name="Финансовый 6 7 2 4" xfId="17942" xr:uid="{D8E5F5B4-2F30-4ABE-A3BF-F2408152FF7A}"/>
    <cellStyle name="Финансовый 6 7 2 5" xfId="19396" xr:uid="{ECD2014C-C522-48CD-B34A-C0D258BA19C3}"/>
    <cellStyle name="Финансовый 6 7 2 6" xfId="22389" xr:uid="{4588BABB-6AF8-4DEC-8953-ACD0970F6F41}"/>
    <cellStyle name="Финансовый 6 7 2 7" xfId="35439" xr:uid="{828A51B7-CFF5-4395-837A-96BE85A7CA78}"/>
    <cellStyle name="Финансовый 6 7 3" xfId="5946" xr:uid="{2CE673A0-32E2-43BB-903F-85DB79ADC0C3}"/>
    <cellStyle name="Финансовый 6 7 3 2" xfId="9874" xr:uid="{F533B7E4-BD5D-4F8F-AA45-A99516493280}"/>
    <cellStyle name="Финансовый 6 7 3 2 2" xfId="18838" xr:uid="{1FF67536-8339-4D42-99CA-BD4289D68573}"/>
    <cellStyle name="Финансовый 6 7 3 2 3" xfId="20100" xr:uid="{FC9DF08F-0EA9-427E-BD1C-85C3C8E1FEE7}"/>
    <cellStyle name="Финансовый 6 7 3 2 4" xfId="27170" xr:uid="{91C68ACC-A319-480D-AE0A-8A5A1B59F190}"/>
    <cellStyle name="Финансовый 6 7 3 2 5" xfId="40289" xr:uid="{38DDD5CC-B6D2-4CE5-B9A1-2370B8908284}"/>
    <cellStyle name="Финансовый 6 7 3 3" xfId="18134" xr:uid="{1AE7CB20-B823-47C1-BFCE-8CCFB289EAE6}"/>
    <cellStyle name="Финансовый 6 7 3 4" xfId="19573" xr:uid="{08DD8620-198E-4EC1-96AE-49FFFD6A16CE}"/>
    <cellStyle name="Финансовый 6 7 3 5" xfId="23593" xr:uid="{A7C07BA4-738F-4B04-A546-079083A1344C}"/>
    <cellStyle name="Финансовый 6 7 3 6" xfId="36674" xr:uid="{80422F9D-ADD5-4BEC-ACE0-F5EBE22A42B7}"/>
    <cellStyle name="Финансовый 6 7 4" xfId="6030" xr:uid="{7AE2134D-E568-456C-B76D-846DF435FCC2}"/>
    <cellStyle name="Финансовый 6 7 4 2" xfId="9949" xr:uid="{3B341506-384B-496F-87A4-6F31A00F36E8}"/>
    <cellStyle name="Финансовый 6 7 4 2 2" xfId="18913" xr:uid="{FE2CADB3-4D7F-42B0-B33F-0CCD2171C335}"/>
    <cellStyle name="Финансовый 6 7 4 2 3" xfId="20175" xr:uid="{CF3BC609-ED0D-45BD-82FC-35BC46D6D714}"/>
    <cellStyle name="Финансовый 6 7 4 2 4" xfId="27245" xr:uid="{8BC2D284-02E4-4894-A749-1D8264A213EF}"/>
    <cellStyle name="Финансовый 6 7 4 2 5" xfId="40364" xr:uid="{89E725F0-B5AC-428E-8AFD-EB2D848FE627}"/>
    <cellStyle name="Финансовый 6 7 4 3" xfId="18209" xr:uid="{F57451E1-91DA-4796-9FE2-3EFDEC84E3DF}"/>
    <cellStyle name="Финансовый 6 7 4 4" xfId="19648" xr:uid="{69AC6A49-32D7-4EA1-929F-BA18F89625FD}"/>
    <cellStyle name="Финансовый 6 7 4 5" xfId="23676" xr:uid="{5740F2F0-05FF-4EF0-A6F6-733F918D512D}"/>
    <cellStyle name="Финансовый 6 7 4 6" xfId="36757" xr:uid="{0323ADB9-F716-43EC-B2F2-D952478C5F77}"/>
    <cellStyle name="Финансовый 6 7 5" xfId="6115" xr:uid="{31A8335C-1E20-480C-B677-0E408E516C51}"/>
    <cellStyle name="Финансовый 6 7 5 2" xfId="10024" xr:uid="{E4E3430B-BB26-409C-AA6D-72F306C5B638}"/>
    <cellStyle name="Финансовый 6 7 5 2 2" xfId="18988" xr:uid="{4FB88EF6-132D-4362-BE3F-0FDA3A37369B}"/>
    <cellStyle name="Финансовый 6 7 5 2 3" xfId="20250" xr:uid="{745F4E79-AA1F-4B50-BBC1-284E1F8C308E}"/>
    <cellStyle name="Финансовый 6 7 5 2 4" xfId="27320" xr:uid="{B5939F9A-00E0-4677-86EC-189011A27B7C}"/>
    <cellStyle name="Финансовый 6 7 5 2 5" xfId="40439" xr:uid="{025D8D54-0FE6-464F-8578-B7C5DAD7E69F}"/>
    <cellStyle name="Финансовый 6 7 5 3" xfId="18284" xr:uid="{BEE9EC1A-7D24-4E10-B857-CCC70DE755B7}"/>
    <cellStyle name="Финансовый 6 7 5 4" xfId="19723" xr:uid="{404711E8-1CD7-440F-8B92-DE0D5B4D87D9}"/>
    <cellStyle name="Финансовый 6 7 5 5" xfId="23761" xr:uid="{2FF0A17F-A982-4368-9FB3-5849747F44E6}"/>
    <cellStyle name="Финансовый 6 7 5 6" xfId="36842" xr:uid="{09F93F41-7EEE-4B73-A86E-5E13FB8BAD8E}"/>
    <cellStyle name="Финансовый 6 7 6" xfId="9512" xr:uid="{21FA0854-270C-4FD7-8912-7348A4BD3F60}"/>
    <cellStyle name="Финансовый 6 7 6 2" xfId="18580" xr:uid="{95C96FCC-B2F7-4115-9D45-0B2E77CBEA34}"/>
    <cellStyle name="Финансовый 6 7 6 3" xfId="19878" xr:uid="{D425986F-A850-4ACD-8359-E92CEF0DCDC5}"/>
    <cellStyle name="Финансовый 6 7 6 4" xfId="26880" xr:uid="{62649F24-ABCD-4B93-800A-27F1A8C97ADC}"/>
    <cellStyle name="Финансовый 6 7 6 5" xfId="39963" xr:uid="{1D5AC427-5232-471D-8FB2-622D84FC6831}"/>
    <cellStyle name="Финансовый 6 7 7" xfId="17764" xr:uid="{D683721A-AA79-41FC-AE8C-A21651B62390}"/>
    <cellStyle name="Финансовый 6 7 7 2" xfId="19231" xr:uid="{852AD91A-9E39-4FC7-A422-CE9C6ABBE5C6}"/>
    <cellStyle name="Финансовый 6 7 7 3" xfId="20386" xr:uid="{E16FF52A-DE01-4944-A52B-C31AA04A0C90}"/>
    <cellStyle name="Финансовый 6 7 7 4" xfId="33486" xr:uid="{8527CCC9-9AE6-4168-A533-32048178D08A}"/>
    <cellStyle name="Финансовый 6 7 7 5" xfId="47265" xr:uid="{D3021D16-8A7F-4B0A-B5CE-62BD97B3DBAB}"/>
    <cellStyle name="Финансовый 6 7 8" xfId="17895" xr:uid="{BC3A8742-8392-4FB2-8702-CECCB3A6A840}"/>
    <cellStyle name="Финансовый 6 7 9" xfId="19351" xr:uid="{7BB13D3E-67FA-469B-9B3F-6C6B9C66CCBE}"/>
    <cellStyle name="Финансовый 6 8" xfId="3255" xr:uid="{CAC26B93-6998-42F9-B876-7287137DA639}"/>
    <cellStyle name="Финансовый 6 8 2" xfId="6914" xr:uid="{756317A9-04B6-435D-A896-F4CDED9BCC0F}"/>
    <cellStyle name="Финансовый 6 8 2 2" xfId="10068" xr:uid="{534393BB-7385-4DB6-BCE6-1C273F331049}"/>
    <cellStyle name="Финансовый 6 8 2 2 2" xfId="19031" xr:uid="{667F9A3E-9BE0-47D7-88FE-0A6D9A740EDC}"/>
    <cellStyle name="Финансовый 6 8 2 2 3" xfId="20271" xr:uid="{B7B0E928-387C-4374-B34F-B2AB7D80281A}"/>
    <cellStyle name="Финансовый 6 8 2 2 4" xfId="27341" xr:uid="{9883D75E-D221-4570-B3F6-2E1186B89A92}"/>
    <cellStyle name="Финансовый 6 8 2 2 5" xfId="40460" xr:uid="{FA9829E5-EFCA-41E1-8526-97257B38EA67}"/>
    <cellStyle name="Финансовый 6 8 2 3" xfId="18327" xr:uid="{E21CD12A-19B0-487B-A22F-E9D718B0CCDD}"/>
    <cellStyle name="Финансовый 6 8 2 4" xfId="19744" xr:uid="{3BA175C8-F952-4232-A4AB-38A24A4D9A8B}"/>
    <cellStyle name="Финансовый 6 8 2 5" xfId="24537" xr:uid="{042EF197-A3F4-4CE5-BF4D-421B99BCA7F4}"/>
    <cellStyle name="Финансовый 6 8 2 6" xfId="37618" xr:uid="{2BD30C56-C229-4401-8A9E-55ED751B6B2E}"/>
    <cellStyle name="Финансовый 6 8 3" xfId="9435" xr:uid="{643D8A74-EAE7-4956-915F-4B80829D30DE}"/>
    <cellStyle name="Финансовый 6 8 3 2" xfId="18505" xr:uid="{E4A6A835-B3B0-45EC-99E4-89A1A738A886}"/>
    <cellStyle name="Финансовый 6 8 3 3" xfId="19823" xr:uid="{36B3B044-365B-4C6A-8DB9-7B9D2A410E44}"/>
    <cellStyle name="Финансовый 6 8 3 4" xfId="26825" xr:uid="{7CA9F431-F7A5-48B9-A46F-179AB57F09A4}"/>
    <cellStyle name="Финансовый 6 8 3 5" xfId="39906" xr:uid="{4AC21F10-5ECB-41DC-B16B-6FF9C790E674}"/>
    <cellStyle name="Финансовый 6 8 4" xfId="17840" xr:uid="{82291AA3-5542-4942-959A-F0CF65BD06ED}"/>
    <cellStyle name="Финансовый 6 8 5" xfId="19296" xr:uid="{BE76E9FC-6546-41E4-88DD-29A8D4D1E6C0}"/>
    <cellStyle name="Финансовый 6 8 6" xfId="21289" xr:uid="{6305F138-77AB-450A-9675-B3B5A003F364}"/>
    <cellStyle name="Финансовый 6 8 7" xfId="34312" xr:uid="{169A779B-D702-4066-BC31-66F6CF0FAE21}"/>
    <cellStyle name="Финансовый 6 9" xfId="4312" xr:uid="{D33E2788-00AE-4975-95DC-7F7AFB08948C}"/>
    <cellStyle name="Финансовый 6 9 2" xfId="9540" xr:uid="{FAA2170A-4D0D-401A-9482-5AEBD6FBDD8B}"/>
    <cellStyle name="Финансовый 6 9 2 2" xfId="18608" xr:uid="{DF25231E-C68A-423C-BDA0-28063A056D6B}"/>
    <cellStyle name="Финансовый 6 9 2 3" xfId="19898" xr:uid="{B133EA29-E1F8-4171-A947-1E1F5785273D}"/>
    <cellStyle name="Финансовый 6 9 2 4" xfId="26900" xr:uid="{7ED96B76-519C-4978-A274-3664C974A45D}"/>
    <cellStyle name="Финансовый 6 9 2 5" xfId="39983" xr:uid="{FF192E13-0783-4588-BFF8-50F6FC575938}"/>
    <cellStyle name="Финансовый 6 9 3" xfId="17915" xr:uid="{99EE9F5F-6D99-44E5-B31D-30CBA3298191}"/>
    <cellStyle name="Финансовый 6 9 4" xfId="19371" xr:uid="{18609456-57ED-4CE4-A803-C5A73DF72A7B}"/>
    <cellStyle name="Финансовый 6 9 5" xfId="22132" xr:uid="{78FD2380-2CCA-4EF0-80B4-3E243AA63873}"/>
    <cellStyle name="Финансовый 6 9 6" xfId="35181" xr:uid="{A381A379-3EE2-4DF0-9432-07324C0C7B5E}"/>
    <cellStyle name="Финансовый 7" xfId="2457" xr:uid="{3B3E0ABD-2B63-4CEA-97B9-41A1657412BD}"/>
    <cellStyle name="Финансовый 7 2" xfId="3779" xr:uid="{2A502918-11FB-44EA-952C-890EEFE78856}"/>
    <cellStyle name="Финансовый 7 2 10" xfId="19320" xr:uid="{A08B1EE3-9803-4E5E-8D40-63FFB978656F}"/>
    <cellStyle name="Финансовый 7 2 11" xfId="20527" xr:uid="{7B4F08CF-4DDC-4677-9632-1FE8D39A80A1}"/>
    <cellStyle name="Финансовый 7 2 12" xfId="21679" xr:uid="{AF959058-90B2-46BF-B995-B52D600645F7}"/>
    <cellStyle name="Финансовый 7 2 13" xfId="34733" xr:uid="{054D373F-3A50-49BB-8E0D-90D5A5E28CD5}"/>
    <cellStyle name="Финансовый 7 2 2" xfId="4583" xr:uid="{59C2D80E-1206-4371-B1CB-13373BE3D0D6}"/>
    <cellStyle name="Финансовый 7 2 2 2" xfId="7397" xr:uid="{10F34A6B-F6D3-4293-AE8A-26603936EF66}"/>
    <cellStyle name="Финансовый 7 2 2 2 2" xfId="10101" xr:uid="{B34E6879-0D80-442E-B9AC-28CC5140CD60}"/>
    <cellStyle name="Финансовый 7 2 2 2 2 2" xfId="19064" xr:uid="{496BF239-9CB8-440D-99DE-A89D7FD44598}"/>
    <cellStyle name="Финансовый 7 2 2 2 2 3" xfId="20290" xr:uid="{6C362977-8391-4349-8622-89C4B6E51B7E}"/>
    <cellStyle name="Финансовый 7 2 2 2 2 4" xfId="27360" xr:uid="{0D10FC68-D28E-42A3-A75B-5C5E913A925B}"/>
    <cellStyle name="Финансовый 7 2 2 2 2 5" xfId="40479" xr:uid="{530EB4FA-5511-46BD-85A0-4FF044FCF963}"/>
    <cellStyle name="Финансовый 7 2 2 2 3" xfId="18359" xr:uid="{81EE7DAB-4682-4775-9295-1572B7C0A276}"/>
    <cellStyle name="Финансовый 7 2 2 2 4" xfId="19763" xr:uid="{A4C9D0E8-3ADD-421B-AAA7-30AC205B72BF}"/>
    <cellStyle name="Финансовый 7 2 2 2 5" xfId="24956" xr:uid="{4B7B1319-42E7-45BB-9A35-9DC5385824EC}"/>
    <cellStyle name="Финансовый 7 2 2 2 6" xfId="38032" xr:uid="{1A90B942-4D0D-4322-B758-E5CABB25EA55}"/>
    <cellStyle name="Финансовый 7 2 2 3" xfId="9576" xr:uid="{82D7F3FE-19BF-49E6-A29F-4FD11C593E3C}"/>
    <cellStyle name="Финансовый 7 2 2 3 2" xfId="18644" xr:uid="{B895A308-DAF4-46F0-A96C-A40DDBC2C40C}"/>
    <cellStyle name="Финансовый 7 2 2 3 3" xfId="19931" xr:uid="{7508C963-80BB-4788-9756-2D58B647F8D5}"/>
    <cellStyle name="Финансовый 7 2 2 3 4" xfId="26933" xr:uid="{66E998EB-D4D2-42C7-9C5C-C06C7E9546B7}"/>
    <cellStyle name="Финансовый 7 2 2 3 5" xfId="40016" xr:uid="{A4C321E9-FFCF-4142-9F90-BC8AC6E34598}"/>
    <cellStyle name="Финансовый 7 2 2 4" xfId="17950" xr:uid="{E173F792-024D-499F-B383-40C110F215AC}"/>
    <cellStyle name="Финансовый 7 2 2 5" xfId="19404" xr:uid="{52727818-12C5-4765-B89A-763D6F7A93EC}"/>
    <cellStyle name="Финансовый 7 2 2 6" xfId="22397" xr:uid="{DF7251CA-0D60-4E02-A0E3-6D49CFA80700}"/>
    <cellStyle name="Финансовый 7 2 2 7" xfId="35447" xr:uid="{45F80232-3B7B-46C0-8ED4-ACE8304D0ECC}"/>
    <cellStyle name="Финансовый 7 2 3" xfId="5318" xr:uid="{5C3B484F-2003-4305-8E27-D93C2AE9B726}"/>
    <cellStyle name="Финансовый 7 2 3 2" xfId="9750" xr:uid="{362AE553-3CAA-4883-AB62-5A20E92E2A88}"/>
    <cellStyle name="Финансовый 7 2 3 2 2" xfId="18753" xr:uid="{4026DA00-BC7C-453C-BB81-AE6FE4F5A65D}"/>
    <cellStyle name="Финансовый 7 2 3 2 3" xfId="20016" xr:uid="{4867DADD-6458-4AD5-9351-1E6AF55F8959}"/>
    <cellStyle name="Финансовый 7 2 3 2 4" xfId="27047" xr:uid="{EECFA276-9239-4519-90E6-8FC0F4212E3B}"/>
    <cellStyle name="Финансовый 7 2 3 2 5" xfId="40166" xr:uid="{A5B773AC-C6CE-422E-9E82-982A58DBD1D5}"/>
    <cellStyle name="Финансовый 7 2 3 3" xfId="18050" xr:uid="{3C9063C8-D9BD-4545-A89A-8DA58A9C9F8D}"/>
    <cellStyle name="Финансовый 7 2 3 4" xfId="19489" xr:uid="{4EA40EEC-2BB3-4E5B-84A5-1C1C758D1D79}"/>
    <cellStyle name="Финансовый 7 2 3 5" xfId="22966" xr:uid="{1A17CC47-AE78-41CF-BAFD-FE7B5C091D36}"/>
    <cellStyle name="Финансовый 7 2 3 6" xfId="36047" xr:uid="{13D2295C-CF1C-4DFF-B78B-B189389864B8}"/>
    <cellStyle name="Финансовый 7 2 4" xfId="5770" xr:uid="{2458E842-E148-4200-8196-5EBA22BC4D56}"/>
    <cellStyle name="Финансовый 7 2 4 2" xfId="9833" xr:uid="{6B98C95D-7464-490A-9CDD-12C0BFDBCA11}"/>
    <cellStyle name="Финансовый 7 2 4 2 2" xfId="18807" xr:uid="{A4326007-13F6-4D72-BF04-E7A6568AF839}"/>
    <cellStyle name="Финансовый 7 2 4 2 3" xfId="20069" xr:uid="{8858A961-99B1-4D78-B87B-6FB96353E0EA}"/>
    <cellStyle name="Финансовый 7 2 4 2 4" xfId="27129" xr:uid="{7BE6D7A9-DB98-47D0-BA07-16EBAF24D571}"/>
    <cellStyle name="Финансовый 7 2 4 2 5" xfId="40248" xr:uid="{E31758D4-FFFB-4D6B-A760-B6C1193E57F2}"/>
    <cellStyle name="Финансовый 7 2 4 3" xfId="18103" xr:uid="{0B73D159-206C-4AFB-A0A4-EE555B8096C0}"/>
    <cellStyle name="Финансовый 7 2 4 4" xfId="19542" xr:uid="{361B063C-F997-4E37-80D3-26659BE64BB1}"/>
    <cellStyle name="Финансовый 7 2 4 5" xfId="23417" xr:uid="{57DFCA08-0A20-4F9B-B5C6-C4024D6E81D0}"/>
    <cellStyle name="Финансовый 7 2 4 6" xfId="36498" xr:uid="{E8E828F4-4F39-4D84-B2F9-797663F0F198}"/>
    <cellStyle name="Финансовый 7 2 5" xfId="5999" xr:uid="{2D4825FA-4F19-4822-B20B-CD616EEEA861}"/>
    <cellStyle name="Финансовый 7 2 5 2" xfId="9918" xr:uid="{5D7B688F-6704-4558-A853-D55276A0A08C}"/>
    <cellStyle name="Финансовый 7 2 5 2 2" xfId="18882" xr:uid="{01AE52E3-F68C-4EC4-B478-E3A83A9BA23A}"/>
    <cellStyle name="Финансовый 7 2 5 2 3" xfId="20144" xr:uid="{87EAB09D-A85D-4B16-BABE-7632ACD6206A}"/>
    <cellStyle name="Финансовый 7 2 5 2 4" xfId="27214" xr:uid="{86F4B53C-2DE1-4350-BDC9-970DF2D7CCB7}"/>
    <cellStyle name="Финансовый 7 2 5 2 5" xfId="40333" xr:uid="{9AC5BF70-0E3E-4356-BF16-4AFC928E4E7B}"/>
    <cellStyle name="Финансовый 7 2 5 3" xfId="18178" xr:uid="{E66BF57E-0CE6-4FC1-BD43-ECF08D7C7527}"/>
    <cellStyle name="Финансовый 7 2 5 4" xfId="19617" xr:uid="{E273F7E0-3F7B-46CE-916B-AE01B790E3A8}"/>
    <cellStyle name="Финансовый 7 2 5 5" xfId="23645" xr:uid="{BACA977F-F2C2-40EF-96D4-4A82D519CDA3}"/>
    <cellStyle name="Финансовый 7 2 5 6" xfId="36726" xr:uid="{8529F616-D116-44C1-8678-85933CEF9507}"/>
    <cellStyle name="Финансовый 7 2 6" xfId="6074" xr:uid="{252468D0-532B-4CBE-8BBC-B38AAD3A2EB8}"/>
    <cellStyle name="Финансовый 7 2 6 2" xfId="9993" xr:uid="{236B60D3-6872-437E-A951-457E8ED4D00C}"/>
    <cellStyle name="Финансовый 7 2 6 2 2" xfId="18957" xr:uid="{F076746E-3AE5-4BD5-ACB0-4E7AC78910A8}"/>
    <cellStyle name="Финансовый 7 2 6 2 3" xfId="20219" xr:uid="{C4419F14-FD9B-4312-9FDC-EF444722DA2C}"/>
    <cellStyle name="Финансовый 7 2 6 2 4" xfId="27289" xr:uid="{C3DE5194-DA77-4B4E-8BB3-98F037391818}"/>
    <cellStyle name="Финансовый 7 2 6 2 5" xfId="40408" xr:uid="{0922B562-1C16-4150-A5C8-11DD6F87D744}"/>
    <cellStyle name="Финансовый 7 2 6 3" xfId="18253" xr:uid="{FE1272F8-BC0A-476E-BB64-1EAC7D94BC40}"/>
    <cellStyle name="Финансовый 7 2 6 4" xfId="19692" xr:uid="{C9240262-5CE8-484E-9048-4EEA341740A3}"/>
    <cellStyle name="Финансовый 7 2 6 5" xfId="23720" xr:uid="{10C18C42-C5C8-4CDB-A92C-2AD2E8583506}"/>
    <cellStyle name="Финансовый 7 2 6 6" xfId="36801" xr:uid="{9584A3DC-62E1-4875-B299-71DE5B69384D}"/>
    <cellStyle name="Финансовый 7 2 7" xfId="9475" xr:uid="{ECB63D64-BAF7-4670-91C7-6DFBBE312DE6}"/>
    <cellStyle name="Финансовый 7 2 7 2" xfId="18543" xr:uid="{7E86E63D-DCF4-4EBF-900E-1C2CD6B11F94}"/>
    <cellStyle name="Финансовый 7 2 7 3" xfId="19847" xr:uid="{AFD9B326-8535-4443-B2F4-7CE7C73829F2}"/>
    <cellStyle name="Финансовый 7 2 7 4" xfId="26849" xr:uid="{70730985-C3B9-49A0-AA39-9366FDA1D498}"/>
    <cellStyle name="Финансовый 7 2 7 5" xfId="39932" xr:uid="{A9450946-9EB9-4214-BC82-BF26AC1E1D08}"/>
    <cellStyle name="Финансовый 7 2 8" xfId="17774" xr:uid="{05F7BD96-BD33-46B5-A106-45BDC7D921E8}"/>
    <cellStyle name="Финансовый 7 2 8 2" xfId="19241" xr:uid="{086A7BC6-1A7F-4F5E-940D-FF9066C4FCFD}"/>
    <cellStyle name="Финансовый 7 2 8 3" xfId="20396" xr:uid="{5633D768-D762-44CB-936F-7748ADA7DFCB}"/>
    <cellStyle name="Финансовый 7 2 8 4" xfId="33496" xr:uid="{93860FB7-2FA4-45A4-8468-E3A8E89D7998}"/>
    <cellStyle name="Финансовый 7 2 8 5" xfId="47275" xr:uid="{8B274C4B-C8B7-4853-B5C0-2D9D436BD188}"/>
    <cellStyle name="Финансовый 7 2 9" xfId="17864" xr:uid="{2F8D499F-8681-43C5-B679-5212D4E30D68}"/>
    <cellStyle name="Финансовый 7 3" xfId="4012" xr:uid="{FFD69888-B5FC-4703-8AF7-7D7694D9DF80}"/>
    <cellStyle name="Финансовый 7 3 10" xfId="34904" xr:uid="{56A45530-0F74-4168-90FB-545B480A90BA}"/>
    <cellStyle name="Финансовый 7 3 2" xfId="4919" xr:uid="{1919E6E9-23BF-4BCD-B1A1-35CD7E726FBB}"/>
    <cellStyle name="Финансовый 7 3 2 2" xfId="7587" xr:uid="{A1A6689B-A6FE-42D0-9249-8BB80724B8D6}"/>
    <cellStyle name="Финансовый 7 3 2 2 2" xfId="10122" xr:uid="{862C3955-5F8A-4254-9D55-E0253A4528F1}"/>
    <cellStyle name="Финансовый 7 3 2 2 2 2" xfId="19085" xr:uid="{F785F8BC-C52B-495F-9CCE-8B5E67C88647}"/>
    <cellStyle name="Финансовый 7 3 2 2 2 3" xfId="20305" xr:uid="{B91402A7-1906-4203-81F1-C93DC32D2E4D}"/>
    <cellStyle name="Финансовый 7 3 2 2 2 4" xfId="27375" xr:uid="{7D86F77F-439F-4C36-8137-AFF3AD0B8C6B}"/>
    <cellStyle name="Финансовый 7 3 2 2 2 5" xfId="40494" xr:uid="{A7DEF6BA-35C7-42C4-844F-03757F577C74}"/>
    <cellStyle name="Финансовый 7 3 2 2 3" xfId="18380" xr:uid="{E4D70108-06C9-45F3-9075-48049EDFFC40}"/>
    <cellStyle name="Финансовый 7 3 2 2 4" xfId="19778" xr:uid="{17C743D6-6404-43D5-839F-5CE613404E28}"/>
    <cellStyle name="Финансовый 7 3 2 2 5" xfId="25115" xr:uid="{F711158C-9FF8-465E-B316-00BFCC6566AE}"/>
    <cellStyle name="Финансовый 7 3 2 2 6" xfId="38191" xr:uid="{D5E2C84D-D743-4BE9-833C-D5A269C51D02}"/>
    <cellStyle name="Финансовый 7 3 2 3" xfId="9620" xr:uid="{260ECE29-0282-4982-8B48-27390C79F40C}"/>
    <cellStyle name="Финансовый 7 3 2 3 2" xfId="18685" xr:uid="{48B2A388-67AD-4353-A7E5-DCAFC6735A89}"/>
    <cellStyle name="Финансовый 7 3 2 3 3" xfId="19959" xr:uid="{2CF3F3E1-CCB7-44FA-A33E-189706E30666}"/>
    <cellStyle name="Финансовый 7 3 2 3 4" xfId="26961" xr:uid="{5C838BA6-7955-4080-AE26-8672D752DE6F}"/>
    <cellStyle name="Финансовый 7 3 2 3 5" xfId="40047" xr:uid="{3866FF51-3F8D-44BB-9974-82BADDA15C96}"/>
    <cellStyle name="Финансовый 7 3 2 4" xfId="17990" xr:uid="{A38B24CE-C7D8-40D0-A8D7-D72A00E151FE}"/>
    <cellStyle name="Финансовый 7 3 2 5" xfId="19432" xr:uid="{B631A404-BD77-4D69-AEB9-701FCAF27D72}"/>
    <cellStyle name="Финансовый 7 3 2 6" xfId="22716" xr:uid="{13DC7FC0-2294-40A0-B02A-CDE0804DCD1B}"/>
    <cellStyle name="Финансовый 7 3 2 7" xfId="35769" xr:uid="{10A2F229-136F-4790-BEB7-0D3873F9E7FE}"/>
    <cellStyle name="Финансовый 7 3 3" xfId="5941" xr:uid="{75F0C269-AEF0-4624-B6C8-EF694DB7C8FB}"/>
    <cellStyle name="Финансовый 7 3 3 2" xfId="9870" xr:uid="{92300C7E-3761-44A3-B07B-4B9697D1E6F9}"/>
    <cellStyle name="Финансовый 7 3 3 2 2" xfId="18834" xr:uid="{69034A9C-6DFC-4E02-BA40-FDEE374231C0}"/>
    <cellStyle name="Финансовый 7 3 3 2 3" xfId="20096" xr:uid="{E447507E-DB75-45DD-A2BF-AA1E2C114606}"/>
    <cellStyle name="Финансовый 7 3 3 2 4" xfId="27166" xr:uid="{84C647A1-E565-49C7-A021-FB4B382FE875}"/>
    <cellStyle name="Финансовый 7 3 3 2 5" xfId="40285" xr:uid="{96E536B2-27D2-479D-A741-812EC2E50B49}"/>
    <cellStyle name="Финансовый 7 3 3 3" xfId="18130" xr:uid="{575F69EF-4D8A-4DD6-B54E-58507E4AFBE7}"/>
    <cellStyle name="Финансовый 7 3 3 4" xfId="19569" xr:uid="{303BE76C-62FA-40F6-993F-004AD4A9C434}"/>
    <cellStyle name="Финансовый 7 3 3 5" xfId="23588" xr:uid="{304D4D4C-BCC0-4EC9-98C9-68496702F632}"/>
    <cellStyle name="Финансовый 7 3 3 6" xfId="36669" xr:uid="{2ECBB496-3C5B-4E5B-B510-4B17E7E70E6A}"/>
    <cellStyle name="Финансовый 7 3 4" xfId="6026" xr:uid="{AD975B92-2F1E-48C2-8FB8-11FCA369131A}"/>
    <cellStyle name="Финансовый 7 3 4 2" xfId="9945" xr:uid="{43B38AEA-B876-4FCA-9135-7091E1C033FF}"/>
    <cellStyle name="Финансовый 7 3 4 2 2" xfId="18909" xr:uid="{E73642DF-4946-47D6-9199-105C3CA793B2}"/>
    <cellStyle name="Финансовый 7 3 4 2 3" xfId="20171" xr:uid="{2E569926-8B2F-4B11-A9ED-80506C9EDE28}"/>
    <cellStyle name="Финансовый 7 3 4 2 4" xfId="27241" xr:uid="{43709B1A-29ED-41C7-B491-3048078D4FB0}"/>
    <cellStyle name="Финансовый 7 3 4 2 5" xfId="40360" xr:uid="{EF629A3C-9CCF-489E-93AD-000C5B02151C}"/>
    <cellStyle name="Финансовый 7 3 4 3" xfId="18205" xr:uid="{7E5C394B-12B0-4879-AB79-D29C31050D01}"/>
    <cellStyle name="Финансовый 7 3 4 4" xfId="19644" xr:uid="{ED332012-089A-414F-88E1-4828781235E7}"/>
    <cellStyle name="Финансовый 7 3 4 5" xfId="23672" xr:uid="{816179D5-25AB-4AF0-AFF5-CB565A60C2D6}"/>
    <cellStyle name="Финансовый 7 3 4 6" xfId="36753" xr:uid="{CF989F96-5684-4FDC-8606-24F024EE0A1F}"/>
    <cellStyle name="Финансовый 7 3 5" xfId="6111" xr:uid="{8C416A10-184B-4190-8496-573FCF40B218}"/>
    <cellStyle name="Финансовый 7 3 5 2" xfId="10020" xr:uid="{AD572B28-D617-4909-A72F-69BF3A28DF14}"/>
    <cellStyle name="Финансовый 7 3 5 2 2" xfId="18984" xr:uid="{2381FD48-BE81-4CA4-B883-8B37180DC814}"/>
    <cellStyle name="Финансовый 7 3 5 2 3" xfId="20246" xr:uid="{4F53F82A-2CFF-433A-AF40-9F7B1C281F44}"/>
    <cellStyle name="Финансовый 7 3 5 2 4" xfId="27316" xr:uid="{547B1D0C-36E7-4A9E-B192-1920D2672698}"/>
    <cellStyle name="Финансовый 7 3 5 2 5" xfId="40435" xr:uid="{4737D62D-948A-42AC-B3F7-1D8CF6CB57AF}"/>
    <cellStyle name="Финансовый 7 3 5 3" xfId="18280" xr:uid="{CB53646F-CDC1-4CF9-82C7-E5FED6E3CF88}"/>
    <cellStyle name="Финансовый 7 3 5 4" xfId="19719" xr:uid="{5FE37E11-539A-4466-9400-F1119A05573D}"/>
    <cellStyle name="Финансовый 7 3 5 5" xfId="23757" xr:uid="{B95F2801-B0E5-4C2D-A1E9-698F107684E6}"/>
    <cellStyle name="Финансовый 7 3 5 6" xfId="36838" xr:uid="{A0843B5D-53C0-48B4-9618-F14E88814CFB}"/>
    <cellStyle name="Финансовый 7 3 6" xfId="9508" xr:uid="{388E9AC0-DCB6-4B4D-8230-603B36FCDBA7}"/>
    <cellStyle name="Финансовый 7 3 6 2" xfId="18576" xr:uid="{612DDEEC-6F49-410A-9EF4-9E4160484535}"/>
    <cellStyle name="Финансовый 7 3 6 3" xfId="19874" xr:uid="{75116D65-FC71-4F5C-80F8-DC90EEF4973D}"/>
    <cellStyle name="Финансовый 7 3 6 4" xfId="26876" xr:uid="{B5848FA0-5E63-443B-8668-61964EE2D9FC}"/>
    <cellStyle name="Финансовый 7 3 6 5" xfId="39959" xr:uid="{B5E8AD18-1E70-41C9-9D0F-8408541466B5}"/>
    <cellStyle name="Финансовый 7 3 7" xfId="17891" xr:uid="{B53019E2-3404-4B3D-B6C5-C24CFC3C1E44}"/>
    <cellStyle name="Финансовый 7 3 8" xfId="19347" xr:uid="{EEBC6BE7-943D-446C-A16C-0C8C0C78ECDD}"/>
    <cellStyle name="Финансовый 7 3 9" xfId="21855" xr:uid="{CE770A51-7EC0-4A5D-A231-C6B128B9AE4D}"/>
    <cellStyle name="Финансовый 7 4" xfId="5059" xr:uid="{846FD1BF-607E-43DA-B551-765B4796B71E}"/>
    <cellStyle name="Финансовый 7 4 2" xfId="9648" xr:uid="{6BADB803-F696-47CE-8081-D162B3894DF2}"/>
    <cellStyle name="Финансовый 7 4 2 2" xfId="18701" xr:uid="{8B6F58A1-96DC-43D2-BEFB-EF2E90215EDF}"/>
    <cellStyle name="Финансовый 7 4 2 3" xfId="19968" xr:uid="{D103258A-BF39-4745-882F-76A55C4250FE}"/>
    <cellStyle name="Финансовый 7 4 2 4" xfId="26970" xr:uid="{DA9DEE33-E583-442A-96DB-C741B3881148}"/>
    <cellStyle name="Финансовый 7 4 2 5" xfId="40068" xr:uid="{25374008-57BB-4CA6-A064-637F0B7D71DE}"/>
    <cellStyle name="Финансовый 7 4 3" xfId="18000" xr:uid="{47AD049C-FA64-454B-885C-DFF56E0146A8}"/>
    <cellStyle name="Финансовый 7 4 4" xfId="19441" xr:uid="{8C89A393-3729-4087-B846-D2E8BF815EF0}"/>
    <cellStyle name="Финансовый 7 4 5" xfId="22808" xr:uid="{6D8CD8DA-46B2-4154-995A-1EB2356B95B5}"/>
    <cellStyle name="Финансовый 7 4 6" xfId="35873" xr:uid="{74100D38-A0F7-44A7-8024-3D3A0B0EBFCD}"/>
    <cellStyle name="Финансовый 7 5" xfId="10525" xr:uid="{1022AD34-B0F2-446D-8152-F83272E5CDBD}"/>
    <cellStyle name="Финансовый 7 6" xfId="17689" xr:uid="{E792EE65-03EB-4DE7-8527-278C86BE2A10}"/>
    <cellStyle name="Финансовый 7 6 2" xfId="19196" xr:uid="{95B53A5B-5615-4DD8-A1F2-3117AB42A19B}"/>
    <cellStyle name="Финансовый 7 6 3" xfId="20351" xr:uid="{02712381-429D-4BEC-AD11-C253DA935C16}"/>
    <cellStyle name="Финансовый 7 6 4" xfId="33412" xr:uid="{E31C1E89-E928-4683-A27C-C4A03980D789}"/>
    <cellStyle name="Финансовый 7 6 5" xfId="47201" xr:uid="{41309A80-A3DB-411D-8047-5CA6322BCF1E}"/>
    <cellStyle name="Финансовый 7 7" xfId="20443" xr:uid="{D7674B09-D2C1-4EF9-9315-AF0F0F20D0B3}"/>
    <cellStyle name="Финансовый 8" xfId="2458" xr:uid="{A1082518-9D45-44A8-A057-5D1EA2E5EC00}"/>
    <cellStyle name="Финансовый 8 2" xfId="3781" xr:uid="{6361B48F-7E98-4363-9484-22D47DF0572E}"/>
    <cellStyle name="Финансовый 8 3" xfId="10526" xr:uid="{34DC7356-269C-40E0-BFED-5DBB906E542A}"/>
    <cellStyle name="Финансовый 9" xfId="2459" xr:uid="{5A24FB15-F6CB-46DD-BB95-E18C8E6410B1}"/>
    <cellStyle name="Финансовый 9 2" xfId="3784" xr:uid="{378BF482-0D3F-47F7-A884-B9A25BCE6EF3}"/>
    <cellStyle name="Финансовый 9 2 10" xfId="19322" xr:uid="{102D85B4-5D4C-44BD-A5F9-4E4C50980DF4}"/>
    <cellStyle name="Финансовый 9 2 11" xfId="20529" xr:uid="{FF2ED027-BAA6-4F6A-9261-DEA88228168C}"/>
    <cellStyle name="Финансовый 9 2 12" xfId="21681" xr:uid="{7AE9D93D-375E-41BC-AFCA-509038D9CD4C}"/>
    <cellStyle name="Финансовый 9 2 13" xfId="34735" xr:uid="{247AB83A-0F14-465D-AF98-9E3C4BFF4898}"/>
    <cellStyle name="Финансовый 9 2 2" xfId="4585" xr:uid="{0F6B7FDD-30CE-40D7-B22E-E552C6B85B4D}"/>
    <cellStyle name="Финансовый 9 2 2 2" xfId="7398" xr:uid="{BB02EDC1-863E-4F99-8174-0414B3E72E17}"/>
    <cellStyle name="Финансовый 9 2 2 2 2" xfId="10102" xr:uid="{97EDA924-7F50-49E8-9C1C-3610F6E7C499}"/>
    <cellStyle name="Финансовый 9 2 2 2 2 2" xfId="19065" xr:uid="{C6A7B0F2-D83C-47D9-BD8A-122D1FE20D8A}"/>
    <cellStyle name="Финансовый 9 2 2 2 2 3" xfId="20291" xr:uid="{A9DD4D5B-905A-49E3-BD0A-D88A94D92701}"/>
    <cellStyle name="Финансовый 9 2 2 2 2 4" xfId="27361" xr:uid="{301D0AA4-A223-4ADC-B40D-64D87C888329}"/>
    <cellStyle name="Финансовый 9 2 2 2 2 5" xfId="40480" xr:uid="{05FE9F4E-F018-41CF-A4C1-8BAD205927CF}"/>
    <cellStyle name="Финансовый 9 2 2 2 3" xfId="18360" xr:uid="{0B45CC50-875E-4239-98B6-852A4BA2959B}"/>
    <cellStyle name="Финансовый 9 2 2 2 4" xfId="19764" xr:uid="{D4EE04CF-9FC3-41BE-87C7-F29ECB1321E2}"/>
    <cellStyle name="Финансовый 9 2 2 2 5" xfId="24957" xr:uid="{6354223B-5ABD-4967-8562-3DCA8D927692}"/>
    <cellStyle name="Финансовый 9 2 2 2 6" xfId="38033" xr:uid="{E74B0DF6-5558-4D3E-935B-D15068B05674}"/>
    <cellStyle name="Финансовый 9 2 2 3" xfId="9578" xr:uid="{5BC51674-27D0-48A5-9D0B-E470B50FC80E}"/>
    <cellStyle name="Финансовый 9 2 2 3 2" xfId="18646" xr:uid="{3ED22302-1E6F-4931-870B-5444C2586C30}"/>
    <cellStyle name="Финансовый 9 2 2 3 3" xfId="19933" xr:uid="{893D70B9-F8B9-4164-BB13-207518A8B55F}"/>
    <cellStyle name="Финансовый 9 2 2 3 4" xfId="26935" xr:uid="{CEF089C7-679B-4B92-AC5B-87605E3A8A95}"/>
    <cellStyle name="Финансовый 9 2 2 3 5" xfId="40018" xr:uid="{A6F5235A-3ED3-4208-B186-BB24ED6310F8}"/>
    <cellStyle name="Финансовый 9 2 2 4" xfId="17952" xr:uid="{B1851B1D-92D4-4946-9C2E-4D1152496C7C}"/>
    <cellStyle name="Финансовый 9 2 2 5" xfId="19406" xr:uid="{D3896777-CB4A-42A6-A1CB-C722D0B5009E}"/>
    <cellStyle name="Финансовый 9 2 2 6" xfId="22399" xr:uid="{A4811C8B-7EA6-44AD-ADEE-038705C25590}"/>
    <cellStyle name="Финансовый 9 2 2 7" xfId="35449" xr:uid="{64B532FF-1A45-4683-93EB-AD1D89012C84}"/>
    <cellStyle name="Финансовый 9 2 3" xfId="5320" xr:uid="{81B9E3F0-B5D3-4EF0-9E90-4BE807933DE5}"/>
    <cellStyle name="Финансовый 9 2 3 2" xfId="9752" xr:uid="{A9FD15DA-4998-49D3-9F71-4B73F86F42E8}"/>
    <cellStyle name="Финансовый 9 2 3 2 2" xfId="18755" xr:uid="{ECCF6FC0-581D-45C1-ACB5-01264BA272CA}"/>
    <cellStyle name="Финансовый 9 2 3 2 3" xfId="20018" xr:uid="{6B7368A1-8C0A-495F-87CE-2C68ACCE125E}"/>
    <cellStyle name="Финансовый 9 2 3 2 4" xfId="27049" xr:uid="{723A855D-EEE5-4565-B745-8FC6489009DA}"/>
    <cellStyle name="Финансовый 9 2 3 2 5" xfId="40168" xr:uid="{06CF706E-087F-4A06-8B7F-E6117A3B9699}"/>
    <cellStyle name="Финансовый 9 2 3 3" xfId="18052" xr:uid="{6C308E88-5F33-40EC-9E86-7383D66AA359}"/>
    <cellStyle name="Финансовый 9 2 3 4" xfId="19491" xr:uid="{0ED98338-9144-47A8-8B2A-4EAFDCFC5926}"/>
    <cellStyle name="Финансовый 9 2 3 5" xfId="22968" xr:uid="{D0C76601-FA83-4941-B76D-AEEB824AD8A4}"/>
    <cellStyle name="Финансовый 9 2 3 6" xfId="36049" xr:uid="{CDAF57FD-7704-4CEF-B36E-7A0047597EB0}"/>
    <cellStyle name="Финансовый 9 2 4" xfId="5772" xr:uid="{E0DF2CAA-CEF8-42BB-92DC-4941D6DF4F75}"/>
    <cellStyle name="Финансовый 9 2 4 2" xfId="9835" xr:uid="{6E17B0F2-814B-4B43-A37C-90835271AD79}"/>
    <cellStyle name="Финансовый 9 2 4 2 2" xfId="18809" xr:uid="{3230B929-C9AE-44DC-8C2C-EE31CD5D57CA}"/>
    <cellStyle name="Финансовый 9 2 4 2 3" xfId="20071" xr:uid="{E54AAACE-5C85-41AB-AF52-B18DD5DC8B8B}"/>
    <cellStyle name="Финансовый 9 2 4 2 4" xfId="27131" xr:uid="{90E83F8C-5B4D-45A7-9665-404880CA118E}"/>
    <cellStyle name="Финансовый 9 2 4 2 5" xfId="40250" xr:uid="{BD885FCF-D2DE-437C-8097-40E062EEF26D}"/>
    <cellStyle name="Финансовый 9 2 4 3" xfId="18105" xr:uid="{E889147E-97AF-4A44-B037-399BADA7164D}"/>
    <cellStyle name="Финансовый 9 2 4 4" xfId="19544" xr:uid="{1A9BEB83-9955-4AE7-B2CC-ACAA499EBAD7}"/>
    <cellStyle name="Финансовый 9 2 4 5" xfId="23419" xr:uid="{09E540EE-FB1E-4DB1-8A85-81113626D6CF}"/>
    <cellStyle name="Финансовый 9 2 4 6" xfId="36500" xr:uid="{908359AF-A4A2-4394-98F8-FB776570CD14}"/>
    <cellStyle name="Финансовый 9 2 5" xfId="6001" xr:uid="{5EA6552E-DCBE-47F5-A1CB-92133E780F4C}"/>
    <cellStyle name="Финансовый 9 2 5 2" xfId="9920" xr:uid="{E4F5F2AE-47F7-497C-9D00-E436686C95F1}"/>
    <cellStyle name="Финансовый 9 2 5 2 2" xfId="18884" xr:uid="{A77B8D95-4FB7-4785-89CE-9B921BF1C663}"/>
    <cellStyle name="Финансовый 9 2 5 2 3" xfId="20146" xr:uid="{CD729BDA-FD81-4D8C-8306-0954FF69C264}"/>
    <cellStyle name="Финансовый 9 2 5 2 4" xfId="27216" xr:uid="{20F6E5F3-F15A-440E-B032-D9BB9AD33285}"/>
    <cellStyle name="Финансовый 9 2 5 2 5" xfId="40335" xr:uid="{95B827E4-9C3E-4068-8A0C-A3F244C299BF}"/>
    <cellStyle name="Финансовый 9 2 5 3" xfId="18180" xr:uid="{80342EAB-2B16-45E1-9939-E5C1298F84CB}"/>
    <cellStyle name="Финансовый 9 2 5 4" xfId="19619" xr:uid="{1A41305A-F63A-4DD2-9DFF-A145A6FBCAD2}"/>
    <cellStyle name="Финансовый 9 2 5 5" xfId="23647" xr:uid="{3E87870A-D337-4EC8-A0F7-CC6D89A2DC1E}"/>
    <cellStyle name="Финансовый 9 2 5 6" xfId="36728" xr:uid="{5EDB23B2-6D27-4EBF-A462-B7B73880E40B}"/>
    <cellStyle name="Финансовый 9 2 6" xfId="6076" xr:uid="{99CA692C-861C-4B69-B68A-4904CB6627DC}"/>
    <cellStyle name="Финансовый 9 2 6 2" xfId="9995" xr:uid="{FD6B4062-5635-4BE6-BE5A-75395D3523A1}"/>
    <cellStyle name="Финансовый 9 2 6 2 2" xfId="18959" xr:uid="{0208EFAE-1144-46BB-8976-B7BC1B47291D}"/>
    <cellStyle name="Финансовый 9 2 6 2 3" xfId="20221" xr:uid="{4F4A3BFF-E5EA-4BD4-8951-7BDAE181B9D4}"/>
    <cellStyle name="Финансовый 9 2 6 2 4" xfId="27291" xr:uid="{D94E55DA-363B-47F5-B9CF-03CF2CE77E6F}"/>
    <cellStyle name="Финансовый 9 2 6 2 5" xfId="40410" xr:uid="{FDDE7769-4E01-4580-8A32-9DC7AF888096}"/>
    <cellStyle name="Финансовый 9 2 6 3" xfId="18255" xr:uid="{EB678795-5316-4753-AE62-09BDA2D386B6}"/>
    <cellStyle name="Финансовый 9 2 6 4" xfId="19694" xr:uid="{F14B7487-C31F-4FBD-9C69-8C15CA4DF018}"/>
    <cellStyle name="Финансовый 9 2 6 5" xfId="23722" xr:uid="{ADF52E3D-58F2-4B14-876E-493F1AB01104}"/>
    <cellStyle name="Финансовый 9 2 6 6" xfId="36803" xr:uid="{78DE2831-FB6D-4A51-BFE1-8A999EE479AA}"/>
    <cellStyle name="Финансовый 9 2 7" xfId="9477" xr:uid="{57CFCE53-BB67-4094-A472-2D96BBAE1BB4}"/>
    <cellStyle name="Финансовый 9 2 7 2" xfId="18545" xr:uid="{B0FD7DA3-06CB-47A0-855B-CFF98D9B3C5F}"/>
    <cellStyle name="Финансовый 9 2 7 3" xfId="19849" xr:uid="{C7F6F102-CFAF-40AB-8EC1-BFA4D277B09C}"/>
    <cellStyle name="Финансовый 9 2 7 4" xfId="26851" xr:uid="{000AAD28-E72B-488C-A870-CBC51ED293BE}"/>
    <cellStyle name="Финансовый 9 2 7 5" xfId="39934" xr:uid="{1054FDB7-C0EB-41C8-B954-884AF3BE5C77}"/>
    <cellStyle name="Финансовый 9 2 8" xfId="17776" xr:uid="{326A2AAC-8B1A-4DE5-A9B5-324706A2194A}"/>
    <cellStyle name="Финансовый 9 2 8 2" xfId="19243" xr:uid="{98C40690-22D9-4D60-97FA-CCAA95B49952}"/>
    <cellStyle name="Финансовый 9 2 8 3" xfId="20398" xr:uid="{EF21FB8A-631F-44FF-A630-5E5F4B489EBC}"/>
    <cellStyle name="Финансовый 9 2 8 4" xfId="33498" xr:uid="{C2D30215-7B37-4DAD-B5DD-E0CE887034BC}"/>
    <cellStyle name="Финансовый 9 2 8 5" xfId="47277" xr:uid="{9D5EC022-A12D-4B15-81D1-5EAA3C9FB7B0}"/>
    <cellStyle name="Финансовый 9 2 9" xfId="17866" xr:uid="{959C4CD3-3F67-486F-AEF0-07803B48AC2D}"/>
    <cellStyle name="Финансовый 9 3" xfId="4013" xr:uid="{059FD230-6459-45A3-8903-3580AC7182EC}"/>
    <cellStyle name="Финансовый 9 3 10" xfId="34905" xr:uid="{C5D85190-F6A6-49F5-9BE7-8BC2D2E0BD0A}"/>
    <cellStyle name="Финансовый 9 3 2" xfId="4920" xr:uid="{1A422CF1-863E-4DE6-B03A-D526C98B38DF}"/>
    <cellStyle name="Финансовый 9 3 2 2" xfId="7588" xr:uid="{262A30AD-D63B-467F-AE12-5B85B39C4561}"/>
    <cellStyle name="Финансовый 9 3 2 2 2" xfId="10123" xr:uid="{FB24422D-BBAE-4DCB-88BD-56CA5BB4CC24}"/>
    <cellStyle name="Финансовый 9 3 2 2 2 2" xfId="19086" xr:uid="{2B2078DB-C5FB-4EB7-AA50-81AA8BCAAA4D}"/>
    <cellStyle name="Финансовый 9 3 2 2 2 3" xfId="20306" xr:uid="{EA8F5E65-1680-49BB-A7C2-8AA0F7997318}"/>
    <cellStyle name="Финансовый 9 3 2 2 2 4" xfId="27376" xr:uid="{BD3D69D8-3DFA-4D6F-A71D-83DA8A7A1829}"/>
    <cellStyle name="Финансовый 9 3 2 2 2 5" xfId="40495" xr:uid="{B5501F2D-DB5F-495E-86FE-E207C5A1137E}"/>
    <cellStyle name="Финансовый 9 3 2 2 3" xfId="18381" xr:uid="{90727C73-4700-4146-A346-0FB03DCFAFB9}"/>
    <cellStyle name="Финансовый 9 3 2 2 4" xfId="19779" xr:uid="{0208D6B6-9694-4445-82B6-F3DE55AB1C96}"/>
    <cellStyle name="Финансовый 9 3 2 2 5" xfId="25116" xr:uid="{6CF834FA-DE97-408D-86DE-B5B39C864274}"/>
    <cellStyle name="Финансовый 9 3 2 2 6" xfId="38192" xr:uid="{4EC2F766-D421-402B-A713-67445BEC2062}"/>
    <cellStyle name="Финансовый 9 3 2 3" xfId="9621" xr:uid="{42DC28BD-C912-499B-9EBF-9627DA4C0A31}"/>
    <cellStyle name="Финансовый 9 3 2 3 2" xfId="18686" xr:uid="{9E0A1453-D10F-49D3-A6B3-210A9B808A20}"/>
    <cellStyle name="Финансовый 9 3 2 3 3" xfId="19960" xr:uid="{608FE01A-B992-4C8E-BF1C-06834723C1E7}"/>
    <cellStyle name="Финансовый 9 3 2 3 4" xfId="26962" xr:uid="{ABB2717D-799D-474B-A2E1-CFE03CA33439}"/>
    <cellStyle name="Финансовый 9 3 2 3 5" xfId="40048" xr:uid="{9EB552E2-F4E8-48A8-85F6-60DBAEF5EF19}"/>
    <cellStyle name="Финансовый 9 3 2 4" xfId="17991" xr:uid="{D4A73BDE-205B-4E23-A7F9-E82779718AF4}"/>
    <cellStyle name="Финансовый 9 3 2 5" xfId="19433" xr:uid="{6E8648F6-6487-48F8-BF1E-33C70965E06A}"/>
    <cellStyle name="Финансовый 9 3 2 6" xfId="22717" xr:uid="{E84F5A94-F4AA-49B3-A25B-5E40520B2AB3}"/>
    <cellStyle name="Финансовый 9 3 2 7" xfId="35770" xr:uid="{06F611F6-E7D5-431B-8026-EFE901D7C7EF}"/>
    <cellStyle name="Финансовый 9 3 3" xfId="5942" xr:uid="{573F35BB-3E07-4F4C-BD72-7AC79641220B}"/>
    <cellStyle name="Финансовый 9 3 3 2" xfId="9871" xr:uid="{42CDA48C-B79B-4899-B624-62A323DAD62B}"/>
    <cellStyle name="Финансовый 9 3 3 2 2" xfId="18835" xr:uid="{049ABC78-8751-4D4D-B2A1-FE5BC8EC0028}"/>
    <cellStyle name="Финансовый 9 3 3 2 3" xfId="20097" xr:uid="{2F96909C-B916-4307-BBE9-064B542394AC}"/>
    <cellStyle name="Финансовый 9 3 3 2 4" xfId="27167" xr:uid="{08C1190C-0771-45D9-A019-9663795B1F34}"/>
    <cellStyle name="Финансовый 9 3 3 2 5" xfId="40286" xr:uid="{C5138889-6DC5-46F5-90E0-556E331DCE0C}"/>
    <cellStyle name="Финансовый 9 3 3 3" xfId="18131" xr:uid="{A943ACD1-A08B-4311-95F1-4E660C129909}"/>
    <cellStyle name="Финансовый 9 3 3 4" xfId="19570" xr:uid="{44BC9FDD-4CDC-4FCD-9906-D0512D610DCE}"/>
    <cellStyle name="Финансовый 9 3 3 5" xfId="23589" xr:uid="{F3201832-1E16-4C10-9736-412AA8C113FF}"/>
    <cellStyle name="Финансовый 9 3 3 6" xfId="36670" xr:uid="{2987321A-556E-40C2-8961-B18391A7D33B}"/>
    <cellStyle name="Финансовый 9 3 4" xfId="6027" xr:uid="{19EF7B0E-F728-4783-8F5D-3B484F17C42D}"/>
    <cellStyle name="Финансовый 9 3 4 2" xfId="9946" xr:uid="{C31610A4-024C-4D0A-98A7-B829571BE929}"/>
    <cellStyle name="Финансовый 9 3 4 2 2" xfId="18910" xr:uid="{C37ED98C-3CE0-404C-AF4B-2F946166AABF}"/>
    <cellStyle name="Финансовый 9 3 4 2 3" xfId="20172" xr:uid="{CEA13155-C318-45F6-9D93-DE526CE64F87}"/>
    <cellStyle name="Финансовый 9 3 4 2 4" xfId="27242" xr:uid="{72AF180D-810B-49E5-9559-D7205E08BDF0}"/>
    <cellStyle name="Финансовый 9 3 4 2 5" xfId="40361" xr:uid="{CBF6733B-1DD1-4C0D-AA1A-72C7F5CC826B}"/>
    <cellStyle name="Финансовый 9 3 4 3" xfId="18206" xr:uid="{CFF45E11-14B1-4CBC-A039-792BB4D915A9}"/>
    <cellStyle name="Финансовый 9 3 4 4" xfId="19645" xr:uid="{6597989F-B00F-48BB-AC6B-B8A260FC2C9E}"/>
    <cellStyle name="Финансовый 9 3 4 5" xfId="23673" xr:uid="{4F150853-37D5-470E-AD0C-97F703A12BC2}"/>
    <cellStyle name="Финансовый 9 3 4 6" xfId="36754" xr:uid="{CC8D063D-2DA9-4215-B3C2-8CE157A8AC1C}"/>
    <cellStyle name="Финансовый 9 3 5" xfId="6112" xr:uid="{7459B3F6-6D7A-4589-B048-88E36001227D}"/>
    <cellStyle name="Финансовый 9 3 5 2" xfId="10021" xr:uid="{60CCF4F6-A900-4F1D-A13A-050E84345328}"/>
    <cellStyle name="Финансовый 9 3 5 2 2" xfId="18985" xr:uid="{363E6B53-39AE-47E1-A507-B153519EF3D9}"/>
    <cellStyle name="Финансовый 9 3 5 2 3" xfId="20247" xr:uid="{D3230C10-BD71-460F-B042-8BE777829DCC}"/>
    <cellStyle name="Финансовый 9 3 5 2 4" xfId="27317" xr:uid="{6FC5B8BA-CDBC-4032-85B7-EC2A68380C16}"/>
    <cellStyle name="Финансовый 9 3 5 2 5" xfId="40436" xr:uid="{514AB017-C3DC-4931-831B-83EC48B4AC67}"/>
    <cellStyle name="Финансовый 9 3 5 3" xfId="18281" xr:uid="{0FB1C186-240B-4B9E-B8B5-BEF3B3F7BA7A}"/>
    <cellStyle name="Финансовый 9 3 5 4" xfId="19720" xr:uid="{CE7811B2-8EEC-4491-AD44-901FAD8CC84B}"/>
    <cellStyle name="Финансовый 9 3 5 5" xfId="23758" xr:uid="{DC15E95A-EC33-4E50-87BF-70E7EB176B51}"/>
    <cellStyle name="Финансовый 9 3 5 6" xfId="36839" xr:uid="{CAA3D3B5-1E57-45E6-90F5-F5B268E22C9B}"/>
    <cellStyle name="Финансовый 9 3 6" xfId="9509" xr:uid="{46BBAE5C-C2C0-4969-A879-F8664F08EA5D}"/>
    <cellStyle name="Финансовый 9 3 6 2" xfId="18577" xr:uid="{459BDE4D-C798-4925-9659-7A9D3572FE4C}"/>
    <cellStyle name="Финансовый 9 3 6 3" xfId="19875" xr:uid="{5EC609CE-CC94-49D9-B224-E739F4718F0C}"/>
    <cellStyle name="Финансовый 9 3 6 4" xfId="26877" xr:uid="{5A1D85FB-CCF3-49F6-A6E7-929D211E8BA2}"/>
    <cellStyle name="Финансовый 9 3 6 5" xfId="39960" xr:uid="{3DCD1290-A704-4604-BFF3-96DCD0261C4F}"/>
    <cellStyle name="Финансовый 9 3 7" xfId="17892" xr:uid="{F54560D4-74B0-47E3-9320-C1D6E3E4655B}"/>
    <cellStyle name="Финансовый 9 3 8" xfId="19348" xr:uid="{D6C63BC8-18A1-4AB3-A66A-160C70BC9979}"/>
    <cellStyle name="Финансовый 9 3 9" xfId="21856" xr:uid="{A3F3A204-D2DF-4599-BE83-1727D3A32C1C}"/>
    <cellStyle name="Финансовый 9 4" xfId="5061" xr:uid="{D2335AF5-5644-4800-B93F-6A46B422EF8B}"/>
    <cellStyle name="Финансовый 9 4 2" xfId="9649" xr:uid="{B509B992-1772-4250-8C3E-8192C0CEB055}"/>
    <cellStyle name="Финансовый 9 4 2 2" xfId="18702" xr:uid="{75CA7E15-A1A2-44D2-8EB8-337320E1153B}"/>
    <cellStyle name="Финансовый 9 4 2 3" xfId="19969" xr:uid="{E88FCD8E-59AE-4996-BAB4-83E95DBFCF58}"/>
    <cellStyle name="Финансовый 9 4 2 4" xfId="26971" xr:uid="{6D7CDC4C-DDC8-4050-8C14-0F2B13F7C99F}"/>
    <cellStyle name="Финансовый 9 4 2 5" xfId="40069" xr:uid="{F59E08B6-8193-46C4-B667-71DB22E6256F}"/>
    <cellStyle name="Финансовый 9 4 3" xfId="18001" xr:uid="{E4752AF1-AC5A-40E2-8D59-5080AAB584D4}"/>
    <cellStyle name="Финансовый 9 4 4" xfId="19442" xr:uid="{C684C910-2C05-48F6-A54E-190DDE04098D}"/>
    <cellStyle name="Финансовый 9 4 5" xfId="22810" xr:uid="{B7AFD604-9336-49DB-997C-E9DF565F3C20}"/>
    <cellStyle name="Финансовый 9 4 6" xfId="35875" xr:uid="{557B4F7B-987E-48DA-BCF0-E732E04CB341}"/>
    <cellStyle name="Финансовый 9 5" xfId="10527" xr:uid="{2270A58A-4575-4E33-9A79-996B07369396}"/>
    <cellStyle name="Финансовый 9 6" xfId="17691" xr:uid="{FAA90D6B-04CC-4097-8A37-15B29453916C}"/>
    <cellStyle name="Финансовый 9 6 2" xfId="19198" xr:uid="{46822BC3-2DBB-4E73-8D2E-06857EB2E105}"/>
    <cellStyle name="Финансовый 9 6 3" xfId="20353" xr:uid="{4072C402-10DE-4545-BA87-CF968DDA2691}"/>
    <cellStyle name="Финансовый 9 6 4" xfId="33414" xr:uid="{1546A44C-D8F8-4C16-972A-A8277E59A1A2}"/>
    <cellStyle name="Финансовый 9 6 5" xfId="47203" xr:uid="{9E7F5C66-AC5A-43B6-9D61-58061F598165}"/>
    <cellStyle name="Финансовый 9 7" xfId="20445" xr:uid="{48F6B111-98EC-440C-BB14-308A1FD20E02}"/>
    <cellStyle name="Хороший 1" xfId="2460" xr:uid="{666E4FAC-A793-41A3-A43C-37DCDFB6418E}"/>
    <cellStyle name="Хороший 2" xfId="2461" xr:uid="{4A1B626A-3E82-482E-80B1-0CD4A17C38B5}"/>
    <cellStyle name="Хороший 2 2" xfId="10528" xr:uid="{95D04D9D-B7D4-4E70-9088-8C093197B06A}"/>
    <cellStyle name="Хороший 3" xfId="2462" xr:uid="{921770CA-A761-463B-9207-3D2E6AC4DFDB}"/>
    <cellStyle name="Хороший 4" xfId="2463" xr:uid="{4DDBBB41-8394-4A59-B93F-BBF842482AD2}"/>
  </cellStyles>
  <dxfs count="241"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numFmt numFmtId="164" formatCode="0.0%"/>
      <fill>
        <patternFill patternType="none">
          <fgColor indexed="64"/>
          <bgColor indexed="65"/>
        </patternFill>
      </fill>
    </dxf>
    <dxf>
      <numFmt numFmtId="164" formatCode="0.0%"/>
      <fill>
        <patternFill patternType="none">
          <fgColor indexed="64"/>
          <bgColor auto="1"/>
        </patternFill>
      </fill>
    </dxf>
    <dxf>
      <numFmt numFmtId="180" formatCode="#,##0.00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numFmt numFmtId="180" formatCode="#,##0.000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75" formatCode="#,##0.0"/>
      <fill>
        <patternFill patternType="none">
          <fgColor indexed="64"/>
          <bgColor indexed="65"/>
        </patternFill>
      </fill>
    </dxf>
    <dxf>
      <numFmt numFmtId="175" formatCode="#,##0.0"/>
      <fill>
        <patternFill patternType="none">
          <fgColor indexed="64"/>
          <bgColor auto="1"/>
        </patternFill>
      </fill>
    </dxf>
    <dxf>
      <numFmt numFmtId="175" formatCode="#,##0.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numFmt numFmtId="164" formatCode="0.0%"/>
      <fill>
        <patternFill patternType="none">
          <fgColor indexed="64"/>
          <bgColor indexed="65"/>
        </patternFill>
      </fill>
    </dxf>
    <dxf>
      <numFmt numFmtId="164" formatCode="0.0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indexed="65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indexed="65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indexed="65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indexed="65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indexed="65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0" formatCode="General"/>
    </dxf>
    <dxf>
      <numFmt numFmtId="170" formatCode="0.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0" formatCode="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0" formatCode="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22" formatCode="00000000000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22" formatCode="00000000000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border outline="0">
        <left style="thin">
          <color rgb="FF9999FF"/>
        </left>
        <top style="thin">
          <color rgb="FF9999FF"/>
        </top>
        <bottom style="thin">
          <color rgb="FF9999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rgb="FF000000"/>
          <bgColor rgb="FFFFFFFF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24"/>
        </left>
        <right style="thin">
          <color indexed="24"/>
        </right>
        <top/>
        <bottom/>
      </border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3" formatCode="#,##0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3" formatCode="0%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13" formatCode="0%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3" formatCode="#,##0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75" formatCode="#,##0.0"/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175" formatCode="#,##0.0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7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7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7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75" formatCode="#,##0.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7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75" formatCode="#,##0.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3" formatCode="#,##0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3" formatCode="0%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13" formatCode="0%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3" formatCode="#,##0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75" formatCode="#,##0.0"/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175" formatCode="#,##0.0"/>
      <fill>
        <patternFill patternType="none">
          <fgColor indexed="64"/>
          <bgColor indexed="65"/>
        </patternFill>
      </fill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226" formatCode="0.000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226" formatCode="0.000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75" formatCode="#,##0.0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226" formatCode="0.000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75" formatCode="#,##0.0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175" formatCode="#,##0.0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227" formatCode="0&quot; Га&quot;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227" formatCode="0&quot; Га&quot;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charset val="204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charset val="204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border outline="0">
        <left style="thin">
          <color rgb="FFCCC085"/>
        </left>
        <right style="thin">
          <color rgb="FFCCC085"/>
        </right>
        <top style="thin">
          <color rgb="FFCCC085"/>
        </top>
        <bottom style="thin">
          <color rgb="FFCCC085"/>
        </bottom>
      </border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charset val="204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CCC085"/>
        </left>
        <right style="thin">
          <color rgb="FFCCC085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24"/>
        </left>
        <right style="thin">
          <color indexed="2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23" formatCode="[$-F400]h:mm:ss\ AM/PM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23" formatCode="[$-F400]h:mm:ss\ AM/PM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70" formatCode="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0" formatCode="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222" formatCode="00000000000"/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22" formatCode="00000000000"/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family val="2"/>
      </font>
      <fill>
        <patternFill patternType="none">
          <fgColor indexed="64"/>
          <bgColor auto="1"/>
        </patternFill>
      </fill>
    </dxf>
    <dxf>
      <border outline="0">
        <left style="thin">
          <color indexed="24"/>
        </left>
        <top style="thin">
          <color indexed="24"/>
        </top>
        <bottom style="thin">
          <color indexed="2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24"/>
        </left>
        <right style="thin">
          <color indexed="24"/>
        </right>
        <top/>
        <bottom/>
      </border>
    </dxf>
    <dxf>
      <alignment wrapText="1"/>
    </dxf>
    <dxf>
      <alignment vertical="center"/>
    </dxf>
    <dxf>
      <alignment horizontal="center"/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alignment vertical="center"/>
    </dxf>
    <dxf>
      <alignment horizontal="general"/>
    </dxf>
    <dxf>
      <numFmt numFmtId="175" formatCode="#,##0.0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 vertical="center" wrapText="1"/>
    </dxf>
    <dxf>
      <numFmt numFmtId="175" formatCode="#,##0.0"/>
    </dxf>
    <dxf>
      <alignment wrapText="1"/>
    </dxf>
    <dxf>
      <alignment wrapText="1"/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 style="thin">
          <color theme="2" tint="-9.9948118533890809E-2"/>
        </vertical>
        <horizontal style="thin">
          <color theme="2" tint="-9.9948118533890809E-2"/>
        </horizontal>
      </border>
    </dxf>
  </dxfs>
  <tableStyles count="1" defaultTableStyle="TableStyleMedium2" defaultPivotStyle="PivotStyleLight16">
    <tableStyle name="Стиль таблицы 1" pivot="0" count="3" xr9:uid="{0E8AEF72-F12F-4577-B778-C4444079B094}">
      <tableStyleElement type="wholeTable" dxfId="240"/>
      <tableStyleElement type="headerRow" dxfId="239"/>
      <tableStyleElement type="totalRow" dxfId="238"/>
    </tableStyle>
  </tableStyles>
  <colors>
    <mruColors>
      <color rgb="FF9966FF"/>
      <color rgb="FFFFFF66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ysClr val="windowText" lastClr="000000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r>
              <a:rPr lang="ru-RU" sz="1800" b="0">
                <a:solidFill>
                  <a:sysClr val="windowText" lastClr="000000"/>
                </a:solidFill>
                <a:latin typeface="Bahnschrift" panose="020B0502040204020203" pitchFamily="34" charset="0"/>
              </a:rPr>
              <a:t>Статистика</a:t>
            </a:r>
            <a:r>
              <a:rPr lang="ru-RU" sz="1800" b="0" baseline="0">
                <a:solidFill>
                  <a:sysClr val="windowText" lastClr="000000"/>
                </a:solidFill>
                <a:latin typeface="Bahnschrift" panose="020B0502040204020203" pitchFamily="34" charset="0"/>
              </a:rPr>
              <a:t> уборки за 2022-2026 гг.</a:t>
            </a:r>
            <a:endParaRPr lang="ru-RU" sz="1800" b="0">
              <a:solidFill>
                <a:sysClr val="windowText" lastClr="000000"/>
              </a:solidFill>
              <a:latin typeface="Bahnschrift" panose="020B0502040204020203" pitchFamily="34" charset="0"/>
            </a:endParaRPr>
          </a:p>
        </c:rich>
      </c:tx>
      <c:layout>
        <c:manualLayout>
          <c:xMode val="edge"/>
          <c:yMode val="edge"/>
          <c:x val="1.431099993367255E-2"/>
          <c:y val="5.87939502611678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'ОПЕРФАКТ 2026'!$B$81</c:f>
              <c:strCache>
                <c:ptCount val="1"/>
                <c:pt idx="0">
                  <c:v>Агролидер</c:v>
                </c:pt>
              </c:strCache>
            </c:strRef>
          </c:tx>
          <c:spPr>
            <a:solidFill>
              <a:srgbClr val="7030A0">
                <a:alpha val="50000"/>
              </a:srgbClr>
            </a:solidFill>
            <a:ln>
              <a:noFill/>
            </a:ln>
            <a:effectLst/>
          </c:spPr>
          <c:invertIfNegative val="0"/>
          <c:dLbls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3F1-4B51-86BD-52F8E5EF0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2026'!$C$81:$G$81</c:f>
              <c:numCache>
                <c:formatCode>#,##0</c:formatCode>
                <c:ptCount val="5"/>
                <c:pt idx="3">
                  <c:v>1860.64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F1-4B51-86BD-52F8E5EF0AB2}"/>
            </c:ext>
          </c:extLst>
        </c:ser>
        <c:ser>
          <c:idx val="1"/>
          <c:order val="1"/>
          <c:tx>
            <c:strRef>
              <c:f>'ОПЕРФАКТ 2026'!$B$82</c:f>
              <c:strCache>
                <c:ptCount val="1"/>
                <c:pt idx="0">
                  <c:v>Грин Рэй Кубань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1.44404332129963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3F1-4B51-86BD-52F8E5EF0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2026'!$C$82:$G$82</c:f>
              <c:numCache>
                <c:formatCode>#,##0</c:formatCode>
                <c:ptCount val="5"/>
                <c:pt idx="0">
                  <c:v>4513.01</c:v>
                </c:pt>
                <c:pt idx="1">
                  <c:v>4780.1100000000006</c:v>
                </c:pt>
                <c:pt idx="2">
                  <c:v>3886.01</c:v>
                </c:pt>
                <c:pt idx="3">
                  <c:v>2362.94</c:v>
                </c:pt>
                <c:pt idx="4">
                  <c:v>2214.75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F1-4B51-86BD-52F8E5EF0AB2}"/>
            </c:ext>
          </c:extLst>
        </c:ser>
        <c:ser>
          <c:idx val="2"/>
          <c:order val="2"/>
          <c:tx>
            <c:strRef>
              <c:f>'ОПЕРФАКТ 2026'!$B$83</c:f>
              <c:strCache>
                <c:ptCount val="1"/>
                <c:pt idx="0">
                  <c:v>Иррико-Холдинг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3F1-4B51-86BD-52F8E5EF0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2026'!$C$83:$G$83</c:f>
              <c:numCache>
                <c:formatCode>#,##0</c:formatCode>
                <c:ptCount val="5"/>
                <c:pt idx="0">
                  <c:v>3647.23</c:v>
                </c:pt>
                <c:pt idx="1">
                  <c:v>5885.83</c:v>
                </c:pt>
                <c:pt idx="2">
                  <c:v>6304.38</c:v>
                </c:pt>
                <c:pt idx="3">
                  <c:v>13741.16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3F1-4B51-86BD-52F8E5EF0AB2}"/>
            </c:ext>
          </c:extLst>
        </c:ser>
        <c:ser>
          <c:idx val="3"/>
          <c:order val="3"/>
          <c:tx>
            <c:strRef>
              <c:f>'ОПЕРФАКТ 2026'!$B$84</c:f>
              <c:strCache>
                <c:ptCount val="1"/>
                <c:pt idx="0">
                  <c:v>им. Кирова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63F1-4B51-86BD-52F8E5EF0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2026'!$C$84:$G$84</c:f>
              <c:numCache>
                <c:formatCode>#,##0</c:formatCode>
                <c:ptCount val="5"/>
                <c:pt idx="0">
                  <c:v>1823.61</c:v>
                </c:pt>
                <c:pt idx="1">
                  <c:v>1986.5500000000002</c:v>
                </c:pt>
                <c:pt idx="2">
                  <c:v>3497.07</c:v>
                </c:pt>
                <c:pt idx="3">
                  <c:v>4688.0497000000005</c:v>
                </c:pt>
                <c:pt idx="4">
                  <c:v>1765.74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3F1-4B51-86BD-52F8E5EF0AB2}"/>
            </c:ext>
          </c:extLst>
        </c:ser>
        <c:ser>
          <c:idx val="4"/>
          <c:order val="4"/>
          <c:tx>
            <c:strRef>
              <c:f>'ОПЕРФАКТ 2026'!$B$85</c:f>
              <c:strCache>
                <c:ptCount val="1"/>
                <c:pt idx="0">
                  <c:v>Колос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3F1-4B51-86BD-52F8E5EF0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2026'!$C$85:$G$85</c:f>
              <c:numCache>
                <c:formatCode>#,##0</c:formatCode>
                <c:ptCount val="5"/>
                <c:pt idx="0">
                  <c:v>9977.4</c:v>
                </c:pt>
                <c:pt idx="1">
                  <c:v>10250.58</c:v>
                </c:pt>
                <c:pt idx="2">
                  <c:v>7397.2</c:v>
                </c:pt>
                <c:pt idx="3">
                  <c:v>9223.7003000000004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3F1-4B51-86BD-52F8E5EF0AB2}"/>
            </c:ext>
          </c:extLst>
        </c:ser>
        <c:ser>
          <c:idx val="5"/>
          <c:order val="5"/>
          <c:tx>
            <c:strRef>
              <c:f>'ОПЕРФАКТ 2026'!$B$86</c:f>
              <c:strCache>
                <c:ptCount val="1"/>
                <c:pt idx="0">
                  <c:v>Прочие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3F1-4B51-86BD-52F8E5EF0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2026'!$C$86:$G$86</c:f>
              <c:numCache>
                <c:formatCode>#,##0</c:formatCode>
                <c:ptCount val="5"/>
                <c:pt idx="0">
                  <c:v>11780.650000000001</c:v>
                </c:pt>
                <c:pt idx="1">
                  <c:v>649.83000000000175</c:v>
                </c:pt>
                <c:pt idx="2">
                  <c:v>2875.380000000001</c:v>
                </c:pt>
                <c:pt idx="3">
                  <c:v>3223.16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3F1-4B51-86BD-52F8E5EF0AB2}"/>
            </c:ext>
          </c:extLst>
        </c:ser>
        <c:ser>
          <c:idx val="6"/>
          <c:order val="6"/>
          <c:tx>
            <c:strRef>
              <c:f>'ОПЕРФАКТ 2026'!$B$87</c:f>
              <c:strCache>
                <c:ptCount val="1"/>
                <c:pt idx="0">
                  <c:v>План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Pt>
            <c:idx val="4"/>
            <c:invertIfNegative val="0"/>
            <c:bubble3D val="0"/>
            <c:spPr>
              <a:pattFill prst="ltDnDiag">
                <a:fgClr>
                  <a:schemeClr val="bg2">
                    <a:lumMod val="90000"/>
                  </a:schemeClr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3F1-4B51-86BD-52F8E5EF0AB2}"/>
              </c:ext>
            </c:extLst>
          </c:dPt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2026'!$C$87:$G$87</c:f>
              <c:numCache>
                <c:formatCode>#,##0</c:formatCode>
                <c:ptCount val="5"/>
                <c:pt idx="4">
                  <c:v>33212.910000000003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3F1-4B51-86BD-52F8E5EF0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0611480"/>
        <c:axId val="290611840"/>
      </c:barChart>
      <c:catAx>
        <c:axId val="2906114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290611840"/>
        <c:crosses val="autoZero"/>
        <c:auto val="1"/>
        <c:lblAlgn val="ctr"/>
        <c:lblOffset val="100"/>
        <c:noMultiLvlLbl val="0"/>
      </c:catAx>
      <c:valAx>
        <c:axId val="290611840"/>
        <c:scaling>
          <c:orientation val="minMax"/>
        </c:scaling>
        <c:delete val="1"/>
        <c:axPos val="b"/>
        <c:numFmt formatCode="#,##0" sourceLinked="1"/>
        <c:majorTickMark val="none"/>
        <c:minorTickMark val="none"/>
        <c:tickLblPos val="nextTo"/>
        <c:crossAx val="290611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ayout>
        <c:manualLayout>
          <c:xMode val="edge"/>
          <c:yMode val="edge"/>
          <c:x val="1.1521748284138272E-2"/>
          <c:y val="0.78656745406824147"/>
          <c:w val="0.84192976546380904"/>
          <c:h val="0.1934325459317585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 sz="1600" b="1">
                <a:solidFill>
                  <a:sysClr val="windowText" lastClr="000000"/>
                </a:solidFill>
                <a:latin typeface="Bahnschrift" panose="020B0502040204020203" pitchFamily="34" charset="0"/>
              </a:rPr>
              <a:t>Структура площади уборки</a:t>
            </a:r>
          </a:p>
        </c:rich>
      </c:tx>
      <c:layout>
        <c:manualLayout>
          <c:xMode val="edge"/>
          <c:yMode val="edge"/>
          <c:x val="0.25100727792036981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pattFill prst="dkUpDiag">
              <a:fgClr>
                <a:schemeClr val="bg1">
                  <a:lumMod val="85000"/>
                </a:schemeClr>
              </a:fgClr>
              <a:bgClr>
                <a:schemeClr val="bg1"/>
              </a:bgClr>
            </a:pattFill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FA6-41E8-83D2-F7AF2C1A9AA7}"/>
              </c:ext>
            </c:extLst>
          </c:dPt>
          <c:dPt>
            <c:idx val="1"/>
            <c:bubble3D val="0"/>
            <c:spPr>
              <a:pattFill prst="dkUpDiag">
                <a:fgClr>
                  <a:schemeClr val="bg1">
                    <a:lumMod val="85000"/>
                  </a:schemeClr>
                </a:fgClr>
                <a:bgClr>
                  <a:schemeClr val="bg1"/>
                </a:bgClr>
              </a:patt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FA6-41E8-83D2-F7AF2C1A9AA7}"/>
              </c:ext>
            </c:extLst>
          </c:dPt>
          <c:dPt>
            <c:idx val="2"/>
            <c:bubble3D val="0"/>
            <c:spPr>
              <a:pattFill prst="dkUpDiag">
                <a:fgClr>
                  <a:schemeClr val="bg1">
                    <a:lumMod val="85000"/>
                  </a:schemeClr>
                </a:fgClr>
                <a:bgClr>
                  <a:schemeClr val="bg1"/>
                </a:bgClr>
              </a:patt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FA6-41E8-83D2-F7AF2C1A9AA7}"/>
              </c:ext>
            </c:extLst>
          </c:dPt>
          <c:dLbls>
            <c:dLbl>
              <c:idx val="0"/>
              <c:layout>
                <c:manualLayout>
                  <c:x val="0.20109930703106557"/>
                  <c:y val="9.0177866825666836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A6-41E8-83D2-F7AF2C1A9AA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FA6-41E8-83D2-F7AF2C1A9AA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A6-41E8-83D2-F7AF2C1A9AA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'ОПЕРФАКТ 2026'!$B$23:$B$25</c:f>
              <c:strCache>
                <c:ptCount val="3"/>
                <c:pt idx="0">
                  <c:v>Убрали</c:v>
                </c:pt>
                <c:pt idx="1">
                  <c:v>Бросили</c:v>
                </c:pt>
                <c:pt idx="2">
                  <c:v>Осталось</c:v>
                </c:pt>
              </c:strCache>
            </c:strRef>
          </c:cat>
          <c:val>
            <c:numRef>
              <c:f>'ОПЕРФАКТ 2026'!$C$23:$C$25</c:f>
              <c:numCache>
                <c:formatCode>0</c:formatCode>
                <c:ptCount val="3"/>
                <c:pt idx="0" formatCode="0.0">
                  <c:v>208</c:v>
                </c:pt>
                <c:pt idx="1">
                  <c:v>0</c:v>
                </c:pt>
                <c:pt idx="2" formatCode="0.0">
                  <c:v>1956.46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FA6-41E8-83D2-F7AF2C1A9A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139"/>
        <c:holeSize val="6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'ОПЕРФАКТ 2025'!$K$49</c:f>
          <c:strCache>
            <c:ptCount val="1"/>
            <c:pt idx="0">
              <c:v>Площадь уборки, га</c:v>
            </c:pt>
          </c:strCache>
        </c:strRef>
      </c:tx>
      <c:layout>
        <c:manualLayout>
          <c:xMode val="edge"/>
          <c:yMode val="edge"/>
          <c:x val="7.1335618399056139E-2"/>
          <c:y val="2.43484038371887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7.6227670122794938E-2"/>
          <c:y val="0.11799238216199644"/>
          <c:w val="0.61228743570174293"/>
          <c:h val="0.78053399489447384"/>
        </c:manualLayout>
      </c:layout>
      <c:barChart>
        <c:barDir val="bar"/>
        <c:grouping val="stacked"/>
        <c:varyColors val="0"/>
        <c:ser>
          <c:idx val="6"/>
          <c:order val="0"/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8098A6C7-79E6-4A9E-A2AC-0D862EB9B0C2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2609-4156-AB84-DE9316C49AF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88F72587-C056-4825-95E0-CDA711547A87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609-4156-AB84-DE9316C49AFA}"/>
                </c:ext>
              </c:extLst>
            </c:dLbl>
            <c:dLbl>
              <c:idx val="2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C4F-4B44-8D11-F67E606F4853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7AC6597-4FEB-4644-8A03-5B5EA4532864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609-4156-AB84-DE9316C49AFA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0">
                    <a:spAutoFit/>
                  </a:bodyPr>
                  <a:lstStyle/>
                  <a:p>
                    <a:pPr algn="l">
                      <a:defRPr sz="1600" b="1" i="0" u="none" strike="noStrike" kern="1200" baseline="0">
                        <a:solidFill>
                          <a:sysClr val="windowText" lastClr="000000"/>
                        </a:solidFill>
                        <a:latin typeface="Bahnschrift" panose="020B0502040204020203" pitchFamily="34" charset="0"/>
                        <a:ea typeface="+mn-ea"/>
                        <a:cs typeface="+mn-cs"/>
                      </a:defRPr>
                    </a:pPr>
                    <a:fld id="{02439A0C-08E4-4DCF-B070-C79C14F74306}" type="CELLRANGE">
                      <a:rPr lang="ru-RU"/>
                      <a:pPr algn="l">
                        <a:defRPr sz="1600" b="1">
                          <a:solidFill>
                            <a:sysClr val="windowText" lastClr="000000"/>
                          </a:solidFill>
                          <a:latin typeface="Bahnschrift" panose="020B0502040204020203" pitchFamily="34" charset="0"/>
                        </a:defRPr>
                      </a:pPr>
                      <a:t>[ДИАПАЗОН ЯЧЕЕК]</a:t>
                    </a:fld>
                    <a:endParaRPr lang="ru-RU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l">
                    <a:defRPr sz="1600" b="1" i="0" u="none" strike="noStrike" kern="1200" baseline="0">
                      <a:solidFill>
                        <a:sysClr val="windowText" lastClr="000000"/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609-4156-AB84-DE9316C49AF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l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numRef>
              <c:f>'ОПЕРФАКТ 2026'!$O$51:$S$51</c:f>
              <c:numCache>
                <c:formatCode>General</c:formatCod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</c:numCache>
            </c:numRef>
          </c:cat>
          <c:val>
            <c:numRef>
              <c:f>'ОПЕРФАКТ 2026'!$O$68:$S$68</c:f>
              <c:numCache>
                <c:formatCode>00" га"</c:formatCode>
                <c:ptCount val="5"/>
                <c:pt idx="0">
                  <c:v>2015.98</c:v>
                </c:pt>
                <c:pt idx="1">
                  <c:v>1590.2000000000003</c:v>
                </c:pt>
                <c:pt idx="2">
                  <c:v>1836.5</c:v>
                </c:pt>
                <c:pt idx="3">
                  <c:v>2197</c:v>
                </c:pt>
                <c:pt idx="4">
                  <c:v>208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'ОПЕРФАКТ 2026'!$O$68:$S$68</c15:f>
                <c15:dlblRangeCache>
                  <c:ptCount val="5"/>
                  <c:pt idx="0">
                    <c:v>2016 га</c:v>
                  </c:pt>
                  <c:pt idx="1">
                    <c:v>1590 га</c:v>
                  </c:pt>
                  <c:pt idx="2">
                    <c:v>1837 га</c:v>
                  </c:pt>
                  <c:pt idx="3">
                    <c:v>2197 га</c:v>
                  </c:pt>
                  <c:pt idx="4">
                    <c:v>208 га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2609-4156-AB84-DE9316C49AF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45"/>
        <c:overlap val="100"/>
        <c:axId val="620439392"/>
        <c:axId val="620441912"/>
      </c:barChart>
      <c:catAx>
        <c:axId val="620439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20441912"/>
        <c:crosses val="autoZero"/>
        <c:auto val="1"/>
        <c:lblAlgn val="ctr"/>
        <c:lblOffset val="100"/>
        <c:noMultiLvlLbl val="0"/>
      </c:catAx>
      <c:valAx>
        <c:axId val="620441912"/>
        <c:scaling>
          <c:orientation val="minMax"/>
        </c:scaling>
        <c:delete val="1"/>
        <c:axPos val="b"/>
        <c:numFmt formatCode="00&quot; га&quot;" sourceLinked="1"/>
        <c:majorTickMark val="none"/>
        <c:minorTickMark val="none"/>
        <c:tickLblPos val="nextTo"/>
        <c:crossAx val="620439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'ОПЕРФАКТ 2025'!$C$49</c:f>
          <c:strCache>
            <c:ptCount val="1"/>
            <c:pt idx="0">
              <c:v>Вал, т</c:v>
            </c:pt>
          </c:strCache>
        </c:strRef>
      </c:tx>
      <c:layout>
        <c:manualLayout>
          <c:xMode val="edge"/>
          <c:yMode val="edge"/>
          <c:x val="6.1969876995461803E-2"/>
          <c:y val="2.78347936287463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6.6771405347381227E-2"/>
          <c:y val="0.11799238216199644"/>
          <c:w val="0.48305181710442219"/>
          <c:h val="0.78053399489447384"/>
        </c:manualLayout>
      </c:layout>
      <c:barChart>
        <c:barDir val="bar"/>
        <c:grouping val="stacked"/>
        <c:varyColors val="0"/>
        <c:ser>
          <c:idx val="6"/>
          <c:order val="0"/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6A33CBA8-DD0B-49C8-90FB-93608AF23436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B48-4B94-8D21-D66E1D54AD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F9B6717-A7CC-4AA0-BBD8-39A15D860714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B48-4B94-8D21-D66E1D54ADD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1861E63-18A2-4CFF-8CEB-6AA1B238EBAF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9B48-4B94-8D21-D66E1D54AD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6ED2AB3-66DF-46E3-B9DD-04A13CDDE576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9B48-4B94-8D21-D66E1D54ADD1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1" i="0" u="none" strike="noStrike" kern="1200" baseline="0">
                        <a:solidFill>
                          <a:sysClr val="windowText" lastClr="000000"/>
                        </a:solidFill>
                        <a:latin typeface="Bahnschrift" panose="020B0502040204020203" pitchFamily="34" charset="0"/>
                        <a:ea typeface="+mn-ea"/>
                        <a:cs typeface="+mn-cs"/>
                      </a:defRPr>
                    </a:pPr>
                    <a:fld id="{0613CB38-14B0-4D03-97C8-531A67B34D65}" type="CELLRANGE">
                      <a:rPr lang="ru-RU"/>
                      <a:pPr>
                        <a:defRPr sz="1400" b="1">
                          <a:solidFill>
                            <a:sysClr val="windowText" lastClr="000000"/>
                          </a:solidFill>
                          <a:latin typeface="Bahnschrift" panose="020B0502040204020203" pitchFamily="34" charset="0"/>
                        </a:defRPr>
                      </a:pPr>
                      <a:t>[ДИАПАЗОН ЯЧЕЕК]</a:t>
                    </a:fld>
                    <a:endParaRPr lang="ru-RU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ysClr val="windowText" lastClr="000000"/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B48-4B94-8D21-D66E1D54ADD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numRef>
              <c:f>'ОПЕРФАКТ 2026'!$F$51:$J$51</c:f>
              <c:numCache>
                <c:formatCode>General</c:formatCod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</c:numCache>
            </c:numRef>
          </c:cat>
          <c:val>
            <c:numRef>
              <c:f>'ОПЕРФАКТ 2026'!$F$68:$J$68</c:f>
              <c:numCache>
                <c:formatCode>##\ ###" т"</c:formatCode>
                <c:ptCount val="5"/>
                <c:pt idx="0">
                  <c:v>31741.9</c:v>
                </c:pt>
                <c:pt idx="1">
                  <c:v>23552.9</c:v>
                </c:pt>
                <c:pt idx="2">
                  <c:v>23960.04</c:v>
                </c:pt>
                <c:pt idx="3">
                  <c:v>35099.65</c:v>
                </c:pt>
                <c:pt idx="4">
                  <c:v>3980.49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'ОПЕРФАКТ 2026'!$F$68:$J$68</c15:f>
                <c15:dlblRangeCache>
                  <c:ptCount val="5"/>
                  <c:pt idx="0">
                    <c:v>31 742 т</c:v>
                  </c:pt>
                  <c:pt idx="1">
                    <c:v>23 553 т</c:v>
                  </c:pt>
                  <c:pt idx="2">
                    <c:v>23 960 т</c:v>
                  </c:pt>
                  <c:pt idx="3">
                    <c:v>35 100 т</c:v>
                  </c:pt>
                  <c:pt idx="4">
                    <c:v>3 980 т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9B48-4B94-8D21-D66E1D54ADD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45"/>
        <c:overlap val="100"/>
        <c:axId val="620439392"/>
        <c:axId val="620441912"/>
      </c:barChart>
      <c:catAx>
        <c:axId val="620439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20441912"/>
        <c:crosses val="autoZero"/>
        <c:auto val="1"/>
        <c:lblAlgn val="ctr"/>
        <c:lblOffset val="100"/>
        <c:noMultiLvlLbl val="0"/>
      </c:catAx>
      <c:valAx>
        <c:axId val="620441912"/>
        <c:scaling>
          <c:orientation val="minMax"/>
        </c:scaling>
        <c:delete val="1"/>
        <c:axPos val="b"/>
        <c:numFmt formatCode="##\ ###&quot; т&quot;" sourceLinked="1"/>
        <c:majorTickMark val="none"/>
        <c:minorTickMark val="none"/>
        <c:tickLblPos val="nextTo"/>
        <c:crossAx val="620439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'ОПЕРФАКТ 2025'!$S$49</c:f>
          <c:strCache>
            <c:ptCount val="1"/>
            <c:pt idx="0">
              <c:v>Урожайность, т/га</c:v>
            </c:pt>
          </c:strCache>
        </c:strRef>
      </c:tx>
      <c:layout>
        <c:manualLayout>
          <c:xMode val="edge"/>
          <c:yMode val="edge"/>
          <c:x val="7.0730378560835916E-2"/>
          <c:y val="1.39173621009956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8.2531846639737408E-2"/>
          <c:y val="0.11799238216199644"/>
          <c:w val="0.48620390536289348"/>
          <c:h val="0.78053399489447384"/>
        </c:manualLayout>
      </c:layout>
      <c:barChart>
        <c:barDir val="bar"/>
        <c:grouping val="stacked"/>
        <c:varyColors val="0"/>
        <c:ser>
          <c:idx val="6"/>
          <c:order val="0"/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192B2F4-1EDF-4B65-909B-981B6DEE31A9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742A-4081-8E33-293CCDCDB643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01C57403-4962-4F66-9DD4-4445E5C67199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42A-4081-8E33-293CCDCDB64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2A1A4F81-8A3F-417C-8A9C-66B99055A71B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742A-4081-8E33-293CCDCDB643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6E87B715-6ED5-47BC-9A0F-B604A836EF44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742A-4081-8E33-293CCDCDB643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600" b="1" i="0" u="none" strike="noStrike" kern="1200" baseline="0">
                        <a:solidFill>
                          <a:sysClr val="windowText" lastClr="000000"/>
                        </a:solidFill>
                        <a:latin typeface="Bahnschrift" panose="020B0502040204020203" pitchFamily="34" charset="0"/>
                        <a:ea typeface="+mn-ea"/>
                        <a:cs typeface="+mn-cs"/>
                      </a:defRPr>
                    </a:pPr>
                    <a:fld id="{E78D5BBD-B85D-4FFF-9EDB-087848A558C2}" type="CELLRANGE">
                      <a:rPr lang="ru-RU"/>
                      <a:pPr>
                        <a:defRPr sz="1600" b="1">
                          <a:solidFill>
                            <a:sysClr val="windowText" lastClr="000000"/>
                          </a:solidFill>
                          <a:latin typeface="Bahnschrift" panose="020B0502040204020203" pitchFamily="34" charset="0"/>
                        </a:defRPr>
                      </a:pPr>
                      <a:t>[ДИАПАЗОН ЯЧЕЕК]</a:t>
                    </a:fld>
                    <a:endParaRPr lang="ru-RU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600" b="1" i="0" u="none" strike="noStrike" kern="1200" baseline="0">
                      <a:solidFill>
                        <a:sysClr val="windowText" lastClr="000000"/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42A-4081-8E33-293CCDCDB6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numRef>
              <c:f>'ОПЕРФАКТ 2026'!$X$51:$AB$51</c:f>
              <c:numCache>
                <c:formatCode>General</c:formatCod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</c:numCache>
            </c:numRef>
          </c:cat>
          <c:val>
            <c:numRef>
              <c:f>'ОПЕРФАКТ 2026'!$X$68:$AB$68</c:f>
              <c:numCache>
                <c:formatCode>00.0" т/га"</c:formatCode>
                <c:ptCount val="5"/>
                <c:pt idx="0">
                  <c:v>15.745146281213108</c:v>
                </c:pt>
                <c:pt idx="1">
                  <c:v>14.811281599798766</c:v>
                </c:pt>
                <c:pt idx="2">
                  <c:v>13.046577729376532</c:v>
                </c:pt>
                <c:pt idx="3">
                  <c:v>15.976172052799273</c:v>
                </c:pt>
                <c:pt idx="4">
                  <c:v>19.136971153846154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'ОПЕРФАКТ 2026'!$X$68:$AB$68</c15:f>
                <c15:dlblRangeCache>
                  <c:ptCount val="5"/>
                  <c:pt idx="0">
                    <c:v>15,7 т/га</c:v>
                  </c:pt>
                  <c:pt idx="1">
                    <c:v>14,8 т/га</c:v>
                  </c:pt>
                  <c:pt idx="2">
                    <c:v>13,0 т/га</c:v>
                  </c:pt>
                  <c:pt idx="3">
                    <c:v>16,0 т/га</c:v>
                  </c:pt>
                  <c:pt idx="4">
                    <c:v>19,1 т/га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742A-4081-8E33-293CCDCDB64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45"/>
        <c:overlap val="100"/>
        <c:axId val="620439392"/>
        <c:axId val="620441912"/>
      </c:barChart>
      <c:catAx>
        <c:axId val="620439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20441912"/>
        <c:crosses val="autoZero"/>
        <c:auto val="1"/>
        <c:lblAlgn val="ctr"/>
        <c:lblOffset val="100"/>
        <c:noMultiLvlLbl val="0"/>
      </c:catAx>
      <c:valAx>
        <c:axId val="620441912"/>
        <c:scaling>
          <c:orientation val="minMax"/>
        </c:scaling>
        <c:delete val="1"/>
        <c:axPos val="b"/>
        <c:numFmt formatCode="00.0&quot; т/га&quot;" sourceLinked="1"/>
        <c:majorTickMark val="none"/>
        <c:minorTickMark val="none"/>
        <c:tickLblPos val="nextTo"/>
        <c:crossAx val="620439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ysClr val="windowText" lastClr="000000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r>
              <a:rPr lang="ru-RU" sz="1800">
                <a:solidFill>
                  <a:sysClr val="windowText" lastClr="000000"/>
                </a:solidFill>
                <a:latin typeface="Bahnschrift" panose="020B0502040204020203" pitchFamily="34" charset="0"/>
              </a:rPr>
              <a:t>Валовый сбор в разрезе предприятий</a:t>
            </a:r>
          </a:p>
        </c:rich>
      </c:tx>
      <c:layout>
        <c:manualLayout>
          <c:xMode val="edge"/>
          <c:yMode val="edge"/>
          <c:x val="4.2776255176528749E-2"/>
          <c:y val="3.18349435882292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7.3092218325888761E-2"/>
          <c:y val="4.2251532331987189E-2"/>
          <c:w val="0.91109939784428862"/>
          <c:h val="0.7639840552486741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'ОПЕРФАКТ 2026'!$J$3</c:f>
              <c:strCache>
                <c:ptCount val="1"/>
                <c:pt idx="0">
                  <c:v>План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pattFill prst="pct60">
                <a:fgClr>
                  <a:schemeClr val="bg2">
                    <a:lumMod val="75000"/>
                  </a:schemeClr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B1E-4B17-B0A1-C0B0DB42B4D9}"/>
              </c:ext>
            </c:extLst>
          </c:dPt>
          <c:dPt>
            <c:idx val="1"/>
            <c:invertIfNegative val="0"/>
            <c:bubble3D val="0"/>
            <c:spPr>
              <a:pattFill prst="pct60">
                <a:fgClr>
                  <a:schemeClr val="accent2">
                    <a:lumMod val="20000"/>
                    <a:lumOff val="80000"/>
                  </a:schemeClr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B1E-4B17-B0A1-C0B0DB42B4D9}"/>
              </c:ext>
            </c:extLst>
          </c:dPt>
          <c:dPt>
            <c:idx val="2"/>
            <c:invertIfNegative val="0"/>
            <c:bubble3D val="0"/>
            <c:spPr>
              <a:pattFill prst="pct60">
                <a:fgClr>
                  <a:schemeClr val="accent5">
                    <a:lumMod val="40000"/>
                    <a:lumOff val="60000"/>
                  </a:schemeClr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B1E-4B17-B0A1-C0B0DB42B4D9}"/>
              </c:ext>
            </c:extLst>
          </c:dPt>
          <c:dPt>
            <c:idx val="3"/>
            <c:invertIfNegative val="0"/>
            <c:bubble3D val="0"/>
            <c:spPr>
              <a:pattFill prst="pct60">
                <a:fgClr>
                  <a:srgbClr val="7030A0"/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B1E-4B17-B0A1-C0B0DB42B4D9}"/>
              </c:ext>
            </c:extLst>
          </c:dPt>
          <c:dPt>
            <c:idx val="4"/>
            <c:invertIfNegative val="0"/>
            <c:bubble3D val="0"/>
            <c:spPr>
              <a:pattFill prst="pct60">
                <a:fgClr>
                  <a:schemeClr val="accent4">
                    <a:lumMod val="40000"/>
                    <a:lumOff val="60000"/>
                  </a:schemeClr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AB1E-4B17-B0A1-C0B0DB42B4D9}"/>
              </c:ext>
            </c:extLst>
          </c:dPt>
          <c:cat>
            <c:strRef>
              <c:f>'ОПЕРФАКТ 2026'!$I$4:$I$8</c:f>
              <c:strCache>
                <c:ptCount val="5"/>
                <c:pt idx="0">
                  <c:v>Грин Рэй Кубань</c:v>
                </c:pt>
                <c:pt idx="1">
                  <c:v>им. Кирова</c:v>
                </c:pt>
                <c:pt idx="2">
                  <c:v>Иррико-Холдинг</c:v>
                </c:pt>
                <c:pt idx="3">
                  <c:v>Агролидер</c:v>
                </c:pt>
                <c:pt idx="4">
                  <c:v>Колос</c:v>
                </c:pt>
              </c:strCache>
            </c:strRef>
          </c:cat>
          <c:val>
            <c:numRef>
              <c:f>'ОПЕРФАКТ 2026'!$J$4:$J$8</c:f>
              <c:numCache>
                <c:formatCode>#,##0</c:formatCode>
                <c:ptCount val="5"/>
                <c:pt idx="0">
                  <c:v>4362</c:v>
                </c:pt>
                <c:pt idx="1">
                  <c:v>13392</c:v>
                </c:pt>
                <c:pt idx="2">
                  <c:v>8432.4</c:v>
                </c:pt>
                <c:pt idx="3" formatCode="General">
                  <c:v>3564</c:v>
                </c:pt>
                <c:pt idx="4">
                  <c:v>7443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B1E-4B17-B0A1-C0B0DB42B4D9}"/>
            </c:ext>
          </c:extLst>
        </c:ser>
        <c:ser>
          <c:idx val="1"/>
          <c:order val="1"/>
          <c:tx>
            <c:strRef>
              <c:f>'ОПЕРФАКТ 2026'!$K$3</c:f>
              <c:strCache>
                <c:ptCount val="1"/>
                <c:pt idx="0">
                  <c:v>Факт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AB1E-4B17-B0A1-C0B0DB42B4D9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AB1E-4B17-B0A1-C0B0DB42B4D9}"/>
              </c:ext>
            </c:extLst>
          </c:dPt>
          <c:dPt>
            <c:idx val="3"/>
            <c:invertIfNegative val="0"/>
            <c:bubble3D val="0"/>
            <c:spPr>
              <a:solidFill>
                <a:srgbClr val="9966FF">
                  <a:alpha val="43922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AB1E-4B17-B0A1-C0B0DB42B4D9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AB1E-4B17-B0A1-C0B0DB42B4D9}"/>
              </c:ext>
            </c:extLst>
          </c:dPt>
          <c:dLbls>
            <c:dLbl>
              <c:idx val="0"/>
              <c:layout>
                <c:manualLayout>
                  <c:x val="6.8107528810020966E-3"/>
                  <c:y val="-9.8829454601483836E-3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24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Bahnschrift" panose="020B0502040204020203" pitchFamily="34" charset="0"/>
                        <a:ea typeface="+mn-ea"/>
                        <a:cs typeface="+mn-cs"/>
                      </a:defRPr>
                    </a:pPr>
                    <a:fld id="{A18F5157-086A-4F00-8DF6-EABBBE4A7293}" type="CELLRANGE">
                      <a:rPr lang="en-US"/>
                      <a:pPr>
                        <a:defRPr sz="2400" b="1">
                          <a:latin typeface="Bahnschrift" panose="020B0502040204020203" pitchFamily="34" charset="0"/>
                        </a:defRPr>
                      </a:pPr>
                      <a:t>[ДИАПАЗОН ЯЧЕЕК]</a:t>
                    </a:fld>
                    <a:endParaRPr lang="ru-RU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AB1E-4B17-B0A1-C0B0DB42B4D9}"/>
                </c:ext>
              </c:extLst>
            </c:dLbl>
            <c:dLbl>
              <c:idx val="1"/>
              <c:layout>
                <c:manualLayout>
                  <c:x val="8.1129082032374237E-3"/>
                  <c:y val="-1.0157645666679786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24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Bahnschrift" panose="020B0502040204020203" pitchFamily="34" charset="0"/>
                        <a:ea typeface="+mn-ea"/>
                        <a:cs typeface="+mn-cs"/>
                      </a:defRPr>
                    </a:pPr>
                    <a:fld id="{B1B4B318-F8C0-4679-B1AF-FD891A6AC2D6}" type="CELLRANGE">
                      <a:rPr lang="en-US"/>
                      <a:pPr>
                        <a:defRPr sz="2400" b="1">
                          <a:latin typeface="Bahnschrift" panose="020B0502040204020203" pitchFamily="34" charset="0"/>
                        </a:defRPr>
                      </a:pPr>
                      <a:t>[ДИАПАЗОН ЯЧЕЕК]</a:t>
                    </a:fld>
                    <a:endParaRPr lang="ru-RU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AB1E-4B17-B0A1-C0B0DB42B4D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AB1E-4B17-B0A1-C0B0DB42B4D9}"/>
                </c:ext>
              </c:extLst>
            </c:dLbl>
            <c:dLbl>
              <c:idx val="3"/>
              <c:layout>
                <c:manualLayout>
                  <c:x val="9.531159171215756E-3"/>
                  <c:y val="-2.9982359984739686E-3"/>
                </c:manualLayout>
              </c:layout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12-AB1E-4B17-B0A1-C0B0DB42B4D9}"/>
                </c:ext>
              </c:extLst>
            </c:dLbl>
            <c:dLbl>
              <c:idx val="4"/>
              <c:layout>
                <c:manualLayout>
                  <c:x val="5.3924109458724015E-3"/>
                  <c:y val="0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24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Bahnschrift" panose="020B0502040204020203" pitchFamily="34" charset="0"/>
                        <a:ea typeface="+mn-ea"/>
                        <a:cs typeface="+mn-cs"/>
                      </a:defRPr>
                    </a:pPr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14-AB1E-4B17-B0A1-C0B0DB42B4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'ОПЕРФАКТ 2026'!$I$4:$I$8</c:f>
              <c:strCache>
                <c:ptCount val="5"/>
                <c:pt idx="0">
                  <c:v>Грин Рэй Кубань</c:v>
                </c:pt>
                <c:pt idx="1">
                  <c:v>им. Кирова</c:v>
                </c:pt>
                <c:pt idx="2">
                  <c:v>Иррико-Холдинг</c:v>
                </c:pt>
                <c:pt idx="3">
                  <c:v>Агролидер</c:v>
                </c:pt>
                <c:pt idx="4">
                  <c:v>Колос</c:v>
                </c:pt>
              </c:strCache>
            </c:strRef>
          </c:cat>
          <c:val>
            <c:numRef>
              <c:f>'ОПЕРФАКТ 2026'!$K$4:$K$8</c:f>
              <c:numCache>
                <c:formatCode>#,##0</c:formatCode>
                <c:ptCount val="5"/>
                <c:pt idx="0">
                  <c:v>2214.75</c:v>
                </c:pt>
                <c:pt idx="1">
                  <c:v>1765.74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'ОПЕРФАКТ 2026'!$L$4:$L$8</c15:f>
                <c15:dlblRangeCache>
                  <c:ptCount val="5"/>
                  <c:pt idx="0">
                    <c:v>51%</c:v>
                  </c:pt>
                  <c:pt idx="1">
                    <c:v>13%</c:v>
                  </c:pt>
                  <c:pt idx="2">
                    <c:v>0%</c:v>
                  </c:pt>
                  <c:pt idx="3">
                    <c:v>0%</c:v>
                  </c:pt>
                  <c:pt idx="4">
                    <c:v>0%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8-AB1E-4B17-B0A1-C0B0DB42B4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5"/>
        <c:axId val="713801352"/>
        <c:axId val="713794152"/>
      </c:barChart>
      <c:catAx>
        <c:axId val="713801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3794152"/>
        <c:crosses val="autoZero"/>
        <c:auto val="1"/>
        <c:lblAlgn val="ctr"/>
        <c:lblOffset val="100"/>
        <c:noMultiLvlLbl val="0"/>
      </c:catAx>
      <c:valAx>
        <c:axId val="713794152"/>
        <c:scaling>
          <c:orientation val="minMax"/>
        </c:scaling>
        <c:delete val="1"/>
        <c:axPos val="l"/>
        <c:numFmt formatCode="#,##0" sourceLinked="1"/>
        <c:majorTickMark val="out"/>
        <c:minorTickMark val="none"/>
        <c:tickLblPos val="nextTo"/>
        <c:crossAx val="713801352"/>
        <c:crosses val="autoZero"/>
        <c:crossBetween val="between"/>
      </c:valAx>
      <c:dTable>
        <c:showHorzBorder val="0"/>
        <c:showVertBorder val="0"/>
        <c:showOutline val="0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232628398791542E-2"/>
          <c:y val="0.18200595829195632"/>
          <c:w val="0.93353474320241692"/>
          <c:h val="0.7010526315789473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'ОПЕРФАКТ 2026'!$C$35</c:f>
              <c:strCache>
                <c:ptCount val="1"/>
                <c:pt idx="0">
                  <c:v>факт</c:v>
                </c:pt>
              </c:strCache>
            </c:strRef>
          </c:tx>
          <c:spPr>
            <a:gradFill flip="none" rotWithShape="1">
              <a:gsLst>
                <a:gs pos="0">
                  <a:srgbClr val="FFFF66">
                    <a:tint val="66000"/>
                    <a:satMod val="160000"/>
                  </a:srgbClr>
                </a:gs>
                <a:gs pos="50000">
                  <a:srgbClr val="FFFF66">
                    <a:tint val="44500"/>
                    <a:satMod val="160000"/>
                  </a:srgbClr>
                </a:gs>
                <a:gs pos="100000">
                  <a:srgbClr val="FFFF66">
                    <a:tint val="23500"/>
                    <a:satMod val="160000"/>
                  </a:srgbClr>
                </a:gs>
              </a:gsLst>
              <a:lin ang="27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2026'!$B$36:$B$37</c:f>
              <c:strCache>
                <c:ptCount val="2"/>
                <c:pt idx="0">
                  <c:v>сахарная</c:v>
                </c:pt>
                <c:pt idx="1">
                  <c:v>суперсладкая</c:v>
                </c:pt>
              </c:strCache>
            </c:strRef>
          </c:cat>
          <c:val>
            <c:numRef>
              <c:f>'ОПЕРФАКТ 2026'!$C$36:$C$37</c:f>
              <c:numCache>
                <c:formatCode>#,##0</c:formatCode>
                <c:ptCount val="2"/>
                <c:pt idx="0">
                  <c:v>1765.7399999999998</c:v>
                </c:pt>
                <c:pt idx="1">
                  <c:v>2214.75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01-4A72-A085-C6A26485C19B}"/>
            </c:ext>
          </c:extLst>
        </c:ser>
        <c:ser>
          <c:idx val="1"/>
          <c:order val="1"/>
          <c:tx>
            <c:strRef>
              <c:f>'ОПЕРФАКТ 2026'!$E$35</c:f>
              <c:strCache>
                <c:ptCount val="1"/>
                <c:pt idx="0">
                  <c:v>остаток по плану</c:v>
                </c:pt>
              </c:strCache>
            </c:strRef>
          </c:tx>
          <c:spPr>
            <a:pattFill prst="pct60">
              <a:fgClr>
                <a:schemeClr val="bg1">
                  <a:lumMod val="95000"/>
                </a:schemeClr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2026'!$B$36:$B$37</c:f>
              <c:strCache>
                <c:ptCount val="2"/>
                <c:pt idx="0">
                  <c:v>сахарная</c:v>
                </c:pt>
                <c:pt idx="1">
                  <c:v>суперсладкая</c:v>
                </c:pt>
              </c:strCache>
            </c:strRef>
          </c:cat>
          <c:val>
            <c:numRef>
              <c:f>'ОПЕРФАКТ 2026'!$E$36:$E$37</c:f>
              <c:numCache>
                <c:formatCode>#,##0</c:formatCode>
                <c:ptCount val="2"/>
                <c:pt idx="0">
                  <c:v>26593.260000000002</c:v>
                </c:pt>
                <c:pt idx="1">
                  <c:v>6619.65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001-4A72-A085-C6A26485C19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692456584"/>
        <c:axId val="692460184"/>
      </c:barChart>
      <c:catAx>
        <c:axId val="692456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92460184"/>
        <c:crosses val="autoZero"/>
        <c:auto val="1"/>
        <c:lblAlgn val="ctr"/>
        <c:lblOffset val="100"/>
        <c:noMultiLvlLbl val="0"/>
      </c:catAx>
      <c:valAx>
        <c:axId val="692460184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692456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2287354140973345"/>
          <c:y val="5.8139534883720929E-2"/>
          <c:w val="0.66829522815672138"/>
          <c:h val="9.232558139534884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500">
          <a:latin typeface="Bahnschrift" panose="020B0502040204020203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 sz="1600" b="1">
                <a:solidFill>
                  <a:sysClr val="windowText" lastClr="000000"/>
                </a:solidFill>
                <a:latin typeface="Bahnschrift" panose="020B0502040204020203" pitchFamily="34" charset="0"/>
              </a:rPr>
              <a:t>Структура площади уборки</a:t>
            </a:r>
          </a:p>
        </c:rich>
      </c:tx>
      <c:layout>
        <c:manualLayout>
          <c:xMode val="edge"/>
          <c:yMode val="edge"/>
          <c:x val="0.25100727792036981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FD1-4094-9356-BE04905229C0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FD1-4094-9356-BE04905229C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FD1-4094-9356-BE04905229C0}"/>
              </c:ext>
            </c:extLst>
          </c:dPt>
          <c:dLbls>
            <c:dLbl>
              <c:idx val="0"/>
              <c:layout>
                <c:manualLayout>
                  <c:x val="-0.18220463182842886"/>
                  <c:y val="-7.9643959454956767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FD1-4094-9356-BE04905229C0}"/>
                </c:ext>
              </c:extLst>
            </c:dLbl>
            <c:dLbl>
              <c:idx val="1"/>
              <c:layout>
                <c:manualLayout>
                  <c:x val="0.20787179380355233"/>
                  <c:y val="0.13054644617084335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FD1-4094-9356-BE04905229C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FD1-4094-9356-BE04905229C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'ОПЕРФАКТ 2025'!$B$23:$B$25</c:f>
              <c:strCache>
                <c:ptCount val="3"/>
                <c:pt idx="0">
                  <c:v>Убрали</c:v>
                </c:pt>
                <c:pt idx="1">
                  <c:v>Бросили</c:v>
                </c:pt>
                <c:pt idx="2">
                  <c:v>Осталось</c:v>
                </c:pt>
              </c:strCache>
            </c:strRef>
          </c:cat>
          <c:val>
            <c:numRef>
              <c:f>'ОПЕРФАКТ 2025'!$C$23:$C$25</c:f>
              <c:numCache>
                <c:formatCode>0</c:formatCode>
                <c:ptCount val="3"/>
                <c:pt idx="0">
                  <c:v>1991.0294800483675</c:v>
                </c:pt>
                <c:pt idx="1">
                  <c:v>72</c:v>
                </c:pt>
                <c:pt idx="2">
                  <c:v>205.97051995163247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FD1-4094-9356-BE04905229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139"/>
        <c:holeSize val="6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ysClr val="windowText" lastClr="000000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r>
              <a:rPr lang="ru-RU" sz="1600">
                <a:solidFill>
                  <a:sysClr val="windowText" lastClr="000000"/>
                </a:solidFill>
                <a:latin typeface="Bahnschrift" panose="020B0502040204020203" pitchFamily="34" charset="0"/>
              </a:rPr>
              <a:t>Валовый сбор в разрезе предприятий</a:t>
            </a:r>
          </a:p>
        </c:rich>
      </c:tx>
      <c:layout>
        <c:manualLayout>
          <c:xMode val="edge"/>
          <c:yMode val="edge"/>
          <c:x val="0.26925754241965461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7.3092218325888761E-2"/>
          <c:y val="4.2251532331987189E-2"/>
          <c:w val="0.91109939784428862"/>
          <c:h val="0.7639840552486741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'ОПЕРФАКТ 2025'!$J$3</c:f>
              <c:strCache>
                <c:ptCount val="1"/>
                <c:pt idx="0">
                  <c:v>План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pattFill prst="pct60">
                <a:fgClr>
                  <a:schemeClr val="bg2">
                    <a:lumMod val="75000"/>
                  </a:schemeClr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EEB1-4D52-A22B-B5760B3F9381}"/>
              </c:ext>
            </c:extLst>
          </c:dPt>
          <c:dPt>
            <c:idx val="1"/>
            <c:invertIfNegative val="0"/>
            <c:bubble3D val="0"/>
            <c:spPr>
              <a:pattFill prst="pct60">
                <a:fgClr>
                  <a:schemeClr val="accent2">
                    <a:lumMod val="20000"/>
                    <a:lumOff val="80000"/>
                  </a:schemeClr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C100-4A49-9E28-27D441666263}"/>
              </c:ext>
            </c:extLst>
          </c:dPt>
          <c:dPt>
            <c:idx val="2"/>
            <c:invertIfNegative val="0"/>
            <c:bubble3D val="0"/>
            <c:spPr>
              <a:pattFill prst="pct60">
                <a:fgClr>
                  <a:schemeClr val="accent5">
                    <a:lumMod val="40000"/>
                    <a:lumOff val="60000"/>
                  </a:schemeClr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EEB1-4D52-A22B-B5760B3F9381}"/>
              </c:ext>
            </c:extLst>
          </c:dPt>
          <c:dPt>
            <c:idx val="3"/>
            <c:invertIfNegative val="0"/>
            <c:bubble3D val="0"/>
            <c:spPr>
              <a:pattFill prst="pct60">
                <a:fgClr>
                  <a:srgbClr val="7030A0"/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EEB1-4D52-A22B-B5760B3F9381}"/>
              </c:ext>
            </c:extLst>
          </c:dPt>
          <c:dPt>
            <c:idx val="4"/>
            <c:invertIfNegative val="0"/>
            <c:bubble3D val="0"/>
            <c:spPr>
              <a:pattFill prst="pct60">
                <a:fgClr>
                  <a:schemeClr val="accent4">
                    <a:lumMod val="40000"/>
                    <a:lumOff val="60000"/>
                  </a:schemeClr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EEB1-4D52-A22B-B5760B3F9381}"/>
              </c:ext>
            </c:extLst>
          </c:dPt>
          <c:dPt>
            <c:idx val="5"/>
            <c:invertIfNegative val="0"/>
            <c:bubble3D val="0"/>
            <c:spPr>
              <a:pattFill prst="pct60">
                <a:fgClr>
                  <a:schemeClr val="accent6">
                    <a:lumMod val="60000"/>
                    <a:lumOff val="40000"/>
                  </a:schemeClr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EEB1-4D52-A22B-B5760B3F9381}"/>
              </c:ext>
            </c:extLst>
          </c:dPt>
          <c:cat>
            <c:strRef>
              <c:f>'ОПЕРФАКТ 2025'!$I$4:$I$9</c:f>
              <c:strCache>
                <c:ptCount val="6"/>
                <c:pt idx="0">
                  <c:v>Иррико-Холдинг</c:v>
                </c:pt>
                <c:pt idx="1">
                  <c:v>Грин Рэй Кубань</c:v>
                </c:pt>
                <c:pt idx="2">
                  <c:v>Агролидер</c:v>
                </c:pt>
                <c:pt idx="3">
                  <c:v>Братковский</c:v>
                </c:pt>
                <c:pt idx="4">
                  <c:v>им. Кирова</c:v>
                </c:pt>
                <c:pt idx="5">
                  <c:v>Колос</c:v>
                </c:pt>
              </c:strCache>
            </c:strRef>
          </c:cat>
          <c:val>
            <c:numRef>
              <c:f>'ОПЕРФАКТ 2025'!$J$4:$J$9</c:f>
              <c:numCache>
                <c:formatCode>#,##0</c:formatCode>
                <c:ptCount val="6"/>
                <c:pt idx="0">
                  <c:v>14784</c:v>
                </c:pt>
                <c:pt idx="1">
                  <c:v>3690</c:v>
                </c:pt>
                <c:pt idx="2" formatCode="General">
                  <c:v>2250</c:v>
                </c:pt>
                <c:pt idx="3" formatCode="General">
                  <c:v>4824</c:v>
                </c:pt>
                <c:pt idx="4">
                  <c:v>5049</c:v>
                </c:pt>
                <c:pt idx="5">
                  <c:v>8569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89-4067-A97B-C8816E2AA5D5}"/>
            </c:ext>
          </c:extLst>
        </c:ser>
        <c:ser>
          <c:idx val="1"/>
          <c:order val="1"/>
          <c:tx>
            <c:strRef>
              <c:f>'ОПЕРФАКТ 2025'!$K$3</c:f>
              <c:strCache>
                <c:ptCount val="1"/>
                <c:pt idx="0">
                  <c:v>Факт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E89-4067-A97B-C8816E2AA5D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5E89-4067-A97B-C8816E2AA5D5}"/>
              </c:ext>
            </c:extLst>
          </c:dPt>
          <c:dPt>
            <c:idx val="3"/>
            <c:invertIfNegative val="0"/>
            <c:bubble3D val="0"/>
            <c:spPr>
              <a:solidFill>
                <a:srgbClr val="9966FF">
                  <a:alpha val="43922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5E89-4067-A97B-C8816E2AA5D5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E89-4067-A97B-C8816E2AA5D5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5E89-4067-A97B-C8816E2AA5D5}"/>
              </c:ext>
            </c:extLst>
          </c:dPt>
          <c:dLbls>
            <c:dLbl>
              <c:idx val="0"/>
              <c:layout>
                <c:manualLayout>
                  <c:x val="6.8107528810020966E-3"/>
                  <c:y val="-9.8829454601483836E-3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24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Bahnschrift" panose="020B0502040204020203" pitchFamily="34" charset="0"/>
                        <a:ea typeface="+mn-ea"/>
                        <a:cs typeface="+mn-cs"/>
                      </a:defRPr>
                    </a:pPr>
                    <a:fld id="{77BDFFFB-1150-411A-84E3-3179D87EA085}" type="CELLRANGE">
                      <a:rPr lang="en-US"/>
                      <a:pPr>
                        <a:defRPr sz="2400" b="1">
                          <a:latin typeface="Bahnschrift" panose="020B0502040204020203" pitchFamily="34" charset="0"/>
                        </a:defRPr>
                      </a:pPr>
                      <a:t>[ДИАПАЗОН ЯЧЕЕК]</a:t>
                    </a:fld>
                    <a:endParaRPr lang="ru-RU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E89-4067-A97B-C8816E2AA5D5}"/>
                </c:ext>
              </c:extLst>
            </c:dLbl>
            <c:dLbl>
              <c:idx val="1"/>
              <c:layout>
                <c:manualLayout>
                  <c:x val="8.1129082032374237E-3"/>
                  <c:y val="-1.0157645666679786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24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Bahnschrift" panose="020B0502040204020203" pitchFamily="34" charset="0"/>
                        <a:ea typeface="+mn-ea"/>
                        <a:cs typeface="+mn-cs"/>
                      </a:defRPr>
                    </a:pPr>
                    <a:fld id="{5517A142-D062-4A8C-9853-AD17249D3DDE}" type="CELLRANGE">
                      <a:rPr lang="en-US"/>
                      <a:pPr>
                        <a:defRPr sz="2400" b="1">
                          <a:latin typeface="Bahnschrift" panose="020B0502040204020203" pitchFamily="34" charset="0"/>
                        </a:defRPr>
                      </a:pPr>
                      <a:t>[ДИАПАЗОН ЯЧЕЕК]</a:t>
                    </a:fld>
                    <a:endParaRPr lang="ru-RU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5E89-4067-A97B-C8816E2AA5D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681B842-FC19-4FB3-86B6-8754F624026A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E89-4067-A97B-C8816E2AA5D5}"/>
                </c:ext>
              </c:extLst>
            </c:dLbl>
            <c:dLbl>
              <c:idx val="3"/>
              <c:layout>
                <c:manualLayout>
                  <c:x val="9.531159171215756E-3"/>
                  <c:y val="-2.9982359984739686E-3"/>
                </c:manualLayout>
              </c:layout>
              <c:tx>
                <c:rich>
                  <a:bodyPr/>
                  <a:lstStyle/>
                  <a:p>
                    <a:fld id="{71A22931-4875-4B03-9E45-BCAF1103A845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5E89-4067-A97B-C8816E2AA5D5}"/>
                </c:ext>
              </c:extLst>
            </c:dLbl>
            <c:dLbl>
              <c:idx val="4"/>
              <c:layout>
                <c:manualLayout>
                  <c:x val="5.3924109458724015E-3"/>
                  <c:y val="0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24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Bahnschrift" panose="020B0502040204020203" pitchFamily="34" charset="0"/>
                        <a:ea typeface="+mn-ea"/>
                        <a:cs typeface="+mn-cs"/>
                      </a:defRPr>
                    </a:pPr>
                    <a:fld id="{8D5C2816-F233-43F0-AEE1-783CC14295CF}" type="CELLRANGE">
                      <a:rPr lang="en-US"/>
                      <a:pPr>
                        <a:defRPr sz="2400" b="1">
                          <a:latin typeface="Bahnschrift" panose="020B0502040204020203" pitchFamily="34" charset="0"/>
                        </a:defRPr>
                      </a:pPr>
                      <a:t>[ДИАПАЗОН ЯЧЕЕК]</a:t>
                    </a:fld>
                    <a:endParaRPr lang="ru-RU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5E89-4067-A97B-C8816E2AA5D5}"/>
                </c:ext>
              </c:extLst>
            </c:dLbl>
            <c:dLbl>
              <c:idx val="5"/>
              <c:layout>
                <c:manualLayout>
                  <c:x val="9.4367191552767026E-3"/>
                  <c:y val="2.9416172363019655E-3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24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Bahnschrift" panose="020B0502040204020203" pitchFamily="34" charset="0"/>
                        <a:ea typeface="+mn-ea"/>
                        <a:cs typeface="+mn-cs"/>
                      </a:defRPr>
                    </a:pPr>
                    <a:fld id="{BEC5DAEF-1291-4682-BFD2-A033014F0C09}" type="CELLRANGE">
                      <a:rPr lang="en-US"/>
                      <a:pPr>
                        <a:defRPr sz="2400" b="1">
                          <a:latin typeface="Bahnschrift" panose="020B0502040204020203" pitchFamily="34" charset="0"/>
                        </a:defRPr>
                      </a:pPr>
                      <a:t>[ДИАПАЗОН ЯЧЕЕК]</a:t>
                    </a:fld>
                    <a:endParaRPr lang="ru-RU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5E89-4067-A97B-C8816E2AA5D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'ОПЕРФАКТ 2025'!$I$4:$I$9</c:f>
              <c:strCache>
                <c:ptCount val="6"/>
                <c:pt idx="0">
                  <c:v>Иррико-Холдинг</c:v>
                </c:pt>
                <c:pt idx="1">
                  <c:v>Грин Рэй Кубань</c:v>
                </c:pt>
                <c:pt idx="2">
                  <c:v>Агролидер</c:v>
                </c:pt>
                <c:pt idx="3">
                  <c:v>Братковский</c:v>
                </c:pt>
                <c:pt idx="4">
                  <c:v>им. Кирова</c:v>
                </c:pt>
                <c:pt idx="5">
                  <c:v>Колос</c:v>
                </c:pt>
              </c:strCache>
            </c:strRef>
          </c:cat>
          <c:val>
            <c:numRef>
              <c:f>'ОПЕРФАКТ 2025'!$K$4:$K$9</c:f>
              <c:numCache>
                <c:formatCode>#,##0</c:formatCode>
                <c:ptCount val="6"/>
                <c:pt idx="0">
                  <c:v>13741.16</c:v>
                </c:pt>
                <c:pt idx="1">
                  <c:v>2362.94</c:v>
                </c:pt>
                <c:pt idx="2">
                  <c:v>1860.64</c:v>
                </c:pt>
                <c:pt idx="3">
                  <c:v>3223.16</c:v>
                </c:pt>
                <c:pt idx="4">
                  <c:v>1765.74</c:v>
                </c:pt>
                <c:pt idx="5">
                  <c:v>9223.7003000000004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'ОПЕРФАКТ 2025'!$L$4:$L$9</c15:f>
                <c15:dlblRangeCache>
                  <c:ptCount val="6"/>
                  <c:pt idx="0">
                    <c:v>93%</c:v>
                  </c:pt>
                  <c:pt idx="1">
                    <c:v>64%</c:v>
                  </c:pt>
                  <c:pt idx="2">
                    <c:v>83%</c:v>
                  </c:pt>
                  <c:pt idx="3">
                    <c:v>67%</c:v>
                  </c:pt>
                  <c:pt idx="4">
                    <c:v>35%</c:v>
                  </c:pt>
                  <c:pt idx="5">
                    <c:v>108%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5E89-4067-A97B-C8816E2AA5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5"/>
        <c:axId val="713801352"/>
        <c:axId val="713794152"/>
      </c:barChart>
      <c:catAx>
        <c:axId val="713801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3794152"/>
        <c:crosses val="autoZero"/>
        <c:auto val="1"/>
        <c:lblAlgn val="ctr"/>
        <c:lblOffset val="100"/>
        <c:noMultiLvlLbl val="0"/>
      </c:catAx>
      <c:valAx>
        <c:axId val="713794152"/>
        <c:scaling>
          <c:orientation val="minMax"/>
        </c:scaling>
        <c:delete val="1"/>
        <c:axPos val="l"/>
        <c:numFmt formatCode="#,##0" sourceLinked="1"/>
        <c:majorTickMark val="out"/>
        <c:minorTickMark val="none"/>
        <c:tickLblPos val="nextTo"/>
        <c:crossAx val="713801352"/>
        <c:crosses val="autoZero"/>
        <c:crossBetween val="between"/>
      </c:valAx>
      <c:dTable>
        <c:showHorzBorder val="0"/>
        <c:showVertBorder val="0"/>
        <c:showOutline val="0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ysClr val="windowText" lastClr="000000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r>
              <a:rPr lang="ru-RU" sz="1600">
                <a:solidFill>
                  <a:sysClr val="windowText" lastClr="000000"/>
                </a:solidFill>
                <a:latin typeface="Bahnschrift" panose="020B0502040204020203" pitchFamily="34" charset="0"/>
              </a:rPr>
              <a:t>Статистика уборки за 2023-2025</a:t>
            </a:r>
            <a:r>
              <a:rPr lang="ru-RU" sz="1600" baseline="0">
                <a:solidFill>
                  <a:sysClr val="windowText" lastClr="000000"/>
                </a:solidFill>
                <a:latin typeface="Bahnschrift" panose="020B0502040204020203" pitchFamily="34" charset="0"/>
              </a:rPr>
              <a:t> </a:t>
            </a:r>
            <a:r>
              <a:rPr lang="ru-RU" sz="1600">
                <a:solidFill>
                  <a:sysClr val="windowText" lastClr="000000"/>
                </a:solidFill>
                <a:latin typeface="Bahnschrift" panose="020B0502040204020203" pitchFamily="34" charset="0"/>
              </a:rPr>
              <a:t>гг.</a:t>
            </a:r>
          </a:p>
        </c:rich>
      </c:tx>
      <c:layout>
        <c:manualLayout>
          <c:xMode val="edge"/>
          <c:yMode val="edge"/>
          <c:x val="3.7479244974174368E-2"/>
          <c:y val="0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6519346438193598E-2"/>
          <c:y val="8.6847883165264386E-2"/>
          <c:w val="0.51044568391334588"/>
          <c:h val="0.78053399489447384"/>
        </c:manualLayout>
      </c:layout>
      <c:barChart>
        <c:barDir val="bar"/>
        <c:grouping val="stacked"/>
        <c:varyColors val="0"/>
        <c:ser>
          <c:idx val="2"/>
          <c:order val="0"/>
          <c:tx>
            <c:strRef>
              <c:f>'ОПЕРФАКТ 2025'!$B$83</c:f>
              <c:strCache>
                <c:ptCount val="1"/>
                <c:pt idx="0">
                  <c:v>Иррико-Холдинг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2025'!$C$83:$F$83</c:f>
              <c:numCache>
                <c:formatCode>#,##0</c:formatCode>
                <c:ptCount val="4"/>
                <c:pt idx="0">
                  <c:v>3647.23</c:v>
                </c:pt>
                <c:pt idx="1">
                  <c:v>5885.83</c:v>
                </c:pt>
                <c:pt idx="2">
                  <c:v>6304.38</c:v>
                </c:pt>
                <c:pt idx="3">
                  <c:v>13741.16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03F-45AF-9182-2BE908732E6A}"/>
            </c:ext>
          </c:extLst>
        </c:ser>
        <c:ser>
          <c:idx val="3"/>
          <c:order val="1"/>
          <c:tx>
            <c:strRef>
              <c:f>'ОПЕРФАКТ 2025'!$B$82</c:f>
              <c:strCache>
                <c:ptCount val="1"/>
                <c:pt idx="0">
                  <c:v>Грин Рэй Кубань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-3.4830934489775874E-3"/>
                  <c:y val="-3.303132644183721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ysClr val="windowText" lastClr="000000"/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5-CFBA-405D-8DE4-88718649591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2025'!$C$82:$F$82</c:f>
              <c:numCache>
                <c:formatCode>#,##0</c:formatCode>
                <c:ptCount val="4"/>
                <c:pt idx="0">
                  <c:v>4513.01</c:v>
                </c:pt>
                <c:pt idx="1">
                  <c:v>4780.1100000000006</c:v>
                </c:pt>
                <c:pt idx="2">
                  <c:v>3886.01</c:v>
                </c:pt>
                <c:pt idx="3">
                  <c:v>2362.94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03F-45AF-9182-2BE908732E6A}"/>
            </c:ext>
          </c:extLst>
        </c:ser>
        <c:ser>
          <c:idx val="6"/>
          <c:order val="2"/>
          <c:tx>
            <c:strRef>
              <c:f>'ОПЕРФАКТ 2025'!$B$80</c:f>
              <c:strCache>
                <c:ptCount val="1"/>
                <c:pt idx="0">
                  <c:v>Агролидер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2.1258130026886987E-4"/>
                  <c:y val="1.5836830449161017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ysClr val="windowText" lastClr="000000"/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FBA-405D-8DE4-88718649591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2025'!$C$80:$F$80</c:f>
              <c:numCache>
                <c:formatCode>#,##0</c:formatCode>
                <c:ptCount val="4"/>
                <c:pt idx="3">
                  <c:v>1860.64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3F-45AF-9182-2BE908732E6A}"/>
            </c:ext>
          </c:extLst>
        </c:ser>
        <c:ser>
          <c:idx val="5"/>
          <c:order val="3"/>
          <c:tx>
            <c:strRef>
              <c:f>'ОПЕРФАКТ 2025'!$B$81</c:f>
              <c:strCache>
                <c:ptCount val="1"/>
                <c:pt idx="0">
                  <c:v>Братковский</c:v>
                </c:pt>
              </c:strCache>
            </c:strRef>
          </c:tx>
          <c:spPr>
            <a:solidFill>
              <a:srgbClr val="7030A0">
                <a:alpha val="38000"/>
              </a:srgbClr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2.8376761589901231E-3"/>
                  <c:y val="3.0326398922190417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1400" b="1"/>
                  </a:pPr>
                  <a:endParaRPr lang="ru-RU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9A1-4EFF-8641-F4A9A9DBF0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/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2025'!$C$81:$F$81</c:f>
              <c:numCache>
                <c:formatCode>#,##0</c:formatCode>
                <c:ptCount val="4"/>
                <c:pt idx="3">
                  <c:v>3223.16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3F-45AF-9182-2BE908732E6A}"/>
            </c:ext>
          </c:extLst>
        </c:ser>
        <c:ser>
          <c:idx val="1"/>
          <c:order val="4"/>
          <c:tx>
            <c:strRef>
              <c:f>'ОПЕРФАКТ 2025'!$B$84</c:f>
              <c:strCache>
                <c:ptCount val="1"/>
                <c:pt idx="0">
                  <c:v>им. Кирова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1.3579056854072999E-3"/>
                  <c:y val="5.982051245372038E-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033-472D-9EE5-6E17B9D4FD8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2025'!$C$84:$F$84</c:f>
              <c:numCache>
                <c:formatCode>#,##0</c:formatCode>
                <c:ptCount val="4"/>
                <c:pt idx="0">
                  <c:v>1823.61</c:v>
                </c:pt>
                <c:pt idx="1">
                  <c:v>1986.5500000000002</c:v>
                </c:pt>
                <c:pt idx="2">
                  <c:v>3497.07</c:v>
                </c:pt>
                <c:pt idx="3">
                  <c:v>1765.74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03F-45AF-9182-2BE908732E6A}"/>
            </c:ext>
          </c:extLst>
        </c:ser>
        <c:ser>
          <c:idx val="4"/>
          <c:order val="5"/>
          <c:tx>
            <c:strRef>
              <c:f>'ОПЕРФАКТ 2025'!$B$85</c:f>
              <c:strCache>
                <c:ptCount val="1"/>
                <c:pt idx="0">
                  <c:v>Колос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4.2849635735921409E-3"/>
                  <c:y val="-3.3031326441836906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033-472D-9EE5-6E17B9D4FD8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2025'!$C$85:$F$85</c:f>
              <c:numCache>
                <c:formatCode>#,##0</c:formatCode>
                <c:ptCount val="4"/>
                <c:pt idx="0">
                  <c:v>9977.4</c:v>
                </c:pt>
                <c:pt idx="1">
                  <c:v>10250.58</c:v>
                </c:pt>
                <c:pt idx="2">
                  <c:v>7397.2</c:v>
                </c:pt>
                <c:pt idx="3">
                  <c:v>9223.7003000000004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0E8-45BD-843E-05D6E7F8DF11}"/>
            </c:ext>
          </c:extLst>
        </c:ser>
        <c:ser>
          <c:idx val="0"/>
          <c:order val="6"/>
          <c:tx>
            <c:strRef>
              <c:f>'ОПЕРФАКТ 2025'!$B$86</c:f>
              <c:strCache>
                <c:ptCount val="1"/>
                <c:pt idx="0">
                  <c:v>Прочие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033-472D-9EE5-6E17B9D4FD8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2025'!$C$86:$F$86</c:f>
              <c:numCache>
                <c:formatCode>#,##0</c:formatCode>
                <c:ptCount val="4"/>
                <c:pt idx="0">
                  <c:v>11780.650000000001</c:v>
                </c:pt>
                <c:pt idx="1">
                  <c:v>649.83000000000175</c:v>
                </c:pt>
                <c:pt idx="2">
                  <c:v>2875.380000000001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03F-45AF-9182-2BE908732E6A}"/>
            </c:ext>
          </c:extLst>
        </c:ser>
        <c:ser>
          <c:idx val="7"/>
          <c:order val="7"/>
          <c:tx>
            <c:strRef>
              <c:f>'ОПЕРФАКТ 2025'!$B$87</c:f>
              <c:strCache>
                <c:ptCount val="1"/>
                <c:pt idx="0">
                  <c:v>План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spPr>
              <a:pattFill prst="narVert">
                <a:fgClr>
                  <a:schemeClr val="bg2"/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4033-472D-9EE5-6E17B9D4FD8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2025'!$C$87:$F$87</c:f>
              <c:numCache>
                <c:formatCode>#,##0</c:formatCode>
                <c:ptCount val="4"/>
                <c:pt idx="3">
                  <c:v>6988.6596999999965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03F-45AF-9182-2BE908732E6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45"/>
        <c:overlap val="100"/>
        <c:axId val="620439392"/>
        <c:axId val="620441912"/>
      </c:barChart>
      <c:catAx>
        <c:axId val="6204393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0441912"/>
        <c:crosses val="autoZero"/>
        <c:auto val="1"/>
        <c:lblAlgn val="ctr"/>
        <c:lblOffset val="100"/>
        <c:noMultiLvlLbl val="0"/>
      </c:catAx>
      <c:valAx>
        <c:axId val="620441912"/>
        <c:scaling>
          <c:orientation val="minMax"/>
        </c:scaling>
        <c:delete val="1"/>
        <c:axPos val="b"/>
        <c:numFmt formatCode="#,##0" sourceLinked="1"/>
        <c:majorTickMark val="none"/>
        <c:minorTickMark val="none"/>
        <c:tickLblPos val="nextTo"/>
        <c:crossAx val="620439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7"/>
        <c:delete val="1"/>
      </c:legendEntry>
      <c:layout>
        <c:manualLayout>
          <c:xMode val="edge"/>
          <c:yMode val="edge"/>
          <c:x val="1.4274308046386422E-2"/>
          <c:y val="0.86529637220005029"/>
          <c:w val="0.6448810185902567"/>
          <c:h val="8.8635764250819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'ОПЕРФАКТ 2025'!$K$49</c:f>
          <c:strCache>
            <c:ptCount val="1"/>
            <c:pt idx="0">
              <c:v>Площадь уборки, га</c:v>
            </c:pt>
          </c:strCache>
        </c:strRef>
      </c:tx>
      <c:layout>
        <c:manualLayout>
          <c:xMode val="edge"/>
          <c:yMode val="edge"/>
          <c:x val="7.1335618399056139E-2"/>
          <c:y val="2.43484038371887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7.6227670122794938E-2"/>
          <c:y val="0.11799238216199644"/>
          <c:w val="0.61228743570174293"/>
          <c:h val="0.78053399489447384"/>
        </c:manualLayout>
      </c:layout>
      <c:barChart>
        <c:barDir val="bar"/>
        <c:grouping val="stacked"/>
        <c:varyColors val="0"/>
        <c:ser>
          <c:idx val="6"/>
          <c:order val="0"/>
          <c:tx>
            <c:strRef>
              <c:f>'ОПЕРФАКТ 2025'!$B$86</c:f>
              <c:strCache>
                <c:ptCount val="1"/>
                <c:pt idx="0">
                  <c:v>Прочие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l">
                    <a:defRPr sz="1600" b="1" i="0" u="none" strike="noStrike" kern="1200" baseline="0">
                      <a:solidFill>
                        <a:sysClr val="windowText" lastClr="000000"/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B991-41D3-8987-2655668ABCE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l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2025'!$N$68:$Q$68</c:f>
              <c:numCache>
                <c:formatCode>00" га"</c:formatCode>
                <c:ptCount val="4"/>
                <c:pt idx="0">
                  <c:v>2015.98</c:v>
                </c:pt>
                <c:pt idx="1">
                  <c:v>1590.2000000000003</c:v>
                </c:pt>
                <c:pt idx="2">
                  <c:v>1836.5</c:v>
                </c:pt>
                <c:pt idx="3">
                  <c:v>1991.0294800483675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68-43CA-8876-EDD7C799D2A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45"/>
        <c:overlap val="100"/>
        <c:axId val="620439392"/>
        <c:axId val="620441912"/>
      </c:barChart>
      <c:catAx>
        <c:axId val="620439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20441912"/>
        <c:crosses val="autoZero"/>
        <c:auto val="1"/>
        <c:lblAlgn val="ctr"/>
        <c:lblOffset val="100"/>
        <c:noMultiLvlLbl val="0"/>
      </c:catAx>
      <c:valAx>
        <c:axId val="620441912"/>
        <c:scaling>
          <c:orientation val="minMax"/>
        </c:scaling>
        <c:delete val="1"/>
        <c:axPos val="b"/>
        <c:numFmt formatCode="00&quot; га&quot;" sourceLinked="1"/>
        <c:majorTickMark val="none"/>
        <c:minorTickMark val="none"/>
        <c:tickLblPos val="nextTo"/>
        <c:crossAx val="620439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'ОПЕРФАКТ 2025'!$C$49</c:f>
          <c:strCache>
            <c:ptCount val="1"/>
            <c:pt idx="0">
              <c:v>Вал, т</c:v>
            </c:pt>
          </c:strCache>
        </c:strRef>
      </c:tx>
      <c:layout>
        <c:manualLayout>
          <c:xMode val="edge"/>
          <c:yMode val="edge"/>
          <c:x val="6.1969876995461803E-2"/>
          <c:y val="2.78347936287463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6.6771405347381227E-2"/>
          <c:y val="0.11799238216199644"/>
          <c:w val="0.48305181710442219"/>
          <c:h val="0.78053399489447384"/>
        </c:manualLayout>
      </c:layout>
      <c:barChart>
        <c:barDir val="bar"/>
        <c:grouping val="stacked"/>
        <c:varyColors val="0"/>
        <c:ser>
          <c:idx val="6"/>
          <c:order val="0"/>
          <c:tx>
            <c:strRef>
              <c:f>'ОПЕРФАКТ 2025'!$F$68:$I$68</c:f>
              <c:strCache>
                <c:ptCount val="4"/>
                <c:pt idx="0">
                  <c:v>31 742 т</c:v>
                </c:pt>
                <c:pt idx="1">
                  <c:v>23 553 т</c:v>
                </c:pt>
                <c:pt idx="2">
                  <c:v>23 960 т</c:v>
                </c:pt>
                <c:pt idx="3">
                  <c:v>32 177 т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ysClr val="windowText" lastClr="000000"/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6353-4445-8F2F-4F9592FAE43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2025'!$F$68:$I$68</c:f>
              <c:numCache>
                <c:formatCode>##\ ###" т"</c:formatCode>
                <c:ptCount val="4"/>
                <c:pt idx="0">
                  <c:v>31741.9</c:v>
                </c:pt>
                <c:pt idx="1">
                  <c:v>23552.9</c:v>
                </c:pt>
                <c:pt idx="2">
                  <c:v>23960.04</c:v>
                </c:pt>
                <c:pt idx="3">
                  <c:v>32177.340300000003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EB-4801-9966-D305BB8874E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45"/>
        <c:overlap val="100"/>
        <c:axId val="620439392"/>
        <c:axId val="620441912"/>
      </c:barChart>
      <c:catAx>
        <c:axId val="620439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20441912"/>
        <c:crosses val="autoZero"/>
        <c:auto val="1"/>
        <c:lblAlgn val="ctr"/>
        <c:lblOffset val="100"/>
        <c:noMultiLvlLbl val="0"/>
      </c:catAx>
      <c:valAx>
        <c:axId val="620441912"/>
        <c:scaling>
          <c:orientation val="minMax"/>
        </c:scaling>
        <c:delete val="1"/>
        <c:axPos val="b"/>
        <c:numFmt formatCode="##\ ###&quot; т&quot;" sourceLinked="1"/>
        <c:majorTickMark val="none"/>
        <c:minorTickMark val="none"/>
        <c:tickLblPos val="nextTo"/>
        <c:crossAx val="620439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'ОПЕРФАКТ 2025'!$S$49</c:f>
          <c:strCache>
            <c:ptCount val="1"/>
            <c:pt idx="0">
              <c:v>Урожайность, т/га</c:v>
            </c:pt>
          </c:strCache>
        </c:strRef>
      </c:tx>
      <c:layout>
        <c:manualLayout>
          <c:xMode val="edge"/>
          <c:yMode val="edge"/>
          <c:x val="7.0730378560835916E-2"/>
          <c:y val="1.39173621009956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8.2531846639737408E-2"/>
          <c:y val="0.11799238216199644"/>
          <c:w val="0.48620390536289348"/>
          <c:h val="0.78053399489447384"/>
        </c:manualLayout>
      </c:layout>
      <c:barChart>
        <c:barDir val="bar"/>
        <c:grouping val="stacked"/>
        <c:varyColors val="0"/>
        <c:ser>
          <c:idx val="6"/>
          <c:order val="0"/>
          <c:tx>
            <c:strRef>
              <c:f>'ОПЕРФАКТ 2025'!$B$86</c:f>
              <c:strCache>
                <c:ptCount val="1"/>
                <c:pt idx="0">
                  <c:v>Прочие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600" b="1" i="0" u="none" strike="noStrike" kern="1200" baseline="0">
                      <a:solidFill>
                        <a:sysClr val="windowText" lastClr="000000"/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4226-4AEE-9EB0-B8462DFBE2E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2025'!$V$68:$Y$68</c:f>
              <c:numCache>
                <c:formatCode>00.0" т/га"</c:formatCode>
                <c:ptCount val="4"/>
                <c:pt idx="0">
                  <c:v>15.745146281213108</c:v>
                </c:pt>
                <c:pt idx="1">
                  <c:v>14.811281599798766</c:v>
                </c:pt>
                <c:pt idx="2">
                  <c:v>13.046577729376532</c:v>
                </c:pt>
                <c:pt idx="3">
                  <c:v>16.161157141288701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62-4BA6-B93D-A7713F8F06F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45"/>
        <c:overlap val="100"/>
        <c:axId val="620439392"/>
        <c:axId val="620441912"/>
      </c:barChart>
      <c:catAx>
        <c:axId val="620439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20441912"/>
        <c:crosses val="autoZero"/>
        <c:auto val="1"/>
        <c:lblAlgn val="ctr"/>
        <c:lblOffset val="100"/>
        <c:noMultiLvlLbl val="0"/>
      </c:catAx>
      <c:valAx>
        <c:axId val="620441912"/>
        <c:scaling>
          <c:orientation val="minMax"/>
        </c:scaling>
        <c:delete val="1"/>
        <c:axPos val="b"/>
        <c:numFmt formatCode="00.0&quot; т/га&quot;" sourceLinked="1"/>
        <c:majorTickMark val="none"/>
        <c:minorTickMark val="none"/>
        <c:tickLblPos val="nextTo"/>
        <c:crossAx val="620439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'ОПЕРФАКТ 2025'!$C$35</c:f>
              <c:strCache>
                <c:ptCount val="1"/>
                <c:pt idx="0">
                  <c:v>факт</c:v>
                </c:pt>
              </c:strCache>
            </c:strRef>
          </c:tx>
          <c:spPr>
            <a:gradFill flip="none" rotWithShape="1">
              <a:gsLst>
                <a:gs pos="0">
                  <a:srgbClr val="FFFF66">
                    <a:tint val="66000"/>
                    <a:satMod val="160000"/>
                  </a:srgbClr>
                </a:gs>
                <a:gs pos="50000">
                  <a:srgbClr val="FFFF66">
                    <a:tint val="44500"/>
                    <a:satMod val="160000"/>
                  </a:srgbClr>
                </a:gs>
                <a:gs pos="100000">
                  <a:srgbClr val="FFFF66">
                    <a:tint val="23500"/>
                    <a:satMod val="160000"/>
                  </a:srgbClr>
                </a:gs>
              </a:gsLst>
              <a:lin ang="27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2025'!$B$36:$B$37</c:f>
              <c:strCache>
                <c:ptCount val="2"/>
                <c:pt idx="0">
                  <c:v>сахарная</c:v>
                </c:pt>
                <c:pt idx="1">
                  <c:v>суперсладкая</c:v>
                </c:pt>
              </c:strCache>
            </c:strRef>
          </c:cat>
          <c:val>
            <c:numRef>
              <c:f>'ОПЕРФАКТ 2025'!$C$36:$C$37</c:f>
              <c:numCache>
                <c:formatCode>#,##0</c:formatCode>
                <c:ptCount val="2"/>
                <c:pt idx="0">
                  <c:v>23331.010300000002</c:v>
                </c:pt>
                <c:pt idx="1">
                  <c:v>8846.33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8FA-4D9A-92C7-15B5F95F93FB}"/>
            </c:ext>
          </c:extLst>
        </c:ser>
        <c:ser>
          <c:idx val="1"/>
          <c:order val="1"/>
          <c:tx>
            <c:strRef>
              <c:f>'ОПЕРФАКТ 2025'!$E$35</c:f>
              <c:strCache>
                <c:ptCount val="1"/>
                <c:pt idx="0">
                  <c:v>остаток по плану</c:v>
                </c:pt>
              </c:strCache>
            </c:strRef>
          </c:tx>
          <c:spPr>
            <a:pattFill prst="pct60">
              <a:fgClr>
                <a:schemeClr val="bg1">
                  <a:lumMod val="95000"/>
                </a:schemeClr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CA2-4C36-A5A8-3D57286A501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2025'!$B$36:$B$37</c:f>
              <c:strCache>
                <c:ptCount val="2"/>
                <c:pt idx="0">
                  <c:v>сахарная</c:v>
                </c:pt>
                <c:pt idx="1">
                  <c:v>суперсладкая</c:v>
                </c:pt>
              </c:strCache>
            </c:strRef>
          </c:cat>
          <c:val>
            <c:numRef>
              <c:f>'ОПЕРФАКТ 2025'!$E$36:$E$37</c:f>
              <c:numCache>
                <c:formatCode>#,##0</c:formatCode>
                <c:ptCount val="2"/>
                <c:pt idx="0">
                  <c:v>7028.9896999999983</c:v>
                </c:pt>
                <c:pt idx="1">
                  <c:v>-40.329999999999927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8FA-4D9A-92C7-15B5F95F93F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692456584"/>
        <c:axId val="692460184"/>
      </c:barChart>
      <c:catAx>
        <c:axId val="692456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92460184"/>
        <c:crosses val="autoZero"/>
        <c:auto val="1"/>
        <c:lblAlgn val="ctr"/>
        <c:lblOffset val="100"/>
        <c:noMultiLvlLbl val="0"/>
      </c:catAx>
      <c:valAx>
        <c:axId val="692460184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692456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2287354140973345"/>
          <c:y val="5.8139534883720929E-2"/>
          <c:w val="0.66829522815672138"/>
          <c:h val="9.232558139534884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500">
          <a:latin typeface="Bahnschrift" panose="020B0502040204020203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ysClr val="windowText" lastClr="000000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r>
              <a:rPr lang="ru-RU" sz="1800">
                <a:solidFill>
                  <a:sysClr val="windowText" lastClr="000000"/>
                </a:solidFill>
                <a:latin typeface="Bahnschrift" panose="020B0502040204020203" pitchFamily="34" charset="0"/>
              </a:rPr>
              <a:t>Валовый сбор в разрезе предприятий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'ОПЕРФАКТ 2026'!$J$3</c:f>
              <c:strCache>
                <c:ptCount val="1"/>
                <c:pt idx="0">
                  <c:v>План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'ОПЕРФАКТ 2026'!$I$4:$I$8</c:f>
              <c:strCache>
                <c:ptCount val="5"/>
                <c:pt idx="0">
                  <c:v>Грин Рэй Кубань</c:v>
                </c:pt>
                <c:pt idx="1">
                  <c:v>им. Кирова</c:v>
                </c:pt>
                <c:pt idx="2">
                  <c:v>Иррико-Холдинг</c:v>
                </c:pt>
                <c:pt idx="3">
                  <c:v>Агролидер</c:v>
                </c:pt>
                <c:pt idx="4">
                  <c:v>Колос</c:v>
                </c:pt>
              </c:strCache>
            </c:strRef>
          </c:cat>
          <c:val>
            <c:numRef>
              <c:f>'ОПЕРФАКТ 2026'!$J$4:$J$8</c:f>
              <c:numCache>
                <c:formatCode>#,##0</c:formatCode>
                <c:ptCount val="5"/>
                <c:pt idx="0">
                  <c:v>4362</c:v>
                </c:pt>
                <c:pt idx="1">
                  <c:v>13392</c:v>
                </c:pt>
                <c:pt idx="2">
                  <c:v>8432.4</c:v>
                </c:pt>
                <c:pt idx="3" formatCode="General">
                  <c:v>3564</c:v>
                </c:pt>
                <c:pt idx="4">
                  <c:v>7443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8F-46E3-B6EC-04AEAB95F5E9}"/>
            </c:ext>
          </c:extLst>
        </c:ser>
        <c:ser>
          <c:idx val="1"/>
          <c:order val="1"/>
          <c:tx>
            <c:strRef>
              <c:f>'ОПЕРФАКТ 2026'!$K$3</c:f>
              <c:strCache>
                <c:ptCount val="1"/>
                <c:pt idx="0">
                  <c:v>Факт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strRef>
              <c:f>'ОПЕРФАКТ 2026'!$I$4:$I$8</c:f>
              <c:strCache>
                <c:ptCount val="5"/>
                <c:pt idx="0">
                  <c:v>Грин Рэй Кубань</c:v>
                </c:pt>
                <c:pt idx="1">
                  <c:v>им. Кирова</c:v>
                </c:pt>
                <c:pt idx="2">
                  <c:v>Иррико-Холдинг</c:v>
                </c:pt>
                <c:pt idx="3">
                  <c:v>Агролидер</c:v>
                </c:pt>
                <c:pt idx="4">
                  <c:v>Колос</c:v>
                </c:pt>
              </c:strCache>
            </c:strRef>
          </c:cat>
          <c:val>
            <c:numRef>
              <c:f>'ОПЕРФАКТ 2026'!$K$4:$K$8</c:f>
              <c:numCache>
                <c:formatCode>#,##0</c:formatCode>
                <c:ptCount val="5"/>
                <c:pt idx="0">
                  <c:v>2214.75</c:v>
                </c:pt>
                <c:pt idx="1">
                  <c:v>1765.74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8F-46E3-B6EC-04AEAB95F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3801352"/>
        <c:axId val="713794152"/>
      </c:barChart>
      <c:catAx>
        <c:axId val="713801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3794152"/>
        <c:crosses val="autoZero"/>
        <c:auto val="1"/>
        <c:lblAlgn val="ctr"/>
        <c:lblOffset val="100"/>
        <c:noMultiLvlLbl val="0"/>
      </c:catAx>
      <c:valAx>
        <c:axId val="713794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38013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7700109391965033E-2"/>
          <c:y val="4.3766829988272768E-3"/>
          <c:w val="0.88603983955845134"/>
          <c:h val="0.7145618236993013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'ОПЕРФАКТ 2026'!$C$35</c:f>
              <c:strCache>
                <c:ptCount val="1"/>
                <c:pt idx="0">
                  <c:v>факт</c:v>
                </c:pt>
              </c:strCache>
            </c:strRef>
          </c:tx>
          <c:spPr>
            <a:gradFill flip="none" rotWithShape="1">
              <a:gsLst>
                <a:gs pos="0">
                  <a:srgbClr val="FFFF66">
                    <a:tint val="66000"/>
                    <a:satMod val="160000"/>
                  </a:srgbClr>
                </a:gs>
                <a:gs pos="50000">
                  <a:srgbClr val="FFFF66">
                    <a:tint val="44500"/>
                    <a:satMod val="160000"/>
                  </a:srgbClr>
                </a:gs>
                <a:gs pos="100000">
                  <a:srgbClr val="FFFF66">
                    <a:tint val="23500"/>
                    <a:satMod val="160000"/>
                  </a:srgbClr>
                </a:gs>
              </a:gsLst>
              <a:lin ang="2700000" scaled="1"/>
              <a:tileRect/>
            </a:gradFill>
            <a:ln>
              <a:noFill/>
            </a:ln>
            <a:effectLst/>
          </c:spPr>
          <c:invertIfNegative val="0"/>
          <c:dLbls>
            <c:dLbl>
              <c:idx val="0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74A-4A55-8B53-470FC0A8B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2026'!$B$36:$B$37</c:f>
              <c:strCache>
                <c:ptCount val="2"/>
                <c:pt idx="0">
                  <c:v>сахарная</c:v>
                </c:pt>
                <c:pt idx="1">
                  <c:v>суперсладкая</c:v>
                </c:pt>
              </c:strCache>
            </c:strRef>
          </c:cat>
          <c:val>
            <c:numRef>
              <c:f>'ОПЕРФАКТ 2026'!$C$36:$C$37</c:f>
              <c:numCache>
                <c:formatCode>#,##0</c:formatCode>
                <c:ptCount val="2"/>
                <c:pt idx="0">
                  <c:v>1765.7399999999998</c:v>
                </c:pt>
                <c:pt idx="1">
                  <c:v>2214.75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4A-4A55-8B53-470FC0A8B491}"/>
            </c:ext>
          </c:extLst>
        </c:ser>
        <c:ser>
          <c:idx val="1"/>
          <c:order val="1"/>
          <c:tx>
            <c:strRef>
              <c:f>'ОПЕРФАКТ 2026'!$E$35</c:f>
              <c:strCache>
                <c:ptCount val="1"/>
                <c:pt idx="0">
                  <c:v>остаток по плану</c:v>
                </c:pt>
              </c:strCache>
            </c:strRef>
          </c:tx>
          <c:spPr>
            <a:solidFill>
              <a:schemeClr val="bg1">
                <a:lumMod val="9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2026'!$B$36:$B$37</c:f>
              <c:strCache>
                <c:ptCount val="2"/>
                <c:pt idx="0">
                  <c:v>сахарная</c:v>
                </c:pt>
                <c:pt idx="1">
                  <c:v>суперсладкая</c:v>
                </c:pt>
              </c:strCache>
            </c:strRef>
          </c:cat>
          <c:val>
            <c:numRef>
              <c:f>'ОПЕРФАКТ 2026'!$E$36:$E$37</c:f>
              <c:numCache>
                <c:formatCode>#,##0</c:formatCode>
                <c:ptCount val="2"/>
                <c:pt idx="0">
                  <c:v>26593.260000000002</c:v>
                </c:pt>
                <c:pt idx="1">
                  <c:v>6619.65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4A-4A55-8B53-470FC0A8B49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692456584"/>
        <c:axId val="692460184"/>
      </c:barChart>
      <c:catAx>
        <c:axId val="692456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92460184"/>
        <c:crosses val="autoZero"/>
        <c:auto val="1"/>
        <c:lblAlgn val="ctr"/>
        <c:lblOffset val="100"/>
        <c:noMultiLvlLbl val="0"/>
      </c:catAx>
      <c:valAx>
        <c:axId val="692460184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692456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'ОПЕРФАКТ 2026'!$B$81</c:f>
              <c:strCache>
                <c:ptCount val="1"/>
                <c:pt idx="0">
                  <c:v>Агролидер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2026'!$C$81:$G$81</c:f>
              <c:numCache>
                <c:formatCode>#,##0</c:formatCode>
                <c:ptCount val="5"/>
                <c:pt idx="3">
                  <c:v>1860.64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0C-4310-B189-E5384EEE1926}"/>
            </c:ext>
          </c:extLst>
        </c:ser>
        <c:ser>
          <c:idx val="1"/>
          <c:order val="1"/>
          <c:tx>
            <c:strRef>
              <c:f>'ОПЕРФАКТ 2026'!$B$82</c:f>
              <c:strCache>
                <c:ptCount val="1"/>
                <c:pt idx="0">
                  <c:v>Грин Рэй Кубань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2026'!$C$82:$G$82</c:f>
              <c:numCache>
                <c:formatCode>#,##0</c:formatCode>
                <c:ptCount val="5"/>
                <c:pt idx="0">
                  <c:v>4513.01</c:v>
                </c:pt>
                <c:pt idx="1">
                  <c:v>4780.1100000000006</c:v>
                </c:pt>
                <c:pt idx="2">
                  <c:v>3886.01</c:v>
                </c:pt>
                <c:pt idx="3">
                  <c:v>2362.94</c:v>
                </c:pt>
                <c:pt idx="4">
                  <c:v>2214.75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0C-4310-B189-E5384EEE1926}"/>
            </c:ext>
          </c:extLst>
        </c:ser>
        <c:ser>
          <c:idx val="2"/>
          <c:order val="2"/>
          <c:tx>
            <c:strRef>
              <c:f>'ОПЕРФАКТ 2026'!$B$83</c:f>
              <c:strCache>
                <c:ptCount val="1"/>
                <c:pt idx="0">
                  <c:v>Иррико-Холдинг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2026'!$C$83:$G$83</c:f>
              <c:numCache>
                <c:formatCode>#,##0</c:formatCode>
                <c:ptCount val="5"/>
                <c:pt idx="0">
                  <c:v>3647.23</c:v>
                </c:pt>
                <c:pt idx="1">
                  <c:v>5885.83</c:v>
                </c:pt>
                <c:pt idx="2">
                  <c:v>6304.38</c:v>
                </c:pt>
                <c:pt idx="3">
                  <c:v>13741.16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F0C-4310-B189-E5384EEE1926}"/>
            </c:ext>
          </c:extLst>
        </c:ser>
        <c:ser>
          <c:idx val="3"/>
          <c:order val="3"/>
          <c:tx>
            <c:strRef>
              <c:f>'ОПЕРФАКТ 2026'!$B$84</c:f>
              <c:strCache>
                <c:ptCount val="1"/>
                <c:pt idx="0">
                  <c:v>им. Кирова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2026'!$C$84:$G$84</c:f>
              <c:numCache>
                <c:formatCode>#,##0</c:formatCode>
                <c:ptCount val="5"/>
                <c:pt idx="0">
                  <c:v>1823.61</c:v>
                </c:pt>
                <c:pt idx="1">
                  <c:v>1986.5500000000002</c:v>
                </c:pt>
                <c:pt idx="2">
                  <c:v>3497.07</c:v>
                </c:pt>
                <c:pt idx="3">
                  <c:v>4688.0497000000005</c:v>
                </c:pt>
                <c:pt idx="4">
                  <c:v>1765.74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F0C-4310-B189-E5384EEE1926}"/>
            </c:ext>
          </c:extLst>
        </c:ser>
        <c:ser>
          <c:idx val="4"/>
          <c:order val="4"/>
          <c:tx>
            <c:strRef>
              <c:f>'ОПЕРФАКТ 2026'!$B$85</c:f>
              <c:strCache>
                <c:ptCount val="1"/>
                <c:pt idx="0">
                  <c:v>Колос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2026'!$C$85:$G$85</c:f>
              <c:numCache>
                <c:formatCode>#,##0</c:formatCode>
                <c:ptCount val="5"/>
                <c:pt idx="0">
                  <c:v>9977.4</c:v>
                </c:pt>
                <c:pt idx="1">
                  <c:v>10250.58</c:v>
                </c:pt>
                <c:pt idx="2">
                  <c:v>7397.2</c:v>
                </c:pt>
                <c:pt idx="3">
                  <c:v>9223.7003000000004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0C-4310-B189-E5384EEE1926}"/>
            </c:ext>
          </c:extLst>
        </c:ser>
        <c:ser>
          <c:idx val="5"/>
          <c:order val="5"/>
          <c:tx>
            <c:strRef>
              <c:f>'ОПЕРФАКТ 2026'!$B$86</c:f>
              <c:strCache>
                <c:ptCount val="1"/>
                <c:pt idx="0">
                  <c:v>Прочие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2026'!$C$86:$G$86</c:f>
              <c:numCache>
                <c:formatCode>#,##0</c:formatCode>
                <c:ptCount val="5"/>
                <c:pt idx="0">
                  <c:v>11780.650000000001</c:v>
                </c:pt>
                <c:pt idx="1">
                  <c:v>649.83000000000175</c:v>
                </c:pt>
                <c:pt idx="2">
                  <c:v>2875.380000000001</c:v>
                </c:pt>
                <c:pt idx="3">
                  <c:v>3223.16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F0C-4310-B189-E5384EEE1926}"/>
            </c:ext>
          </c:extLst>
        </c:ser>
        <c:ser>
          <c:idx val="6"/>
          <c:order val="6"/>
          <c:tx>
            <c:strRef>
              <c:f>'ОПЕРФАКТ 2026'!$B$87</c:f>
              <c:strCache>
                <c:ptCount val="1"/>
                <c:pt idx="0">
                  <c:v>План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2026'!$C$87:$G$87</c:f>
              <c:numCache>
                <c:formatCode>#,##0</c:formatCode>
                <c:ptCount val="5"/>
                <c:pt idx="4">
                  <c:v>33212.910000000003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F0C-4310-B189-E5384EEE19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0611480"/>
        <c:axId val="290611840"/>
      </c:barChart>
      <c:catAx>
        <c:axId val="2906114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90611840"/>
        <c:crosses val="autoZero"/>
        <c:auto val="1"/>
        <c:lblAlgn val="ctr"/>
        <c:lblOffset val="100"/>
        <c:noMultiLvlLbl val="0"/>
      </c:catAx>
      <c:valAx>
        <c:axId val="290611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90611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ysClr val="windowText" lastClr="000000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r>
              <a:rPr lang="ru-RU" sz="1800">
                <a:solidFill>
                  <a:sysClr val="windowText" lastClr="000000"/>
                </a:solidFill>
                <a:latin typeface="Bahnschrift" panose="020B0502040204020203" pitchFamily="34" charset="0"/>
              </a:rPr>
              <a:t>Валовый сбор в разрезе предприятий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'ОПЕРФАКТ 2025'!$J$3</c:f>
              <c:strCache>
                <c:ptCount val="1"/>
                <c:pt idx="0">
                  <c:v>План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'ОПЕРФАКТ 2025'!$I$4:$I$9</c:f>
              <c:strCache>
                <c:ptCount val="6"/>
                <c:pt idx="0">
                  <c:v>Иррико-Холдинг</c:v>
                </c:pt>
                <c:pt idx="1">
                  <c:v>Грин Рэй Кубань</c:v>
                </c:pt>
                <c:pt idx="2">
                  <c:v>Агролидер</c:v>
                </c:pt>
                <c:pt idx="3">
                  <c:v>Братковский</c:v>
                </c:pt>
                <c:pt idx="4">
                  <c:v>им. Кирова</c:v>
                </c:pt>
                <c:pt idx="5">
                  <c:v>Колос</c:v>
                </c:pt>
              </c:strCache>
            </c:strRef>
          </c:cat>
          <c:val>
            <c:numRef>
              <c:f>'ОПЕРФАКТ 2025'!$J$4:$J$9</c:f>
              <c:numCache>
                <c:formatCode>#,##0</c:formatCode>
                <c:ptCount val="6"/>
                <c:pt idx="0">
                  <c:v>14784</c:v>
                </c:pt>
                <c:pt idx="1">
                  <c:v>3690</c:v>
                </c:pt>
                <c:pt idx="2" formatCode="General">
                  <c:v>2250</c:v>
                </c:pt>
                <c:pt idx="3" formatCode="General">
                  <c:v>4824</c:v>
                </c:pt>
                <c:pt idx="4">
                  <c:v>5049</c:v>
                </c:pt>
                <c:pt idx="5">
                  <c:v>8569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31-4273-91BF-DC4BE630D5FC}"/>
            </c:ext>
          </c:extLst>
        </c:ser>
        <c:ser>
          <c:idx val="1"/>
          <c:order val="1"/>
          <c:tx>
            <c:strRef>
              <c:f>'ОПЕРФАКТ 2025'!$K$3</c:f>
              <c:strCache>
                <c:ptCount val="1"/>
                <c:pt idx="0">
                  <c:v>Факт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strRef>
              <c:f>'ОПЕРФАКТ 2025'!$I$4:$I$9</c:f>
              <c:strCache>
                <c:ptCount val="6"/>
                <c:pt idx="0">
                  <c:v>Иррико-Холдинг</c:v>
                </c:pt>
                <c:pt idx="1">
                  <c:v>Грин Рэй Кубань</c:v>
                </c:pt>
                <c:pt idx="2">
                  <c:v>Агролидер</c:v>
                </c:pt>
                <c:pt idx="3">
                  <c:v>Братковский</c:v>
                </c:pt>
                <c:pt idx="4">
                  <c:v>им. Кирова</c:v>
                </c:pt>
                <c:pt idx="5">
                  <c:v>Колос</c:v>
                </c:pt>
              </c:strCache>
            </c:strRef>
          </c:cat>
          <c:val>
            <c:numRef>
              <c:f>'ОПЕРФАКТ 2025'!$K$4:$K$9</c:f>
              <c:numCache>
                <c:formatCode>#,##0</c:formatCode>
                <c:ptCount val="6"/>
                <c:pt idx="0">
                  <c:v>13741.16</c:v>
                </c:pt>
                <c:pt idx="1">
                  <c:v>2362.94</c:v>
                </c:pt>
                <c:pt idx="2">
                  <c:v>1860.64</c:v>
                </c:pt>
                <c:pt idx="3">
                  <c:v>3223.16</c:v>
                </c:pt>
                <c:pt idx="4">
                  <c:v>1765.74</c:v>
                </c:pt>
                <c:pt idx="5">
                  <c:v>9223.7003000000004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31-4273-91BF-DC4BE630D5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3801352"/>
        <c:axId val="713794152"/>
      </c:barChart>
      <c:catAx>
        <c:axId val="713801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3794152"/>
        <c:crosses val="autoZero"/>
        <c:auto val="1"/>
        <c:lblAlgn val="ctr"/>
        <c:lblOffset val="100"/>
        <c:noMultiLvlLbl val="0"/>
      </c:catAx>
      <c:valAx>
        <c:axId val="713794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38013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Статистика уборки кукурузы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stacked"/>
        <c:varyColors val="0"/>
        <c:ser>
          <c:idx val="6"/>
          <c:order val="0"/>
          <c:tx>
            <c:strRef>
              <c:f>'ОПЕРФАКТ 2025'!$B$86</c:f>
              <c:strCache>
                <c:ptCount val="1"/>
                <c:pt idx="0">
                  <c:v>Прочие</c:v>
                </c:pt>
              </c:strCache>
            </c:strRef>
          </c:tx>
          <c:spPr>
            <a:pattFill prst="narHorz">
              <a:fgClr>
                <a:schemeClr val="accent1">
                  <a:lumMod val="60000"/>
                </a:schemeClr>
              </a:fgClr>
              <a:bgClr>
                <a:schemeClr val="accent1">
                  <a:lumMod val="6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>
                  <a:lumMod val="60000"/>
                </a:schemeClr>
              </a:innerShdw>
            </a:effectLst>
          </c:spPr>
          <c:invertIfNegative val="0"/>
          <c:cat>
            <c:strRef>
              <c:f>'ОПЕРФАКТ 2025'!$D$79:$F$79</c:f>
              <c:strCache>
                <c:ptCount val="3"/>
                <c:pt idx="0">
                  <c:v>2023 г.</c:v>
                </c:pt>
                <c:pt idx="1">
                  <c:v>2024 г.</c:v>
                </c:pt>
                <c:pt idx="2">
                  <c:v>2025 г.</c:v>
                </c:pt>
              </c:strCache>
            </c:strRef>
          </c:cat>
          <c:val>
            <c:numRef>
              <c:f>'ОПЕРФАКТ 2025'!$D$86:$F$86</c:f>
              <c:numCache>
                <c:formatCode>#,##0</c:formatCode>
                <c:ptCount val="3"/>
                <c:pt idx="0">
                  <c:v>649.83000000000175</c:v>
                </c:pt>
                <c:pt idx="1">
                  <c:v>2875.380000000001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EE-43AB-AB43-B7288917E711}"/>
            </c:ext>
          </c:extLst>
        </c:ser>
        <c:ser>
          <c:idx val="5"/>
          <c:order val="1"/>
          <c:tx>
            <c:strRef>
              <c:f>'ОПЕРФАКТ 2025'!$B$85</c:f>
              <c:strCache>
                <c:ptCount val="1"/>
                <c:pt idx="0">
                  <c:v>Колос</c:v>
                </c:pt>
              </c:strCache>
            </c:strRef>
          </c:tx>
          <c:spPr>
            <a:pattFill prst="narHorz">
              <a:fgClr>
                <a:schemeClr val="accent6"/>
              </a:fgClr>
              <a:bgClr>
                <a:schemeClr val="accent6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/>
              </a:innerShdw>
            </a:effectLst>
          </c:spPr>
          <c:invertIfNegative val="0"/>
          <c:cat>
            <c:strRef>
              <c:f>'ОПЕРФАКТ 2025'!$D$79:$F$79</c:f>
              <c:strCache>
                <c:ptCount val="3"/>
                <c:pt idx="0">
                  <c:v>2023 г.</c:v>
                </c:pt>
                <c:pt idx="1">
                  <c:v>2024 г.</c:v>
                </c:pt>
                <c:pt idx="2">
                  <c:v>2025 г.</c:v>
                </c:pt>
              </c:strCache>
            </c:strRef>
          </c:cat>
          <c:val>
            <c:numRef>
              <c:f>'ОПЕРФАКТ 2025'!$D$85:$F$85</c:f>
              <c:numCache>
                <c:formatCode>#,##0</c:formatCode>
                <c:ptCount val="3"/>
                <c:pt idx="0">
                  <c:v>10250.58</c:v>
                </c:pt>
                <c:pt idx="1">
                  <c:v>7397.2</c:v>
                </c:pt>
                <c:pt idx="2">
                  <c:v>9223.7003000000004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1EE-43AB-AB43-B7288917E711}"/>
            </c:ext>
          </c:extLst>
        </c:ser>
        <c:ser>
          <c:idx val="3"/>
          <c:order val="2"/>
          <c:tx>
            <c:strRef>
              <c:f>'ОПЕРФАКТ 2025'!$B$84</c:f>
              <c:strCache>
                <c:ptCount val="1"/>
                <c:pt idx="0">
                  <c:v>им. Кирова</c:v>
                </c:pt>
              </c:strCache>
            </c:strRef>
          </c:tx>
          <c:spPr>
            <a:pattFill prst="narHorz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/>
              </a:innerShdw>
            </a:effectLst>
          </c:spPr>
          <c:invertIfNegative val="0"/>
          <c:cat>
            <c:strRef>
              <c:f>'ОПЕРФАКТ 2025'!$D$79:$F$79</c:f>
              <c:strCache>
                <c:ptCount val="3"/>
                <c:pt idx="0">
                  <c:v>2023 г.</c:v>
                </c:pt>
                <c:pt idx="1">
                  <c:v>2024 г.</c:v>
                </c:pt>
                <c:pt idx="2">
                  <c:v>2025 г.</c:v>
                </c:pt>
              </c:strCache>
            </c:strRef>
          </c:cat>
          <c:val>
            <c:numRef>
              <c:f>'ОПЕРФАКТ 2025'!$D$84:$F$84</c:f>
              <c:numCache>
                <c:formatCode>#,##0</c:formatCode>
                <c:ptCount val="3"/>
                <c:pt idx="0">
                  <c:v>1986.5500000000002</c:v>
                </c:pt>
                <c:pt idx="1">
                  <c:v>3497.07</c:v>
                </c:pt>
                <c:pt idx="2">
                  <c:v>1765.74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1EE-43AB-AB43-B7288917E711}"/>
            </c:ext>
          </c:extLst>
        </c:ser>
        <c:ser>
          <c:idx val="2"/>
          <c:order val="3"/>
          <c:tx>
            <c:strRef>
              <c:f>'ОПЕРФАКТ 2025'!$B$83</c:f>
              <c:strCache>
                <c:ptCount val="1"/>
                <c:pt idx="0">
                  <c:v>Иррико-Холдинг</c:v>
                </c:pt>
              </c:strCache>
            </c:strRef>
          </c:tx>
          <c:spPr>
            <a:pattFill prst="narHorz">
              <a:fgClr>
                <a:schemeClr val="accent3"/>
              </a:fgClr>
              <a:bgClr>
                <a:schemeClr val="accent3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/>
              </a:innerShdw>
            </a:effectLst>
          </c:spPr>
          <c:invertIfNegative val="0"/>
          <c:cat>
            <c:strRef>
              <c:f>'ОПЕРФАКТ 2025'!$D$79:$F$79</c:f>
              <c:strCache>
                <c:ptCount val="3"/>
                <c:pt idx="0">
                  <c:v>2023 г.</c:v>
                </c:pt>
                <c:pt idx="1">
                  <c:v>2024 г.</c:v>
                </c:pt>
                <c:pt idx="2">
                  <c:v>2025 г.</c:v>
                </c:pt>
              </c:strCache>
            </c:strRef>
          </c:cat>
          <c:val>
            <c:numRef>
              <c:f>'ОПЕРФАКТ 2025'!$D$83:$F$83</c:f>
              <c:numCache>
                <c:formatCode>#,##0</c:formatCode>
                <c:ptCount val="3"/>
                <c:pt idx="0">
                  <c:v>5885.83</c:v>
                </c:pt>
                <c:pt idx="1">
                  <c:v>6304.38</c:v>
                </c:pt>
                <c:pt idx="2">
                  <c:v>13741.16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EE-43AB-AB43-B7288917E711}"/>
            </c:ext>
          </c:extLst>
        </c:ser>
        <c:ser>
          <c:idx val="1"/>
          <c:order val="4"/>
          <c:tx>
            <c:strRef>
              <c:f>'ОПЕРФАКТ 2025'!$B$82</c:f>
              <c:strCache>
                <c:ptCount val="1"/>
                <c:pt idx="0">
                  <c:v>Грин Рэй Кубань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cat>
            <c:strRef>
              <c:f>'ОПЕРФАКТ 2025'!$D$79:$F$79</c:f>
              <c:strCache>
                <c:ptCount val="3"/>
                <c:pt idx="0">
                  <c:v>2023 г.</c:v>
                </c:pt>
                <c:pt idx="1">
                  <c:v>2024 г.</c:v>
                </c:pt>
                <c:pt idx="2">
                  <c:v>2025 г.</c:v>
                </c:pt>
              </c:strCache>
            </c:strRef>
          </c:cat>
          <c:val>
            <c:numRef>
              <c:f>'ОПЕРФАКТ 2025'!$D$82:$F$82</c:f>
              <c:numCache>
                <c:formatCode>#,##0</c:formatCode>
                <c:ptCount val="3"/>
                <c:pt idx="0">
                  <c:v>4780.1100000000006</c:v>
                </c:pt>
                <c:pt idx="1">
                  <c:v>3886.01</c:v>
                </c:pt>
                <c:pt idx="2">
                  <c:v>2362.94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EE-43AB-AB43-B7288917E711}"/>
            </c:ext>
          </c:extLst>
        </c:ser>
        <c:ser>
          <c:idx val="4"/>
          <c:order val="5"/>
          <c:tx>
            <c:strRef>
              <c:f>'ОПЕРФАКТ 2025'!$B$81</c:f>
              <c:strCache>
                <c:ptCount val="1"/>
                <c:pt idx="0">
                  <c:v>Братковский</c:v>
                </c:pt>
              </c:strCache>
            </c:strRef>
          </c:tx>
          <c:spPr>
            <a:pattFill prst="narHorz">
              <a:fgClr>
                <a:schemeClr val="accent5"/>
              </a:fgClr>
              <a:bgClr>
                <a:schemeClr val="accent5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5"/>
              </a:innerShdw>
            </a:effectLst>
          </c:spPr>
          <c:invertIfNegative val="0"/>
          <c:cat>
            <c:strRef>
              <c:f>'ОПЕРФАКТ 2025'!$D$79:$F$79</c:f>
              <c:strCache>
                <c:ptCount val="3"/>
                <c:pt idx="0">
                  <c:v>2023 г.</c:v>
                </c:pt>
                <c:pt idx="1">
                  <c:v>2024 г.</c:v>
                </c:pt>
                <c:pt idx="2">
                  <c:v>2025 г.</c:v>
                </c:pt>
              </c:strCache>
            </c:strRef>
          </c:cat>
          <c:val>
            <c:numRef>
              <c:f>'ОПЕРФАКТ 2025'!$D$81:$F$81</c:f>
              <c:numCache>
                <c:formatCode>#,##0</c:formatCode>
                <c:ptCount val="3"/>
                <c:pt idx="2">
                  <c:v>3223.16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73D-41FB-8396-B3448A3279B7}"/>
            </c:ext>
          </c:extLst>
        </c:ser>
        <c:ser>
          <c:idx val="0"/>
          <c:order val="6"/>
          <c:tx>
            <c:strRef>
              <c:f>'ОПЕРФАКТ 2025'!$B$80</c:f>
              <c:strCache>
                <c:ptCount val="1"/>
                <c:pt idx="0">
                  <c:v>Агролидер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2025'!$D$79:$F$79</c:f>
              <c:strCache>
                <c:ptCount val="3"/>
                <c:pt idx="0">
                  <c:v>2023 г.</c:v>
                </c:pt>
                <c:pt idx="1">
                  <c:v>2024 г.</c:v>
                </c:pt>
                <c:pt idx="2">
                  <c:v>2025 г.</c:v>
                </c:pt>
              </c:strCache>
            </c:strRef>
          </c:cat>
          <c:val>
            <c:numRef>
              <c:f>'ОПЕРФАКТ 2025'!$D$80:$F$80</c:f>
              <c:numCache>
                <c:formatCode>#,##0</c:formatCode>
                <c:ptCount val="3"/>
                <c:pt idx="2">
                  <c:v>1860.64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EE-43AB-AB43-B7288917E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20439392"/>
        <c:axId val="620441912"/>
      </c:barChart>
      <c:catAx>
        <c:axId val="620439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20441912"/>
        <c:crosses val="autoZero"/>
        <c:auto val="1"/>
        <c:lblAlgn val="ctr"/>
        <c:lblOffset val="100"/>
        <c:noMultiLvlLbl val="0"/>
      </c:catAx>
      <c:valAx>
        <c:axId val="620441912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62043939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noFill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7700109391965033E-2"/>
          <c:y val="4.3766829988272768E-3"/>
          <c:w val="0.88603983955845134"/>
          <c:h val="0.7145618236993013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'ОПЕРФАКТ 2025'!$C$35</c:f>
              <c:strCache>
                <c:ptCount val="1"/>
                <c:pt idx="0">
                  <c:v>факт</c:v>
                </c:pt>
              </c:strCache>
            </c:strRef>
          </c:tx>
          <c:spPr>
            <a:gradFill flip="none" rotWithShape="1">
              <a:gsLst>
                <a:gs pos="0">
                  <a:srgbClr val="FFFF66">
                    <a:tint val="66000"/>
                    <a:satMod val="160000"/>
                  </a:srgbClr>
                </a:gs>
                <a:gs pos="50000">
                  <a:srgbClr val="FFFF66">
                    <a:tint val="44500"/>
                    <a:satMod val="160000"/>
                  </a:srgbClr>
                </a:gs>
                <a:gs pos="100000">
                  <a:srgbClr val="FFFF66">
                    <a:tint val="23500"/>
                    <a:satMod val="160000"/>
                  </a:srgbClr>
                </a:gs>
              </a:gsLst>
              <a:lin ang="2700000" scaled="1"/>
              <a:tileRect/>
            </a:gradFill>
            <a:ln>
              <a:noFill/>
            </a:ln>
            <a:effectLst/>
          </c:spPr>
          <c:invertIfNegative val="0"/>
          <c:dLbls>
            <c:dLbl>
              <c:idx val="0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49F-4D11-8D2B-F5FAB991C5B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2025'!$B$36:$B$37</c:f>
              <c:strCache>
                <c:ptCount val="2"/>
                <c:pt idx="0">
                  <c:v>сахарная</c:v>
                </c:pt>
                <c:pt idx="1">
                  <c:v>суперсладкая</c:v>
                </c:pt>
              </c:strCache>
            </c:strRef>
          </c:cat>
          <c:val>
            <c:numRef>
              <c:f>'ОПЕРФАКТ 2025'!$C$36:$C$37</c:f>
              <c:numCache>
                <c:formatCode>#,##0</c:formatCode>
                <c:ptCount val="2"/>
                <c:pt idx="0">
                  <c:v>23331.010300000002</c:v>
                </c:pt>
                <c:pt idx="1">
                  <c:v>8846.33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9F-4D11-8D2B-F5FAB991C5B8}"/>
            </c:ext>
          </c:extLst>
        </c:ser>
        <c:ser>
          <c:idx val="1"/>
          <c:order val="1"/>
          <c:tx>
            <c:strRef>
              <c:f>'ОПЕРФАКТ 2025'!$E$35</c:f>
              <c:strCache>
                <c:ptCount val="1"/>
                <c:pt idx="0">
                  <c:v>остаток по плану</c:v>
                </c:pt>
              </c:strCache>
            </c:strRef>
          </c:tx>
          <c:spPr>
            <a:solidFill>
              <a:schemeClr val="bg1">
                <a:lumMod val="9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2025'!$B$36:$B$37</c:f>
              <c:strCache>
                <c:ptCount val="2"/>
                <c:pt idx="0">
                  <c:v>сахарная</c:v>
                </c:pt>
                <c:pt idx="1">
                  <c:v>суперсладкая</c:v>
                </c:pt>
              </c:strCache>
            </c:strRef>
          </c:cat>
          <c:val>
            <c:numRef>
              <c:f>'ОПЕРФАКТ 2025'!$E$36:$E$37</c:f>
              <c:numCache>
                <c:formatCode>#,##0</c:formatCode>
                <c:ptCount val="2"/>
                <c:pt idx="0">
                  <c:v>7028.9896999999983</c:v>
                </c:pt>
                <c:pt idx="1">
                  <c:v>-40.329999999999927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9F-4D11-8D2B-F5FAB991C5B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692456584"/>
        <c:axId val="692460184"/>
      </c:barChart>
      <c:catAx>
        <c:axId val="692456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92460184"/>
        <c:crosses val="autoZero"/>
        <c:auto val="1"/>
        <c:lblAlgn val="ctr"/>
        <c:lblOffset val="100"/>
        <c:noMultiLvlLbl val="0"/>
      </c:catAx>
      <c:valAx>
        <c:axId val="692460184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692456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pattFill prst="ltDn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>
        <a:solidFill>
          <a:schemeClr val="phClr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png"/><Relationship Id="rId13" Type="http://schemas.openxmlformats.org/officeDocument/2006/relationships/chart" Target="../charts/chart6.xml"/><Relationship Id="rId3" Type="http://schemas.openxmlformats.org/officeDocument/2006/relationships/image" Target="../media/image1.jpeg"/><Relationship Id="rId7" Type="http://schemas.openxmlformats.org/officeDocument/2006/relationships/image" Target="../media/image5.svg"/><Relationship Id="rId12" Type="http://schemas.openxmlformats.org/officeDocument/2006/relationships/chart" Target="../charts/chart5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4.png"/><Relationship Id="rId11" Type="http://schemas.openxmlformats.org/officeDocument/2006/relationships/chart" Target="../charts/chart4.xml"/><Relationship Id="rId5" Type="http://schemas.openxmlformats.org/officeDocument/2006/relationships/image" Target="../media/image3.svg"/><Relationship Id="rId10" Type="http://schemas.openxmlformats.org/officeDocument/2006/relationships/chart" Target="../charts/chart3.xml"/><Relationship Id="rId4" Type="http://schemas.openxmlformats.org/officeDocument/2006/relationships/image" Target="../media/image2.png"/><Relationship Id="rId9" Type="http://schemas.openxmlformats.org/officeDocument/2006/relationships/image" Target="../media/image7.svg"/><Relationship Id="rId14" Type="http://schemas.openxmlformats.org/officeDocument/2006/relationships/chart" Target="../charts/chart7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png"/><Relationship Id="rId13" Type="http://schemas.openxmlformats.org/officeDocument/2006/relationships/chart" Target="../charts/chart13.xml"/><Relationship Id="rId3" Type="http://schemas.openxmlformats.org/officeDocument/2006/relationships/chart" Target="../charts/chart9.xml"/><Relationship Id="rId7" Type="http://schemas.openxmlformats.org/officeDocument/2006/relationships/image" Target="../media/image5.svg"/><Relationship Id="rId12" Type="http://schemas.openxmlformats.org/officeDocument/2006/relationships/chart" Target="../charts/chart12.xml"/><Relationship Id="rId2" Type="http://schemas.openxmlformats.org/officeDocument/2006/relationships/image" Target="../media/image1.jpeg"/><Relationship Id="rId1" Type="http://schemas.openxmlformats.org/officeDocument/2006/relationships/chart" Target="../charts/chart8.xml"/><Relationship Id="rId6" Type="http://schemas.openxmlformats.org/officeDocument/2006/relationships/image" Target="../media/image4.png"/><Relationship Id="rId11" Type="http://schemas.openxmlformats.org/officeDocument/2006/relationships/chart" Target="../charts/chart11.xml"/><Relationship Id="rId5" Type="http://schemas.openxmlformats.org/officeDocument/2006/relationships/image" Target="../media/image3.svg"/><Relationship Id="rId10" Type="http://schemas.openxmlformats.org/officeDocument/2006/relationships/chart" Target="../charts/chart10.xml"/><Relationship Id="rId4" Type="http://schemas.openxmlformats.org/officeDocument/2006/relationships/image" Target="../media/image2.png"/><Relationship Id="rId9" Type="http://schemas.openxmlformats.org/officeDocument/2006/relationships/image" Target="../media/image7.svg"/><Relationship Id="rId14" Type="http://schemas.openxmlformats.org/officeDocument/2006/relationships/chart" Target="../charts/chart1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0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8.png"/><Relationship Id="rId1" Type="http://schemas.openxmlformats.org/officeDocument/2006/relationships/hyperlink" Target="#&#1048;&#1053;&#1060;&#1054;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8.png"/><Relationship Id="rId1" Type="http://schemas.openxmlformats.org/officeDocument/2006/relationships/hyperlink" Target="#&#1048;&#1053;&#1060;&#1054;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8.png"/><Relationship Id="rId1" Type="http://schemas.openxmlformats.org/officeDocument/2006/relationships/hyperlink" Target="#&#1048;&#1053;&#1060;&#1054;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8.png"/><Relationship Id="rId1" Type="http://schemas.openxmlformats.org/officeDocument/2006/relationships/hyperlink" Target="#&#1048;&#1053;&#1060;&#1054;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8.png"/><Relationship Id="rId1" Type="http://schemas.openxmlformats.org/officeDocument/2006/relationships/hyperlink" Target="#&#1048;&#1053;&#1060;&#1054;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8.png"/><Relationship Id="rId1" Type="http://schemas.openxmlformats.org/officeDocument/2006/relationships/hyperlink" Target="#&#1048;&#1053;&#1060;&#1054;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8.png"/><Relationship Id="rId1" Type="http://schemas.openxmlformats.org/officeDocument/2006/relationships/hyperlink" Target="#&#1048;&#1053;&#1060;&#1054;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8.png"/><Relationship Id="rId1" Type="http://schemas.openxmlformats.org/officeDocument/2006/relationships/hyperlink" Target="#&#1048;&#1053;&#1060;&#1054;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8.png"/><Relationship Id="rId1" Type="http://schemas.openxmlformats.org/officeDocument/2006/relationships/hyperlink" Target="#&#1048;&#1053;&#1060;&#1054;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8.png"/><Relationship Id="rId1" Type="http://schemas.openxmlformats.org/officeDocument/2006/relationships/hyperlink" Target="#&#1048;&#1053;&#1060;&#1054;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36</xdr:row>
      <xdr:rowOff>12700</xdr:rowOff>
    </xdr:from>
    <xdr:to>
      <xdr:col>17</xdr:col>
      <xdr:colOff>381000</xdr:colOff>
      <xdr:row>57</xdr:row>
      <xdr:rowOff>127000</xdr:rowOff>
    </xdr:to>
    <xdr:graphicFrame macro="">
      <xdr:nvGraphicFramePr>
        <xdr:cNvPr id="58" name="Диаграмма 57">
          <a:extLst>
            <a:ext uri="{FF2B5EF4-FFF2-40B4-BE49-F238E27FC236}">
              <a16:creationId xmlns:a16="http://schemas.microsoft.com/office/drawing/2014/main" id="{FEAE7439-881E-4F91-B2CA-2D9200D05F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63500</xdr:colOff>
      <xdr:row>12</xdr:row>
      <xdr:rowOff>3810</xdr:rowOff>
    </xdr:from>
    <xdr:to>
      <xdr:col>23</xdr:col>
      <xdr:colOff>587375</xdr:colOff>
      <xdr:row>35</xdr:row>
      <xdr:rowOff>31750</xdr:rowOff>
    </xdr:to>
    <xdr:grpSp>
      <xdr:nvGrpSpPr>
        <xdr:cNvPr id="2" name="Группа 1">
          <a:extLst>
            <a:ext uri="{FF2B5EF4-FFF2-40B4-BE49-F238E27FC236}">
              <a16:creationId xmlns:a16="http://schemas.microsoft.com/office/drawing/2014/main" id="{818396B5-294D-490F-A967-0E06AB2AE7AD}"/>
            </a:ext>
          </a:extLst>
        </xdr:cNvPr>
        <xdr:cNvGrpSpPr/>
      </xdr:nvGrpSpPr>
      <xdr:grpSpPr>
        <a:xfrm>
          <a:off x="9112250" y="2448560"/>
          <a:ext cx="5349875" cy="4742815"/>
          <a:chOff x="8327230" y="3032233"/>
          <a:chExt cx="4143375" cy="3133725"/>
        </a:xfrm>
      </xdr:grpSpPr>
      <xdr:graphicFrame macro="">
        <xdr:nvGraphicFramePr>
          <xdr:cNvPr id="3" name="Диаграмма 2">
            <a:extLst>
              <a:ext uri="{FF2B5EF4-FFF2-40B4-BE49-F238E27FC236}">
                <a16:creationId xmlns:a16="http://schemas.microsoft.com/office/drawing/2014/main" id="{3359EB0C-000E-8C82-5D3A-EC1214769929}"/>
              </a:ext>
            </a:extLst>
          </xdr:cNvPr>
          <xdr:cNvGraphicFramePr>
            <a:graphicFrameLocks/>
          </xdr:cNvGraphicFramePr>
        </xdr:nvGraphicFramePr>
        <xdr:xfrm>
          <a:off x="8327230" y="3032233"/>
          <a:ext cx="4143375" cy="313372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'ОПЕРФАКТ 2026'!C27">
        <xdr:nvSpPr>
          <xdr:cNvPr id="4" name="Прямоугольник 3">
            <a:extLst>
              <a:ext uri="{FF2B5EF4-FFF2-40B4-BE49-F238E27FC236}">
                <a16:creationId xmlns:a16="http://schemas.microsoft.com/office/drawing/2014/main" id="{48817450-A8D5-4908-5440-A92E79C89E53}"/>
              </a:ext>
            </a:extLst>
          </xdr:cNvPr>
          <xdr:cNvSpPr/>
        </xdr:nvSpPr>
        <xdr:spPr>
          <a:xfrm>
            <a:off x="9946264" y="4595529"/>
            <a:ext cx="895185" cy="282193"/>
          </a:xfrm>
          <a:prstGeom prst="rect">
            <a:avLst/>
          </a:prstGeom>
          <a:ln>
            <a:noFill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marL="0" indent="0" algn="ctr"/>
            <a:fld id="{9387A0A8-8639-4168-8197-2A9847035D8A}" type="TxLink">
              <a:rPr lang="en-US" sz="2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rPr>
              <a:pPr marL="0" indent="0" algn="ctr"/>
              <a:t>2164,5</a:t>
            </a:fld>
            <a:endParaRPr lang="ru-RU" sz="2000" b="1" i="0" u="none" strike="noStrike">
              <a:solidFill>
                <a:srgbClr val="000000"/>
              </a:solidFill>
              <a:latin typeface="Bahnschrift" panose="020B0502040204020203" pitchFamily="34" charset="0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0</xdr:col>
      <xdr:colOff>560071</xdr:colOff>
      <xdr:row>1</xdr:row>
      <xdr:rowOff>54700</xdr:rowOff>
    </xdr:from>
    <xdr:to>
      <xdr:col>5</xdr:col>
      <xdr:colOff>3486</xdr:colOff>
      <xdr:row>10</xdr:row>
      <xdr:rowOff>79679</xdr:rowOff>
    </xdr:to>
    <xdr:grpSp>
      <xdr:nvGrpSpPr>
        <xdr:cNvPr id="5" name="Группа 4">
          <a:extLst>
            <a:ext uri="{FF2B5EF4-FFF2-40B4-BE49-F238E27FC236}">
              <a16:creationId xmlns:a16="http://schemas.microsoft.com/office/drawing/2014/main" id="{3FD9E456-1184-4AD6-8969-332138807E2F}"/>
            </a:ext>
          </a:extLst>
        </xdr:cNvPr>
        <xdr:cNvGrpSpPr/>
      </xdr:nvGrpSpPr>
      <xdr:grpSpPr>
        <a:xfrm>
          <a:off x="560071" y="403950"/>
          <a:ext cx="2459665" cy="1739479"/>
          <a:chOff x="561976" y="407760"/>
          <a:chExt cx="2457760" cy="1735669"/>
        </a:xfrm>
      </xdr:grpSpPr>
      <xdr:sp macro="" textlink="">
        <xdr:nvSpPr>
          <xdr:cNvPr id="6" name="Прямоугольник 5">
            <a:extLst>
              <a:ext uri="{FF2B5EF4-FFF2-40B4-BE49-F238E27FC236}">
                <a16:creationId xmlns:a16="http://schemas.microsoft.com/office/drawing/2014/main" id="{7DCAA972-A2DA-E104-F813-96DDEB465DE7}"/>
              </a:ext>
            </a:extLst>
          </xdr:cNvPr>
          <xdr:cNvSpPr/>
        </xdr:nvSpPr>
        <xdr:spPr>
          <a:xfrm>
            <a:off x="561976" y="407760"/>
            <a:ext cx="2457760" cy="1735669"/>
          </a:xfrm>
          <a:prstGeom prst="rect">
            <a:avLst/>
          </a:prstGeom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ru-RU" sz="1400" b="1">
                <a:solidFill>
                  <a:schemeClr val="tx1"/>
                </a:solidFill>
                <a:latin typeface="Bahnschrift" panose="020B0502040204020203" pitchFamily="34" charset="0"/>
              </a:rPr>
              <a:t>ЗАКРЫТИЕ ПЕРИОДА</a:t>
            </a:r>
            <a:endParaRPr lang="ru-RU" sz="1400" b="1" baseline="0">
              <a:solidFill>
                <a:schemeClr val="tx1"/>
              </a:solidFill>
              <a:latin typeface="Bahnschrift" panose="020B0502040204020203" pitchFamily="34" charset="0"/>
            </a:endParaRPr>
          </a:p>
          <a:p>
            <a:pPr algn="l"/>
            <a:endParaRPr lang="ru-RU" sz="1100" b="0" baseline="0">
              <a:solidFill>
                <a:schemeClr val="tx1"/>
              </a:solidFill>
              <a:latin typeface="Bahnschrift" panose="020B0502040204020203" pitchFamily="34" charset="0"/>
            </a:endParaRPr>
          </a:p>
          <a:p>
            <a:pPr algn="l">
              <a:spcBef>
                <a:spcPts val="600"/>
              </a:spcBef>
            </a:pPr>
            <a:r>
              <a:rPr lang="ru-RU" sz="1200" b="0" baseline="0">
                <a:solidFill>
                  <a:schemeClr val="tx1"/>
                </a:solidFill>
                <a:latin typeface="Bahnschrift" panose="020B0502040204020203" pitchFamily="34" charset="0"/>
              </a:rPr>
              <a:t>Начало:</a:t>
            </a:r>
          </a:p>
          <a:p>
            <a:pPr algn="l">
              <a:spcBef>
                <a:spcPts val="600"/>
              </a:spcBef>
            </a:pPr>
            <a:r>
              <a:rPr lang="ru-RU" sz="1200" b="0" baseline="0">
                <a:solidFill>
                  <a:schemeClr val="tx1"/>
                </a:solidFill>
                <a:latin typeface="Bahnschrift" panose="020B0502040204020203" pitchFamily="34" charset="0"/>
              </a:rPr>
              <a:t>День уборки:</a:t>
            </a:r>
          </a:p>
          <a:p>
            <a:pPr algn="l">
              <a:spcBef>
                <a:spcPts val="600"/>
              </a:spcBef>
            </a:pPr>
            <a:r>
              <a:rPr lang="ru-RU" sz="1200" b="0" baseline="0">
                <a:solidFill>
                  <a:schemeClr val="tx1"/>
                </a:solidFill>
                <a:latin typeface="Bahnschrift" panose="020B0502040204020203" pitchFamily="34" charset="0"/>
              </a:rPr>
              <a:t>Окончание:</a:t>
            </a:r>
          </a:p>
          <a:p>
            <a:pPr algn="l"/>
            <a:endParaRPr lang="ru-RU" sz="1200" b="0" baseline="0">
              <a:solidFill>
                <a:schemeClr val="tx1"/>
              </a:solidFill>
              <a:latin typeface="Bahnschrift" panose="020B0502040204020203" pitchFamily="34" charset="0"/>
            </a:endParaRPr>
          </a:p>
          <a:p>
            <a:pPr algn="l"/>
            <a:r>
              <a:rPr lang="ru-RU" sz="1200" b="0" baseline="0">
                <a:solidFill>
                  <a:schemeClr val="tx1"/>
                </a:solidFill>
                <a:latin typeface="Bahnschrift" panose="020B0502040204020203" pitchFamily="34" charset="0"/>
              </a:rPr>
              <a:t>Закрытие:</a:t>
            </a:r>
          </a:p>
          <a:p>
            <a:pPr algn="l"/>
            <a:endParaRPr lang="ru-RU" sz="1100" b="0">
              <a:solidFill>
                <a:schemeClr val="tx1"/>
              </a:solidFill>
              <a:latin typeface="Bahnschrift" panose="020B0502040204020203" pitchFamily="34" charset="0"/>
            </a:endParaRPr>
          </a:p>
        </xdr:txBody>
      </xdr:sp>
      <xdr:grpSp>
        <xdr:nvGrpSpPr>
          <xdr:cNvPr id="7" name="Группа 6">
            <a:extLst>
              <a:ext uri="{FF2B5EF4-FFF2-40B4-BE49-F238E27FC236}">
                <a16:creationId xmlns:a16="http://schemas.microsoft.com/office/drawing/2014/main" id="{E213BF6A-12BA-0CAE-22C1-56D5D1895F77}"/>
              </a:ext>
            </a:extLst>
          </xdr:cNvPr>
          <xdr:cNvGrpSpPr/>
        </xdr:nvGrpSpPr>
        <xdr:grpSpPr>
          <a:xfrm>
            <a:off x="683923" y="746485"/>
            <a:ext cx="2300590" cy="1312883"/>
            <a:chOff x="153051" y="781133"/>
            <a:chExt cx="2288412" cy="1181717"/>
          </a:xfrm>
          <a:noFill/>
        </xdr:grpSpPr>
        <xdr:sp macro="" textlink="'ОПЕРФАКТ 2026'!C8">
          <xdr:nvSpPr>
            <xdr:cNvPr id="8" name="Прямоугольник 7">
              <a:extLst>
                <a:ext uri="{FF2B5EF4-FFF2-40B4-BE49-F238E27FC236}">
                  <a16:creationId xmlns:a16="http://schemas.microsoft.com/office/drawing/2014/main" id="{5E83BBEA-8254-6005-77D5-F2230EDD795B}"/>
                </a:ext>
              </a:extLst>
            </xdr:cNvPr>
            <xdr:cNvSpPr/>
          </xdr:nvSpPr>
          <xdr:spPr>
            <a:xfrm>
              <a:off x="1229489" y="1709665"/>
              <a:ext cx="1081128" cy="253185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r"/>
              <a:fld id="{54320306-52CD-429B-AD47-FA75F7C38F42}" type="TxLink">
                <a:rPr lang="en-US" sz="1800" b="0" i="0" u="none" strike="noStrike">
                  <a:solidFill>
                    <a:srgbClr val="000000"/>
                  </a:solidFill>
                  <a:latin typeface="Bahnschrift" panose="020B0502040204020203" pitchFamily="34" charset="0"/>
                  <a:cs typeface="Calibri"/>
                </a:rPr>
                <a:pPr algn="r"/>
                <a:t>9,5%</a:t>
              </a:fld>
              <a:endParaRPr lang="ru-RU" sz="1800" b="0">
                <a:solidFill>
                  <a:schemeClr val="accent2"/>
                </a:solidFill>
                <a:latin typeface="Bahnschrift" panose="020B0502040204020203" pitchFamily="34" charset="0"/>
              </a:endParaRPr>
            </a:p>
          </xdr:txBody>
        </xdr:sp>
        <xdr:sp macro="" textlink="'ОПЕРФАКТ 2026'!C3">
          <xdr:nvSpPr>
            <xdr:cNvPr id="9" name="Прямоугольник 8">
              <a:extLst>
                <a:ext uri="{FF2B5EF4-FFF2-40B4-BE49-F238E27FC236}">
                  <a16:creationId xmlns:a16="http://schemas.microsoft.com/office/drawing/2014/main" id="{A4BFFDC1-BD1F-9DA8-480E-5E512C8ED503}"/>
                </a:ext>
              </a:extLst>
            </xdr:cNvPr>
            <xdr:cNvSpPr/>
          </xdr:nvSpPr>
          <xdr:spPr>
            <a:xfrm>
              <a:off x="1023247" y="871975"/>
              <a:ext cx="1314523" cy="25400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marL="0" indent="0" algn="r"/>
              <a:fld id="{4A89F6A6-E6E0-4229-80CD-B386DA48AB55}" type="TxLink">
                <a:rPr lang="en-US" sz="1400" b="0" i="0" u="none" strike="noStrike">
                  <a:solidFill>
                    <a:srgbClr val="000000"/>
                  </a:solidFill>
                  <a:latin typeface="Bahnschrift" panose="020B0502040204020203" pitchFamily="34" charset="0"/>
                  <a:ea typeface="+mn-ea"/>
                  <a:cs typeface="Calibri"/>
                </a:rPr>
                <a:pPr marL="0" indent="0" algn="r"/>
                <a:t>03.08.2026</a:t>
              </a:fld>
              <a:endParaRPr lang="ru-RU" sz="1400" b="0" i="0" u="none" strike="noStrike">
                <a:solidFill>
                  <a:srgbClr val="000000"/>
                </a:solidFill>
                <a:latin typeface="Bahnschrift" panose="020B0502040204020203" pitchFamily="34" charset="0"/>
                <a:ea typeface="+mn-ea"/>
                <a:cs typeface="Calibri"/>
              </a:endParaRPr>
            </a:p>
          </xdr:txBody>
        </xdr:sp>
        <xdr:sp macro="" textlink="'ОПЕРФАКТ 2026'!C4">
          <xdr:nvSpPr>
            <xdr:cNvPr id="10" name="Прямоугольник 9">
              <a:extLst>
                <a:ext uri="{FF2B5EF4-FFF2-40B4-BE49-F238E27FC236}">
                  <a16:creationId xmlns:a16="http://schemas.microsoft.com/office/drawing/2014/main" id="{C6E21EDD-2CB5-3D6B-5AD6-ABE0B9BBEF82}"/>
                </a:ext>
              </a:extLst>
            </xdr:cNvPr>
            <xdr:cNvSpPr/>
          </xdr:nvSpPr>
          <xdr:spPr>
            <a:xfrm>
              <a:off x="1620332" y="1434404"/>
              <a:ext cx="821131" cy="224256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r"/>
              <a:fld id="{1384DAD0-D24C-47F8-9C06-4915F2D30689}" type="TxLink">
                <a:rPr lang="en-US" sz="1100" b="0" i="0" u="none" strike="noStrike">
                  <a:solidFill>
                    <a:srgbClr val="000000"/>
                  </a:solidFill>
                  <a:latin typeface="Calibri"/>
                  <a:cs typeface="Calibri"/>
                </a:rPr>
                <a:pPr algn="r"/>
                <a:t> </a:t>
              </a:fld>
              <a:endParaRPr lang="ru-RU" sz="1600" b="0">
                <a:solidFill>
                  <a:sysClr val="windowText" lastClr="000000"/>
                </a:solidFill>
                <a:latin typeface="Bahnschrift" panose="020B0502040204020203" pitchFamily="34" charset="0"/>
              </a:endParaRPr>
            </a:p>
          </xdr:txBody>
        </xdr:sp>
        <xdr:cxnSp macro="">
          <xdr:nvCxnSpPr>
            <xdr:cNvPr id="11" name="Прямая соединительная линия 10">
              <a:extLst>
                <a:ext uri="{FF2B5EF4-FFF2-40B4-BE49-F238E27FC236}">
                  <a16:creationId xmlns:a16="http://schemas.microsoft.com/office/drawing/2014/main" id="{1A455C63-1BBA-7E4D-8313-668A9EEC0EB4}"/>
                </a:ext>
              </a:extLst>
            </xdr:cNvPr>
            <xdr:cNvCxnSpPr/>
          </xdr:nvCxnSpPr>
          <xdr:spPr>
            <a:xfrm>
              <a:off x="153051" y="781133"/>
              <a:ext cx="2127657" cy="2034"/>
            </a:xfrm>
            <a:prstGeom prst="line">
              <a:avLst/>
            </a:prstGeom>
            <a:ln>
              <a:solidFill>
                <a:schemeClr val="bg2">
                  <a:lumMod val="50000"/>
                </a:schemeClr>
              </a:solidFill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</xdr:cxnSp>
      </xdr:grpSp>
    </xdr:grpSp>
    <xdr:clientData/>
  </xdr:twoCellAnchor>
  <xdr:twoCellAnchor editAs="oneCell">
    <xdr:from>
      <xdr:col>10</xdr:col>
      <xdr:colOff>279400</xdr:colOff>
      <xdr:row>13</xdr:row>
      <xdr:rowOff>4763</xdr:rowOff>
    </xdr:from>
    <xdr:to>
      <xdr:col>14</xdr:col>
      <xdr:colOff>150336</xdr:colOff>
      <xdr:row>21</xdr:row>
      <xdr:rowOff>160346</xdr:rowOff>
    </xdr:to>
    <xdr:pic>
      <xdr:nvPicPr>
        <xdr:cNvPr id="12" name="Рисунок 11" descr="кукуруза на белом фоне: 2 тыс изображений найдено в Яндекс Картинках">
          <a:extLst>
            <a:ext uri="{FF2B5EF4-FFF2-40B4-BE49-F238E27FC236}">
              <a16:creationId xmlns:a16="http://schemas.microsoft.com/office/drawing/2014/main" id="{AAB64EEB-3DF9-4B09-9A3C-CE52F34961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75400" y="2493963"/>
          <a:ext cx="2309336" cy="15779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12</xdr:col>
      <xdr:colOff>117581</xdr:colOff>
      <xdr:row>1</xdr:row>
      <xdr:rowOff>54700</xdr:rowOff>
    </xdr:from>
    <xdr:to>
      <xdr:col>16</xdr:col>
      <xdr:colOff>265559</xdr:colOff>
      <xdr:row>10</xdr:row>
      <xdr:rowOff>100396</xdr:rowOff>
    </xdr:to>
    <xdr:grpSp>
      <xdr:nvGrpSpPr>
        <xdr:cNvPr id="16" name="Группа 15">
          <a:extLst>
            <a:ext uri="{FF2B5EF4-FFF2-40B4-BE49-F238E27FC236}">
              <a16:creationId xmlns:a16="http://schemas.microsoft.com/office/drawing/2014/main" id="{0F58EB8C-F685-4464-8ED6-6CA05A4114A3}"/>
            </a:ext>
          </a:extLst>
        </xdr:cNvPr>
        <xdr:cNvGrpSpPr/>
      </xdr:nvGrpSpPr>
      <xdr:grpSpPr>
        <a:xfrm>
          <a:off x="7356581" y="403950"/>
          <a:ext cx="2560978" cy="1760196"/>
          <a:chOff x="6438863" y="466725"/>
          <a:chExt cx="2488405" cy="1756659"/>
        </a:xfrm>
      </xdr:grpSpPr>
      <xdr:grpSp>
        <xdr:nvGrpSpPr>
          <xdr:cNvPr id="17" name="Группа 16">
            <a:extLst>
              <a:ext uri="{FF2B5EF4-FFF2-40B4-BE49-F238E27FC236}">
                <a16:creationId xmlns:a16="http://schemas.microsoft.com/office/drawing/2014/main" id="{CBC30652-77B3-F8F3-E2EB-3B4C1789296D}"/>
              </a:ext>
            </a:extLst>
          </xdr:cNvPr>
          <xdr:cNvGrpSpPr/>
        </xdr:nvGrpSpPr>
        <xdr:grpSpPr>
          <a:xfrm>
            <a:off x="6438863" y="466725"/>
            <a:ext cx="2488405" cy="1735668"/>
            <a:chOff x="31750" y="476249"/>
            <a:chExt cx="2444750" cy="1562264"/>
          </a:xfrm>
          <a:noFill/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grpSpPr>
        <xdr:sp macro="" textlink="">
          <xdr:nvSpPr>
            <xdr:cNvPr id="19" name="Прямоугольник 18">
              <a:extLst>
                <a:ext uri="{FF2B5EF4-FFF2-40B4-BE49-F238E27FC236}">
                  <a16:creationId xmlns:a16="http://schemas.microsoft.com/office/drawing/2014/main" id="{C09167EB-4F23-2957-8C0F-3E6225719B9E}"/>
                </a:ext>
              </a:extLst>
            </xdr:cNvPr>
            <xdr:cNvSpPr/>
          </xdr:nvSpPr>
          <xdr:spPr>
            <a:xfrm>
              <a:off x="31750" y="476249"/>
              <a:ext cx="2444750" cy="1562264"/>
            </a:xfrm>
            <a:prstGeom prst="rect">
              <a:avLst/>
            </a:prstGeom>
            <a:ln/>
          </xdr:spPr>
          <xdr:style>
            <a:lnRef idx="2">
              <a:schemeClr val="accent4"/>
            </a:lnRef>
            <a:fillRef idx="1">
              <a:schemeClr val="lt1"/>
            </a:fillRef>
            <a:effectRef idx="0">
              <a:schemeClr val="accent4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ru-RU" sz="1400" b="1">
                  <a:solidFill>
                    <a:schemeClr val="tx1"/>
                  </a:solidFill>
                  <a:latin typeface="Bahnschrift" panose="020B0502040204020203" pitchFamily="34" charset="0"/>
                </a:rPr>
                <a:t>ВАЛОВЫЙ СБОР</a:t>
              </a:r>
              <a:r>
                <a:rPr lang="ru-RU" sz="1400" b="1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, тонны</a:t>
              </a:r>
            </a:p>
            <a:p>
              <a:pPr algn="l"/>
              <a:endParaRPr lang="ru-RU" sz="6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/>
              <a:endParaRPr lang="ru-RU" sz="11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Bahnschrift" panose="020B0502040204020203" pitchFamily="34" charset="0"/>
                </a:rPr>
                <a:t>План:</a:t>
              </a:r>
            </a:p>
            <a:p>
              <a:pPr algn="l">
                <a:lnSpc>
                  <a:spcPct val="85000"/>
                </a:lnSpc>
              </a:pPr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Факт:</a:t>
              </a:r>
            </a:p>
            <a:p>
              <a:pPr algn="l"/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/>
              <a:endParaRPr lang="ru-RU" sz="1100" b="0">
                <a:solidFill>
                  <a:schemeClr val="tx1"/>
                </a:solidFill>
                <a:latin typeface="Bahnschrift" panose="020B0502040204020203" pitchFamily="34" charset="0"/>
              </a:endParaRPr>
            </a:p>
          </xdr:txBody>
        </xdr:sp>
        <xdr:grpSp>
          <xdr:nvGrpSpPr>
            <xdr:cNvPr id="20" name="Группа 19">
              <a:extLst>
                <a:ext uri="{FF2B5EF4-FFF2-40B4-BE49-F238E27FC236}">
                  <a16:creationId xmlns:a16="http://schemas.microsoft.com/office/drawing/2014/main" id="{CE585D22-1DD4-1210-FDE2-AE4D1F5EFC68}"/>
                </a:ext>
              </a:extLst>
            </xdr:cNvPr>
            <xdr:cNvGrpSpPr/>
          </xdr:nvGrpSpPr>
          <xdr:grpSpPr>
            <a:xfrm>
              <a:off x="153051" y="781133"/>
              <a:ext cx="2274732" cy="1184717"/>
              <a:chOff x="153051" y="781133"/>
              <a:chExt cx="2274732" cy="1184717"/>
            </a:xfrm>
            <a:grpFill/>
          </xdr:grpSpPr>
          <xdr:sp macro="" textlink="'ОПЕРФАКТ 2026'!C34">
            <xdr:nvSpPr>
              <xdr:cNvPr id="21" name="Прямоугольник 20">
                <a:extLst>
                  <a:ext uri="{FF2B5EF4-FFF2-40B4-BE49-F238E27FC236}">
                    <a16:creationId xmlns:a16="http://schemas.microsoft.com/office/drawing/2014/main" id="{A7D9FC6E-DD96-BE37-C404-23823684CDE8}"/>
                  </a:ext>
                </a:extLst>
              </xdr:cNvPr>
              <xdr:cNvSpPr/>
            </xdr:nvSpPr>
            <xdr:spPr>
              <a:xfrm>
                <a:off x="1627101" y="1750676"/>
                <a:ext cx="800682" cy="215174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4"/>
              </a:lnRef>
              <a:fillRef idx="1">
                <a:schemeClr val="lt1"/>
              </a:fillRef>
              <a:effectRef idx="0">
                <a:schemeClr val="accent4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400A28E9-F234-4653-A6B1-9B013C4A9C02}" type="TxLink">
                  <a:rPr lang="en-US" sz="2000" b="0" i="0" u="none" strike="noStrike">
                    <a:solidFill>
                      <a:srgbClr val="000000"/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10,7%</a:t>
                </a:fld>
                <a:endParaRPr lang="ru-RU" sz="2000" b="0">
                  <a:solidFill>
                    <a:schemeClr val="accent4">
                      <a:lumMod val="75000"/>
                    </a:schemeClr>
                  </a:solidFill>
                  <a:latin typeface="Bahnschrift" panose="020B0502040204020203" pitchFamily="34" charset="0"/>
                </a:endParaRPr>
              </a:p>
            </xdr:txBody>
          </xdr:sp>
          <xdr:sp macro="" textlink="'ОПЕРФАКТ 2026'!C33">
            <xdr:nvSpPr>
              <xdr:cNvPr id="22" name="Прямоугольник 21">
                <a:extLst>
                  <a:ext uri="{FF2B5EF4-FFF2-40B4-BE49-F238E27FC236}">
                    <a16:creationId xmlns:a16="http://schemas.microsoft.com/office/drawing/2014/main" id="{A74820E3-9289-F770-F458-5E1C5A93DE50}"/>
                  </a:ext>
                </a:extLst>
              </xdr:cNvPr>
              <xdr:cNvSpPr/>
            </xdr:nvSpPr>
            <xdr:spPr>
              <a:xfrm>
                <a:off x="1019484" y="1157015"/>
                <a:ext cx="1406787" cy="199550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4"/>
              </a:lnRef>
              <a:fillRef idx="1">
                <a:schemeClr val="lt1"/>
              </a:fillRef>
              <a:effectRef idx="0">
                <a:schemeClr val="accent4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B5512322-D23F-41CA-B039-B2EF1F8445B3}" type="TxLink">
                  <a:rPr lang="en-US" sz="2000" b="0" i="0" u="none" strike="noStrike">
                    <a:solidFill>
                      <a:srgbClr val="000000"/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3 980</a:t>
                </a:fld>
                <a:endParaRPr lang="ru-RU" sz="2000" b="0">
                  <a:solidFill>
                    <a:sysClr val="windowText" lastClr="000000"/>
                  </a:solidFill>
                  <a:latin typeface="Bahnschrift" panose="020B0502040204020203" pitchFamily="34" charset="0"/>
                </a:endParaRPr>
              </a:p>
            </xdr:txBody>
          </xdr:sp>
          <xdr:cxnSp macro="">
            <xdr:nvCxnSpPr>
              <xdr:cNvPr id="23" name="Прямая соединительная линия 22">
                <a:extLst>
                  <a:ext uri="{FF2B5EF4-FFF2-40B4-BE49-F238E27FC236}">
                    <a16:creationId xmlns:a16="http://schemas.microsoft.com/office/drawing/2014/main" id="{590C0D00-B9A8-129B-D9CD-7201D848E966}"/>
                  </a:ext>
                </a:extLst>
              </xdr:cNvPr>
              <xdr:cNvCxnSpPr/>
            </xdr:nvCxnSpPr>
            <xdr:spPr>
              <a:xfrm>
                <a:off x="153051" y="781133"/>
                <a:ext cx="2127657" cy="2034"/>
              </a:xfrm>
              <a:prstGeom prst="line">
                <a:avLst/>
              </a:prstGeom>
              <a:ln/>
            </xdr:spPr>
            <xdr:style>
              <a:lnRef idx="2">
                <a:schemeClr val="accent4"/>
              </a:lnRef>
              <a:fillRef idx="1">
                <a:schemeClr val="lt1"/>
              </a:fillRef>
              <a:effectRef idx="0">
                <a:schemeClr val="accent4"/>
              </a:effectRef>
              <a:fontRef idx="minor">
                <a:schemeClr val="dk1"/>
              </a:fontRef>
            </xdr:style>
          </xdr:cxnSp>
        </xdr:grpSp>
      </xdr:grpSp>
      <xdr:pic>
        <xdr:nvPicPr>
          <xdr:cNvPr id="18" name="Рисунок 17" descr="Самосвал">
            <a:extLst>
              <a:ext uri="{FF2B5EF4-FFF2-40B4-BE49-F238E27FC236}">
                <a16:creationId xmlns:a16="http://schemas.microsoft.com/office/drawing/2014/main" id="{F0B43F92-E449-9FD9-8EDC-67DBC4FFC76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5"/>
              </a:ext>
            </a:extLst>
          </a:blip>
          <a:stretch>
            <a:fillRect/>
          </a:stretch>
        </xdr:blipFill>
        <xdr:spPr>
          <a:xfrm>
            <a:off x="6956363" y="1607227"/>
            <a:ext cx="666749" cy="616157"/>
          </a:xfrm>
          <a:prstGeom prst="rect">
            <a:avLst/>
          </a:prstGeom>
        </xdr:spPr>
      </xdr:pic>
    </xdr:grpSp>
    <xdr:clientData/>
  </xdr:twoCellAnchor>
  <xdr:twoCellAnchor>
    <xdr:from>
      <xdr:col>6</xdr:col>
      <xdr:colOff>358754</xdr:colOff>
      <xdr:row>1</xdr:row>
      <xdr:rowOff>58510</xdr:rowOff>
    </xdr:from>
    <xdr:to>
      <xdr:col>10</xdr:col>
      <xdr:colOff>365563</xdr:colOff>
      <xdr:row>10</xdr:row>
      <xdr:rowOff>115098</xdr:rowOff>
    </xdr:to>
    <xdr:grpSp>
      <xdr:nvGrpSpPr>
        <xdr:cNvPr id="24" name="Группа 23">
          <a:extLst>
            <a:ext uri="{FF2B5EF4-FFF2-40B4-BE49-F238E27FC236}">
              <a16:creationId xmlns:a16="http://schemas.microsoft.com/office/drawing/2014/main" id="{5A27CC04-2F7E-4CDD-9045-1AE08F803110}"/>
            </a:ext>
          </a:extLst>
        </xdr:cNvPr>
        <xdr:cNvGrpSpPr/>
      </xdr:nvGrpSpPr>
      <xdr:grpSpPr>
        <a:xfrm>
          <a:off x="3978254" y="407760"/>
          <a:ext cx="2419809" cy="1771088"/>
          <a:chOff x="3523572" y="466725"/>
          <a:chExt cx="2357454" cy="1771635"/>
        </a:xfrm>
      </xdr:grpSpPr>
      <xdr:grpSp>
        <xdr:nvGrpSpPr>
          <xdr:cNvPr id="25" name="Группа 24">
            <a:extLst>
              <a:ext uri="{FF2B5EF4-FFF2-40B4-BE49-F238E27FC236}">
                <a16:creationId xmlns:a16="http://schemas.microsoft.com/office/drawing/2014/main" id="{CE126FF8-3E1B-4D72-B635-82437425A64A}"/>
              </a:ext>
            </a:extLst>
          </xdr:cNvPr>
          <xdr:cNvGrpSpPr/>
        </xdr:nvGrpSpPr>
        <xdr:grpSpPr>
          <a:xfrm>
            <a:off x="3523572" y="466725"/>
            <a:ext cx="2357454" cy="1735668"/>
            <a:chOff x="31750" y="476249"/>
            <a:chExt cx="2444750" cy="1562264"/>
          </a:xfrm>
          <a:noFill/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grpSpPr>
        <xdr:sp macro="" textlink="">
          <xdr:nvSpPr>
            <xdr:cNvPr id="27" name="Прямоугольник 26">
              <a:extLst>
                <a:ext uri="{FF2B5EF4-FFF2-40B4-BE49-F238E27FC236}">
                  <a16:creationId xmlns:a16="http://schemas.microsoft.com/office/drawing/2014/main" id="{19382AE3-4A80-D561-0418-02925F87D4E9}"/>
                </a:ext>
              </a:extLst>
            </xdr:cNvPr>
            <xdr:cNvSpPr/>
          </xdr:nvSpPr>
          <xdr:spPr>
            <a:xfrm>
              <a:off x="31750" y="476249"/>
              <a:ext cx="2444750" cy="1562264"/>
            </a:xfrm>
            <a:prstGeom prst="rect">
              <a:avLst/>
            </a:prstGeom>
            <a:ln/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ru-RU" sz="1400" b="1">
                  <a:solidFill>
                    <a:schemeClr val="tx1"/>
                  </a:solidFill>
                  <a:latin typeface="Bahnschrift" panose="020B0502040204020203" pitchFamily="34" charset="0"/>
                </a:rPr>
                <a:t>ПЛОЩАДЬ УБОРКИ, га</a:t>
              </a:r>
              <a:endParaRPr lang="ru-RU" sz="1400" b="1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/>
              <a:endParaRPr lang="ru-RU" sz="6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План:</a:t>
              </a:r>
            </a:p>
            <a:p>
              <a:pPr algn="l">
                <a:lnSpc>
                  <a:spcPct val="85000"/>
                </a:lnSpc>
              </a:pPr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Факт:</a:t>
              </a:r>
            </a:p>
            <a:p>
              <a:pPr algn="l"/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/>
              <a:endParaRPr lang="ru-RU" sz="1100" b="0">
                <a:solidFill>
                  <a:schemeClr val="tx1"/>
                </a:solidFill>
                <a:latin typeface="Bahnschrift" panose="020B0502040204020203" pitchFamily="34" charset="0"/>
              </a:endParaRPr>
            </a:p>
          </xdr:txBody>
        </xdr:sp>
        <xdr:grpSp>
          <xdr:nvGrpSpPr>
            <xdr:cNvPr id="28" name="Группа 27">
              <a:extLst>
                <a:ext uri="{FF2B5EF4-FFF2-40B4-BE49-F238E27FC236}">
                  <a16:creationId xmlns:a16="http://schemas.microsoft.com/office/drawing/2014/main" id="{046B5C95-491E-41BA-ECCE-80FA67CD08F2}"/>
                </a:ext>
              </a:extLst>
            </xdr:cNvPr>
            <xdr:cNvGrpSpPr/>
          </xdr:nvGrpSpPr>
          <xdr:grpSpPr>
            <a:xfrm>
              <a:off x="153051" y="781133"/>
              <a:ext cx="2221994" cy="1215643"/>
              <a:chOff x="153051" y="781133"/>
              <a:chExt cx="2221994" cy="1215643"/>
            </a:xfrm>
            <a:grpFill/>
          </xdr:grpSpPr>
          <xdr:sp macro="" textlink="'ОПЕРФАКТ 2026'!C16">
            <xdr:nvSpPr>
              <xdr:cNvPr id="29" name="Прямоугольник 28">
                <a:extLst>
                  <a:ext uri="{FF2B5EF4-FFF2-40B4-BE49-F238E27FC236}">
                    <a16:creationId xmlns:a16="http://schemas.microsoft.com/office/drawing/2014/main" id="{A293EAB9-0632-077B-5AEA-065297F58F49}"/>
                  </a:ext>
                </a:extLst>
              </xdr:cNvPr>
              <xdr:cNvSpPr/>
            </xdr:nvSpPr>
            <xdr:spPr>
              <a:xfrm>
                <a:off x="1501520" y="1703411"/>
                <a:ext cx="873525" cy="293365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626CABA3-D8E4-47A4-99E1-AB394A4788F5}" type="TxLink">
                  <a:rPr lang="en-US" sz="2000" b="0" i="0" u="none" strike="noStrike">
                    <a:solidFill>
                      <a:srgbClr val="000000"/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9,6%</a:t>
                </a:fld>
                <a:endParaRPr lang="ru-RU" sz="2000" b="0">
                  <a:solidFill>
                    <a:schemeClr val="accent6">
                      <a:lumMod val="75000"/>
                    </a:schemeClr>
                  </a:solidFill>
                  <a:latin typeface="Bahnschrift" panose="020B0502040204020203" pitchFamily="34" charset="0"/>
                </a:endParaRPr>
              </a:p>
            </xdr:txBody>
          </xdr:sp>
          <xdr:sp macro="" textlink="'ОПЕРФАКТ 2026'!C13">
            <xdr:nvSpPr>
              <xdr:cNvPr id="30" name="Прямоугольник 29">
                <a:extLst>
                  <a:ext uri="{FF2B5EF4-FFF2-40B4-BE49-F238E27FC236}">
                    <a16:creationId xmlns:a16="http://schemas.microsoft.com/office/drawing/2014/main" id="{CB6BFA5C-A12A-5160-440E-F29A0C0DD1E9}"/>
                  </a:ext>
                </a:extLst>
              </xdr:cNvPr>
              <xdr:cNvSpPr/>
            </xdr:nvSpPr>
            <xdr:spPr>
              <a:xfrm>
                <a:off x="1149443" y="903068"/>
                <a:ext cx="1084792" cy="254000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DB25AD81-2A6A-47B4-87F5-18BE41FE7106}" type="TxLink">
                  <a:rPr lang="en-US" sz="2000" b="0" i="0" u="none" strike="noStrike">
                    <a:solidFill>
                      <a:schemeClr val="bg2">
                        <a:lumMod val="50000"/>
                      </a:schemeClr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2 164,5</a:t>
                </a:fld>
                <a:endParaRPr lang="ru-RU" sz="2000" b="0">
                  <a:solidFill>
                    <a:schemeClr val="bg2">
                      <a:lumMod val="50000"/>
                    </a:schemeClr>
                  </a:solidFill>
                  <a:latin typeface="Bahnschrift" panose="020B0502040204020203" pitchFamily="34" charset="0"/>
                </a:endParaRPr>
              </a:p>
            </xdr:txBody>
          </xdr:sp>
          <xdr:sp macro="" textlink="'ОПЕРФАКТ 2026'!C15">
            <xdr:nvSpPr>
              <xdr:cNvPr id="31" name="Прямоугольник 30">
                <a:extLst>
                  <a:ext uri="{FF2B5EF4-FFF2-40B4-BE49-F238E27FC236}">
                    <a16:creationId xmlns:a16="http://schemas.microsoft.com/office/drawing/2014/main" id="{9DEFD220-F58E-2791-A4E6-AD35B5143E08}"/>
                  </a:ext>
                </a:extLst>
              </xdr:cNvPr>
              <xdr:cNvSpPr/>
            </xdr:nvSpPr>
            <xdr:spPr>
              <a:xfrm>
                <a:off x="1162463" y="1183585"/>
                <a:ext cx="1083165" cy="254000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1C054A7A-B269-4AB1-8583-AA5F7D0515AD}" type="TxLink">
                  <a:rPr lang="en-US" sz="2000" b="0" i="0" u="none" strike="noStrike">
                    <a:solidFill>
                      <a:srgbClr val="000000"/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208,0</a:t>
                </a:fld>
                <a:endParaRPr lang="ru-RU" sz="2000" b="0">
                  <a:solidFill>
                    <a:sysClr val="windowText" lastClr="000000"/>
                  </a:solidFill>
                  <a:latin typeface="Bahnschrift" panose="020B0502040204020203" pitchFamily="34" charset="0"/>
                </a:endParaRPr>
              </a:p>
            </xdr:txBody>
          </xdr:sp>
          <xdr:cxnSp macro="">
            <xdr:nvCxnSpPr>
              <xdr:cNvPr id="32" name="Прямая соединительная линия 31">
                <a:extLst>
                  <a:ext uri="{FF2B5EF4-FFF2-40B4-BE49-F238E27FC236}">
                    <a16:creationId xmlns:a16="http://schemas.microsoft.com/office/drawing/2014/main" id="{DF031E88-375D-E6D5-ED77-E9A63688CF84}"/>
                  </a:ext>
                </a:extLst>
              </xdr:cNvPr>
              <xdr:cNvCxnSpPr/>
            </xdr:nvCxnSpPr>
            <xdr:spPr>
              <a:xfrm>
                <a:off x="153051" y="781133"/>
                <a:ext cx="2127657" cy="2034"/>
              </a:xfrm>
              <a:prstGeom prst="line">
                <a:avLst/>
              </a:prstGeom>
              <a:ln/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</xdr:cxnSp>
        </xdr:grpSp>
      </xdr:grpSp>
      <xdr:pic>
        <xdr:nvPicPr>
          <xdr:cNvPr id="26" name="Рисунок 25" descr="Карта с кнопкой">
            <a:extLst>
              <a:ext uri="{FF2B5EF4-FFF2-40B4-BE49-F238E27FC236}">
                <a16:creationId xmlns:a16="http://schemas.microsoft.com/office/drawing/2014/main" id="{8F7CA19D-1047-584D-5C4F-4BEE281F10D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7"/>
              </a:ext>
            </a:extLst>
          </a:blip>
          <a:stretch>
            <a:fillRect/>
          </a:stretch>
        </xdr:blipFill>
        <xdr:spPr>
          <a:xfrm>
            <a:off x="3970477" y="1547799"/>
            <a:ext cx="690561" cy="690561"/>
          </a:xfrm>
          <a:prstGeom prst="rect">
            <a:avLst/>
          </a:prstGeom>
        </xdr:spPr>
      </xdr:pic>
    </xdr:grpSp>
    <xdr:clientData/>
  </xdr:twoCellAnchor>
  <xdr:twoCellAnchor>
    <xdr:from>
      <xdr:col>18</xdr:col>
      <xdr:colOff>21387</xdr:colOff>
      <xdr:row>1</xdr:row>
      <xdr:rowOff>54700</xdr:rowOff>
    </xdr:from>
    <xdr:to>
      <xdr:col>22</xdr:col>
      <xdr:colOff>169363</xdr:colOff>
      <xdr:row>10</xdr:row>
      <xdr:rowOff>82174</xdr:rowOff>
    </xdr:to>
    <xdr:grpSp>
      <xdr:nvGrpSpPr>
        <xdr:cNvPr id="33" name="Группа 32">
          <a:extLst>
            <a:ext uri="{FF2B5EF4-FFF2-40B4-BE49-F238E27FC236}">
              <a16:creationId xmlns:a16="http://schemas.microsoft.com/office/drawing/2014/main" id="{FF843980-ACE2-47BC-BF94-ED523FB17451}"/>
            </a:ext>
          </a:extLst>
        </xdr:cNvPr>
        <xdr:cNvGrpSpPr/>
      </xdr:nvGrpSpPr>
      <xdr:grpSpPr>
        <a:xfrm>
          <a:off x="10879887" y="403950"/>
          <a:ext cx="2560976" cy="1741974"/>
          <a:chOff x="9501188" y="464344"/>
          <a:chExt cx="2488405" cy="1738197"/>
        </a:xfrm>
      </xdr:grpSpPr>
      <xdr:grpSp>
        <xdr:nvGrpSpPr>
          <xdr:cNvPr id="34" name="Группа 33">
            <a:extLst>
              <a:ext uri="{FF2B5EF4-FFF2-40B4-BE49-F238E27FC236}">
                <a16:creationId xmlns:a16="http://schemas.microsoft.com/office/drawing/2014/main" id="{F71F1260-CE4D-B440-84F1-580A5034FC42}"/>
              </a:ext>
            </a:extLst>
          </xdr:cNvPr>
          <xdr:cNvGrpSpPr/>
        </xdr:nvGrpSpPr>
        <xdr:grpSpPr>
          <a:xfrm>
            <a:off x="9501188" y="464344"/>
            <a:ext cx="2488405" cy="1735668"/>
            <a:chOff x="31750" y="476249"/>
            <a:chExt cx="2444750" cy="1562264"/>
          </a:xfrm>
          <a:noFill/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grpSpPr>
        <xdr:sp macro="" textlink="">
          <xdr:nvSpPr>
            <xdr:cNvPr id="36" name="Прямоугольник 35">
              <a:extLst>
                <a:ext uri="{FF2B5EF4-FFF2-40B4-BE49-F238E27FC236}">
                  <a16:creationId xmlns:a16="http://schemas.microsoft.com/office/drawing/2014/main" id="{17F68D30-58BE-3CE1-BD6E-677031DBD843}"/>
                </a:ext>
              </a:extLst>
            </xdr:cNvPr>
            <xdr:cNvSpPr/>
          </xdr:nvSpPr>
          <xdr:spPr>
            <a:xfrm>
              <a:off x="31750" y="476249"/>
              <a:ext cx="2444750" cy="1562264"/>
            </a:xfrm>
            <a:prstGeom prst="rect">
              <a:avLst/>
            </a:prstGeom>
            <a:ln/>
          </xdr:spPr>
          <xdr:style>
            <a:lnRef idx="2">
              <a:schemeClr val="accent5"/>
            </a:lnRef>
            <a:fillRef idx="1">
              <a:schemeClr val="lt1"/>
            </a:fillRef>
            <a:effectRef idx="0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ru-RU" sz="1400" b="1">
                  <a:solidFill>
                    <a:schemeClr val="tx1"/>
                  </a:solidFill>
                  <a:latin typeface="Bahnschrift" panose="020B0502040204020203" pitchFamily="34" charset="0"/>
                </a:rPr>
                <a:t>УРОЖАЙНОСТЬ</a:t>
              </a:r>
              <a:r>
                <a:rPr lang="ru-RU" sz="1400" b="1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, т/га</a:t>
              </a:r>
            </a:p>
            <a:p>
              <a:pPr algn="l"/>
              <a:endParaRPr lang="ru-RU" sz="6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endParaRPr lang="ru-RU" sz="11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Bahnschrift" panose="020B0502040204020203" pitchFamily="34" charset="0"/>
                </a:rPr>
                <a:t>План:</a:t>
              </a:r>
            </a:p>
            <a:p>
              <a:pPr algn="l">
                <a:lnSpc>
                  <a:spcPct val="85000"/>
                </a:lnSpc>
              </a:pPr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Факт:</a:t>
              </a:r>
            </a:p>
            <a:p>
              <a:pPr algn="l"/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/>
              <a:endParaRPr lang="ru-RU" sz="1100" b="0">
                <a:solidFill>
                  <a:schemeClr val="tx1"/>
                </a:solidFill>
                <a:latin typeface="Bahnschrift" panose="020B0502040204020203" pitchFamily="34" charset="0"/>
              </a:endParaRPr>
            </a:p>
          </xdr:txBody>
        </xdr:sp>
        <xdr:grpSp>
          <xdr:nvGrpSpPr>
            <xdr:cNvPr id="37" name="Группа 36">
              <a:extLst>
                <a:ext uri="{FF2B5EF4-FFF2-40B4-BE49-F238E27FC236}">
                  <a16:creationId xmlns:a16="http://schemas.microsoft.com/office/drawing/2014/main" id="{7C80A74D-76BC-90CE-89B3-2D9625C81171}"/>
                </a:ext>
              </a:extLst>
            </xdr:cNvPr>
            <xdr:cNvGrpSpPr/>
          </xdr:nvGrpSpPr>
          <xdr:grpSpPr>
            <a:xfrm>
              <a:off x="153051" y="781133"/>
              <a:ext cx="2147401" cy="590733"/>
              <a:chOff x="153051" y="781133"/>
              <a:chExt cx="2147401" cy="590733"/>
            </a:xfrm>
            <a:grpFill/>
          </xdr:grpSpPr>
          <xdr:sp macro="" textlink="'ОПЕРФАКТ 2026'!C44">
            <xdr:nvSpPr>
              <xdr:cNvPr id="38" name="Прямоугольник 37">
                <a:extLst>
                  <a:ext uri="{FF2B5EF4-FFF2-40B4-BE49-F238E27FC236}">
                    <a16:creationId xmlns:a16="http://schemas.microsoft.com/office/drawing/2014/main" id="{5240AEF3-23A3-C366-BFEF-A2BF96735565}"/>
                  </a:ext>
                </a:extLst>
              </xdr:cNvPr>
              <xdr:cNvSpPr/>
            </xdr:nvSpPr>
            <xdr:spPr>
              <a:xfrm>
                <a:off x="1215660" y="1117866"/>
                <a:ext cx="1084792" cy="254000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5"/>
              </a:lnRef>
              <a:fillRef idx="1">
                <a:schemeClr val="lt1"/>
              </a:fillRef>
              <a:effectRef idx="0">
                <a:schemeClr val="accent5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19E62BAB-84DC-484E-853A-8C3B324A3E67}" type="TxLink">
                  <a:rPr lang="en-US" sz="2000" b="0" i="0" u="none" strike="noStrike">
                    <a:solidFill>
                      <a:srgbClr val="000000"/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19,1</a:t>
                </a:fld>
                <a:endParaRPr lang="ru-RU" sz="2000" b="0">
                  <a:solidFill>
                    <a:sysClr val="windowText" lastClr="000000"/>
                  </a:solidFill>
                  <a:latin typeface="Bahnschrift" panose="020B0502040204020203" pitchFamily="34" charset="0"/>
                </a:endParaRPr>
              </a:p>
            </xdr:txBody>
          </xdr:sp>
          <xdr:cxnSp macro="">
            <xdr:nvCxnSpPr>
              <xdr:cNvPr id="39" name="Прямая соединительная линия 38">
                <a:extLst>
                  <a:ext uri="{FF2B5EF4-FFF2-40B4-BE49-F238E27FC236}">
                    <a16:creationId xmlns:a16="http://schemas.microsoft.com/office/drawing/2014/main" id="{5E6526D1-2365-376E-2833-DD3D99CE7330}"/>
                  </a:ext>
                </a:extLst>
              </xdr:cNvPr>
              <xdr:cNvCxnSpPr/>
            </xdr:nvCxnSpPr>
            <xdr:spPr>
              <a:xfrm>
                <a:off x="153051" y="781133"/>
                <a:ext cx="2127657" cy="2034"/>
              </a:xfrm>
              <a:prstGeom prst="line">
                <a:avLst/>
              </a:prstGeom>
              <a:ln/>
            </xdr:spPr>
            <xdr:style>
              <a:lnRef idx="2">
                <a:schemeClr val="accent5"/>
              </a:lnRef>
              <a:fillRef idx="1">
                <a:schemeClr val="lt1"/>
              </a:fillRef>
              <a:effectRef idx="0">
                <a:schemeClr val="accent5"/>
              </a:effectRef>
              <a:fontRef idx="minor">
                <a:schemeClr val="dk1"/>
              </a:fontRef>
            </xdr:style>
          </xdr:cxnSp>
        </xdr:grpSp>
      </xdr:grpSp>
      <xdr:pic>
        <xdr:nvPicPr>
          <xdr:cNvPr id="35" name="Рисунок 34" descr="Открытая ладонь с растением">
            <a:extLst>
              <a:ext uri="{FF2B5EF4-FFF2-40B4-BE49-F238E27FC236}">
                <a16:creationId xmlns:a16="http://schemas.microsoft.com/office/drawing/2014/main" id="{733F4579-E5AA-EDE4-79C6-7EC97C24427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9"/>
              </a:ext>
            </a:extLst>
          </a:blip>
          <a:stretch>
            <a:fillRect/>
          </a:stretch>
        </xdr:blipFill>
        <xdr:spPr>
          <a:xfrm>
            <a:off x="9913506" y="1595322"/>
            <a:ext cx="624117" cy="607219"/>
          </a:xfrm>
          <a:prstGeom prst="rect">
            <a:avLst/>
          </a:prstGeom>
        </xdr:spPr>
      </xdr:pic>
    </xdr:grpSp>
    <xdr:clientData/>
  </xdr:twoCellAnchor>
  <xdr:twoCellAnchor>
    <xdr:from>
      <xdr:col>16</xdr:col>
      <xdr:colOff>9927</xdr:colOff>
      <xdr:row>37</xdr:row>
      <xdr:rowOff>76086</xdr:rowOff>
    </xdr:from>
    <xdr:to>
      <xdr:col>35</xdr:col>
      <xdr:colOff>301624</xdr:colOff>
      <xdr:row>56</xdr:row>
      <xdr:rowOff>153110</xdr:rowOff>
    </xdr:to>
    <xdr:grpSp>
      <xdr:nvGrpSpPr>
        <xdr:cNvPr id="40" name="Группа 39">
          <a:extLst>
            <a:ext uri="{FF2B5EF4-FFF2-40B4-BE49-F238E27FC236}">
              <a16:creationId xmlns:a16="http://schemas.microsoft.com/office/drawing/2014/main" id="{4439D9D2-F5F2-4EFB-BA02-3A9AF40C713C}"/>
            </a:ext>
          </a:extLst>
        </xdr:cNvPr>
        <xdr:cNvGrpSpPr/>
      </xdr:nvGrpSpPr>
      <xdr:grpSpPr>
        <a:xfrm>
          <a:off x="9661927" y="7616711"/>
          <a:ext cx="12737697" cy="3696524"/>
          <a:chOff x="7116537" y="6708322"/>
          <a:chExt cx="9505133" cy="3692299"/>
        </a:xfrm>
      </xdr:grpSpPr>
      <xdr:graphicFrame macro="">
        <xdr:nvGraphicFramePr>
          <xdr:cNvPr id="42" name="Диаграмма 41">
            <a:extLst>
              <a:ext uri="{FF2B5EF4-FFF2-40B4-BE49-F238E27FC236}">
                <a16:creationId xmlns:a16="http://schemas.microsoft.com/office/drawing/2014/main" id="{28B857EF-F395-CCF8-FA1A-AD7890A0A21C}"/>
              </a:ext>
            </a:extLst>
          </xdr:cNvPr>
          <xdr:cNvGraphicFramePr>
            <a:graphicFrameLocks/>
          </xdr:cNvGraphicFramePr>
        </xdr:nvGraphicFramePr>
        <xdr:xfrm>
          <a:off x="7116537" y="6709682"/>
          <a:ext cx="4029075" cy="365011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0"/>
          </a:graphicData>
        </a:graphic>
      </xdr:graphicFrame>
      <xdr:graphicFrame macro="">
        <xdr:nvGraphicFramePr>
          <xdr:cNvPr id="43" name="Диаграмма 42">
            <a:extLst>
              <a:ext uri="{FF2B5EF4-FFF2-40B4-BE49-F238E27FC236}">
                <a16:creationId xmlns:a16="http://schemas.microsoft.com/office/drawing/2014/main" id="{3C531120-4747-94EF-DFF7-013ECEA0531B}"/>
              </a:ext>
            </a:extLst>
          </xdr:cNvPr>
          <xdr:cNvGraphicFramePr>
            <a:graphicFrameLocks/>
          </xdr:cNvGraphicFramePr>
        </xdr:nvGraphicFramePr>
        <xdr:xfrm>
          <a:off x="9692368" y="6708322"/>
          <a:ext cx="4357283" cy="365011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1"/>
          </a:graphicData>
        </a:graphic>
      </xdr:graphicFrame>
      <xdr:graphicFrame macro="">
        <xdr:nvGraphicFramePr>
          <xdr:cNvPr id="44" name="Диаграмма 43">
            <a:extLst>
              <a:ext uri="{FF2B5EF4-FFF2-40B4-BE49-F238E27FC236}">
                <a16:creationId xmlns:a16="http://schemas.microsoft.com/office/drawing/2014/main" id="{459391DD-EAF1-E937-5CF8-1A8B2F7CC0C3}"/>
              </a:ext>
            </a:extLst>
          </xdr:cNvPr>
          <xdr:cNvGraphicFramePr>
            <a:graphicFrameLocks/>
          </xdr:cNvGraphicFramePr>
        </xdr:nvGraphicFramePr>
        <xdr:xfrm>
          <a:off x="12031330" y="6750504"/>
          <a:ext cx="4590340" cy="365011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2"/>
          </a:graphicData>
        </a:graphic>
      </xdr:graphicFrame>
    </xdr:grpSp>
    <xdr:clientData/>
  </xdr:twoCellAnchor>
  <xdr:twoCellAnchor>
    <xdr:from>
      <xdr:col>2</xdr:col>
      <xdr:colOff>581025</xdr:colOff>
      <xdr:row>5</xdr:row>
      <xdr:rowOff>0</xdr:rowOff>
    </xdr:from>
    <xdr:to>
      <xdr:col>4</xdr:col>
      <xdr:colOff>471815</xdr:colOff>
      <xdr:row>6</xdr:row>
      <xdr:rowOff>114300</xdr:rowOff>
    </xdr:to>
    <xdr:sp macro="" textlink="'ОПЕРФАКТ 2026'!C7">
      <xdr:nvSpPr>
        <xdr:cNvPr id="45" name="Прямоугольник 44">
          <a:extLst>
            <a:ext uri="{FF2B5EF4-FFF2-40B4-BE49-F238E27FC236}">
              <a16:creationId xmlns:a16="http://schemas.microsoft.com/office/drawing/2014/main" id="{6DB31AE2-2641-47C5-8EF1-5882F2558A38}"/>
            </a:ext>
          </a:extLst>
        </xdr:cNvPr>
        <xdr:cNvSpPr/>
      </xdr:nvSpPr>
      <xdr:spPr>
        <a:xfrm>
          <a:off x="1800225" y="1082040"/>
          <a:ext cx="1109990" cy="297180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indent="0" algn="r"/>
          <a:fld id="{4CEFF0DF-AE42-455C-B5FE-930E66242FB6}" type="TxLink">
            <a:rPr lang="en-US" sz="1400" b="0" i="0" u="none" strike="noStrike">
              <a:solidFill>
                <a:srgbClr val="000000"/>
              </a:solidFill>
              <a:latin typeface="Bahnschrift" panose="020B0502040204020203" pitchFamily="34" charset="0"/>
              <a:ea typeface="+mn-ea"/>
              <a:cs typeface="Calibri"/>
            </a:rPr>
            <a:pPr marL="0" indent="0" algn="r"/>
            <a:t>8 дн</a:t>
          </a:fld>
          <a:endParaRPr lang="ru-RU" sz="1400" b="0" i="0" u="none" strike="noStrike">
            <a:solidFill>
              <a:srgbClr val="000000"/>
            </a:solidFill>
            <a:latin typeface="Bahnschrift" panose="020B0502040204020203" pitchFamily="34" charset="0"/>
            <a:ea typeface="+mn-ea"/>
            <a:cs typeface="Calibri"/>
          </a:endParaRPr>
        </a:p>
      </xdr:txBody>
    </xdr:sp>
    <xdr:clientData/>
  </xdr:twoCellAnchor>
  <xdr:twoCellAnchor>
    <xdr:from>
      <xdr:col>0</xdr:col>
      <xdr:colOff>0</xdr:colOff>
      <xdr:row>12</xdr:row>
      <xdr:rowOff>83038</xdr:rowOff>
    </xdr:from>
    <xdr:to>
      <xdr:col>15</xdr:col>
      <xdr:colOff>276647</xdr:colOff>
      <xdr:row>34</xdr:row>
      <xdr:rowOff>38100</xdr:rowOff>
    </xdr:to>
    <xdr:grpSp>
      <xdr:nvGrpSpPr>
        <xdr:cNvPr id="56" name="Группа 55">
          <a:extLst>
            <a:ext uri="{FF2B5EF4-FFF2-40B4-BE49-F238E27FC236}">
              <a16:creationId xmlns:a16="http://schemas.microsoft.com/office/drawing/2014/main" id="{486E94C6-E729-FA13-BA0B-1DD59E055675}"/>
            </a:ext>
          </a:extLst>
        </xdr:cNvPr>
        <xdr:cNvGrpSpPr/>
      </xdr:nvGrpSpPr>
      <xdr:grpSpPr>
        <a:xfrm>
          <a:off x="0" y="2527788"/>
          <a:ext cx="9325397" cy="4479437"/>
          <a:chOff x="0" y="2394438"/>
          <a:chExt cx="9420647" cy="4654058"/>
        </a:xfrm>
      </xdr:grpSpPr>
      <xdr:grpSp>
        <xdr:nvGrpSpPr>
          <xdr:cNvPr id="13" name="Группа 12">
            <a:extLst>
              <a:ext uri="{FF2B5EF4-FFF2-40B4-BE49-F238E27FC236}">
                <a16:creationId xmlns:a16="http://schemas.microsoft.com/office/drawing/2014/main" id="{B8D4E623-31A4-441A-94D9-0E6690727051}"/>
              </a:ext>
            </a:extLst>
          </xdr:cNvPr>
          <xdr:cNvGrpSpPr/>
        </xdr:nvGrpSpPr>
        <xdr:grpSpPr>
          <a:xfrm>
            <a:off x="0" y="2394438"/>
            <a:ext cx="9420647" cy="4635012"/>
            <a:chOff x="52918" y="2296583"/>
            <a:chExt cx="9196916" cy="4077737"/>
          </a:xfrm>
        </xdr:grpSpPr>
        <xdr:graphicFrame macro="">
          <xdr:nvGraphicFramePr>
            <xdr:cNvPr id="14" name="Диаграмма 13">
              <a:extLst>
                <a:ext uri="{FF2B5EF4-FFF2-40B4-BE49-F238E27FC236}">
                  <a16:creationId xmlns:a16="http://schemas.microsoft.com/office/drawing/2014/main" id="{CB59C3E3-FD98-E664-6954-6231BBFB9FD2}"/>
                </a:ext>
              </a:extLst>
            </xdr:cNvPr>
            <xdr:cNvGraphicFramePr>
              <a:graphicFrameLocks/>
            </xdr:cNvGraphicFramePr>
          </xdr:nvGraphicFramePr>
          <xdr:xfrm>
            <a:off x="52918" y="2296583"/>
            <a:ext cx="9196916" cy="3788833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3"/>
            </a:graphicData>
          </a:graphic>
        </xdr:graphicFrame>
        <xdr:sp macro="" textlink="'ОПЕРФАКТ 2026'!$N$4">
          <xdr:nvSpPr>
            <xdr:cNvPr id="15" name="Прямоугольник 14">
              <a:extLst>
                <a:ext uri="{FF2B5EF4-FFF2-40B4-BE49-F238E27FC236}">
                  <a16:creationId xmlns:a16="http://schemas.microsoft.com/office/drawing/2014/main" id="{29E2E721-762C-7B03-4284-862D883CBB5B}"/>
                </a:ext>
              </a:extLst>
            </xdr:cNvPr>
            <xdr:cNvSpPr/>
          </xdr:nvSpPr>
          <xdr:spPr>
            <a:xfrm>
              <a:off x="1035539" y="6064757"/>
              <a:ext cx="944562" cy="30956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marL="0" indent="0" algn="ctr"/>
              <a:fld id="{99AFFDA9-5522-4CF9-830A-681CD9A5A088}" type="TxLink">
                <a:rPr lang="en-US" sz="14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Bahnschrift SemiCondensed" panose="020B0502040204020203" pitchFamily="34" charset="0"/>
                  <a:ea typeface="+mn-ea"/>
                  <a:cs typeface="Calibri"/>
                </a:rPr>
                <a:pPr marL="0" indent="0" algn="ctr"/>
                <a:t>18,9 т/га</a:t>
              </a:fld>
              <a:endParaRPr lang="ru-RU" sz="14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Bahnschrift SemiCondensed" panose="020B0502040204020203" pitchFamily="34" charset="0"/>
                <a:ea typeface="+mn-ea"/>
                <a:cs typeface="Calibri"/>
              </a:endParaRPr>
            </a:p>
          </xdr:txBody>
        </xdr:sp>
      </xdr:grpSp>
      <xdr:sp macro="" textlink="'ОПЕРФАКТ 2026'!$N$5">
        <xdr:nvSpPr>
          <xdr:cNvPr id="46" name="Прямоугольник 45">
            <a:extLst>
              <a:ext uri="{FF2B5EF4-FFF2-40B4-BE49-F238E27FC236}">
                <a16:creationId xmlns:a16="http://schemas.microsoft.com/office/drawing/2014/main" id="{F0707FFC-5AD1-4243-A2EE-C8C0F7FA2E3F}"/>
              </a:ext>
            </a:extLst>
          </xdr:cNvPr>
          <xdr:cNvSpPr/>
        </xdr:nvSpPr>
        <xdr:spPr>
          <a:xfrm>
            <a:off x="2679123" y="6689725"/>
            <a:ext cx="967931" cy="321306"/>
          </a:xfrm>
          <a:prstGeom prst="rect">
            <a:avLst/>
          </a:prstGeom>
          <a:ln>
            <a:noFill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marL="0" indent="0" algn="ctr"/>
            <a:fld id="{050B62F9-D416-42A5-A2D5-0E205AE7189D}" type="TxLink">
              <a:rPr lang="en-US" sz="14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Bahnschrift SemiCondensed" panose="020B0502040204020203" pitchFamily="34" charset="0"/>
                <a:ea typeface="+mn-ea"/>
                <a:cs typeface="Calibri"/>
              </a:rPr>
              <a:pPr marL="0" indent="0" algn="ctr"/>
              <a:t>19,4 т/га</a:t>
            </a:fld>
            <a:endParaRPr lang="ru-RU" sz="14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Bahnschrift SemiCondensed" panose="020B0502040204020203" pitchFamily="34" charset="0"/>
              <a:ea typeface="+mn-ea"/>
              <a:cs typeface="Calibri"/>
            </a:endParaRPr>
          </a:p>
        </xdr:txBody>
      </xdr:sp>
      <xdr:sp macro="" textlink="'ОПЕРФАКТ 2026'!$N$6">
        <xdr:nvSpPr>
          <xdr:cNvPr id="47" name="Прямоугольник 46">
            <a:extLst>
              <a:ext uri="{FF2B5EF4-FFF2-40B4-BE49-F238E27FC236}">
                <a16:creationId xmlns:a16="http://schemas.microsoft.com/office/drawing/2014/main" id="{AB7FB2F2-7A45-4765-9956-8B0070945A3A}"/>
              </a:ext>
            </a:extLst>
          </xdr:cNvPr>
          <xdr:cNvSpPr/>
        </xdr:nvSpPr>
        <xdr:spPr>
          <a:xfrm>
            <a:off x="4225681" y="6731000"/>
            <a:ext cx="963486" cy="317496"/>
          </a:xfrm>
          <a:prstGeom prst="rect">
            <a:avLst/>
          </a:prstGeom>
          <a:ln>
            <a:noFill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fld id="{5E86D2CA-AAD3-48BF-B5E7-4FC511C939D8}" type="TxLink">
              <a:rPr lang="en-US" sz="1100" b="0" i="0" u="none" strike="noStrike">
                <a:solidFill>
                  <a:srgbClr val="000000"/>
                </a:solidFill>
                <a:latin typeface="Calibri"/>
                <a:cs typeface="Calibri"/>
              </a:rPr>
              <a:pPr algn="ctr"/>
              <a:t>-</a:t>
            </a:fld>
            <a:endParaRPr lang="ru-RU" sz="1400" b="0" i="0">
              <a:solidFill>
                <a:schemeClr val="tx1">
                  <a:lumMod val="65000"/>
                  <a:lumOff val="35000"/>
                </a:schemeClr>
              </a:solidFill>
              <a:latin typeface="Bahnschrift SemiBold SemiConden" panose="020B0502040204020203" pitchFamily="34" charset="0"/>
            </a:endParaRPr>
          </a:p>
        </xdr:txBody>
      </xdr:sp>
      <xdr:sp macro="" textlink="'ОПЕРФАКТ 2026'!$N$7">
        <xdr:nvSpPr>
          <xdr:cNvPr id="48" name="Прямоугольник 47">
            <a:extLst>
              <a:ext uri="{FF2B5EF4-FFF2-40B4-BE49-F238E27FC236}">
                <a16:creationId xmlns:a16="http://schemas.microsoft.com/office/drawing/2014/main" id="{B1E64A4C-4E2D-46BA-BA1E-64E1BDE3CB8D}"/>
              </a:ext>
            </a:extLst>
          </xdr:cNvPr>
          <xdr:cNvSpPr/>
        </xdr:nvSpPr>
        <xdr:spPr>
          <a:xfrm>
            <a:off x="5858119" y="6719521"/>
            <a:ext cx="965391" cy="317496"/>
          </a:xfrm>
          <a:prstGeom prst="rect">
            <a:avLst/>
          </a:prstGeom>
          <a:ln>
            <a:noFill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fld id="{5E0EBD5D-8D35-446C-A785-34A7C084AC19}" type="TxLink">
              <a:rPr lang="en-US" sz="1100" b="0" i="0" u="none" strike="noStrike">
                <a:solidFill>
                  <a:srgbClr val="000000"/>
                </a:solidFill>
                <a:latin typeface="Calibri"/>
                <a:cs typeface="Calibri"/>
              </a:rPr>
              <a:pPr algn="ctr"/>
              <a:t>-</a:t>
            </a:fld>
            <a:endParaRPr lang="ru-RU" sz="1400" b="0" i="0">
              <a:solidFill>
                <a:schemeClr val="tx1">
                  <a:lumMod val="65000"/>
                  <a:lumOff val="35000"/>
                </a:schemeClr>
              </a:solidFill>
              <a:latin typeface="Bahnschrift SemiBold SemiConden" panose="020B0502040204020203" pitchFamily="34" charset="0"/>
            </a:endParaRPr>
          </a:p>
        </xdr:txBody>
      </xdr:sp>
      <xdr:sp macro="" textlink="'ОПЕРФАКТ 2026'!$N$8">
        <xdr:nvSpPr>
          <xdr:cNvPr id="50" name="Прямоугольник 49">
            <a:extLst>
              <a:ext uri="{FF2B5EF4-FFF2-40B4-BE49-F238E27FC236}">
                <a16:creationId xmlns:a16="http://schemas.microsoft.com/office/drawing/2014/main" id="{4C8AF05C-49B2-48E0-8969-673A6E177502}"/>
              </a:ext>
            </a:extLst>
          </xdr:cNvPr>
          <xdr:cNvSpPr/>
        </xdr:nvSpPr>
        <xdr:spPr>
          <a:xfrm>
            <a:off x="7689703" y="6709996"/>
            <a:ext cx="967296" cy="317496"/>
          </a:xfrm>
          <a:prstGeom prst="rect">
            <a:avLst/>
          </a:prstGeom>
          <a:ln>
            <a:noFill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fld id="{C74BA846-1430-4971-8D6F-8BABD52C0C1F}" type="TxLink">
              <a:rPr lang="en-US" sz="1100" b="0" i="0" u="none" strike="noStrike">
                <a:solidFill>
                  <a:srgbClr val="000000"/>
                </a:solidFill>
                <a:latin typeface="Calibri"/>
                <a:cs typeface="Calibri"/>
              </a:rPr>
              <a:pPr algn="ctr"/>
              <a:t>-</a:t>
            </a:fld>
            <a:endParaRPr lang="ru-RU" sz="1400" b="0" i="0">
              <a:solidFill>
                <a:schemeClr val="tx1">
                  <a:lumMod val="65000"/>
                  <a:lumOff val="35000"/>
                </a:schemeClr>
              </a:solidFill>
              <a:latin typeface="Bahnschrift SemiBold SemiConden" panose="020B0502040204020203" pitchFamily="34" charset="0"/>
            </a:endParaRPr>
          </a:p>
        </xdr:txBody>
      </xdr:sp>
    </xdr:grpSp>
    <xdr:clientData/>
  </xdr:twoCellAnchor>
  <xdr:twoCellAnchor>
    <xdr:from>
      <xdr:col>20</xdr:col>
      <xdr:colOff>56557</xdr:colOff>
      <xdr:row>3</xdr:row>
      <xdr:rowOff>66422</xdr:rowOff>
    </xdr:from>
    <xdr:to>
      <xdr:col>21</xdr:col>
      <xdr:colOff>594592</xdr:colOff>
      <xdr:row>4</xdr:row>
      <xdr:rowOff>157377</xdr:rowOff>
    </xdr:to>
    <xdr:sp macro="" textlink="'ОПЕРФАКТ 2026'!C42">
      <xdr:nvSpPr>
        <xdr:cNvPr id="51" name="Прямоугольник 50">
          <a:extLst>
            <a:ext uri="{FF2B5EF4-FFF2-40B4-BE49-F238E27FC236}">
              <a16:creationId xmlns:a16="http://schemas.microsoft.com/office/drawing/2014/main" id="{71A3B61B-D92C-482D-BDFE-AB478ED8C5F5}"/>
            </a:ext>
          </a:extLst>
        </xdr:cNvPr>
        <xdr:cNvSpPr/>
      </xdr:nvSpPr>
      <xdr:spPr>
        <a:xfrm>
          <a:off x="12248557" y="782702"/>
          <a:ext cx="1147635" cy="273835"/>
        </a:xfrm>
        <a:prstGeom prst="rect">
          <a:avLst/>
        </a:prstGeom>
        <a:ln>
          <a:noFill/>
        </a:ln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r"/>
          <a:fld id="{F3F73F46-4C39-4A90-9CCD-77F4D9A3A850}" type="TxLink">
            <a:rPr lang="en-US" sz="2000" b="0" i="0" u="none" strike="noStrike">
              <a:solidFill>
                <a:schemeClr val="bg2">
                  <a:lumMod val="50000"/>
                </a:schemeClr>
              </a:solidFill>
              <a:latin typeface="Bahnschrift" panose="020B0502040204020203" pitchFamily="34" charset="0"/>
              <a:cs typeface="Calibri"/>
            </a:rPr>
            <a:pPr algn="r"/>
            <a:t>17,2</a:t>
          </a:fld>
          <a:endParaRPr lang="ru-RU" sz="2000" b="0">
            <a:solidFill>
              <a:schemeClr val="bg2">
                <a:lumMod val="50000"/>
              </a:schemeClr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13</xdr:col>
      <xdr:colOff>316873</xdr:colOff>
      <xdr:row>3</xdr:row>
      <xdr:rowOff>54699</xdr:rowOff>
    </xdr:from>
    <xdr:to>
      <xdr:col>16</xdr:col>
      <xdr:colOff>203836</xdr:colOff>
      <xdr:row>5</xdr:row>
      <xdr:rowOff>35659</xdr:rowOff>
    </xdr:to>
    <xdr:sp macro="" textlink="'ОПЕРФАКТ 2026'!C31">
      <xdr:nvSpPr>
        <xdr:cNvPr id="52" name="Прямоугольник 51">
          <a:extLst>
            <a:ext uri="{FF2B5EF4-FFF2-40B4-BE49-F238E27FC236}">
              <a16:creationId xmlns:a16="http://schemas.microsoft.com/office/drawing/2014/main" id="{341D4F35-B6E0-45BC-9B41-18E06122B50E}"/>
            </a:ext>
          </a:extLst>
        </xdr:cNvPr>
        <xdr:cNvSpPr/>
      </xdr:nvSpPr>
      <xdr:spPr>
        <a:xfrm>
          <a:off x="8241673" y="770979"/>
          <a:ext cx="1715763" cy="346720"/>
        </a:xfrm>
        <a:prstGeom prst="rect">
          <a:avLst/>
        </a:prstGeom>
        <a:ln>
          <a:noFill/>
        </a:ln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r"/>
          <a:fld id="{C9E6CD68-F387-4989-B1F2-97591B88D937}" type="TxLink">
            <a:rPr lang="en-US" sz="2000" b="0" i="0" u="none" strike="noStrike">
              <a:solidFill>
                <a:schemeClr val="bg2">
                  <a:lumMod val="50000"/>
                </a:schemeClr>
              </a:solidFill>
              <a:latin typeface="Bahnschrift" panose="020B0502040204020203" pitchFamily="34" charset="0"/>
              <a:cs typeface="Calibri"/>
            </a:rPr>
            <a:pPr algn="r"/>
            <a:t>37 193</a:t>
          </a:fld>
          <a:endParaRPr lang="ru-RU" sz="2000" b="0">
            <a:solidFill>
              <a:schemeClr val="bg2">
                <a:lumMod val="50000"/>
              </a:schemeClr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23</xdr:col>
      <xdr:colOff>127000</xdr:colOff>
      <xdr:row>2</xdr:row>
      <xdr:rowOff>76199</xdr:rowOff>
    </xdr:from>
    <xdr:to>
      <xdr:col>30</xdr:col>
      <xdr:colOff>101600</xdr:colOff>
      <xdr:row>26</xdr:row>
      <xdr:rowOff>50800</xdr:rowOff>
    </xdr:to>
    <xdr:grpSp>
      <xdr:nvGrpSpPr>
        <xdr:cNvPr id="57" name="Группа 56">
          <a:extLst>
            <a:ext uri="{FF2B5EF4-FFF2-40B4-BE49-F238E27FC236}">
              <a16:creationId xmlns:a16="http://schemas.microsoft.com/office/drawing/2014/main" id="{01AEE641-F451-AF5A-0750-9916EF47F07E}"/>
            </a:ext>
          </a:extLst>
        </xdr:cNvPr>
        <xdr:cNvGrpSpPr/>
      </xdr:nvGrpSpPr>
      <xdr:grpSpPr>
        <a:xfrm>
          <a:off x="14001750" y="615949"/>
          <a:ext cx="4165600" cy="4689476"/>
          <a:chOff x="14363700" y="114299"/>
          <a:chExt cx="4203700" cy="3588608"/>
        </a:xfrm>
      </xdr:grpSpPr>
      <xdr:graphicFrame macro="">
        <xdr:nvGraphicFramePr>
          <xdr:cNvPr id="53" name="Диаграмма 52">
            <a:extLst>
              <a:ext uri="{FF2B5EF4-FFF2-40B4-BE49-F238E27FC236}">
                <a16:creationId xmlns:a16="http://schemas.microsoft.com/office/drawing/2014/main" id="{A6A6D86C-9FDF-4455-8098-62D74C58A2D9}"/>
              </a:ext>
            </a:extLst>
          </xdr:cNvPr>
          <xdr:cNvGraphicFramePr>
            <a:graphicFrameLocks/>
          </xdr:cNvGraphicFramePr>
        </xdr:nvGraphicFramePr>
        <xdr:xfrm>
          <a:off x="14363700" y="114299"/>
          <a:ext cx="4203700" cy="319722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4"/>
          </a:graphicData>
        </a:graphic>
      </xdr:graphicFrame>
      <xdr:sp macro="" textlink="'ОПЕРФАКТ 2026'!C47">
        <xdr:nvSpPr>
          <xdr:cNvPr id="54" name="Прямоугольник 53">
            <a:extLst>
              <a:ext uri="{FF2B5EF4-FFF2-40B4-BE49-F238E27FC236}">
                <a16:creationId xmlns:a16="http://schemas.microsoft.com/office/drawing/2014/main" id="{CCD51AD8-8FF7-40AC-A9CC-912AEFBE899D}"/>
              </a:ext>
            </a:extLst>
          </xdr:cNvPr>
          <xdr:cNvSpPr/>
        </xdr:nvSpPr>
        <xdr:spPr>
          <a:xfrm>
            <a:off x="17018000" y="3365500"/>
            <a:ext cx="954840" cy="337407"/>
          </a:xfrm>
          <a:prstGeom prst="rect">
            <a:avLst/>
          </a:prstGeom>
          <a:ln>
            <a:noFill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fld id="{7CABECAB-0463-4C74-B86C-5EA2EA86FC9B}" type="TxLink">
              <a:rPr lang="en-US" sz="1500" b="0" i="0" u="none" strike="noStrike">
                <a:solidFill>
                  <a:srgbClr val="000000"/>
                </a:solidFill>
                <a:latin typeface="Calibri"/>
                <a:cs typeface="Calibri"/>
              </a:rPr>
              <a:pPr algn="ctr"/>
              <a:t>18,9 т/га</a:t>
            </a:fld>
            <a:endParaRPr lang="ru-RU" sz="1500" b="0" i="0">
              <a:solidFill>
                <a:schemeClr val="tx1">
                  <a:lumMod val="65000"/>
                  <a:lumOff val="35000"/>
                </a:schemeClr>
              </a:solidFill>
              <a:latin typeface="Bahnschrift SemiCondensed" panose="020B0502040204020203" pitchFamily="34" charset="0"/>
            </a:endParaRPr>
          </a:p>
        </xdr:txBody>
      </xdr:sp>
      <xdr:sp macro="" textlink="'ОПЕРФАКТ 2026'!C46">
        <xdr:nvSpPr>
          <xdr:cNvPr id="55" name="Прямоугольник 54">
            <a:extLst>
              <a:ext uri="{FF2B5EF4-FFF2-40B4-BE49-F238E27FC236}">
                <a16:creationId xmlns:a16="http://schemas.microsoft.com/office/drawing/2014/main" id="{EA6B0803-2E50-4DE2-8462-BD55268754CE}"/>
              </a:ext>
            </a:extLst>
          </xdr:cNvPr>
          <xdr:cNvSpPr/>
        </xdr:nvSpPr>
        <xdr:spPr>
          <a:xfrm>
            <a:off x="14995525" y="3375025"/>
            <a:ext cx="978970" cy="308197"/>
          </a:xfrm>
          <a:prstGeom prst="rect">
            <a:avLst/>
          </a:prstGeom>
          <a:ln>
            <a:noFill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marL="0" indent="0" algn="ctr"/>
            <a:fld id="{F45EB4BB-F25D-4ABF-8F2A-4BBBCC13E21B}" type="TxLink">
              <a:rPr lang="en-US" sz="15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rPr>
              <a:pPr marL="0" indent="0" algn="ctr"/>
              <a:t>19,4 т/га</a:t>
            </a:fld>
            <a:endParaRPr lang="ru-RU" sz="15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63500</xdr:colOff>
      <xdr:row>12</xdr:row>
      <xdr:rowOff>3810</xdr:rowOff>
    </xdr:from>
    <xdr:to>
      <xdr:col>23</xdr:col>
      <xdr:colOff>587375</xdr:colOff>
      <xdr:row>35</xdr:row>
      <xdr:rowOff>31750</xdr:rowOff>
    </xdr:to>
    <xdr:grpSp>
      <xdr:nvGrpSpPr>
        <xdr:cNvPr id="39" name="Группа 38">
          <a:extLst>
            <a:ext uri="{FF2B5EF4-FFF2-40B4-BE49-F238E27FC236}">
              <a16:creationId xmlns:a16="http://schemas.microsoft.com/office/drawing/2014/main" id="{67B61ABA-3C54-3A1F-ED3E-69AFADDE2E92}"/>
            </a:ext>
          </a:extLst>
        </xdr:cNvPr>
        <xdr:cNvGrpSpPr/>
      </xdr:nvGrpSpPr>
      <xdr:grpSpPr>
        <a:xfrm>
          <a:off x="9112250" y="2448560"/>
          <a:ext cx="5349875" cy="4742815"/>
          <a:chOff x="8327230" y="3032233"/>
          <a:chExt cx="4143375" cy="3133725"/>
        </a:xfrm>
      </xdr:grpSpPr>
      <xdr:graphicFrame macro="">
        <xdr:nvGraphicFramePr>
          <xdr:cNvPr id="32" name="Диаграмма 31">
            <a:extLst>
              <a:ext uri="{FF2B5EF4-FFF2-40B4-BE49-F238E27FC236}">
                <a16:creationId xmlns:a16="http://schemas.microsoft.com/office/drawing/2014/main" id="{0262E24D-5C13-4CB1-B34F-15DC6EA35B51}"/>
              </a:ext>
            </a:extLst>
          </xdr:cNvPr>
          <xdr:cNvGraphicFramePr>
            <a:graphicFrameLocks/>
          </xdr:cNvGraphicFramePr>
        </xdr:nvGraphicFramePr>
        <xdr:xfrm>
          <a:off x="8327230" y="3032233"/>
          <a:ext cx="4143375" cy="313372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'ОПЕРФАКТ 2025'!C27">
        <xdr:nvSpPr>
          <xdr:cNvPr id="38" name="Прямоугольник 37">
            <a:extLst>
              <a:ext uri="{FF2B5EF4-FFF2-40B4-BE49-F238E27FC236}">
                <a16:creationId xmlns:a16="http://schemas.microsoft.com/office/drawing/2014/main" id="{D7F87279-1EC7-46E3-91AC-61D6F06E0AED}"/>
              </a:ext>
            </a:extLst>
          </xdr:cNvPr>
          <xdr:cNvSpPr/>
        </xdr:nvSpPr>
        <xdr:spPr>
          <a:xfrm>
            <a:off x="9946264" y="4595529"/>
            <a:ext cx="895185" cy="282193"/>
          </a:xfrm>
          <a:prstGeom prst="rect">
            <a:avLst/>
          </a:prstGeom>
          <a:ln>
            <a:noFill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marL="0" indent="0" algn="ctr"/>
            <a:fld id="{A4303428-B8E1-4CCC-ADA8-B2D0131E3AA9}" type="TxLink">
              <a:rPr lang="en-US" sz="2000" b="0" i="0" u="none" strike="noStrike">
                <a:solidFill>
                  <a:srgbClr val="000000"/>
                </a:solidFill>
                <a:latin typeface="Bahnschrift" panose="020B0502040204020203" pitchFamily="34" charset="0"/>
                <a:ea typeface="+mn-ea"/>
                <a:cs typeface="Calibri"/>
              </a:rPr>
              <a:pPr marL="0" indent="0" algn="ctr"/>
              <a:t>2 269</a:t>
            </a:fld>
            <a:endParaRPr lang="ru-RU" sz="2000" b="0" i="0" u="none" strike="noStrike">
              <a:solidFill>
                <a:srgbClr val="000000"/>
              </a:solidFill>
              <a:latin typeface="Bahnschrift" panose="020B0502040204020203" pitchFamily="34" charset="0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0</xdr:col>
      <xdr:colOff>560071</xdr:colOff>
      <xdr:row>1</xdr:row>
      <xdr:rowOff>54700</xdr:rowOff>
    </xdr:from>
    <xdr:to>
      <xdr:col>5</xdr:col>
      <xdr:colOff>3486</xdr:colOff>
      <xdr:row>10</xdr:row>
      <xdr:rowOff>79679</xdr:rowOff>
    </xdr:to>
    <xdr:grpSp>
      <xdr:nvGrpSpPr>
        <xdr:cNvPr id="46" name="Группа 45">
          <a:extLst>
            <a:ext uri="{FF2B5EF4-FFF2-40B4-BE49-F238E27FC236}">
              <a16:creationId xmlns:a16="http://schemas.microsoft.com/office/drawing/2014/main" id="{DFCAB01F-FE2D-D576-B410-C01E7C584DCC}"/>
            </a:ext>
          </a:extLst>
        </xdr:cNvPr>
        <xdr:cNvGrpSpPr/>
      </xdr:nvGrpSpPr>
      <xdr:grpSpPr>
        <a:xfrm>
          <a:off x="560071" y="403950"/>
          <a:ext cx="2459665" cy="1739479"/>
          <a:chOff x="561976" y="407760"/>
          <a:chExt cx="2457760" cy="1735669"/>
        </a:xfrm>
      </xdr:grpSpPr>
      <xdr:sp macro="" textlink="">
        <xdr:nvSpPr>
          <xdr:cNvPr id="10" name="Прямоугольник 9">
            <a:extLst>
              <a:ext uri="{FF2B5EF4-FFF2-40B4-BE49-F238E27FC236}">
                <a16:creationId xmlns:a16="http://schemas.microsoft.com/office/drawing/2014/main" id="{1A2E1258-B3C9-0312-E9CF-F4D409F58D69}"/>
              </a:ext>
            </a:extLst>
          </xdr:cNvPr>
          <xdr:cNvSpPr/>
        </xdr:nvSpPr>
        <xdr:spPr>
          <a:xfrm>
            <a:off x="561976" y="407760"/>
            <a:ext cx="2457760" cy="1735669"/>
          </a:xfrm>
          <a:prstGeom prst="rect">
            <a:avLst/>
          </a:prstGeom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ru-RU" sz="1400" b="1">
                <a:solidFill>
                  <a:schemeClr val="tx1"/>
                </a:solidFill>
                <a:latin typeface="Bahnschrift" panose="020B0502040204020203" pitchFamily="34" charset="0"/>
              </a:rPr>
              <a:t>ЗАКРЫТИЕ ПЕРИОДА</a:t>
            </a:r>
            <a:endParaRPr lang="ru-RU" sz="1400" b="1" baseline="0">
              <a:solidFill>
                <a:schemeClr val="tx1"/>
              </a:solidFill>
              <a:latin typeface="Bahnschrift" panose="020B0502040204020203" pitchFamily="34" charset="0"/>
            </a:endParaRPr>
          </a:p>
          <a:p>
            <a:pPr algn="l"/>
            <a:endParaRPr lang="ru-RU" sz="1100" b="0" baseline="0">
              <a:solidFill>
                <a:schemeClr val="tx1"/>
              </a:solidFill>
              <a:latin typeface="Bahnschrift" panose="020B0502040204020203" pitchFamily="34" charset="0"/>
            </a:endParaRPr>
          </a:p>
          <a:p>
            <a:pPr algn="l">
              <a:spcBef>
                <a:spcPts val="600"/>
              </a:spcBef>
            </a:pPr>
            <a:r>
              <a:rPr lang="ru-RU" sz="1200" b="0" baseline="0">
                <a:solidFill>
                  <a:schemeClr val="tx1"/>
                </a:solidFill>
                <a:latin typeface="Bahnschrift" panose="020B0502040204020203" pitchFamily="34" charset="0"/>
              </a:rPr>
              <a:t>Начало:</a:t>
            </a:r>
          </a:p>
          <a:p>
            <a:pPr algn="l">
              <a:spcBef>
                <a:spcPts val="600"/>
              </a:spcBef>
            </a:pPr>
            <a:r>
              <a:rPr lang="ru-RU" sz="1200" b="0" baseline="0">
                <a:solidFill>
                  <a:schemeClr val="tx1"/>
                </a:solidFill>
                <a:latin typeface="Bahnschrift" panose="020B0502040204020203" pitchFamily="34" charset="0"/>
              </a:rPr>
              <a:t>День уборки:</a:t>
            </a:r>
          </a:p>
          <a:p>
            <a:pPr algn="l">
              <a:spcBef>
                <a:spcPts val="600"/>
              </a:spcBef>
            </a:pPr>
            <a:r>
              <a:rPr lang="ru-RU" sz="1200" b="0" baseline="0">
                <a:solidFill>
                  <a:schemeClr val="tx1"/>
                </a:solidFill>
                <a:latin typeface="Bahnschrift" panose="020B0502040204020203" pitchFamily="34" charset="0"/>
              </a:rPr>
              <a:t>Окончание:</a:t>
            </a:r>
          </a:p>
          <a:p>
            <a:pPr algn="l"/>
            <a:endParaRPr lang="ru-RU" sz="1200" b="0" baseline="0">
              <a:solidFill>
                <a:schemeClr val="tx1"/>
              </a:solidFill>
              <a:latin typeface="Bahnschrift" panose="020B0502040204020203" pitchFamily="34" charset="0"/>
            </a:endParaRPr>
          </a:p>
          <a:p>
            <a:pPr algn="l"/>
            <a:r>
              <a:rPr lang="ru-RU" sz="1200" b="0" baseline="0">
                <a:solidFill>
                  <a:schemeClr val="tx1"/>
                </a:solidFill>
                <a:latin typeface="Bahnschrift" panose="020B0502040204020203" pitchFamily="34" charset="0"/>
              </a:rPr>
              <a:t>Закрытие:</a:t>
            </a:r>
          </a:p>
          <a:p>
            <a:pPr algn="l"/>
            <a:endParaRPr lang="ru-RU" sz="1100" b="0">
              <a:solidFill>
                <a:schemeClr val="tx1"/>
              </a:solidFill>
              <a:latin typeface="Bahnschrift" panose="020B0502040204020203" pitchFamily="34" charset="0"/>
            </a:endParaRPr>
          </a:p>
        </xdr:txBody>
      </xdr:sp>
      <xdr:grpSp>
        <xdr:nvGrpSpPr>
          <xdr:cNvPr id="11" name="Группа 10">
            <a:extLst>
              <a:ext uri="{FF2B5EF4-FFF2-40B4-BE49-F238E27FC236}">
                <a16:creationId xmlns:a16="http://schemas.microsoft.com/office/drawing/2014/main" id="{5568B00D-6255-7FEF-7025-608034FAAECA}"/>
              </a:ext>
            </a:extLst>
          </xdr:cNvPr>
          <xdr:cNvGrpSpPr/>
        </xdr:nvGrpSpPr>
        <xdr:grpSpPr>
          <a:xfrm>
            <a:off x="683923" y="746485"/>
            <a:ext cx="2300590" cy="1312883"/>
            <a:chOff x="153051" y="781133"/>
            <a:chExt cx="2288412" cy="1181717"/>
          </a:xfrm>
          <a:noFill/>
        </xdr:grpSpPr>
        <xdr:sp macro="" textlink="'ОПЕРФАКТ 2025'!C8">
          <xdr:nvSpPr>
            <xdr:cNvPr id="12" name="Прямоугольник 11">
              <a:extLst>
                <a:ext uri="{FF2B5EF4-FFF2-40B4-BE49-F238E27FC236}">
                  <a16:creationId xmlns:a16="http://schemas.microsoft.com/office/drawing/2014/main" id="{D63A3662-5443-C6E1-ED8D-6E2CE4AB4AF8}"/>
                </a:ext>
              </a:extLst>
            </xdr:cNvPr>
            <xdr:cNvSpPr/>
          </xdr:nvSpPr>
          <xdr:spPr>
            <a:xfrm>
              <a:off x="1229489" y="1709665"/>
              <a:ext cx="1081128" cy="253185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r"/>
              <a:fld id="{98B6E3A1-FEF3-4480-8072-78311F0FF844}" type="TxLink">
                <a:rPr lang="en-US" sz="1800" b="0" i="0" u="none" strike="noStrike">
                  <a:solidFill>
                    <a:srgbClr val="000000"/>
                  </a:solidFill>
                  <a:latin typeface="Bahnschrift" panose="020B0502040204020203" pitchFamily="34" charset="0"/>
                  <a:cs typeface="Calibri"/>
                </a:rPr>
                <a:pPr algn="r"/>
                <a:t>100,0%</a:t>
              </a:fld>
              <a:endParaRPr lang="ru-RU" sz="1800" b="0">
                <a:solidFill>
                  <a:schemeClr val="accent2"/>
                </a:solidFill>
                <a:latin typeface="Bahnschrift" panose="020B0502040204020203" pitchFamily="34" charset="0"/>
              </a:endParaRPr>
            </a:p>
          </xdr:txBody>
        </xdr:sp>
        <xdr:sp macro="" textlink="'ОПЕРФАКТ 2025'!C3">
          <xdr:nvSpPr>
            <xdr:cNvPr id="13" name="Прямоугольник 12">
              <a:extLst>
                <a:ext uri="{FF2B5EF4-FFF2-40B4-BE49-F238E27FC236}">
                  <a16:creationId xmlns:a16="http://schemas.microsoft.com/office/drawing/2014/main" id="{A78BE503-4602-6E80-ABF7-9ACA9CB562F3}"/>
                </a:ext>
              </a:extLst>
            </xdr:cNvPr>
            <xdr:cNvSpPr/>
          </xdr:nvSpPr>
          <xdr:spPr>
            <a:xfrm>
              <a:off x="1023247" y="871975"/>
              <a:ext cx="1314523" cy="25400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marL="0" indent="0" algn="r"/>
              <a:fld id="{AF0C25EF-6CC0-4DA3-9994-516CAC3B204F}" type="TxLink">
                <a:rPr lang="en-US" sz="1600" b="0" i="0" u="none" strike="noStrike">
                  <a:solidFill>
                    <a:srgbClr val="000000"/>
                  </a:solidFill>
                  <a:latin typeface="Bahnschrift" panose="020B0502040204020203" pitchFamily="34" charset="0"/>
                  <a:ea typeface="+mn-ea"/>
                  <a:cs typeface="Calibri"/>
                </a:rPr>
                <a:pPr marL="0" indent="0" algn="r"/>
                <a:t>08.08.2025</a:t>
              </a:fld>
              <a:endParaRPr lang="ru-RU" sz="1600" b="0" i="0" u="none" strike="noStrike">
                <a:solidFill>
                  <a:srgbClr val="000000"/>
                </a:solidFill>
                <a:latin typeface="Bahnschrift" panose="020B0502040204020203" pitchFamily="34" charset="0"/>
                <a:ea typeface="+mn-ea"/>
                <a:cs typeface="Calibri"/>
              </a:endParaRPr>
            </a:p>
          </xdr:txBody>
        </xdr:sp>
        <xdr:sp macro="" textlink="'ОПЕРФАКТ 2025'!C4">
          <xdr:nvSpPr>
            <xdr:cNvPr id="14" name="Прямоугольник 13">
              <a:extLst>
                <a:ext uri="{FF2B5EF4-FFF2-40B4-BE49-F238E27FC236}">
                  <a16:creationId xmlns:a16="http://schemas.microsoft.com/office/drawing/2014/main" id="{62AF35E9-2B68-C0C7-6F2D-063FBA39215C}"/>
                </a:ext>
              </a:extLst>
            </xdr:cNvPr>
            <xdr:cNvSpPr/>
          </xdr:nvSpPr>
          <xdr:spPr>
            <a:xfrm>
              <a:off x="1620332" y="1434404"/>
              <a:ext cx="821131" cy="224256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r"/>
              <a:fld id="{1299AFBD-5F4E-4A4F-A708-7AE0598FB200}" type="TxLink">
                <a:rPr lang="en-US" sz="1100" b="0" i="0" u="none" strike="noStrike">
                  <a:solidFill>
                    <a:srgbClr val="000000"/>
                  </a:solidFill>
                  <a:latin typeface="Calibri"/>
                  <a:cs typeface="Calibri"/>
                </a:rPr>
                <a:pPr algn="r"/>
                <a:t>09.11.2025</a:t>
              </a:fld>
              <a:endParaRPr lang="ru-RU" sz="1600" b="0">
                <a:solidFill>
                  <a:sysClr val="windowText" lastClr="000000"/>
                </a:solidFill>
                <a:latin typeface="Bahnschrift" panose="020B0502040204020203" pitchFamily="34" charset="0"/>
              </a:endParaRPr>
            </a:p>
          </xdr:txBody>
        </xdr:sp>
        <xdr:cxnSp macro="">
          <xdr:nvCxnSpPr>
            <xdr:cNvPr id="15" name="Прямая соединительная линия 14">
              <a:extLst>
                <a:ext uri="{FF2B5EF4-FFF2-40B4-BE49-F238E27FC236}">
                  <a16:creationId xmlns:a16="http://schemas.microsoft.com/office/drawing/2014/main" id="{FD8B5DD9-5661-7C25-AC80-0CD833993205}"/>
                </a:ext>
              </a:extLst>
            </xdr:cNvPr>
            <xdr:cNvCxnSpPr/>
          </xdr:nvCxnSpPr>
          <xdr:spPr>
            <a:xfrm>
              <a:off x="153051" y="781133"/>
              <a:ext cx="2127657" cy="2034"/>
            </a:xfrm>
            <a:prstGeom prst="line">
              <a:avLst/>
            </a:prstGeom>
            <a:ln>
              <a:solidFill>
                <a:schemeClr val="bg2">
                  <a:lumMod val="50000"/>
                </a:schemeClr>
              </a:solidFill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</xdr:cxnSp>
      </xdr:grpSp>
    </xdr:grpSp>
    <xdr:clientData/>
  </xdr:twoCellAnchor>
  <xdr:twoCellAnchor editAs="oneCell">
    <xdr:from>
      <xdr:col>10</xdr:col>
      <xdr:colOff>139700</xdr:colOff>
      <xdr:row>10</xdr:row>
      <xdr:rowOff>144463</xdr:rowOff>
    </xdr:from>
    <xdr:to>
      <xdr:col>14</xdr:col>
      <xdr:colOff>10636</xdr:colOff>
      <xdr:row>19</xdr:row>
      <xdr:rowOff>122246</xdr:rowOff>
    </xdr:to>
    <xdr:pic>
      <xdr:nvPicPr>
        <xdr:cNvPr id="31" name="Рисунок 30" descr="кукуруза на белом фоне: 2 тыс изображений найдено в Яндекс Картинках">
          <a:extLst>
            <a:ext uri="{FF2B5EF4-FFF2-40B4-BE49-F238E27FC236}">
              <a16:creationId xmlns:a16="http://schemas.microsoft.com/office/drawing/2014/main" id="{1A840433-BE91-4D40-9F4B-4882978BE0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35700" y="2100263"/>
          <a:ext cx="2307431" cy="157607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12</xdr:row>
      <xdr:rowOff>83038</xdr:rowOff>
    </xdr:from>
    <xdr:to>
      <xdr:col>15</xdr:col>
      <xdr:colOff>276647</xdr:colOff>
      <xdr:row>36</xdr:row>
      <xdr:rowOff>6350</xdr:rowOff>
    </xdr:to>
    <xdr:grpSp>
      <xdr:nvGrpSpPr>
        <xdr:cNvPr id="30" name="Группа 29">
          <a:extLst>
            <a:ext uri="{FF2B5EF4-FFF2-40B4-BE49-F238E27FC236}">
              <a16:creationId xmlns:a16="http://schemas.microsoft.com/office/drawing/2014/main" id="{F188ED5E-1F46-3E60-58AD-467F8004B9E5}"/>
            </a:ext>
          </a:extLst>
        </xdr:cNvPr>
        <xdr:cNvGrpSpPr/>
      </xdr:nvGrpSpPr>
      <xdr:grpSpPr>
        <a:xfrm>
          <a:off x="0" y="2527788"/>
          <a:ext cx="9325397" cy="4828687"/>
          <a:chOff x="52918" y="2296583"/>
          <a:chExt cx="9196916" cy="4077737"/>
        </a:xfrm>
      </xdr:grpSpPr>
      <xdr:graphicFrame macro="">
        <xdr:nvGraphicFramePr>
          <xdr:cNvPr id="40" name="Диаграмма 39">
            <a:extLst>
              <a:ext uri="{FF2B5EF4-FFF2-40B4-BE49-F238E27FC236}">
                <a16:creationId xmlns:a16="http://schemas.microsoft.com/office/drawing/2014/main" id="{BBA5B2E2-498C-455B-9B8B-C1241C21141B}"/>
              </a:ext>
            </a:extLst>
          </xdr:cNvPr>
          <xdr:cNvGraphicFramePr>
            <a:graphicFrameLocks/>
          </xdr:cNvGraphicFramePr>
        </xdr:nvGraphicFramePr>
        <xdr:xfrm>
          <a:off x="52918" y="2296583"/>
          <a:ext cx="9196916" cy="378883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'ОПЕРФАКТ 2025'!$N$4">
        <xdr:nvSpPr>
          <xdr:cNvPr id="41" name="Прямоугольник 40">
            <a:extLst>
              <a:ext uri="{FF2B5EF4-FFF2-40B4-BE49-F238E27FC236}">
                <a16:creationId xmlns:a16="http://schemas.microsoft.com/office/drawing/2014/main" id="{CE8E3A2E-FF50-4116-9D9C-3AF1A6A466E3}"/>
              </a:ext>
            </a:extLst>
          </xdr:cNvPr>
          <xdr:cNvSpPr/>
        </xdr:nvSpPr>
        <xdr:spPr>
          <a:xfrm>
            <a:off x="925945" y="6064757"/>
            <a:ext cx="944562" cy="309563"/>
          </a:xfrm>
          <a:prstGeom prst="rect">
            <a:avLst/>
          </a:prstGeom>
          <a:ln>
            <a:noFill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fld id="{E7DF997C-242F-4306-AD81-5C0C4C40F63E}" type="TxLink">
              <a:rPr lang="en-US" sz="14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Bahnschrift SemiCondensed" panose="020B0502040204020203" pitchFamily="34" charset="0"/>
                <a:cs typeface="Calibri"/>
              </a:rPr>
              <a:pPr algn="ctr"/>
              <a:t>16,4 т/га</a:t>
            </a:fld>
            <a:endParaRPr lang="ru-RU" sz="1400" b="0" i="0">
              <a:solidFill>
                <a:schemeClr val="tx1">
                  <a:lumMod val="65000"/>
                  <a:lumOff val="35000"/>
                </a:schemeClr>
              </a:solidFill>
              <a:latin typeface="Bahnschrift SemiCondensed" panose="020B0502040204020203" pitchFamily="34" charset="0"/>
            </a:endParaRPr>
          </a:p>
        </xdr:txBody>
      </xdr:sp>
    </xdr:grpSp>
    <xdr:clientData/>
  </xdr:twoCellAnchor>
  <xdr:twoCellAnchor>
    <xdr:from>
      <xdr:col>12</xdr:col>
      <xdr:colOff>117581</xdr:colOff>
      <xdr:row>1</xdr:row>
      <xdr:rowOff>54700</xdr:rowOff>
    </xdr:from>
    <xdr:to>
      <xdr:col>16</xdr:col>
      <xdr:colOff>265559</xdr:colOff>
      <xdr:row>10</xdr:row>
      <xdr:rowOff>100396</xdr:rowOff>
    </xdr:to>
    <xdr:grpSp>
      <xdr:nvGrpSpPr>
        <xdr:cNvPr id="50" name="Группа 49">
          <a:extLst>
            <a:ext uri="{FF2B5EF4-FFF2-40B4-BE49-F238E27FC236}">
              <a16:creationId xmlns:a16="http://schemas.microsoft.com/office/drawing/2014/main" id="{AA6B9630-D15E-88A2-C8F0-B7DCD212A9C1}"/>
            </a:ext>
          </a:extLst>
        </xdr:cNvPr>
        <xdr:cNvGrpSpPr/>
      </xdr:nvGrpSpPr>
      <xdr:grpSpPr>
        <a:xfrm>
          <a:off x="7356581" y="403950"/>
          <a:ext cx="2560978" cy="1760196"/>
          <a:chOff x="6438863" y="466725"/>
          <a:chExt cx="2488405" cy="1756659"/>
        </a:xfrm>
      </xdr:grpSpPr>
      <xdr:grpSp>
        <xdr:nvGrpSpPr>
          <xdr:cNvPr id="16" name="Группа 15">
            <a:extLst>
              <a:ext uri="{FF2B5EF4-FFF2-40B4-BE49-F238E27FC236}">
                <a16:creationId xmlns:a16="http://schemas.microsoft.com/office/drawing/2014/main" id="{F13908AF-27C6-4733-9782-50F49490A302}"/>
              </a:ext>
            </a:extLst>
          </xdr:cNvPr>
          <xdr:cNvGrpSpPr/>
        </xdr:nvGrpSpPr>
        <xdr:grpSpPr>
          <a:xfrm>
            <a:off x="6438863" y="466725"/>
            <a:ext cx="2488405" cy="1735668"/>
            <a:chOff x="31750" y="476249"/>
            <a:chExt cx="2444750" cy="1562264"/>
          </a:xfrm>
          <a:noFill/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grpSpPr>
        <xdr:sp macro="" textlink="">
          <xdr:nvSpPr>
            <xdr:cNvPr id="17" name="Прямоугольник 16">
              <a:extLst>
                <a:ext uri="{FF2B5EF4-FFF2-40B4-BE49-F238E27FC236}">
                  <a16:creationId xmlns:a16="http://schemas.microsoft.com/office/drawing/2014/main" id="{B3471558-6FDE-7A6E-84B6-B5819B1F83DD}"/>
                </a:ext>
              </a:extLst>
            </xdr:cNvPr>
            <xdr:cNvSpPr/>
          </xdr:nvSpPr>
          <xdr:spPr>
            <a:xfrm>
              <a:off x="31750" y="476249"/>
              <a:ext cx="2444750" cy="1562264"/>
            </a:xfrm>
            <a:prstGeom prst="rect">
              <a:avLst/>
            </a:prstGeom>
            <a:ln/>
          </xdr:spPr>
          <xdr:style>
            <a:lnRef idx="2">
              <a:schemeClr val="accent4"/>
            </a:lnRef>
            <a:fillRef idx="1">
              <a:schemeClr val="lt1"/>
            </a:fillRef>
            <a:effectRef idx="0">
              <a:schemeClr val="accent4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ru-RU" sz="1400" b="1">
                  <a:solidFill>
                    <a:schemeClr val="tx1"/>
                  </a:solidFill>
                  <a:latin typeface="Bahnschrift" panose="020B0502040204020203" pitchFamily="34" charset="0"/>
                </a:rPr>
                <a:t>ВАЛОВЫЙ СБОР</a:t>
              </a:r>
              <a:r>
                <a:rPr lang="ru-RU" sz="1400" b="1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, тонны</a:t>
              </a:r>
            </a:p>
            <a:p>
              <a:pPr algn="l"/>
              <a:endParaRPr lang="ru-RU" sz="6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/>
              <a:endParaRPr lang="ru-RU" sz="11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Bahnschrift" panose="020B0502040204020203" pitchFamily="34" charset="0"/>
                </a:rPr>
                <a:t>План:</a:t>
              </a:r>
            </a:p>
            <a:p>
              <a:pPr algn="l">
                <a:lnSpc>
                  <a:spcPct val="85000"/>
                </a:lnSpc>
              </a:pPr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Факт:</a:t>
              </a:r>
            </a:p>
            <a:p>
              <a:pPr algn="l"/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/>
              <a:endParaRPr lang="ru-RU" sz="1100" b="0">
                <a:solidFill>
                  <a:schemeClr val="tx1"/>
                </a:solidFill>
                <a:latin typeface="Bahnschrift" panose="020B0502040204020203" pitchFamily="34" charset="0"/>
              </a:endParaRPr>
            </a:p>
          </xdr:txBody>
        </xdr:sp>
        <xdr:grpSp>
          <xdr:nvGrpSpPr>
            <xdr:cNvPr id="18" name="Группа 17">
              <a:extLst>
                <a:ext uri="{FF2B5EF4-FFF2-40B4-BE49-F238E27FC236}">
                  <a16:creationId xmlns:a16="http://schemas.microsoft.com/office/drawing/2014/main" id="{D1C3F703-9E8C-A8E6-C9C2-66D76F35AE00}"/>
                </a:ext>
              </a:extLst>
            </xdr:cNvPr>
            <xdr:cNvGrpSpPr/>
          </xdr:nvGrpSpPr>
          <xdr:grpSpPr>
            <a:xfrm>
              <a:off x="153051" y="781133"/>
              <a:ext cx="2274732" cy="1184717"/>
              <a:chOff x="153051" y="781133"/>
              <a:chExt cx="2274732" cy="1184717"/>
            </a:xfrm>
            <a:grpFill/>
          </xdr:grpSpPr>
          <xdr:sp macro="" textlink="'ОПЕРФАКТ 2025'!C34">
            <xdr:nvSpPr>
              <xdr:cNvPr id="19" name="Прямоугольник 18">
                <a:extLst>
                  <a:ext uri="{FF2B5EF4-FFF2-40B4-BE49-F238E27FC236}">
                    <a16:creationId xmlns:a16="http://schemas.microsoft.com/office/drawing/2014/main" id="{B755C2FE-63EC-E7DC-BAF4-B5D49BA0698C}"/>
                  </a:ext>
                </a:extLst>
              </xdr:cNvPr>
              <xdr:cNvSpPr/>
            </xdr:nvSpPr>
            <xdr:spPr>
              <a:xfrm>
                <a:off x="1627101" y="1750676"/>
                <a:ext cx="800682" cy="215174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4"/>
              </a:lnRef>
              <a:fillRef idx="1">
                <a:schemeClr val="lt1"/>
              </a:fillRef>
              <a:effectRef idx="0">
                <a:schemeClr val="accent4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535BC267-8A4A-48B3-B835-605A24A4270B}" type="TxLink">
                  <a:rPr lang="en-US" sz="1800" b="0" i="0" u="none" strike="noStrike">
                    <a:solidFill>
                      <a:srgbClr val="000000"/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82,2%</a:t>
                </a:fld>
                <a:endParaRPr lang="ru-RU" sz="1800" b="0">
                  <a:solidFill>
                    <a:schemeClr val="accent4">
                      <a:lumMod val="75000"/>
                    </a:schemeClr>
                  </a:solidFill>
                  <a:latin typeface="Bahnschrift" panose="020B0502040204020203" pitchFamily="34" charset="0"/>
                </a:endParaRPr>
              </a:p>
            </xdr:txBody>
          </xdr:sp>
          <xdr:sp macro="" textlink="'ОПЕРФАКТ 2025'!C33">
            <xdr:nvSpPr>
              <xdr:cNvPr id="21" name="Прямоугольник 20">
                <a:extLst>
                  <a:ext uri="{FF2B5EF4-FFF2-40B4-BE49-F238E27FC236}">
                    <a16:creationId xmlns:a16="http://schemas.microsoft.com/office/drawing/2014/main" id="{325CC045-1DE8-119A-1040-0A1C1853B3C4}"/>
                  </a:ext>
                </a:extLst>
              </xdr:cNvPr>
              <xdr:cNvSpPr/>
            </xdr:nvSpPr>
            <xdr:spPr>
              <a:xfrm>
                <a:off x="1019484" y="1157015"/>
                <a:ext cx="1406787" cy="199550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4"/>
              </a:lnRef>
              <a:fillRef idx="1">
                <a:schemeClr val="lt1"/>
              </a:fillRef>
              <a:effectRef idx="0">
                <a:schemeClr val="accent4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CA689799-FF23-4D59-BD46-74D54D8FD529}" type="TxLink">
                  <a:rPr lang="en-US" sz="2000" b="0" i="0" u="none" strike="noStrike">
                    <a:solidFill>
                      <a:srgbClr val="000000"/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32 177</a:t>
                </a:fld>
                <a:endParaRPr lang="ru-RU" sz="2000" b="0">
                  <a:solidFill>
                    <a:sysClr val="windowText" lastClr="000000"/>
                  </a:solidFill>
                  <a:latin typeface="Bahnschrift" panose="020B0502040204020203" pitchFamily="34" charset="0"/>
                </a:endParaRPr>
              </a:p>
            </xdr:txBody>
          </xdr:sp>
          <xdr:cxnSp macro="">
            <xdr:nvCxnSpPr>
              <xdr:cNvPr id="22" name="Прямая соединительная линия 21">
                <a:extLst>
                  <a:ext uri="{FF2B5EF4-FFF2-40B4-BE49-F238E27FC236}">
                    <a16:creationId xmlns:a16="http://schemas.microsoft.com/office/drawing/2014/main" id="{75CC4823-6DD3-72B4-D3B5-127EA5ED883F}"/>
                  </a:ext>
                </a:extLst>
              </xdr:cNvPr>
              <xdr:cNvCxnSpPr/>
            </xdr:nvCxnSpPr>
            <xdr:spPr>
              <a:xfrm>
                <a:off x="153051" y="781133"/>
                <a:ext cx="2127657" cy="2034"/>
              </a:xfrm>
              <a:prstGeom prst="line">
                <a:avLst/>
              </a:prstGeom>
              <a:ln/>
            </xdr:spPr>
            <xdr:style>
              <a:lnRef idx="2">
                <a:schemeClr val="accent4"/>
              </a:lnRef>
              <a:fillRef idx="1">
                <a:schemeClr val="lt1"/>
              </a:fillRef>
              <a:effectRef idx="0">
                <a:schemeClr val="accent4"/>
              </a:effectRef>
              <a:fontRef idx="minor">
                <a:schemeClr val="dk1"/>
              </a:fontRef>
            </xdr:style>
          </xdr:cxnSp>
        </xdr:grpSp>
      </xdr:grpSp>
      <xdr:pic>
        <xdr:nvPicPr>
          <xdr:cNvPr id="2" name="Рисунок 1" descr="Самосвал">
            <a:extLst>
              <a:ext uri="{FF2B5EF4-FFF2-40B4-BE49-F238E27FC236}">
                <a16:creationId xmlns:a16="http://schemas.microsoft.com/office/drawing/2014/main" id="{D24918B0-E820-43AE-9822-668E5B2E787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5"/>
              </a:ext>
            </a:extLst>
          </a:blip>
          <a:stretch>
            <a:fillRect/>
          </a:stretch>
        </xdr:blipFill>
        <xdr:spPr>
          <a:xfrm>
            <a:off x="6956363" y="1607227"/>
            <a:ext cx="666749" cy="616157"/>
          </a:xfrm>
          <a:prstGeom prst="rect">
            <a:avLst/>
          </a:prstGeom>
        </xdr:spPr>
      </xdr:pic>
    </xdr:grpSp>
    <xdr:clientData/>
  </xdr:twoCellAnchor>
  <xdr:twoCellAnchor>
    <xdr:from>
      <xdr:col>6</xdr:col>
      <xdr:colOff>358754</xdr:colOff>
      <xdr:row>1</xdr:row>
      <xdr:rowOff>58510</xdr:rowOff>
    </xdr:from>
    <xdr:to>
      <xdr:col>10</xdr:col>
      <xdr:colOff>365563</xdr:colOff>
      <xdr:row>10</xdr:row>
      <xdr:rowOff>115098</xdr:rowOff>
    </xdr:to>
    <xdr:grpSp>
      <xdr:nvGrpSpPr>
        <xdr:cNvPr id="49" name="Группа 48">
          <a:extLst>
            <a:ext uri="{FF2B5EF4-FFF2-40B4-BE49-F238E27FC236}">
              <a16:creationId xmlns:a16="http://schemas.microsoft.com/office/drawing/2014/main" id="{9C266E0C-6D93-BF53-F2AC-09C47638A49A}"/>
            </a:ext>
          </a:extLst>
        </xdr:cNvPr>
        <xdr:cNvGrpSpPr/>
      </xdr:nvGrpSpPr>
      <xdr:grpSpPr>
        <a:xfrm>
          <a:off x="3978254" y="407760"/>
          <a:ext cx="2419809" cy="1771088"/>
          <a:chOff x="3523572" y="466725"/>
          <a:chExt cx="2357454" cy="1771635"/>
        </a:xfrm>
      </xdr:grpSpPr>
      <xdr:grpSp>
        <xdr:nvGrpSpPr>
          <xdr:cNvPr id="23" name="Группа 22">
            <a:extLst>
              <a:ext uri="{FF2B5EF4-FFF2-40B4-BE49-F238E27FC236}">
                <a16:creationId xmlns:a16="http://schemas.microsoft.com/office/drawing/2014/main" id="{CAA4454D-52F1-4EB1-99F3-8B312D374692}"/>
              </a:ext>
            </a:extLst>
          </xdr:cNvPr>
          <xdr:cNvGrpSpPr/>
        </xdr:nvGrpSpPr>
        <xdr:grpSpPr>
          <a:xfrm>
            <a:off x="3523572" y="466725"/>
            <a:ext cx="2357454" cy="1735668"/>
            <a:chOff x="31750" y="476249"/>
            <a:chExt cx="2444750" cy="1562264"/>
          </a:xfrm>
          <a:noFill/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grpSpPr>
        <xdr:sp macro="" textlink="">
          <xdr:nvSpPr>
            <xdr:cNvPr id="24" name="Прямоугольник 23">
              <a:extLst>
                <a:ext uri="{FF2B5EF4-FFF2-40B4-BE49-F238E27FC236}">
                  <a16:creationId xmlns:a16="http://schemas.microsoft.com/office/drawing/2014/main" id="{78B5CE70-576C-DED1-CAEC-3AC57CC541B5}"/>
                </a:ext>
              </a:extLst>
            </xdr:cNvPr>
            <xdr:cNvSpPr/>
          </xdr:nvSpPr>
          <xdr:spPr>
            <a:xfrm>
              <a:off x="31750" y="476249"/>
              <a:ext cx="2444750" cy="1562264"/>
            </a:xfrm>
            <a:prstGeom prst="rect">
              <a:avLst/>
            </a:prstGeom>
            <a:ln/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ru-RU" sz="1400" b="1">
                  <a:solidFill>
                    <a:schemeClr val="tx1"/>
                  </a:solidFill>
                  <a:latin typeface="Bahnschrift" panose="020B0502040204020203" pitchFamily="34" charset="0"/>
                </a:rPr>
                <a:t>ПЛОЩАДЬ УБОРКИ, га</a:t>
              </a:r>
              <a:endParaRPr lang="ru-RU" sz="1400" b="1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/>
              <a:endParaRPr lang="ru-RU" sz="6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План:</a:t>
              </a:r>
            </a:p>
            <a:p>
              <a:pPr algn="l">
                <a:lnSpc>
                  <a:spcPct val="85000"/>
                </a:lnSpc>
              </a:pPr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Факт:</a:t>
              </a:r>
            </a:p>
            <a:p>
              <a:pPr algn="l"/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/>
              <a:endParaRPr lang="ru-RU" sz="1100" b="0">
                <a:solidFill>
                  <a:schemeClr val="tx1"/>
                </a:solidFill>
                <a:latin typeface="Bahnschrift" panose="020B0502040204020203" pitchFamily="34" charset="0"/>
              </a:endParaRPr>
            </a:p>
          </xdr:txBody>
        </xdr:sp>
        <xdr:grpSp>
          <xdr:nvGrpSpPr>
            <xdr:cNvPr id="25" name="Группа 24">
              <a:extLst>
                <a:ext uri="{FF2B5EF4-FFF2-40B4-BE49-F238E27FC236}">
                  <a16:creationId xmlns:a16="http://schemas.microsoft.com/office/drawing/2014/main" id="{017E02EB-05E1-50FD-7819-F067F0E09E38}"/>
                </a:ext>
              </a:extLst>
            </xdr:cNvPr>
            <xdr:cNvGrpSpPr/>
          </xdr:nvGrpSpPr>
          <xdr:grpSpPr>
            <a:xfrm>
              <a:off x="153051" y="781133"/>
              <a:ext cx="2221994" cy="1215643"/>
              <a:chOff x="153051" y="781133"/>
              <a:chExt cx="2221994" cy="1215643"/>
            </a:xfrm>
            <a:grpFill/>
          </xdr:grpSpPr>
          <xdr:sp macro="" textlink="'ОПЕРФАКТ 2025'!C16">
            <xdr:nvSpPr>
              <xdr:cNvPr id="26" name="Прямоугольник 25">
                <a:extLst>
                  <a:ext uri="{FF2B5EF4-FFF2-40B4-BE49-F238E27FC236}">
                    <a16:creationId xmlns:a16="http://schemas.microsoft.com/office/drawing/2014/main" id="{0BD9BD16-11BD-07EB-BE8F-6B43775383F4}"/>
                  </a:ext>
                </a:extLst>
              </xdr:cNvPr>
              <xdr:cNvSpPr/>
            </xdr:nvSpPr>
            <xdr:spPr>
              <a:xfrm>
                <a:off x="1501520" y="1703411"/>
                <a:ext cx="873525" cy="293365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52F88CCA-3B87-4BB7-8A93-12E8BB778A7D}" type="TxLink">
                  <a:rPr lang="en-US" sz="1800" b="0" i="0" u="none" strike="noStrike">
                    <a:solidFill>
                      <a:srgbClr val="000000"/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87,7%</a:t>
                </a:fld>
                <a:endParaRPr lang="ru-RU" sz="1800" b="0">
                  <a:solidFill>
                    <a:schemeClr val="accent6">
                      <a:lumMod val="75000"/>
                    </a:schemeClr>
                  </a:solidFill>
                  <a:latin typeface="Bahnschrift" panose="020B0502040204020203" pitchFamily="34" charset="0"/>
                </a:endParaRPr>
              </a:p>
            </xdr:txBody>
          </xdr:sp>
          <xdr:sp macro="" textlink="'ОПЕРФАКТ 2025'!C13">
            <xdr:nvSpPr>
              <xdr:cNvPr id="27" name="Прямоугольник 26">
                <a:extLst>
                  <a:ext uri="{FF2B5EF4-FFF2-40B4-BE49-F238E27FC236}">
                    <a16:creationId xmlns:a16="http://schemas.microsoft.com/office/drawing/2014/main" id="{FB3472D3-8138-BABB-D95B-6AF7002A2857}"/>
                  </a:ext>
                </a:extLst>
              </xdr:cNvPr>
              <xdr:cNvSpPr/>
            </xdr:nvSpPr>
            <xdr:spPr>
              <a:xfrm>
                <a:off x="1149443" y="903068"/>
                <a:ext cx="1084792" cy="254000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2BF43787-39D6-4384-8C0A-408F6D5C9E37}" type="TxLink">
                  <a:rPr lang="en-US" sz="2000" b="0" i="0" u="none" strike="noStrike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2 269</a:t>
                </a:fld>
                <a:endParaRPr lang="ru-RU" sz="2000" b="0">
                  <a:solidFill>
                    <a:schemeClr val="tx1">
                      <a:lumMod val="50000"/>
                      <a:lumOff val="50000"/>
                    </a:schemeClr>
                  </a:solidFill>
                  <a:latin typeface="Bahnschrift" panose="020B0502040204020203" pitchFamily="34" charset="0"/>
                </a:endParaRPr>
              </a:p>
            </xdr:txBody>
          </xdr:sp>
          <xdr:sp macro="" textlink="'ОПЕРФАКТ 2025'!C15">
            <xdr:nvSpPr>
              <xdr:cNvPr id="28" name="Прямоугольник 27">
                <a:extLst>
                  <a:ext uri="{FF2B5EF4-FFF2-40B4-BE49-F238E27FC236}">
                    <a16:creationId xmlns:a16="http://schemas.microsoft.com/office/drawing/2014/main" id="{9036494D-AF5D-E3A2-7C39-024B2A3206D8}"/>
                  </a:ext>
                </a:extLst>
              </xdr:cNvPr>
              <xdr:cNvSpPr/>
            </xdr:nvSpPr>
            <xdr:spPr>
              <a:xfrm>
                <a:off x="1162463" y="1183585"/>
                <a:ext cx="1083165" cy="254000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A6142705-9DBC-437D-8CF4-63D055D63BEF}" type="TxLink">
                  <a:rPr lang="en-US" sz="2000" b="0" i="0" u="none" strike="noStrike">
                    <a:solidFill>
                      <a:srgbClr val="000000"/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1 991</a:t>
                </a:fld>
                <a:endParaRPr lang="ru-RU" sz="2000" b="0">
                  <a:solidFill>
                    <a:sysClr val="windowText" lastClr="000000"/>
                  </a:solidFill>
                  <a:latin typeface="Bahnschrift" panose="020B0502040204020203" pitchFamily="34" charset="0"/>
                </a:endParaRPr>
              </a:p>
            </xdr:txBody>
          </xdr:sp>
          <xdr:cxnSp macro="">
            <xdr:nvCxnSpPr>
              <xdr:cNvPr id="29" name="Прямая соединительная линия 28">
                <a:extLst>
                  <a:ext uri="{FF2B5EF4-FFF2-40B4-BE49-F238E27FC236}">
                    <a16:creationId xmlns:a16="http://schemas.microsoft.com/office/drawing/2014/main" id="{137434FE-CAF3-3469-3B89-10E3471E1DA5}"/>
                  </a:ext>
                </a:extLst>
              </xdr:cNvPr>
              <xdr:cNvCxnSpPr/>
            </xdr:nvCxnSpPr>
            <xdr:spPr>
              <a:xfrm>
                <a:off x="153051" y="781133"/>
                <a:ext cx="2127657" cy="2034"/>
              </a:xfrm>
              <a:prstGeom prst="line">
                <a:avLst/>
              </a:prstGeom>
              <a:ln/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</xdr:cxnSp>
        </xdr:grpSp>
      </xdr:grpSp>
      <xdr:pic>
        <xdr:nvPicPr>
          <xdr:cNvPr id="4" name="Рисунок 3" descr="Карта с кнопкой">
            <a:extLst>
              <a:ext uri="{FF2B5EF4-FFF2-40B4-BE49-F238E27FC236}">
                <a16:creationId xmlns:a16="http://schemas.microsoft.com/office/drawing/2014/main" id="{B08925BC-8A01-4007-9E6A-AD4EDE31835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7"/>
              </a:ext>
            </a:extLst>
          </a:blip>
          <a:stretch>
            <a:fillRect/>
          </a:stretch>
        </xdr:blipFill>
        <xdr:spPr>
          <a:xfrm>
            <a:off x="3970477" y="1547799"/>
            <a:ext cx="690561" cy="690561"/>
          </a:xfrm>
          <a:prstGeom prst="rect">
            <a:avLst/>
          </a:prstGeom>
        </xdr:spPr>
      </xdr:pic>
    </xdr:grpSp>
    <xdr:clientData/>
  </xdr:twoCellAnchor>
  <xdr:twoCellAnchor>
    <xdr:from>
      <xdr:col>18</xdr:col>
      <xdr:colOff>21387</xdr:colOff>
      <xdr:row>1</xdr:row>
      <xdr:rowOff>54700</xdr:rowOff>
    </xdr:from>
    <xdr:to>
      <xdr:col>22</xdr:col>
      <xdr:colOff>169363</xdr:colOff>
      <xdr:row>10</xdr:row>
      <xdr:rowOff>82174</xdr:rowOff>
    </xdr:to>
    <xdr:grpSp>
      <xdr:nvGrpSpPr>
        <xdr:cNvPr id="51" name="Группа 50">
          <a:extLst>
            <a:ext uri="{FF2B5EF4-FFF2-40B4-BE49-F238E27FC236}">
              <a16:creationId xmlns:a16="http://schemas.microsoft.com/office/drawing/2014/main" id="{46E55012-9631-D7A5-2459-7B3DCCB91FFC}"/>
            </a:ext>
          </a:extLst>
        </xdr:cNvPr>
        <xdr:cNvGrpSpPr/>
      </xdr:nvGrpSpPr>
      <xdr:grpSpPr>
        <a:xfrm>
          <a:off x="10879887" y="403950"/>
          <a:ext cx="2560976" cy="1741974"/>
          <a:chOff x="9501188" y="464344"/>
          <a:chExt cx="2488405" cy="1738197"/>
        </a:xfrm>
      </xdr:grpSpPr>
      <xdr:grpSp>
        <xdr:nvGrpSpPr>
          <xdr:cNvPr id="37" name="Группа 36">
            <a:extLst>
              <a:ext uri="{FF2B5EF4-FFF2-40B4-BE49-F238E27FC236}">
                <a16:creationId xmlns:a16="http://schemas.microsoft.com/office/drawing/2014/main" id="{195861DC-4549-440F-9EE4-2064493A05F3}"/>
              </a:ext>
            </a:extLst>
          </xdr:cNvPr>
          <xdr:cNvGrpSpPr/>
        </xdr:nvGrpSpPr>
        <xdr:grpSpPr>
          <a:xfrm>
            <a:off x="9501188" y="464344"/>
            <a:ext cx="2488405" cy="1735668"/>
            <a:chOff x="31750" y="476249"/>
            <a:chExt cx="2444750" cy="1562264"/>
          </a:xfrm>
          <a:noFill/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grpSpPr>
        <xdr:sp macro="" textlink="">
          <xdr:nvSpPr>
            <xdr:cNvPr id="42" name="Прямоугольник 41">
              <a:extLst>
                <a:ext uri="{FF2B5EF4-FFF2-40B4-BE49-F238E27FC236}">
                  <a16:creationId xmlns:a16="http://schemas.microsoft.com/office/drawing/2014/main" id="{A0941855-DAC6-A946-09DB-8900142E2FF0}"/>
                </a:ext>
              </a:extLst>
            </xdr:cNvPr>
            <xdr:cNvSpPr/>
          </xdr:nvSpPr>
          <xdr:spPr>
            <a:xfrm>
              <a:off x="31750" y="476249"/>
              <a:ext cx="2444750" cy="1562264"/>
            </a:xfrm>
            <a:prstGeom prst="rect">
              <a:avLst/>
            </a:prstGeom>
            <a:ln/>
          </xdr:spPr>
          <xdr:style>
            <a:lnRef idx="2">
              <a:schemeClr val="accent5"/>
            </a:lnRef>
            <a:fillRef idx="1">
              <a:schemeClr val="lt1"/>
            </a:fillRef>
            <a:effectRef idx="0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ru-RU" sz="1400" b="1">
                  <a:solidFill>
                    <a:schemeClr val="tx1"/>
                  </a:solidFill>
                  <a:latin typeface="Bahnschrift" panose="020B0502040204020203" pitchFamily="34" charset="0"/>
                </a:rPr>
                <a:t>УРОЖАЙНОСТЬ</a:t>
              </a:r>
              <a:r>
                <a:rPr lang="ru-RU" sz="1400" b="1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, т/га</a:t>
              </a:r>
            </a:p>
            <a:p>
              <a:pPr algn="l"/>
              <a:endParaRPr lang="ru-RU" sz="6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endParaRPr lang="ru-RU" sz="11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Bahnschrift" panose="020B0502040204020203" pitchFamily="34" charset="0"/>
                </a:rPr>
                <a:t>План:</a:t>
              </a:r>
            </a:p>
            <a:p>
              <a:pPr algn="l">
                <a:lnSpc>
                  <a:spcPct val="85000"/>
                </a:lnSpc>
              </a:pPr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Факт:</a:t>
              </a:r>
            </a:p>
            <a:p>
              <a:pPr algn="l"/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/>
              <a:endParaRPr lang="ru-RU" sz="1100" b="0">
                <a:solidFill>
                  <a:schemeClr val="tx1"/>
                </a:solidFill>
                <a:latin typeface="Bahnschrift" panose="020B0502040204020203" pitchFamily="34" charset="0"/>
              </a:endParaRPr>
            </a:p>
          </xdr:txBody>
        </xdr:sp>
        <xdr:grpSp>
          <xdr:nvGrpSpPr>
            <xdr:cNvPr id="43" name="Группа 42">
              <a:extLst>
                <a:ext uri="{FF2B5EF4-FFF2-40B4-BE49-F238E27FC236}">
                  <a16:creationId xmlns:a16="http://schemas.microsoft.com/office/drawing/2014/main" id="{77A4B11A-E958-2A06-9A71-A5FD5498F77A}"/>
                </a:ext>
              </a:extLst>
            </xdr:cNvPr>
            <xdr:cNvGrpSpPr/>
          </xdr:nvGrpSpPr>
          <xdr:grpSpPr>
            <a:xfrm>
              <a:off x="153051" y="781133"/>
              <a:ext cx="2147401" cy="590733"/>
              <a:chOff x="153051" y="781133"/>
              <a:chExt cx="2147401" cy="590733"/>
            </a:xfrm>
            <a:grpFill/>
          </xdr:grpSpPr>
          <xdr:sp macro="" textlink="'ОПЕРФАКТ 2025'!C44">
            <xdr:nvSpPr>
              <xdr:cNvPr id="45" name="Прямоугольник 44">
                <a:extLst>
                  <a:ext uri="{FF2B5EF4-FFF2-40B4-BE49-F238E27FC236}">
                    <a16:creationId xmlns:a16="http://schemas.microsoft.com/office/drawing/2014/main" id="{3D9C4B13-1AE9-0836-5CA0-D70564BA8725}"/>
                  </a:ext>
                </a:extLst>
              </xdr:cNvPr>
              <xdr:cNvSpPr/>
            </xdr:nvSpPr>
            <xdr:spPr>
              <a:xfrm>
                <a:off x="1215660" y="1117866"/>
                <a:ext cx="1084792" cy="254000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5"/>
              </a:lnRef>
              <a:fillRef idx="1">
                <a:schemeClr val="lt1"/>
              </a:fillRef>
              <a:effectRef idx="0">
                <a:schemeClr val="accent5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FBFB5B0D-734F-44F0-BC00-AE71A3B3868C}" type="TxLink">
                  <a:rPr lang="en-US" sz="2000" b="0" i="0" u="none" strike="noStrike">
                    <a:solidFill>
                      <a:srgbClr val="000000"/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16,2</a:t>
                </a:fld>
                <a:endParaRPr lang="ru-RU" sz="2000" b="0">
                  <a:solidFill>
                    <a:sysClr val="windowText" lastClr="000000"/>
                  </a:solidFill>
                  <a:latin typeface="Bahnschrift" panose="020B0502040204020203" pitchFamily="34" charset="0"/>
                </a:endParaRPr>
              </a:p>
            </xdr:txBody>
          </xdr:sp>
          <xdr:cxnSp macro="">
            <xdr:nvCxnSpPr>
              <xdr:cNvPr id="47" name="Прямая соединительная линия 46">
                <a:extLst>
                  <a:ext uri="{FF2B5EF4-FFF2-40B4-BE49-F238E27FC236}">
                    <a16:creationId xmlns:a16="http://schemas.microsoft.com/office/drawing/2014/main" id="{19FC8109-5804-88BE-D617-BE2255289F94}"/>
                  </a:ext>
                </a:extLst>
              </xdr:cNvPr>
              <xdr:cNvCxnSpPr/>
            </xdr:nvCxnSpPr>
            <xdr:spPr>
              <a:xfrm>
                <a:off x="153051" y="781133"/>
                <a:ext cx="2127657" cy="2034"/>
              </a:xfrm>
              <a:prstGeom prst="line">
                <a:avLst/>
              </a:prstGeom>
              <a:ln/>
            </xdr:spPr>
            <xdr:style>
              <a:lnRef idx="2">
                <a:schemeClr val="accent5"/>
              </a:lnRef>
              <a:fillRef idx="1">
                <a:schemeClr val="lt1"/>
              </a:fillRef>
              <a:effectRef idx="0">
                <a:schemeClr val="accent5"/>
              </a:effectRef>
              <a:fontRef idx="minor">
                <a:schemeClr val="dk1"/>
              </a:fontRef>
            </xdr:style>
          </xdr:cxnSp>
        </xdr:grpSp>
      </xdr:grpSp>
      <xdr:pic>
        <xdr:nvPicPr>
          <xdr:cNvPr id="48" name="Рисунок 47" descr="Открытая ладонь с растением">
            <a:extLst>
              <a:ext uri="{FF2B5EF4-FFF2-40B4-BE49-F238E27FC236}">
                <a16:creationId xmlns:a16="http://schemas.microsoft.com/office/drawing/2014/main" id="{5CA23833-D218-44DC-89F3-19E02B42904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9"/>
              </a:ext>
            </a:extLst>
          </a:blip>
          <a:stretch>
            <a:fillRect/>
          </a:stretch>
        </xdr:blipFill>
        <xdr:spPr>
          <a:xfrm>
            <a:off x="9913506" y="1595322"/>
            <a:ext cx="624117" cy="607219"/>
          </a:xfrm>
          <a:prstGeom prst="rect">
            <a:avLst/>
          </a:prstGeom>
        </xdr:spPr>
      </xdr:pic>
    </xdr:grpSp>
    <xdr:clientData/>
  </xdr:twoCellAnchor>
  <xdr:twoCellAnchor>
    <xdr:from>
      <xdr:col>0</xdr:col>
      <xdr:colOff>38100</xdr:colOff>
      <xdr:row>37</xdr:row>
      <xdr:rowOff>50619</xdr:rowOff>
    </xdr:from>
    <xdr:to>
      <xdr:col>35</xdr:col>
      <xdr:colOff>301624</xdr:colOff>
      <xdr:row>57</xdr:row>
      <xdr:rowOff>85454</xdr:rowOff>
    </xdr:to>
    <xdr:grpSp>
      <xdr:nvGrpSpPr>
        <xdr:cNvPr id="8" name="Группа 7">
          <a:extLst>
            <a:ext uri="{FF2B5EF4-FFF2-40B4-BE49-F238E27FC236}">
              <a16:creationId xmlns:a16="http://schemas.microsoft.com/office/drawing/2014/main" id="{72DCAE4A-FF68-A898-4FCE-7C1E2F3FC373}"/>
            </a:ext>
          </a:extLst>
        </xdr:cNvPr>
        <xdr:cNvGrpSpPr/>
      </xdr:nvGrpSpPr>
      <xdr:grpSpPr>
        <a:xfrm>
          <a:off x="38100" y="7591244"/>
          <a:ext cx="22361524" cy="3844835"/>
          <a:chOff x="35719" y="6681108"/>
          <a:chExt cx="16585951" cy="3837215"/>
        </a:xfrm>
      </xdr:grpSpPr>
      <xdr:graphicFrame macro="">
        <xdr:nvGraphicFramePr>
          <xdr:cNvPr id="53" name="Диаграмма 52">
            <a:extLst>
              <a:ext uri="{FF2B5EF4-FFF2-40B4-BE49-F238E27FC236}">
                <a16:creationId xmlns:a16="http://schemas.microsoft.com/office/drawing/2014/main" id="{04535A4D-AFC0-4A82-AE13-FD0E93C5D39F}"/>
              </a:ext>
            </a:extLst>
          </xdr:cNvPr>
          <xdr:cNvGraphicFramePr>
            <a:graphicFrameLocks/>
          </xdr:cNvGraphicFramePr>
        </xdr:nvGraphicFramePr>
        <xdr:xfrm>
          <a:off x="35719" y="6681108"/>
          <a:ext cx="13049249" cy="383721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0"/>
          </a:graphicData>
        </a:graphic>
      </xdr:graphicFrame>
      <xdr:graphicFrame macro="">
        <xdr:nvGraphicFramePr>
          <xdr:cNvPr id="5" name="Диаграмма 4">
            <a:extLst>
              <a:ext uri="{FF2B5EF4-FFF2-40B4-BE49-F238E27FC236}">
                <a16:creationId xmlns:a16="http://schemas.microsoft.com/office/drawing/2014/main" id="{1DF3BEE3-9C18-43FF-A407-7B861415E2F8}"/>
              </a:ext>
            </a:extLst>
          </xdr:cNvPr>
          <xdr:cNvGraphicFramePr>
            <a:graphicFrameLocks/>
          </xdr:cNvGraphicFramePr>
        </xdr:nvGraphicFramePr>
        <xdr:xfrm>
          <a:off x="7116537" y="6709682"/>
          <a:ext cx="4029075" cy="365011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1"/>
          </a:graphicData>
        </a:graphic>
      </xdr:graphicFrame>
      <xdr:graphicFrame macro="">
        <xdr:nvGraphicFramePr>
          <xdr:cNvPr id="6" name="Диаграмма 5">
            <a:extLst>
              <a:ext uri="{FF2B5EF4-FFF2-40B4-BE49-F238E27FC236}">
                <a16:creationId xmlns:a16="http://schemas.microsoft.com/office/drawing/2014/main" id="{8FE11277-88B1-4B92-8F8C-32F7BD3EB1E0}"/>
              </a:ext>
            </a:extLst>
          </xdr:cNvPr>
          <xdr:cNvGraphicFramePr>
            <a:graphicFrameLocks/>
          </xdr:cNvGraphicFramePr>
        </xdr:nvGraphicFramePr>
        <xdr:xfrm>
          <a:off x="9692368" y="6708322"/>
          <a:ext cx="4357283" cy="365011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2"/>
          </a:graphicData>
        </a:graphic>
      </xdr:graphicFrame>
      <xdr:graphicFrame macro="">
        <xdr:nvGraphicFramePr>
          <xdr:cNvPr id="7" name="Диаграмма 6">
            <a:extLst>
              <a:ext uri="{FF2B5EF4-FFF2-40B4-BE49-F238E27FC236}">
                <a16:creationId xmlns:a16="http://schemas.microsoft.com/office/drawing/2014/main" id="{F5444261-E78B-4EAB-AEA9-410C3CFD327E}"/>
              </a:ext>
            </a:extLst>
          </xdr:cNvPr>
          <xdr:cNvGraphicFramePr>
            <a:graphicFrameLocks/>
          </xdr:cNvGraphicFramePr>
        </xdr:nvGraphicFramePr>
        <xdr:xfrm>
          <a:off x="12031330" y="6750504"/>
          <a:ext cx="4590340" cy="365011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3"/>
          </a:graphicData>
        </a:graphic>
      </xdr:graphicFrame>
    </xdr:grpSp>
    <xdr:clientData/>
  </xdr:twoCellAnchor>
  <xdr:twoCellAnchor>
    <xdr:from>
      <xdr:col>2</xdr:col>
      <xdr:colOff>581025</xdr:colOff>
      <xdr:row>5</xdr:row>
      <xdr:rowOff>0</xdr:rowOff>
    </xdr:from>
    <xdr:to>
      <xdr:col>4</xdr:col>
      <xdr:colOff>471815</xdr:colOff>
      <xdr:row>6</xdr:row>
      <xdr:rowOff>114300</xdr:rowOff>
    </xdr:to>
    <xdr:sp macro="" textlink="'ОПЕРФАКТ 2025'!C7">
      <xdr:nvSpPr>
        <xdr:cNvPr id="3" name="Прямоугольник 2">
          <a:extLst>
            <a:ext uri="{FF2B5EF4-FFF2-40B4-BE49-F238E27FC236}">
              <a16:creationId xmlns:a16="http://schemas.microsoft.com/office/drawing/2014/main" id="{BDE18E90-05F3-466B-98CB-204A38DD202C}"/>
            </a:ext>
          </a:extLst>
        </xdr:cNvPr>
        <xdr:cNvSpPr/>
      </xdr:nvSpPr>
      <xdr:spPr>
        <a:xfrm>
          <a:off x="1800225" y="1104900"/>
          <a:ext cx="1109990" cy="304800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indent="0" algn="r"/>
          <a:fld id="{5868E732-F070-4C37-9058-E5A4686B98E8}" type="TxLink">
            <a:rPr lang="en-US" sz="11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r"/>
            <a:t>94 дн</a:t>
          </a:fld>
          <a:endParaRPr lang="ru-RU" sz="1000" b="0" i="0" u="none" strike="noStrike">
            <a:solidFill>
              <a:srgbClr val="000000"/>
            </a:solidFill>
            <a:latin typeface="Bahnschrift" panose="020B0502040204020203" pitchFamily="34" charset="0"/>
            <a:ea typeface="+mn-ea"/>
            <a:cs typeface="Calibri"/>
          </a:endParaRPr>
        </a:p>
      </xdr:txBody>
    </xdr:sp>
    <xdr:clientData/>
  </xdr:twoCellAnchor>
  <xdr:twoCellAnchor>
    <xdr:from>
      <xdr:col>3</xdr:col>
      <xdr:colOff>474052</xdr:colOff>
      <xdr:row>34</xdr:row>
      <xdr:rowOff>47625</xdr:rowOff>
    </xdr:from>
    <xdr:to>
      <xdr:col>5</xdr:col>
      <xdr:colOff>222783</xdr:colOff>
      <xdr:row>36</xdr:row>
      <xdr:rowOff>13331</xdr:rowOff>
    </xdr:to>
    <xdr:sp macro="" textlink="'ОПЕРФАКТ 2025'!$N$5">
      <xdr:nvSpPr>
        <xdr:cNvPr id="33" name="Прямоугольник 32">
          <a:extLst>
            <a:ext uri="{FF2B5EF4-FFF2-40B4-BE49-F238E27FC236}">
              <a16:creationId xmlns:a16="http://schemas.microsoft.com/office/drawing/2014/main" id="{380AED66-BB91-420B-83A4-2AE0172EDF4C}"/>
            </a:ext>
          </a:extLst>
        </xdr:cNvPr>
        <xdr:cNvSpPr/>
      </xdr:nvSpPr>
      <xdr:spPr>
        <a:xfrm>
          <a:off x="2302852" y="6715125"/>
          <a:ext cx="967931" cy="321306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fld id="{C2C8E64D-3B8B-469E-ACFB-26544C47A133}" type="TxLink">
            <a:rPr lang="en-US" sz="14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Bahnschrift SemiCondensed" panose="020B0502040204020203" pitchFamily="34" charset="0"/>
              <a:cs typeface="Calibri"/>
            </a:rPr>
            <a:pPr algn="ctr"/>
            <a:t>10,8 т/га</a:t>
          </a:fld>
          <a:endParaRPr lang="ru-RU" sz="1400" b="0" i="0">
            <a:solidFill>
              <a:schemeClr val="tx1">
                <a:lumMod val="65000"/>
                <a:lumOff val="35000"/>
              </a:schemeClr>
            </a:solidFill>
            <a:latin typeface="Bahnschrift SemiCondensed" panose="020B0502040204020203" pitchFamily="34" charset="0"/>
          </a:endParaRPr>
        </a:p>
      </xdr:txBody>
    </xdr:sp>
    <xdr:clientData/>
  </xdr:twoCellAnchor>
  <xdr:twoCellAnchor>
    <xdr:from>
      <xdr:col>6</xdr:col>
      <xdr:colOff>60081</xdr:colOff>
      <xdr:row>34</xdr:row>
      <xdr:rowOff>63500</xdr:rowOff>
    </xdr:from>
    <xdr:to>
      <xdr:col>7</xdr:col>
      <xdr:colOff>413967</xdr:colOff>
      <xdr:row>36</xdr:row>
      <xdr:rowOff>25396</xdr:rowOff>
    </xdr:to>
    <xdr:sp macro="" textlink="'ОПЕРФАКТ 2025'!$N$6">
      <xdr:nvSpPr>
        <xdr:cNvPr id="34" name="Прямоугольник 33">
          <a:extLst>
            <a:ext uri="{FF2B5EF4-FFF2-40B4-BE49-F238E27FC236}">
              <a16:creationId xmlns:a16="http://schemas.microsoft.com/office/drawing/2014/main" id="{1324AE4A-05ED-4522-9FCA-7C75A92C340D}"/>
            </a:ext>
          </a:extLst>
        </xdr:cNvPr>
        <xdr:cNvSpPr/>
      </xdr:nvSpPr>
      <xdr:spPr>
        <a:xfrm>
          <a:off x="3679581" y="7032625"/>
          <a:ext cx="957136" cy="342896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fld id="{EF422991-B348-4448-9DF8-92D8075227DA}" type="TxLink">
            <a:rPr lang="en-US" sz="14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Bahnschrift SemiBold SemiConden" panose="020B0502040204020203" pitchFamily="34" charset="0"/>
              <a:cs typeface="Calibri"/>
            </a:rPr>
            <a:pPr algn="ctr"/>
            <a:t>14,9 т/га</a:t>
          </a:fld>
          <a:endParaRPr lang="ru-RU" sz="1400" b="0" i="0">
            <a:solidFill>
              <a:schemeClr val="tx1">
                <a:lumMod val="65000"/>
                <a:lumOff val="35000"/>
              </a:schemeClr>
            </a:solidFill>
            <a:latin typeface="Bahnschrift SemiBold SemiConden" panose="020B0502040204020203" pitchFamily="34" charset="0"/>
          </a:endParaRPr>
        </a:p>
      </xdr:txBody>
    </xdr:sp>
    <xdr:clientData/>
  </xdr:twoCellAnchor>
  <xdr:twoCellAnchor>
    <xdr:from>
      <xdr:col>8</xdr:col>
      <xdr:colOff>181219</xdr:colOff>
      <xdr:row>34</xdr:row>
      <xdr:rowOff>64721</xdr:rowOff>
    </xdr:from>
    <xdr:to>
      <xdr:col>9</xdr:col>
      <xdr:colOff>537010</xdr:colOff>
      <xdr:row>36</xdr:row>
      <xdr:rowOff>26617</xdr:rowOff>
    </xdr:to>
    <xdr:sp macro="" textlink="'ОПЕРФАКТ 2025'!$N$7">
      <xdr:nvSpPr>
        <xdr:cNvPr id="35" name="Прямоугольник 34">
          <a:extLst>
            <a:ext uri="{FF2B5EF4-FFF2-40B4-BE49-F238E27FC236}">
              <a16:creationId xmlns:a16="http://schemas.microsoft.com/office/drawing/2014/main" id="{55654963-FA36-4847-9D06-74030DA1F654}"/>
            </a:ext>
          </a:extLst>
        </xdr:cNvPr>
        <xdr:cNvSpPr/>
      </xdr:nvSpPr>
      <xdr:spPr>
        <a:xfrm>
          <a:off x="5007219" y="6621096"/>
          <a:ext cx="959041" cy="311146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fld id="{0A9F7AE2-1D49-41DE-BA17-BD7ED84C0584}" type="TxLink">
            <a:rPr lang="en-US" sz="14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Bahnschrift SemiBold SemiConden" panose="020B0502040204020203" pitchFamily="34" charset="0"/>
              <a:cs typeface="Calibri"/>
            </a:rPr>
            <a:pPr algn="ctr"/>
            <a:t>12,0 т/га</a:t>
          </a:fld>
          <a:endParaRPr lang="ru-RU" sz="1400" b="0" i="0">
            <a:solidFill>
              <a:schemeClr val="tx1">
                <a:lumMod val="65000"/>
                <a:lumOff val="35000"/>
              </a:schemeClr>
            </a:solidFill>
            <a:latin typeface="Bahnschrift SemiBold SemiConden" panose="020B0502040204020203" pitchFamily="34" charset="0"/>
          </a:endParaRPr>
        </a:p>
      </xdr:txBody>
    </xdr:sp>
    <xdr:clientData/>
  </xdr:twoCellAnchor>
  <xdr:twoCellAnchor>
    <xdr:from>
      <xdr:col>13</xdr:col>
      <xdr:colOff>64281</xdr:colOff>
      <xdr:row>34</xdr:row>
      <xdr:rowOff>57297</xdr:rowOff>
    </xdr:from>
    <xdr:to>
      <xdr:col>14</xdr:col>
      <xdr:colOff>412452</xdr:colOff>
      <xdr:row>36</xdr:row>
      <xdr:rowOff>30916</xdr:rowOff>
    </xdr:to>
    <xdr:sp macro="" textlink="'ОПЕРФАКТ 2025'!$N$9">
      <xdr:nvSpPr>
        <xdr:cNvPr id="36" name="Прямоугольник 35">
          <a:extLst>
            <a:ext uri="{FF2B5EF4-FFF2-40B4-BE49-F238E27FC236}">
              <a16:creationId xmlns:a16="http://schemas.microsoft.com/office/drawing/2014/main" id="{406D77E2-E097-48D4-8975-DEDFF7EE2670}"/>
            </a:ext>
          </a:extLst>
        </xdr:cNvPr>
        <xdr:cNvSpPr/>
      </xdr:nvSpPr>
      <xdr:spPr>
        <a:xfrm>
          <a:off x="7906531" y="6613672"/>
          <a:ext cx="951421" cy="322869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fld id="{3DE6E183-163D-4AE7-B54A-FDE0005779FC}" type="TxLink">
            <a:rPr lang="en-US" sz="14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Bahnschrift SemiBold" panose="020B0502040204020203" pitchFamily="34" charset="0"/>
              <a:cs typeface="Calibri"/>
            </a:rPr>
            <a:pPr algn="ctr"/>
            <a:t>20,5 т/га</a:t>
          </a:fld>
          <a:endParaRPr lang="ru-RU" sz="1400" b="0" i="0">
            <a:solidFill>
              <a:schemeClr val="tx1">
                <a:lumMod val="65000"/>
                <a:lumOff val="35000"/>
              </a:schemeClr>
            </a:solidFill>
            <a:latin typeface="Bahnschrift SemiBold" panose="020B0502040204020203" pitchFamily="34" charset="0"/>
          </a:endParaRPr>
        </a:p>
      </xdr:txBody>
    </xdr:sp>
    <xdr:clientData/>
  </xdr:twoCellAnchor>
  <xdr:twoCellAnchor>
    <xdr:from>
      <xdr:col>10</xdr:col>
      <xdr:colOff>450703</xdr:colOff>
      <xdr:row>34</xdr:row>
      <xdr:rowOff>80596</xdr:rowOff>
    </xdr:from>
    <xdr:to>
      <xdr:col>12</xdr:col>
      <xdr:colOff>198799</xdr:colOff>
      <xdr:row>36</xdr:row>
      <xdr:rowOff>42492</xdr:rowOff>
    </xdr:to>
    <xdr:sp macro="" textlink="'ОПЕРФАКТ 2025'!$N$8">
      <xdr:nvSpPr>
        <xdr:cNvPr id="44" name="Прямоугольник 43">
          <a:extLst>
            <a:ext uri="{FF2B5EF4-FFF2-40B4-BE49-F238E27FC236}">
              <a16:creationId xmlns:a16="http://schemas.microsoft.com/office/drawing/2014/main" id="{E9FA9451-266A-4F1A-86EA-6712974B4A68}"/>
            </a:ext>
          </a:extLst>
        </xdr:cNvPr>
        <xdr:cNvSpPr/>
      </xdr:nvSpPr>
      <xdr:spPr>
        <a:xfrm>
          <a:off x="6546703" y="7065596"/>
          <a:ext cx="967296" cy="342896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fld id="{A205E033-5418-4E2A-AACC-DB1F90A4AEAA}" type="TxLink">
            <a:rPr lang="en-US" sz="14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Bahnschrift SemiBold SemiConden" panose="020B0502040204020203" pitchFamily="34" charset="0"/>
              <a:cs typeface="Calibri"/>
            </a:rPr>
            <a:pPr algn="ctr"/>
            <a:t>19,4 т/га</a:t>
          </a:fld>
          <a:endParaRPr lang="ru-RU" sz="1400" b="0" i="0">
            <a:solidFill>
              <a:schemeClr val="tx1">
                <a:lumMod val="65000"/>
                <a:lumOff val="35000"/>
              </a:schemeClr>
            </a:solidFill>
            <a:latin typeface="Bahnschrift SemiBold SemiConden" panose="020B0502040204020203" pitchFamily="34" charset="0"/>
          </a:endParaRPr>
        </a:p>
      </xdr:txBody>
    </xdr:sp>
    <xdr:clientData/>
  </xdr:twoCellAnchor>
  <xdr:twoCellAnchor>
    <xdr:from>
      <xdr:col>20</xdr:col>
      <xdr:colOff>56557</xdr:colOff>
      <xdr:row>3</xdr:row>
      <xdr:rowOff>66422</xdr:rowOff>
    </xdr:from>
    <xdr:to>
      <xdr:col>21</xdr:col>
      <xdr:colOff>594592</xdr:colOff>
      <xdr:row>4</xdr:row>
      <xdr:rowOff>157377</xdr:rowOff>
    </xdr:to>
    <xdr:sp macro="" textlink="'ОПЕРФАКТ 2025'!C42">
      <xdr:nvSpPr>
        <xdr:cNvPr id="52" name="Прямоугольник 51">
          <a:extLst>
            <a:ext uri="{FF2B5EF4-FFF2-40B4-BE49-F238E27FC236}">
              <a16:creationId xmlns:a16="http://schemas.microsoft.com/office/drawing/2014/main" id="{5E7F60A4-0E61-43EE-B160-424D5298F77E}"/>
            </a:ext>
          </a:extLst>
        </xdr:cNvPr>
        <xdr:cNvSpPr/>
      </xdr:nvSpPr>
      <xdr:spPr>
        <a:xfrm>
          <a:off x="12248557" y="793253"/>
          <a:ext cx="1147635" cy="278524"/>
        </a:xfrm>
        <a:prstGeom prst="rect">
          <a:avLst/>
        </a:prstGeom>
        <a:ln>
          <a:noFill/>
        </a:ln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r"/>
          <a:fld id="{962FCB77-09D0-41F2-84A2-A29B2AE3155A}" type="TxLink">
            <a:rPr lang="en-US" sz="2000" b="0" i="0" u="none" strike="noStrike">
              <a:solidFill>
                <a:schemeClr val="tx1">
                  <a:lumMod val="50000"/>
                  <a:lumOff val="50000"/>
                </a:schemeClr>
              </a:solidFill>
              <a:latin typeface="Bahnschrift" panose="020B0502040204020203" pitchFamily="34" charset="0"/>
              <a:cs typeface="Calibri"/>
            </a:rPr>
            <a:pPr algn="r"/>
            <a:t>17,3</a:t>
          </a:fld>
          <a:endParaRPr lang="ru-RU" sz="2000" b="0">
            <a:solidFill>
              <a:schemeClr val="tx1">
                <a:lumMod val="50000"/>
                <a:lumOff val="50000"/>
              </a:schemeClr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13</xdr:col>
      <xdr:colOff>316873</xdr:colOff>
      <xdr:row>3</xdr:row>
      <xdr:rowOff>54699</xdr:rowOff>
    </xdr:from>
    <xdr:to>
      <xdr:col>16</xdr:col>
      <xdr:colOff>203836</xdr:colOff>
      <xdr:row>5</xdr:row>
      <xdr:rowOff>35659</xdr:rowOff>
    </xdr:to>
    <xdr:sp macro="" textlink="'ОПЕРФАКТ 2025'!C31">
      <xdr:nvSpPr>
        <xdr:cNvPr id="54" name="Прямоугольник 53">
          <a:extLst>
            <a:ext uri="{FF2B5EF4-FFF2-40B4-BE49-F238E27FC236}">
              <a16:creationId xmlns:a16="http://schemas.microsoft.com/office/drawing/2014/main" id="{9F2E5163-CC5D-4F1A-98A3-576119A0742F}"/>
            </a:ext>
          </a:extLst>
        </xdr:cNvPr>
        <xdr:cNvSpPr/>
      </xdr:nvSpPr>
      <xdr:spPr>
        <a:xfrm>
          <a:off x="8241673" y="781530"/>
          <a:ext cx="1715763" cy="356098"/>
        </a:xfrm>
        <a:prstGeom prst="rect">
          <a:avLst/>
        </a:prstGeom>
        <a:ln>
          <a:noFill/>
        </a:ln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r"/>
          <a:fld id="{338ADBD1-BA74-4732-B514-2BDF4C4AD701}" type="TxLink">
            <a:rPr lang="en-US" sz="2000" b="0" i="0" u="none" strike="noStrike">
              <a:solidFill>
                <a:schemeClr val="tx1">
                  <a:lumMod val="50000"/>
                  <a:lumOff val="50000"/>
                </a:schemeClr>
              </a:solidFill>
              <a:latin typeface="Bahnschrift" panose="020B0502040204020203" pitchFamily="34" charset="0"/>
              <a:cs typeface="Calibri"/>
            </a:rPr>
            <a:pPr algn="r"/>
            <a:t>39 166</a:t>
          </a:fld>
          <a:endParaRPr lang="ru-RU" sz="2000" b="0">
            <a:solidFill>
              <a:schemeClr val="tx1">
                <a:lumMod val="50000"/>
                <a:lumOff val="50000"/>
              </a:schemeClr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23</xdr:col>
      <xdr:colOff>342900</xdr:colOff>
      <xdr:row>0</xdr:row>
      <xdr:rowOff>114299</xdr:rowOff>
    </xdr:from>
    <xdr:to>
      <xdr:col>30</xdr:col>
      <xdr:colOff>228600</xdr:colOff>
      <xdr:row>17</xdr:row>
      <xdr:rowOff>111124</xdr:rowOff>
    </xdr:to>
    <xdr:graphicFrame macro="">
      <xdr:nvGraphicFramePr>
        <xdr:cNvPr id="56" name="Диаграмма 55">
          <a:extLst>
            <a:ext uri="{FF2B5EF4-FFF2-40B4-BE49-F238E27FC236}">
              <a16:creationId xmlns:a16="http://schemas.microsoft.com/office/drawing/2014/main" id="{B6B40B06-633A-4DF2-93FE-97EA6AD71E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27</xdr:col>
      <xdr:colOff>558800</xdr:colOff>
      <xdr:row>17</xdr:row>
      <xdr:rowOff>165100</xdr:rowOff>
    </xdr:from>
    <xdr:to>
      <xdr:col>29</xdr:col>
      <xdr:colOff>243640</xdr:colOff>
      <xdr:row>19</xdr:row>
      <xdr:rowOff>146907</xdr:rowOff>
    </xdr:to>
    <xdr:sp macro="" textlink="'ОПЕРФАКТ 2025'!C47">
      <xdr:nvSpPr>
        <xdr:cNvPr id="57" name="Прямоугольник 56">
          <a:extLst>
            <a:ext uri="{FF2B5EF4-FFF2-40B4-BE49-F238E27FC236}">
              <a16:creationId xmlns:a16="http://schemas.microsoft.com/office/drawing/2014/main" id="{BC20B005-B828-4208-B55D-23F5D81901BA}"/>
            </a:ext>
          </a:extLst>
        </xdr:cNvPr>
        <xdr:cNvSpPr/>
      </xdr:nvSpPr>
      <xdr:spPr>
        <a:xfrm>
          <a:off x="17018000" y="3365500"/>
          <a:ext cx="967540" cy="337407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fld id="{FD003B96-75A8-4E7E-B756-A719B5BB7EE6}" type="TxLink">
            <a:rPr lang="en-US" sz="15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15,9 т/га</a:t>
          </a:fld>
          <a:endParaRPr lang="ru-RU" sz="1500" b="0" i="0">
            <a:solidFill>
              <a:schemeClr val="tx1">
                <a:lumMod val="65000"/>
                <a:lumOff val="35000"/>
              </a:schemeClr>
            </a:solidFill>
            <a:latin typeface="Bahnschrift SemiCondensed" panose="020B0502040204020203" pitchFamily="34" charset="0"/>
          </a:endParaRPr>
        </a:p>
      </xdr:txBody>
    </xdr:sp>
    <xdr:clientData/>
  </xdr:twoCellAnchor>
  <xdr:twoCellAnchor>
    <xdr:from>
      <xdr:col>24</xdr:col>
      <xdr:colOff>365125</xdr:colOff>
      <xdr:row>17</xdr:row>
      <xdr:rowOff>174625</xdr:rowOff>
    </xdr:from>
    <xdr:to>
      <xdr:col>26</xdr:col>
      <xdr:colOff>124895</xdr:colOff>
      <xdr:row>19</xdr:row>
      <xdr:rowOff>127222</xdr:rowOff>
    </xdr:to>
    <xdr:sp macro="" textlink="'ОПЕРФАКТ 2025'!C46">
      <xdr:nvSpPr>
        <xdr:cNvPr id="20" name="Прямоугольник 19">
          <a:extLst>
            <a:ext uri="{FF2B5EF4-FFF2-40B4-BE49-F238E27FC236}">
              <a16:creationId xmlns:a16="http://schemas.microsoft.com/office/drawing/2014/main" id="{45B609EA-0D82-4609-AF47-A814383A8172}"/>
            </a:ext>
          </a:extLst>
        </xdr:cNvPr>
        <xdr:cNvSpPr/>
      </xdr:nvSpPr>
      <xdr:spPr>
        <a:xfrm>
          <a:off x="14843125" y="3571875"/>
          <a:ext cx="934520" cy="333597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fld id="{653BCB57-121C-4022-A3A4-B072E458AD65}" type="TxLink">
            <a:rPr lang="en-US" sz="15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16,3 т/га</a:t>
          </a:fld>
          <a:endParaRPr lang="ru-RU" sz="1500" b="0" i="0">
            <a:solidFill>
              <a:schemeClr val="tx1">
                <a:lumMod val="65000"/>
                <a:lumOff val="35000"/>
              </a:schemeClr>
            </a:solidFill>
            <a:latin typeface="Bahnschrift SemiCondensed" panose="020B0502040204020203" pitchFamily="34" charset="0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320041</xdr:colOff>
      <xdr:row>16</xdr:row>
      <xdr:rowOff>139065</xdr:rowOff>
    </xdr:from>
    <xdr:to>
      <xdr:col>18</xdr:col>
      <xdr:colOff>62865</xdr:colOff>
      <xdr:row>33</xdr:row>
      <xdr:rowOff>144780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62C3FA18-AD54-4936-BF47-B441B9E280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544831</xdr:colOff>
      <xdr:row>34</xdr:row>
      <xdr:rowOff>146684</xdr:rowOff>
    </xdr:from>
    <xdr:to>
      <xdr:col>8</xdr:col>
      <xdr:colOff>958215</xdr:colOff>
      <xdr:row>48</xdr:row>
      <xdr:rowOff>19050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F683FE6E-5827-45C8-BF1C-977A1BCC11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60966</xdr:colOff>
      <xdr:row>77</xdr:row>
      <xdr:rowOff>49530</xdr:rowOff>
    </xdr:from>
    <xdr:to>
      <xdr:col>13</xdr:col>
      <xdr:colOff>259086</xdr:colOff>
      <xdr:row>92</xdr:row>
      <xdr:rowOff>49530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758F05A0-B51C-F1C3-54B0-779E0FECC9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320041</xdr:colOff>
      <xdr:row>16</xdr:row>
      <xdr:rowOff>139065</xdr:rowOff>
    </xdr:from>
    <xdr:to>
      <xdr:col>18</xdr:col>
      <xdr:colOff>62865</xdr:colOff>
      <xdr:row>33</xdr:row>
      <xdr:rowOff>144780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25E39190-EC83-71FD-816F-E3AF914B04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295275</xdr:colOff>
      <xdr:row>88</xdr:row>
      <xdr:rowOff>28575</xdr:rowOff>
    </xdr:from>
    <xdr:to>
      <xdr:col>19</xdr:col>
      <xdr:colOff>241935</xdr:colOff>
      <xdr:row>112</xdr:row>
      <xdr:rowOff>95250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1890E609-7996-437B-3957-3C3BD4C83F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544831</xdr:colOff>
      <xdr:row>34</xdr:row>
      <xdr:rowOff>146684</xdr:rowOff>
    </xdr:from>
    <xdr:to>
      <xdr:col>8</xdr:col>
      <xdr:colOff>958215</xdr:colOff>
      <xdr:row>48</xdr:row>
      <xdr:rowOff>19050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907DEF20-E88F-F773-3F81-71C930DCAA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206829</xdr:colOff>
      <xdr:row>0</xdr:row>
      <xdr:rowOff>0</xdr:rowOff>
    </xdr:from>
    <xdr:to>
      <xdr:col>1</xdr:col>
      <xdr:colOff>911135</xdr:colOff>
      <xdr:row>2</xdr:row>
      <xdr:rowOff>72934</xdr:rowOff>
    </xdr:to>
    <xdr:pic>
      <xdr:nvPicPr>
        <xdr:cNvPr id="3" name="Рисунок 2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7955EB1-7DFB-4E11-A5B3-950F8DFC41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6829" y="0"/>
          <a:ext cx="915761" cy="100148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50431</xdr:colOff>
      <xdr:row>0</xdr:row>
      <xdr:rowOff>110649</xdr:rowOff>
    </xdr:from>
    <xdr:to>
      <xdr:col>17</xdr:col>
      <xdr:colOff>294934</xdr:colOff>
      <xdr:row>2</xdr:row>
      <xdr:rowOff>343603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Контрагент">
              <a:extLst>
                <a:ext uri="{FF2B5EF4-FFF2-40B4-BE49-F238E27FC236}">
                  <a16:creationId xmlns:a16="http://schemas.microsoft.com/office/drawing/2014/main" id="{6EAD5A2B-0501-2C32-2A7F-4296E45E2BA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Контрагент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60496" y="110649"/>
              <a:ext cx="14739035" cy="6486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206829</xdr:colOff>
      <xdr:row>0</xdr:row>
      <xdr:rowOff>0</xdr:rowOff>
    </xdr:from>
    <xdr:to>
      <xdr:col>1</xdr:col>
      <xdr:colOff>891541</xdr:colOff>
      <xdr:row>2</xdr:row>
      <xdr:rowOff>3266</xdr:rowOff>
    </xdr:to>
    <xdr:pic>
      <xdr:nvPicPr>
        <xdr:cNvPr id="3" name="Рисунок 2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C379C70-E1D9-4BF7-BF68-B0EA4A9736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6829" y="0"/>
          <a:ext cx="911407" cy="94705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206829</xdr:colOff>
      <xdr:row>0</xdr:row>
      <xdr:rowOff>0</xdr:rowOff>
    </xdr:from>
    <xdr:to>
      <xdr:col>1</xdr:col>
      <xdr:colOff>910591</xdr:colOff>
      <xdr:row>2</xdr:row>
      <xdr:rowOff>3266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7CC91D-767F-4560-831B-66D828CCD6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6829" y="0"/>
          <a:ext cx="913312" cy="94052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206829</xdr:colOff>
      <xdr:row>0</xdr:row>
      <xdr:rowOff>0</xdr:rowOff>
    </xdr:from>
    <xdr:to>
      <xdr:col>1</xdr:col>
      <xdr:colOff>910591</xdr:colOff>
      <xdr:row>2</xdr:row>
      <xdr:rowOff>3266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B900420-4856-4819-97CF-EF4C59095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6829" y="0"/>
          <a:ext cx="917122" cy="94052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206829</xdr:colOff>
      <xdr:row>0</xdr:row>
      <xdr:rowOff>0</xdr:rowOff>
    </xdr:from>
    <xdr:to>
      <xdr:col>1</xdr:col>
      <xdr:colOff>910591</xdr:colOff>
      <xdr:row>2</xdr:row>
      <xdr:rowOff>3266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2405C37-304F-4F2B-A993-77E2F21C58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6829" y="0"/>
          <a:ext cx="932362" cy="94052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206829</xdr:colOff>
      <xdr:row>0</xdr:row>
      <xdr:rowOff>0</xdr:rowOff>
    </xdr:from>
    <xdr:to>
      <xdr:col>1</xdr:col>
      <xdr:colOff>910591</xdr:colOff>
      <xdr:row>2</xdr:row>
      <xdr:rowOff>3266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08E2CDA-C862-4E8B-9DAB-D7E8514F6E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6829" y="0"/>
          <a:ext cx="922837" cy="946241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206829</xdr:colOff>
      <xdr:row>0</xdr:row>
      <xdr:rowOff>0</xdr:rowOff>
    </xdr:from>
    <xdr:to>
      <xdr:col>1</xdr:col>
      <xdr:colOff>883921</xdr:colOff>
      <xdr:row>2</xdr:row>
      <xdr:rowOff>3266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65E0B3E-A9D0-4ACB-9C2B-C1C71F72D6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6829" y="0"/>
          <a:ext cx="892357" cy="946241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206829</xdr:colOff>
      <xdr:row>0</xdr:row>
      <xdr:rowOff>0</xdr:rowOff>
    </xdr:from>
    <xdr:to>
      <xdr:col>1</xdr:col>
      <xdr:colOff>895351</xdr:colOff>
      <xdr:row>2</xdr:row>
      <xdr:rowOff>3266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74C78E5-04BC-4708-9950-0225755ED3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6829" y="0"/>
          <a:ext cx="892357" cy="946241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206829</xdr:colOff>
      <xdr:row>0</xdr:row>
      <xdr:rowOff>0</xdr:rowOff>
    </xdr:from>
    <xdr:to>
      <xdr:col>1</xdr:col>
      <xdr:colOff>910591</xdr:colOff>
      <xdr:row>2</xdr:row>
      <xdr:rowOff>3266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24D5DC1-0951-46DE-AD72-5170B20D43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6829" y="0"/>
          <a:ext cx="917122" cy="94052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206829</xdr:colOff>
      <xdr:row>0</xdr:row>
      <xdr:rowOff>0</xdr:rowOff>
    </xdr:from>
    <xdr:to>
      <xdr:col>1</xdr:col>
      <xdr:colOff>910591</xdr:colOff>
      <xdr:row>2</xdr:row>
      <xdr:rowOff>3266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2C7F5EB-CCED-4BFD-B22D-6D14823002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6829" y="0"/>
          <a:ext cx="907597" cy="94624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Неезжалова Анастасия Викторовна" refreshedDate="46016.554020254633" createdVersion="8" refreshedVersion="8" minRefreshableVersion="3" recordCount="1459" xr:uid="{2B17A546-8A6C-4552-97EC-C5CE48F68BCA}">
  <cacheSource type="worksheet">
    <worksheetSource name="Таблица24"/>
  </cacheSource>
  <cacheFields count="22">
    <cacheField name="Документ" numFmtId="0">
      <sharedItems/>
    </cacheField>
    <cacheField name="Номер взвешивания" numFmtId="222">
      <sharedItems containsSemiMixedTypes="0" containsString="0" containsNumber="1" containsInteger="1" minValue="819" maxValue="3020"/>
    </cacheField>
    <cacheField name="Номер вх.  док." numFmtId="0">
      <sharedItems containsBlank="1" containsMixedTypes="1" containsNumber="1" containsInteger="1" minValue="1" maxValue="582311"/>
    </cacheField>
    <cacheField name="Контрагент" numFmtId="0">
      <sharedItems containsBlank="1" count="16">
        <s v="КОЛХОЗ ЛЕНИНСКИЙ ПУТЬ ООО"/>
        <s v="СОЮЗ-АГРО ООО"/>
        <s v="ГУДНЕСС ФУДС ДЖАЛГА ООО"/>
        <s v="ГУДНЕСС ФУДС ИПАТОВСКИЙ ООО"/>
        <s v="ГУДНЕСС ФУДС ГОФИЦКОЕ ООО"/>
        <s v="ГРИН РЭЙ КУБАНЬ ООО"/>
        <s v="АГРОЛИДЕР ООО"/>
        <s v="МОК БРАТКОВСКИЙ АО"/>
        <s v="СОВХОЗ ИМЕНИ КИРОВА АО"/>
        <s v="КОЛОС ООО"/>
        <s v="Гуднесс Фудс Джалга" u="1"/>
        <s v="Гуднесс Фудс Ипатовский" u="1"/>
        <s v="Гуднесс Фудс Гофицкое" u="1"/>
        <m u="1"/>
        <s v="Бербеницкий Сергей Николаевич" u="1"/>
        <s v="Черевко Александр Владимирович" u="1"/>
      </sharedItems>
    </cacheField>
    <cacheField name="Водитель" numFmtId="0">
      <sharedItems/>
    </cacheField>
    <cacheField name="Автомобиль" numFmtId="0">
      <sharedItems/>
    </cacheField>
    <cacheField name="Номер поля" numFmtId="0">
      <sharedItems containsBlank="1" count="42">
        <m/>
        <s v="1103 Иррико (Джалга)"/>
        <s v="1102 Иррико (Джалга)"/>
        <s v="1107 Иррико (Джалга)"/>
        <s v="1111 Иррико (Джалга)"/>
        <s v="1113 Иррико (Джалга)"/>
        <s v="505 Иррико-Холдинг (Винодельненский)"/>
        <s v="605 Иррико-Холдинг (Винодельненский)"/>
        <s v="411 Иррико-Холдинг (Винодельненский)"/>
        <s v="3.29 Иррико-Холдинг (Гофицкое)"/>
        <s v="2.12 Иррико-Холдинг (Гофицкое)"/>
        <s v="3.31 Иррико-Холдинг (Гофицкое)"/>
        <s v="2.11 Иррико-Холдинг (Гофицкое)"/>
        <s v="2.3.1 Иррико-Холдинг (Гофицкое)"/>
        <s v="2.2.1 Иррико-Холдинг (Гофицкое)"/>
        <s v="3.2 Иррико-Холдинг (Гофицкое)"/>
        <s v="А-113/1"/>
        <s v="А-113/2"/>
        <s v="А-108/7"/>
        <s v="16/1 Агролидер"/>
        <s v="А-79"/>
        <s v="14/1 Агролидер"/>
        <s v="15/1 Агролидер"/>
        <s v="40/1 Братковский"/>
        <s v="41/1 Братковский"/>
        <s v="50/1 Братковский"/>
        <s v="1 (3) им. Кирова ЗАО"/>
        <s v="1 (1) им. Кирова ЗАО"/>
        <s v="1 (2) им. Кирова ЗАО"/>
        <s v="2.2 Колос"/>
        <s v="4.3 Колос"/>
        <s v="4.2 Колос"/>
        <s v="4.1 Колос"/>
        <s v="2.3 Колос"/>
        <s v="1 (4) им. Кирова ЗАО"/>
        <s v="3.6 Колос"/>
        <s v="А-113" u="1"/>
        <s v="Закупка Братковский" u="1"/>
        <s v="506 Иррико-Холдинг (Винодельненский)" u="1"/>
        <s v="507 Иррико-Холдинг (Винодельненский)" u="1"/>
        <s v="508 Иррико-Холдинг (Винодельненский)" u="1"/>
        <s v="509 Иррико-Холдинг (Винодельненский)" u="1"/>
      </sharedItems>
    </cacheField>
    <cacheField name="Хар-ка" numFmtId="0">
      <sharedItems containsBlank="1" count="17">
        <s v="Киара"/>
        <s v="Роялти"/>
        <s v="Вероника"/>
        <s v="Карамелло"/>
        <s v="Шайнрок"/>
        <s v="Импресс"/>
        <s v="Сентинель"/>
        <s v="Лендкрузер"/>
        <s v="Хан"/>
        <s v="Мирза"/>
        <s v="Харди"/>
        <s v="Оватонна"/>
        <s v="Щербет"/>
        <s v="Энтерпрайз"/>
        <s v="ЗУИ 7469"/>
        <s v="Генератор"/>
        <m u="1"/>
      </sharedItems>
    </cacheField>
    <cacheField name="Исх. номенклатура" numFmtId="0">
      <sharedItems containsBlank="1" count="12">
        <s v="Кукуруза сахарная (из суперсладких сортов) 2025"/>
        <s v="Кукуруза сахарная 2025"/>
        <s v="Кукуруза сахарная (из суперсладких сортов) 2025 Иррико-Холдинг"/>
        <s v="Кукуруза сахарная 2025 Иррико-Холдинг"/>
        <s v="Кукуруза сахарная 2025 Агролидер"/>
        <s v="Кукуруза сахарная 2025 Братковский"/>
        <s v="Кукуруза сахарная 2025 АО совхоз им.Кирова"/>
        <s v="Кукуруза сахарная 2025 Колос ООО"/>
        <s v="Кукуруза сахарная 2025 (группа)" u="1"/>
        <m u="1"/>
        <s v="Кукуруза сахарная 2025 " u="1"/>
        <s v="Кукуруза сахарная Иррико-Холдинг" u="1"/>
      </sharedItems>
    </cacheField>
    <cacheField name="Вес нетто ЗАКУПКА" numFmtId="175">
      <sharedItems containsString="0" containsBlank="1" containsNumber="1" containsInteger="1" minValue="6050" maxValue="42190"/>
    </cacheField>
    <cacheField name="Дата уборки" numFmtId="14">
      <sharedItems containsNonDate="0" containsDate="1" containsString="0" containsBlank="1" minDate="2025-08-08T00:00:00" maxDate="2025-11-10T00:00:00" count="82">
        <m/>
        <d v="2025-08-08T00:00:00"/>
        <d v="2025-08-09T00:00:00"/>
        <d v="2025-08-10T00:00:00"/>
        <d v="2025-08-11T00:00:00"/>
        <d v="2025-08-13T00:00:00"/>
        <d v="2025-08-14T00:00:00"/>
        <d v="2025-08-15T00:00:00"/>
        <d v="2025-08-17T00:00:00"/>
        <d v="2025-08-18T00:00:00"/>
        <d v="2025-08-19T00:00:00"/>
        <d v="2025-08-20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4T00:00:00"/>
        <d v="2025-09-03T00:00:00"/>
        <d v="2025-09-05T00:00:00"/>
        <d v="2025-09-07T00:00:00"/>
        <d v="2025-09-08T00:00:00"/>
        <d v="2025-09-09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5T00:00:00"/>
        <d v="2025-09-26T00:00:00"/>
        <d v="2025-09-27T00:00:00"/>
        <d v="2025-09-29T00:00:00"/>
        <d v="2025-09-28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3T00:00:00"/>
        <d v="2025-10-22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8T00:00:00"/>
        <d v="2025-11-09T00:00:00"/>
      </sharedItems>
    </cacheField>
    <cacheField name="Площадь уборки, га" numFmtId="175">
      <sharedItems containsSemiMixedTypes="0" containsString="0" containsNumber="1" minValue="0" maxValue="6.2"/>
    </cacheField>
    <cacheField name="Поле уточн" numFmtId="0">
      <sharedItems containsMixedTypes="1" containsNumber="1" containsInteger="1" minValue="0" maxValue="0" count="38">
        <n v="0"/>
        <s v="1103 Иррико (Джалга)"/>
        <s v="1102 Иррико (Джалга)"/>
        <s v="1107 Иррико (Джалга)"/>
        <s v="1111 Иррико (Джалга)"/>
        <s v="1113 Иррико (Джалга)"/>
        <s v="505 Иррико-Холдинг (Винодельненский)"/>
        <s v="605 Иррико-Холдинг (Винодельненский)"/>
        <s v="411 Иррико-Холдинг (Винодельненский)"/>
        <s v="3.29 Иррико-Холдинг (Гофицкое)"/>
        <s v="2.12 Иррико-Холдинг (Гофицкое)"/>
        <s v="3.31 Иррико-Холдинг (Гофицкое)"/>
        <s v="2.11 Иррико-Холдинг (Гофицкое)"/>
        <s v="2.3.1 Иррико-Холдинг (Гофицкое)"/>
        <s v="2.2.1 Иррико-Холдинг (Гофицкое)"/>
        <s v="3.2 Иррико-Холдинг (Гофицкое)"/>
        <s v="А-113/1"/>
        <s v="А-113/2"/>
        <s v="А-113/2, А-113/1"/>
        <s v="А-108/7"/>
        <s v="16/1 Агролидер"/>
        <s v="А-79"/>
        <s v="14/1 Агролидер"/>
        <s v="15/1 Агролидер"/>
        <s v="40/1 Братковский"/>
        <s v="41/1 Братковский"/>
        <s v="50/1 Братковский"/>
        <s v="1 (3) им. Кирова ЗАО"/>
        <s v="Закупка Братковский"/>
        <s v="1 (1) им. Кирова ЗАО"/>
        <s v="1 (2) им. Кирова ЗАО"/>
        <s v="2.2 Колос"/>
        <s v="4.3 Колос"/>
        <s v="4.2 Колос"/>
        <s v="4.1 Колос"/>
        <s v="2.3 Колос"/>
        <s v="1 (4) им. Кирова ЗАО"/>
        <s v="3.6 Колос"/>
      </sharedItems>
    </cacheField>
    <cacheField name="Вес брутто" numFmtId="175">
      <sharedItems containsSemiMixedTypes="0" containsString="0" containsNumber="1" containsInteger="1" minValue="15790" maxValue="68260"/>
    </cacheField>
    <cacheField name="Вес тары" numFmtId="175">
      <sharedItems containsSemiMixedTypes="0" containsString="0" containsNumber="1" containsInteger="1" minValue="9570" maxValue="24970"/>
    </cacheField>
    <cacheField name="% отходов сверх допуска" numFmtId="170">
      <sharedItems containsSemiMixedTypes="0" containsString="0" containsNumber="1" minValue="1" maxValue="57"/>
    </cacheField>
    <cacheField name="Вес нетто" numFmtId="175">
      <sharedItems containsSemiMixedTypes="0" containsString="0" containsNumber="1" containsInteger="1" minValue="5040" maxValue="44170"/>
    </cacheField>
    <cacheField name="Зачетный вес" numFmtId="175">
      <sharedItems containsSemiMixedTypes="0" containsString="0" containsNumber="1" minValue="4082.4" maxValue="42249.599999999999"/>
    </cacheField>
    <cacheField name="Номер акта" numFmtId="0">
      <sharedItems/>
    </cacheField>
    <cacheField name="Дата акта" numFmtId="14">
      <sharedItems containsSemiMixedTypes="0" containsNonDate="0" containsDate="1" containsString="0" minDate="2025-08-04T00:00:00" maxDate="2025-11-10T00:00:00" count="84">
        <d v="2025-08-04T00:00:00"/>
        <d v="2025-08-06T00:00:00"/>
        <d v="2025-08-07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5T00:00:00"/>
        <d v="2025-09-03T00:00:00"/>
        <d v="2025-09-04T00:00:00"/>
        <d v="2025-09-07T00:00:00"/>
        <d v="2025-09-08T00:00:00"/>
        <d v="2025-09-09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5T00:00:00"/>
        <d v="2025-09-26T00:00:00"/>
        <d v="2025-09-27T00:00:00"/>
        <d v="2025-09-28T00:00:00"/>
        <d v="2025-09-29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8T00:00:00"/>
        <d v="2025-11-09T00:00:00"/>
      </sharedItems>
    </cacheField>
    <cacheField name="Урожайность физ.вес" numFmtId="0" formula="IFERROR('Вес нетто'/1000/'Площадь уборки, га', )" databaseField="0"/>
    <cacheField name="Урожайность зач.вес, т/га" numFmtId="0" formula="IFERROR('Зачетный вес'/1000/'Площадь уборки, га', )" databaseField="0"/>
  </cacheFields>
  <extLst>
    <ext xmlns:x14="http://schemas.microsoft.com/office/spreadsheetml/2009/9/main" uri="{725AE2AE-9491-48be-B2B4-4EB974FC3084}">
      <x14:pivotCacheDefinition pivotCacheId="44144096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59">
  <r>
    <s v="Акт входного контроля грин00378 от 04.08.2025 22:18:48"/>
    <n v="819"/>
    <n v="15"/>
    <x v="0"/>
    <s v="Ревенко Андрей Вячеславович"/>
    <s v="А781РР"/>
    <x v="0"/>
    <x v="0"/>
    <x v="0"/>
    <n v="21190"/>
    <x v="0"/>
    <n v="0"/>
    <x v="0"/>
    <n v="36230"/>
    <n v="15040"/>
    <n v="5"/>
    <n v="21190"/>
    <n v="20130.5"/>
    <s v="грин00378"/>
    <x v="0"/>
  </r>
  <r>
    <s v="Акт входного контроля грин00379 от 04.08.2025 22:27:59"/>
    <n v="820"/>
    <n v="14"/>
    <x v="0"/>
    <s v="Фомин Николай Григорьевич"/>
    <s v="А731ВА"/>
    <x v="0"/>
    <x v="0"/>
    <x v="0"/>
    <n v="22180"/>
    <x v="0"/>
    <n v="0"/>
    <x v="0"/>
    <n v="37090"/>
    <n v="14910"/>
    <n v="7"/>
    <n v="22180"/>
    <n v="20627.400000000001"/>
    <s v="грин00379"/>
    <x v="0"/>
  </r>
  <r>
    <s v="Акт входного контроля грин00380 от 06.08.2025 7:01:36"/>
    <n v="823"/>
    <n v="29"/>
    <x v="0"/>
    <s v="Ревенко Андрей Вячеславович"/>
    <s v="А781РР"/>
    <x v="0"/>
    <x v="0"/>
    <x v="0"/>
    <n v="22800"/>
    <x v="0"/>
    <n v="0"/>
    <x v="0"/>
    <n v="37890"/>
    <n v="15090"/>
    <n v="5"/>
    <n v="22800"/>
    <n v="21660"/>
    <s v="грин00380"/>
    <x v="1"/>
  </r>
  <r>
    <s v="Акт входного контроля грин00381 от 06.08.2025 8:07:43"/>
    <n v="824"/>
    <n v="30"/>
    <x v="0"/>
    <s v="Емец Р.А."/>
    <s v="У315НХ"/>
    <x v="0"/>
    <x v="0"/>
    <x v="0"/>
    <n v="21770"/>
    <x v="0"/>
    <n v="0"/>
    <x v="0"/>
    <n v="37200"/>
    <n v="15430"/>
    <n v="6"/>
    <n v="21770"/>
    <n v="20463.8"/>
    <s v="грин00381"/>
    <x v="1"/>
  </r>
  <r>
    <s v="Акт входного контроля грин00382 от 06.08.2025 20:23:18"/>
    <n v="829"/>
    <n v="83"/>
    <x v="1"/>
    <s v="Бербеницкий Сергей Николаевич"/>
    <s v="С400РР"/>
    <x v="0"/>
    <x v="1"/>
    <x v="1"/>
    <n v="26780"/>
    <x v="0"/>
    <n v="0"/>
    <x v="0"/>
    <n v="41870"/>
    <n v="15090"/>
    <n v="8"/>
    <n v="26780"/>
    <n v="24637.599999999999"/>
    <s v="грин00382"/>
    <x v="1"/>
  </r>
  <r>
    <s v="Акт входного контроля грин00383 от 06.08.2025 21:42:54"/>
    <n v="834"/>
    <n v="84"/>
    <x v="1"/>
    <s v="Кулинич Евгений Владимирович"/>
    <s v="У801СТ"/>
    <x v="0"/>
    <x v="1"/>
    <x v="1"/>
    <n v="22500"/>
    <x v="0"/>
    <n v="0"/>
    <x v="0"/>
    <n v="37590"/>
    <n v="15090"/>
    <n v="7"/>
    <n v="22500"/>
    <n v="20925"/>
    <s v="грин00383"/>
    <x v="1"/>
  </r>
  <r>
    <s v="Акт входного контроля грин00384 от 06.08.2025 22:58:36"/>
    <n v="836"/>
    <n v="85"/>
    <x v="1"/>
    <s v="Фомин Николай Григорьевич"/>
    <s v="А731ВА"/>
    <x v="0"/>
    <x v="1"/>
    <x v="1"/>
    <n v="23820"/>
    <x v="0"/>
    <n v="0"/>
    <x v="0"/>
    <n v="38810"/>
    <n v="14990"/>
    <n v="5"/>
    <n v="23820"/>
    <n v="22629"/>
    <s v="грин00384"/>
    <x v="1"/>
  </r>
  <r>
    <s v="Акт входного контроля грин00386 от 06.08.2025 23:58:43"/>
    <n v="837"/>
    <n v="86"/>
    <x v="1"/>
    <s v="Черевко Александр Владимирович"/>
    <s v="А114МК"/>
    <x v="0"/>
    <x v="1"/>
    <x v="1"/>
    <n v="22690"/>
    <x v="0"/>
    <n v="0"/>
    <x v="0"/>
    <n v="37320"/>
    <n v="14630"/>
    <n v="6"/>
    <n v="22690"/>
    <n v="21328.6"/>
    <s v="грин00386"/>
    <x v="1"/>
  </r>
  <r>
    <s v="Акт входного контроля грин00387 от 07.08.2025 1:23:56"/>
    <n v="838"/>
    <n v="39"/>
    <x v="0"/>
    <s v="Богучарский А. И."/>
    <s v="Е404УС"/>
    <x v="0"/>
    <x v="0"/>
    <x v="0"/>
    <n v="23660"/>
    <x v="0"/>
    <n v="0"/>
    <x v="0"/>
    <n v="37560"/>
    <n v="13900"/>
    <n v="7"/>
    <n v="23660"/>
    <n v="22003.8"/>
    <s v="грин00387"/>
    <x v="2"/>
  </r>
  <r>
    <s v="Акт входного контроля грин00388 от 07.08.2025 1:53:17"/>
    <n v="839"/>
    <n v="41"/>
    <x v="0"/>
    <s v="Извеков Владимир Владимирович"/>
    <s v="Н378ХЕ"/>
    <x v="0"/>
    <x v="0"/>
    <x v="0"/>
    <n v="26220"/>
    <x v="0"/>
    <n v="0"/>
    <x v="0"/>
    <n v="41540"/>
    <n v="15320"/>
    <n v="7"/>
    <n v="26220"/>
    <n v="24384.6"/>
    <s v="грин00388"/>
    <x v="2"/>
  </r>
  <r>
    <s v="Акт входного контроля грин00389 от 07.08.2025 11:36:49"/>
    <n v="848"/>
    <n v="90"/>
    <x v="1"/>
    <s v="Егоян Артем Владимирович"/>
    <s v="А701СН"/>
    <x v="0"/>
    <x v="1"/>
    <x v="1"/>
    <n v="24380"/>
    <x v="0"/>
    <n v="0"/>
    <x v="0"/>
    <n v="39360"/>
    <n v="14980"/>
    <n v="10"/>
    <n v="24380"/>
    <n v="21942"/>
    <s v="грин00389"/>
    <x v="2"/>
  </r>
  <r>
    <s v="Акт входного контроля грин00390 от 07.08.2025 11:44:02"/>
    <n v="849"/>
    <n v="88"/>
    <x v="1"/>
    <s v="Мудрак Игорь Вадимович"/>
    <s v="С198УЕ"/>
    <x v="0"/>
    <x v="1"/>
    <x v="1"/>
    <n v="42190"/>
    <x v="0"/>
    <n v="0"/>
    <x v="0"/>
    <n v="66280"/>
    <n v="24090"/>
    <n v="14"/>
    <n v="42190"/>
    <n v="36283.4"/>
    <s v="грин00390"/>
    <x v="2"/>
  </r>
  <r>
    <s v="Акт входного контроля грин00391 от 07.08.2025 12:04:12"/>
    <n v="850"/>
    <n v="91"/>
    <x v="1"/>
    <s v="Бербеницкий Сергей Николаевич"/>
    <s v="С400РР"/>
    <x v="0"/>
    <x v="1"/>
    <x v="1"/>
    <n v="27290"/>
    <x v="0"/>
    <n v="0"/>
    <x v="0"/>
    <n v="42400"/>
    <n v="15110"/>
    <n v="11"/>
    <n v="27290"/>
    <n v="24288.1"/>
    <s v="грин00391"/>
    <x v="2"/>
  </r>
  <r>
    <s v="Акт входного контроля грин00392 от 07.08.2025 15:44:29"/>
    <n v="853"/>
    <n v="92"/>
    <x v="1"/>
    <s v="Кулинич Евгений Владимирович"/>
    <s v="У801СТ"/>
    <x v="0"/>
    <x v="2"/>
    <x v="1"/>
    <n v="23280"/>
    <x v="0"/>
    <n v="0"/>
    <x v="0"/>
    <n v="38360"/>
    <n v="15080"/>
    <n v="6"/>
    <n v="23280"/>
    <n v="21883.200000000001"/>
    <s v="грин00392"/>
    <x v="2"/>
  </r>
  <r>
    <s v="Акт входного контроля грин00393 от 07.08.2025 17:44:38"/>
    <n v="855"/>
    <n v="93"/>
    <x v="1"/>
    <s v="Фомин Николай Григорьевич"/>
    <s v="А731ВА"/>
    <x v="0"/>
    <x v="2"/>
    <x v="1"/>
    <n v="24170"/>
    <x v="0"/>
    <n v="0"/>
    <x v="0"/>
    <n v="39290"/>
    <n v="15120"/>
    <n v="8"/>
    <n v="24170"/>
    <n v="22236.400000000001"/>
    <s v="грин00393"/>
    <x v="2"/>
  </r>
  <r>
    <s v="Акт входного контроля грин00403 от 07.08.2025 13:56:29"/>
    <n v="851"/>
    <n v="45"/>
    <x v="0"/>
    <s v="Ревенко Андрей Вячеславович"/>
    <s v="А781РР"/>
    <x v="0"/>
    <x v="0"/>
    <x v="0"/>
    <n v="22990"/>
    <x v="0"/>
    <n v="0"/>
    <x v="0"/>
    <n v="38060"/>
    <n v="15070"/>
    <n v="5"/>
    <n v="22990"/>
    <n v="21840.5"/>
    <s v="грин00403"/>
    <x v="2"/>
  </r>
  <r>
    <s v="Акт входного контроля грин00408 от 07.08.2025 8:49:49"/>
    <n v="847"/>
    <n v="89"/>
    <x v="1"/>
    <s v="Мудрак Вадим Васильевич"/>
    <s v="Х514ОК"/>
    <x v="0"/>
    <x v="1"/>
    <x v="1"/>
    <n v="35050"/>
    <x v="0"/>
    <n v="0"/>
    <x v="0"/>
    <n v="56030"/>
    <n v="20980"/>
    <n v="6"/>
    <n v="35050"/>
    <n v="32947"/>
    <s v="грин00408"/>
    <x v="2"/>
  </r>
  <r>
    <s v="Акт входного контроля грин00410 от 07.08.2025 18:42:33"/>
    <n v="856"/>
    <n v="95"/>
    <x v="1"/>
    <s v="Черевко А В"/>
    <s v="А114МК"/>
    <x v="0"/>
    <x v="2"/>
    <x v="1"/>
    <n v="24270"/>
    <x v="0"/>
    <n v="0"/>
    <x v="0"/>
    <n v="38920"/>
    <n v="14650"/>
    <n v="7"/>
    <n v="24270"/>
    <n v="22571.1"/>
    <s v="грин00410"/>
    <x v="2"/>
  </r>
  <r>
    <s v="Акт входного контроля грин00414 от 07.08.2025 15:57:19"/>
    <n v="854"/>
    <n v="44"/>
    <x v="0"/>
    <s v="Емец Р.А."/>
    <s v="У315НХ"/>
    <x v="0"/>
    <x v="0"/>
    <x v="0"/>
    <n v="21900"/>
    <x v="0"/>
    <n v="0"/>
    <x v="0"/>
    <n v="37360"/>
    <n v="15460"/>
    <n v="12"/>
    <n v="21900"/>
    <n v="19272"/>
    <s v="грин00414"/>
    <x v="2"/>
  </r>
  <r>
    <s v="Акт входного контроля грин00415 от 09.08.2025 2:46:36"/>
    <n v="861"/>
    <n v="9456"/>
    <x v="2"/>
    <s v="Богучарский А. И."/>
    <s v="Е404УС"/>
    <x v="1"/>
    <x v="3"/>
    <x v="2"/>
    <m/>
    <x v="1"/>
    <n v="1"/>
    <x v="1"/>
    <n v="34410"/>
    <n v="13910"/>
    <n v="34"/>
    <n v="20500"/>
    <n v="13530"/>
    <s v="грин00415"/>
    <x v="3"/>
  </r>
  <r>
    <s v="Акт входного контроля грин00416 от 09.08.2025 3:15:05"/>
    <n v="862"/>
    <n v="9458"/>
    <x v="2"/>
    <s v="Бербеницкий Сергей Николаевич"/>
    <s v="С400РР"/>
    <x v="1"/>
    <x v="3"/>
    <x v="2"/>
    <m/>
    <x v="1"/>
    <n v="1.1000000000000001"/>
    <x v="1"/>
    <n v="36660"/>
    <n v="15050"/>
    <n v="26"/>
    <n v="21610"/>
    <n v="15991.4"/>
    <s v="грин00416"/>
    <x v="3"/>
  </r>
  <r>
    <s v="Акт входного контроля грин00417 от 09.08.2025 5:06:02"/>
    <n v="863"/>
    <n v="9460"/>
    <x v="2"/>
    <s v="Сероштан Станислав Викторович"/>
    <s v="Е758РЕ"/>
    <x v="1"/>
    <x v="3"/>
    <x v="2"/>
    <m/>
    <x v="1"/>
    <n v="1.1000000000000001"/>
    <x v="1"/>
    <n v="36320"/>
    <n v="14710"/>
    <n v="28"/>
    <n v="21610"/>
    <n v="15559.2"/>
    <s v="грин00417"/>
    <x v="3"/>
  </r>
  <r>
    <s v="Акт входного контроля грин00418 от 09.08.2025 5:12:29"/>
    <n v="864"/>
    <n v="9462"/>
    <x v="2"/>
    <s v="Майстровский В.Н."/>
    <s v="М057АО"/>
    <x v="1"/>
    <x v="3"/>
    <x v="2"/>
    <m/>
    <x v="1"/>
    <n v="0.9"/>
    <x v="1"/>
    <n v="33220"/>
    <n v="14490"/>
    <n v="38"/>
    <n v="18730"/>
    <n v="11612.6"/>
    <s v="грин00418"/>
    <x v="3"/>
  </r>
  <r>
    <s v="Акт входного контроля грин00419 от 09.08.2025 6:03:04"/>
    <n v="865"/>
    <n v="9464"/>
    <x v="2"/>
    <s v="Долгих Николай Петрович"/>
    <s v="У726ЕР"/>
    <x v="1"/>
    <x v="3"/>
    <x v="2"/>
    <m/>
    <x v="1"/>
    <n v="1"/>
    <x v="1"/>
    <n v="36050"/>
    <n v="15040"/>
    <n v="35"/>
    <n v="21010"/>
    <n v="13656.5"/>
    <s v="грин00419"/>
    <x v="3"/>
  </r>
  <r>
    <s v="Акт входного контроля грин00420 от 09.08.2025 7:46:16"/>
    <n v="866"/>
    <n v="9466"/>
    <x v="2"/>
    <s v="Кулинич Евгений Владимирович"/>
    <s v="У801СТ"/>
    <x v="1"/>
    <x v="3"/>
    <x v="2"/>
    <m/>
    <x v="1"/>
    <n v="1"/>
    <x v="1"/>
    <n v="36350"/>
    <n v="15040"/>
    <n v="22"/>
    <n v="21310"/>
    <n v="16621.8"/>
    <s v="грин00420"/>
    <x v="3"/>
  </r>
  <r>
    <s v="Акт входного контроля грин00421 от 09.08.2025 9:40:15"/>
    <n v="867"/>
    <n v="9468"/>
    <x v="2"/>
    <s v="Кудря Евгений"/>
    <s v="А719ОО"/>
    <x v="1"/>
    <x v="3"/>
    <x v="2"/>
    <m/>
    <x v="1"/>
    <n v="0.9"/>
    <x v="1"/>
    <n v="33750"/>
    <n v="15000"/>
    <n v="30"/>
    <n v="18750"/>
    <n v="13125"/>
    <s v="грин00421"/>
    <x v="3"/>
  </r>
  <r>
    <s v="Акт входного контроля грин00422 от 09.08.2025 12:04:58"/>
    <n v="868"/>
    <n v="9470"/>
    <x v="2"/>
    <s v="Чернецов Александр Михайлович"/>
    <s v="Р866РМ"/>
    <x v="1"/>
    <x v="3"/>
    <x v="2"/>
    <m/>
    <x v="1"/>
    <n v="1"/>
    <x v="1"/>
    <n v="34870"/>
    <n v="14920"/>
    <n v="39"/>
    <n v="19950"/>
    <n v="12169.5"/>
    <s v="грин00422"/>
    <x v="3"/>
  </r>
  <r>
    <s v="Акт входного контроля грин00423 от 09.08.2025 12:10:08"/>
    <n v="869"/>
    <n v="9472"/>
    <x v="2"/>
    <s v="Огнев Максим Викторович"/>
    <s v="Р755НН"/>
    <x v="1"/>
    <x v="3"/>
    <x v="2"/>
    <m/>
    <x v="1"/>
    <n v="1"/>
    <x v="1"/>
    <n v="35140"/>
    <n v="14710"/>
    <n v="26"/>
    <n v="20430"/>
    <n v="15118.2"/>
    <s v="грин00423"/>
    <x v="3"/>
  </r>
  <r>
    <s v="Акт входного контроля грин00424 от 09.08.2025 22:58:46"/>
    <n v="870"/>
    <s v="Д1-009474"/>
    <x v="2"/>
    <s v="Аладин Василий Сергеевич"/>
    <s v="Т110ТМ"/>
    <x v="1"/>
    <x v="3"/>
    <x v="2"/>
    <m/>
    <x v="2"/>
    <n v="1.6"/>
    <x v="1"/>
    <n v="33680"/>
    <n v="14870"/>
    <n v="43"/>
    <n v="18810"/>
    <n v="10721.7"/>
    <s v="грин00424"/>
    <x v="3"/>
  </r>
  <r>
    <s v="Акт входного контроля грин00425 от 10.08.2025 0:42:08"/>
    <n v="872"/>
    <n v="9478"/>
    <x v="2"/>
    <s v="Егоян Артем Владимирович"/>
    <s v="А701СН"/>
    <x v="1"/>
    <x v="3"/>
    <x v="2"/>
    <m/>
    <x v="2"/>
    <n v="1.9"/>
    <x v="1"/>
    <n v="36760"/>
    <n v="14950"/>
    <n v="44"/>
    <n v="21810"/>
    <n v="12213.6"/>
    <s v="грин00425"/>
    <x v="4"/>
  </r>
  <r>
    <s v="Акт входного контроля грин00426 от 10.08.2025 1:15:28"/>
    <n v="874"/>
    <n v="9476"/>
    <x v="2"/>
    <s v="Мудрак Вадим Васильевич"/>
    <s v="Х514ОК"/>
    <x v="1"/>
    <x v="3"/>
    <x v="2"/>
    <m/>
    <x v="2"/>
    <n v="2.2000000000000002"/>
    <x v="1"/>
    <n v="46180"/>
    <n v="20940"/>
    <n v="21"/>
    <n v="25240"/>
    <n v="19939.599999999999"/>
    <s v="грин00426"/>
    <x v="4"/>
  </r>
  <r>
    <s v="Акт входного контроля грин00427 от 10.08.2025 1:48:02"/>
    <n v="875"/>
    <n v="9480"/>
    <x v="2"/>
    <s v="Погуляй А.Б.       "/>
    <s v="О824ТХ"/>
    <x v="1"/>
    <x v="3"/>
    <x v="2"/>
    <m/>
    <x v="2"/>
    <n v="2.2999999999999998"/>
    <x v="1"/>
    <n v="45100"/>
    <n v="18610"/>
    <n v="24"/>
    <n v="26490"/>
    <n v="20132.400000000001"/>
    <s v="грин00427"/>
    <x v="4"/>
  </r>
  <r>
    <s v="Акт входного контроля грин00428 от 10.08.2025 2:36:55"/>
    <n v="876"/>
    <n v="9482"/>
    <x v="2"/>
    <s v="Черевко Александр Владимирович"/>
    <s v="А114МК"/>
    <x v="1"/>
    <x v="3"/>
    <x v="2"/>
    <m/>
    <x v="2"/>
    <n v="1.6"/>
    <x v="1"/>
    <n v="33760"/>
    <n v="14600"/>
    <n v="17"/>
    <n v="19160"/>
    <n v="15902.8"/>
    <s v="грин00428"/>
    <x v="4"/>
  </r>
  <r>
    <s v="Акт входного контроля грин00429 от 10.08.2025 3:04:21"/>
    <n v="877"/>
    <n v="9484"/>
    <x v="2"/>
    <s v="Ушаков С Е."/>
    <s v="О212РТ"/>
    <x v="1"/>
    <x v="3"/>
    <x v="2"/>
    <m/>
    <x v="2"/>
    <n v="1.9"/>
    <x v="1"/>
    <n v="36930"/>
    <n v="14240"/>
    <n v="40"/>
    <n v="22690"/>
    <n v="13614"/>
    <s v="грин00429"/>
    <x v="4"/>
  </r>
  <r>
    <s v="Акт входного контроля грин00430 от 10.08.2025 4:45:27"/>
    <n v="878"/>
    <n v="9486"/>
    <x v="2"/>
    <s v="Пугачев Сергей Викторович"/>
    <s v="Р258УХ"/>
    <x v="1"/>
    <x v="3"/>
    <x v="2"/>
    <m/>
    <x v="2"/>
    <n v="2"/>
    <x v="1"/>
    <n v="38770"/>
    <n v="15600"/>
    <n v="31"/>
    <n v="23170"/>
    <n v="15987.3"/>
    <s v="грин00430"/>
    <x v="4"/>
  </r>
  <r>
    <s v="Акт входного контроля грин00431 от 10.08.2025 7:22:41"/>
    <n v="879"/>
    <n v="9492"/>
    <x v="2"/>
    <s v="Бербеницкий Сергей Николаевич"/>
    <s v="С400РР"/>
    <x v="1"/>
    <x v="3"/>
    <x v="2"/>
    <m/>
    <x v="2"/>
    <n v="1.9"/>
    <x v="1"/>
    <n v="37280"/>
    <n v="15070"/>
    <n v="49"/>
    <n v="22210"/>
    <n v="11327.1"/>
    <s v="грин00431"/>
    <x v="4"/>
  </r>
  <r>
    <s v="Акт входного контроля грин00432 от 10.08.2025 8:14:27"/>
    <n v="880"/>
    <n v="9488"/>
    <x v="2"/>
    <s v="Лазаренко Вячеслав Владимирович"/>
    <s v="Т239УС"/>
    <x v="1"/>
    <x v="3"/>
    <x v="2"/>
    <m/>
    <x v="2"/>
    <n v="2"/>
    <x v="1"/>
    <n v="37960"/>
    <n v="14900"/>
    <n v="48"/>
    <n v="23060"/>
    <n v="11991.2"/>
    <s v="грин00432"/>
    <x v="4"/>
  </r>
  <r>
    <s v="Акт входного контроля грин00433 от 10.08.2025 8:23:23"/>
    <n v="881"/>
    <n v="9490"/>
    <x v="2"/>
    <s v="Никитась Сергей Анатольевич"/>
    <s v="К570ЕО"/>
    <x v="1"/>
    <x v="3"/>
    <x v="2"/>
    <m/>
    <x v="2"/>
    <n v="1.8"/>
    <x v="1"/>
    <n v="36110"/>
    <n v="14930"/>
    <n v="49"/>
    <n v="21180"/>
    <n v="10801.8"/>
    <s v="грин00433"/>
    <x v="4"/>
  </r>
  <r>
    <s v="Акт входного контроля грин00434 от 10.08.2025 9:36:56"/>
    <n v="883"/>
    <n v="9494"/>
    <x v="2"/>
    <s v="Жданов Андрей Иванович"/>
    <s v="С707ОУ"/>
    <x v="1"/>
    <x v="3"/>
    <x v="2"/>
    <m/>
    <x v="2"/>
    <n v="1.6"/>
    <x v="1"/>
    <n v="32690"/>
    <n v="14460"/>
    <n v="46"/>
    <n v="18230"/>
    <n v="9844.2000000000007"/>
    <s v="грин00434"/>
    <x v="4"/>
  </r>
  <r>
    <s v="Акт входного контроля грин00435 от 10.08.2025 10:24:17"/>
    <n v="884"/>
    <n v="9498"/>
    <x v="2"/>
    <s v="Кулинич Евгений Владимирович"/>
    <s v="У801СТ"/>
    <x v="1"/>
    <x v="3"/>
    <x v="2"/>
    <m/>
    <x v="2"/>
    <n v="1.7"/>
    <x v="1"/>
    <n v="34460"/>
    <n v="15060"/>
    <n v="45"/>
    <n v="19400"/>
    <n v="10670"/>
    <s v="грин00435"/>
    <x v="4"/>
  </r>
  <r>
    <s v="Акт входного контроля грин00436 от 10.08.2025 11:13:43"/>
    <n v="885"/>
    <n v="9500"/>
    <x v="2"/>
    <s v="Кудря Евгений"/>
    <s v="А719ОО"/>
    <x v="1"/>
    <x v="3"/>
    <x v="2"/>
    <m/>
    <x v="2"/>
    <n v="1.6"/>
    <x v="1"/>
    <n v="34010"/>
    <n v="14840"/>
    <n v="37"/>
    <n v="19170"/>
    <n v="12077.1"/>
    <s v="грин00436"/>
    <x v="4"/>
  </r>
  <r>
    <s v="Акт входного контроля грин00437 от 10.08.2025 14:44:22"/>
    <n v="887"/>
    <n v="9502"/>
    <x v="2"/>
    <s v="Пищев Александр Васильевич "/>
    <s v="Т522ОН"/>
    <x v="1"/>
    <x v="3"/>
    <x v="2"/>
    <m/>
    <x v="3"/>
    <n v="1.3"/>
    <x v="1"/>
    <n v="37300"/>
    <n v="15680"/>
    <n v="45"/>
    <n v="21620"/>
    <n v="11891"/>
    <s v="грин00437"/>
    <x v="4"/>
  </r>
  <r>
    <s v="Акт входного контроля грин00438 от 10.08.2025 15:31:15"/>
    <n v="888"/>
    <n v="9496"/>
    <x v="2"/>
    <s v="Мудрак Игорь Вадимович"/>
    <s v="С198УЕ"/>
    <x v="1"/>
    <x v="3"/>
    <x v="2"/>
    <m/>
    <x v="3"/>
    <n v="2.2000000000000002"/>
    <x v="1"/>
    <n v="59720"/>
    <n v="24020"/>
    <n v="44"/>
    <n v="35700"/>
    <n v="19992"/>
    <s v="грин00438"/>
    <x v="4"/>
  </r>
  <r>
    <s v="Акт входного контроля грин00439 от 10.08.2025 19:19:50"/>
    <n v="889"/>
    <n v="9504"/>
    <x v="2"/>
    <s v="Чернецов Александр Михайлович"/>
    <s v="Р866РМ"/>
    <x v="1"/>
    <x v="3"/>
    <x v="2"/>
    <m/>
    <x v="3"/>
    <n v="1.5"/>
    <x v="1"/>
    <n v="40070"/>
    <n v="14930"/>
    <n v="42"/>
    <n v="25140"/>
    <n v="14581.2"/>
    <s v="грин00439"/>
    <x v="4"/>
  </r>
  <r>
    <s v="Акт входного контроля грин00440 от 10.08.2025 19:27:42"/>
    <n v="890"/>
    <n v="9506"/>
    <x v="2"/>
    <s v="Огнев Максим Викторович"/>
    <s v="Р755НН"/>
    <x v="1"/>
    <x v="3"/>
    <x v="2"/>
    <m/>
    <x v="3"/>
    <n v="1.4"/>
    <x v="1"/>
    <n v="37670"/>
    <n v="14710"/>
    <n v="46"/>
    <n v="22960"/>
    <n v="12398.4"/>
    <s v="грин00440"/>
    <x v="4"/>
  </r>
  <r>
    <s v="Акт входного контроля грин00441 от 10.08.2025 21:28:02"/>
    <n v="891"/>
    <n v="9508"/>
    <x v="2"/>
    <s v="Блажко Алексей Николаевич"/>
    <s v="М676КО"/>
    <x v="1"/>
    <x v="3"/>
    <x v="2"/>
    <m/>
    <x v="3"/>
    <n v="1.6"/>
    <x v="1"/>
    <n v="49720"/>
    <n v="23560"/>
    <n v="46"/>
    <n v="26160"/>
    <n v="14126.4"/>
    <s v="грин00441"/>
    <x v="4"/>
  </r>
  <r>
    <s v="Акт входного контроля грин00442 от 10.08.2025 21:32:08"/>
    <n v="892"/>
    <n v="9510"/>
    <x v="2"/>
    <s v="Дик Илья Александрович"/>
    <s v="М556ХВ"/>
    <x v="1"/>
    <x v="3"/>
    <x v="2"/>
    <m/>
    <x v="3"/>
    <n v="1.5"/>
    <x v="1"/>
    <n v="40530"/>
    <n v="15550"/>
    <n v="47"/>
    <n v="24980"/>
    <n v="13239.4"/>
    <s v="грин00442"/>
    <x v="4"/>
  </r>
  <r>
    <s v="Акт входного контроля грин00443 от 10.08.2025 22:19:30"/>
    <n v="893"/>
    <n v="9512"/>
    <x v="2"/>
    <s v="Аладин Василий Сергеевич"/>
    <s v="Т110ТМ"/>
    <x v="1"/>
    <x v="3"/>
    <x v="2"/>
    <m/>
    <x v="3"/>
    <n v="1.3"/>
    <x v="1"/>
    <n v="35910"/>
    <n v="14880"/>
    <n v="11"/>
    <n v="21030"/>
    <n v="18716.7"/>
    <s v="грин00443"/>
    <x v="4"/>
  </r>
  <r>
    <s v="Акт входного контроля грин00444 от 10.08.2025 23:59:44"/>
    <n v="894"/>
    <n v="9514"/>
    <x v="2"/>
    <s v="Фомин Николай Григорьевич"/>
    <s v="А731ВА"/>
    <x v="1"/>
    <x v="3"/>
    <x v="2"/>
    <m/>
    <x v="3"/>
    <n v="1.4"/>
    <x v="1"/>
    <n v="38150"/>
    <n v="14910"/>
    <n v="43"/>
    <n v="23240"/>
    <n v="13246.8"/>
    <s v="грин00444"/>
    <x v="4"/>
  </r>
  <r>
    <s v="Акт входного контроля грин00458 от 11.08.2025 0:05:24"/>
    <n v="895"/>
    <n v="9516"/>
    <x v="2"/>
    <s v="Извеков Владимир Владимирович"/>
    <s v="Н378ХЕ"/>
    <x v="1"/>
    <x v="3"/>
    <x v="2"/>
    <m/>
    <x v="3"/>
    <n v="1.5"/>
    <x v="1"/>
    <n v="39770"/>
    <n v="15410"/>
    <n v="26"/>
    <n v="24360"/>
    <n v="18026.400000000001"/>
    <s v="грин00458"/>
    <x v="5"/>
  </r>
  <r>
    <s v="Акт входного контроля грин00459 от 11.08.2025 13:46:41"/>
    <n v="896"/>
    <n v="9518"/>
    <x v="2"/>
    <s v="Ревенко Андрей Вячеславович"/>
    <s v="А781РР"/>
    <x v="1"/>
    <x v="3"/>
    <x v="2"/>
    <m/>
    <x v="3"/>
    <n v="1.3"/>
    <x v="1"/>
    <n v="37270"/>
    <n v="15080"/>
    <n v="31"/>
    <n v="22190"/>
    <n v="15311.1"/>
    <s v="грин00459"/>
    <x v="5"/>
  </r>
  <r>
    <s v="Акт входного контроля грин00464 от 11.08.2025 15:00:00"/>
    <n v="897"/>
    <n v="9520"/>
    <x v="2"/>
    <s v="Майстровский В.Н."/>
    <s v="М057АО"/>
    <x v="1"/>
    <x v="3"/>
    <x v="2"/>
    <m/>
    <x v="3"/>
    <n v="1.4"/>
    <x v="1"/>
    <n v="37590"/>
    <n v="14500"/>
    <n v="47"/>
    <n v="23090"/>
    <n v="12237.7"/>
    <s v="грин00464"/>
    <x v="5"/>
  </r>
  <r>
    <s v="Акт входного контроля грин00465 от 11.08.2025 16:45:30"/>
    <n v="898"/>
    <n v="9522"/>
    <x v="2"/>
    <s v="Долгих Николай Петрович"/>
    <s v="У726ЕР"/>
    <x v="1"/>
    <x v="3"/>
    <x v="2"/>
    <m/>
    <x v="3"/>
    <n v="1.4"/>
    <x v="1"/>
    <n v="37450"/>
    <n v="15050"/>
    <n v="32"/>
    <n v="22400"/>
    <n v="15232"/>
    <s v="грин00465"/>
    <x v="5"/>
  </r>
  <r>
    <s v="Акт входного контроля грин00466 от 11.08.2025 17:20:39"/>
    <n v="899"/>
    <n v="9524"/>
    <x v="2"/>
    <s v="Сероштан Станислав Викторович"/>
    <s v="Е758РЕ"/>
    <x v="1"/>
    <x v="3"/>
    <x v="2"/>
    <m/>
    <x v="3"/>
    <n v="1.4"/>
    <x v="1"/>
    <n v="37010"/>
    <n v="14660"/>
    <n v="28"/>
    <n v="22350"/>
    <n v="16092"/>
    <s v="грин00466"/>
    <x v="5"/>
  </r>
  <r>
    <s v="Акт входного контроля грин00467 от 11.08.2025 21:41:55"/>
    <n v="900"/>
    <n v="9526"/>
    <x v="2"/>
    <s v="Глушенко Александр Иванович"/>
    <s v="Н735ВК"/>
    <x v="1"/>
    <x v="3"/>
    <x v="2"/>
    <m/>
    <x v="3"/>
    <n v="1.4"/>
    <x v="1"/>
    <n v="39320"/>
    <n v="16640"/>
    <n v="34"/>
    <n v="22680"/>
    <n v="14968.8"/>
    <s v="грин00467"/>
    <x v="5"/>
  </r>
  <r>
    <s v="Акт входного контроля грин00468 от 11.08.2025 21:42:45"/>
    <n v="901"/>
    <n v="9528"/>
    <x v="2"/>
    <s v="Веревкин Андрей Александрович"/>
    <s v="Н234ВК"/>
    <x v="1"/>
    <x v="3"/>
    <x v="2"/>
    <m/>
    <x v="3"/>
    <n v="1.3"/>
    <x v="1"/>
    <n v="37420"/>
    <n v="16330"/>
    <n v="35"/>
    <n v="21090"/>
    <n v="13708.5"/>
    <s v="грин00468"/>
    <x v="5"/>
  </r>
  <r>
    <s v="Акт входного контроля грин00469 от 11.08.2025 6:39:34"/>
    <n v="903"/>
    <n v="9530"/>
    <x v="2"/>
    <s v="Чернышов Александр Павлович"/>
    <s v="М704ТС"/>
    <x v="1"/>
    <x v="3"/>
    <x v="2"/>
    <m/>
    <x v="3"/>
    <n v="1.3"/>
    <x v="1"/>
    <n v="37790"/>
    <n v="16490"/>
    <n v="37"/>
    <n v="21300"/>
    <n v="13419"/>
    <s v="грин00469"/>
    <x v="5"/>
  </r>
  <r>
    <s v="Акт входного контроля грин00470 от 11.08.2025 9:18:42"/>
    <n v="904"/>
    <n v="9532"/>
    <x v="2"/>
    <s v="Бербеницкий Сергей Николаевич"/>
    <s v="С400РР"/>
    <x v="1"/>
    <x v="3"/>
    <x v="2"/>
    <m/>
    <x v="3"/>
    <n v="1.5"/>
    <x v="1"/>
    <n v="39060"/>
    <n v="15080"/>
    <n v="29"/>
    <n v="23980"/>
    <n v="17025.8"/>
    <s v="грин00470"/>
    <x v="5"/>
  </r>
  <r>
    <s v="Акт входного контроля грин00471 от 11.08.2025 9:38:43"/>
    <n v="905"/>
    <n v="9534"/>
    <x v="2"/>
    <s v="Погуляй А.Б.       "/>
    <s v="О824ТХ"/>
    <x v="1"/>
    <x v="3"/>
    <x v="2"/>
    <m/>
    <x v="3"/>
    <n v="1.6"/>
    <x v="1"/>
    <n v="44540"/>
    <n v="18590"/>
    <n v="37"/>
    <n v="25950"/>
    <n v="16348.5"/>
    <s v="грин00471"/>
    <x v="5"/>
  </r>
  <r>
    <s v="Акт входного контроля грин00472 от 11.08.2025 12:01:58"/>
    <n v="906"/>
    <n v="9536"/>
    <x v="2"/>
    <s v="Мудрак Вадим Васильевич"/>
    <s v="Х514ОК"/>
    <x v="1"/>
    <x v="3"/>
    <x v="2"/>
    <m/>
    <x v="3"/>
    <n v="1.9"/>
    <x v="1"/>
    <n v="51520"/>
    <n v="20900"/>
    <n v="40"/>
    <n v="30620"/>
    <n v="18372"/>
    <s v="грин00472"/>
    <x v="5"/>
  </r>
  <r>
    <s v="Акт входного контроля грин00473 от 11.08.2025 22:12:42"/>
    <n v="909"/>
    <n v="9540"/>
    <x v="2"/>
    <s v="Богучарский А. И."/>
    <s v="Е404УС"/>
    <x v="1"/>
    <x v="3"/>
    <x v="2"/>
    <m/>
    <x v="4"/>
    <n v="1.2"/>
    <x v="1"/>
    <n v="36720"/>
    <n v="13890"/>
    <n v="30"/>
    <n v="22830"/>
    <n v="15981"/>
    <s v="грин00473"/>
    <x v="5"/>
  </r>
  <r>
    <s v="Акт входного контроля грин00474 от 11.08.2025 22:21:40"/>
    <n v="910"/>
    <n v="9538"/>
    <x v="2"/>
    <s v="Пугачев Сергей Викторович"/>
    <s v="Р258УХ"/>
    <x v="1"/>
    <x v="3"/>
    <x v="2"/>
    <m/>
    <x v="4"/>
    <n v="1.3"/>
    <x v="1"/>
    <n v="39340"/>
    <n v="15570"/>
    <n v="21"/>
    <n v="23770"/>
    <n v="18778.3"/>
    <s v="грин00474"/>
    <x v="5"/>
  </r>
  <r>
    <s v="Акт входного контроля грин00475 от 11.08.2025 23:38:08"/>
    <n v="911"/>
    <n v="9542"/>
    <x v="2"/>
    <s v="Пищев Александр Васильевич "/>
    <s v="Т522ОН"/>
    <x v="1"/>
    <x v="3"/>
    <x v="2"/>
    <m/>
    <x v="4"/>
    <n v="1.2"/>
    <x v="1"/>
    <n v="37550"/>
    <n v="15560"/>
    <n v="21"/>
    <n v="21990"/>
    <n v="17372.099999999999"/>
    <s v="грин00475"/>
    <x v="5"/>
  </r>
  <r>
    <s v="Акт входного контроля грин00476 от 12.08.2025 8:01:27"/>
    <n v="912"/>
    <n v="29985"/>
    <x v="2"/>
    <s v="Мудрак Игорь Вадимович"/>
    <s v="С198УЕ"/>
    <x v="1"/>
    <x v="3"/>
    <x v="2"/>
    <m/>
    <x v="4"/>
    <n v="1.3"/>
    <x v="1"/>
    <n v="48510"/>
    <n v="23920"/>
    <n v="31"/>
    <n v="24590"/>
    <n v="16967.099999999999"/>
    <s v="грин00476"/>
    <x v="6"/>
  </r>
  <r>
    <s v="Акт входного контроля грин00477 от 12.08.2025 8:50:59"/>
    <n v="913"/>
    <n v="29987"/>
    <x v="2"/>
    <s v="Егоян Артем Владимирович"/>
    <s v="А701СН"/>
    <x v="1"/>
    <x v="3"/>
    <x v="2"/>
    <m/>
    <x v="4"/>
    <n v="1.1000000000000001"/>
    <x v="1"/>
    <n v="36020"/>
    <n v="14870"/>
    <n v="23"/>
    <n v="21150"/>
    <n v="16285.5"/>
    <s v="грин00477"/>
    <x v="6"/>
  </r>
  <r>
    <s v="Акт входного контроля грин00478 от 12.08.2025 10:29:46"/>
    <n v="914"/>
    <n v="29991"/>
    <x v="2"/>
    <s v="Чернецов Александр Михайлович"/>
    <s v="Р866РМ"/>
    <x v="1"/>
    <x v="3"/>
    <x v="2"/>
    <m/>
    <x v="4"/>
    <n v="1.4"/>
    <x v="1"/>
    <n v="40380"/>
    <n v="14930"/>
    <n v="31"/>
    <n v="25450"/>
    <n v="17560.5"/>
    <s v="грин00478"/>
    <x v="6"/>
  </r>
  <r>
    <s v="Акт входного контроля грин00479 от 12.08.2025 13:36:25"/>
    <n v="915"/>
    <n v="29993"/>
    <x v="2"/>
    <s v="Огнев Максим Викторович"/>
    <s v="Р755НН"/>
    <x v="1"/>
    <x v="3"/>
    <x v="2"/>
    <m/>
    <x v="4"/>
    <n v="1.2"/>
    <x v="1"/>
    <n v="37570"/>
    <n v="14680"/>
    <n v="32"/>
    <n v="22890"/>
    <n v="15565.2"/>
    <s v="грин00479"/>
    <x v="6"/>
  </r>
  <r>
    <s v="Акт входного контроля грин00480 от 12.08.2025 15:19:54"/>
    <n v="916"/>
    <n v="29997"/>
    <x v="2"/>
    <s v="Дик Илья Александрович"/>
    <s v="М556ХВ"/>
    <x v="1"/>
    <x v="3"/>
    <x v="2"/>
    <m/>
    <x v="4"/>
    <n v="1.4"/>
    <x v="1"/>
    <n v="41630"/>
    <n v="15440"/>
    <n v="40"/>
    <n v="26190"/>
    <n v="15714"/>
    <s v="грин00480"/>
    <x v="6"/>
  </r>
  <r>
    <s v="Акт входного контроля грин00481 от 12.08.2025 15:28:31"/>
    <n v="917"/>
    <n v="29995"/>
    <x v="2"/>
    <s v="Блажко Алексей Николаевич"/>
    <s v="М676КО"/>
    <x v="1"/>
    <x v="3"/>
    <x v="2"/>
    <m/>
    <x v="4"/>
    <n v="1.3"/>
    <x v="1"/>
    <n v="48220"/>
    <n v="23430"/>
    <n v="34"/>
    <n v="24790"/>
    <n v="16361.4"/>
    <s v="грин00481"/>
    <x v="6"/>
  </r>
  <r>
    <s v="Акт входного контроля грин00482 от 12.08.2025 17:11:05"/>
    <n v="920"/>
    <n v="29999"/>
    <x v="2"/>
    <s v="Лазаренко Вячеслав Владимирович"/>
    <s v="Т239УС"/>
    <x v="1"/>
    <x v="3"/>
    <x v="2"/>
    <m/>
    <x v="4"/>
    <n v="1.3"/>
    <x v="1"/>
    <n v="38530"/>
    <n v="14860"/>
    <n v="31"/>
    <n v="23670"/>
    <n v="16332.3"/>
    <s v="грин00482"/>
    <x v="6"/>
  </r>
  <r>
    <s v="Акт входного контроля грин00483 от 12.08.2025 17:23:55"/>
    <n v="921"/>
    <n v="30001"/>
    <x v="2"/>
    <s v="Никитась Сергей Анатольевич"/>
    <s v="К570ЕО"/>
    <x v="1"/>
    <x v="3"/>
    <x v="2"/>
    <m/>
    <x v="4"/>
    <n v="1"/>
    <x v="1"/>
    <n v="36940"/>
    <n v="15010"/>
    <n v="29"/>
    <n v="21930"/>
    <n v="15570.3"/>
    <s v="грин00483"/>
    <x v="6"/>
  </r>
  <r>
    <s v="Акт входного контроля грин00484 от 12.08.2025 19:43:10"/>
    <n v="924"/>
    <n v="110"/>
    <x v="1"/>
    <s v="Фомин Николай Григорьевич"/>
    <s v="А731ВА"/>
    <x v="0"/>
    <x v="4"/>
    <x v="0"/>
    <n v="27540"/>
    <x v="0"/>
    <n v="0"/>
    <x v="0"/>
    <n v="40080"/>
    <n v="15110"/>
    <n v="20"/>
    <n v="24970"/>
    <n v="19976"/>
    <s v="грин00484"/>
    <x v="6"/>
  </r>
  <r>
    <s v="Акт входного контроля грин00485 от 12.08.2025 21:06:26"/>
    <n v="925"/>
    <n v="111"/>
    <x v="1"/>
    <s v="Ревенко Андрей Вячеславович"/>
    <s v="А781РР"/>
    <x v="0"/>
    <x v="4"/>
    <x v="0"/>
    <n v="26740"/>
    <x v="0"/>
    <n v="0"/>
    <x v="0"/>
    <n v="39940"/>
    <n v="15110"/>
    <n v="4"/>
    <n v="24830"/>
    <n v="23836.799999999999"/>
    <s v="грин00485"/>
    <x v="6"/>
  </r>
  <r>
    <s v="Акт входного контроля грин00486 от 12.08.2025 18:26:42"/>
    <n v="926"/>
    <n v="112"/>
    <x v="1"/>
    <s v="Майстровский В.Н."/>
    <s v="М057АО"/>
    <x v="0"/>
    <x v="4"/>
    <x v="0"/>
    <n v="24970"/>
    <x v="0"/>
    <n v="0"/>
    <x v="0"/>
    <n v="42080"/>
    <n v="14540"/>
    <n v="4"/>
    <n v="27540"/>
    <n v="26438.400000000001"/>
    <s v="грин00486"/>
    <x v="6"/>
  </r>
  <r>
    <s v="Акт входного контроля грин00487 от 13.08.2025 9:26:46"/>
    <n v="935"/>
    <n v="119"/>
    <x v="1"/>
    <s v="Мудрак Вадим Васильевич"/>
    <s v="Х514ОК"/>
    <x v="0"/>
    <x v="4"/>
    <x v="0"/>
    <n v="25530"/>
    <x v="0"/>
    <n v="0"/>
    <x v="0"/>
    <n v="56270"/>
    <n v="20960"/>
    <n v="19"/>
    <n v="35310"/>
    <n v="28601.1"/>
    <s v="грин00487"/>
    <x v="7"/>
  </r>
  <r>
    <s v="Акт входного контроля грин00488 от 13.08.2025 9:40:22"/>
    <n v="934"/>
    <n v="118"/>
    <x v="1"/>
    <s v="Сероштан Станислав Викторович"/>
    <s v="Е758РЕ"/>
    <x v="0"/>
    <x v="4"/>
    <x v="0"/>
    <n v="29270"/>
    <x v="0"/>
    <n v="0"/>
    <x v="0"/>
    <n v="40290"/>
    <n v="14760"/>
    <n v="34"/>
    <n v="25530"/>
    <n v="16849.8"/>
    <s v="грин00488"/>
    <x v="7"/>
  </r>
  <r>
    <s v="Акт входного контроля грин00489 от 12.08.2025 18:34:46"/>
    <n v="927"/>
    <n v="113"/>
    <x v="1"/>
    <s v="Долгих Николай Петрович"/>
    <s v="У726ЕР"/>
    <x v="0"/>
    <x v="4"/>
    <x v="0"/>
    <n v="24830"/>
    <x v="0"/>
    <n v="0"/>
    <x v="0"/>
    <n v="41830"/>
    <n v="15090"/>
    <n v="3"/>
    <n v="26740"/>
    <n v="25937.8"/>
    <s v="грин00489"/>
    <x v="6"/>
  </r>
  <r>
    <s v="Акт входного контроля грин00490 от 13.08.2025 9:35:31"/>
    <n v="933"/>
    <n v="117"/>
    <x v="1"/>
    <s v="Чернецов Александр Михайлович"/>
    <s v="Р866РМ"/>
    <x v="0"/>
    <x v="4"/>
    <x v="0"/>
    <n v="27940"/>
    <x v="0"/>
    <n v="0"/>
    <x v="0"/>
    <n v="42950"/>
    <n v="15010"/>
    <n v="22"/>
    <n v="27940"/>
    <n v="21793.200000000001"/>
    <s v="грин00490"/>
    <x v="7"/>
  </r>
  <r>
    <s v="Акт входного контроля грин00491 от 13.08.2025 9:39:40"/>
    <n v="932"/>
    <n v="116"/>
    <x v="1"/>
    <s v="Пугачев Сергей Викторович"/>
    <s v="Р258УХ"/>
    <x v="0"/>
    <x v="4"/>
    <x v="0"/>
    <n v="35310"/>
    <x v="0"/>
    <n v="0"/>
    <x v="0"/>
    <n v="44940"/>
    <n v="15670"/>
    <n v="20"/>
    <n v="29270"/>
    <n v="23416"/>
    <s v="грин00491"/>
    <x v="7"/>
  </r>
  <r>
    <s v="Акт входного контроля грин00492 от 12.08.2025 22:19:00"/>
    <n v="931"/>
    <n v="115"/>
    <x v="1"/>
    <s v="Погуляй А.Б.       "/>
    <s v="О824ТХ"/>
    <x v="0"/>
    <x v="4"/>
    <x v="0"/>
    <n v="31170"/>
    <x v="0"/>
    <n v="0"/>
    <x v="0"/>
    <n v="49870"/>
    <n v="18700"/>
    <n v="32"/>
    <n v="31170"/>
    <n v="21195.599999999999"/>
    <s v="грин00492"/>
    <x v="6"/>
  </r>
  <r>
    <s v="Акт входного контроля грин00493 от 12.08.2025 22:13:38"/>
    <n v="930"/>
    <n v="114"/>
    <x v="1"/>
    <s v="Бербеницкий Сергей Николаевич"/>
    <s v="С400РР"/>
    <x v="0"/>
    <x v="4"/>
    <x v="0"/>
    <n v="28380"/>
    <x v="0"/>
    <n v="0"/>
    <x v="0"/>
    <n v="43510"/>
    <n v="15130"/>
    <n v="22"/>
    <n v="28380"/>
    <n v="22136.400000000001"/>
    <s v="грин00493"/>
    <x v="6"/>
  </r>
  <r>
    <s v="Акт входного контроля грин00494 от 13.08.2025 13:29:34"/>
    <n v="937"/>
    <n v="120"/>
    <x v="1"/>
    <s v="Егоян Артем Владимирович"/>
    <s v="А701СН"/>
    <x v="0"/>
    <x v="4"/>
    <x v="0"/>
    <n v="28900"/>
    <x v="0"/>
    <n v="0"/>
    <x v="0"/>
    <n v="39300"/>
    <n v="14950"/>
    <n v="13"/>
    <n v="24350"/>
    <n v="21184.5"/>
    <s v="грин00494"/>
    <x v="7"/>
  </r>
  <r>
    <s v="Акт входного контроля грин00495 от 13.08.2025 14:56:34"/>
    <n v="939"/>
    <n v="122"/>
    <x v="1"/>
    <s v="Блажко Алексей Николаевич"/>
    <s v="М676КО"/>
    <x v="0"/>
    <x v="4"/>
    <x v="0"/>
    <n v="27460"/>
    <x v="0"/>
    <n v="0"/>
    <x v="0"/>
    <n v="52350"/>
    <n v="23450"/>
    <n v="10"/>
    <n v="28900"/>
    <n v="26010"/>
    <s v="грин00495"/>
    <x v="7"/>
  </r>
  <r>
    <s v="Акт входного контроля грин00496 от 13.08.2025 15:42:46"/>
    <n v="940"/>
    <n v="123"/>
    <x v="1"/>
    <s v="Дик Илья Александрович"/>
    <s v="М556ХВ"/>
    <x v="0"/>
    <x v="4"/>
    <x v="0"/>
    <n v="39440"/>
    <x v="0"/>
    <n v="0"/>
    <x v="0"/>
    <n v="43100"/>
    <n v="15640"/>
    <n v="15"/>
    <n v="27460"/>
    <n v="23341"/>
    <s v="грин00496"/>
    <x v="7"/>
  </r>
  <r>
    <s v="Акт входного контроля грин00497 от 13.08.2025 15:58:21"/>
    <n v="936"/>
    <n v="121"/>
    <x v="1"/>
    <s v="Мудрак Игорь Вадимович"/>
    <s v="С198УЕ"/>
    <x v="0"/>
    <x v="4"/>
    <x v="0"/>
    <n v="24350"/>
    <x v="0"/>
    <n v="0"/>
    <x v="0"/>
    <n v="63600"/>
    <n v="24160"/>
    <n v="10"/>
    <n v="39440"/>
    <n v="35496"/>
    <s v="грин00497"/>
    <x v="7"/>
  </r>
  <r>
    <s v="Акт входного контроля грин00498 от 13.08.2025 16:12:41"/>
    <n v="941"/>
    <n v="124"/>
    <x v="1"/>
    <s v="Лазаренко Вячеслав Владимирович"/>
    <s v="Т239УС"/>
    <x v="0"/>
    <x v="4"/>
    <x v="0"/>
    <n v="26530"/>
    <x v="0"/>
    <n v="0"/>
    <x v="0"/>
    <n v="41440"/>
    <n v="14910"/>
    <n v="9"/>
    <n v="26530"/>
    <n v="24142.3"/>
    <s v="грин00498"/>
    <x v="7"/>
  </r>
  <r>
    <s v="Акт входного контроля грин00499 от 13.08.2025 16:26:39"/>
    <n v="942"/>
    <n v="125"/>
    <x v="1"/>
    <s v="Никитась Сергей Анатольевич"/>
    <s v="К570ЕО"/>
    <x v="0"/>
    <x v="4"/>
    <x v="0"/>
    <n v="25020"/>
    <x v="0"/>
    <n v="0"/>
    <x v="0"/>
    <n v="40150"/>
    <n v="15130"/>
    <n v="9"/>
    <n v="25020"/>
    <n v="22768.2"/>
    <s v="грин00499"/>
    <x v="7"/>
  </r>
  <r>
    <s v="Акт входного контроля грин00500 от 13.08.2025 17:17:38"/>
    <n v="944"/>
    <n v="127"/>
    <x v="1"/>
    <s v="Черевко Александр Владимирович"/>
    <s v="А114МК"/>
    <x v="0"/>
    <x v="4"/>
    <x v="0"/>
    <n v="24770"/>
    <x v="0"/>
    <n v="0"/>
    <x v="0"/>
    <n v="39350"/>
    <n v="14580"/>
    <n v="13"/>
    <n v="24770"/>
    <n v="21549.9"/>
    <s v="грин00500"/>
    <x v="7"/>
  </r>
  <r>
    <s v="Акт входного контроля грин00501 от 13.08.2025 18:32:20"/>
    <n v="945"/>
    <n v="126"/>
    <x v="1"/>
    <s v="Пищев Александр Васильевич "/>
    <s v="Т522ОН"/>
    <x v="0"/>
    <x v="4"/>
    <x v="0"/>
    <n v="32190"/>
    <x v="0"/>
    <n v="0"/>
    <x v="0"/>
    <n v="51680"/>
    <n v="19490"/>
    <n v="4"/>
    <n v="32190"/>
    <n v="30902.400000000001"/>
    <s v="грин00501"/>
    <x v="7"/>
  </r>
  <r>
    <s v="Акт входного контроля грин00502 от 13.08.2025 19:00:49"/>
    <n v="946"/>
    <n v="129"/>
    <x v="1"/>
    <s v="Богучарский А. И."/>
    <s v="Е404УС"/>
    <x v="0"/>
    <x v="4"/>
    <x v="0"/>
    <n v="24480"/>
    <x v="0"/>
    <n v="0"/>
    <x v="0"/>
    <n v="38460"/>
    <n v="13980"/>
    <n v="5"/>
    <n v="24480"/>
    <n v="23256"/>
    <s v="грин00502"/>
    <x v="7"/>
  </r>
  <r>
    <s v="Акт входного контроля грин00503 от 13.08.2025 21:13:02"/>
    <n v="947"/>
    <n v="131"/>
    <x v="1"/>
    <s v="Извеков Владимир Владимирович"/>
    <s v="Н378ХЕ"/>
    <x v="0"/>
    <x v="4"/>
    <x v="0"/>
    <n v="26040"/>
    <x v="0"/>
    <n v="0"/>
    <x v="0"/>
    <n v="43230"/>
    <n v="15390"/>
    <n v="4"/>
    <n v="27840"/>
    <n v="26726.400000000001"/>
    <s v="грин00503"/>
    <x v="7"/>
  </r>
  <r>
    <s v="Акт входного контроля грин00504 от 13.08.2025 21:35:13"/>
    <n v="948"/>
    <n v="110"/>
    <x v="1"/>
    <s v="Фомин Николай Григорьевич"/>
    <s v="А731ВА"/>
    <x v="0"/>
    <x v="4"/>
    <x v="0"/>
    <n v="27840"/>
    <x v="0"/>
    <n v="0"/>
    <x v="0"/>
    <n v="41550"/>
    <n v="15130"/>
    <n v="10"/>
    <n v="26420"/>
    <n v="23778"/>
    <s v="грин00504"/>
    <x v="7"/>
  </r>
  <r>
    <s v="Акт входного контроля грин00505 от 13.08.2025 19:27:06"/>
    <n v="949"/>
    <n v="132"/>
    <x v="1"/>
    <s v="Бербеницкий Сергей Николаевич"/>
    <s v="С400РР"/>
    <x v="0"/>
    <x v="4"/>
    <x v="0"/>
    <n v="26420"/>
    <x v="0"/>
    <n v="0"/>
    <x v="0"/>
    <n v="41190"/>
    <n v="15150"/>
    <n v="18"/>
    <n v="26040"/>
    <n v="21352.799999999999"/>
    <s v="грин00505"/>
    <x v="7"/>
  </r>
  <r>
    <s v="Акт входного контроля грин00506 от 14.08.2025 0:18:30"/>
    <n v="950"/>
    <n v="135"/>
    <x v="1"/>
    <s v="Майстровский В.Н."/>
    <s v="М057АО"/>
    <x v="0"/>
    <x v="4"/>
    <x v="0"/>
    <n v="29060"/>
    <x v="0"/>
    <n v="0"/>
    <x v="0"/>
    <n v="43580"/>
    <n v="14520"/>
    <n v="17"/>
    <n v="29060"/>
    <n v="24119.8"/>
    <s v="грин00506"/>
    <x v="8"/>
  </r>
  <r>
    <s v="Акт входного контроля грин00507 от 14.08.2025 0:25:58"/>
    <n v="951"/>
    <n v="136"/>
    <x v="1"/>
    <s v="Долгих Николай Петрович"/>
    <s v="У726ЕР"/>
    <x v="0"/>
    <x v="4"/>
    <x v="0"/>
    <n v="27120"/>
    <x v="0"/>
    <n v="0"/>
    <x v="0"/>
    <n v="42250"/>
    <n v="15130"/>
    <n v="4"/>
    <n v="27120"/>
    <n v="26035.200000000001"/>
    <s v="грин00507"/>
    <x v="8"/>
  </r>
  <r>
    <s v="Акт входного контроля грин00508 от 14.08.2025 9:10:58"/>
    <n v="952"/>
    <n v="30004"/>
    <x v="2"/>
    <s v="Кулинич Евгений Владимирович"/>
    <s v="У801СТ"/>
    <x v="2"/>
    <x v="5"/>
    <x v="2"/>
    <m/>
    <x v="5"/>
    <n v="1.4"/>
    <x v="2"/>
    <n v="35530"/>
    <n v="15060"/>
    <n v="6"/>
    <n v="20470"/>
    <n v="19241.8"/>
    <s v="грин00508"/>
    <x v="8"/>
  </r>
  <r>
    <s v="Акт входного контроля грин00509 от 14.08.2025 9:17:18"/>
    <n v="953"/>
    <n v="30006"/>
    <x v="2"/>
    <s v="Кудря Евгений"/>
    <s v="А719ОО"/>
    <x v="2"/>
    <x v="5"/>
    <x v="2"/>
    <m/>
    <x v="5"/>
    <n v="1.4"/>
    <x v="2"/>
    <n v="36240"/>
    <n v="14980"/>
    <n v="16"/>
    <n v="21260"/>
    <n v="17858.400000000001"/>
    <s v="грин00509"/>
    <x v="8"/>
  </r>
  <r>
    <s v="Акт входного контроля грин00510 от 14.08.2025 7:27:51"/>
    <n v="954"/>
    <n v="30017"/>
    <x v="2"/>
    <s v="Аладин Василий Сергеевич"/>
    <s v="Т110ТМ"/>
    <x v="2"/>
    <x v="5"/>
    <x v="2"/>
    <m/>
    <x v="5"/>
    <n v="1.3"/>
    <x v="2"/>
    <n v="34280"/>
    <n v="14870"/>
    <n v="16"/>
    <n v="19410"/>
    <n v="16304.4"/>
    <s v="грин00510"/>
    <x v="8"/>
  </r>
  <r>
    <s v="Акт входного контроля грин00511 от 14.08.2025 7:59:14"/>
    <n v="955"/>
    <n v="30043"/>
    <x v="2"/>
    <s v="Жданов Андрей Иванович"/>
    <s v="С707ОУ"/>
    <x v="2"/>
    <x v="5"/>
    <x v="2"/>
    <m/>
    <x v="5"/>
    <n v="1.3"/>
    <x v="2"/>
    <n v="33340"/>
    <n v="14470"/>
    <n v="29"/>
    <n v="18870"/>
    <n v="13397.7"/>
    <s v="грин00511"/>
    <x v="8"/>
  </r>
  <r>
    <s v="Акт входного контроля грин00512 от 14.08.2025 8:03:32"/>
    <n v="956"/>
    <n v="30045"/>
    <x v="2"/>
    <s v="Гужва А М."/>
    <s v="Т285ВЕ"/>
    <x v="2"/>
    <x v="5"/>
    <x v="2"/>
    <m/>
    <x v="5"/>
    <n v="1.3"/>
    <x v="2"/>
    <n v="33680"/>
    <n v="14890"/>
    <n v="12"/>
    <n v="18790"/>
    <n v="16535.2"/>
    <s v="грин00512"/>
    <x v="8"/>
  </r>
  <r>
    <s v="Акт входного контроля грин00513 от 14.08.2025 8:28:20"/>
    <n v="958"/>
    <n v="30091"/>
    <x v="2"/>
    <s v="Ховятский АМ"/>
    <s v="Р684ОХ"/>
    <x v="2"/>
    <x v="5"/>
    <x v="2"/>
    <m/>
    <x v="5"/>
    <n v="1.5"/>
    <x v="2"/>
    <n v="37090"/>
    <n v="14660"/>
    <n v="20"/>
    <n v="22430"/>
    <n v="17944"/>
    <s v="грин00513"/>
    <x v="8"/>
  </r>
  <r>
    <s v="Акт входного контроля грин00514 от 14.08.2025 8:40:39"/>
    <n v="959"/>
    <n v="30089"/>
    <x v="2"/>
    <s v="Бондаренко Николай Николаевич"/>
    <s v="А315МК"/>
    <x v="2"/>
    <x v="5"/>
    <x v="2"/>
    <m/>
    <x v="5"/>
    <n v="1.3"/>
    <x v="2"/>
    <n v="33150"/>
    <n v="14010"/>
    <n v="20"/>
    <n v="19140"/>
    <n v="15312"/>
    <s v="грин00514"/>
    <x v="8"/>
  </r>
  <r>
    <s v="Акт входного контроля грин00515 от 14.08.2025 10:03:35"/>
    <n v="961"/>
    <n v="30093"/>
    <x v="2"/>
    <s v="Данильченко Ю.А."/>
    <s v="Р347КА"/>
    <x v="2"/>
    <x v="5"/>
    <x v="2"/>
    <m/>
    <x v="5"/>
    <n v="1.4"/>
    <x v="2"/>
    <n v="36520"/>
    <n v="14980"/>
    <n v="21"/>
    <n v="21540"/>
    <n v="17016.599999999999"/>
    <s v="грин00515"/>
    <x v="8"/>
  </r>
  <r>
    <s v="Акт входного контроля грин00516 от 14.08.2025 11:12:38"/>
    <n v="962"/>
    <n v="30095"/>
    <x v="2"/>
    <s v="Рыбалкин АН"/>
    <s v="Р687УК"/>
    <x v="2"/>
    <x v="5"/>
    <x v="2"/>
    <m/>
    <x v="5"/>
    <n v="1.6"/>
    <x v="2"/>
    <n v="39640"/>
    <n v="16100"/>
    <n v="13"/>
    <n v="23540"/>
    <n v="20479.8"/>
    <s v="грин00516"/>
    <x v="8"/>
  </r>
  <r>
    <s v="Акт входного контроля грин00517 от 14.08.2025 12:15:56"/>
    <n v="964"/>
    <n v="30097"/>
    <x v="2"/>
    <s v="Сотников Сергей Кириллович"/>
    <s v="Т443МВ"/>
    <x v="2"/>
    <x v="5"/>
    <x v="2"/>
    <m/>
    <x v="5"/>
    <n v="1.6"/>
    <x v="2"/>
    <n v="39460"/>
    <n v="15920"/>
    <n v="12"/>
    <n v="23540"/>
    <n v="20715.2"/>
    <s v="грин00517"/>
    <x v="8"/>
  </r>
  <r>
    <s v="Акт входного контроля грин00518 от 14.08.2025 15:49:32"/>
    <n v="967"/>
    <n v="30099"/>
    <x v="2"/>
    <s v="Чернецов Александр Михайлович"/>
    <s v="Р866РМ"/>
    <x v="2"/>
    <x v="5"/>
    <x v="2"/>
    <m/>
    <x v="6"/>
    <n v="2.4"/>
    <x v="2"/>
    <n v="40140"/>
    <n v="14920"/>
    <n v="37"/>
    <n v="25220"/>
    <n v="15888.6"/>
    <s v="грин00518"/>
    <x v="8"/>
  </r>
  <r>
    <s v="Акт входного контроля грин00519 от 14.08.2025 15:56:26"/>
    <n v="968"/>
    <n v="30101"/>
    <x v="2"/>
    <s v="Пугачев Сергей Викторович"/>
    <s v="Р258УХ"/>
    <x v="2"/>
    <x v="5"/>
    <x v="2"/>
    <m/>
    <x v="6"/>
    <n v="2.4"/>
    <x v="2"/>
    <n v="41240"/>
    <n v="15590"/>
    <n v="19"/>
    <n v="25650"/>
    <n v="20776.5"/>
    <s v="грин00519"/>
    <x v="8"/>
  </r>
  <r>
    <s v="Акт входного контроля грин00520 от 14.08.2025 16:50:06"/>
    <n v="969"/>
    <n v="30103"/>
    <x v="2"/>
    <s v="Чернышов Александр Павлович"/>
    <s v="М704ТС"/>
    <x v="2"/>
    <x v="5"/>
    <x v="2"/>
    <m/>
    <x v="6"/>
    <n v="2.1"/>
    <x v="2"/>
    <n v="38470"/>
    <n v="16400"/>
    <n v="6"/>
    <n v="22070"/>
    <n v="20745.8"/>
    <s v="грин00520"/>
    <x v="8"/>
  </r>
  <r>
    <s v="Акт входного контроля грин00521 от 14.08.2025 20:43:47"/>
    <n v="970"/>
    <n v="30105"/>
    <x v="2"/>
    <s v="Пищев Александр Васильевич "/>
    <s v="Т522ОН"/>
    <x v="2"/>
    <x v="5"/>
    <x v="2"/>
    <m/>
    <x v="6"/>
    <n v="2.2999999999999998"/>
    <x v="2"/>
    <n v="43920"/>
    <n v="19310"/>
    <n v="19"/>
    <n v="24610"/>
    <n v="19934.099999999999"/>
    <s v="грин00521"/>
    <x v="8"/>
  </r>
  <r>
    <s v="Акт входного контроля грин00522 от 14.08.2025 23:32:47"/>
    <n v="971"/>
    <n v="30115"/>
    <x v="2"/>
    <s v="Дик Илья Александрович"/>
    <s v="М556ХВ"/>
    <x v="2"/>
    <x v="5"/>
    <x v="2"/>
    <m/>
    <x v="6"/>
    <n v="2.5"/>
    <x v="2"/>
    <n v="41820"/>
    <n v="15540"/>
    <n v="10"/>
    <n v="26280"/>
    <n v="23652"/>
    <s v="грин00522"/>
    <x v="8"/>
  </r>
  <r>
    <s v="Акт входного контроля грин00523 от 15.08.2025 1:27:24"/>
    <n v="973"/>
    <n v="30107"/>
    <x v="2"/>
    <s v="Мудрак Игорь Вадимович"/>
    <s v="С198УЕ"/>
    <x v="2"/>
    <x v="5"/>
    <x v="2"/>
    <m/>
    <x v="6"/>
    <n v="2.2000000000000002"/>
    <x v="2"/>
    <n v="47570"/>
    <n v="24050"/>
    <n v="23"/>
    <n v="23520"/>
    <n v="18110.400000000001"/>
    <s v="грин00523"/>
    <x v="9"/>
  </r>
  <r>
    <s v="Акт входного контроля грин00524 от 14.08.2025 22:02:43"/>
    <n v="972"/>
    <n v="30113"/>
    <x v="2"/>
    <s v="Блажко Алексей Николаевич"/>
    <s v="М676КО"/>
    <x v="2"/>
    <x v="5"/>
    <x v="2"/>
    <m/>
    <x v="6"/>
    <n v="2.5"/>
    <x v="2"/>
    <n v="50440"/>
    <n v="24130"/>
    <n v="15"/>
    <n v="26310"/>
    <n v="22363.5"/>
    <s v="грин00524"/>
    <x v="8"/>
  </r>
  <r>
    <s v="Акт входного контроля грин00525 от 15.08.2025 4:31:46"/>
    <n v="974"/>
    <n v="30109"/>
    <x v="2"/>
    <s v="Егоян Артем Владимирович"/>
    <s v="А701СН"/>
    <x v="2"/>
    <x v="5"/>
    <x v="2"/>
    <m/>
    <x v="6"/>
    <n v="2.1"/>
    <x v="2"/>
    <n v="36940"/>
    <n v="14830"/>
    <n v="15"/>
    <n v="22110"/>
    <n v="18793.5"/>
    <s v="грин00525"/>
    <x v="9"/>
  </r>
  <r>
    <s v="Акт входного контроля грин00526 от 15.08.2025 5:18:26"/>
    <n v="975"/>
    <n v="30111"/>
    <x v="2"/>
    <s v="Мудрак Вадим Васильевич"/>
    <s v="Х514ОК"/>
    <x v="2"/>
    <x v="5"/>
    <x v="2"/>
    <m/>
    <x v="6"/>
    <n v="2.4"/>
    <x v="2"/>
    <n v="48340"/>
    <n v="20890"/>
    <n v="19"/>
    <n v="27450"/>
    <n v="22234.5"/>
    <s v="грин00526"/>
    <x v="9"/>
  </r>
  <r>
    <s v="Акт входного контроля грин00527 от 15.08.2025 13:40:57"/>
    <n v="976"/>
    <n v="30121"/>
    <x v="2"/>
    <s v="Лазаренко Вячеслав Владимирович"/>
    <s v="Т239УС"/>
    <x v="2"/>
    <x v="6"/>
    <x v="2"/>
    <m/>
    <x v="6"/>
    <n v="1.9"/>
    <x v="2"/>
    <n v="38190"/>
    <n v="14870"/>
    <n v="17"/>
    <n v="23320"/>
    <n v="19355.599999999999"/>
    <s v="грин00527"/>
    <x v="9"/>
  </r>
  <r>
    <s v="Акт входного контроля грин00528 от 15.08.2025 13:57:45"/>
    <n v="977"/>
    <n v="30123"/>
    <x v="2"/>
    <s v="Никитась Сергей Анатольевич"/>
    <s v="К570ЕО"/>
    <x v="2"/>
    <x v="6"/>
    <x v="2"/>
    <m/>
    <x v="6"/>
    <n v="1.8"/>
    <x v="2"/>
    <n v="37190"/>
    <n v="14880"/>
    <n v="8"/>
    <n v="22310"/>
    <n v="20525.2"/>
    <s v="грин00528"/>
    <x v="9"/>
  </r>
  <r>
    <s v="Акт входного контроля грин00529 от 15.08.2025 14:09:13"/>
    <n v="978"/>
    <n v="30119"/>
    <x v="2"/>
    <s v="Магадиев Александр Сайлаувич"/>
    <s v="У184НО"/>
    <x v="2"/>
    <x v="6"/>
    <x v="2"/>
    <m/>
    <x v="6"/>
    <n v="1.8"/>
    <x v="2"/>
    <n v="37120"/>
    <n v="14460"/>
    <n v="23"/>
    <n v="22660"/>
    <n v="17448.2"/>
    <s v="грин00529"/>
    <x v="9"/>
  </r>
  <r>
    <s v="Акт входного контроля грин00530 от 15.08.2025 6:27:33"/>
    <n v="980"/>
    <n v="30129"/>
    <x v="2"/>
    <s v="Рудик Александр Иванович"/>
    <s v="А309АТ"/>
    <x v="2"/>
    <x v="6"/>
    <x v="2"/>
    <m/>
    <x v="6"/>
    <n v="1.5"/>
    <x v="2"/>
    <n v="34000"/>
    <n v="14580"/>
    <n v="11"/>
    <n v="19420"/>
    <n v="17283.8"/>
    <s v="грин00530"/>
    <x v="9"/>
  </r>
  <r>
    <s v="Акт входного контроля грин00531 от 15.08.2025 17:22:11"/>
    <n v="981"/>
    <n v="30125"/>
    <x v="2"/>
    <s v="Фомин Николай Григорьевич"/>
    <s v="А731ВА"/>
    <x v="3"/>
    <x v="7"/>
    <x v="2"/>
    <m/>
    <x v="6"/>
    <n v="1"/>
    <x v="3"/>
    <n v="35220"/>
    <n v="14930"/>
    <n v="57"/>
    <n v="20290"/>
    <n v="8724.7000000000007"/>
    <s v="грин00531"/>
    <x v="9"/>
  </r>
  <r>
    <s v="Акт входного контроля грин00532 от 15.08.2025 7:23:47"/>
    <n v="982"/>
    <n v="30127"/>
    <x v="2"/>
    <s v="Ревенко Андрей Вячеславович"/>
    <s v="А781РР"/>
    <x v="1"/>
    <x v="6"/>
    <x v="2"/>
    <m/>
    <x v="6"/>
    <n v="0.3"/>
    <x v="1"/>
    <n v="37560"/>
    <n v="15090"/>
    <n v="10"/>
    <n v="22470"/>
    <n v="20223"/>
    <s v="грин00532"/>
    <x v="9"/>
  </r>
  <r>
    <s v="Акт входного контроля грин00533 от 15.08.2025 6:13:19"/>
    <n v="979"/>
    <n v="30131"/>
    <x v="2"/>
    <s v="Сероштан Станислав Викторович"/>
    <s v="Е758РЕ"/>
    <x v="3"/>
    <x v="3"/>
    <x v="2"/>
    <m/>
    <x v="6"/>
    <n v="1"/>
    <x v="3"/>
    <n v="36340"/>
    <n v="14700"/>
    <n v="53"/>
    <n v="21640"/>
    <n v="10170.799999999999"/>
    <s v="грин00533"/>
    <x v="9"/>
  </r>
  <r>
    <s v="Акт входного контроля грин00534 от 15.08.2025 7:37:06"/>
    <n v="983"/>
    <n v="30133"/>
    <x v="2"/>
    <s v="Бербеницкий Сергей Николаевич"/>
    <s v="С400РР"/>
    <x v="1"/>
    <x v="6"/>
    <x v="2"/>
    <m/>
    <x v="6"/>
    <n v="0.3"/>
    <x v="1"/>
    <n v="37490"/>
    <n v="15070"/>
    <n v="25"/>
    <n v="22420"/>
    <n v="16815"/>
    <s v="грин00534"/>
    <x v="9"/>
  </r>
  <r>
    <s v="Акт входного контроля грин00535 от 15.08.2025 7:45:10"/>
    <n v="984"/>
    <n v="30103"/>
    <x v="2"/>
    <s v="Чернышов Александр Павлович"/>
    <s v="М704ТС"/>
    <x v="1"/>
    <x v="6"/>
    <x v="2"/>
    <m/>
    <x v="6"/>
    <n v="0.3"/>
    <x v="1"/>
    <n v="39300"/>
    <n v="16400"/>
    <n v="35"/>
    <n v="22900"/>
    <n v="14885"/>
    <s v="грин00535"/>
    <x v="9"/>
  </r>
  <r>
    <s v="Акт входного контроля грин00536 от 15.08.2025 17:33:17"/>
    <n v="990"/>
    <n v="30137"/>
    <x v="2"/>
    <s v="Рыбалкин АН"/>
    <s v="Р687УК"/>
    <x v="1"/>
    <x v="6"/>
    <x v="2"/>
    <m/>
    <x v="7"/>
    <n v="1"/>
    <x v="1"/>
    <n v="41480"/>
    <n v="16090"/>
    <n v="31"/>
    <n v="25390"/>
    <n v="17519.099999999999"/>
    <s v="грин00536"/>
    <x v="9"/>
  </r>
  <r>
    <s v="Акт входного контроля грин00537 от 15.08.2025 17:55:37"/>
    <n v="991"/>
    <n v="128"/>
    <x v="0"/>
    <s v="Майстровский В.Н."/>
    <s v="М057АО"/>
    <x v="0"/>
    <x v="0"/>
    <x v="0"/>
    <n v="22390"/>
    <x v="0"/>
    <n v="0"/>
    <x v="0"/>
    <n v="36890"/>
    <n v="14500"/>
    <n v="8"/>
    <n v="22390"/>
    <n v="20598.8"/>
    <s v="грин00537"/>
    <x v="9"/>
  </r>
  <r>
    <s v="Акт входного контроля грин00538 от 15.08.2025 18:05:41"/>
    <n v="993"/>
    <n v="30142"/>
    <x v="2"/>
    <s v="Сотников Сергей Кириллович"/>
    <s v="Т443МВ"/>
    <x v="1"/>
    <x v="6"/>
    <x v="2"/>
    <m/>
    <x v="7"/>
    <n v="1.1000000000000001"/>
    <x v="1"/>
    <n v="41680"/>
    <n v="15930"/>
    <n v="43"/>
    <n v="25750"/>
    <n v="14677.5"/>
    <s v="грин00538"/>
    <x v="9"/>
  </r>
  <r>
    <s v="Акт входного контроля грин00539 от 15.08.2025 18:01:08"/>
    <n v="992"/>
    <n v="129"/>
    <x v="0"/>
    <s v="Долгих Николай Петрович"/>
    <s v="У726ЕР"/>
    <x v="0"/>
    <x v="0"/>
    <x v="0"/>
    <n v="22950"/>
    <x v="0"/>
    <n v="0"/>
    <x v="0"/>
    <n v="38030"/>
    <n v="15080"/>
    <n v="5"/>
    <n v="22950"/>
    <n v="21802.5"/>
    <s v="грин00539"/>
    <x v="9"/>
  </r>
  <r>
    <s v="Акт входного контроля грин00540 от 15.08.2025 20:31:52"/>
    <n v="995"/>
    <n v="132"/>
    <x v="0"/>
    <s v="Кулинич Евгений Владимирович"/>
    <s v="У801СТ"/>
    <x v="0"/>
    <x v="0"/>
    <x v="0"/>
    <n v="24190"/>
    <x v="0"/>
    <n v="0"/>
    <x v="0"/>
    <n v="39230"/>
    <n v="15040"/>
    <n v="11"/>
    <n v="24190"/>
    <n v="21529.1"/>
    <s v="грин00540"/>
    <x v="9"/>
  </r>
  <r>
    <s v="Акт входного контроля грин00541 от 15.08.2025 22:23:59"/>
    <n v="996"/>
    <n v="133"/>
    <x v="0"/>
    <s v="Извеков Владимир Владимирович"/>
    <s v="Н378ХЕ"/>
    <x v="0"/>
    <x v="0"/>
    <x v="0"/>
    <n v="22570"/>
    <x v="0"/>
    <n v="0"/>
    <x v="0"/>
    <n v="38110"/>
    <n v="15540"/>
    <n v="11"/>
    <n v="22570"/>
    <n v="20087.3"/>
    <s v="грин00541"/>
    <x v="9"/>
  </r>
  <r>
    <s v="Акт входного контроля грин00542 от 18.08.2025 9:03:32"/>
    <n v="999"/>
    <n v="300194"/>
    <x v="2"/>
    <s v="Ховятский АМ"/>
    <s v="Р684ОХ"/>
    <x v="4"/>
    <x v="8"/>
    <x v="2"/>
    <m/>
    <x v="8"/>
    <n v="1.9"/>
    <x v="4"/>
    <n v="40930"/>
    <n v="14640"/>
    <n v="25"/>
    <n v="26290"/>
    <n v="19717.5"/>
    <s v="грин00542"/>
    <x v="10"/>
  </r>
  <r>
    <s v="Акт входного контроля грин00543 от 18.08.2025 11:17:35"/>
    <n v="1000"/>
    <n v="30196"/>
    <x v="2"/>
    <s v="Бондаренко Николай Николаевич"/>
    <s v="А315МК"/>
    <x v="4"/>
    <x v="8"/>
    <x v="2"/>
    <m/>
    <x v="8"/>
    <n v="1.5"/>
    <x v="4"/>
    <n v="35510"/>
    <n v="14020"/>
    <n v="16"/>
    <n v="21490"/>
    <n v="18051.599999999999"/>
    <s v="грин00543"/>
    <x v="10"/>
  </r>
  <r>
    <s v="Акт входного контроля грин00544 от 18.08.2025 13:32:09"/>
    <n v="1002"/>
    <n v="30202"/>
    <x v="2"/>
    <s v="Рыбалкин АН"/>
    <s v="Р687УК"/>
    <x v="4"/>
    <x v="8"/>
    <x v="2"/>
    <m/>
    <x v="8"/>
    <n v="1.8"/>
    <x v="4"/>
    <n v="41350"/>
    <n v="16110"/>
    <n v="24"/>
    <n v="25240"/>
    <n v="19182.400000000001"/>
    <s v="грин00544"/>
    <x v="10"/>
  </r>
  <r>
    <s v="Акт входного контроля грин00545 от 18.08.2025 14:33:05"/>
    <n v="1006"/>
    <n v="30204"/>
    <x v="2"/>
    <s v="Бербеницкий Сергей Николаевич"/>
    <s v="С400РР"/>
    <x v="4"/>
    <x v="8"/>
    <x v="2"/>
    <m/>
    <x v="8"/>
    <n v="1.8"/>
    <x v="4"/>
    <n v="41020"/>
    <n v="15090"/>
    <n v="24"/>
    <n v="25930"/>
    <n v="19706.8"/>
    <s v="грин00545"/>
    <x v="10"/>
  </r>
  <r>
    <s v="Акт входного контроля грин00546 от 18.08.2025 15:43:26"/>
    <n v="1008"/>
    <n v="30206"/>
    <x v="2"/>
    <s v="Чернышов Александр Павлович"/>
    <s v="М704ТС"/>
    <x v="4"/>
    <x v="8"/>
    <x v="2"/>
    <m/>
    <x v="8"/>
    <n v="1.6"/>
    <x v="4"/>
    <n v="39670"/>
    <n v="16400"/>
    <n v="42"/>
    <n v="23270"/>
    <n v="13496.6"/>
    <s v="грин00546"/>
    <x v="10"/>
  </r>
  <r>
    <s v="Акт входного контроля грин00547 от 18.08.2025 15:54:51"/>
    <n v="1001"/>
    <n v="30200"/>
    <x v="2"/>
    <s v="Сотников Сергей Кириллович"/>
    <s v="Т443МВ"/>
    <x v="4"/>
    <x v="8"/>
    <x v="2"/>
    <m/>
    <x v="8"/>
    <n v="1.8"/>
    <x v="4"/>
    <n v="41280"/>
    <n v="15930"/>
    <n v="30"/>
    <n v="25350"/>
    <n v="17745"/>
    <s v="грин00547"/>
    <x v="10"/>
  </r>
  <r>
    <s v="Акт входного контроля грин00548 от 18.08.2025 17:32:38"/>
    <n v="1009"/>
    <n v="30208"/>
    <x v="2"/>
    <s v="Глушенко Александр Иванович"/>
    <s v="Н735ВК"/>
    <x v="4"/>
    <x v="8"/>
    <x v="2"/>
    <m/>
    <x v="8"/>
    <n v="1.6"/>
    <x v="4"/>
    <n v="38520"/>
    <n v="16630"/>
    <n v="28"/>
    <n v="21890"/>
    <n v="15760.8"/>
    <s v="грин00548"/>
    <x v="10"/>
  </r>
  <r>
    <s v="Акт входного контроля грин00549 от 18.08.2025 17:46:22"/>
    <n v="1011"/>
    <n v="30198"/>
    <x v="2"/>
    <s v="Данильченко Ю.А."/>
    <s v="Р347КА"/>
    <x v="4"/>
    <x v="8"/>
    <x v="2"/>
    <m/>
    <x v="9"/>
    <n v="2"/>
    <x v="4"/>
    <n v="40460"/>
    <n v="14970"/>
    <n v="28"/>
    <n v="25490"/>
    <n v="18352.8"/>
    <s v="грин00549"/>
    <x v="10"/>
  </r>
  <r>
    <s v="Акт входного контроля грин00550 от 18.08.2025 18:56:16"/>
    <n v="1012"/>
    <n v="30210"/>
    <x v="2"/>
    <s v="Веревкин Андрей Александрович"/>
    <s v="Н234ВК"/>
    <x v="5"/>
    <x v="7"/>
    <x v="2"/>
    <m/>
    <x v="9"/>
    <n v="2"/>
    <x v="5"/>
    <n v="39420"/>
    <n v="16570"/>
    <n v="25"/>
    <n v="22850"/>
    <n v="17137.5"/>
    <s v="грин00550"/>
    <x v="10"/>
  </r>
  <r>
    <s v="Акт входного контроля грин00551 от 18.08.2025 19:14:18"/>
    <n v="1013"/>
    <n v="30212"/>
    <x v="2"/>
    <s v="Чернецов Александр Михайлович"/>
    <s v="Р866РМ"/>
    <x v="5"/>
    <x v="9"/>
    <x v="2"/>
    <m/>
    <x v="9"/>
    <n v="2"/>
    <x v="5"/>
    <n v="41950"/>
    <n v="14980"/>
    <n v="17"/>
    <n v="26970"/>
    <n v="22385.1"/>
    <s v="грин00551"/>
    <x v="10"/>
  </r>
  <r>
    <s v="Акт входного контроля грин00552 от 19.08.2025 16:43:50"/>
    <n v="1016"/>
    <n v="30220"/>
    <x v="2"/>
    <s v="Пищев Александр Васильевич "/>
    <s v="Т522ОН"/>
    <x v="4"/>
    <x v="9"/>
    <x v="2"/>
    <m/>
    <x v="9"/>
    <n v="2"/>
    <x v="4"/>
    <n v="46680"/>
    <n v="19370"/>
    <n v="19"/>
    <n v="27310"/>
    <n v="22121.1"/>
    <s v="грин00552"/>
    <x v="11"/>
  </r>
  <r>
    <s v="Акт входного контроля грин00553 от 19.08.2025 10:18:09"/>
    <n v="1017"/>
    <n v="30222"/>
    <x v="2"/>
    <s v="Блажко Алексей Николаевич"/>
    <s v="М676КО"/>
    <x v="4"/>
    <x v="9"/>
    <x v="2"/>
    <m/>
    <x v="9"/>
    <n v="1.6"/>
    <x v="4"/>
    <n v="46150"/>
    <n v="24180"/>
    <n v="24"/>
    <n v="21970"/>
    <n v="16697.2"/>
    <s v="грин00553"/>
    <x v="11"/>
  </r>
  <r>
    <s v="Акт входного контроля грин00554 от 19.08.2025 11:31:10"/>
    <n v="1018"/>
    <n v="30224"/>
    <x v="2"/>
    <s v="Дик Илья Александрович"/>
    <s v="М556ХВ"/>
    <x v="4"/>
    <x v="9"/>
    <x v="2"/>
    <m/>
    <x v="9"/>
    <n v="2"/>
    <x v="4"/>
    <n v="42960"/>
    <n v="15580"/>
    <n v="26"/>
    <n v="27380"/>
    <n v="20261.2"/>
    <s v="грин00554"/>
    <x v="11"/>
  </r>
  <r>
    <s v="Акт входного контроля грин00555 от 19.08.2025 16:46:13"/>
    <n v="1019"/>
    <n v="30216"/>
    <x v="2"/>
    <s v="Огнев Максим Викторович"/>
    <s v="Р755НН"/>
    <x v="4"/>
    <x v="9"/>
    <x v="2"/>
    <m/>
    <x v="9"/>
    <n v="1.8"/>
    <x v="4"/>
    <n v="39190"/>
    <n v="14720"/>
    <n v="15"/>
    <n v="24470"/>
    <n v="20799.5"/>
    <s v="грин00555"/>
    <x v="11"/>
  </r>
  <r>
    <s v="Акт входного контроля грин00556 от 19.08.2025 16:46:32"/>
    <n v="1020"/>
    <n v="30214"/>
    <x v="2"/>
    <s v="Аладин Василий Сергеевич"/>
    <s v="Т110ТМ"/>
    <x v="4"/>
    <x v="9"/>
    <x v="2"/>
    <m/>
    <x v="9"/>
    <n v="1.6"/>
    <x v="4"/>
    <n v="36580"/>
    <n v="14790"/>
    <n v="23"/>
    <n v="21790"/>
    <n v="16778.3"/>
    <s v="грин00556"/>
    <x v="11"/>
  </r>
  <r>
    <s v="Акт входного контроля грин00557 от 19.08.2025 16:46:59"/>
    <n v="1023"/>
    <n v="30218"/>
    <x v="2"/>
    <s v="Пугачев Сергей Викторович"/>
    <s v="Р258УХ"/>
    <x v="4"/>
    <x v="9"/>
    <x v="2"/>
    <m/>
    <x v="9"/>
    <n v="1.9"/>
    <x v="4"/>
    <n v="42140"/>
    <n v="15570"/>
    <n v="22"/>
    <n v="26570"/>
    <n v="20724.599999999999"/>
    <s v="грин00557"/>
    <x v="11"/>
  </r>
  <r>
    <s v="Акт входного контроля грин00558 от 19.08.2025 16:50:57"/>
    <n v="1028"/>
    <n v="30238"/>
    <x v="2"/>
    <s v="Магадиев Александр Сайлаувич"/>
    <s v="У184НО"/>
    <x v="4"/>
    <x v="9"/>
    <x v="2"/>
    <m/>
    <x v="9"/>
    <n v="1.8"/>
    <x v="4"/>
    <n v="38420"/>
    <n v="14410"/>
    <n v="11"/>
    <n v="24010"/>
    <n v="21368.9"/>
    <s v="грин00558"/>
    <x v="11"/>
  </r>
  <r>
    <s v="Акт входного контроля грин00559 от 19.08.2025 18:05:42"/>
    <n v="1030"/>
    <n v="30228"/>
    <x v="2"/>
    <s v="Никитась Сергей Анатольевич"/>
    <s v="К570ЕО"/>
    <x v="4"/>
    <x v="9"/>
    <x v="2"/>
    <m/>
    <x v="9"/>
    <n v="1.9"/>
    <x v="4"/>
    <n v="40310"/>
    <n v="14970"/>
    <n v="18"/>
    <n v="25340"/>
    <n v="20778.8"/>
    <s v="грин00559"/>
    <x v="11"/>
  </r>
  <r>
    <s v="Акт входного контроля грин00560 от 19.08.2025 19:42:02"/>
    <n v="1029"/>
    <n v="30226"/>
    <x v="2"/>
    <s v="Лазаренко Вячеслав Владимирович"/>
    <s v="Т239УС"/>
    <x v="4"/>
    <x v="9"/>
    <x v="2"/>
    <m/>
    <x v="9"/>
    <n v="1.8"/>
    <x v="4"/>
    <n v="39390"/>
    <n v="14830"/>
    <n v="13"/>
    <n v="24560"/>
    <n v="21367.200000000001"/>
    <s v="грин00560"/>
    <x v="11"/>
  </r>
  <r>
    <s v="Акт входного контроля грин00561 от 19.08.2025 19:51:57"/>
    <n v="1031"/>
    <n v="30232"/>
    <x v="2"/>
    <s v="Ревенко Андрей Вячеславович"/>
    <s v="А781РР"/>
    <x v="4"/>
    <x v="9"/>
    <x v="2"/>
    <m/>
    <x v="9"/>
    <n v="1.6"/>
    <x v="4"/>
    <n v="38060"/>
    <n v="15060"/>
    <n v="18"/>
    <n v="23000"/>
    <n v="18860"/>
    <s v="грин00561"/>
    <x v="11"/>
  </r>
  <r>
    <s v="Акт входного контроля грин00562 от 19.08.2025 21:01:39"/>
    <n v="1032"/>
    <n v="30230"/>
    <x v="2"/>
    <s v="Фомин Николай Григорьевич"/>
    <s v="А731ВА"/>
    <x v="5"/>
    <x v="7"/>
    <x v="2"/>
    <m/>
    <x v="10"/>
    <n v="1.7"/>
    <x v="5"/>
    <n v="38010"/>
    <n v="14900"/>
    <n v="13"/>
    <n v="23110"/>
    <n v="20105.7"/>
    <s v="грин00562"/>
    <x v="11"/>
  </r>
  <r>
    <s v="Акт входного контроля грин00563 от 19.08.2025 22:09:05"/>
    <n v="1033"/>
    <n v="30234"/>
    <x v="2"/>
    <s v="Емец Р.А."/>
    <s v="У315НХ"/>
    <x v="5"/>
    <x v="7"/>
    <x v="2"/>
    <m/>
    <x v="10"/>
    <n v="1.6"/>
    <x v="5"/>
    <n v="37880"/>
    <n v="15550"/>
    <n v="11"/>
    <n v="22330"/>
    <n v="19873.7"/>
    <s v="грин00563"/>
    <x v="11"/>
  </r>
  <r>
    <s v="Акт входного контроля грин00564 от 19.08.2025 23:05:02"/>
    <n v="1034"/>
    <n v="30240"/>
    <x v="2"/>
    <s v="Рудик Александр Иванович"/>
    <s v="А309АТ"/>
    <x v="5"/>
    <x v="7"/>
    <x v="2"/>
    <m/>
    <x v="10"/>
    <n v="1.7"/>
    <x v="5"/>
    <n v="38060"/>
    <n v="14680"/>
    <n v="4"/>
    <n v="23380"/>
    <n v="22444.799999999999"/>
    <s v="грин00564"/>
    <x v="11"/>
  </r>
  <r>
    <s v="Акт входного контроля грин00565 от 19.08.2025 23:09:45"/>
    <n v="1035"/>
    <n v="30252"/>
    <x v="2"/>
    <s v="Майстровский В.Н."/>
    <s v="М057АО"/>
    <x v="5"/>
    <x v="7"/>
    <x v="2"/>
    <m/>
    <x v="10"/>
    <n v="1.6"/>
    <x v="5"/>
    <n v="37270"/>
    <n v="14440"/>
    <n v="28"/>
    <n v="22830"/>
    <n v="16437.599999999999"/>
    <s v="грин00565"/>
    <x v="11"/>
  </r>
  <r>
    <s v="Акт входного контроля грин00566 от 19.08.2025 23:53:18"/>
    <n v="1036"/>
    <n v="30254"/>
    <x v="2"/>
    <s v="Долгих Николай Петрович"/>
    <s v="У726ЕР"/>
    <x v="5"/>
    <x v="7"/>
    <x v="2"/>
    <m/>
    <x v="10"/>
    <n v="1.7"/>
    <x v="5"/>
    <n v="38360"/>
    <n v="15030"/>
    <n v="24"/>
    <n v="23330"/>
    <n v="17730.8"/>
    <s v="грин00566"/>
    <x v="11"/>
  </r>
  <r>
    <s v="Акт входного контроля грин00567 от 19.08.2025 21:31:42"/>
    <n v="1037"/>
    <n v="30268"/>
    <x v="2"/>
    <s v="Сотников Сергей Кириллович"/>
    <s v="Т443МВ"/>
    <x v="5"/>
    <x v="7"/>
    <x v="2"/>
    <m/>
    <x v="10"/>
    <n v="1.9"/>
    <x v="5"/>
    <n v="42150"/>
    <n v="15710"/>
    <n v="18"/>
    <n v="26440"/>
    <n v="21680.799999999999"/>
    <s v="грин00567"/>
    <x v="11"/>
  </r>
  <r>
    <s v="Акт входного контроля грин00568 от 19.08.2025 21:36:46"/>
    <n v="1038"/>
    <n v="30288"/>
    <x v="2"/>
    <s v="Рыбалкин АН"/>
    <s v="Р687УК"/>
    <x v="5"/>
    <x v="7"/>
    <x v="2"/>
    <m/>
    <x v="10"/>
    <n v="1.9"/>
    <x v="5"/>
    <n v="42350"/>
    <n v="16110"/>
    <n v="21"/>
    <n v="26240"/>
    <n v="20729.599999999999"/>
    <s v="грин00568"/>
    <x v="11"/>
  </r>
  <r>
    <s v="Акт входного контроля грин00569 от 19.08.2025 22:28:29"/>
    <n v="1039"/>
    <n v="30290"/>
    <x v="2"/>
    <s v="Ховятский АМ"/>
    <s v="Р684ОХ"/>
    <x v="5"/>
    <x v="7"/>
    <x v="2"/>
    <m/>
    <x v="10"/>
    <n v="1.8"/>
    <x v="5"/>
    <n v="39940"/>
    <n v="14660"/>
    <n v="32"/>
    <n v="25280"/>
    <n v="17190.400000000001"/>
    <s v="грин00569"/>
    <x v="11"/>
  </r>
  <r>
    <s v="Акт входного контроля грин00570 от 19.08.2025 22:33:02"/>
    <n v="1040"/>
    <n v="30293"/>
    <x v="2"/>
    <s v="Данильченко Ю.А."/>
    <s v="Р347КА"/>
    <x v="5"/>
    <x v="7"/>
    <x v="2"/>
    <m/>
    <x v="10"/>
    <n v="1.8"/>
    <x v="5"/>
    <n v="40180"/>
    <n v="14980"/>
    <n v="31"/>
    <n v="25200"/>
    <n v="17388"/>
    <s v="грин00570"/>
    <x v="11"/>
  </r>
  <r>
    <s v="Акт входного контроля грин00571 от 20.08.2025 6:01:59"/>
    <n v="1041"/>
    <n v="30300"/>
    <x v="2"/>
    <s v="Веревкин Андрей Александрович"/>
    <s v="Н234ВК"/>
    <x v="5"/>
    <x v="7"/>
    <x v="2"/>
    <m/>
    <x v="10"/>
    <n v="1.6"/>
    <x v="5"/>
    <n v="38660"/>
    <n v="16320"/>
    <n v="15"/>
    <n v="22340"/>
    <n v="18989"/>
    <s v="грин00571"/>
    <x v="12"/>
  </r>
  <r>
    <s v="Акт входного контроля грин00572 от 20.08.2025 7:56:41"/>
    <n v="1042"/>
    <n v="30302"/>
    <x v="2"/>
    <s v="Глушенко Александр Иванович"/>
    <s v="Н735ВК"/>
    <x v="5"/>
    <x v="7"/>
    <x v="2"/>
    <m/>
    <x v="10"/>
    <n v="1.6"/>
    <x v="5"/>
    <n v="39010"/>
    <n v="16650"/>
    <n v="22"/>
    <n v="22360"/>
    <n v="17440.8"/>
    <s v="грин00572"/>
    <x v="12"/>
  </r>
  <r>
    <s v="Акт входного контроля грин00573 от 20.08.2025 9:14:53"/>
    <n v="1043"/>
    <n v="30304"/>
    <x v="2"/>
    <s v="Чернышов Александр Павлович"/>
    <s v="М704ТС"/>
    <x v="5"/>
    <x v="7"/>
    <x v="2"/>
    <m/>
    <x v="10"/>
    <n v="1.6"/>
    <x v="5"/>
    <n v="38980"/>
    <n v="16370"/>
    <n v="18"/>
    <n v="22610"/>
    <n v="18540.2"/>
    <s v="грин00573"/>
    <x v="12"/>
  </r>
  <r>
    <s v="Акт входного контроля грин00574 от 20.08.2025 12:20:45"/>
    <n v="1044"/>
    <n v="30306"/>
    <x v="2"/>
    <s v="Бондаренко Николай Николаевич"/>
    <s v="А315МК"/>
    <x v="5"/>
    <x v="7"/>
    <x v="2"/>
    <m/>
    <x v="10"/>
    <n v="1.6"/>
    <x v="5"/>
    <n v="35740"/>
    <n v="14020"/>
    <n v="26"/>
    <n v="21720"/>
    <n v="16072.8"/>
    <s v="грин00574"/>
    <x v="12"/>
  </r>
  <r>
    <s v="Акт входного контроля грин00575 от 20.08.2025 12:35:28"/>
    <n v="1045"/>
    <n v="30314"/>
    <x v="2"/>
    <s v="Кулинич Евгений Владимирович"/>
    <s v="У801СТ"/>
    <x v="5"/>
    <x v="7"/>
    <x v="2"/>
    <m/>
    <x v="10"/>
    <n v="1.6"/>
    <x v="5"/>
    <n v="37570"/>
    <n v="15030"/>
    <n v="18"/>
    <n v="22540"/>
    <n v="18482.8"/>
    <s v="грин00575"/>
    <x v="12"/>
  </r>
  <r>
    <s v="Акт входного контроля грин00576 от 20.08.2025 12:46:45"/>
    <n v="1046"/>
    <n v="30320"/>
    <x v="2"/>
    <s v="Богучарский А. И."/>
    <s v="Е404УС"/>
    <x v="5"/>
    <x v="7"/>
    <x v="2"/>
    <m/>
    <x v="10"/>
    <n v="1.6"/>
    <x v="5"/>
    <n v="35480"/>
    <n v="13900"/>
    <n v="30"/>
    <n v="21580"/>
    <n v="15106"/>
    <s v="грин00576"/>
    <x v="12"/>
  </r>
  <r>
    <s v="Акт входного контроля грин00577 от 20.08.2025 12:57:55"/>
    <n v="1047"/>
    <n v="30322"/>
    <x v="2"/>
    <s v="Сероштан Станислав Викторович"/>
    <s v="Е758РЕ"/>
    <x v="5"/>
    <x v="7"/>
    <x v="2"/>
    <m/>
    <x v="10"/>
    <n v="1.7"/>
    <x v="5"/>
    <n v="37680"/>
    <n v="14670"/>
    <n v="27"/>
    <n v="23010"/>
    <n v="16797.3"/>
    <s v="грин00577"/>
    <x v="12"/>
  </r>
  <r>
    <s v="Акт входного контроля грин00578 от 20.08.2025 14:48:17"/>
    <n v="1048"/>
    <n v="30324"/>
    <x v="2"/>
    <s v="Бербеницкий Сергей Николаевич"/>
    <s v="С400РР"/>
    <x v="5"/>
    <x v="7"/>
    <x v="2"/>
    <m/>
    <x v="10"/>
    <n v="1.7"/>
    <x v="5"/>
    <n v="39070"/>
    <n v="15060"/>
    <n v="23"/>
    <n v="24010"/>
    <n v="18487.7"/>
    <s v="грин00578"/>
    <x v="12"/>
  </r>
  <r>
    <s v="Акт входного контроля грин00579 от 20.08.2025 15:02:45"/>
    <n v="1049"/>
    <n v="30334"/>
    <x v="2"/>
    <s v="Гужва А М."/>
    <s v="Т285ВЕ"/>
    <x v="5"/>
    <x v="7"/>
    <x v="2"/>
    <m/>
    <x v="10"/>
    <n v="1.5"/>
    <x v="5"/>
    <n v="35760"/>
    <n v="14840"/>
    <n v="18"/>
    <n v="20920"/>
    <n v="17154.400000000001"/>
    <s v="грин00579"/>
    <x v="12"/>
  </r>
  <r>
    <s v="Акт входного контроля грин00580 от 20.08.2025 15:18:12"/>
    <n v="1050"/>
    <n v="30336"/>
    <x v="2"/>
    <s v="Жданов Андрей Иванович"/>
    <s v="С707ОУ"/>
    <x v="5"/>
    <x v="7"/>
    <x v="2"/>
    <m/>
    <x v="10"/>
    <n v="1.5"/>
    <x v="5"/>
    <n v="35020"/>
    <n v="14490"/>
    <n v="32"/>
    <n v="20530"/>
    <n v="13960.4"/>
    <s v="грин00580"/>
    <x v="12"/>
  </r>
  <r>
    <s v="Акт входного контроля грин00581 от 20.08.2025 16:14:23"/>
    <n v="1051"/>
    <n v="30342"/>
    <x v="2"/>
    <s v="Ушаков С Е."/>
    <s v="О212РТ"/>
    <x v="5"/>
    <x v="7"/>
    <x v="2"/>
    <m/>
    <x v="10"/>
    <n v="1.5"/>
    <x v="5"/>
    <n v="35250"/>
    <n v="14220"/>
    <n v="9"/>
    <n v="21030"/>
    <n v="19137.3"/>
    <s v="грин00581"/>
    <x v="12"/>
  </r>
  <r>
    <s v="Акт входного контроля грин00582 от 20.08.2025 18:46:13"/>
    <n v="1053"/>
    <n v="30339"/>
    <x v="2"/>
    <s v="Черевко Александр Владимирович"/>
    <s v="А114МК"/>
    <x v="5"/>
    <x v="7"/>
    <x v="2"/>
    <m/>
    <x v="10"/>
    <n v="1.6"/>
    <x v="5"/>
    <n v="36080"/>
    <n v="14530"/>
    <n v="31"/>
    <n v="21550"/>
    <n v="14869.5"/>
    <s v="грин00582"/>
    <x v="12"/>
  </r>
  <r>
    <s v="Акт входного контроля грин00583 от 20.08.2025 18:56:30"/>
    <n v="1054"/>
    <n v="30344"/>
    <x v="2"/>
    <s v="Огнев Максим Викторович"/>
    <s v="Р755НН"/>
    <x v="5"/>
    <x v="7"/>
    <x v="2"/>
    <m/>
    <x v="10"/>
    <n v="1.6"/>
    <x v="5"/>
    <n v="37510"/>
    <n v="14760"/>
    <n v="21"/>
    <n v="22750"/>
    <n v="17972.5"/>
    <s v="грин00583"/>
    <x v="12"/>
  </r>
  <r>
    <s v="Акт входного контроля грин00584 от 20.08.2025 20:29:57"/>
    <n v="1055"/>
    <n v="30346"/>
    <x v="2"/>
    <s v="Аладин Василий Сергеевич"/>
    <s v="Т110ТМ"/>
    <x v="5"/>
    <x v="7"/>
    <x v="2"/>
    <m/>
    <x v="10"/>
    <n v="1.5"/>
    <x v="5"/>
    <n v="35760"/>
    <n v="14860"/>
    <n v="24"/>
    <n v="20900"/>
    <n v="15884"/>
    <s v="грин00584"/>
    <x v="12"/>
  </r>
  <r>
    <s v="Акт входного контроля грин00585 от 20.08.2025 21:05:16"/>
    <n v="1059"/>
    <n v="30111"/>
    <x v="2"/>
    <s v="Мудрак Вадим Васильевич"/>
    <s v="Х514ОК"/>
    <x v="5"/>
    <x v="9"/>
    <x v="2"/>
    <m/>
    <x v="11"/>
    <n v="0.9"/>
    <x v="5"/>
    <n v="40000"/>
    <n v="20920"/>
    <n v="36"/>
    <n v="19080"/>
    <n v="12211.2"/>
    <s v="грин00585"/>
    <x v="12"/>
  </r>
  <r>
    <s v="Акт входного контроля грин00586 от 20.08.2025 22:31:13"/>
    <n v="1060"/>
    <n v="30348"/>
    <x v="2"/>
    <s v="Пугачев Сергей Викторович"/>
    <s v="Р258УХ"/>
    <x v="5"/>
    <x v="7"/>
    <x v="2"/>
    <m/>
    <x v="11"/>
    <n v="2.7"/>
    <x v="5"/>
    <n v="40560"/>
    <n v="15670"/>
    <n v="14"/>
    <n v="24890"/>
    <n v="21405.4"/>
    <s v="грин00586"/>
    <x v="12"/>
  </r>
  <r>
    <s v="Акт входного контроля грин00587 от 20.08.2025 23:51:22"/>
    <n v="1062"/>
    <n v="30350"/>
    <x v="2"/>
    <s v="Мудрак Игорь Вадимович"/>
    <s v="С198УЕ"/>
    <x v="5"/>
    <x v="7"/>
    <x v="2"/>
    <m/>
    <x v="11"/>
    <n v="2.4"/>
    <x v="5"/>
    <n v="45250"/>
    <n v="24040"/>
    <n v="17"/>
    <n v="21210"/>
    <n v="17604.3"/>
    <s v="грин00587"/>
    <x v="12"/>
  </r>
  <r>
    <s v="Акт входного контроля грин00588 от 20.08.2025 19:17:27"/>
    <n v="1063"/>
    <n v="30352"/>
    <x v="2"/>
    <s v="Егоян Артем Владимирович"/>
    <s v="А701СН"/>
    <x v="5"/>
    <x v="9"/>
    <x v="2"/>
    <m/>
    <x v="11"/>
    <n v="1.1000000000000001"/>
    <x v="5"/>
    <n v="37750"/>
    <n v="14850"/>
    <n v="14"/>
    <n v="22900"/>
    <n v="19694"/>
    <s v="грин00588"/>
    <x v="12"/>
  </r>
  <r>
    <s v="Акт входного контроля грин00589 от 20.08.2025 21:58:30"/>
    <n v="1064"/>
    <n v="30356"/>
    <x v="2"/>
    <s v="Лазаренко Вячеслав Владимирович"/>
    <s v="Т239УС"/>
    <x v="5"/>
    <x v="9"/>
    <x v="2"/>
    <m/>
    <x v="11"/>
    <n v="1.1000000000000001"/>
    <x v="5"/>
    <n v="39150"/>
    <n v="14840"/>
    <n v="22"/>
    <n v="24310"/>
    <n v="18961.8"/>
    <s v="грин00589"/>
    <x v="12"/>
  </r>
  <r>
    <s v="Акт входного контроля грин00590 от 20.08.2025 22:06:09"/>
    <n v="1065"/>
    <n v="30358"/>
    <x v="2"/>
    <s v="Никитась Сергей Анатольевич"/>
    <s v="К570ЕО"/>
    <x v="5"/>
    <x v="9"/>
    <x v="2"/>
    <m/>
    <x v="11"/>
    <n v="1.2"/>
    <x v="5"/>
    <n v="40680"/>
    <n v="14900"/>
    <n v="21"/>
    <n v="25780"/>
    <n v="20366.2"/>
    <s v="грин00590"/>
    <x v="12"/>
  </r>
  <r>
    <s v="Акт входного контроля грин00591 от 20.08.2025 22:35:17"/>
    <n v="1066"/>
    <n v="30360"/>
    <x v="2"/>
    <s v="Пищев Александр Васильевич "/>
    <s v="Т522ОН"/>
    <x v="5"/>
    <x v="9"/>
    <x v="2"/>
    <m/>
    <x v="11"/>
    <n v="1.2"/>
    <x v="5"/>
    <n v="45370"/>
    <n v="19350"/>
    <n v="32"/>
    <n v="26020"/>
    <n v="17693.599999999999"/>
    <s v="грин00591"/>
    <x v="12"/>
  </r>
  <r>
    <s v="Акт входного контроля грин00592 от 21.08.2025 5:09:04"/>
    <n v="1067"/>
    <n v="30362"/>
    <x v="2"/>
    <s v="Майстровский В.Н."/>
    <s v="М057АО"/>
    <x v="5"/>
    <x v="9"/>
    <x v="2"/>
    <m/>
    <x v="11"/>
    <n v="1.1000000000000001"/>
    <x v="5"/>
    <n v="38240"/>
    <n v="14490"/>
    <n v="42"/>
    <n v="23750"/>
    <n v="13775"/>
    <s v="грин00592"/>
    <x v="13"/>
  </r>
  <r>
    <s v="Акт входного контроля грин00593 от 21.08.2025 5:44:11"/>
    <n v="1068"/>
    <n v="30364"/>
    <x v="2"/>
    <s v="Долгих Николай Петрович"/>
    <s v="У726ЕР"/>
    <x v="5"/>
    <x v="9"/>
    <x v="2"/>
    <m/>
    <x v="11"/>
    <n v="1.1000000000000001"/>
    <x v="5"/>
    <n v="38700"/>
    <n v="15070"/>
    <n v="21"/>
    <n v="23630"/>
    <n v="18667.7"/>
    <s v="грин00593"/>
    <x v="13"/>
  </r>
  <r>
    <s v="Акт входного контроля грин00594 от 21.08.2025 8:23:07"/>
    <n v="1069"/>
    <n v="30368"/>
    <x v="2"/>
    <s v="Блажко Алексей Николаевич"/>
    <s v="М676КО"/>
    <x v="5"/>
    <x v="9"/>
    <x v="2"/>
    <m/>
    <x v="11"/>
    <n v="1.1000000000000001"/>
    <x v="5"/>
    <n v="46560"/>
    <n v="24080"/>
    <n v="29"/>
    <n v="22480"/>
    <n v="15960.8"/>
    <s v="грин00594"/>
    <x v="13"/>
  </r>
  <r>
    <s v="Акт входного контроля грин00595 от 21.08.2025 10:52:35"/>
    <n v="1070"/>
    <n v="30366"/>
    <x v="2"/>
    <s v="Дик Илья Александрович"/>
    <s v="М556ХВ"/>
    <x v="5"/>
    <x v="9"/>
    <x v="2"/>
    <m/>
    <x v="11"/>
    <n v="1.2"/>
    <x v="5"/>
    <n v="40610"/>
    <n v="15510"/>
    <n v="22"/>
    <n v="25100"/>
    <n v="19578"/>
    <s v="грин00595"/>
    <x v="13"/>
  </r>
  <r>
    <s v="Акт входного контроля грин00596 от 21.08.2025 11:04:26"/>
    <n v="1071"/>
    <n v="30371"/>
    <x v="2"/>
    <s v="Фомин Николай Григорьевич"/>
    <s v="А731ВА"/>
    <x v="5"/>
    <x v="9"/>
    <x v="2"/>
    <m/>
    <x v="11"/>
    <n v="1.1000000000000001"/>
    <x v="5"/>
    <n v="39330"/>
    <n v="14940"/>
    <n v="48"/>
    <n v="24390"/>
    <n v="12682.8"/>
    <s v="грин00596"/>
    <x v="13"/>
  </r>
  <r>
    <s v="Акт входного контроля грин00597 от 21.08.2025 11:16:49"/>
    <n v="1072"/>
    <n v="30373"/>
    <x v="2"/>
    <s v="Ревенко Андрей Вячеславович"/>
    <s v="А781РР"/>
    <x v="5"/>
    <x v="9"/>
    <x v="2"/>
    <m/>
    <x v="11"/>
    <n v="1.1000000000000001"/>
    <x v="5"/>
    <n v="38070"/>
    <n v="15070"/>
    <n v="24"/>
    <n v="23000"/>
    <n v="17480"/>
    <s v="грин00597"/>
    <x v="13"/>
  </r>
  <r>
    <s v="Акт входного контроля грин00598 от 21.08.2025 11:49:03"/>
    <n v="1073"/>
    <n v="30387"/>
    <x v="2"/>
    <s v="Ховятский АМ"/>
    <s v="Р684ОХ"/>
    <x v="5"/>
    <x v="9"/>
    <x v="2"/>
    <m/>
    <x v="11"/>
    <n v="1.2"/>
    <x v="5"/>
    <n v="40100"/>
    <n v="14700"/>
    <n v="14"/>
    <n v="25400"/>
    <n v="21844"/>
    <s v="грин00598"/>
    <x v="13"/>
  </r>
  <r>
    <s v="Акт входного контроля грин00599 от 21.08.2025 12:31:10"/>
    <n v="1074"/>
    <n v="30381"/>
    <x v="2"/>
    <s v="Емец Р.А."/>
    <s v="У315НХ"/>
    <x v="5"/>
    <x v="9"/>
    <x v="2"/>
    <m/>
    <x v="11"/>
    <n v="1.1000000000000001"/>
    <x v="5"/>
    <n v="39280"/>
    <n v="15600"/>
    <n v="26"/>
    <n v="23680"/>
    <n v="17523.2"/>
    <s v="грин00599"/>
    <x v="13"/>
  </r>
  <r>
    <s v="Акт входного контроля грин00600 от 21.08.2025 13:16:07"/>
    <n v="1075"/>
    <n v="30402"/>
    <x v="2"/>
    <s v="Чернышов Александр Павлович"/>
    <s v="М704ТС"/>
    <x v="5"/>
    <x v="9"/>
    <x v="2"/>
    <m/>
    <x v="11"/>
    <n v="1.2"/>
    <x v="5"/>
    <n v="41400"/>
    <n v="16410"/>
    <n v="18"/>
    <n v="24990"/>
    <n v="20491.8"/>
    <s v="грин00600"/>
    <x v="13"/>
  </r>
  <r>
    <s v="Акт входного контроля грин00601 от 21.08.2025 14:04:36"/>
    <n v="1076"/>
    <n v="30395"/>
    <x v="2"/>
    <s v="Веревкин Андрей Александрович"/>
    <s v="Н234ВК"/>
    <x v="5"/>
    <x v="9"/>
    <x v="2"/>
    <m/>
    <x v="11"/>
    <n v="1.1000000000000001"/>
    <x v="5"/>
    <n v="39500"/>
    <n v="16470"/>
    <n v="17"/>
    <n v="23030"/>
    <n v="19114.900000000001"/>
    <s v="грин00601"/>
    <x v="13"/>
  </r>
  <r>
    <s v="Акт входного контроля грин00602 от 21.08.2025 15:25:00"/>
    <n v="1077"/>
    <n v="30397"/>
    <x v="2"/>
    <s v="Глушенко Александр Иванович"/>
    <s v="Н735ВК"/>
    <x v="5"/>
    <x v="9"/>
    <x v="2"/>
    <m/>
    <x v="11"/>
    <n v="1.1000000000000001"/>
    <x v="5"/>
    <n v="39010"/>
    <n v="16550"/>
    <n v="13"/>
    <n v="22460"/>
    <n v="19540.2"/>
    <s v="грин00602"/>
    <x v="13"/>
  </r>
  <r>
    <s v="Акт входного контроля грин00603 от 21.08.2025 15:54:22"/>
    <n v="1078"/>
    <n v="30393"/>
    <x v="2"/>
    <s v="Рыбалкин АН"/>
    <s v="Р687УК"/>
    <x v="5"/>
    <x v="9"/>
    <x v="2"/>
    <m/>
    <x v="11"/>
    <n v="1.3"/>
    <x v="5"/>
    <n v="43490"/>
    <n v="16120"/>
    <n v="20"/>
    <n v="27370"/>
    <n v="21896"/>
    <s v="грин00603"/>
    <x v="13"/>
  </r>
  <r>
    <s v="Акт входного контроля грин00604 от 21.08.2025 17:06:17"/>
    <n v="1080"/>
    <n v="30404"/>
    <x v="2"/>
    <s v="Сотников Сергей Кириллович"/>
    <s v="Т443МВ"/>
    <x v="5"/>
    <x v="9"/>
    <x v="2"/>
    <m/>
    <x v="11"/>
    <n v="1.2"/>
    <x v="5"/>
    <n v="41080"/>
    <n v="15960"/>
    <n v="28"/>
    <n v="25120"/>
    <n v="18086.400000000001"/>
    <s v="грин00604"/>
    <x v="13"/>
  </r>
  <r>
    <s v="Акт входного контроля грин00605 от 21.08.2025 17:51:39"/>
    <n v="1081"/>
    <n v="30406"/>
    <x v="2"/>
    <s v="Данильченко Ю.А."/>
    <s v="Р347КА"/>
    <x v="5"/>
    <x v="9"/>
    <x v="2"/>
    <m/>
    <x v="11"/>
    <n v="1.2"/>
    <x v="5"/>
    <n v="41280"/>
    <n v="15000"/>
    <n v="19"/>
    <n v="26280"/>
    <n v="21286.799999999999"/>
    <s v="грин00605"/>
    <x v="13"/>
  </r>
  <r>
    <s v="Акт входного контроля грин00606 от 21.08.2025 18:42:25"/>
    <n v="1083"/>
    <n v="30410"/>
    <x v="2"/>
    <s v="Кулинич Евгений Владимирович"/>
    <s v="У801СТ"/>
    <x v="5"/>
    <x v="9"/>
    <x v="2"/>
    <m/>
    <x v="11"/>
    <n v="1.1000000000000001"/>
    <x v="5"/>
    <n v="38850"/>
    <n v="15040"/>
    <n v="16"/>
    <n v="23810"/>
    <n v="20000.400000000001"/>
    <s v="грин00606"/>
    <x v="13"/>
  </r>
  <r>
    <s v="Акт входного контроля грин00607 от 21.08.2025 21:52:33"/>
    <n v="1084"/>
    <n v="30408"/>
    <x v="2"/>
    <s v="Бондаренко Николай Николаевич"/>
    <s v="А315МК"/>
    <x v="5"/>
    <x v="9"/>
    <x v="2"/>
    <m/>
    <x v="11"/>
    <n v="1"/>
    <x v="5"/>
    <n v="35950"/>
    <n v="13990"/>
    <n v="29"/>
    <n v="21960"/>
    <n v="15591.6"/>
    <s v="грин00607"/>
    <x v="13"/>
  </r>
  <r>
    <s v="Акт входного контроля грин00608 от 21.08.2025 22:10:39"/>
    <n v="1086"/>
    <n v="30414"/>
    <x v="2"/>
    <s v="Чернецов Александр Михайлович"/>
    <s v="Р866РМ"/>
    <x v="5"/>
    <x v="9"/>
    <x v="2"/>
    <m/>
    <x v="11"/>
    <n v="1.1000000000000001"/>
    <x v="5"/>
    <n v="38680"/>
    <n v="14950"/>
    <n v="13"/>
    <n v="23730"/>
    <n v="20645.099999999999"/>
    <s v="грин00608"/>
    <x v="13"/>
  </r>
  <r>
    <s v="Акт входного контроля грин00609 от 21.08.2025 22:21:59"/>
    <n v="1089"/>
    <n v="30412"/>
    <x v="2"/>
    <s v="Бербеницкий Сергей Николаевич"/>
    <s v="С400РР"/>
    <x v="5"/>
    <x v="9"/>
    <x v="2"/>
    <m/>
    <x v="11"/>
    <n v="1.2"/>
    <x v="5"/>
    <n v="41370"/>
    <n v="15200"/>
    <n v="21"/>
    <n v="26170"/>
    <n v="20674.3"/>
    <s v="грин00609"/>
    <x v="13"/>
  </r>
  <r>
    <s v="Акт входного контроля грин00610 от 21.08.2025 22:32:47"/>
    <n v="1090"/>
    <n v="30416"/>
    <x v="2"/>
    <s v="Кудря Евгений"/>
    <s v="А719ОО"/>
    <x v="5"/>
    <x v="9"/>
    <x v="2"/>
    <m/>
    <x v="11"/>
    <n v="1"/>
    <x v="5"/>
    <n v="37510"/>
    <n v="15090"/>
    <n v="15"/>
    <n v="22420"/>
    <n v="19057"/>
    <s v="грин00610"/>
    <x v="13"/>
  </r>
  <r>
    <s v="Акт входного контроля грин00611 от 22.08.2025 21:12:22"/>
    <n v="1093"/>
    <n v="30418"/>
    <x v="2"/>
    <s v="Богучарский А. И."/>
    <s v="Е404УС"/>
    <x v="5"/>
    <x v="9"/>
    <x v="2"/>
    <m/>
    <x v="12"/>
    <n v="1"/>
    <x v="5"/>
    <n v="37500"/>
    <n v="13900"/>
    <n v="28"/>
    <n v="23600"/>
    <n v="16992"/>
    <s v="грин00611"/>
    <x v="14"/>
  </r>
  <r>
    <s v="Акт входного контроля грин00612 от 22.08.2025 21:29:03"/>
    <n v="1094"/>
    <n v="30420"/>
    <x v="2"/>
    <s v="Сероштан Станислав Викторович"/>
    <s v="Е758РЕ"/>
    <x v="5"/>
    <x v="9"/>
    <x v="2"/>
    <m/>
    <x v="12"/>
    <n v="1"/>
    <x v="5"/>
    <n v="38700"/>
    <n v="14690"/>
    <n v="26"/>
    <n v="24010"/>
    <n v="17767.400000000001"/>
    <s v="грин00612"/>
    <x v="14"/>
  </r>
  <r>
    <s v="Акт входного контроля грин00613 от 22.08.2025 23:02:10"/>
    <n v="1095"/>
    <n v="30424"/>
    <x v="2"/>
    <s v="Рудик Александр Иванович"/>
    <s v="А309АТ"/>
    <x v="5"/>
    <x v="9"/>
    <x v="2"/>
    <m/>
    <x v="12"/>
    <n v="1"/>
    <x v="5"/>
    <n v="38520"/>
    <n v="14700"/>
    <n v="11"/>
    <n v="23820"/>
    <n v="21199.8"/>
    <s v="грин00613"/>
    <x v="14"/>
  </r>
  <r>
    <s v="Акт входного контроля грин00614 от 22.08.2025 23:05:07"/>
    <n v="1096"/>
    <n v="30422"/>
    <x v="2"/>
    <s v="Ушаков С Е."/>
    <s v="О212РТ"/>
    <x v="5"/>
    <x v="9"/>
    <x v="2"/>
    <m/>
    <x v="12"/>
    <n v="1"/>
    <x v="5"/>
    <n v="38090"/>
    <n v="14180"/>
    <n v="26"/>
    <n v="23910"/>
    <n v="17693.400000000001"/>
    <s v="грин00614"/>
    <x v="14"/>
  </r>
  <r>
    <s v="Акт входного контроля грин00615 от 22.08.2025 23:38:19"/>
    <n v="1100"/>
    <n v="30435"/>
    <x v="2"/>
    <s v="Ревенко Андрей Вячеславович"/>
    <s v="А781РР"/>
    <x v="4"/>
    <x v="8"/>
    <x v="2"/>
    <m/>
    <x v="12"/>
    <n v="1.1000000000000001"/>
    <x v="4"/>
    <n v="38690"/>
    <n v="15060"/>
    <n v="5"/>
    <n v="23630"/>
    <n v="22448.5"/>
    <s v="грин00615"/>
    <x v="14"/>
  </r>
  <r>
    <s v="Акт входного контроля грин00616 от 22.08.2025 22:13:02"/>
    <n v="1101"/>
    <n v="30437"/>
    <x v="2"/>
    <s v="Емец Р.А."/>
    <s v="У315НХ"/>
    <x v="4"/>
    <x v="8"/>
    <x v="2"/>
    <m/>
    <x v="12"/>
    <n v="1.1000000000000001"/>
    <x v="4"/>
    <n v="39190"/>
    <n v="15620"/>
    <n v="19"/>
    <n v="23570"/>
    <n v="19091.7"/>
    <s v="грин00616"/>
    <x v="14"/>
  </r>
  <r>
    <s v="Акт входного контроля грин00617 от 22.08.2025 22:17:17"/>
    <n v="1102"/>
    <n v="30439"/>
    <x v="2"/>
    <s v="Извеков Владимир Владимирович"/>
    <s v="Н378ХЕ"/>
    <x v="4"/>
    <x v="8"/>
    <x v="2"/>
    <m/>
    <x v="12"/>
    <n v="1"/>
    <x v="4"/>
    <n v="38090"/>
    <n v="15410"/>
    <n v="11"/>
    <n v="22680"/>
    <n v="20185.2"/>
    <s v="грин00617"/>
    <x v="14"/>
  </r>
  <r>
    <s v="Акт входного контроля грин00618 от 23.08.2025 2:16:04"/>
    <n v="1103"/>
    <n v="30445"/>
    <x v="2"/>
    <s v="Ховятский АМ"/>
    <s v="Р684ОХ"/>
    <x v="4"/>
    <x v="8"/>
    <x v="2"/>
    <m/>
    <x v="12"/>
    <n v="1.2"/>
    <x v="4"/>
    <n v="41220"/>
    <n v="14700"/>
    <n v="34"/>
    <n v="26520"/>
    <n v="17503.2"/>
    <s v="грин00618"/>
    <x v="15"/>
  </r>
  <r>
    <s v="Акт входного контроля грин00619 от 23.08.2025 2:59:54"/>
    <n v="1105"/>
    <n v="30452"/>
    <x v="2"/>
    <s v="Бондаренко Николай Николаевич"/>
    <s v="А315МК"/>
    <x v="4"/>
    <x v="8"/>
    <x v="2"/>
    <m/>
    <x v="12"/>
    <n v="1"/>
    <x v="4"/>
    <n v="36340"/>
    <n v="13930"/>
    <n v="8"/>
    <n v="22410"/>
    <n v="20617.2"/>
    <s v="грин00619"/>
    <x v="15"/>
  </r>
  <r>
    <s v="Акт входного контроля грин00620 от 23.08.2025 3:52:05"/>
    <n v="1106"/>
    <n v="30447"/>
    <x v="2"/>
    <s v="Данильченко Ю.А."/>
    <s v="Р347КА"/>
    <x v="4"/>
    <x v="8"/>
    <x v="2"/>
    <m/>
    <x v="12"/>
    <n v="1.2"/>
    <x v="4"/>
    <n v="40950"/>
    <n v="14980"/>
    <n v="12"/>
    <n v="25970"/>
    <n v="22853.599999999999"/>
    <s v="грин00620"/>
    <x v="15"/>
  </r>
  <r>
    <s v="Акт входного контроля грин00621 от 23.08.2025 5:32:17"/>
    <n v="1104"/>
    <n v="30450"/>
    <x v="2"/>
    <s v="Сотников Сергей Кириллович"/>
    <s v="Т443МВ"/>
    <x v="4"/>
    <x v="8"/>
    <x v="2"/>
    <m/>
    <x v="12"/>
    <n v="1.2"/>
    <x v="4"/>
    <n v="42500"/>
    <n v="15930"/>
    <n v="10"/>
    <n v="26570"/>
    <n v="23913"/>
    <s v="грин00621"/>
    <x v="15"/>
  </r>
  <r>
    <s v="Акт входного контроля грин00622 от 23.08.2025 5:35:18"/>
    <n v="1107"/>
    <n v="30454"/>
    <x v="2"/>
    <s v="Рыбалкин АН"/>
    <s v="Р687УК"/>
    <x v="4"/>
    <x v="8"/>
    <x v="2"/>
    <m/>
    <x v="12"/>
    <n v="1.2"/>
    <x v="4"/>
    <n v="42720"/>
    <n v="16100"/>
    <n v="8"/>
    <n v="26620"/>
    <n v="24490.400000000001"/>
    <s v="грин00622"/>
    <x v="15"/>
  </r>
  <r>
    <s v="Акт входного контроля грин00623 от 23.08.2025 6:12:45"/>
    <n v="1108"/>
    <n v="30456"/>
    <x v="2"/>
    <s v="Кулинич Евгений Владимирович"/>
    <s v="У801СТ"/>
    <x v="4"/>
    <x v="8"/>
    <x v="2"/>
    <m/>
    <x v="12"/>
    <n v="1.1000000000000001"/>
    <x v="4"/>
    <n v="39680"/>
    <n v="15040"/>
    <n v="31"/>
    <n v="24640"/>
    <n v="17001.599999999999"/>
    <s v="грин00623"/>
    <x v="15"/>
  </r>
  <r>
    <s v="Акт входного контроля грин00624 от 23.08.2025 9:35:13"/>
    <n v="1109"/>
    <n v="30458"/>
    <x v="2"/>
    <s v="Чернецов Александр Михайлович"/>
    <s v="Р866РМ"/>
    <x v="4"/>
    <x v="8"/>
    <x v="2"/>
    <m/>
    <x v="12"/>
    <n v="1.3"/>
    <x v="4"/>
    <n v="42860"/>
    <n v="14940"/>
    <n v="15"/>
    <n v="27920"/>
    <n v="23732"/>
    <s v="грин00624"/>
    <x v="15"/>
  </r>
  <r>
    <s v="Акт входного контроля грин00625 от 23.08.2025 11:26:19"/>
    <n v="1110"/>
    <n v="30460"/>
    <x v="2"/>
    <s v="Пугачев Сергей Викторович"/>
    <s v="Р258УХ"/>
    <x v="4"/>
    <x v="8"/>
    <x v="2"/>
    <m/>
    <x v="12"/>
    <n v="1.2"/>
    <x v="4"/>
    <n v="41830"/>
    <n v="15570"/>
    <n v="8"/>
    <n v="26260"/>
    <n v="24159.200000000001"/>
    <s v="грин00625"/>
    <x v="15"/>
  </r>
  <r>
    <s v="Акт входного контроля грин00626 от 23.08.2025 13:33:56"/>
    <n v="1111"/>
    <n v="30463"/>
    <x v="2"/>
    <s v="Пищев Александр Васильевич "/>
    <s v="Т522ОН"/>
    <x v="4"/>
    <x v="8"/>
    <x v="2"/>
    <m/>
    <x v="12"/>
    <n v="1.2"/>
    <x v="4"/>
    <n v="45680"/>
    <n v="19410"/>
    <n v="13"/>
    <n v="26270"/>
    <n v="22854.9"/>
    <s v="грин00626"/>
    <x v="15"/>
  </r>
  <r>
    <s v="Акт входного контроля грин00627 от 23.08.2025 13:55:58"/>
    <n v="1113"/>
    <n v="30466"/>
    <x v="2"/>
    <s v="Жданов Андрей Иванович"/>
    <s v="С707ОУ"/>
    <x v="4"/>
    <x v="8"/>
    <x v="2"/>
    <m/>
    <x v="12"/>
    <n v="0.9"/>
    <x v="4"/>
    <n v="35190"/>
    <n v="14480"/>
    <n v="16"/>
    <n v="20710"/>
    <n v="17396.400000000001"/>
    <s v="грин00627"/>
    <x v="15"/>
  </r>
  <r>
    <s v="Акт входного контроля грин00628 от 23.08.2025 14:05:06"/>
    <n v="1114"/>
    <n v="30468"/>
    <x v="2"/>
    <s v="Гужва А М."/>
    <s v="Т285ВЕ"/>
    <x v="4"/>
    <x v="8"/>
    <x v="2"/>
    <m/>
    <x v="12"/>
    <n v="1"/>
    <x v="4"/>
    <n v="35870"/>
    <n v="14810"/>
    <n v="12"/>
    <n v="21060"/>
    <n v="18532.8"/>
    <s v="грин00628"/>
    <x v="15"/>
  </r>
  <r>
    <s v="Акт входного контроля грин00629 от 23.08.2025 16:19:59"/>
    <n v="1115"/>
    <n v="30470"/>
    <x v="2"/>
    <s v="Огнев Максим Викторович"/>
    <s v="Р755НН"/>
    <x v="4"/>
    <x v="8"/>
    <x v="2"/>
    <m/>
    <x v="12"/>
    <n v="1.1000000000000001"/>
    <x v="4"/>
    <n v="39240"/>
    <n v="14740"/>
    <n v="12"/>
    <n v="24500"/>
    <n v="21560"/>
    <s v="грин00629"/>
    <x v="15"/>
  </r>
  <r>
    <s v="Акт входного контроля грин00630 от 23.08.2025 16:51:49"/>
    <n v="1116"/>
    <n v="30472"/>
    <x v="2"/>
    <s v="Аладин Василий Сергеевич"/>
    <s v="Т110ТМ"/>
    <x v="4"/>
    <x v="8"/>
    <x v="2"/>
    <m/>
    <x v="12"/>
    <n v="1"/>
    <x v="4"/>
    <n v="37010"/>
    <n v="14880"/>
    <n v="16"/>
    <n v="22130"/>
    <n v="18589.2"/>
    <s v="грин00630"/>
    <x v="15"/>
  </r>
  <r>
    <s v="Акт входного контроля грин00631 от 23.08.2025 17:27:25"/>
    <n v="1117"/>
    <n v="30474"/>
    <x v="2"/>
    <s v="Бербеницкий Сергей Николаевич"/>
    <s v="С400РР"/>
    <x v="4"/>
    <x v="8"/>
    <x v="2"/>
    <m/>
    <x v="12"/>
    <n v="1.1000000000000001"/>
    <x v="4"/>
    <n v="40460"/>
    <n v="15160"/>
    <n v="10"/>
    <n v="25300"/>
    <n v="22770"/>
    <s v="грин00631"/>
    <x v="15"/>
  </r>
  <r>
    <s v="Акт входного контроля грин00632 от 23.08.2025 19:36:02"/>
    <n v="1119"/>
    <n v="30476"/>
    <x v="2"/>
    <s v="Майстровский В.Н."/>
    <s v="М057АО"/>
    <x v="4"/>
    <x v="8"/>
    <x v="2"/>
    <m/>
    <x v="12"/>
    <n v="1.1000000000000001"/>
    <x v="4"/>
    <n v="39090"/>
    <n v="14470"/>
    <n v="21"/>
    <n v="24620"/>
    <n v="19449.8"/>
    <s v="грин00632"/>
    <x v="15"/>
  </r>
  <r>
    <s v="Акт входного контроля грин00633 от 23.08.2025 15:40:14"/>
    <n v="1120"/>
    <n v="30478"/>
    <x v="2"/>
    <s v="Долгих Николай Петрович"/>
    <s v="У726ЕР"/>
    <x v="4"/>
    <x v="8"/>
    <x v="2"/>
    <m/>
    <x v="13"/>
    <n v="1.3"/>
    <x v="4"/>
    <n v="39520"/>
    <n v="15010"/>
    <n v="23"/>
    <n v="24510"/>
    <n v="18872.7"/>
    <s v="грин00633"/>
    <x v="15"/>
  </r>
  <r>
    <s v="Акт входного контроля грин00634 от 23.08.2025 23:50:49"/>
    <n v="1121"/>
    <n v="30493"/>
    <x v="2"/>
    <s v="Черевко Александр Владимирович"/>
    <s v="А114МК"/>
    <x v="4"/>
    <x v="8"/>
    <x v="2"/>
    <m/>
    <x v="13"/>
    <n v="1.3"/>
    <x v="4"/>
    <n v="38880"/>
    <n v="14540"/>
    <n v="13"/>
    <n v="24340"/>
    <n v="21175.8"/>
    <s v="грин00634"/>
    <x v="15"/>
  </r>
  <r>
    <s v="Акт входного контроля грин00635 от 23.08.2025 18:50:14"/>
    <n v="1122"/>
    <n v="30482"/>
    <x v="2"/>
    <s v="Блажко Алексей Николаевич"/>
    <s v="М676КО"/>
    <x v="4"/>
    <x v="8"/>
    <x v="2"/>
    <m/>
    <x v="13"/>
    <n v="1.2"/>
    <x v="4"/>
    <n v="46960"/>
    <n v="24190"/>
    <n v="16"/>
    <n v="22770"/>
    <n v="19126.8"/>
    <s v="грин00635"/>
    <x v="15"/>
  </r>
  <r>
    <s v="Акт входного контроля грин00636 от 23.08.2025 18:53:44"/>
    <n v="1123"/>
    <n v="30486"/>
    <x v="2"/>
    <s v="Кудря Евгений"/>
    <s v="А719ОО"/>
    <x v="4"/>
    <x v="8"/>
    <x v="2"/>
    <m/>
    <x v="13"/>
    <n v="1.3"/>
    <x v="4"/>
    <n v="38870"/>
    <n v="15070"/>
    <n v="14"/>
    <n v="23800"/>
    <n v="20468"/>
    <s v="грин00636"/>
    <x v="15"/>
  </r>
  <r>
    <s v="Акт входного контроля грин00637 от 23.08.2025 18:58:00"/>
    <n v="1124"/>
    <n v="30484"/>
    <x v="2"/>
    <s v="Дик Илья Александрович"/>
    <s v="М556ХВ"/>
    <x v="4"/>
    <x v="8"/>
    <x v="2"/>
    <m/>
    <x v="13"/>
    <n v="1.5"/>
    <x v="4"/>
    <n v="43090"/>
    <n v="15620"/>
    <n v="17"/>
    <n v="27470"/>
    <n v="22800.1"/>
    <s v="грин00637"/>
    <x v="15"/>
  </r>
  <r>
    <s v="Акт входного контроля грин00638 от 23.08.2025 19:02:01"/>
    <n v="1125"/>
    <n v="30488"/>
    <x v="2"/>
    <s v="Чернышов Александр Павлович"/>
    <s v="М704ТС"/>
    <x v="4"/>
    <x v="8"/>
    <x v="2"/>
    <m/>
    <x v="13"/>
    <n v="1.3"/>
    <x v="4"/>
    <n v="41090"/>
    <n v="16410"/>
    <n v="13"/>
    <n v="24680"/>
    <n v="21471.599999999999"/>
    <s v="грин00638"/>
    <x v="15"/>
  </r>
  <r>
    <s v="Акт входного контроля грин00639 от 23.08.2025 21:04:59"/>
    <n v="1128"/>
    <n v="30490"/>
    <x v="2"/>
    <s v="Глушенко Александр Иванович"/>
    <s v="Н735ВК"/>
    <x v="4"/>
    <x v="8"/>
    <x v="2"/>
    <m/>
    <x v="13"/>
    <n v="1.3"/>
    <x v="4"/>
    <n v="41150"/>
    <n v="16540"/>
    <n v="8"/>
    <n v="24610"/>
    <n v="22641.200000000001"/>
    <s v="грин00639"/>
    <x v="15"/>
  </r>
  <r>
    <s v="Акт входного контроля грин00640 от 23.08.2025 21:11:18"/>
    <n v="1129"/>
    <n v="30492"/>
    <x v="2"/>
    <s v="Веревкин Андрей Александрович"/>
    <s v="Н234ВК"/>
    <x v="4"/>
    <x v="8"/>
    <x v="2"/>
    <m/>
    <x v="13"/>
    <n v="1.3"/>
    <x v="4"/>
    <n v="40180"/>
    <n v="16440"/>
    <n v="12"/>
    <n v="23740"/>
    <n v="20891.2"/>
    <s v="грин00640"/>
    <x v="15"/>
  </r>
  <r>
    <s v="Акт входного контроля грин00641 от 23.08.2025 21:36:03"/>
    <n v="1130"/>
    <n v="30495"/>
    <x v="2"/>
    <s v="Кулинич Евгений Владимирович"/>
    <s v="У801СТ"/>
    <x v="4"/>
    <x v="8"/>
    <x v="2"/>
    <m/>
    <x v="13"/>
    <n v="1.3"/>
    <x v="4"/>
    <n v="38900"/>
    <n v="15020"/>
    <n v="20"/>
    <n v="23880"/>
    <n v="19104"/>
    <s v="грин00641"/>
    <x v="15"/>
  </r>
  <r>
    <s v="Акт входного контроля грин00642 от 23.08.2025 22:02:24"/>
    <n v="1131"/>
    <n v="30497"/>
    <x v="2"/>
    <s v="Ушаков С Е."/>
    <s v="О212РТ"/>
    <x v="4"/>
    <x v="8"/>
    <x v="2"/>
    <m/>
    <x v="13"/>
    <n v="1.2"/>
    <x v="4"/>
    <n v="37650"/>
    <n v="14180"/>
    <n v="28"/>
    <n v="23470"/>
    <n v="16898.400000000001"/>
    <s v="грин00642"/>
    <x v="15"/>
  </r>
  <r>
    <s v="Акт входного контроля грин00643 от 23.08.2025 22:33:01"/>
    <n v="1132"/>
    <n v="30499"/>
    <x v="2"/>
    <s v="Извеков Владимир Владимирович"/>
    <s v="Н378ХЕ"/>
    <x v="4"/>
    <x v="8"/>
    <x v="2"/>
    <m/>
    <x v="13"/>
    <n v="1.2"/>
    <x v="4"/>
    <n v="37840"/>
    <n v="15440"/>
    <n v="18"/>
    <n v="22400"/>
    <n v="18368"/>
    <s v="грин00643"/>
    <x v="15"/>
  </r>
  <r>
    <s v="Акт входного контроля грин00644 от 23.08.2025 23:57:16"/>
    <n v="1133"/>
    <n v="30501"/>
    <x v="2"/>
    <s v="Ревенко Андрей Вячеславович"/>
    <s v="А781РР"/>
    <x v="4"/>
    <x v="8"/>
    <x v="2"/>
    <m/>
    <x v="13"/>
    <n v="1.2"/>
    <x v="4"/>
    <n v="38290"/>
    <n v="15070"/>
    <n v="20"/>
    <n v="23220"/>
    <n v="18576"/>
    <s v="грин00644"/>
    <x v="15"/>
  </r>
  <r>
    <s v="Акт входного контроля грин00645 от 24.08.2025 12:12:54"/>
    <n v="1134"/>
    <n v="30503"/>
    <x v="2"/>
    <s v="Чернецов Александр Михайлович"/>
    <s v="Р866РМ"/>
    <x v="4"/>
    <x v="8"/>
    <x v="2"/>
    <m/>
    <x v="13"/>
    <n v="1.5"/>
    <x v="4"/>
    <n v="43070"/>
    <n v="14990"/>
    <n v="19"/>
    <n v="28080"/>
    <n v="22744.799999999999"/>
    <s v="грин00645"/>
    <x v="16"/>
  </r>
  <r>
    <s v="Акт входного контроля грин00646 от 24.08.2025 12:49:38"/>
    <n v="1135"/>
    <n v="30505"/>
    <x v="2"/>
    <s v="Пугачев Сергей Викторович"/>
    <s v="Р258УХ"/>
    <x v="4"/>
    <x v="8"/>
    <x v="2"/>
    <m/>
    <x v="13"/>
    <n v="1.4"/>
    <x v="4"/>
    <n v="42130"/>
    <n v="15620"/>
    <n v="18"/>
    <n v="26510"/>
    <n v="21738.2"/>
    <s v="грин00646"/>
    <x v="16"/>
  </r>
  <r>
    <s v="Акт входного контроля грин00647 от 24.08.2025 13:03:07"/>
    <n v="1136"/>
    <n v="30507"/>
    <x v="2"/>
    <s v="Никитась Сергей Анатольевич"/>
    <s v="К570ЕО"/>
    <x v="4"/>
    <x v="8"/>
    <x v="2"/>
    <m/>
    <x v="13"/>
    <n v="1.4"/>
    <x v="4"/>
    <n v="41410"/>
    <n v="14950"/>
    <n v="18"/>
    <n v="26460"/>
    <n v="21697.200000000001"/>
    <s v="грин00647"/>
    <x v="16"/>
  </r>
  <r>
    <s v="Акт входного контроля грин00648 от 24.08.2025 13:27:55"/>
    <n v="1137"/>
    <n v="30511"/>
    <x v="2"/>
    <s v="Бондаренко Николай Николаевич"/>
    <s v="А315МК"/>
    <x v="4"/>
    <x v="8"/>
    <x v="2"/>
    <m/>
    <x v="13"/>
    <n v="1.1000000000000001"/>
    <x v="4"/>
    <n v="34530"/>
    <n v="13970"/>
    <n v="16"/>
    <n v="20560"/>
    <n v="17270.400000000001"/>
    <s v="грин00648"/>
    <x v="16"/>
  </r>
  <r>
    <s v="Акт входного контроля грин00649 от 24.08.2025 14:47:55"/>
    <n v="1138"/>
    <n v="30509"/>
    <x v="2"/>
    <s v="Емец Р.А."/>
    <s v="У315НХ"/>
    <x v="4"/>
    <x v="8"/>
    <x v="2"/>
    <m/>
    <x v="13"/>
    <n v="1.2"/>
    <x v="4"/>
    <n v="38160"/>
    <n v="15620"/>
    <n v="49"/>
    <n v="22540"/>
    <n v="11495.4"/>
    <s v="грин00649"/>
    <x v="16"/>
  </r>
  <r>
    <s v="Акт входного контроля грин00650 от 24.08.2025 15:44:25"/>
    <n v="1139"/>
    <n v="30515"/>
    <x v="2"/>
    <s v="Ховятский АМ"/>
    <s v="Р684ОХ"/>
    <x v="4"/>
    <x v="8"/>
    <x v="2"/>
    <m/>
    <x v="13"/>
    <n v="1.4"/>
    <x v="4"/>
    <n v="40750"/>
    <n v="14690"/>
    <n v="26"/>
    <n v="26060"/>
    <n v="19284.400000000001"/>
    <s v="грин00650"/>
    <x v="16"/>
  </r>
  <r>
    <s v="Акт входного контроля грин00651 от 24.08.2025 16:41:17"/>
    <n v="1140"/>
    <n v="30517"/>
    <x v="2"/>
    <s v="Данильченко Ю.А."/>
    <s v="Р347КА"/>
    <x v="4"/>
    <x v="8"/>
    <x v="2"/>
    <m/>
    <x v="13"/>
    <n v="1.3"/>
    <x v="4"/>
    <n v="38680"/>
    <n v="15030"/>
    <n v="27"/>
    <n v="23650"/>
    <n v="17264.5"/>
    <s v="грин00651"/>
    <x v="16"/>
  </r>
  <r>
    <s v="Акт входного контроля грин00652 от 24.08.2025 18:25:01"/>
    <n v="1141"/>
    <n v="30513"/>
    <x v="2"/>
    <s v="Пищев Александр Васильевич "/>
    <s v="Т522ОН"/>
    <x v="4"/>
    <x v="8"/>
    <x v="2"/>
    <m/>
    <x v="13"/>
    <n v="1.3"/>
    <x v="4"/>
    <n v="46570"/>
    <n v="19430"/>
    <n v="32"/>
    <n v="27140"/>
    <n v="18455.2"/>
    <s v="грин00652"/>
    <x v="16"/>
  </r>
  <r>
    <s v="Акт входного контроля грин00653 от 24.08.2025 21:34:26"/>
    <n v="1153"/>
    <n v="58126"/>
    <x v="3"/>
    <s v="Сотников Сергей Кириллович"/>
    <s v="Т443МВ"/>
    <x v="6"/>
    <x v="10"/>
    <x v="2"/>
    <m/>
    <x v="14"/>
    <n v="1.5"/>
    <x v="6"/>
    <n v="42180"/>
    <n v="15890"/>
    <n v="13"/>
    <n v="26290"/>
    <n v="22872.3"/>
    <s v="грин00653"/>
    <x v="16"/>
  </r>
  <r>
    <s v="Акт входного контроля грин00654 от 24.08.2025 22:02:36"/>
    <n v="1154"/>
    <n v="58128"/>
    <x v="3"/>
    <s v="Рыбалкин АН"/>
    <s v="Р687УК"/>
    <x v="6"/>
    <x v="5"/>
    <x v="2"/>
    <m/>
    <x v="14"/>
    <n v="1.5"/>
    <x v="6"/>
    <n v="41280"/>
    <n v="16080"/>
    <n v="14"/>
    <n v="25200"/>
    <n v="21672"/>
    <s v="грин00654"/>
    <x v="16"/>
  </r>
  <r>
    <s v="Акт входного контроля грин00655 от 24.08.2025 20:24:53"/>
    <n v="1155"/>
    <n v="58106"/>
    <x v="3"/>
    <s v="Бербеницкий Сергей Николаевич"/>
    <s v="С400РР"/>
    <x v="7"/>
    <x v="10"/>
    <x v="2"/>
    <m/>
    <x v="14"/>
    <n v="1.5"/>
    <x v="7"/>
    <n v="41600"/>
    <n v="15190"/>
    <n v="21"/>
    <n v="26410"/>
    <n v="20863.900000000001"/>
    <s v="грин00655"/>
    <x v="16"/>
  </r>
  <r>
    <s v="Акт входного контроля грин00656 от 24.08.2025 20:31:59"/>
    <n v="1156"/>
    <n v="58110"/>
    <x v="3"/>
    <s v="Огнев Максим Викторович"/>
    <s v="Р755НН"/>
    <x v="7"/>
    <x v="10"/>
    <x v="2"/>
    <m/>
    <x v="14"/>
    <n v="1.3"/>
    <x v="7"/>
    <n v="38150"/>
    <n v="14700"/>
    <n v="16"/>
    <n v="23450"/>
    <n v="19698"/>
    <s v="грин00656"/>
    <x v="16"/>
  </r>
  <r>
    <s v="Акт входного контроля грин00657 от 24.08.2025 20:36:15"/>
    <n v="1157"/>
    <n v="58108"/>
    <x v="3"/>
    <s v="Аладин Василий Сергеевич"/>
    <s v="Т110ТМ"/>
    <x v="7"/>
    <x v="10"/>
    <x v="2"/>
    <m/>
    <x v="14"/>
    <n v="1.3"/>
    <x v="7"/>
    <n v="37570"/>
    <n v="14870"/>
    <n v="18"/>
    <n v="22700"/>
    <n v="18614"/>
    <s v="грин00657"/>
    <x v="16"/>
  </r>
  <r>
    <s v="Акт входного контроля грин00658 от 24.08.2025 22:31:36"/>
    <n v="1158"/>
    <n v="58112"/>
    <x v="3"/>
    <s v="Блажко Алексей Николаевич"/>
    <s v="М676КО"/>
    <x v="7"/>
    <x v="10"/>
    <x v="2"/>
    <m/>
    <x v="14"/>
    <n v="1.3"/>
    <x v="7"/>
    <n v="46580"/>
    <n v="24100"/>
    <n v="26"/>
    <n v="22480"/>
    <n v="16635.2"/>
    <s v="грин00658"/>
    <x v="16"/>
  </r>
  <r>
    <s v="Акт входного контроля грин00659 от 24.08.2025 22:36:38"/>
    <n v="1159"/>
    <n v="58114"/>
    <x v="3"/>
    <s v="Дик Илья Александрович"/>
    <s v="М556ХВ"/>
    <x v="7"/>
    <x v="10"/>
    <x v="2"/>
    <m/>
    <x v="14"/>
    <n v="1.5"/>
    <x v="7"/>
    <n v="42310"/>
    <n v="15520"/>
    <n v="34"/>
    <n v="26790"/>
    <n v="17681.400000000001"/>
    <s v="грин00659"/>
    <x v="16"/>
  </r>
  <r>
    <s v="Акт входного контроля грин00660 от 25.08.2025 11:34:16"/>
    <n v="1160"/>
    <n v="58116"/>
    <x v="3"/>
    <s v="Майстровский В.Н."/>
    <s v="М057АО"/>
    <x v="7"/>
    <x v="10"/>
    <x v="2"/>
    <m/>
    <x v="14"/>
    <n v="1.4"/>
    <x v="7"/>
    <n v="38570"/>
    <n v="14470"/>
    <n v="24"/>
    <n v="24100"/>
    <n v="18316"/>
    <s v="грин00660"/>
    <x v="17"/>
  </r>
  <r>
    <s v="Акт входного контроля грин00661 от 25.08.2025 11:34:21"/>
    <n v="1161"/>
    <n v="58118"/>
    <x v="3"/>
    <s v="Долгих Николай Петрович"/>
    <s v="У726ЕР"/>
    <x v="7"/>
    <x v="10"/>
    <x v="2"/>
    <m/>
    <x v="14"/>
    <n v="1.4"/>
    <x v="7"/>
    <n v="39320"/>
    <n v="15070"/>
    <n v="26"/>
    <n v="24250"/>
    <n v="17945"/>
    <s v="грин00661"/>
    <x v="17"/>
  </r>
  <r>
    <s v="Акт входного контроля грин00662 от 25.08.2025 11:34:26"/>
    <n v="1162"/>
    <n v="58120"/>
    <x v="3"/>
    <s v="Чернышов Александр Павлович"/>
    <s v="М704ТС"/>
    <x v="7"/>
    <x v="10"/>
    <x v="2"/>
    <m/>
    <x v="14"/>
    <n v="1.4"/>
    <x v="7"/>
    <n v="40430"/>
    <n v="16390"/>
    <n v="29"/>
    <n v="24040"/>
    <n v="17068.400000000001"/>
    <s v="грин00662"/>
    <x v="17"/>
  </r>
  <r>
    <s v="Акт входного контроля грин00663 от 25.08.2025 11:34:29"/>
    <n v="1163"/>
    <n v="58122"/>
    <x v="3"/>
    <s v="Глушенко Александр Иванович"/>
    <s v="Н735ВК"/>
    <x v="7"/>
    <x v="10"/>
    <x v="2"/>
    <m/>
    <x v="14"/>
    <n v="1.3"/>
    <x v="7"/>
    <n v="38750"/>
    <n v="16580"/>
    <n v="33"/>
    <n v="22170"/>
    <n v="14853.9"/>
    <s v="грин00663"/>
    <x v="17"/>
  </r>
  <r>
    <s v="Акт входного контроля грин00664 от 25.08.2025 11:34:33"/>
    <n v="1164"/>
    <n v="58124"/>
    <x v="3"/>
    <s v="Веревкин Андрей Александрович"/>
    <s v="Н234ВК"/>
    <x v="7"/>
    <x v="10"/>
    <x v="2"/>
    <m/>
    <x v="14"/>
    <n v="1.3"/>
    <x v="7"/>
    <n v="39920"/>
    <n v="16380"/>
    <n v="36"/>
    <n v="23540"/>
    <n v="15065.6"/>
    <s v="грин00664"/>
    <x v="17"/>
  </r>
  <r>
    <s v="Акт входного контроля грин00665 от 25.08.2025 11:34:40"/>
    <n v="1165"/>
    <n v="58154"/>
    <x v="3"/>
    <s v="Мудрак Игорь Вадимович"/>
    <s v="С198УЕ"/>
    <x v="7"/>
    <x v="10"/>
    <x v="2"/>
    <m/>
    <x v="14"/>
    <n v="1.2"/>
    <x v="7"/>
    <n v="45140"/>
    <n v="24130"/>
    <n v="40"/>
    <n v="21010"/>
    <n v="12606"/>
    <s v="грин00665"/>
    <x v="17"/>
  </r>
  <r>
    <s v="Акт входного контроля грин00667 от 25.08.2025 19:28:45"/>
    <n v="1174"/>
    <n v="58156"/>
    <x v="3"/>
    <s v="Пугачев Сергей Викторович"/>
    <s v="Р258УХ"/>
    <x v="7"/>
    <x v="10"/>
    <x v="2"/>
    <m/>
    <x v="15"/>
    <n v="1"/>
    <x v="7"/>
    <n v="35480"/>
    <n v="15610"/>
    <n v="20"/>
    <n v="19870"/>
    <n v="15896"/>
    <s v="грин00667"/>
    <x v="17"/>
  </r>
  <r>
    <s v="Акт входного контроля грин00668 от 25.08.2025 20:52:41"/>
    <n v="1175"/>
    <n v="59158"/>
    <x v="3"/>
    <s v="Черевко Александр Владимирович"/>
    <s v="А114МК"/>
    <x v="7"/>
    <x v="10"/>
    <x v="2"/>
    <m/>
    <x v="15"/>
    <n v="1.1000000000000001"/>
    <x v="7"/>
    <n v="36080"/>
    <n v="14590"/>
    <n v="25"/>
    <n v="21490"/>
    <n v="16117.5"/>
    <s v="грин00668"/>
    <x v="17"/>
  </r>
  <r>
    <s v="Акт входного контроля грин00669 от 25.08.2025 21:41:49"/>
    <n v="1176"/>
    <n v="58162"/>
    <x v="3"/>
    <s v="Ушаков С Е."/>
    <s v="О212РТ"/>
    <x v="7"/>
    <x v="10"/>
    <x v="2"/>
    <m/>
    <x v="15"/>
    <n v="1.3"/>
    <x v="7"/>
    <n v="39500"/>
    <n v="14430"/>
    <n v="27"/>
    <n v="25070"/>
    <n v="18301.099999999999"/>
    <s v="грин00669"/>
    <x v="17"/>
  </r>
  <r>
    <s v="Акт входного контроля грин00670 от 25.08.2025 22:49:14"/>
    <n v="1177"/>
    <n v="58167"/>
    <x v="3"/>
    <s v="Никитась Сергей Анатольевич"/>
    <s v="К570ЕО"/>
    <x v="7"/>
    <x v="10"/>
    <x v="2"/>
    <m/>
    <x v="15"/>
    <n v="1.3"/>
    <x v="7"/>
    <n v="39030"/>
    <n v="14970"/>
    <n v="26"/>
    <n v="24060"/>
    <n v="17804.400000000001"/>
    <s v="грин00670"/>
    <x v="17"/>
  </r>
  <r>
    <s v="Акт входного контроля грин00671 от 25.08.2025 22:55:45"/>
    <n v="1178"/>
    <n v="58171"/>
    <x v="3"/>
    <s v="Мудрак Вадим Васильевич"/>
    <s v="Х514ОК"/>
    <x v="7"/>
    <x v="10"/>
    <x v="2"/>
    <m/>
    <x v="15"/>
    <n v="1.3"/>
    <x v="7"/>
    <n v="46750"/>
    <n v="20970"/>
    <n v="21"/>
    <n v="25780"/>
    <n v="20366.2"/>
    <s v="грин00671"/>
    <x v="17"/>
  </r>
  <r>
    <s v="Акт входного контроля грин00672 от 26.08.2025 11:13:37"/>
    <n v="1179"/>
    <n v="58180"/>
    <x v="3"/>
    <s v="Данильченко Ю.А."/>
    <s v="Р347КА"/>
    <x v="7"/>
    <x v="10"/>
    <x v="2"/>
    <m/>
    <x v="15"/>
    <n v="1.2"/>
    <x v="7"/>
    <n v="38020"/>
    <n v="15000"/>
    <n v="18"/>
    <n v="23020"/>
    <n v="18876.400000000001"/>
    <s v="грин00672"/>
    <x v="18"/>
  </r>
  <r>
    <s v="Акт входного контроля грин00673 от 26.08.2025 11:13:40"/>
    <n v="1180"/>
    <n v="58186"/>
    <x v="3"/>
    <s v="Сероштан Станислав Викторович"/>
    <s v="Е758РЕ"/>
    <x v="7"/>
    <x v="10"/>
    <x v="2"/>
    <m/>
    <x v="15"/>
    <n v="1.1000000000000001"/>
    <x v="7"/>
    <n v="35880"/>
    <n v="14730"/>
    <n v="15"/>
    <n v="21150"/>
    <n v="17977.5"/>
    <s v="грин00673"/>
    <x v="18"/>
  </r>
  <r>
    <s v="Акт входного контроля грин00674 от 26.08.2025 11:13:43"/>
    <n v="1181"/>
    <n v="58188"/>
    <x v="3"/>
    <s v="Ховятский АМ"/>
    <s v="Р684ОХ"/>
    <x v="7"/>
    <x v="10"/>
    <x v="2"/>
    <m/>
    <x v="15"/>
    <n v="1.3"/>
    <x v="7"/>
    <n v="39250"/>
    <n v="14660"/>
    <n v="12"/>
    <n v="24590"/>
    <n v="21639.200000000001"/>
    <s v="грин00674"/>
    <x v="18"/>
  </r>
  <r>
    <s v="Акт входного контроля грин00675 от 26.08.2025 3:21:23"/>
    <n v="1182"/>
    <n v="58182"/>
    <x v="3"/>
    <s v="Огнев Максим Викторович"/>
    <s v="Р755НН"/>
    <x v="7"/>
    <x v="10"/>
    <x v="2"/>
    <m/>
    <x v="15"/>
    <n v="1.2"/>
    <x v="7"/>
    <n v="37970"/>
    <n v="14700"/>
    <n v="12"/>
    <n v="23270"/>
    <n v="20477.599999999999"/>
    <s v="грин00675"/>
    <x v="18"/>
  </r>
  <r>
    <s v="Акт входного контроля грин00676 от 26.08.2025 3:25:15"/>
    <n v="1183"/>
    <n v="58184"/>
    <x v="3"/>
    <s v="Аладин Василий Сергеевич"/>
    <s v="Т110ТМ"/>
    <x v="7"/>
    <x v="10"/>
    <x v="2"/>
    <m/>
    <x v="15"/>
    <n v="1.1000000000000001"/>
    <x v="7"/>
    <n v="35660"/>
    <n v="14900"/>
    <n v="16"/>
    <n v="20760"/>
    <n v="17438.400000000001"/>
    <s v="грин00676"/>
    <x v="18"/>
  </r>
  <r>
    <s v="Акт входного контроля грин00677 от 26.08.2025 4:47:32"/>
    <n v="1184"/>
    <n v="58192"/>
    <x v="3"/>
    <s v="Рыбалкин АН"/>
    <s v="Р687УК"/>
    <x v="7"/>
    <x v="10"/>
    <x v="2"/>
    <m/>
    <x v="15"/>
    <n v="1.3"/>
    <x v="7"/>
    <n v="41750"/>
    <n v="16150"/>
    <n v="13"/>
    <n v="25600"/>
    <n v="22272"/>
    <s v="грин00677"/>
    <x v="18"/>
  </r>
  <r>
    <s v="Акт входного контроля грин00678 от 26.08.2025 5:15:04"/>
    <n v="1185"/>
    <n v="58190"/>
    <x v="3"/>
    <s v="Бондаренко Николай Николаевич"/>
    <s v="А315МК"/>
    <x v="7"/>
    <x v="10"/>
    <x v="2"/>
    <m/>
    <x v="15"/>
    <n v="1.1000000000000001"/>
    <x v="7"/>
    <n v="35590"/>
    <n v="13980"/>
    <n v="12"/>
    <n v="21610"/>
    <n v="19016.8"/>
    <s v="грин00678"/>
    <x v="18"/>
  </r>
  <r>
    <s v="Акт входного контроля грин00679 от 26.08.2025 5:53:07"/>
    <n v="1186"/>
    <n v="58194"/>
    <x v="3"/>
    <s v="Сотников Сергей Кириллович"/>
    <s v="Т443МВ"/>
    <x v="7"/>
    <x v="10"/>
    <x v="2"/>
    <m/>
    <x v="15"/>
    <n v="1.3"/>
    <x v="7"/>
    <n v="41240"/>
    <n v="15930"/>
    <n v="12"/>
    <n v="25310"/>
    <n v="22272.799999999999"/>
    <s v="грин00679"/>
    <x v="18"/>
  </r>
  <r>
    <s v="Акт входного контроля грин00680 от 26.08.2025 7:23:49"/>
    <n v="1188"/>
    <n v="58196"/>
    <x v="3"/>
    <s v="Кудря Евгений"/>
    <s v="А719ОО"/>
    <x v="7"/>
    <x v="10"/>
    <x v="2"/>
    <m/>
    <x v="15"/>
    <n v="1.2"/>
    <x v="7"/>
    <n v="37590"/>
    <n v="14940"/>
    <n v="16"/>
    <n v="22650"/>
    <n v="19026"/>
    <s v="грин00680"/>
    <x v="18"/>
  </r>
  <r>
    <s v="Акт входного контроля грин00681 от 26.08.2025 8:50:39"/>
    <n v="1190"/>
    <n v="58208"/>
    <x v="3"/>
    <s v="Гужва А М."/>
    <s v="Т285ВЕ"/>
    <x v="7"/>
    <x v="10"/>
    <x v="2"/>
    <m/>
    <x v="15"/>
    <n v="1.1000000000000001"/>
    <x v="7"/>
    <n v="36240"/>
    <n v="14830"/>
    <n v="5"/>
    <n v="21410"/>
    <n v="20339.5"/>
    <s v="грин00681"/>
    <x v="18"/>
  </r>
  <r>
    <s v="Акт входного контроля грин00682 от 26.08.2025 8:56:24"/>
    <n v="1191"/>
    <n v="58210"/>
    <x v="3"/>
    <s v="Жданов Андрей Иванович"/>
    <s v="С707ОУ"/>
    <x v="7"/>
    <x v="10"/>
    <x v="2"/>
    <m/>
    <x v="15"/>
    <n v="1.1000000000000001"/>
    <x v="7"/>
    <n v="34770"/>
    <n v="14480"/>
    <n v="6"/>
    <n v="20290"/>
    <n v="19072.599999999999"/>
    <s v="грин00682"/>
    <x v="18"/>
  </r>
  <r>
    <s v="Акт входного контроля грин00683 от 26.08.2025 9:07:16"/>
    <n v="1192"/>
    <n v="58213"/>
    <x v="3"/>
    <s v="Бербеницкий Сергей Николаевич"/>
    <s v="С400РР"/>
    <x v="7"/>
    <x v="10"/>
    <x v="2"/>
    <m/>
    <x v="15"/>
    <n v="1.4"/>
    <x v="7"/>
    <n v="41230"/>
    <n v="15190"/>
    <n v="5"/>
    <n v="26040"/>
    <n v="24738"/>
    <s v="грин00683"/>
    <x v="18"/>
  </r>
  <r>
    <s v="Акт входного контроля грин00684 от 26.08.2025 10:35:10"/>
    <n v="1193"/>
    <n v="58217"/>
    <x v="3"/>
    <s v="Мудрак Игорь Вадимович"/>
    <s v="С198УЕ"/>
    <x v="7"/>
    <x v="10"/>
    <x v="2"/>
    <m/>
    <x v="15"/>
    <n v="1.1000000000000001"/>
    <x v="7"/>
    <n v="45590"/>
    <n v="24080"/>
    <n v="6"/>
    <n v="21510"/>
    <n v="20219.400000000001"/>
    <s v="грин00684"/>
    <x v="18"/>
  </r>
  <r>
    <s v="Акт входного контроля грин00685 от 26.08.2025 10:47:40"/>
    <n v="1194"/>
    <n v="58215"/>
    <x v="3"/>
    <s v="Богучарский А. И."/>
    <s v="Е404УС"/>
    <x v="7"/>
    <x v="10"/>
    <x v="2"/>
    <m/>
    <x v="15"/>
    <n v="1.2"/>
    <x v="7"/>
    <n v="36300"/>
    <n v="13930"/>
    <n v="5"/>
    <n v="22370"/>
    <n v="21251.5"/>
    <s v="грин00685"/>
    <x v="18"/>
  </r>
  <r>
    <s v="Акт входного контроля грин00686 от 26.08.2025 13:06:15"/>
    <n v="1195"/>
    <n v="58219"/>
    <x v="3"/>
    <s v="Пищев Александр Васильевич "/>
    <s v="Т522ОН"/>
    <x v="7"/>
    <x v="10"/>
    <x v="2"/>
    <m/>
    <x v="15"/>
    <n v="1.3"/>
    <x v="7"/>
    <n v="44000"/>
    <n v="19360"/>
    <n v="7"/>
    <n v="24640"/>
    <n v="22915.200000000001"/>
    <s v="грин00686"/>
    <x v="18"/>
  </r>
  <r>
    <s v="Акт входного контроля грин00687 от 26.08.2025 15:49:25"/>
    <n v="1196"/>
    <n v="58221"/>
    <x v="3"/>
    <s v="Магадиев Александр Сайлаувич"/>
    <s v="У184НО"/>
    <x v="7"/>
    <x v="10"/>
    <x v="2"/>
    <m/>
    <x v="16"/>
    <n v="1.1000000000000001"/>
    <x v="7"/>
    <n v="37250"/>
    <n v="14460"/>
    <n v="12"/>
    <n v="22790"/>
    <n v="20055.2"/>
    <s v="грин00687"/>
    <x v="18"/>
  </r>
  <r>
    <s v="Акт входного контроля грин00688 от 26.08.2025 16:02:12"/>
    <n v="1199"/>
    <n v="58229"/>
    <x v="3"/>
    <s v="Титаренко Максим Сергеевич"/>
    <s v="О398ХО"/>
    <x v="7"/>
    <x v="10"/>
    <x v="2"/>
    <m/>
    <x v="16"/>
    <n v="1.1000000000000001"/>
    <x v="7"/>
    <n v="37210"/>
    <n v="14650"/>
    <n v="9"/>
    <n v="22560"/>
    <n v="20529.599999999999"/>
    <s v="грин00688"/>
    <x v="18"/>
  </r>
  <r>
    <s v="Акт входного контроля грин00689 от 26.08.2025 17:46:20"/>
    <n v="1200"/>
    <n v="58223"/>
    <x v="3"/>
    <s v="Ревенко Андрей Вячеславович"/>
    <s v="А781РР"/>
    <x v="7"/>
    <x v="10"/>
    <x v="2"/>
    <m/>
    <x v="16"/>
    <n v="1.2"/>
    <x v="7"/>
    <n v="38480"/>
    <n v="15090"/>
    <n v="10"/>
    <n v="23390"/>
    <n v="21051"/>
    <s v="грин00689"/>
    <x v="18"/>
  </r>
  <r>
    <s v="Акт входного контроля грин00690 от 26.08.2025 17:50:48"/>
    <n v="1201"/>
    <n v="58225"/>
    <x v="3"/>
    <s v="Емец Р.А."/>
    <s v="У315НХ"/>
    <x v="7"/>
    <x v="10"/>
    <x v="2"/>
    <m/>
    <x v="16"/>
    <n v="1.2"/>
    <x v="7"/>
    <n v="39700"/>
    <n v="15590"/>
    <n v="14"/>
    <n v="24110"/>
    <n v="20734.599999999999"/>
    <s v="грин00690"/>
    <x v="18"/>
  </r>
  <r>
    <s v="Акт входного контроля грин00691 от 26.08.2025 18:55:18"/>
    <n v="1202"/>
    <n v="58227"/>
    <x v="3"/>
    <s v="Извеков Владимир Владимирович"/>
    <s v="Н378ХЕ"/>
    <x v="7"/>
    <x v="10"/>
    <x v="2"/>
    <m/>
    <x v="16"/>
    <n v="1.2"/>
    <x v="7"/>
    <n v="39860"/>
    <n v="15400"/>
    <n v="13"/>
    <n v="24460"/>
    <n v="21280.2"/>
    <s v="грин00691"/>
    <x v="18"/>
  </r>
  <r>
    <s v="Акт входного контроля грин00692 от 26.08.2025 20:54:31"/>
    <n v="1203"/>
    <n v="58233"/>
    <x v="3"/>
    <s v="Пугачев Сергей Викторович"/>
    <s v="Р258УХ"/>
    <x v="7"/>
    <x v="10"/>
    <x v="2"/>
    <m/>
    <x v="16"/>
    <n v="1.3"/>
    <x v="7"/>
    <n v="41290"/>
    <n v="15600"/>
    <n v="7"/>
    <n v="25690"/>
    <n v="23891.7"/>
    <s v="грин00692"/>
    <x v="18"/>
  </r>
  <r>
    <s v="Акт входного контроля грин00693 от 26.08.2025 21:05:42"/>
    <n v="1204"/>
    <n v="582311"/>
    <x v="3"/>
    <s v="Лазаренко Вячеслав Владимирович"/>
    <s v="Т239УС"/>
    <x v="7"/>
    <x v="10"/>
    <x v="2"/>
    <m/>
    <x v="16"/>
    <n v="1.2"/>
    <x v="7"/>
    <n v="39520"/>
    <n v="14840"/>
    <n v="8"/>
    <n v="24680"/>
    <n v="22705.599999999999"/>
    <s v="грин00693"/>
    <x v="18"/>
  </r>
  <r>
    <s v="Акт входного контроля грин00694 от 26.08.2025 22:06:33"/>
    <n v="1205"/>
    <n v="58235"/>
    <x v="3"/>
    <s v="Блажко Алексей Николаевич"/>
    <s v="М676КО"/>
    <x v="7"/>
    <x v="10"/>
    <x v="2"/>
    <m/>
    <x v="16"/>
    <n v="1.1000000000000001"/>
    <x v="7"/>
    <n v="46950"/>
    <n v="24200"/>
    <n v="6.9"/>
    <n v="22750"/>
    <n v="21191"/>
    <s v="грин00694"/>
    <x v="18"/>
  </r>
  <r>
    <s v="Акт входного контроля грин00695 от 26.08.2025 22:11:31"/>
    <n v="1206"/>
    <n v="58237"/>
    <x v="3"/>
    <s v="Дик Илья Александрович"/>
    <s v="М556ХВ"/>
    <x v="7"/>
    <x v="10"/>
    <x v="2"/>
    <m/>
    <x v="16"/>
    <n v="1.4"/>
    <x v="7"/>
    <n v="43250"/>
    <n v="15620"/>
    <n v="14"/>
    <n v="27630"/>
    <n v="23761.8"/>
    <s v="грин00695"/>
    <x v="18"/>
  </r>
  <r>
    <s v="Акт входного контроля грин00696 от 26.08.2025 22:42:57"/>
    <n v="1207"/>
    <n v="58241"/>
    <x v="3"/>
    <s v="Ушаков С Е."/>
    <s v="О212РТ"/>
    <x v="7"/>
    <x v="10"/>
    <x v="2"/>
    <m/>
    <x v="16"/>
    <n v="1.2"/>
    <x v="7"/>
    <n v="37680"/>
    <n v="14200"/>
    <n v="14"/>
    <n v="23480"/>
    <n v="20192.8"/>
    <s v="грин00696"/>
    <x v="18"/>
  </r>
  <r>
    <s v="Акт входного контроля грин00697 от 26.08.2025 23:06:49"/>
    <n v="1208"/>
    <n v="58239"/>
    <x v="3"/>
    <s v="Рудик Александр Иванович"/>
    <s v="А309АТ"/>
    <x v="7"/>
    <x v="10"/>
    <x v="2"/>
    <m/>
    <x v="16"/>
    <n v="1.2"/>
    <x v="7"/>
    <n v="38290"/>
    <n v="14760"/>
    <n v="12"/>
    <n v="23530"/>
    <n v="20706.400000000001"/>
    <s v="грин00697"/>
    <x v="18"/>
  </r>
  <r>
    <s v="Акт входного контроля грин00698 от 26.08.2025 23:25:46"/>
    <n v="1209"/>
    <n v="58243"/>
    <x v="3"/>
    <s v="Чернышов Александр Павлович"/>
    <s v="М704ТС"/>
    <x v="7"/>
    <x v="10"/>
    <x v="2"/>
    <m/>
    <x v="16"/>
    <n v="1.2"/>
    <x v="7"/>
    <n v="39770"/>
    <n v="16320"/>
    <n v="15"/>
    <n v="23450"/>
    <n v="19932.5"/>
    <s v="грин00698"/>
    <x v="18"/>
  </r>
  <r>
    <s v="Акт входного контроля грин00699 от 27.08.2025 11:10:28"/>
    <n v="1210"/>
    <n v="58247"/>
    <x v="3"/>
    <s v="Глушенко Александр Иванович"/>
    <s v="Н735ВК"/>
    <x v="7"/>
    <x v="10"/>
    <x v="2"/>
    <m/>
    <x v="16"/>
    <n v="1.2"/>
    <x v="7"/>
    <n v="39810"/>
    <n v="16660"/>
    <n v="12"/>
    <n v="23150"/>
    <n v="20372"/>
    <s v="грин00699"/>
    <x v="19"/>
  </r>
  <r>
    <s v="Акт входного контроля грин00700 от 27.08.2025 11:14:55"/>
    <n v="1211"/>
    <n v="58245"/>
    <x v="3"/>
    <s v="Веревкин Андрей Александрович"/>
    <s v="Н234ВК"/>
    <x v="7"/>
    <x v="10"/>
    <x v="2"/>
    <m/>
    <x v="16"/>
    <n v="1.2"/>
    <x v="7"/>
    <n v="40020"/>
    <n v="16460"/>
    <n v="10"/>
    <n v="23560"/>
    <n v="21204"/>
    <s v="грин00700"/>
    <x v="19"/>
  </r>
  <r>
    <s v="Акт входного контроля грин00701 от 27.08.2025 11:44:17"/>
    <n v="1212"/>
    <n v="58257"/>
    <x v="3"/>
    <s v="Майстровский В.Н."/>
    <s v="М057АО"/>
    <x v="7"/>
    <x v="10"/>
    <x v="2"/>
    <m/>
    <x v="16"/>
    <n v="1.2"/>
    <x v="7"/>
    <n v="38540"/>
    <n v="14470"/>
    <n v="9"/>
    <n v="24070"/>
    <n v="21903.7"/>
    <s v="грин00701"/>
    <x v="19"/>
  </r>
  <r>
    <s v="Акт входного контроля грин00702 от 27.08.2025 13:22:04"/>
    <n v="1213"/>
    <n v="58259"/>
    <x v="3"/>
    <s v="Долгих Николай Петрович"/>
    <s v="У726ЕР"/>
    <x v="7"/>
    <x v="10"/>
    <x v="2"/>
    <m/>
    <x v="16"/>
    <n v="1.2"/>
    <x v="7"/>
    <n v="39720"/>
    <n v="15040"/>
    <n v="10"/>
    <n v="24680"/>
    <n v="22212"/>
    <s v="грин00702"/>
    <x v="19"/>
  </r>
  <r>
    <s v="Акт входного контроля грин00703 от 27.08.2025 13:57:37"/>
    <n v="1214"/>
    <n v="58269"/>
    <x v="3"/>
    <s v="Никитась Сергей Анатольевич"/>
    <s v="К570ЕО"/>
    <x v="7"/>
    <x v="10"/>
    <x v="2"/>
    <m/>
    <x v="16"/>
    <n v="1.3"/>
    <x v="7"/>
    <n v="39760"/>
    <n v="14960"/>
    <n v="9"/>
    <n v="24800"/>
    <n v="22568"/>
    <s v="грин00703"/>
    <x v="19"/>
  </r>
  <r>
    <s v="Акт входного контроля грин00704 от 27.08.2025 15:33:52"/>
    <n v="1220"/>
    <n v="58291"/>
    <x v="3"/>
    <s v="Мудрак Игорь Вадимович"/>
    <s v="С198УЕ"/>
    <x v="7"/>
    <x v="10"/>
    <x v="2"/>
    <m/>
    <x v="16"/>
    <n v="1.1000000000000001"/>
    <x v="7"/>
    <n v="46130"/>
    <n v="24070"/>
    <n v="6"/>
    <n v="22060"/>
    <n v="20736.400000000001"/>
    <s v="грин00704"/>
    <x v="19"/>
  </r>
  <r>
    <s v="Акт входного контроля грин00705 от 27.08.2025 15:55:46"/>
    <n v="1221"/>
    <n v="28289"/>
    <x v="3"/>
    <s v="Бербеницкий Сергей Николаевич"/>
    <s v="С400РР"/>
    <x v="7"/>
    <x v="10"/>
    <x v="2"/>
    <m/>
    <x v="16"/>
    <n v="1.4"/>
    <x v="7"/>
    <n v="42090"/>
    <n v="15150"/>
    <n v="9"/>
    <n v="26940"/>
    <n v="24515.4"/>
    <s v="грин00705"/>
    <x v="19"/>
  </r>
  <r>
    <s v="Акт входного контроля грин00706 от 27.08.2025 18:35:19"/>
    <n v="1222"/>
    <n v="58285"/>
    <x v="3"/>
    <s v="Кудря Евгений"/>
    <s v="А719ОО"/>
    <x v="7"/>
    <x v="10"/>
    <x v="2"/>
    <m/>
    <x v="17"/>
    <n v="1.2"/>
    <x v="7"/>
    <n v="39220"/>
    <n v="14940"/>
    <n v="5"/>
    <n v="24280"/>
    <n v="23066"/>
    <s v="грин00706"/>
    <x v="19"/>
  </r>
  <r>
    <s v="Акт входного контроля грин00707 от 27.08.2025 18:44:08"/>
    <n v="1224"/>
    <n v="58283"/>
    <x v="3"/>
    <s v="Мудрак Вадим Васильевич"/>
    <s v="Х514ОК"/>
    <x v="7"/>
    <x v="10"/>
    <x v="2"/>
    <m/>
    <x v="17"/>
    <n v="1.3"/>
    <x v="7"/>
    <n v="47210"/>
    <n v="20860"/>
    <n v="10"/>
    <n v="26350"/>
    <n v="23715"/>
    <s v="грин00707"/>
    <x v="19"/>
  </r>
  <r>
    <s v="Акт входного контроля грин00708 от 27.08.2025 18:47:06"/>
    <n v="1225"/>
    <n v="58287"/>
    <x v="3"/>
    <s v="Черевко Александр Владимирович"/>
    <s v="А114МК"/>
    <x v="7"/>
    <x v="10"/>
    <x v="2"/>
    <m/>
    <x v="17"/>
    <n v="1"/>
    <x v="7"/>
    <n v="36100"/>
    <n v="14590"/>
    <n v="7"/>
    <n v="21510"/>
    <n v="20004.3"/>
    <s v="грин00708"/>
    <x v="19"/>
  </r>
  <r>
    <s v="Акт входного контроля грин00709 от 27.08.2025 19:01:25"/>
    <n v="1238"/>
    <n v="58293"/>
    <x v="3"/>
    <s v="Данильченко Ю.А."/>
    <s v="Р347КА"/>
    <x v="7"/>
    <x v="10"/>
    <x v="2"/>
    <m/>
    <x v="16"/>
    <n v="1.3"/>
    <x v="7"/>
    <n v="39860"/>
    <n v="14970"/>
    <n v="7"/>
    <n v="24890"/>
    <n v="23147.7"/>
    <s v="грин00709"/>
    <x v="19"/>
  </r>
  <r>
    <s v="Акт входного контроля грин00710 от 27.08.2025 16:29:20"/>
    <n v="1241"/>
    <n v="58295"/>
    <x v="3"/>
    <s v="Пищев Александр Васильевич "/>
    <s v="Т522ОН"/>
    <x v="7"/>
    <x v="10"/>
    <x v="2"/>
    <m/>
    <x v="16"/>
    <n v="1.3"/>
    <x v="7"/>
    <n v="45160"/>
    <n v="19260"/>
    <n v="9"/>
    <n v="25900"/>
    <n v="23569"/>
    <s v="грин00710"/>
    <x v="19"/>
  </r>
  <r>
    <s v="Акт входного контроля грин00711 от 27.08.2025 16:32:49"/>
    <n v="1242"/>
    <n v="58297"/>
    <x v="3"/>
    <s v="Рыбалкин АН"/>
    <s v="Р687УК"/>
    <x v="7"/>
    <x v="10"/>
    <x v="2"/>
    <m/>
    <x v="16"/>
    <n v="1.3"/>
    <x v="7"/>
    <n v="42720"/>
    <n v="16110"/>
    <n v="5"/>
    <n v="26610"/>
    <n v="25279.5"/>
    <s v="грин00711"/>
    <x v="19"/>
  </r>
  <r>
    <s v="Акт входного контроля грин00712 от 27.08.2025 17:26:06"/>
    <n v="1243"/>
    <n v="58299"/>
    <x v="3"/>
    <s v="Сотников Сергей Кириллович"/>
    <s v="Т443МВ"/>
    <x v="7"/>
    <x v="10"/>
    <x v="2"/>
    <m/>
    <x v="17"/>
    <n v="1.3"/>
    <x v="7"/>
    <n v="42160"/>
    <n v="15910"/>
    <n v="7"/>
    <n v="26250"/>
    <n v="24412.5"/>
    <s v="грин00712"/>
    <x v="19"/>
  </r>
  <r>
    <s v="Акт входного контроля грин00713 от 27.08.2025 19:15:31"/>
    <n v="1244"/>
    <n v="58301"/>
    <x v="3"/>
    <s v="Ховятский АМ"/>
    <s v="Р684ОХ"/>
    <x v="7"/>
    <x v="10"/>
    <x v="2"/>
    <m/>
    <x v="17"/>
    <n v="1.2"/>
    <x v="7"/>
    <n v="40130"/>
    <n v="14630"/>
    <n v="6"/>
    <n v="25500"/>
    <n v="23970"/>
    <s v="грин00713"/>
    <x v="19"/>
  </r>
  <r>
    <s v="Акт входного контроля грин00714 от 27.08.2025 20:03:47"/>
    <n v="1246"/>
    <n v="58326"/>
    <x v="3"/>
    <s v="Кулинич Евгений Владимирович"/>
    <s v="У801СТ"/>
    <x v="7"/>
    <x v="10"/>
    <x v="2"/>
    <m/>
    <x v="17"/>
    <n v="1.1000000000000001"/>
    <x v="7"/>
    <n v="38600"/>
    <n v="15060"/>
    <n v="10"/>
    <n v="23540"/>
    <n v="21186"/>
    <s v="грин00714"/>
    <x v="19"/>
  </r>
  <r>
    <s v="Акт входного контроля грин00715 от 27.08.2025 20:09:56"/>
    <n v="1247"/>
    <n v="58328"/>
    <x v="3"/>
    <s v="Сероштан Станислав Викторович"/>
    <s v="Е758РЕ"/>
    <x v="7"/>
    <x v="10"/>
    <x v="2"/>
    <m/>
    <x v="17"/>
    <n v="1.1000000000000001"/>
    <x v="7"/>
    <n v="38260"/>
    <n v="14710"/>
    <n v="14"/>
    <n v="23550"/>
    <n v="20253"/>
    <s v="грин00715"/>
    <x v="19"/>
  </r>
  <r>
    <s v="Акт входного контроля грин00716 от 27.08.2025 20:45:29"/>
    <n v="1248"/>
    <n v="58313"/>
    <x v="3"/>
    <s v="Блажко Алексей Николаевич"/>
    <s v="М676КО"/>
    <x v="7"/>
    <x v="10"/>
    <x v="2"/>
    <m/>
    <x v="17"/>
    <n v="1.1000000000000001"/>
    <x v="7"/>
    <n v="47150"/>
    <n v="24110"/>
    <n v="8"/>
    <n v="23040"/>
    <n v="21196.799999999999"/>
    <s v="грин00716"/>
    <x v="19"/>
  </r>
  <r>
    <s v="Акт входного контроля грин00717 от 27.08.2025 20:48:31"/>
    <n v="1249"/>
    <n v="58315"/>
    <x v="3"/>
    <s v="Дик Илья Александрович"/>
    <s v="М556ХВ"/>
    <x v="7"/>
    <x v="10"/>
    <x v="2"/>
    <m/>
    <x v="17"/>
    <n v="1.3"/>
    <x v="7"/>
    <n v="42290"/>
    <n v="15520"/>
    <n v="12"/>
    <n v="26770"/>
    <n v="23557.599999999999"/>
    <s v="грин00717"/>
    <x v="19"/>
  </r>
  <r>
    <s v="Акт входного контроля грин00718 от 27.08.2025 22:03:08"/>
    <n v="1250"/>
    <n v="58330"/>
    <x v="3"/>
    <s v="Пугачев Сергей Викторович"/>
    <s v="Р258УХ"/>
    <x v="7"/>
    <x v="10"/>
    <x v="2"/>
    <m/>
    <x v="17"/>
    <n v="1.2"/>
    <x v="7"/>
    <n v="39940"/>
    <n v="15590"/>
    <n v="12"/>
    <n v="24350"/>
    <n v="21428"/>
    <s v="грин00718"/>
    <x v="19"/>
  </r>
  <r>
    <s v="Акт входного контроля грин00719 от 27.08.2025 22:08:23"/>
    <n v="1251"/>
    <n v="58332"/>
    <x v="3"/>
    <s v="Лазаренко Вячеслав Владимирович"/>
    <s v="Т239УС"/>
    <x v="7"/>
    <x v="10"/>
    <x v="2"/>
    <m/>
    <x v="17"/>
    <n v="1.2"/>
    <x v="7"/>
    <n v="39850"/>
    <n v="14810"/>
    <n v="10"/>
    <n v="25040"/>
    <n v="22536"/>
    <s v="грин00719"/>
    <x v="19"/>
  </r>
  <r>
    <s v="Акт входного контроля грин00720 от 27.08.2025 22:57:38"/>
    <n v="1252"/>
    <n v="58334"/>
    <x v="3"/>
    <s v="Магадиев Александр Сайлаувич"/>
    <s v="У184НО"/>
    <x v="7"/>
    <x v="10"/>
    <x v="2"/>
    <m/>
    <x v="17"/>
    <n v="1.2"/>
    <x v="7"/>
    <n v="38890"/>
    <n v="14430"/>
    <n v="14"/>
    <n v="24460"/>
    <n v="21035.599999999999"/>
    <s v="грин00720"/>
    <x v="19"/>
  </r>
  <r>
    <s v="Акт входного контроля грин00721 от 27.08.2025 23:12:55"/>
    <n v="1253"/>
    <n v="58336"/>
    <x v="3"/>
    <s v="Ревенко Андрей Вячеславович"/>
    <s v="А781РР"/>
    <x v="7"/>
    <x v="10"/>
    <x v="2"/>
    <m/>
    <x v="17"/>
    <n v="1.1000000000000001"/>
    <x v="7"/>
    <n v="38490"/>
    <n v="15020"/>
    <n v="13"/>
    <n v="23470"/>
    <n v="20418.900000000001"/>
    <s v="грин00721"/>
    <x v="19"/>
  </r>
  <r>
    <s v="Акт входного контроля грин00722 от 27.08.2025 23:30:39"/>
    <n v="1254"/>
    <n v="58338"/>
    <x v="3"/>
    <s v="Бондаренко Николай Николаевич"/>
    <s v="А315МК"/>
    <x v="7"/>
    <x v="10"/>
    <x v="2"/>
    <m/>
    <x v="17"/>
    <n v="1.1000000000000001"/>
    <x v="7"/>
    <n v="36410"/>
    <n v="13950"/>
    <n v="9"/>
    <n v="22460"/>
    <n v="20438.599999999999"/>
    <s v="грин00722"/>
    <x v="19"/>
  </r>
  <r>
    <s v="Акт входного контроля грин00723 от 28.08.2025 9:32:43"/>
    <n v="1257"/>
    <n v="58366"/>
    <x v="3"/>
    <s v="Емец Р.А."/>
    <s v="У315НХ"/>
    <x v="7"/>
    <x v="10"/>
    <x v="2"/>
    <m/>
    <x v="17"/>
    <n v="1.1000000000000001"/>
    <x v="7"/>
    <n v="38040"/>
    <n v="15600"/>
    <n v="9"/>
    <n v="22440"/>
    <n v="20420.400000000001"/>
    <s v="грин00723"/>
    <x v="20"/>
  </r>
  <r>
    <s v="Акт входного контроля грин00724 от 28.08.2025 9:44:48"/>
    <n v="1255"/>
    <n v="58346"/>
    <x v="3"/>
    <s v="Богучарский А. И."/>
    <s v="Е404УС"/>
    <x v="7"/>
    <x v="10"/>
    <x v="2"/>
    <m/>
    <x v="17"/>
    <n v="1.1000000000000001"/>
    <x v="7"/>
    <n v="36810"/>
    <n v="13910"/>
    <n v="13"/>
    <n v="22900"/>
    <n v="19923"/>
    <s v="грин00724"/>
    <x v="20"/>
  </r>
  <r>
    <s v="Акт входного контроля грин00725 от 28.08.2025 11:02:43"/>
    <n v="1256"/>
    <n v="58354"/>
    <x v="3"/>
    <s v="Чернышов Александр Павлович"/>
    <s v="М704ТС"/>
    <x v="7"/>
    <x v="10"/>
    <x v="2"/>
    <m/>
    <x v="17"/>
    <n v="1.1000000000000001"/>
    <x v="7"/>
    <n v="39570"/>
    <n v="16130"/>
    <n v="12"/>
    <n v="23440"/>
    <n v="20627.2"/>
    <s v="грин00725"/>
    <x v="20"/>
  </r>
  <r>
    <s v="Акт входного контроля грин00726 от 28.08.2025 11:21:14"/>
    <n v="1258"/>
    <n v="58368"/>
    <x v="3"/>
    <s v="Рудик Александр Иванович"/>
    <s v="А309АТ"/>
    <x v="7"/>
    <x v="10"/>
    <x v="2"/>
    <m/>
    <x v="17"/>
    <n v="1.1000000000000001"/>
    <x v="7"/>
    <n v="36840"/>
    <n v="14740"/>
    <n v="9"/>
    <n v="22100"/>
    <n v="20111"/>
    <s v="грин00726"/>
    <x v="20"/>
  </r>
  <r>
    <s v="Акт входного контроля грин00727 от 28.08.2025 11:41:25"/>
    <n v="1259"/>
    <n v="58370"/>
    <x v="3"/>
    <s v="Глушенко Александр Иванович"/>
    <s v="Н735ВК"/>
    <x v="7"/>
    <x v="10"/>
    <x v="2"/>
    <m/>
    <x v="17"/>
    <n v="1.2"/>
    <x v="7"/>
    <n v="40480"/>
    <n v="16670"/>
    <n v="5"/>
    <n v="23810"/>
    <n v="22619.5"/>
    <s v="грин00727"/>
    <x v="20"/>
  </r>
  <r>
    <s v="Акт входного контроля грин00728 от 28.08.2025 13:10:54"/>
    <n v="1260"/>
    <n v="58373"/>
    <x v="3"/>
    <s v="Веревкин Андрей Александрович"/>
    <s v="Н234ВК"/>
    <x v="7"/>
    <x v="10"/>
    <x v="2"/>
    <m/>
    <x v="17"/>
    <n v="1.1000000000000001"/>
    <x v="7"/>
    <n v="39730"/>
    <n v="16540"/>
    <n v="9"/>
    <n v="23190"/>
    <n v="21102.9"/>
    <s v="грин00728"/>
    <x v="20"/>
  </r>
  <r>
    <s v="Акт входного контроля грин00729 от 28.08.2025 13:27:59"/>
    <n v="1262"/>
    <n v="58380"/>
    <x v="3"/>
    <s v="Майстровский В.Н."/>
    <s v="М057АО"/>
    <x v="7"/>
    <x v="10"/>
    <x v="2"/>
    <m/>
    <x v="17"/>
    <n v="1.1000000000000001"/>
    <x v="7"/>
    <n v="37960"/>
    <n v="14480"/>
    <n v="17"/>
    <n v="23480"/>
    <n v="19488.400000000001"/>
    <s v="грин00729"/>
    <x v="20"/>
  </r>
  <r>
    <s v="Акт входного контроля грин00730 от 28.08.2025 13:39:23"/>
    <n v="1263"/>
    <n v="58382"/>
    <x v="3"/>
    <s v="Долгих Николай Петрович"/>
    <s v="У726ЕР"/>
    <x v="7"/>
    <x v="10"/>
    <x v="2"/>
    <m/>
    <x v="17"/>
    <n v="1.1000000000000001"/>
    <x v="7"/>
    <n v="38440"/>
    <n v="15070"/>
    <n v="8"/>
    <n v="23370"/>
    <n v="21500.400000000001"/>
    <s v="грин00730"/>
    <x v="20"/>
  </r>
  <r>
    <s v="Акт входного контроля грин00731 от 28.08.2025 15:08:13"/>
    <n v="1267"/>
    <n v="58389"/>
    <x v="3"/>
    <s v="Жданов Андрей Иванович"/>
    <s v="С707ОУ"/>
    <x v="7"/>
    <x v="10"/>
    <x v="2"/>
    <m/>
    <x v="17"/>
    <n v="1"/>
    <x v="7"/>
    <n v="34920"/>
    <n v="14470"/>
    <n v="11"/>
    <n v="20450"/>
    <n v="18200.5"/>
    <s v="грин00731"/>
    <x v="20"/>
  </r>
  <r>
    <s v="Акт входного контроля грин00732 от 28.08.2025 15:20:42"/>
    <n v="1268"/>
    <n v="58391"/>
    <x v="3"/>
    <s v="Гужва А М."/>
    <s v="Т285ВЕ"/>
    <x v="7"/>
    <x v="10"/>
    <x v="2"/>
    <m/>
    <x v="17"/>
    <n v="1"/>
    <x v="7"/>
    <n v="36340"/>
    <n v="14830"/>
    <n v="10"/>
    <n v="21510"/>
    <n v="19359"/>
    <s v="грин00732"/>
    <x v="20"/>
  </r>
  <r>
    <s v="Акт входного контроля грин00733 от 28.08.2025 17:26:29"/>
    <n v="1266"/>
    <n v="58397"/>
    <x v="3"/>
    <s v="Бербеницкий Сергей Николаевич"/>
    <s v="С400РР"/>
    <x v="7"/>
    <x v="10"/>
    <x v="2"/>
    <m/>
    <x v="17"/>
    <n v="1.2"/>
    <x v="7"/>
    <n v="40560"/>
    <n v="15180"/>
    <n v="6"/>
    <n v="25380"/>
    <n v="23857.200000000001"/>
    <s v="грин00733"/>
    <x v="20"/>
  </r>
  <r>
    <s v="Акт входного контроля грин00734 от 28.08.2025 17:34:51"/>
    <n v="1284"/>
    <n v="58407"/>
    <x v="3"/>
    <s v="Мудрак Игорь Вадимович"/>
    <s v="С198УЕ"/>
    <x v="7"/>
    <x v="10"/>
    <x v="2"/>
    <m/>
    <x v="17"/>
    <n v="1.1000000000000001"/>
    <x v="7"/>
    <n v="46980"/>
    <n v="24070"/>
    <n v="11"/>
    <n v="22910"/>
    <n v="20389.900000000001"/>
    <s v="грин00734"/>
    <x v="20"/>
  </r>
  <r>
    <s v="Акт входного контроля грин00735 от 28.08.2025 19:52:49"/>
    <n v="1286"/>
    <n v="58413"/>
    <x v="3"/>
    <s v="Чернецов Александр Михайлович"/>
    <s v="Р866РМ"/>
    <x v="7"/>
    <x v="10"/>
    <x v="2"/>
    <m/>
    <x v="17"/>
    <n v="1.2"/>
    <x v="7"/>
    <n v="39230"/>
    <n v="14950"/>
    <n v="12"/>
    <n v="24280"/>
    <n v="21366.400000000001"/>
    <s v="грин00735"/>
    <x v="20"/>
  </r>
  <r>
    <s v="Акт входного контроля грин00736 от 28.08.2025 21:13:09"/>
    <n v="1288"/>
    <n v="58411"/>
    <x v="3"/>
    <s v="Ушаков С Е."/>
    <s v="О212РТ"/>
    <x v="7"/>
    <x v="10"/>
    <x v="2"/>
    <m/>
    <x v="18"/>
    <n v="2"/>
    <x v="7"/>
    <n v="37910"/>
    <n v="14200"/>
    <n v="8"/>
    <n v="23710"/>
    <n v="21813.200000000001"/>
    <s v="грин00736"/>
    <x v="20"/>
  </r>
  <r>
    <s v="Акт входного контроля грин00737 от 28.08.2025 21:17:14"/>
    <n v="1289"/>
    <n v="58416"/>
    <x v="3"/>
    <s v="Данильченко Ю.А."/>
    <s v="Р347КА"/>
    <x v="7"/>
    <x v="10"/>
    <x v="2"/>
    <m/>
    <x v="18"/>
    <n v="2.2000000000000002"/>
    <x v="7"/>
    <n v="40490"/>
    <n v="14970"/>
    <n v="15"/>
    <n v="25520"/>
    <n v="21692"/>
    <s v="грин00737"/>
    <x v="20"/>
  </r>
  <r>
    <s v="Акт входного контроля грин00738 от 28.08.2025 22:34:56"/>
    <n v="1291"/>
    <n v="58418"/>
    <x v="3"/>
    <s v="Черевко Александр Владимирович"/>
    <s v="А114МК"/>
    <x v="7"/>
    <x v="10"/>
    <x v="2"/>
    <m/>
    <x v="18"/>
    <n v="2"/>
    <x v="7"/>
    <n v="38590"/>
    <n v="14560"/>
    <n v="13"/>
    <n v="24030"/>
    <n v="20906.099999999999"/>
    <s v="грин00738"/>
    <x v="20"/>
  </r>
  <r>
    <s v="Акт входного контроля грин00739 от 28.08.2025 23:35:33"/>
    <n v="1292"/>
    <n v="58420"/>
    <x v="3"/>
    <s v="Пищев Александр Васильевич "/>
    <s v="Т522ОН"/>
    <x v="7"/>
    <x v="10"/>
    <x v="2"/>
    <m/>
    <x v="18"/>
    <n v="2.2999999999999998"/>
    <x v="7"/>
    <n v="46960"/>
    <n v="19350"/>
    <n v="6"/>
    <n v="27610"/>
    <n v="25953.4"/>
    <s v="грин00739"/>
    <x v="20"/>
  </r>
  <r>
    <s v="Акт входного контроля грин00740 от 28.08.2025 20:23:38"/>
    <n v="1293"/>
    <n v="58432"/>
    <x v="3"/>
    <s v="Кулинич Евгений Владимирович"/>
    <s v="У801СТ"/>
    <x v="7"/>
    <x v="10"/>
    <x v="2"/>
    <m/>
    <x v="18"/>
    <n v="2"/>
    <x v="7"/>
    <n v="39220"/>
    <n v="15040"/>
    <n v="6"/>
    <n v="24180"/>
    <n v="22729.200000000001"/>
    <s v="грин00740"/>
    <x v="20"/>
  </r>
  <r>
    <s v="Акт входного контроля грин00741 от 28.08.2025 20:51:29"/>
    <n v="1294"/>
    <n v="58427"/>
    <x v="3"/>
    <s v="Никитась Сергей Анатольевич"/>
    <s v="К570ЕО"/>
    <x v="7"/>
    <x v="10"/>
    <x v="2"/>
    <m/>
    <x v="18"/>
    <n v="2"/>
    <x v="7"/>
    <n v="39160"/>
    <n v="14970"/>
    <n v="7"/>
    <n v="24190"/>
    <n v="22496.7"/>
    <s v="грин00741"/>
    <x v="20"/>
  </r>
  <r>
    <s v="Акт входного контроля грин00742 от 28.08.2025 21:08:01"/>
    <n v="1295"/>
    <n v="58437"/>
    <x v="3"/>
    <s v="Ховятский АМ"/>
    <s v="Р684ОХ"/>
    <x v="7"/>
    <x v="10"/>
    <x v="2"/>
    <m/>
    <x v="18"/>
    <n v="2.2000000000000002"/>
    <x v="7"/>
    <n v="40960"/>
    <n v="14620"/>
    <n v="7"/>
    <n v="26340"/>
    <n v="24496.2"/>
    <s v="грин00742"/>
    <x v="20"/>
  </r>
  <r>
    <s v="Акт входного контроля грин00743 от 28.08.2025 21:17:05"/>
    <n v="1296"/>
    <n v="58425"/>
    <x v="3"/>
    <s v="Сотников Сергей Кириллович"/>
    <s v="Т443МВ"/>
    <x v="7"/>
    <x v="10"/>
    <x v="2"/>
    <m/>
    <x v="18"/>
    <n v="2.2000000000000002"/>
    <x v="7"/>
    <n v="41180"/>
    <n v="15670"/>
    <n v="9"/>
    <n v="25510"/>
    <n v="23214.1"/>
    <s v="грин00743"/>
    <x v="20"/>
  </r>
  <r>
    <s v="Акт входного контроля грин00744 от 28.08.2025 21:53:38"/>
    <n v="1297"/>
    <n v="58440"/>
    <x v="3"/>
    <s v="Пугачев Сергей Викторович"/>
    <s v="Р258УХ"/>
    <x v="7"/>
    <x v="10"/>
    <x v="2"/>
    <m/>
    <x v="18"/>
    <n v="2.2000000000000002"/>
    <x v="7"/>
    <n v="39780"/>
    <n v="15580"/>
    <n v="6"/>
    <n v="24200"/>
    <n v="22748"/>
    <s v="грин00744"/>
    <x v="20"/>
  </r>
  <r>
    <s v="Акт входного контроля грин00745 от 28.08.2025 22:44:32"/>
    <n v="1298"/>
    <n v="58448"/>
    <x v="3"/>
    <s v="Рыбалкин АН"/>
    <s v="Р687УК"/>
    <x v="7"/>
    <x v="10"/>
    <x v="2"/>
    <m/>
    <x v="18"/>
    <n v="2.2999999999999998"/>
    <x v="7"/>
    <n v="42440"/>
    <n v="16120"/>
    <n v="6"/>
    <n v="26320"/>
    <n v="24740.799999999999"/>
    <s v="грин00745"/>
    <x v="20"/>
  </r>
  <r>
    <s v="Акт входного контроля грин00746 от 29.08.2025 8:06:45"/>
    <n v="1300"/>
    <n v="58445"/>
    <x v="3"/>
    <s v="Давыденко Юрий Викторович"/>
    <s v="У094СР"/>
    <x v="6"/>
    <x v="5"/>
    <x v="2"/>
    <m/>
    <x v="18"/>
    <n v="1.4"/>
    <x v="6"/>
    <n v="43980"/>
    <n v="17080"/>
    <n v="13"/>
    <n v="26900"/>
    <n v="23403"/>
    <s v="грин00746"/>
    <x v="21"/>
  </r>
  <r>
    <s v="Акт входного контроля грин00747 от 29.08.2025 9:24:57"/>
    <n v="1302"/>
    <n v="58450"/>
    <x v="3"/>
    <s v="Затонский Сергей Анатольевич"/>
    <s v="Е647РМ"/>
    <x v="6"/>
    <x v="5"/>
    <x v="2"/>
    <m/>
    <x v="18"/>
    <n v="1.1000000000000001"/>
    <x v="6"/>
    <n v="35120"/>
    <n v="14740"/>
    <n v="8"/>
    <n v="20380"/>
    <n v="18749.599999999999"/>
    <s v="грин00747"/>
    <x v="21"/>
  </r>
  <r>
    <s v="Акт входного контроля грин00748 от 29.08.2025 11:03:03"/>
    <n v="1303"/>
    <n v="58452"/>
    <x v="3"/>
    <s v="Демченко Анатолий Григорьевич"/>
    <s v="Р818СЕ"/>
    <x v="6"/>
    <x v="5"/>
    <x v="2"/>
    <m/>
    <x v="18"/>
    <n v="1.2"/>
    <x v="6"/>
    <n v="37730"/>
    <n v="14970"/>
    <n v="6"/>
    <n v="22760"/>
    <n v="21394.400000000001"/>
    <s v="грин00748"/>
    <x v="21"/>
  </r>
  <r>
    <s v="Акт входного контроля грин00749 от 29.08.2025 11:15:52"/>
    <n v="1304"/>
    <n v="58523"/>
    <x v="3"/>
    <s v="Богучарский А. И."/>
    <s v="Е404УС"/>
    <x v="6"/>
    <x v="5"/>
    <x v="2"/>
    <m/>
    <x v="18"/>
    <n v="1.2"/>
    <x v="6"/>
    <n v="36380"/>
    <n v="13920"/>
    <n v="7"/>
    <n v="22460"/>
    <n v="20887.8"/>
    <s v="грин00749"/>
    <x v="21"/>
  </r>
  <r>
    <s v="Акт входного контроля грин00750 от 29.08.2025 11:26:40"/>
    <n v="1305"/>
    <n v="58492"/>
    <x v="3"/>
    <s v="Мудрак Вадим Васильевич"/>
    <s v="Х514ОК"/>
    <x v="6"/>
    <x v="5"/>
    <x v="2"/>
    <m/>
    <x v="18"/>
    <n v="1.3"/>
    <x v="6"/>
    <n v="45120"/>
    <n v="20860"/>
    <n v="8"/>
    <n v="24260"/>
    <n v="22319.200000000001"/>
    <s v="грин00750"/>
    <x v="21"/>
  </r>
  <r>
    <s v="Акт входного контроля грин00751 от 29.08.2025 11:38:52"/>
    <n v="1306"/>
    <n v="58462"/>
    <x v="3"/>
    <s v="Бондаренко Николай Николаевич"/>
    <s v="А315МК"/>
    <x v="6"/>
    <x v="5"/>
    <x v="2"/>
    <m/>
    <x v="18"/>
    <n v="1.2"/>
    <x v="6"/>
    <n v="35850"/>
    <n v="13980"/>
    <n v="8"/>
    <n v="21870"/>
    <n v="20120.400000000001"/>
    <s v="грин00751"/>
    <x v="21"/>
  </r>
  <r>
    <s v="Акт входного контроля грин00752 от 29.08.2025 12:31:33"/>
    <n v="1307"/>
    <n v="58525"/>
    <x v="3"/>
    <s v="Кудря Евгений"/>
    <s v="А719ОО"/>
    <x v="6"/>
    <x v="5"/>
    <x v="2"/>
    <m/>
    <x v="18"/>
    <n v="1.2"/>
    <x v="6"/>
    <n v="37740"/>
    <n v="15030"/>
    <n v="4"/>
    <n v="22710"/>
    <n v="21801.599999999999"/>
    <s v="грин00752"/>
    <x v="21"/>
  </r>
  <r>
    <s v="Акт входного контроля грин00753 от 29.08.2025 14:13:54"/>
    <n v="1311"/>
    <n v="58535"/>
    <x v="3"/>
    <s v="Блажко Алексей Николаевич"/>
    <s v="М676КО"/>
    <x v="6"/>
    <x v="5"/>
    <x v="2"/>
    <m/>
    <x v="18"/>
    <n v="1.2"/>
    <x v="6"/>
    <n v="47000"/>
    <n v="24160"/>
    <n v="6"/>
    <n v="22840"/>
    <n v="21469.599999999999"/>
    <s v="грин00753"/>
    <x v="21"/>
  </r>
  <r>
    <s v="Акт входного контроля грин00754 от 29.08.2025 14:28:42"/>
    <n v="1312"/>
    <n v="58513"/>
    <x v="3"/>
    <s v="Дик Илья Александрович"/>
    <s v="М556ХВ"/>
    <x v="6"/>
    <x v="5"/>
    <x v="2"/>
    <m/>
    <x v="18"/>
    <n v="1.4"/>
    <x v="6"/>
    <n v="42350"/>
    <n v="15590"/>
    <n v="6"/>
    <n v="26760"/>
    <n v="25154.400000000001"/>
    <s v="грин00754"/>
    <x v="21"/>
  </r>
  <r>
    <s v="Акт входного контроля грин00755 от 29.08.2025 15:55:47"/>
    <n v="1314"/>
    <n v="58537"/>
    <x v="3"/>
    <s v="Огнев Максим Викторович"/>
    <s v="Р755НН"/>
    <x v="6"/>
    <x v="5"/>
    <x v="2"/>
    <m/>
    <x v="18"/>
    <n v="1.2"/>
    <x v="6"/>
    <n v="36610"/>
    <n v="14740"/>
    <n v="6"/>
    <n v="21870"/>
    <n v="20557.8"/>
    <s v="грин00755"/>
    <x v="21"/>
  </r>
  <r>
    <s v="Акт входного контроля грин00756 от 29.08.2025 16:04:24"/>
    <n v="1315"/>
    <n v="58539"/>
    <x v="3"/>
    <s v="Аладин Василий Сергеевич"/>
    <s v="Т110ТМ"/>
    <x v="6"/>
    <x v="5"/>
    <x v="2"/>
    <m/>
    <x v="18"/>
    <n v="1.2"/>
    <x v="6"/>
    <n v="37510"/>
    <n v="14910"/>
    <n v="8"/>
    <n v="22600"/>
    <n v="20792"/>
    <s v="грин00756"/>
    <x v="21"/>
  </r>
  <r>
    <s v="Акт входного контроля грин00757 от 29.08.2025 19:28:55"/>
    <n v="1332"/>
    <n v="58542"/>
    <x v="3"/>
    <s v="Магадиев Александр Сайлаувич"/>
    <s v="У184НО"/>
    <x v="6"/>
    <x v="5"/>
    <x v="2"/>
    <m/>
    <x v="19"/>
    <n v="1.4"/>
    <x v="6"/>
    <n v="38140"/>
    <n v="14430"/>
    <n v="6"/>
    <n v="23710"/>
    <n v="22287.4"/>
    <s v="грин00757"/>
    <x v="21"/>
  </r>
  <r>
    <s v="Акт входного контроля грин00758 от 29.08.2025 19:47:32"/>
    <n v="1333"/>
    <n v="58544"/>
    <x v="3"/>
    <s v="Ревенко Андрей Вячеславович"/>
    <s v="А781РР"/>
    <x v="6"/>
    <x v="5"/>
    <x v="2"/>
    <m/>
    <x v="19"/>
    <n v="1.4"/>
    <x v="6"/>
    <n v="38140"/>
    <n v="15040"/>
    <n v="5"/>
    <n v="23100"/>
    <n v="21945"/>
    <s v="грин00758"/>
    <x v="21"/>
  </r>
  <r>
    <s v="Акт входного контроля грин00759 от 29.08.2025 22:01:41"/>
    <n v="1335"/>
    <n v="58509"/>
    <x v="3"/>
    <s v="Долгих Николай Петрович"/>
    <s v="У726ЕР"/>
    <x v="6"/>
    <x v="5"/>
    <x v="2"/>
    <m/>
    <x v="19"/>
    <n v="1.4"/>
    <x v="6"/>
    <n v="38340"/>
    <n v="15030"/>
    <n v="6"/>
    <n v="23310"/>
    <n v="21911.4"/>
    <s v="грин00759"/>
    <x v="21"/>
  </r>
  <r>
    <s v="Акт входного контроля грин00760 от 29.08.2025 23:09:54"/>
    <n v="1336"/>
    <n v="58511"/>
    <x v="3"/>
    <s v="Ковырев Владислав Анатольевич"/>
    <s v="М057АО"/>
    <x v="6"/>
    <x v="5"/>
    <x v="2"/>
    <m/>
    <x v="19"/>
    <n v="1.4"/>
    <x v="6"/>
    <n v="37500"/>
    <n v="14450"/>
    <n v="8"/>
    <n v="23050"/>
    <n v="21206"/>
    <s v="грин00760"/>
    <x v="21"/>
  </r>
  <r>
    <s v="Акт входного контроля грин00761 от 29.08.2025 23:37:47"/>
    <n v="1337"/>
    <n v="58546"/>
    <x v="3"/>
    <s v="Извеков Владимир Владимирович"/>
    <s v="Н378ХЕ"/>
    <x v="6"/>
    <x v="5"/>
    <x v="2"/>
    <m/>
    <x v="19"/>
    <n v="1.4"/>
    <x v="6"/>
    <n v="38710"/>
    <n v="15400"/>
    <n v="4"/>
    <n v="23310"/>
    <n v="22377.599999999999"/>
    <s v="грин00761"/>
    <x v="21"/>
  </r>
  <r>
    <s v="Акт входного контроля грин00762 от 29.08.2025 20:38:29"/>
    <n v="1338"/>
    <n v="58548"/>
    <x v="3"/>
    <s v="Фомин Николай Григорьевич"/>
    <s v="А731ВА"/>
    <x v="6"/>
    <x v="5"/>
    <x v="2"/>
    <m/>
    <x v="19"/>
    <n v="1.5"/>
    <x v="6"/>
    <n v="39510"/>
    <n v="14930"/>
    <n v="7"/>
    <n v="24580"/>
    <n v="22859.4"/>
    <s v="грин00762"/>
    <x v="21"/>
  </r>
  <r>
    <s v="Акт входного контроля грин00763 от 29.08.2025 22:25:02"/>
    <n v="1339"/>
    <n v="58552"/>
    <x v="3"/>
    <s v="Чернецов Александр Михайлович"/>
    <s v="Р866РМ"/>
    <x v="6"/>
    <x v="5"/>
    <x v="2"/>
    <m/>
    <x v="19"/>
    <n v="1.5"/>
    <x v="6"/>
    <n v="39920"/>
    <n v="14980"/>
    <n v="9"/>
    <n v="24940"/>
    <n v="22695.4"/>
    <s v="грин00763"/>
    <x v="21"/>
  </r>
  <r>
    <s v="Акт входного контроля грин00764 от 29.08.2025 22:29:59"/>
    <n v="1340"/>
    <n v="58550"/>
    <x v="3"/>
    <s v="Ушаков С Е."/>
    <s v="О212РТ"/>
    <x v="6"/>
    <x v="5"/>
    <x v="2"/>
    <m/>
    <x v="19"/>
    <n v="1.4"/>
    <x v="6"/>
    <n v="37500"/>
    <n v="14230"/>
    <n v="6"/>
    <n v="23270"/>
    <n v="21873.8"/>
    <s v="грин00764"/>
    <x v="21"/>
  </r>
  <r>
    <s v="Акт входного контроля грин00765 от 30.08.2025 1:53:01"/>
    <n v="1341"/>
    <n v="58554"/>
    <x v="3"/>
    <s v="Емец Р.А."/>
    <s v="У315НХ"/>
    <x v="6"/>
    <x v="5"/>
    <x v="2"/>
    <m/>
    <x v="19"/>
    <n v="1.4"/>
    <x v="6"/>
    <n v="38670"/>
    <n v="15590"/>
    <n v="8"/>
    <n v="23080"/>
    <n v="21233.599999999999"/>
    <s v="грин00765"/>
    <x v="22"/>
  </r>
  <r>
    <s v="Акт входного контроля грин00766 от 30.08.2025 2:44:40"/>
    <n v="1342"/>
    <n v="58556"/>
    <x v="3"/>
    <s v="Рудик Александр Иванович"/>
    <s v="А309АТ"/>
    <x v="6"/>
    <x v="5"/>
    <x v="2"/>
    <m/>
    <x v="19"/>
    <n v="1.4"/>
    <x v="6"/>
    <n v="37010"/>
    <n v="14710"/>
    <n v="3"/>
    <n v="22300"/>
    <n v="21631"/>
    <s v="грин00766"/>
    <x v="22"/>
  </r>
  <r>
    <s v="Акт входного контроля грин00767 от 30.08.2025 2:58:09"/>
    <n v="1343"/>
    <n v="58558"/>
    <x v="3"/>
    <s v="Чернышов Александр Павлович"/>
    <s v="М704ТС"/>
    <x v="6"/>
    <x v="5"/>
    <x v="2"/>
    <m/>
    <x v="19"/>
    <n v="1.5"/>
    <x v="6"/>
    <n v="40570"/>
    <n v="16370"/>
    <n v="5"/>
    <n v="24200"/>
    <n v="22990"/>
    <s v="грин00767"/>
    <x v="22"/>
  </r>
  <r>
    <s v="Акт входного контроля грин00768 от 30.08.2025 5:20:19"/>
    <n v="1345"/>
    <n v="58560"/>
    <x v="3"/>
    <s v="Пищев Александр Васильевич "/>
    <s v="Т522ОН"/>
    <x v="6"/>
    <x v="5"/>
    <x v="2"/>
    <m/>
    <x v="19"/>
    <n v="1.6"/>
    <x v="6"/>
    <n v="45080"/>
    <n v="19250"/>
    <n v="9"/>
    <n v="25830"/>
    <n v="23505.3"/>
    <s v="грин00768"/>
    <x v="22"/>
  </r>
  <r>
    <s v="Акт входного контроля грин00769 от 30.08.2025 6:29:05"/>
    <n v="1346"/>
    <n v="58562"/>
    <x v="3"/>
    <s v="Глушенко Александр Иванович"/>
    <s v="Н735ВК"/>
    <x v="6"/>
    <x v="5"/>
    <x v="2"/>
    <m/>
    <x v="19"/>
    <n v="1.4"/>
    <x v="6"/>
    <n v="40030"/>
    <n v="16630"/>
    <n v="7"/>
    <n v="23400"/>
    <n v="21762"/>
    <s v="грин00769"/>
    <x v="22"/>
  </r>
  <r>
    <s v="Акт входного контроля грин00770 от 30.08.2025 7:07:15"/>
    <n v="1347"/>
    <n v="58579"/>
    <x v="3"/>
    <s v="Кулинич Евгений Владимирович"/>
    <s v="У801СТ"/>
    <x v="6"/>
    <x v="5"/>
    <x v="2"/>
    <m/>
    <x v="19"/>
    <n v="1.4"/>
    <x v="6"/>
    <n v="38330"/>
    <n v="15050"/>
    <n v="5"/>
    <n v="23280"/>
    <n v="22116"/>
    <s v="грин00770"/>
    <x v="22"/>
  </r>
  <r>
    <s v="Акт входного контроля грин00771 от 30.08.2025 9:15:46"/>
    <n v="1348"/>
    <n v="58573"/>
    <x v="3"/>
    <s v="Веревкин Андрей Александрович"/>
    <s v="Н234ВК"/>
    <x v="6"/>
    <x v="5"/>
    <x v="2"/>
    <m/>
    <x v="19"/>
    <n v="1.4"/>
    <x v="6"/>
    <n v="39890"/>
    <n v="16530"/>
    <n v="5"/>
    <n v="23360"/>
    <n v="22192"/>
    <s v="грин00771"/>
    <x v="22"/>
  </r>
  <r>
    <s v="Акт входного контроля грин00772 от 30.08.2025 9:15:15"/>
    <n v="1349"/>
    <n v="58600"/>
    <x v="3"/>
    <s v="Сероштан Станислав Викторович"/>
    <s v="Е758РЕ"/>
    <x v="6"/>
    <x v="5"/>
    <x v="2"/>
    <m/>
    <x v="19"/>
    <n v="1.4"/>
    <x v="6"/>
    <n v="37300"/>
    <n v="14700"/>
    <n v="5"/>
    <n v="22600"/>
    <n v="21470"/>
    <s v="грин00772"/>
    <x v="22"/>
  </r>
  <r>
    <s v="Акт входного контроля грин00773 от 30.08.2025 10:06:15"/>
    <n v="1350"/>
    <n v="58581"/>
    <x v="3"/>
    <s v="Никитась Сергей Анатольевич"/>
    <s v="К570ЕО"/>
    <x v="6"/>
    <x v="5"/>
    <x v="2"/>
    <m/>
    <x v="19"/>
    <n v="1.4"/>
    <x v="6"/>
    <n v="38480"/>
    <n v="14960"/>
    <n v="6"/>
    <n v="23520"/>
    <n v="22108.799999999999"/>
    <s v="грин00773"/>
    <x v="22"/>
  </r>
  <r>
    <s v="Акт входного контроля грин00774 от 30.08.2025 10:52:59"/>
    <n v="1356"/>
    <n v="58604"/>
    <x v="3"/>
    <s v="Рыбалкин АН"/>
    <s v="Р687УК"/>
    <x v="6"/>
    <x v="5"/>
    <x v="2"/>
    <m/>
    <x v="19"/>
    <n v="1.5"/>
    <x v="6"/>
    <n v="41450"/>
    <n v="16100"/>
    <n v="10"/>
    <n v="25350"/>
    <n v="22815"/>
    <s v="грин00774"/>
    <x v="22"/>
  </r>
  <r>
    <s v="Акт входного контроля грин00775 от 30.08.2025 11:58:56"/>
    <n v="1357"/>
    <n v="58606"/>
    <x v="3"/>
    <s v="Пугачев Сергей Викторович"/>
    <s v="Р258УХ"/>
    <x v="6"/>
    <x v="5"/>
    <x v="2"/>
    <m/>
    <x v="19"/>
    <n v="1.5"/>
    <x v="6"/>
    <n v="39380"/>
    <n v="15570"/>
    <n v="7"/>
    <n v="23810"/>
    <n v="22143.3"/>
    <s v="грин00775"/>
    <x v="22"/>
  </r>
  <r>
    <s v="Акт входного контроля грин00776 от 30.08.2025 12:40:43"/>
    <n v="1358"/>
    <n v="58616"/>
    <x v="3"/>
    <s v="Сотников Сергей Кириллович"/>
    <s v="Т443МВ"/>
    <x v="6"/>
    <x v="5"/>
    <x v="2"/>
    <m/>
    <x v="19"/>
    <n v="1.5"/>
    <x v="6"/>
    <n v="40820"/>
    <n v="15930"/>
    <n v="8"/>
    <n v="24890"/>
    <n v="22898.799999999999"/>
    <s v="грин00776"/>
    <x v="22"/>
  </r>
  <r>
    <s v="Акт входного контроля грин00777 от 30.08.2025 16:50:48"/>
    <n v="1360"/>
    <n v="58618"/>
    <x v="3"/>
    <s v="Бербеницкий Сергей Николаевич"/>
    <s v="С400РР"/>
    <x v="6"/>
    <x v="5"/>
    <x v="2"/>
    <m/>
    <x v="20"/>
    <n v="0.7"/>
    <x v="6"/>
    <n v="41880"/>
    <n v="15140"/>
    <n v="7"/>
    <n v="26740"/>
    <n v="24868.2"/>
    <s v="грин00777"/>
    <x v="22"/>
  </r>
  <r>
    <s v="Акт входного контроля грин00778 от 30.08.2025 17:39:30"/>
    <n v="1362"/>
    <n v="58620"/>
    <x v="3"/>
    <s v="Ховятский АМ"/>
    <s v="Р684ОХ"/>
    <x v="6"/>
    <x v="5"/>
    <x v="2"/>
    <m/>
    <x v="20"/>
    <n v="0.7"/>
    <x v="6"/>
    <n v="39830"/>
    <n v="14600"/>
    <n v="6"/>
    <n v="25230"/>
    <n v="23716.2"/>
    <s v="грин00778"/>
    <x v="22"/>
  </r>
  <r>
    <s v="Акт входного контроля грин00779 от 30.08.2025 19:04:33"/>
    <n v="1363"/>
    <n v="58624"/>
    <x v="3"/>
    <s v="Мудрак Вадим Васильевич"/>
    <s v="Х514ОК"/>
    <x v="6"/>
    <x v="5"/>
    <x v="2"/>
    <m/>
    <x v="20"/>
    <n v="0.7"/>
    <x v="6"/>
    <n v="45060"/>
    <n v="20930"/>
    <n v="11"/>
    <n v="24130"/>
    <n v="21475.7"/>
    <s v="грин00779"/>
    <x v="22"/>
  </r>
  <r>
    <s v="Акт входного контроля грин00780 от 30.08.2025 21:32:32"/>
    <n v="1364"/>
    <n v="58626"/>
    <x v="3"/>
    <s v="Данильченко Ю.А."/>
    <s v="Р347КА"/>
    <x v="6"/>
    <x v="10"/>
    <x v="2"/>
    <m/>
    <x v="20"/>
    <n v="1.3"/>
    <x v="6"/>
    <n v="40770"/>
    <n v="14940"/>
    <n v="12"/>
    <n v="25830"/>
    <n v="22730.400000000001"/>
    <s v="грин00780"/>
    <x v="22"/>
  </r>
  <r>
    <s v="Акт входного контроля грин00781 от 30.08.2025 21:57:24"/>
    <n v="1365"/>
    <n v="58628"/>
    <x v="3"/>
    <s v="Черевко Александр Владимирович"/>
    <s v="А114МК"/>
    <x v="6"/>
    <x v="10"/>
    <x v="2"/>
    <m/>
    <x v="20"/>
    <n v="1.1000000000000001"/>
    <x v="6"/>
    <n v="37480"/>
    <n v="14540"/>
    <n v="13"/>
    <n v="22940"/>
    <n v="19957.8"/>
    <s v="грин00781"/>
    <x v="22"/>
  </r>
  <r>
    <s v="Акт входного контроля грин00782 от 31.08.2025 1:06:05"/>
    <n v="1367"/>
    <n v="58632"/>
    <x v="3"/>
    <s v="Демченко Анатолий Григорьевич"/>
    <s v="Р818СЕ"/>
    <x v="6"/>
    <x v="10"/>
    <x v="2"/>
    <m/>
    <x v="20"/>
    <n v="1.2"/>
    <x v="6"/>
    <n v="38810"/>
    <n v="14800"/>
    <n v="9"/>
    <n v="24010"/>
    <n v="21849.1"/>
    <s v="грин00782"/>
    <x v="23"/>
  </r>
  <r>
    <s v="Акт входного контроля грин00783 от 30.08.2025 23:59:07"/>
    <n v="1366"/>
    <n v="58630"/>
    <x v="3"/>
    <s v="Давыденко Юрий Викторович"/>
    <s v="У094СР"/>
    <x v="6"/>
    <x v="10"/>
    <x v="2"/>
    <m/>
    <x v="20"/>
    <n v="1.2"/>
    <x v="6"/>
    <n v="41850"/>
    <n v="17020"/>
    <n v="8"/>
    <n v="24830"/>
    <n v="22843.599999999999"/>
    <s v="грин00783"/>
    <x v="22"/>
  </r>
  <r>
    <s v="Акт входного контроля грин00784 от 31.08.2025 2:32:39"/>
    <n v="1368"/>
    <n v="58634"/>
    <x v="3"/>
    <s v="Затонский Сергей Анатольевич"/>
    <s v="Е647РМ"/>
    <x v="6"/>
    <x v="10"/>
    <x v="2"/>
    <m/>
    <x v="20"/>
    <n v="1.1000000000000001"/>
    <x v="6"/>
    <n v="36860"/>
    <n v="14770"/>
    <n v="9"/>
    <n v="22090"/>
    <n v="20101.900000000001"/>
    <s v="грин00784"/>
    <x v="23"/>
  </r>
  <r>
    <s v="Акт входного контроля грин00785 от 31.08.2025 4:38:32"/>
    <n v="1369"/>
    <n v="58636"/>
    <x v="3"/>
    <s v="Блажко Алексей Николаевич"/>
    <s v="М676КО"/>
    <x v="6"/>
    <x v="10"/>
    <x v="2"/>
    <m/>
    <x v="20"/>
    <n v="1.2"/>
    <x v="6"/>
    <n v="47140"/>
    <n v="24020"/>
    <n v="9"/>
    <n v="23120"/>
    <n v="21039.200000000001"/>
    <s v="грин00785"/>
    <x v="23"/>
  </r>
  <r>
    <s v="Акт входного контроля грин00786 от 31.08.2025 5:48:45"/>
    <n v="1370"/>
    <n v="58638"/>
    <x v="3"/>
    <s v="Дик Илья Александрович"/>
    <s v="М556ХВ"/>
    <x v="6"/>
    <x v="10"/>
    <x v="2"/>
    <m/>
    <x v="20"/>
    <n v="1.4"/>
    <x v="6"/>
    <n v="43170"/>
    <n v="15520"/>
    <n v="12"/>
    <n v="27650"/>
    <n v="24332"/>
    <s v="грин00786"/>
    <x v="23"/>
  </r>
  <r>
    <s v="Акт входного контроля грин00787 от 31.08.2025 7:58:52"/>
    <n v="1371"/>
    <n v="58640"/>
    <x v="3"/>
    <s v="Огнев Максим Викторович"/>
    <s v="Р755НН"/>
    <x v="8"/>
    <x v="7"/>
    <x v="2"/>
    <m/>
    <x v="20"/>
    <n v="1.5"/>
    <x v="8"/>
    <n v="37630"/>
    <n v="14730"/>
    <n v="8"/>
    <n v="22900"/>
    <n v="21068"/>
    <s v="грин00787"/>
    <x v="23"/>
  </r>
  <r>
    <s v="Акт входного контроля грин00788 от 31.08.2025 8:12:31"/>
    <n v="1372"/>
    <n v="58642"/>
    <x v="3"/>
    <s v="Аладин Василий Сергеевич"/>
    <s v="Т110ТМ"/>
    <x v="8"/>
    <x v="7"/>
    <x v="2"/>
    <m/>
    <x v="20"/>
    <n v="1.5"/>
    <x v="8"/>
    <n v="36920"/>
    <n v="14860"/>
    <n v="19"/>
    <n v="22060"/>
    <n v="17868.599999999999"/>
    <s v="грин00788"/>
    <x v="23"/>
  </r>
  <r>
    <s v="Акт входного контроля грин00789 от 31.08.2025 10:20:39"/>
    <n v="1373"/>
    <n v="58648"/>
    <x v="3"/>
    <s v="Бондаренко Николай Николаевич"/>
    <s v="А315МК"/>
    <x v="8"/>
    <x v="7"/>
    <x v="2"/>
    <m/>
    <x v="20"/>
    <n v="1.4"/>
    <x v="8"/>
    <n v="35040"/>
    <n v="13970"/>
    <n v="9"/>
    <n v="21070"/>
    <n v="19173.7"/>
    <s v="грин00789"/>
    <x v="23"/>
  </r>
  <r>
    <s v="Акт входного контроля грин00790 от 31.08.2025 10:25:22"/>
    <n v="1374"/>
    <n v="58644"/>
    <x v="3"/>
    <s v="Чернецов Александр Михайлович"/>
    <s v="Р866РМ"/>
    <x v="8"/>
    <x v="7"/>
    <x v="2"/>
    <m/>
    <x v="20"/>
    <n v="1.7"/>
    <x v="8"/>
    <n v="40520"/>
    <n v="14960"/>
    <n v="7"/>
    <n v="25560"/>
    <n v="23770.799999999999"/>
    <s v="грин00790"/>
    <x v="23"/>
  </r>
  <r>
    <s v="Акт входного контроля грин00791 от 31.08.2025 11:59:09"/>
    <n v="1375"/>
    <n v="58655"/>
    <x v="3"/>
    <s v="Чернышов Александр Павлович"/>
    <s v="М704ТС"/>
    <x v="8"/>
    <x v="7"/>
    <x v="2"/>
    <m/>
    <x v="20"/>
    <n v="1.5"/>
    <x v="8"/>
    <n v="39010"/>
    <n v="16270"/>
    <n v="16"/>
    <n v="22740"/>
    <n v="19101.599999999999"/>
    <s v="грин00791"/>
    <x v="23"/>
  </r>
  <r>
    <s v="Акт входного контроля грин00792 от 31.08.2025 12:02:30"/>
    <n v="1378"/>
    <n v="58664"/>
    <x v="3"/>
    <s v="Долгих Николай Петрович"/>
    <s v="У726ЕР"/>
    <x v="8"/>
    <x v="7"/>
    <x v="2"/>
    <m/>
    <x v="20"/>
    <n v="1.6"/>
    <x v="8"/>
    <n v="38240"/>
    <n v="15010"/>
    <n v="9"/>
    <n v="23230"/>
    <n v="21139.3"/>
    <s v="грин00792"/>
    <x v="23"/>
  </r>
  <r>
    <s v="Акт входного контроля грин00793 от 31.08.2025 12:44:03"/>
    <n v="1379"/>
    <n v="58666"/>
    <x v="3"/>
    <s v="Ковырев Владислав Анатольевич"/>
    <s v="М057АО"/>
    <x v="8"/>
    <x v="7"/>
    <x v="2"/>
    <m/>
    <x v="20"/>
    <n v="1.5"/>
    <x v="8"/>
    <n v="36400"/>
    <n v="14440"/>
    <n v="6"/>
    <n v="21960"/>
    <n v="20642.400000000001"/>
    <s v="грин00793"/>
    <x v="23"/>
  </r>
  <r>
    <s v="Акт входного контроля грин00794 от 31.08.2025 13:38:02"/>
    <n v="1383"/>
    <n v="58668"/>
    <x v="3"/>
    <s v="Магадиев Александр Сайлаувич"/>
    <s v="У184НО"/>
    <x v="8"/>
    <x v="7"/>
    <x v="2"/>
    <m/>
    <x v="20"/>
    <n v="1.5"/>
    <x v="8"/>
    <n v="36500"/>
    <n v="14400"/>
    <n v="7"/>
    <n v="22100"/>
    <n v="20553"/>
    <s v="грин00794"/>
    <x v="23"/>
  </r>
  <r>
    <s v="Акт входного контроля грин00795 от 31.08.2025 16:04:55"/>
    <n v="1384"/>
    <n v="58670"/>
    <x v="3"/>
    <s v="Ревенко Андрей Вячеславович"/>
    <s v="А781РР"/>
    <x v="8"/>
    <x v="7"/>
    <x v="2"/>
    <m/>
    <x v="20"/>
    <n v="1.5"/>
    <x v="8"/>
    <n v="37270"/>
    <n v="15010"/>
    <n v="11"/>
    <n v="22260"/>
    <n v="19811.400000000001"/>
    <s v="грин00795"/>
    <x v="23"/>
  </r>
  <r>
    <s v="Акт входного контроля грин00796 от 31.08.2025 16:09:55"/>
    <n v="1385"/>
    <n v="58673"/>
    <x v="3"/>
    <s v="Извеков Владимир Владимирович"/>
    <s v="Н378ХЕ"/>
    <x v="8"/>
    <x v="7"/>
    <x v="2"/>
    <m/>
    <x v="21"/>
    <n v="1.9"/>
    <x v="8"/>
    <n v="37610"/>
    <n v="15390"/>
    <n v="13"/>
    <n v="22220"/>
    <n v="19331.400000000001"/>
    <s v="грин00796"/>
    <x v="23"/>
  </r>
  <r>
    <s v="Акт входного контроля грин00797 от 31.08.2025 17:55:02"/>
    <n v="1386"/>
    <n v="58679"/>
    <x v="3"/>
    <s v="Емец Р.А."/>
    <s v="У315НХ"/>
    <x v="8"/>
    <x v="7"/>
    <x v="2"/>
    <m/>
    <x v="21"/>
    <n v="1.8"/>
    <x v="8"/>
    <n v="37190"/>
    <n v="15550"/>
    <n v="13"/>
    <n v="21640"/>
    <n v="18826.8"/>
    <s v="грин00797"/>
    <x v="23"/>
  </r>
  <r>
    <s v="Акт входного контроля грин00798 от 31.08.2025 17:57:34"/>
    <n v="1387"/>
    <n v="58681"/>
    <x v="3"/>
    <s v="Глушенко Александр Иванович"/>
    <s v="Н735ВК"/>
    <x v="8"/>
    <x v="7"/>
    <x v="2"/>
    <m/>
    <x v="21"/>
    <n v="1.9"/>
    <x v="8"/>
    <n v="39270"/>
    <n v="16580"/>
    <n v="18"/>
    <n v="22690"/>
    <n v="18605.8"/>
    <s v="грин00798"/>
    <x v="23"/>
  </r>
  <r>
    <s v="Акт входного контроля грин00799 от 31.08.2025 19:48:40"/>
    <n v="1388"/>
    <n v="58677"/>
    <x v="3"/>
    <s v="Рудик Александр Иванович"/>
    <s v="А309АТ"/>
    <x v="8"/>
    <x v="7"/>
    <x v="2"/>
    <m/>
    <x v="21"/>
    <n v="1.9"/>
    <x v="8"/>
    <n v="37730"/>
    <n v="14630"/>
    <n v="15"/>
    <n v="23100"/>
    <n v="19635"/>
    <s v="грин00799"/>
    <x v="23"/>
  </r>
  <r>
    <s v="Акт входного контроля грин00800 от 31.08.2025 19:56:33"/>
    <n v="1389"/>
    <n v="58683"/>
    <x v="3"/>
    <s v="Веревкин Андрей Александрович"/>
    <s v="Н234ВК"/>
    <x v="8"/>
    <x v="7"/>
    <x v="2"/>
    <m/>
    <x v="21"/>
    <n v="1.8"/>
    <x v="8"/>
    <n v="38810"/>
    <n v="16620"/>
    <n v="23"/>
    <n v="22190"/>
    <n v="17086.3"/>
    <s v="грин00800"/>
    <x v="23"/>
  </r>
  <r>
    <s v="Акт входного контроля грин00801 от 31.08.2025 22:05:17"/>
    <n v="1391"/>
    <n v="58685"/>
    <x v="3"/>
    <s v="Жданов Андрей Иванович"/>
    <s v="С707ОУ"/>
    <x v="8"/>
    <x v="7"/>
    <x v="2"/>
    <m/>
    <x v="21"/>
    <n v="1.7"/>
    <x v="8"/>
    <n v="34720"/>
    <n v="14450"/>
    <n v="7"/>
    <n v="20270"/>
    <n v="18851.099999999999"/>
    <s v="грин00801"/>
    <x v="23"/>
  </r>
  <r>
    <s v="Акт входного контроля грин00802 от 31.08.2025 22:21:44"/>
    <n v="1392"/>
    <n v="58687"/>
    <x v="3"/>
    <s v="Никитась Сергей Анатольевич"/>
    <s v="К570ЕО"/>
    <x v="8"/>
    <x v="7"/>
    <x v="2"/>
    <m/>
    <x v="21"/>
    <n v="2"/>
    <x v="8"/>
    <n v="39190"/>
    <n v="14920"/>
    <n v="7"/>
    <n v="24270"/>
    <n v="22571.1"/>
    <s v="грин00802"/>
    <x v="23"/>
  </r>
  <r>
    <s v="Акт входного контроля грин00803 от 31.08.2025 23:02:32"/>
    <n v="1393"/>
    <n v="58689"/>
    <x v="3"/>
    <s v="Пугачев Сергей Викторович"/>
    <s v="Р258УХ"/>
    <x v="8"/>
    <x v="7"/>
    <x v="2"/>
    <m/>
    <x v="21"/>
    <n v="2.1"/>
    <x v="8"/>
    <n v="40230"/>
    <n v="15600"/>
    <n v="10"/>
    <n v="24630"/>
    <n v="22167"/>
    <s v="грин00803"/>
    <x v="23"/>
  </r>
  <r>
    <s v="Акт входного контроля грин00804 от 31.08.2025 22:45:34"/>
    <n v="1394"/>
    <n v="58691"/>
    <x v="3"/>
    <s v="Фомин Николай Григорьевич"/>
    <s v="А731ВА"/>
    <x v="8"/>
    <x v="7"/>
    <x v="2"/>
    <m/>
    <x v="21"/>
    <n v="1.9"/>
    <x v="8"/>
    <n v="37980"/>
    <n v="14880"/>
    <n v="14"/>
    <n v="23100"/>
    <n v="19866"/>
    <s v="грин00804"/>
    <x v="23"/>
  </r>
  <r>
    <s v="Акт входного контроля грин00805 от 31.08.2025 23:42:10"/>
    <n v="1395"/>
    <n v="58693"/>
    <x v="3"/>
    <s v="Сероштан Станислав Викторович"/>
    <s v="Е758РЕ"/>
    <x v="8"/>
    <x v="10"/>
    <x v="2"/>
    <m/>
    <x v="21"/>
    <n v="1.5"/>
    <x v="8"/>
    <n v="37800"/>
    <n v="14680"/>
    <n v="10"/>
    <n v="23120"/>
    <n v="20808"/>
    <s v="грин00805"/>
    <x v="23"/>
  </r>
  <r>
    <s v="Акт входного контроля грин00806 от 01.09.2025 1:54:18"/>
    <n v="1397"/>
    <n v="58697"/>
    <x v="3"/>
    <s v="Данильченко Ю.А."/>
    <s v="Р347КА"/>
    <x v="8"/>
    <x v="10"/>
    <x v="2"/>
    <m/>
    <x v="21"/>
    <n v="1.6"/>
    <x v="8"/>
    <n v="39790"/>
    <n v="14970"/>
    <n v="15"/>
    <n v="24820"/>
    <n v="21097"/>
    <s v="грин00806"/>
    <x v="24"/>
  </r>
  <r>
    <s v="Акт входного контроля грин00807 от 01.09.2025 3:29:16"/>
    <n v="1398"/>
    <n v="58695"/>
    <x v="3"/>
    <s v="Пищев Александр Васильевич "/>
    <s v="Т522ОН"/>
    <x v="8"/>
    <x v="10"/>
    <x v="2"/>
    <m/>
    <x v="21"/>
    <n v="1.7"/>
    <x v="8"/>
    <n v="46220"/>
    <n v="19330"/>
    <n v="10"/>
    <n v="26890"/>
    <n v="24201"/>
    <s v="грин00807"/>
    <x v="24"/>
  </r>
  <r>
    <s v="Акт входного контроля грин00808 от 01.09.2025 4:16:48"/>
    <n v="1399"/>
    <n v="58699"/>
    <x v="3"/>
    <s v="Сотников Сергей Кириллович"/>
    <s v="Т443МВ"/>
    <x v="8"/>
    <x v="10"/>
    <x v="2"/>
    <m/>
    <x v="21"/>
    <n v="1.6"/>
    <x v="8"/>
    <n v="41690"/>
    <n v="15650"/>
    <n v="8"/>
    <n v="26040"/>
    <n v="23956.799999999999"/>
    <s v="грин00808"/>
    <x v="24"/>
  </r>
  <r>
    <s v="Акт входного контроля грин00809 от 01.09.2025 4:58:06"/>
    <n v="1400"/>
    <n v="58701"/>
    <x v="3"/>
    <s v="Кулинич Евгений Владимирович"/>
    <s v="У801СТ"/>
    <x v="8"/>
    <x v="10"/>
    <x v="2"/>
    <m/>
    <x v="21"/>
    <n v="1.5"/>
    <x v="8"/>
    <n v="38130"/>
    <n v="15050"/>
    <n v="10"/>
    <n v="23080"/>
    <n v="20772"/>
    <s v="грин00809"/>
    <x v="24"/>
  </r>
  <r>
    <s v="Акт входного контроля грин00810 от 01.09.2025 5:53:17"/>
    <n v="1402"/>
    <n v="58707"/>
    <x v="3"/>
    <s v="Демченко Анатолий Григорьевич"/>
    <s v="Р818СЕ"/>
    <x v="8"/>
    <x v="10"/>
    <x v="2"/>
    <m/>
    <x v="21"/>
    <n v="0.4"/>
    <x v="8"/>
    <n v="15790"/>
    <n v="10120"/>
    <n v="7"/>
    <n v="5670"/>
    <n v="5273.1"/>
    <s v="грин00810"/>
    <x v="24"/>
  </r>
  <r>
    <s v="Акт входного контроля грин00811 от 01.09.2025 5:55:45"/>
    <n v="1401"/>
    <n v="58703"/>
    <x v="3"/>
    <s v="Ховятский АМ"/>
    <s v="Р684ОХ"/>
    <x v="8"/>
    <x v="10"/>
    <x v="2"/>
    <m/>
    <x v="21"/>
    <n v="1.5"/>
    <x v="8"/>
    <n v="39010"/>
    <n v="14620"/>
    <n v="9"/>
    <n v="24390"/>
    <n v="22194.9"/>
    <s v="грин00811"/>
    <x v="24"/>
  </r>
  <r>
    <s v="Акт входного контроля грин00812 от 01.09.2025 6:35:49"/>
    <n v="1403"/>
    <n v="58705"/>
    <x v="3"/>
    <s v="Рыбалкин АН"/>
    <s v="Р687УК"/>
    <x v="8"/>
    <x v="10"/>
    <x v="2"/>
    <m/>
    <x v="21"/>
    <n v="1.5"/>
    <x v="8"/>
    <n v="41010"/>
    <n v="16100"/>
    <n v="13"/>
    <n v="24910"/>
    <n v="21671.7"/>
    <s v="грин00812"/>
    <x v="24"/>
  </r>
  <r>
    <s v="Акт входного контроля грин00836 от 05.09.2025 12:05:31"/>
    <n v="1434"/>
    <n v="36952"/>
    <x v="4"/>
    <s v="Богучарский А. И."/>
    <s v="Е404УС"/>
    <x v="9"/>
    <x v="1"/>
    <x v="3"/>
    <m/>
    <x v="22"/>
    <n v="1.6"/>
    <x v="9"/>
    <n v="35120"/>
    <n v="13890"/>
    <n v="8"/>
    <n v="21230"/>
    <n v="19531.599999999999"/>
    <s v="грин00836"/>
    <x v="25"/>
  </r>
  <r>
    <s v="Акт входного контроля грин00837 от 05.09.2025 12:08:14"/>
    <n v="1435"/>
    <n v="36939"/>
    <x v="4"/>
    <s v="Давыденко Юрий Викторович"/>
    <s v="У094СР"/>
    <x v="9"/>
    <x v="1"/>
    <x v="3"/>
    <m/>
    <x v="22"/>
    <n v="1.9"/>
    <x v="9"/>
    <n v="42640"/>
    <n v="17080"/>
    <n v="8"/>
    <n v="25560"/>
    <n v="23515.200000000001"/>
    <s v="грин00837"/>
    <x v="25"/>
  </r>
  <r>
    <s v="Акт входного контроля грин00838 от 05.09.2025 13:14:15"/>
    <n v="1436"/>
    <n v="36946"/>
    <x v="4"/>
    <s v="Затонский Сергей Анатольевич"/>
    <s v="Е647РМ"/>
    <x v="9"/>
    <x v="1"/>
    <x v="3"/>
    <m/>
    <x v="22"/>
    <n v="1.6"/>
    <x v="9"/>
    <n v="36340"/>
    <n v="14730"/>
    <n v="4"/>
    <n v="21610"/>
    <n v="20745.599999999999"/>
    <s v="грин00838"/>
    <x v="25"/>
  </r>
  <r>
    <s v="Акт входного контроля грин00839 от 05.09.2025 13:16:00"/>
    <n v="1437"/>
    <n v="36948"/>
    <x v="4"/>
    <s v="Демченко Анатолий Григорьевич"/>
    <s v="Р818СЕ"/>
    <x v="9"/>
    <x v="1"/>
    <x v="3"/>
    <m/>
    <x v="22"/>
    <n v="1.7"/>
    <x v="9"/>
    <n v="37830"/>
    <n v="14970"/>
    <n v="5"/>
    <n v="22860"/>
    <n v="21717"/>
    <s v="грин00839"/>
    <x v="25"/>
  </r>
  <r>
    <s v="Акт входного контроля грин00840 от 05.09.2025 13:17:54"/>
    <n v="1438"/>
    <n v="36959"/>
    <x v="4"/>
    <s v="Бербеницкий Сергей Николаевич"/>
    <s v="С400РР"/>
    <x v="9"/>
    <x v="1"/>
    <x v="3"/>
    <m/>
    <x v="22"/>
    <n v="2"/>
    <x v="9"/>
    <n v="41640"/>
    <n v="15070"/>
    <n v="4"/>
    <n v="26570"/>
    <n v="25507.200000000001"/>
    <s v="грин00840"/>
    <x v="25"/>
  </r>
  <r>
    <s v="Акт входного контроля грин00841 от 05.09.2025 13:19:55"/>
    <n v="1439"/>
    <n v="36955"/>
    <x v="4"/>
    <s v="Глушенко Александр Иванович"/>
    <s v="Н735ВК"/>
    <x v="9"/>
    <x v="1"/>
    <x v="3"/>
    <m/>
    <x v="22"/>
    <n v="1.7"/>
    <x v="9"/>
    <n v="39910"/>
    <n v="16520"/>
    <n v="5"/>
    <n v="23390"/>
    <n v="22220.5"/>
    <s v="грин00841"/>
    <x v="25"/>
  </r>
  <r>
    <s v="Акт входного контроля грин00842 от 05.09.2025 10:44:56"/>
    <n v="1441"/>
    <n v="36961"/>
    <x v="4"/>
    <s v="Чернецов Александр Михайлович"/>
    <s v="Р866РМ"/>
    <x v="9"/>
    <x v="1"/>
    <x v="3"/>
    <m/>
    <x v="22"/>
    <n v="2"/>
    <x v="9"/>
    <n v="41890"/>
    <n v="14870"/>
    <n v="4"/>
    <n v="27020"/>
    <n v="25939.200000000001"/>
    <s v="грин00842"/>
    <x v="25"/>
  </r>
  <r>
    <s v="Акт входного контроля грин00843 от 05.09.2025 10:57:55"/>
    <n v="1442"/>
    <n v="36963"/>
    <x v="4"/>
    <s v="Ушаков С Е."/>
    <s v="О212РТ"/>
    <x v="9"/>
    <x v="1"/>
    <x v="3"/>
    <m/>
    <x v="22"/>
    <n v="1.7"/>
    <x v="9"/>
    <n v="37360"/>
    <n v="14230"/>
    <n v="6"/>
    <n v="23130"/>
    <n v="21742.2"/>
    <s v="грин00843"/>
    <x v="25"/>
  </r>
  <r>
    <s v="Акт входного контроля грин00844 от 05.09.2025 11:08:43"/>
    <n v="1443"/>
    <n v="36965"/>
    <x v="4"/>
    <s v="Пугачев Сергей Викторович"/>
    <s v="Р258УХ"/>
    <x v="9"/>
    <x v="1"/>
    <x v="3"/>
    <m/>
    <x v="22"/>
    <n v="1.9"/>
    <x v="9"/>
    <n v="41100"/>
    <n v="15530"/>
    <n v="6"/>
    <n v="25570"/>
    <n v="24035.8"/>
    <s v="грин00844"/>
    <x v="25"/>
  </r>
  <r>
    <s v="Акт входного контроля грин00845 от 03.09.2025 14:11:55"/>
    <n v="1412"/>
    <n v="77183"/>
    <x v="3"/>
    <s v="Кулинич Евгений Владимирович"/>
    <s v="У801СТ"/>
    <x v="8"/>
    <x v="1"/>
    <x v="3"/>
    <m/>
    <x v="23"/>
    <n v="1.7"/>
    <x v="8"/>
    <n v="37800"/>
    <n v="15030"/>
    <n v="23"/>
    <n v="22770"/>
    <n v="17532.900000000001"/>
    <s v="грин00845"/>
    <x v="26"/>
  </r>
  <r>
    <s v="Акт входного контроля грин00846 от 05.09.2025 13:31:41"/>
    <n v="1445"/>
    <n v="36969"/>
    <x v="4"/>
    <s v="Сероштан Станислав Викторович"/>
    <s v="Е758РЕ"/>
    <x v="9"/>
    <x v="1"/>
    <x v="3"/>
    <m/>
    <x v="22"/>
    <n v="1.7"/>
    <x v="9"/>
    <n v="38140"/>
    <n v="14690"/>
    <n v="9"/>
    <n v="23450"/>
    <n v="21339.5"/>
    <s v="грин00846"/>
    <x v="25"/>
  </r>
  <r>
    <s v="Акт входного контроля грин00847 от 03.09.2025 15:49:19"/>
    <n v="1414"/>
    <n v="77185"/>
    <x v="3"/>
    <s v="Бербеницкий Сергей Николаевич"/>
    <s v="С400РР"/>
    <x v="8"/>
    <x v="1"/>
    <x v="3"/>
    <m/>
    <x v="23"/>
    <n v="1.9"/>
    <x v="8"/>
    <n v="41570"/>
    <n v="15090"/>
    <n v="15"/>
    <n v="26480"/>
    <n v="22508"/>
    <s v="грин00847"/>
    <x v="26"/>
  </r>
  <r>
    <s v="Акт входного контроля грин00848 от 03.09.2025 18:09:21"/>
    <n v="1416"/>
    <n v="77187"/>
    <x v="3"/>
    <s v="Мудрак Вадим Васильевич"/>
    <s v="Х514ОК"/>
    <x v="8"/>
    <x v="1"/>
    <x v="3"/>
    <m/>
    <x v="23"/>
    <n v="1.8"/>
    <x v="8"/>
    <n v="45070"/>
    <n v="20980"/>
    <n v="16"/>
    <n v="24090"/>
    <n v="20235.599999999999"/>
    <s v="грин00848"/>
    <x v="26"/>
  </r>
  <r>
    <s v="Акт входного контроля грин00849 от 03.09.2025 19:29:01"/>
    <n v="1417"/>
    <n v="77191"/>
    <x v="3"/>
    <s v="Мудрак Игорь Вадимович"/>
    <s v="С198УЕ"/>
    <x v="8"/>
    <x v="1"/>
    <x v="3"/>
    <m/>
    <x v="23"/>
    <n v="1.7"/>
    <x v="8"/>
    <n v="46470"/>
    <n v="24050"/>
    <n v="21"/>
    <n v="22420"/>
    <n v="17711.8"/>
    <s v="грин00849"/>
    <x v="26"/>
  </r>
  <r>
    <s v="Акт входного контроля грин00850 от 03.09.2025 19:40:00"/>
    <n v="1418"/>
    <n v="77189"/>
    <x v="3"/>
    <s v="Егоян Артем Владимирович"/>
    <s v="А701СН"/>
    <x v="8"/>
    <x v="1"/>
    <x v="3"/>
    <m/>
    <x v="23"/>
    <n v="1.7"/>
    <x v="8"/>
    <n v="38410"/>
    <n v="14850"/>
    <n v="14"/>
    <n v="23560"/>
    <n v="20261.599999999999"/>
    <s v="грин00850"/>
    <x v="26"/>
  </r>
  <r>
    <s v="Акт входного контроля грин00851 от 03.09.2025 21:03:02"/>
    <n v="1420"/>
    <n v="77193"/>
    <x v="3"/>
    <s v="Рыбалкин АН"/>
    <s v="Р687УК"/>
    <x v="8"/>
    <x v="1"/>
    <x v="3"/>
    <m/>
    <x v="23"/>
    <n v="2"/>
    <x v="8"/>
    <n v="42640"/>
    <n v="16100"/>
    <n v="11"/>
    <n v="26540"/>
    <n v="23620.6"/>
    <s v="грин00851"/>
    <x v="26"/>
  </r>
  <r>
    <s v="Акт входного контроля грин00852 от 03.09.2025 21:24:37"/>
    <n v="1421"/>
    <n v="77195"/>
    <x v="3"/>
    <s v="Бондаренко Николай Николаевич"/>
    <s v="А315МК"/>
    <x v="8"/>
    <x v="1"/>
    <x v="3"/>
    <m/>
    <x v="23"/>
    <n v="1.6"/>
    <x v="8"/>
    <n v="36260"/>
    <n v="13970"/>
    <n v="10"/>
    <n v="22290"/>
    <n v="20061"/>
    <s v="грин00852"/>
    <x v="26"/>
  </r>
  <r>
    <s v="Акт входного контроля грин00853 от 04.09.2025 13:14:00"/>
    <n v="1432"/>
    <n v="77262"/>
    <x v="3"/>
    <s v="Чернышов Александр Павлович"/>
    <s v="М704ТС"/>
    <x v="8"/>
    <x v="1"/>
    <x v="3"/>
    <m/>
    <x v="23"/>
    <n v="0.8"/>
    <x v="8"/>
    <n v="21410"/>
    <n v="10720"/>
    <n v="6"/>
    <n v="10690"/>
    <n v="10048.6"/>
    <s v="грин00853"/>
    <x v="27"/>
  </r>
  <r>
    <s v="Акт входного контроля грин00854 от 03.09.2025 23:57:43"/>
    <n v="1422"/>
    <n v="77199"/>
    <x v="3"/>
    <s v="Ховятский АМ"/>
    <s v="Р684ОХ"/>
    <x v="8"/>
    <x v="1"/>
    <x v="3"/>
    <m/>
    <x v="23"/>
    <n v="1.9"/>
    <x v="8"/>
    <n v="39940"/>
    <n v="14610"/>
    <n v="17"/>
    <n v="25330"/>
    <n v="21023.9"/>
    <s v="грин00854"/>
    <x v="26"/>
  </r>
  <r>
    <s v="Акт входного контроля грин00855 от 04.09.2025 13:05:04"/>
    <n v="1431"/>
    <n v="77247"/>
    <x v="3"/>
    <s v="Рудик Александр Иванович"/>
    <s v="А309АТ"/>
    <x v="8"/>
    <x v="1"/>
    <x v="3"/>
    <m/>
    <x v="23"/>
    <n v="1.7"/>
    <x v="8"/>
    <n v="37890"/>
    <n v="14660"/>
    <n v="7"/>
    <n v="23230"/>
    <n v="21603.9"/>
    <s v="грин00855"/>
    <x v="27"/>
  </r>
  <r>
    <s v="Акт входного контроля грин00856 от 04.09.2025 12:45:56"/>
    <n v="1429"/>
    <n v="77245"/>
    <x v="3"/>
    <s v="Емец Р.А."/>
    <s v="У315НХ"/>
    <x v="8"/>
    <x v="1"/>
    <x v="3"/>
    <m/>
    <x v="23"/>
    <n v="1.7"/>
    <x v="8"/>
    <n v="39270"/>
    <n v="15580"/>
    <n v="5"/>
    <n v="23690"/>
    <n v="22506"/>
    <s v="грин00856"/>
    <x v="27"/>
  </r>
  <r>
    <s v="Акт входного контроля грин00857 от 04.09.2025 0:05:15"/>
    <n v="1423"/>
    <n v="77197"/>
    <x v="3"/>
    <s v="Сотников Сергей Кириллович"/>
    <s v="Т443МВ"/>
    <x v="8"/>
    <x v="1"/>
    <x v="3"/>
    <m/>
    <x v="23"/>
    <n v="2"/>
    <x v="8"/>
    <n v="42970"/>
    <n v="15890"/>
    <n v="17"/>
    <n v="27080"/>
    <n v="22476.400000000001"/>
    <s v="грин00857"/>
    <x v="27"/>
  </r>
  <r>
    <s v="Акт входного контроля грин00858 от 04.09.2025 3:03:01"/>
    <n v="1426"/>
    <n v="77237"/>
    <x v="3"/>
    <s v="Извеков Владимир Владимирович"/>
    <s v="Н378ХЕ"/>
    <x v="8"/>
    <x v="1"/>
    <x v="3"/>
    <m/>
    <x v="23"/>
    <n v="1.8"/>
    <x v="8"/>
    <n v="40090"/>
    <n v="15360"/>
    <n v="9"/>
    <n v="24730"/>
    <n v="22504.3"/>
    <s v="грин00858"/>
    <x v="27"/>
  </r>
  <r>
    <s v="Акт входного контроля грин00859 от 04.09.2025 2:01:22"/>
    <n v="1425"/>
    <n v="77235"/>
    <x v="3"/>
    <s v="Фомин Николай Григорьевич"/>
    <s v="А731ВА"/>
    <x v="8"/>
    <x v="1"/>
    <x v="3"/>
    <m/>
    <x v="23"/>
    <n v="1.8"/>
    <x v="8"/>
    <n v="39210"/>
    <n v="14870"/>
    <n v="15"/>
    <n v="24340"/>
    <n v="20689"/>
    <s v="грин00859"/>
    <x v="27"/>
  </r>
  <r>
    <s v="Акт входного контроля грин00860 от 04.09.2025 1:08:02"/>
    <n v="1424"/>
    <n v="77201"/>
    <x v="3"/>
    <s v="Данильченко Ю.А."/>
    <s v="Р347КА"/>
    <x v="8"/>
    <x v="1"/>
    <x v="3"/>
    <m/>
    <x v="23"/>
    <n v="1.9"/>
    <x v="8"/>
    <n v="40780"/>
    <n v="14930"/>
    <n v="16"/>
    <n v="25850"/>
    <n v="21714"/>
    <s v="грин00860"/>
    <x v="27"/>
  </r>
  <r>
    <s v="Акт входного контроля грин00861 от 05.09.2025 15:34:38"/>
    <n v="1446"/>
    <n v="36971"/>
    <x v="4"/>
    <s v="Черевко Александр Владимирович"/>
    <s v="А114МК"/>
    <x v="9"/>
    <x v="1"/>
    <x v="3"/>
    <m/>
    <x v="22"/>
    <n v="1.7"/>
    <x v="9"/>
    <n v="37710"/>
    <n v="14560"/>
    <n v="5"/>
    <n v="23150"/>
    <n v="21992.5"/>
    <s v="грин00861"/>
    <x v="25"/>
  </r>
  <r>
    <s v="Акт входного контроля грин00862 от 05.09.2025 15:47:46"/>
    <n v="1447"/>
    <n v="36973"/>
    <x v="4"/>
    <s v="Блажко Алексей Николаевич"/>
    <s v="М676КО"/>
    <x v="9"/>
    <x v="1"/>
    <x v="3"/>
    <m/>
    <x v="22"/>
    <n v="2.2000000000000002"/>
    <x v="9"/>
    <n v="54310"/>
    <n v="24080"/>
    <n v="8"/>
    <n v="30230"/>
    <n v="27811.599999999999"/>
    <s v="грин00862"/>
    <x v="25"/>
  </r>
  <r>
    <s v="Акт входного контроля грин00863 от 05.09.2025 16:27:00"/>
    <n v="1448"/>
    <n v="36975"/>
    <x v="4"/>
    <s v="Дик Илья Александрович"/>
    <s v="М556ХВ"/>
    <x v="9"/>
    <x v="1"/>
    <x v="3"/>
    <m/>
    <x v="22"/>
    <n v="2.1"/>
    <x v="9"/>
    <n v="43750"/>
    <n v="15540"/>
    <n v="10"/>
    <n v="28210"/>
    <n v="25389"/>
    <s v="грин00863"/>
    <x v="25"/>
  </r>
  <r>
    <s v="Акт входного контроля грин00864 от 05.09.2025 16:34:37"/>
    <n v="1449"/>
    <n v="36967"/>
    <x v="4"/>
    <s v="Бондаренко Николай Николаевич"/>
    <s v="А315МК"/>
    <x v="9"/>
    <x v="1"/>
    <x v="3"/>
    <m/>
    <x v="22"/>
    <n v="1.6"/>
    <x v="9"/>
    <n v="35210"/>
    <n v="13910"/>
    <n v="11"/>
    <n v="21300"/>
    <n v="18957"/>
    <s v="грин00864"/>
    <x v="25"/>
  </r>
  <r>
    <s v="Акт входного контроля грин00865 от 05.09.2025 19:24:39"/>
    <n v="1452"/>
    <n v="36957"/>
    <x v="4"/>
    <s v="Веревкин Андрей Александрович"/>
    <s v="Н234ВК"/>
    <x v="9"/>
    <x v="1"/>
    <x v="3"/>
    <m/>
    <x v="24"/>
    <n v="0.5"/>
    <x v="9"/>
    <n v="38410"/>
    <n v="16270"/>
    <n v="12"/>
    <n v="22140"/>
    <n v="19483.2"/>
    <s v="грин00865"/>
    <x v="25"/>
  </r>
  <r>
    <s v="Акт входного контроля грин00866 от 05.09.2025 19:53:31"/>
    <n v="1454"/>
    <n v="58695"/>
    <x v="4"/>
    <s v="Пищев Александр Васильевич "/>
    <s v="Т522ОН"/>
    <x v="9"/>
    <x v="1"/>
    <x v="3"/>
    <m/>
    <x v="24"/>
    <n v="0.7"/>
    <x v="9"/>
    <n v="50040"/>
    <n v="19260"/>
    <n v="8"/>
    <n v="30780"/>
    <n v="28317.599999999999"/>
    <s v="грин00866"/>
    <x v="25"/>
  </r>
  <r>
    <s v="Акт входного контроля грин00867 от 05.09.2025 20:52:11"/>
    <n v="1455"/>
    <n v="58640"/>
    <x v="4"/>
    <s v="Огнев Максим Викторович"/>
    <s v="Р755НН"/>
    <x v="9"/>
    <x v="1"/>
    <x v="3"/>
    <m/>
    <x v="22"/>
    <n v="1.7"/>
    <x v="9"/>
    <n v="38320"/>
    <n v="14660"/>
    <n v="14"/>
    <n v="23660"/>
    <n v="20347.599999999999"/>
    <s v="грин00867"/>
    <x v="25"/>
  </r>
  <r>
    <s v="Акт входного контроля грин00868 от 05.09.2025 20:55:19"/>
    <n v="1456"/>
    <n v="58642"/>
    <x v="4"/>
    <s v="Аладин Василий Сергеевич"/>
    <s v="Т110ТМ"/>
    <x v="9"/>
    <x v="1"/>
    <x v="3"/>
    <m/>
    <x v="22"/>
    <n v="1.6"/>
    <x v="9"/>
    <n v="36840"/>
    <n v="14820"/>
    <n v="7"/>
    <n v="22020"/>
    <n v="20478.599999999999"/>
    <s v="грин00868"/>
    <x v="25"/>
  </r>
  <r>
    <s v="Акт входного контроля грин00869 от 05.09.2025 22:20:20"/>
    <n v="1458"/>
    <n v="36985"/>
    <x v="4"/>
    <s v="Ковырев Владислав Анатольевич"/>
    <s v="М057АО"/>
    <x v="9"/>
    <x v="1"/>
    <x v="3"/>
    <m/>
    <x v="22"/>
    <n v="1.6"/>
    <x v="9"/>
    <n v="36040"/>
    <n v="14480"/>
    <n v="14"/>
    <n v="21560"/>
    <n v="18541.599999999999"/>
    <s v="грин00869"/>
    <x v="25"/>
  </r>
  <r>
    <s v="Акт входного контроля грин00870 от 05.09.2025 22:23:37"/>
    <n v="1459"/>
    <n v="36987"/>
    <x v="4"/>
    <s v="Мудрак Игорь Вадимович"/>
    <s v="С198УЕ"/>
    <x v="9"/>
    <x v="1"/>
    <x v="3"/>
    <m/>
    <x v="24"/>
    <n v="0.5"/>
    <x v="9"/>
    <n v="47260"/>
    <n v="23990"/>
    <n v="19"/>
    <n v="23270"/>
    <n v="18848.7"/>
    <s v="грин00870"/>
    <x v="25"/>
  </r>
  <r>
    <s v="Акт входного контроля грин00871 от 05.09.2025 18:40:57"/>
    <n v="1460"/>
    <n v="36989"/>
    <x v="4"/>
    <s v="Егоян Артем Владимирович"/>
    <s v="А701СН"/>
    <x v="9"/>
    <x v="1"/>
    <x v="3"/>
    <m/>
    <x v="24"/>
    <n v="0.5"/>
    <x v="9"/>
    <n v="37430"/>
    <n v="14840"/>
    <n v="11"/>
    <n v="22590"/>
    <n v="20105.099999999999"/>
    <s v="грин00871"/>
    <x v="25"/>
  </r>
  <r>
    <s v="Акт входного контроля грин00872 от 05.09.2025 21:14:27"/>
    <n v="1462"/>
    <n v="36991"/>
    <x v="4"/>
    <s v="Мудрак Вадим Васильевич"/>
    <s v="Х514ОК"/>
    <x v="9"/>
    <x v="1"/>
    <x v="3"/>
    <m/>
    <x v="24"/>
    <n v="0.7"/>
    <x v="9"/>
    <n v="51650"/>
    <n v="20960"/>
    <n v="5"/>
    <n v="30690"/>
    <n v="29155.5"/>
    <s v="грин00872"/>
    <x v="25"/>
  </r>
  <r>
    <s v="Акт входного контроля грин00873 от 05.09.2025 22:43:00"/>
    <n v="1463"/>
    <n v="36993"/>
    <x v="4"/>
    <s v="Лазаренко Вячеслав Владимирович"/>
    <s v="Т239УС"/>
    <x v="9"/>
    <x v="1"/>
    <x v="3"/>
    <m/>
    <x v="24"/>
    <n v="0.5"/>
    <x v="9"/>
    <n v="39560"/>
    <n v="14810"/>
    <n v="8"/>
    <n v="24750"/>
    <n v="22770"/>
    <s v="грин00873"/>
    <x v="25"/>
  </r>
  <r>
    <s v="Акт входного контроля грин00874 от 05.09.2025 17:07:03"/>
    <n v="1457"/>
    <n v="36983"/>
    <x v="4"/>
    <s v="Долгих Николай Петрович"/>
    <s v="У726ЕР"/>
    <x v="9"/>
    <x v="1"/>
    <x v="3"/>
    <m/>
    <x v="22"/>
    <n v="1.8"/>
    <x v="9"/>
    <n v="39030"/>
    <n v="14990"/>
    <n v="7"/>
    <n v="24040"/>
    <n v="22357.200000000001"/>
    <s v="грин00874"/>
    <x v="25"/>
  </r>
  <r>
    <s v="Акт входного контроля грин00875 от 05.09.2025 22:51:52"/>
    <n v="1464"/>
    <n v="36995"/>
    <x v="4"/>
    <s v="Никитась Сергей Анатольевич"/>
    <s v="К570ЕО"/>
    <x v="9"/>
    <x v="1"/>
    <x v="3"/>
    <m/>
    <x v="24"/>
    <n v="0.5"/>
    <x v="9"/>
    <n v="41610"/>
    <n v="14950"/>
    <n v="9"/>
    <n v="26660"/>
    <n v="24260.6"/>
    <s v="грин00875"/>
    <x v="25"/>
  </r>
  <r>
    <s v="Акт входного контроля грин00877 от 07.09.2025 23:35:20"/>
    <n v="1468"/>
    <n v="37137"/>
    <x v="4"/>
    <s v="Рыбалкин АН"/>
    <s v="Р687УК"/>
    <x v="10"/>
    <x v="1"/>
    <x v="3"/>
    <m/>
    <x v="25"/>
    <n v="2"/>
    <x v="10"/>
    <n v="42420"/>
    <n v="16040"/>
    <n v="11"/>
    <n v="26380"/>
    <n v="23478.2"/>
    <s v="грин00877"/>
    <x v="28"/>
  </r>
  <r>
    <s v="Акт входного контроля грин00878 от 07.09.2025 22:46:16"/>
    <n v="1469"/>
    <n v="37139"/>
    <x v="4"/>
    <s v="Сотников Сергей Кириллович"/>
    <s v="Т443МВ"/>
    <x v="10"/>
    <x v="1"/>
    <x v="3"/>
    <m/>
    <x v="25"/>
    <n v="2"/>
    <x v="10"/>
    <n v="41610"/>
    <n v="15860"/>
    <n v="24"/>
    <n v="25750"/>
    <n v="19570"/>
    <s v="грин00878"/>
    <x v="28"/>
  </r>
  <r>
    <s v="Акт входного контроля грин00879 от 07.09.2025 23:45:10"/>
    <n v="1470"/>
    <n v="37141"/>
    <x v="4"/>
    <s v="Ховятский АМ"/>
    <s v="Р684ОХ"/>
    <x v="10"/>
    <x v="1"/>
    <x v="3"/>
    <m/>
    <x v="25"/>
    <n v="1.9"/>
    <x v="10"/>
    <n v="39610"/>
    <n v="14530"/>
    <n v="15"/>
    <n v="25080"/>
    <n v="21318"/>
    <s v="грин00879"/>
    <x v="28"/>
  </r>
  <r>
    <s v="Акт входного контроля грин00880 от 08.09.2025 13:40:07"/>
    <n v="1471"/>
    <n v="37143"/>
    <x v="4"/>
    <s v="Данильченко Ю.А."/>
    <s v="Р347КА"/>
    <x v="10"/>
    <x v="1"/>
    <x v="3"/>
    <m/>
    <x v="25"/>
    <n v="1.9"/>
    <x v="10"/>
    <n v="39580"/>
    <n v="14880"/>
    <n v="14"/>
    <n v="24700"/>
    <n v="21242"/>
    <s v="грин00880"/>
    <x v="29"/>
  </r>
  <r>
    <s v="Акт входного контроля грин00881 от 08.09.2025 13:42:28"/>
    <n v="1472"/>
    <n v="37149"/>
    <x v="4"/>
    <s v="Демченко Анатолий Григорьевич"/>
    <s v="Р818СЕ"/>
    <x v="10"/>
    <x v="1"/>
    <x v="3"/>
    <m/>
    <x v="25"/>
    <n v="1.8"/>
    <x v="10"/>
    <n v="38850"/>
    <n v="14940"/>
    <n v="20"/>
    <n v="23910"/>
    <n v="19128"/>
    <s v="грин00881"/>
    <x v="29"/>
  </r>
  <r>
    <s v="Акт входного контроля грин00882 от 08.09.2025 13:44:48"/>
    <n v="1473"/>
    <n v="37145"/>
    <x v="4"/>
    <s v="Давыденко Юрий Викторович"/>
    <s v="У094СР"/>
    <x v="10"/>
    <x v="1"/>
    <x v="3"/>
    <m/>
    <x v="25"/>
    <n v="2"/>
    <x v="10"/>
    <n v="42930"/>
    <n v="17090"/>
    <n v="16"/>
    <n v="25840"/>
    <n v="21705.599999999999"/>
    <s v="грин00882"/>
    <x v="29"/>
  </r>
  <r>
    <s v="Акт входного контроля грин00883 от 08.09.2025 13:47:58"/>
    <n v="1474"/>
    <n v="37147"/>
    <x v="4"/>
    <s v="Затонский Сергей Анатольевич"/>
    <s v="Е647РМ"/>
    <x v="10"/>
    <x v="1"/>
    <x v="3"/>
    <m/>
    <x v="25"/>
    <n v="1.6"/>
    <x v="10"/>
    <n v="36570"/>
    <n v="14800"/>
    <n v="9"/>
    <n v="21770"/>
    <n v="19810.7"/>
    <s v="грин00883"/>
    <x v="29"/>
  </r>
  <r>
    <s v="Акт входного контроля грин00884 от 08.09.2025 13:51:51"/>
    <n v="1475"/>
    <n v="37153"/>
    <x v="4"/>
    <s v="Чернышов Александр Павлович"/>
    <s v="М704ТС"/>
    <x v="10"/>
    <x v="1"/>
    <x v="3"/>
    <m/>
    <x v="25"/>
    <n v="1.7"/>
    <x v="10"/>
    <n v="39260"/>
    <n v="16260"/>
    <n v="6"/>
    <n v="23000"/>
    <n v="21620"/>
    <s v="грин00884"/>
    <x v="29"/>
  </r>
  <r>
    <s v="Акт входного контроля грин00885 от 08.09.2025 13:54:02"/>
    <n v="1476"/>
    <n v="37155"/>
    <x v="4"/>
    <s v="Богучарский А. И."/>
    <s v="Е404УС"/>
    <x v="10"/>
    <x v="1"/>
    <x v="3"/>
    <m/>
    <x v="25"/>
    <n v="1.7"/>
    <x v="10"/>
    <n v="35730"/>
    <n v="13880"/>
    <n v="21"/>
    <n v="21850"/>
    <n v="17261.5"/>
    <s v="грин00885"/>
    <x v="29"/>
  </r>
  <r>
    <s v="Акт входного контроля грин00886 от 08.09.2025 13:56:44"/>
    <n v="1477"/>
    <n v="37151"/>
    <x v="4"/>
    <s v="Бондаренко Николай Николаевич"/>
    <s v="А315МК"/>
    <x v="10"/>
    <x v="1"/>
    <x v="3"/>
    <m/>
    <x v="25"/>
    <n v="1.6"/>
    <x v="10"/>
    <n v="35690"/>
    <n v="13930"/>
    <n v="15"/>
    <n v="21760"/>
    <n v="18496"/>
    <s v="грин00886"/>
    <x v="29"/>
  </r>
  <r>
    <s v="Акт входного контроля грин00887 от 08.09.2025 13:59:35"/>
    <n v="1479"/>
    <n v="37157"/>
    <x v="4"/>
    <s v="Бербеницкий Сергей Николаевич"/>
    <s v="С400РР"/>
    <x v="10"/>
    <x v="1"/>
    <x v="3"/>
    <m/>
    <x v="25"/>
    <n v="2"/>
    <x v="10"/>
    <n v="41690"/>
    <n v="15070"/>
    <n v="16"/>
    <n v="26620"/>
    <n v="22360.799999999999"/>
    <s v="грин00887"/>
    <x v="29"/>
  </r>
  <r>
    <s v="Акт входного контроля грин00888 от 08.09.2025 8:39:56"/>
    <n v="1482"/>
    <n v="37159"/>
    <x v="4"/>
    <s v="Глушенко Александр Иванович"/>
    <s v="Н735ВК"/>
    <x v="10"/>
    <x v="1"/>
    <x v="3"/>
    <m/>
    <x v="25"/>
    <n v="1.8"/>
    <x v="10"/>
    <n v="40420"/>
    <n v="16500"/>
    <n v="12"/>
    <n v="23920"/>
    <n v="21049.599999999999"/>
    <s v="грин00888"/>
    <x v="29"/>
  </r>
  <r>
    <s v="Акт входного контроля грин00890 от 08.09.2025 14:20:49"/>
    <n v="1483"/>
    <n v="37161"/>
    <x v="4"/>
    <s v="Веревкин Андрей Александрович"/>
    <s v="Н234ВК"/>
    <x v="10"/>
    <x v="1"/>
    <x v="3"/>
    <m/>
    <x v="25"/>
    <n v="1.7"/>
    <x v="10"/>
    <n v="38710"/>
    <n v="16310"/>
    <n v="19"/>
    <n v="22400"/>
    <n v="18144"/>
    <s v="грин00890"/>
    <x v="29"/>
  </r>
  <r>
    <s v="Акт входного контроля грин00891 от 08.09.2025 14:30:13"/>
    <n v="1487"/>
    <n v="37163"/>
    <x v="4"/>
    <s v="Ревенко Андрей Вячеславович"/>
    <s v="А781РР"/>
    <x v="10"/>
    <x v="1"/>
    <x v="3"/>
    <m/>
    <x v="25"/>
    <n v="1.8"/>
    <x v="10"/>
    <n v="38340"/>
    <n v="15030"/>
    <n v="11"/>
    <n v="23310"/>
    <n v="20745.900000000001"/>
    <s v="грин00891"/>
    <x v="29"/>
  </r>
  <r>
    <s v="Акт входного контроля грин00892 от 08.09.2025 14:33:07"/>
    <n v="1488"/>
    <n v="37167"/>
    <x v="4"/>
    <s v="Емец Р.А."/>
    <s v="У315НХ"/>
    <x v="10"/>
    <x v="1"/>
    <x v="3"/>
    <m/>
    <x v="25"/>
    <n v="1.7"/>
    <x v="10"/>
    <n v="38340"/>
    <n v="15540"/>
    <n v="15"/>
    <n v="22800"/>
    <n v="19380"/>
    <s v="грин00892"/>
    <x v="29"/>
  </r>
  <r>
    <s v="Акт входного контроля грин00893 от 08.09.2025 16:42:28"/>
    <n v="1489"/>
    <n v="37165"/>
    <x v="4"/>
    <s v="Кулинич Евгений Владимирович"/>
    <s v="У801СТ"/>
    <x v="10"/>
    <x v="1"/>
    <x v="3"/>
    <m/>
    <x v="25"/>
    <n v="1.9"/>
    <x v="10"/>
    <n v="39840"/>
    <n v="15030"/>
    <n v="14"/>
    <n v="24810"/>
    <n v="21336.6"/>
    <s v="грин00893"/>
    <x v="29"/>
  </r>
  <r>
    <s v="Акт входного контроля грин00894 от 08.09.2025 16:46:29"/>
    <n v="1491"/>
    <n v="37169"/>
    <x v="4"/>
    <s v="Рудик Александр Иванович"/>
    <s v="А309АТ"/>
    <x v="10"/>
    <x v="1"/>
    <x v="3"/>
    <m/>
    <x v="25"/>
    <n v="1.8"/>
    <x v="10"/>
    <n v="38090"/>
    <n v="14680"/>
    <n v="9"/>
    <n v="23410"/>
    <n v="21303.1"/>
    <s v="грин00894"/>
    <x v="29"/>
  </r>
  <r>
    <s v="Акт входного контроля грин00895 от 08.09.2025 18:18:47"/>
    <n v="1494"/>
    <n v="37171"/>
    <x v="4"/>
    <s v="Сероштан Станислав Викторович"/>
    <s v="Е758РЕ"/>
    <x v="10"/>
    <x v="1"/>
    <x v="3"/>
    <m/>
    <x v="25"/>
    <n v="1.7"/>
    <x v="10"/>
    <n v="37670"/>
    <n v="14680"/>
    <n v="8"/>
    <n v="22990"/>
    <n v="21150.799999999999"/>
    <s v="грин00895"/>
    <x v="29"/>
  </r>
  <r>
    <s v="Акт входного контроля грин00896 от 08.09.2025 18:21:17"/>
    <n v="1495"/>
    <n v="37173"/>
    <x v="4"/>
    <s v="Фомин Николай Григорьевич"/>
    <s v="А731ВА"/>
    <x v="10"/>
    <x v="1"/>
    <x v="3"/>
    <m/>
    <x v="25"/>
    <n v="1.9"/>
    <x v="10"/>
    <n v="39320"/>
    <n v="14830"/>
    <n v="9"/>
    <n v="24490"/>
    <n v="22285.9"/>
    <s v="грин00896"/>
    <x v="29"/>
  </r>
  <r>
    <s v="Акт входного контроля грин00897 от 08.09.2025 19:53:32"/>
    <n v="1496"/>
    <n v="37175"/>
    <x v="4"/>
    <s v="Титаренко Максим Сергеевич"/>
    <s v="О398ХО"/>
    <x v="10"/>
    <x v="1"/>
    <x v="3"/>
    <m/>
    <x v="25"/>
    <n v="1.6"/>
    <x v="10"/>
    <n v="35230"/>
    <n v="14680"/>
    <n v="12"/>
    <n v="20550"/>
    <n v="18084"/>
    <s v="грин00897"/>
    <x v="29"/>
  </r>
  <r>
    <s v="Акт входного контроля грин00898 от 08.09.2025 20:58:20"/>
    <n v="1500"/>
    <n v="37177"/>
    <x v="4"/>
    <s v="Майстровский В.Н."/>
    <s v="М057АО"/>
    <x v="10"/>
    <x v="1"/>
    <x v="3"/>
    <m/>
    <x v="26"/>
    <n v="1.6"/>
    <x v="10"/>
    <n v="39450"/>
    <n v="14520"/>
    <n v="6"/>
    <n v="24930"/>
    <n v="23434.2"/>
    <s v="грин00898"/>
    <x v="29"/>
  </r>
  <r>
    <s v="Акт входного контроля грин00899 от 08.09.2025 21:19:25"/>
    <n v="1501"/>
    <n v="37179"/>
    <x v="4"/>
    <s v="Долгих Николай Петрович"/>
    <s v="У726ЕР"/>
    <x v="10"/>
    <x v="1"/>
    <x v="3"/>
    <m/>
    <x v="26"/>
    <n v="1.6"/>
    <x v="10"/>
    <n v="40120"/>
    <n v="14970"/>
    <n v="7"/>
    <n v="25150"/>
    <n v="23389.5"/>
    <s v="грин00899"/>
    <x v="29"/>
  </r>
  <r>
    <s v="Акт входного контроля грин00900 от 08.09.2025 21:40:14"/>
    <n v="1503"/>
    <n v="37181"/>
    <x v="4"/>
    <s v="Гужва А М."/>
    <s v="Т285ВЕ"/>
    <x v="10"/>
    <x v="1"/>
    <x v="3"/>
    <m/>
    <x v="26"/>
    <n v="1.3"/>
    <x v="10"/>
    <n v="36000"/>
    <n v="14780"/>
    <n v="6"/>
    <n v="21220"/>
    <n v="19946.8"/>
    <s v="грин00900"/>
    <x v="29"/>
  </r>
  <r>
    <s v="Акт входного контроля грин00901 от 08.09.2025 22:46:42"/>
    <n v="1504"/>
    <n v="37183"/>
    <x v="4"/>
    <s v="Кудря Евгений"/>
    <s v="А719ОО"/>
    <x v="10"/>
    <x v="1"/>
    <x v="3"/>
    <m/>
    <x v="26"/>
    <n v="1.5"/>
    <x v="10"/>
    <n v="37990"/>
    <n v="14940"/>
    <n v="15"/>
    <n v="23050"/>
    <n v="19592.5"/>
    <s v="грин00901"/>
    <x v="29"/>
  </r>
  <r>
    <s v="Акт входного контроля грин00902 от 08.09.2025 20:00:20"/>
    <n v="1506"/>
    <n v="37189"/>
    <x v="4"/>
    <s v="Грищенко Александр Александрович"/>
    <s v="К416ТН"/>
    <x v="10"/>
    <x v="1"/>
    <x v="3"/>
    <m/>
    <x v="26"/>
    <n v="1.5"/>
    <x v="10"/>
    <n v="39020"/>
    <n v="15630"/>
    <n v="14"/>
    <n v="23390"/>
    <n v="20115.400000000001"/>
    <s v="грин00902"/>
    <x v="29"/>
  </r>
  <r>
    <s v="Акт входного контроля грин00903 от 08.09.2025 20:04:48"/>
    <n v="1507"/>
    <n v="37187"/>
    <x v="4"/>
    <s v="Чернецов Александр Михайлович"/>
    <s v="Р866РМ"/>
    <x v="10"/>
    <x v="1"/>
    <x v="3"/>
    <m/>
    <x v="26"/>
    <n v="1.8"/>
    <x v="10"/>
    <n v="43120"/>
    <n v="14890"/>
    <n v="7"/>
    <n v="28230"/>
    <n v="26253.9"/>
    <s v="грин00903"/>
    <x v="29"/>
  </r>
  <r>
    <s v="Акт входного контроля грин00904 от 08.09.2025 20:10:24"/>
    <n v="1508"/>
    <n v="37185"/>
    <x v="4"/>
    <s v="Пугачев Сергей Викторович"/>
    <s v="Р258УХ"/>
    <x v="10"/>
    <x v="1"/>
    <x v="3"/>
    <m/>
    <x v="26"/>
    <n v="1.7"/>
    <x v="10"/>
    <n v="41580"/>
    <n v="15500"/>
    <n v="14"/>
    <n v="26080"/>
    <n v="22428.799999999999"/>
    <s v="грин00904"/>
    <x v="29"/>
  </r>
  <r>
    <s v="Акт входного контроля грин00905 от 08.09.2025 22:28:46"/>
    <n v="1509"/>
    <n v="37195"/>
    <x v="4"/>
    <s v="Пищев Александр Васильевич "/>
    <s v="Т522ОН"/>
    <x v="10"/>
    <x v="1"/>
    <x v="3"/>
    <m/>
    <x v="26"/>
    <n v="2.1"/>
    <x v="10"/>
    <n v="52150"/>
    <n v="19280"/>
    <n v="9"/>
    <n v="32870"/>
    <n v="29911.7"/>
    <s v="грин00905"/>
    <x v="29"/>
  </r>
  <r>
    <s v="Акт входного контроля грин00906 от 08.09.2025 22:56:24"/>
    <n v="1510"/>
    <n v="37197"/>
    <x v="4"/>
    <s v="Ушаков С Е."/>
    <s v="О212РТ"/>
    <x v="10"/>
    <x v="1"/>
    <x v="3"/>
    <m/>
    <x v="26"/>
    <n v="1.5"/>
    <x v="10"/>
    <n v="38480"/>
    <n v="14190"/>
    <n v="11"/>
    <n v="24290"/>
    <n v="21618.1"/>
    <s v="грин00906"/>
    <x v="29"/>
  </r>
  <r>
    <s v="Акт входного контроля грин00907 от 08.09.2025 23:01:17"/>
    <n v="1511"/>
    <n v="37191"/>
    <x v="4"/>
    <s v="Лазаренко Вячеслав Владимирович"/>
    <s v="Т239УС"/>
    <x v="10"/>
    <x v="1"/>
    <x v="3"/>
    <m/>
    <x v="26"/>
    <n v="1.6"/>
    <x v="10"/>
    <n v="40490"/>
    <n v="14790"/>
    <n v="5"/>
    <n v="25700"/>
    <n v="24415"/>
    <s v="грин00907"/>
    <x v="29"/>
  </r>
  <r>
    <s v="Акт входного контроля грин00908 от 08.09.2025 23:06:31"/>
    <n v="1512"/>
    <n v="37193"/>
    <x v="4"/>
    <s v="Никитась Сергей Анатольевич"/>
    <s v="К570ЕО"/>
    <x v="10"/>
    <x v="1"/>
    <x v="3"/>
    <m/>
    <x v="26"/>
    <n v="1.5"/>
    <x v="10"/>
    <n v="38990"/>
    <n v="14890"/>
    <n v="12"/>
    <n v="24100"/>
    <n v="21208"/>
    <s v="грин00908"/>
    <x v="29"/>
  </r>
  <r>
    <s v="Акт входного контроля грин00909 от 09.09.2025 7:01:55"/>
    <n v="1513"/>
    <n v="37199"/>
    <x v="4"/>
    <s v="Огнев Максим Викторович"/>
    <s v="Р755НН"/>
    <x v="10"/>
    <x v="1"/>
    <x v="3"/>
    <m/>
    <x v="26"/>
    <n v="1.5"/>
    <x v="10"/>
    <n v="37570"/>
    <n v="14680"/>
    <n v="10"/>
    <n v="22890"/>
    <n v="20601"/>
    <s v="грин00909"/>
    <x v="30"/>
  </r>
  <r>
    <s v="Акт входного контроля грин00910 от 09.09.2025 9:55:46"/>
    <n v="1514"/>
    <n v="37204"/>
    <x v="4"/>
    <s v="Аладин Василий Сергеевич"/>
    <s v="Т110ТМ"/>
    <x v="10"/>
    <x v="1"/>
    <x v="3"/>
    <m/>
    <x v="26"/>
    <n v="1.4"/>
    <x v="10"/>
    <n v="36160"/>
    <n v="14800"/>
    <n v="7"/>
    <n v="21360"/>
    <n v="19864.8"/>
    <s v="грин00910"/>
    <x v="30"/>
  </r>
  <r>
    <s v="Акт входного контроля грин00911 от 09.09.2025 10:10:12"/>
    <n v="1515"/>
    <n v="37224"/>
    <x v="4"/>
    <s v="Игольницын Сергей Владимирович"/>
    <s v="В780ТТ"/>
    <x v="10"/>
    <x v="1"/>
    <x v="3"/>
    <m/>
    <x v="26"/>
    <n v="1.5"/>
    <x v="10"/>
    <n v="39140"/>
    <n v="15480"/>
    <n v="9"/>
    <n v="23660"/>
    <n v="21530.6"/>
    <s v="грин00911"/>
    <x v="30"/>
  </r>
  <r>
    <s v="Акт входного контроля грин00912 от 09.09.2025 10:19:45"/>
    <n v="1516"/>
    <n v="37257"/>
    <x v="4"/>
    <s v="Рыбалкин АН"/>
    <s v="Р687УК"/>
    <x v="10"/>
    <x v="1"/>
    <x v="3"/>
    <m/>
    <x v="26"/>
    <n v="1.7"/>
    <x v="10"/>
    <n v="42950"/>
    <n v="16050"/>
    <n v="8"/>
    <n v="26900"/>
    <n v="24748"/>
    <s v="грин00912"/>
    <x v="30"/>
  </r>
  <r>
    <s v="Акт входного контроля грин00913 от 09.09.2025 11:28:28"/>
    <n v="1518"/>
    <n v="37247"/>
    <x v="4"/>
    <s v="Черевко Александр Владимирович"/>
    <s v="А114МК"/>
    <x v="10"/>
    <x v="1"/>
    <x v="3"/>
    <m/>
    <x v="26"/>
    <n v="1.4"/>
    <x v="10"/>
    <n v="36290"/>
    <n v="14540"/>
    <n v="7"/>
    <n v="21750"/>
    <n v="20227.5"/>
    <s v="грин00913"/>
    <x v="30"/>
  </r>
  <r>
    <s v="Акт входного контроля грин00914 от 09.09.2025 13:34:02"/>
    <n v="1519"/>
    <n v="37263"/>
    <x v="4"/>
    <s v="Чернышов Александр Павлович"/>
    <s v="М704ТС"/>
    <x v="10"/>
    <x v="1"/>
    <x v="3"/>
    <m/>
    <x v="26"/>
    <n v="1.5"/>
    <x v="10"/>
    <n v="40640"/>
    <n v="16300"/>
    <n v="10"/>
    <n v="24340"/>
    <n v="21906"/>
    <s v="грин00914"/>
    <x v="30"/>
  </r>
  <r>
    <s v="Акт входного контроля грин00915 от 09.09.2025 14:12:32"/>
    <n v="1520"/>
    <n v="37259"/>
    <x v="4"/>
    <s v="Данильченко Ю.А."/>
    <s v="Р347КА"/>
    <x v="10"/>
    <x v="1"/>
    <x v="3"/>
    <m/>
    <x v="26"/>
    <n v="1.6"/>
    <x v="10"/>
    <n v="40300"/>
    <n v="14910"/>
    <n v="12"/>
    <n v="25390"/>
    <n v="22343.200000000001"/>
    <s v="грин00915"/>
    <x v="30"/>
  </r>
  <r>
    <s v="Акт входного контроля грин00916 от 09.09.2025 15:45:11"/>
    <n v="1521"/>
    <n v="37261"/>
    <x v="4"/>
    <s v="Сотников Сергей Кириллович"/>
    <s v="Т443МВ"/>
    <x v="10"/>
    <x v="1"/>
    <x v="3"/>
    <m/>
    <x v="26"/>
    <n v="1.8"/>
    <x v="10"/>
    <n v="43550"/>
    <n v="15910"/>
    <n v="8"/>
    <n v="27640"/>
    <n v="25428.799999999999"/>
    <s v="грин00916"/>
    <x v="30"/>
  </r>
  <r>
    <s v="Акт входного контроля грин00917 от 09.09.2025 17:00:45"/>
    <n v="1528"/>
    <n v="37267"/>
    <x v="4"/>
    <s v="Веревкин Андрей Александрович"/>
    <s v="Н234ВК"/>
    <x v="11"/>
    <x v="1"/>
    <x v="3"/>
    <m/>
    <x v="26"/>
    <n v="1.8"/>
    <x v="11"/>
    <n v="40620"/>
    <n v="16320"/>
    <n v="7"/>
    <n v="24300"/>
    <n v="22599"/>
    <s v="грин00917"/>
    <x v="30"/>
  </r>
  <r>
    <s v="Акт входного контроля грин00918 от 09.09.2025 19:55:21"/>
    <n v="1522"/>
    <n v="37251"/>
    <x v="4"/>
    <s v="Давыденко Юрий Викторович"/>
    <s v="У094СР"/>
    <x v="10"/>
    <x v="1"/>
    <x v="3"/>
    <m/>
    <x v="26"/>
    <n v="1.7"/>
    <x v="10"/>
    <n v="43010"/>
    <n v="16860"/>
    <n v="9"/>
    <n v="26150"/>
    <n v="23796.5"/>
    <s v="грин00918"/>
    <x v="30"/>
  </r>
  <r>
    <s v="Акт входного контроля грин00919 от 09.09.2025 20:00:39"/>
    <n v="1523"/>
    <n v="37253"/>
    <x v="4"/>
    <s v="Демченко Анатолий Григорьевич"/>
    <s v="Р818СЕ"/>
    <x v="10"/>
    <x v="1"/>
    <x v="3"/>
    <m/>
    <x v="26"/>
    <n v="1.5"/>
    <x v="10"/>
    <n v="38590"/>
    <n v="14990"/>
    <n v="15"/>
    <n v="23600"/>
    <n v="20060"/>
    <s v="грин00919"/>
    <x v="30"/>
  </r>
  <r>
    <s v="Акт входного контроля грин00920 от 09.09.2025 20:36:58"/>
    <n v="1524"/>
    <n v="37255"/>
    <x v="4"/>
    <s v="Затонский Сергей Анатольевич"/>
    <s v="Е647РМ"/>
    <x v="10"/>
    <x v="1"/>
    <x v="3"/>
    <m/>
    <x v="26"/>
    <n v="1.4"/>
    <x v="10"/>
    <n v="36670"/>
    <n v="14750"/>
    <n v="10"/>
    <n v="21920"/>
    <n v="19728"/>
    <s v="грин00920"/>
    <x v="30"/>
  </r>
  <r>
    <s v="Акт входного контроля грин00921 от 09.09.2025 21:16:09"/>
    <n v="1527"/>
    <n v="37265"/>
    <x v="4"/>
    <s v="Глушенко Александр Иванович"/>
    <s v="Н735ВК"/>
    <x v="10"/>
    <x v="1"/>
    <x v="3"/>
    <m/>
    <x v="26"/>
    <n v="1.2"/>
    <x v="10"/>
    <n v="39300"/>
    <n v="16490"/>
    <n v="13"/>
    <n v="22810"/>
    <n v="19844.7"/>
    <s v="грин00921"/>
    <x v="30"/>
  </r>
  <r>
    <s v="Акт входного контроля грин00922 от 09.09.2025 12:20:34"/>
    <n v="1531"/>
    <n v="37269"/>
    <x v="4"/>
    <s v="Блажко Алексей Николаевич"/>
    <s v="М676КО"/>
    <x v="11"/>
    <x v="1"/>
    <x v="3"/>
    <m/>
    <x v="26"/>
    <n v="2.1"/>
    <x v="11"/>
    <n v="52810"/>
    <n v="24090"/>
    <n v="11"/>
    <n v="28720"/>
    <n v="25560.799999999999"/>
    <s v="грин00922"/>
    <x v="30"/>
  </r>
  <r>
    <s v="Акт входного контроля грин00923 от 09.09.2025 12:28:33"/>
    <n v="1532"/>
    <n v="37271"/>
    <x v="4"/>
    <s v="Дик Илья Александрович"/>
    <s v="М556ХВ"/>
    <x v="11"/>
    <x v="1"/>
    <x v="3"/>
    <m/>
    <x v="26"/>
    <n v="2.1"/>
    <x v="11"/>
    <n v="44390"/>
    <n v="15510"/>
    <n v="4"/>
    <n v="28880"/>
    <n v="27724.799999999999"/>
    <s v="грин00923"/>
    <x v="30"/>
  </r>
  <r>
    <s v="Акт входного контроля грин00924 от 09.09.2025 18:15:14"/>
    <n v="1541"/>
    <n v="37275"/>
    <x v="4"/>
    <s v="Егоян Артем Владимирович"/>
    <s v="А701СН"/>
    <x v="11"/>
    <x v="1"/>
    <x v="3"/>
    <m/>
    <x v="27"/>
    <n v="1.3"/>
    <x v="11"/>
    <n v="39830"/>
    <n v="15060"/>
    <n v="9"/>
    <n v="24770"/>
    <n v="22540.7"/>
    <s v="грин00924"/>
    <x v="30"/>
  </r>
  <r>
    <s v="Акт входного контроля грин00925 от 09.09.2025 18:45:33"/>
    <n v="1542"/>
    <n v="37277"/>
    <x v="4"/>
    <s v="Бербеницкий Сергей Николаевич"/>
    <s v="С400РР"/>
    <x v="11"/>
    <x v="1"/>
    <x v="3"/>
    <m/>
    <x v="27"/>
    <n v="1.4"/>
    <x v="11"/>
    <n v="41750"/>
    <n v="15110"/>
    <n v="12"/>
    <n v="26640"/>
    <n v="23443.200000000001"/>
    <s v="грин00925"/>
    <x v="30"/>
  </r>
  <r>
    <s v="Акт входного контроля грин00926 от 09.09.2025 18:49:44"/>
    <n v="1543"/>
    <n v="37273"/>
    <x v="4"/>
    <s v="Мудрак Игорь Вадимович"/>
    <s v="С198УЕ"/>
    <x v="11"/>
    <x v="1"/>
    <x v="3"/>
    <m/>
    <x v="27"/>
    <n v="1.8"/>
    <x v="11"/>
    <n v="58480"/>
    <n v="24100"/>
    <n v="12"/>
    <n v="34380"/>
    <n v="30254.400000000001"/>
    <s v="грин00926"/>
    <x v="30"/>
  </r>
  <r>
    <s v="Акт входного контроля грин00927 от 09.09.2025 20:05:03"/>
    <n v="1544"/>
    <n v="37279"/>
    <x v="4"/>
    <s v="Мудрак Вадим Васильевич"/>
    <s v="Х514ОК"/>
    <x v="11"/>
    <x v="1"/>
    <x v="3"/>
    <m/>
    <x v="27"/>
    <n v="1.7"/>
    <x v="11"/>
    <n v="52910"/>
    <n v="20890"/>
    <n v="9"/>
    <n v="32020"/>
    <n v="29138.2"/>
    <s v="грин00927"/>
    <x v="30"/>
  </r>
  <r>
    <s v="Акт входного контроля грин00928 от 09.09.2025 20:39:39"/>
    <n v="1545"/>
    <n v="37288"/>
    <x v="4"/>
    <s v="Магадиев Александр Сайлаувич"/>
    <s v="У184НО"/>
    <x v="11"/>
    <x v="1"/>
    <x v="3"/>
    <m/>
    <x v="27"/>
    <n v="1.3"/>
    <x v="11"/>
    <n v="39090"/>
    <n v="14460"/>
    <n v="8"/>
    <n v="24630"/>
    <n v="22659.599999999999"/>
    <s v="грин00928"/>
    <x v="30"/>
  </r>
  <r>
    <s v="Акт входного контроля грин00929 от 09.09.2025 20:44:23"/>
    <n v="1546"/>
    <n v="37281"/>
    <x v="4"/>
    <s v="Кулинич Евгений Владимирович"/>
    <s v="У801СТ"/>
    <x v="11"/>
    <x v="1"/>
    <x v="3"/>
    <m/>
    <x v="27"/>
    <n v="1.2"/>
    <x v="11"/>
    <n v="38440"/>
    <n v="15080"/>
    <n v="8"/>
    <n v="23360"/>
    <n v="21491.200000000001"/>
    <s v="грин00929"/>
    <x v="30"/>
  </r>
  <r>
    <s v="Акт входного контроля грин00930 от 09.09.2025 23:28:56"/>
    <n v="1549"/>
    <n v="37290"/>
    <x v="4"/>
    <s v="Емец Р.А."/>
    <s v="У315НХ"/>
    <x v="11"/>
    <x v="1"/>
    <x v="3"/>
    <m/>
    <x v="27"/>
    <n v="1.3"/>
    <x v="11"/>
    <n v="40000"/>
    <n v="15560"/>
    <n v="7"/>
    <n v="24440"/>
    <n v="22729.200000000001"/>
    <s v="грин00930"/>
    <x v="30"/>
  </r>
  <r>
    <s v="Акт входного контроля грин00931 от 12.09.2025 2:08:38"/>
    <n v="1556"/>
    <n v="37300"/>
    <x v="4"/>
    <s v="Ховятский АМ"/>
    <s v="Р684ОХ"/>
    <x v="11"/>
    <x v="1"/>
    <x v="3"/>
    <m/>
    <x v="28"/>
    <n v="1.3"/>
    <x v="11"/>
    <n v="40910"/>
    <n v="14520"/>
    <n v="12"/>
    <n v="26390"/>
    <n v="23223.200000000001"/>
    <s v="грин00931"/>
    <x v="31"/>
  </r>
  <r>
    <s v="Акт входного контроля грин00932 от 12.09.2025 5:51:17"/>
    <n v="1558"/>
    <n v="37306"/>
    <x v="4"/>
    <s v="Грищенко Александр Александрович"/>
    <s v="К416ТН"/>
    <x v="11"/>
    <x v="1"/>
    <x v="3"/>
    <m/>
    <x v="28"/>
    <n v="1.3"/>
    <x v="11"/>
    <n v="40600"/>
    <n v="15710"/>
    <n v="9"/>
    <n v="24890"/>
    <n v="22649.9"/>
    <s v="грин00932"/>
    <x v="31"/>
  </r>
  <r>
    <s v="Акт входного контроля грин00933 от 12.09.2025 6:14:02"/>
    <n v="1560"/>
    <n v="37302"/>
    <x v="4"/>
    <s v="Игольницын Сергей Владимирович"/>
    <s v="В780ТТ"/>
    <x v="11"/>
    <x v="1"/>
    <x v="3"/>
    <m/>
    <x v="28"/>
    <n v="1.2"/>
    <x v="11"/>
    <n v="39700"/>
    <n v="15550"/>
    <n v="10"/>
    <n v="24150"/>
    <n v="21735"/>
    <s v="грин00933"/>
    <x v="31"/>
  </r>
  <r>
    <s v="Акт входного контроля грин00934 от 12.09.2025 6:38:27"/>
    <n v="1559"/>
    <n v="37304"/>
    <x v="4"/>
    <s v="Титаренко Максим Сергеевич"/>
    <s v="О398ХО"/>
    <x v="11"/>
    <x v="1"/>
    <x v="3"/>
    <m/>
    <x v="28"/>
    <n v="1.2"/>
    <x v="11"/>
    <n v="37430"/>
    <n v="14730"/>
    <n v="9"/>
    <n v="22700"/>
    <n v="20657"/>
    <s v="грин00934"/>
    <x v="31"/>
  </r>
  <r>
    <s v="Акт входного контроля грин00935 от 12.09.2025 13:21:37"/>
    <n v="1561"/>
    <n v="37310"/>
    <x v="4"/>
    <s v="Чернецов Александр Михайлович"/>
    <s v="Р866РМ"/>
    <x v="11"/>
    <x v="1"/>
    <x v="3"/>
    <m/>
    <x v="28"/>
    <n v="1.4"/>
    <x v="11"/>
    <n v="42430"/>
    <n v="14900"/>
    <n v="7"/>
    <n v="27530"/>
    <n v="25602.9"/>
    <s v="грин00935"/>
    <x v="31"/>
  </r>
  <r>
    <s v="Акт входного контроля грин00936 от 12.09.2025 13:50:20"/>
    <n v="1562"/>
    <n v="37312"/>
    <x v="4"/>
    <s v="Ушаков С Е."/>
    <s v="О212РТ"/>
    <x v="11"/>
    <x v="1"/>
    <x v="3"/>
    <m/>
    <x v="28"/>
    <n v="1.2"/>
    <x v="11"/>
    <n v="38530"/>
    <n v="14170"/>
    <n v="6"/>
    <n v="24360"/>
    <n v="22898.400000000001"/>
    <s v="грин00936"/>
    <x v="31"/>
  </r>
  <r>
    <s v="Акт входного контроля грин00937 от 12.09.2025 13:59:49"/>
    <n v="1563"/>
    <n v="37308"/>
    <x v="4"/>
    <s v="Пугачев Сергей Викторович"/>
    <s v="Р258УХ"/>
    <x v="11"/>
    <x v="1"/>
    <x v="3"/>
    <m/>
    <x v="28"/>
    <n v="1.4"/>
    <x v="11"/>
    <n v="42220"/>
    <n v="15550"/>
    <n v="8"/>
    <n v="26670"/>
    <n v="24536.400000000001"/>
    <s v="грин00937"/>
    <x v="31"/>
  </r>
  <r>
    <s v="Акт входного контроля грин00938 от 12.09.2025 14:35:23"/>
    <n v="1564"/>
    <n v="37314"/>
    <x v="4"/>
    <s v="Огнев Максим Викторович"/>
    <s v="Р755НН"/>
    <x v="11"/>
    <x v="1"/>
    <x v="3"/>
    <m/>
    <x v="28"/>
    <n v="1.1000000000000001"/>
    <x v="11"/>
    <n v="37070"/>
    <n v="14680"/>
    <n v="8"/>
    <n v="22390"/>
    <n v="20598.8"/>
    <s v="грин00938"/>
    <x v="31"/>
  </r>
  <r>
    <s v="Акт входного контроля грин00939 от 12.09.2025 14:53:35"/>
    <n v="1565"/>
    <n v="37316"/>
    <x v="4"/>
    <s v="Богучарский А. И."/>
    <s v="Е404УС"/>
    <x v="11"/>
    <x v="1"/>
    <x v="3"/>
    <m/>
    <x v="28"/>
    <n v="1.1000000000000001"/>
    <x v="11"/>
    <n v="36000"/>
    <n v="13860"/>
    <n v="11"/>
    <n v="22140"/>
    <n v="19704.599999999999"/>
    <s v="грин00939"/>
    <x v="31"/>
  </r>
  <r>
    <s v="Акт входного контроля грин00940 от 12.09.2025 19:29:06"/>
    <n v="1566"/>
    <n v="37320"/>
    <x v="4"/>
    <s v="Фомин Николай Григорьевич"/>
    <s v="А731ВА"/>
    <x v="11"/>
    <x v="1"/>
    <x v="3"/>
    <m/>
    <x v="28"/>
    <n v="1.2"/>
    <x v="11"/>
    <n v="38520"/>
    <n v="14850"/>
    <n v="7"/>
    <n v="23670"/>
    <n v="22013.1"/>
    <s v="грин00940"/>
    <x v="31"/>
  </r>
  <r>
    <s v="Акт входного контроля грин00941 от 12.09.2025 19:36:48"/>
    <n v="1567"/>
    <n v="37322"/>
    <x v="4"/>
    <s v="Ревенко Андрей Вячеславович"/>
    <s v="А781РР"/>
    <x v="11"/>
    <x v="1"/>
    <x v="3"/>
    <m/>
    <x v="28"/>
    <n v="1.2"/>
    <x v="11"/>
    <n v="38600"/>
    <n v="15070"/>
    <n v="14"/>
    <n v="23530"/>
    <n v="20235.8"/>
    <s v="грин00941"/>
    <x v="31"/>
  </r>
  <r>
    <s v="Акт входного контроля грин00942 от 12.09.2025 21:28:30"/>
    <n v="1568"/>
    <n v="37324"/>
    <x v="4"/>
    <s v="Извеков Владимир Владимирович"/>
    <s v="Н378ХЕ"/>
    <x v="11"/>
    <x v="1"/>
    <x v="3"/>
    <m/>
    <x v="28"/>
    <n v="1.2"/>
    <x v="11"/>
    <n v="39790"/>
    <n v="15420"/>
    <n v="11"/>
    <n v="24370"/>
    <n v="21689.3"/>
    <s v="грин00942"/>
    <x v="31"/>
  </r>
  <r>
    <s v="Акт входного контроля грин00943 от 12.09.2025 22:14:07"/>
    <n v="1570"/>
    <n v="37344"/>
    <x v="4"/>
    <s v="Давыденко Юрий Викторович"/>
    <s v="У094СР"/>
    <x v="11"/>
    <x v="1"/>
    <x v="3"/>
    <m/>
    <x v="28"/>
    <n v="1.3"/>
    <x v="11"/>
    <n v="41800"/>
    <n v="16740"/>
    <n v="9"/>
    <n v="25060"/>
    <n v="22804.6"/>
    <s v="грин00943"/>
    <x v="31"/>
  </r>
  <r>
    <s v="Акт входного контроля грин00944 от 12.09.2025 22:55:30"/>
    <n v="1569"/>
    <n v="37346"/>
    <x v="4"/>
    <s v="Демченко Анатолий Григорьевич"/>
    <s v="Р818СЕ"/>
    <x v="11"/>
    <x v="1"/>
    <x v="3"/>
    <m/>
    <x v="28"/>
    <n v="1.2"/>
    <x v="11"/>
    <n v="38410"/>
    <n v="14950"/>
    <n v="5"/>
    <n v="23460"/>
    <n v="22287"/>
    <s v="грин00944"/>
    <x v="31"/>
  </r>
  <r>
    <s v="Акт входного контроля грин00945 от 12.09.2025 23:36:16"/>
    <n v="1571"/>
    <n v="37348"/>
    <x v="4"/>
    <s v="Затонский Сергей Анатольевич"/>
    <s v="Е647РМ"/>
    <x v="11"/>
    <x v="1"/>
    <x v="3"/>
    <m/>
    <x v="28"/>
    <n v="1.1000000000000001"/>
    <x v="11"/>
    <n v="36940"/>
    <n v="14740"/>
    <n v="13"/>
    <n v="22200"/>
    <n v="19314"/>
    <s v="грин00945"/>
    <x v="31"/>
  </r>
  <r>
    <s v="Акт входного контроля грин00946 от 12.09.2025 8:29:00"/>
    <n v="1572"/>
    <n v="37318"/>
    <x v="4"/>
    <s v="Блажко Алексей Николаевич"/>
    <s v="М676КО"/>
    <x v="11"/>
    <x v="1"/>
    <x v="3"/>
    <m/>
    <x v="28"/>
    <n v="1.6"/>
    <x v="11"/>
    <n v="54940"/>
    <n v="24080"/>
    <n v="18"/>
    <n v="30860"/>
    <n v="25305.200000000001"/>
    <s v="грин00946"/>
    <x v="31"/>
  </r>
  <r>
    <s v="Акт входного контроля грин00947 от 12.09.2025 16:24:39"/>
    <n v="1576"/>
    <n v="37326"/>
    <x v="4"/>
    <s v="Дик Илья Александрович"/>
    <s v="М556ХВ"/>
    <x v="12"/>
    <x v="1"/>
    <x v="3"/>
    <m/>
    <x v="29"/>
    <n v="2"/>
    <x v="12"/>
    <n v="44390"/>
    <n v="15590"/>
    <n v="11"/>
    <n v="28800"/>
    <n v="25632"/>
    <s v="грин00947"/>
    <x v="31"/>
  </r>
  <r>
    <s v="Акт входного контроля грин00948 от 12.09.2025 17:18:27"/>
    <n v="1577"/>
    <n v="37257"/>
    <x v="4"/>
    <s v="Рыбалкин АН"/>
    <s v="Р687УК"/>
    <x v="12"/>
    <x v="1"/>
    <x v="3"/>
    <m/>
    <x v="29"/>
    <n v="1.8"/>
    <x v="12"/>
    <n v="42170"/>
    <n v="16050"/>
    <n v="12"/>
    <n v="26120"/>
    <n v="22985.599999999999"/>
    <s v="грин00948"/>
    <x v="31"/>
  </r>
  <r>
    <s v="Акт входного контроля грин00949 от 12.09.2025 18:08:22"/>
    <n v="1578"/>
    <n v="37330"/>
    <x v="4"/>
    <s v="Майстровский В.Н."/>
    <s v="М057АО"/>
    <x v="12"/>
    <x v="1"/>
    <x v="3"/>
    <m/>
    <x v="29"/>
    <n v="1.8"/>
    <x v="12"/>
    <n v="40000"/>
    <n v="14510"/>
    <n v="14"/>
    <n v="25490"/>
    <n v="21921.4"/>
    <s v="грин00949"/>
    <x v="31"/>
  </r>
  <r>
    <s v="Акт входного контроля грин00950 от 12.09.2025 18:12:17"/>
    <n v="1579"/>
    <n v="37332"/>
    <x v="4"/>
    <s v="Долгих Николай Петрович"/>
    <s v="У726ЕР"/>
    <x v="12"/>
    <x v="1"/>
    <x v="3"/>
    <m/>
    <x v="29"/>
    <n v="1.7"/>
    <x v="12"/>
    <n v="39680"/>
    <n v="14970"/>
    <n v="20"/>
    <n v="24710"/>
    <n v="19768"/>
    <s v="грин00950"/>
    <x v="31"/>
  </r>
  <r>
    <s v="Акт входного контроля грин00951 от 12.09.2025 18:49:05"/>
    <n v="1580"/>
    <n v="37334"/>
    <x v="4"/>
    <s v="Мудрак Игорь Вадимович"/>
    <s v="С198УЕ"/>
    <x v="12"/>
    <x v="1"/>
    <x v="3"/>
    <m/>
    <x v="29"/>
    <n v="2.8"/>
    <x v="12"/>
    <n v="64250"/>
    <n v="23990"/>
    <n v="19"/>
    <n v="40260"/>
    <n v="32610.6"/>
    <s v="грин00951"/>
    <x v="31"/>
  </r>
  <r>
    <s v="Акт входного контроля грин00952 от 12.09.2025 19:48:32"/>
    <n v="1583"/>
    <n v="37338"/>
    <x v="4"/>
    <s v="Данильченко Ю.А."/>
    <s v="Р347КА"/>
    <x v="12"/>
    <x v="1"/>
    <x v="3"/>
    <m/>
    <x v="29"/>
    <n v="1.6"/>
    <x v="12"/>
    <n v="37600"/>
    <n v="14890"/>
    <n v="9"/>
    <n v="22710"/>
    <n v="20666.099999999999"/>
    <s v="грин00952"/>
    <x v="31"/>
  </r>
  <r>
    <s v="Акт входного контроля грин00953 от 12.09.2025 20:48:31"/>
    <n v="1584"/>
    <n v="37336"/>
    <x v="4"/>
    <s v="Сотников Сергей Кириллович"/>
    <s v="Т443МВ"/>
    <x v="12"/>
    <x v="1"/>
    <x v="3"/>
    <m/>
    <x v="29"/>
    <n v="1.8"/>
    <x v="12"/>
    <n v="41560"/>
    <n v="15840"/>
    <n v="8"/>
    <n v="25720"/>
    <n v="23662.400000000001"/>
    <s v="грин00953"/>
    <x v="31"/>
  </r>
  <r>
    <s v="Акт входного контроля грин00956 от 12.09.2025 23:11:27"/>
    <n v="1585"/>
    <n v="37350"/>
    <x v="4"/>
    <s v="Чернышов Александр Павлович"/>
    <s v="М704ТС"/>
    <x v="12"/>
    <x v="1"/>
    <x v="3"/>
    <m/>
    <x v="29"/>
    <n v="1.7"/>
    <x v="12"/>
    <n v="40250"/>
    <n v="16260"/>
    <n v="9"/>
    <n v="23990"/>
    <n v="21830.9"/>
    <s v="грин00956"/>
    <x v="31"/>
  </r>
  <r>
    <s v="Акт входного контроля грин00969 от 13.09.2025 0:41:21"/>
    <n v="1587"/>
    <n v="37342"/>
    <x v="4"/>
    <s v="Никитась Сергей Анатольевич"/>
    <s v="К570ЕО"/>
    <x v="12"/>
    <x v="1"/>
    <x v="3"/>
    <m/>
    <x v="29"/>
    <n v="1.8"/>
    <x v="12"/>
    <n v="40020"/>
    <n v="14930"/>
    <n v="10"/>
    <n v="25090"/>
    <n v="22581"/>
    <s v="грин00969"/>
    <x v="32"/>
  </r>
  <r>
    <s v="Акт входного контроля грин00971 от 13.09.2025 16:09:09"/>
    <n v="1588"/>
    <n v="37340"/>
    <x v="4"/>
    <s v="Лазаренко Вячеслав Владимирович"/>
    <s v="Т239УС"/>
    <x v="12"/>
    <x v="1"/>
    <x v="3"/>
    <m/>
    <x v="29"/>
    <n v="1.7"/>
    <x v="12"/>
    <n v="39610"/>
    <n v="14750"/>
    <n v="9"/>
    <n v="24860"/>
    <n v="22622.6"/>
    <s v="грин00971"/>
    <x v="32"/>
  </r>
  <r>
    <s v="Акт входного контроля грин00972 от 13.09.2025 16:14:06"/>
    <n v="1594"/>
    <n v="37352"/>
    <x v="4"/>
    <s v="Глушенко Александр Иванович"/>
    <s v="Н735ВК"/>
    <x v="12"/>
    <x v="1"/>
    <x v="3"/>
    <m/>
    <x v="29"/>
    <n v="1.6"/>
    <x v="12"/>
    <n v="39680"/>
    <n v="16390"/>
    <n v="8"/>
    <n v="23290"/>
    <n v="21426.799999999999"/>
    <s v="грин00972"/>
    <x v="32"/>
  </r>
  <r>
    <s v="Акт входного контроля грин00986 от 13.09.2025 16:42:31"/>
    <n v="1599"/>
    <n v="37359"/>
    <x v="4"/>
    <s v="Гужва А М."/>
    <s v="Т285ВЕ"/>
    <x v="12"/>
    <x v="1"/>
    <x v="3"/>
    <m/>
    <x v="29"/>
    <n v="1.5"/>
    <x v="12"/>
    <n v="36500"/>
    <n v="14810"/>
    <n v="14"/>
    <n v="21690"/>
    <n v="18653.400000000001"/>
    <s v="грин00986"/>
    <x v="32"/>
  </r>
  <r>
    <s v="Акт входного контроля грин01014 от 13.09.2025 17:20:59"/>
    <n v="1600"/>
    <n v="37361"/>
    <x v="4"/>
    <s v="Жданов Андрей Иванович"/>
    <s v="С707ОУ"/>
    <x v="12"/>
    <x v="1"/>
    <x v="3"/>
    <m/>
    <x v="29"/>
    <n v="1.5"/>
    <x v="12"/>
    <n v="36620"/>
    <n v="14440"/>
    <n v="18"/>
    <n v="22180"/>
    <n v="18187.599999999999"/>
    <s v="грин01014"/>
    <x v="32"/>
  </r>
  <r>
    <s v="Акт входного контроля грин01017 от 13.09.2025 19:47:38"/>
    <n v="1603"/>
    <n v="37365"/>
    <x v="4"/>
    <s v="Магадиев Александр Сайлаувич"/>
    <s v="У184НО"/>
    <x v="12"/>
    <x v="1"/>
    <x v="3"/>
    <m/>
    <x v="29"/>
    <n v="1.6"/>
    <x v="12"/>
    <n v="37810"/>
    <n v="14430"/>
    <n v="10"/>
    <n v="23380"/>
    <n v="21042"/>
    <s v="грин01017"/>
    <x v="32"/>
  </r>
  <r>
    <s v="Акт входного контроля грин01018 от 13.09.2025 21:42:26"/>
    <n v="1604"/>
    <n v="37363"/>
    <x v="4"/>
    <s v="Кулинич Евгений Владимирович"/>
    <s v="У801СТ"/>
    <x v="12"/>
    <x v="1"/>
    <x v="3"/>
    <m/>
    <x v="30"/>
    <n v="1.5"/>
    <x v="12"/>
    <n v="40390"/>
    <n v="15010"/>
    <n v="19"/>
    <n v="25380"/>
    <n v="20557.8"/>
    <s v="грин01018"/>
    <x v="32"/>
  </r>
  <r>
    <s v="Акт входного контроля грин01019 от 13.09.2025 21:46:43"/>
    <n v="1616"/>
    <n v="37432"/>
    <x v="4"/>
    <s v="Кудря Евгений"/>
    <s v="А719ОО"/>
    <x v="13"/>
    <x v="1"/>
    <x v="3"/>
    <m/>
    <x v="30"/>
    <n v="1.5"/>
    <x v="13"/>
    <n v="38410"/>
    <n v="15020"/>
    <n v="6"/>
    <n v="23390"/>
    <n v="21986.6"/>
    <s v="грин01019"/>
    <x v="32"/>
  </r>
  <r>
    <s v="Акт входного контроля грин01020 от 13.09.2025 21:49:13"/>
    <n v="1606"/>
    <n v="37367"/>
    <x v="4"/>
    <s v="Емец Р.А."/>
    <s v="У315НХ"/>
    <x v="12"/>
    <x v="1"/>
    <x v="3"/>
    <m/>
    <x v="30"/>
    <n v="1.3"/>
    <x v="12"/>
    <n v="37980"/>
    <n v="15520"/>
    <n v="19"/>
    <n v="22460"/>
    <n v="18192.599999999999"/>
    <s v="грин01020"/>
    <x v="32"/>
  </r>
  <r>
    <s v="Акт входного контроля грин01021 от 13.09.2025 13:25:44"/>
    <n v="1607"/>
    <n v="37369"/>
    <x v="4"/>
    <s v="Мудрак Вадим Васильевич"/>
    <s v="Х514ОК"/>
    <x v="12"/>
    <x v="1"/>
    <x v="3"/>
    <m/>
    <x v="29"/>
    <n v="2.2999999999999998"/>
    <x v="12"/>
    <n v="53780"/>
    <n v="20920"/>
    <n v="15"/>
    <n v="32860"/>
    <n v="27931"/>
    <s v="грин01021"/>
    <x v="32"/>
  </r>
  <r>
    <s v="Акт входного контроля грин01022 от 13.09.2025 13:44:15"/>
    <n v="1608"/>
    <n v="37380"/>
    <x v="4"/>
    <s v="Веревкин Андрей Александрович"/>
    <s v="Н234ВК"/>
    <x v="12"/>
    <x v="1"/>
    <x v="3"/>
    <m/>
    <x v="29"/>
    <n v="1.6"/>
    <x v="12"/>
    <n v="39180"/>
    <n v="16310"/>
    <n v="16"/>
    <n v="22870"/>
    <n v="19210.8"/>
    <s v="грин01022"/>
    <x v="32"/>
  </r>
  <r>
    <s v="Акт входного контроля грин01023 от 13.09.2025 13:53:25"/>
    <n v="1609"/>
    <n v="37372"/>
    <x v="4"/>
    <s v="Аладин Василий Сергеевич"/>
    <s v="Т110ТМ"/>
    <x v="12"/>
    <x v="1"/>
    <x v="3"/>
    <m/>
    <x v="30"/>
    <n v="1.3"/>
    <x v="12"/>
    <n v="36680"/>
    <n v="14790"/>
    <n v="19"/>
    <n v="21890"/>
    <n v="17730.900000000001"/>
    <s v="грин01023"/>
    <x v="32"/>
  </r>
  <r>
    <s v="Акт входного контроля грин01024 от 13.09.2025 16:21:20"/>
    <n v="1612"/>
    <n v="37382"/>
    <x v="4"/>
    <s v="Сероштан Станислав Викторович"/>
    <s v="Е758РЕ"/>
    <x v="12"/>
    <x v="1"/>
    <x v="3"/>
    <m/>
    <x v="30"/>
    <n v="1.4"/>
    <x v="12"/>
    <n v="38450"/>
    <n v="14680"/>
    <n v="11"/>
    <n v="23770"/>
    <n v="21155.3"/>
    <s v="грин01024"/>
    <x v="32"/>
  </r>
  <r>
    <s v="Акт входного контроля грин01025 от 13.09.2025 16:26:10"/>
    <n v="1613"/>
    <n v="37384"/>
    <x v="4"/>
    <s v="Черевко Александр Владимирович"/>
    <s v="А114МК"/>
    <x v="12"/>
    <x v="1"/>
    <x v="3"/>
    <m/>
    <x v="29"/>
    <n v="1.6"/>
    <x v="12"/>
    <n v="38130"/>
    <n v="14540"/>
    <n v="11"/>
    <n v="23590"/>
    <n v="20995.1"/>
    <s v="грин01025"/>
    <x v="32"/>
  </r>
  <r>
    <s v="Акт входного контроля грин01026 от 14.09.2025 4:42:19"/>
    <n v="1622"/>
    <n v="37458"/>
    <x v="4"/>
    <s v="Ревенко Андрей Вячеславович"/>
    <s v="А781РР"/>
    <x v="14"/>
    <x v="1"/>
    <x v="3"/>
    <m/>
    <x v="30"/>
    <n v="1.5"/>
    <x v="14"/>
    <n v="38350"/>
    <n v="15060"/>
    <n v="16"/>
    <n v="23290"/>
    <n v="19563.599999999999"/>
    <s v="грин01026"/>
    <x v="33"/>
  </r>
  <r>
    <s v="Акт входного контроля грин01027 от 13.09.2025 17:49:42"/>
    <n v="1614"/>
    <n v="37421"/>
    <x v="4"/>
    <s v="Ховятский АМ"/>
    <s v="Р684ОХ"/>
    <x v="12"/>
    <x v="1"/>
    <x v="3"/>
    <m/>
    <x v="30"/>
    <n v="1.5"/>
    <x v="12"/>
    <n v="39780"/>
    <n v="14510"/>
    <n v="21"/>
    <n v="25270"/>
    <n v="19963.3"/>
    <s v="грин01027"/>
    <x v="32"/>
  </r>
  <r>
    <s v="Акт входного контроля грин01028 от 13.09.2025 18:39:22"/>
    <n v="1615"/>
    <n v="37399"/>
    <x v="4"/>
    <s v="Бондаренко Николай Николаевич"/>
    <s v="А315МК"/>
    <x v="12"/>
    <x v="1"/>
    <x v="3"/>
    <m/>
    <x v="29"/>
    <n v="1.5"/>
    <x v="12"/>
    <n v="35640"/>
    <n v="13890"/>
    <n v="21"/>
    <n v="21750"/>
    <n v="17182.5"/>
    <s v="грин01028"/>
    <x v="32"/>
  </r>
  <r>
    <s v="Акт входного контроля грин01029 от 13.09.2025 21:00:48"/>
    <n v="1618"/>
    <n v="37423"/>
    <x v="4"/>
    <s v="Бербеницкий Сергей Николаевич"/>
    <s v="С400РР"/>
    <x v="12"/>
    <x v="1"/>
    <x v="3"/>
    <m/>
    <x v="29"/>
    <n v="1.9"/>
    <x v="12"/>
    <n v="42270"/>
    <n v="15050"/>
    <n v="14"/>
    <n v="27220"/>
    <n v="23409.200000000001"/>
    <s v="грин01029"/>
    <x v="32"/>
  </r>
  <r>
    <s v="Акт входного контроля грин01030 от 14.09.2025 11:28:34"/>
    <n v="1619"/>
    <n v="37428"/>
    <x v="4"/>
    <s v="Титаренко Максим Сергеевич"/>
    <s v="О398ХО"/>
    <x v="12"/>
    <x v="1"/>
    <x v="3"/>
    <m/>
    <x v="30"/>
    <n v="1.4"/>
    <x v="12"/>
    <n v="38540"/>
    <n v="14780"/>
    <n v="14"/>
    <n v="23760"/>
    <n v="20433.599999999999"/>
    <s v="грин01030"/>
    <x v="33"/>
  </r>
  <r>
    <s v="Акт входного контроля грин01031 от 14.09.2025 13:54:12"/>
    <n v="1620"/>
    <n v="37426"/>
    <x v="4"/>
    <s v="Грищенко Александр Александрович"/>
    <s v="К416ТН"/>
    <x v="12"/>
    <x v="1"/>
    <x v="3"/>
    <m/>
    <x v="30"/>
    <n v="1.5"/>
    <x v="12"/>
    <n v="40350"/>
    <n v="15760"/>
    <n v="17"/>
    <n v="24590"/>
    <n v="20409.7"/>
    <s v="грин01031"/>
    <x v="33"/>
  </r>
  <r>
    <s v="Акт входного контроля грин01032 от 14.09.2025 14:06:53"/>
    <n v="1621"/>
    <n v="37430"/>
    <x v="4"/>
    <s v="Игольницын Сергей Владимирович"/>
    <s v="В780ТТ"/>
    <x v="12"/>
    <x v="1"/>
    <x v="3"/>
    <m/>
    <x v="30"/>
    <n v="1.4"/>
    <x v="12"/>
    <n v="39490"/>
    <n v="15530"/>
    <n v="14"/>
    <n v="23960"/>
    <n v="20605.599999999999"/>
    <s v="грин01032"/>
    <x v="33"/>
  </r>
  <r>
    <s v="Акт входного контроля грин01033 от 14.09.2025 15:06:51"/>
    <n v="1625"/>
    <n v="37434"/>
    <x v="4"/>
    <s v="Рудик Александр Иванович"/>
    <s v="А309АТ"/>
    <x v="12"/>
    <x v="1"/>
    <x v="3"/>
    <m/>
    <x v="30"/>
    <n v="1.4"/>
    <x v="12"/>
    <n v="38860"/>
    <n v="14700"/>
    <n v="11"/>
    <n v="24160"/>
    <n v="21502.400000000001"/>
    <s v="грин01033"/>
    <x v="33"/>
  </r>
  <r>
    <s v="Акт входного контроля грин01034 от 14.09.2025 17:59:10"/>
    <n v="1626"/>
    <n v="37456"/>
    <x v="4"/>
    <s v="Ушаков С Е."/>
    <s v="О212РТ"/>
    <x v="12"/>
    <x v="1"/>
    <x v="3"/>
    <m/>
    <x v="30"/>
    <n v="1.5"/>
    <x v="12"/>
    <n v="39090"/>
    <n v="14170"/>
    <n v="17"/>
    <n v="24920"/>
    <n v="20683.599999999999"/>
    <s v="грин01034"/>
    <x v="33"/>
  </r>
  <r>
    <s v="Акт входного контроля грин01035 от 14.09.2025 18:14:50"/>
    <n v="1627"/>
    <n v="37436"/>
    <x v="4"/>
    <s v="Пищев Александр Васильевич "/>
    <s v="Т522ОН"/>
    <x v="12"/>
    <x v="1"/>
    <x v="3"/>
    <m/>
    <x v="30"/>
    <n v="1.5"/>
    <x v="12"/>
    <n v="44800"/>
    <n v="19280"/>
    <n v="15"/>
    <n v="25520"/>
    <n v="21692"/>
    <s v="грин01035"/>
    <x v="33"/>
  </r>
  <r>
    <s v="Акт входного контроля грин01036 от 14.09.2025 18:59:16"/>
    <n v="1629"/>
    <n v="37460"/>
    <x v="4"/>
    <s v="Давыденко Юрий Викторович"/>
    <s v="У094СР"/>
    <x v="12"/>
    <x v="1"/>
    <x v="3"/>
    <m/>
    <x v="30"/>
    <n v="1.5"/>
    <x v="12"/>
    <n v="42170"/>
    <n v="17020"/>
    <n v="11"/>
    <n v="25150"/>
    <n v="22383.5"/>
    <s v="грин01036"/>
    <x v="33"/>
  </r>
  <r>
    <s v="Акт входного контроля грин01037 от 14.09.2025 21:05:13"/>
    <n v="1630"/>
    <n v="37462"/>
    <x v="4"/>
    <s v="Затонский Сергей Анатольевич"/>
    <s v="Е647РМ"/>
    <x v="12"/>
    <x v="1"/>
    <x v="3"/>
    <m/>
    <x v="30"/>
    <n v="1.3"/>
    <x v="12"/>
    <n v="36030"/>
    <n v="14810"/>
    <n v="14"/>
    <n v="21220"/>
    <n v="18249.2"/>
    <s v="грин01037"/>
    <x v="33"/>
  </r>
  <r>
    <s v="Акт входного контроля грин01038 от 14.09.2025 21:14:12"/>
    <n v="1631"/>
    <n v="37464"/>
    <x v="4"/>
    <s v="Демченко Анатолий Григорьевич"/>
    <s v="Р818СЕ"/>
    <x v="12"/>
    <x v="1"/>
    <x v="3"/>
    <m/>
    <x v="30"/>
    <n v="1.4"/>
    <x v="12"/>
    <n v="38530"/>
    <n v="14920"/>
    <n v="20"/>
    <n v="23610"/>
    <n v="18888"/>
    <s v="грин01038"/>
    <x v="33"/>
  </r>
  <r>
    <s v="Акт входного контроля грин01039 от 14.09.2025 7:32:33"/>
    <n v="1633"/>
    <n v="37480"/>
    <x v="4"/>
    <s v="Блажко Алексей Николаевич"/>
    <s v="М676КО"/>
    <x v="12"/>
    <x v="1"/>
    <x v="3"/>
    <m/>
    <x v="30"/>
    <n v="1.6"/>
    <x v="12"/>
    <n v="50980"/>
    <n v="24120"/>
    <n v="12"/>
    <n v="26860"/>
    <n v="23636.799999999999"/>
    <s v="грин01039"/>
    <x v="33"/>
  </r>
  <r>
    <s v="Акт входного контроля грин01040 от 14.09.2025 6:42:16"/>
    <n v="1632"/>
    <n v="37486"/>
    <x v="4"/>
    <s v="Дик Илья Александрович"/>
    <s v="М556ХВ"/>
    <x v="12"/>
    <x v="1"/>
    <x v="3"/>
    <m/>
    <x v="30"/>
    <n v="1.6"/>
    <x v="12"/>
    <n v="43180"/>
    <n v="15610"/>
    <n v="12"/>
    <n v="27570"/>
    <n v="24261.599999999999"/>
    <s v="грин01040"/>
    <x v="33"/>
  </r>
  <r>
    <s v="Акт входного контроля грин01041 от 14.09.2025 10:02:51"/>
    <n v="1637"/>
    <n v="37494"/>
    <x v="4"/>
    <s v="Извеков Владимир Владимирович"/>
    <s v="Н378ХЕ"/>
    <x v="12"/>
    <x v="1"/>
    <x v="3"/>
    <m/>
    <x v="30"/>
    <n v="1.5"/>
    <x v="12"/>
    <n v="39910"/>
    <n v="15310"/>
    <n v="12"/>
    <n v="24600"/>
    <n v="21648"/>
    <s v="грин01041"/>
    <x v="33"/>
  </r>
  <r>
    <s v="Акт входного контроля грин01042 от 14.09.2025 10:08:58"/>
    <n v="1639"/>
    <n v="37492"/>
    <x v="4"/>
    <s v="Фомин Николай Григорьевич"/>
    <s v="А731ВА"/>
    <x v="12"/>
    <x v="1"/>
    <x v="3"/>
    <m/>
    <x v="30"/>
    <n v="1.5"/>
    <x v="12"/>
    <n v="39710"/>
    <n v="14840"/>
    <n v="13"/>
    <n v="24870"/>
    <n v="21636.9"/>
    <s v="грин01042"/>
    <x v="33"/>
  </r>
  <r>
    <s v="Акт входного контроля грин01043 от 14.09.2025 12:18:54"/>
    <n v="1640"/>
    <n v="37499"/>
    <x v="4"/>
    <s v="Чернецов Александр Михайлович"/>
    <s v="Р866РМ"/>
    <x v="12"/>
    <x v="1"/>
    <x v="3"/>
    <m/>
    <x v="30"/>
    <n v="1.7"/>
    <x v="12"/>
    <n v="42770"/>
    <n v="14850"/>
    <n v="7"/>
    <n v="27920"/>
    <n v="25965.599999999999"/>
    <s v="грин01043"/>
    <x v="33"/>
  </r>
  <r>
    <s v="Акт входного контроля грин01044 от 14.09.2025 12:49:25"/>
    <n v="1641"/>
    <n v="37501"/>
    <x v="4"/>
    <s v="Майстровский В.Н."/>
    <s v="М057АО"/>
    <x v="12"/>
    <x v="1"/>
    <x v="3"/>
    <m/>
    <x v="30"/>
    <n v="1.5"/>
    <x v="12"/>
    <n v="39480"/>
    <n v="14490"/>
    <n v="8"/>
    <n v="24990"/>
    <n v="22990.799999999999"/>
    <s v="грин01044"/>
    <x v="33"/>
  </r>
  <r>
    <s v="Акт входного контроля грин01045 от 14.09.2025 12:53:29"/>
    <n v="1642"/>
    <n v="37503"/>
    <x v="4"/>
    <s v="Долгих Николай Петрович"/>
    <s v="У726ЕР"/>
    <x v="12"/>
    <x v="1"/>
    <x v="3"/>
    <m/>
    <x v="30"/>
    <n v="1.4"/>
    <x v="12"/>
    <n v="39400"/>
    <n v="15090"/>
    <n v="7"/>
    <n v="24310"/>
    <n v="22608.3"/>
    <s v="грин01045"/>
    <x v="33"/>
  </r>
  <r>
    <s v="Акт входного контроля грин01046 от 14.09.2025 15:55:33"/>
    <n v="1644"/>
    <n v="37521"/>
    <x v="4"/>
    <s v="Огнев Максим Викторович"/>
    <s v="Р755НН"/>
    <x v="12"/>
    <x v="1"/>
    <x v="3"/>
    <m/>
    <x v="30"/>
    <n v="1.4"/>
    <x v="12"/>
    <n v="37600"/>
    <n v="14670"/>
    <n v="11"/>
    <n v="22930"/>
    <n v="20407.7"/>
    <s v="грин01046"/>
    <x v="33"/>
  </r>
  <r>
    <s v="Акт входного контроля грин01047 от 14.09.2025 19:09:14"/>
    <n v="1646"/>
    <n v="37517"/>
    <x v="4"/>
    <s v="Егоян Артем Владимирович"/>
    <s v="А701СН"/>
    <x v="12"/>
    <x v="1"/>
    <x v="3"/>
    <m/>
    <x v="31"/>
    <n v="0.9"/>
    <x v="12"/>
    <n v="40200"/>
    <n v="14990"/>
    <n v="12"/>
    <n v="25210"/>
    <n v="22184.799999999999"/>
    <s v="грин01047"/>
    <x v="33"/>
  </r>
  <r>
    <s v="Акт входного контроля грин01048 от 14.09.2025 19:14:57"/>
    <n v="1647"/>
    <n v="37515"/>
    <x v="4"/>
    <s v="Мудрак Игорь Вадимович"/>
    <s v="С198УЕ"/>
    <x v="12"/>
    <x v="1"/>
    <x v="3"/>
    <m/>
    <x v="31"/>
    <n v="1.2"/>
    <x v="12"/>
    <n v="57060"/>
    <n v="24040"/>
    <n v="11"/>
    <n v="33020"/>
    <n v="29387.8"/>
    <s v="грин01048"/>
    <x v="33"/>
  </r>
  <r>
    <s v="Акт входного контроля грин01049 от 14.09.2025 22:45:19"/>
    <n v="1649"/>
    <n v="37523"/>
    <x v="4"/>
    <s v="Данильченко Ю.А."/>
    <s v="Р347КА"/>
    <x v="12"/>
    <x v="1"/>
    <x v="3"/>
    <m/>
    <x v="31"/>
    <n v="0.9"/>
    <x v="12"/>
    <n v="38800"/>
    <n v="14880"/>
    <n v="19"/>
    <n v="23920"/>
    <n v="19375.2"/>
    <s v="грин01049"/>
    <x v="33"/>
  </r>
  <r>
    <s v="Акт входного контроля грин01050 от 14.09.2025 23:40:53"/>
    <n v="1651"/>
    <n v="37527"/>
    <x v="4"/>
    <s v="Чернышов Александр Павлович"/>
    <s v="М704ТС"/>
    <x v="12"/>
    <x v="1"/>
    <x v="3"/>
    <m/>
    <x v="31"/>
    <n v="0.9"/>
    <x v="12"/>
    <n v="40980"/>
    <n v="16250"/>
    <n v="10"/>
    <n v="24730"/>
    <n v="22257"/>
    <s v="грин01050"/>
    <x v="33"/>
  </r>
  <r>
    <s v="Акт входного контроля грин01051 от 15.09.2025 19:04:08"/>
    <n v="1652"/>
    <n v="37529"/>
    <x v="4"/>
    <s v="Рыбалкин АН"/>
    <s v="Р687УК"/>
    <x v="12"/>
    <x v="1"/>
    <x v="3"/>
    <m/>
    <x v="31"/>
    <n v="1"/>
    <x v="12"/>
    <n v="41580"/>
    <n v="16050"/>
    <n v="20"/>
    <n v="25530"/>
    <n v="20424"/>
    <s v="грин01051"/>
    <x v="34"/>
  </r>
  <r>
    <s v="Акт входного контроля грин01052 от 15.09.2025 20:30:01"/>
    <n v="1653"/>
    <n v="37533"/>
    <x v="4"/>
    <s v="Пугачев Сергей Викторович"/>
    <s v="Р258УХ"/>
    <x v="12"/>
    <x v="1"/>
    <x v="3"/>
    <m/>
    <x v="31"/>
    <n v="1.2"/>
    <x v="12"/>
    <n v="42660"/>
    <n v="15580"/>
    <n v="8"/>
    <n v="27080"/>
    <n v="24913.599999999999"/>
    <s v="грин01052"/>
    <x v="34"/>
  </r>
  <r>
    <s v="Акт входного контроля грин01053 от 15.09.2025 22:43:46"/>
    <n v="1654"/>
    <n v="37535"/>
    <x v="4"/>
    <s v="Никитась Сергей Анатольевич"/>
    <s v="К570ЕО"/>
    <x v="14"/>
    <x v="1"/>
    <x v="3"/>
    <m/>
    <x v="31"/>
    <n v="1.4"/>
    <x v="14"/>
    <n v="39050"/>
    <n v="14870"/>
    <n v="16"/>
    <n v="24180"/>
    <n v="20311.2"/>
    <s v="грин01053"/>
    <x v="34"/>
  </r>
  <r>
    <s v="Акт входного контроля грин01054 от 15.09.2025 22:56:15"/>
    <n v="1675"/>
    <n v="37559"/>
    <x v="4"/>
    <s v="Богучарский А. И."/>
    <s v="Е404УС"/>
    <x v="13"/>
    <x v="1"/>
    <x v="3"/>
    <m/>
    <x v="32"/>
    <n v="1.5"/>
    <x v="13"/>
    <n v="36360"/>
    <n v="13850"/>
    <n v="12"/>
    <n v="22510"/>
    <n v="19808.8"/>
    <s v="грин01054"/>
    <x v="34"/>
  </r>
  <r>
    <s v="Акт входного контроля грин01055 от 15.09.2025 22:02:22"/>
    <n v="1676"/>
    <n v="37561"/>
    <x v="4"/>
    <s v="Ревенко Андрей Вячеславович"/>
    <s v="А781РР"/>
    <x v="15"/>
    <x v="1"/>
    <x v="3"/>
    <m/>
    <x v="32"/>
    <n v="1.5"/>
    <x v="15"/>
    <n v="38050"/>
    <n v="15000"/>
    <n v="8"/>
    <n v="23050"/>
    <n v="21206"/>
    <s v="грин01055"/>
    <x v="34"/>
  </r>
  <r>
    <s v="Акт входного контроля грин01056 от 15.09.2025 5:20:13"/>
    <n v="1655"/>
    <n v="37537"/>
    <x v="4"/>
    <s v="Глушенко Александр Иванович"/>
    <s v="Н735ВК"/>
    <x v="14"/>
    <x v="1"/>
    <x v="3"/>
    <m/>
    <x v="31"/>
    <n v="1.3"/>
    <x v="14"/>
    <n v="39470"/>
    <n v="16330"/>
    <n v="14"/>
    <n v="23140"/>
    <n v="19900.400000000001"/>
    <s v="грин01056"/>
    <x v="34"/>
  </r>
  <r>
    <s v="Акт входного контроля грин01057 от 15.09.2025 5:24:33"/>
    <n v="1656"/>
    <n v="37539"/>
    <x v="4"/>
    <s v="Веревкин Андрей Александрович"/>
    <s v="Н234ВК"/>
    <x v="14"/>
    <x v="1"/>
    <x v="3"/>
    <m/>
    <x v="31"/>
    <n v="1.3"/>
    <x v="14"/>
    <n v="39250"/>
    <n v="16320"/>
    <n v="23"/>
    <n v="22930"/>
    <n v="17656.099999999999"/>
    <s v="грин01057"/>
    <x v="34"/>
  </r>
  <r>
    <s v="Акт входного контроля грин01058 от 15.09.2025 5:50:55"/>
    <n v="1657"/>
    <n v="37541"/>
    <x v="4"/>
    <s v="Сотников Сергей Кириллович"/>
    <s v="Т443МВ"/>
    <x v="14"/>
    <x v="1"/>
    <x v="3"/>
    <m/>
    <x v="31"/>
    <n v="1.6"/>
    <x v="14"/>
    <n v="42870"/>
    <n v="15830"/>
    <n v="17"/>
    <n v="27040"/>
    <n v="22443.200000000001"/>
    <s v="грин01058"/>
    <x v="34"/>
  </r>
  <r>
    <s v="Акт входного контроля грин01059 от 15.09.2025 7:52:55"/>
    <n v="1658"/>
    <n v="37543"/>
    <x v="4"/>
    <s v="Магадиев Александр Сайлаувич"/>
    <s v="У184НО"/>
    <x v="14"/>
    <x v="1"/>
    <x v="3"/>
    <m/>
    <x v="31"/>
    <n v="1.4"/>
    <x v="14"/>
    <n v="39170"/>
    <n v="14420"/>
    <n v="5"/>
    <n v="24750"/>
    <n v="23512.5"/>
    <s v="грин01059"/>
    <x v="34"/>
  </r>
  <r>
    <s v="Акт входного контроля грин01060 от 15.09.2025 8:46:39"/>
    <n v="1660"/>
    <n v="37545"/>
    <x v="4"/>
    <s v="Мудрак Вадим Васильевич"/>
    <s v="Х514ОК"/>
    <x v="14"/>
    <x v="1"/>
    <x v="3"/>
    <m/>
    <x v="31"/>
    <n v="1.9"/>
    <x v="14"/>
    <n v="53280"/>
    <n v="20830"/>
    <n v="9"/>
    <n v="32450"/>
    <n v="29529.5"/>
    <s v="грин01060"/>
    <x v="34"/>
  </r>
  <r>
    <s v="Акт входного контроля грин01061 от 15.09.2025 10:17:24"/>
    <n v="1662"/>
    <n v="37547"/>
    <x v="4"/>
    <s v="Сероштан Станислав Викторович"/>
    <s v="Е758РЕ"/>
    <x v="14"/>
    <x v="1"/>
    <x v="3"/>
    <m/>
    <x v="31"/>
    <n v="1.4"/>
    <x v="14"/>
    <n v="38160"/>
    <n v="14690"/>
    <n v="14"/>
    <n v="23470"/>
    <n v="20184.2"/>
    <s v="грин01061"/>
    <x v="34"/>
  </r>
  <r>
    <s v="Акт входного контроля грин01062 от 15.09.2025 10:21:18"/>
    <n v="1663"/>
    <n v="37549"/>
    <x v="4"/>
    <s v="Черевко Александр Владимирович"/>
    <s v="А114МК"/>
    <x v="14"/>
    <x v="1"/>
    <x v="3"/>
    <m/>
    <x v="31"/>
    <n v="1.3"/>
    <x v="14"/>
    <n v="37000"/>
    <n v="14540"/>
    <n v="19"/>
    <n v="22460"/>
    <n v="18192.599999999999"/>
    <s v="грин01062"/>
    <x v="34"/>
  </r>
  <r>
    <s v="Акт входного контроля грин01063 от 15.09.2025 12:00:35"/>
    <n v="1666"/>
    <n v="37551"/>
    <x v="4"/>
    <s v="Емец Р.А."/>
    <s v="У315НХ"/>
    <x v="14"/>
    <x v="1"/>
    <x v="3"/>
    <m/>
    <x v="31"/>
    <n v="1.3"/>
    <x v="14"/>
    <n v="38670"/>
    <n v="15500"/>
    <n v="9"/>
    <n v="23170"/>
    <n v="21084.7"/>
    <s v="грин01063"/>
    <x v="34"/>
  </r>
  <r>
    <s v="Акт входного контроля грин01064 от 15.09.2025 12:40:25"/>
    <n v="1667"/>
    <n v="37553"/>
    <x v="4"/>
    <s v="Бербеницкий Сергей Николаевич"/>
    <s v="С400РР"/>
    <x v="14"/>
    <x v="1"/>
    <x v="3"/>
    <m/>
    <x v="31"/>
    <n v="1.5"/>
    <x v="14"/>
    <n v="41710"/>
    <n v="15130"/>
    <n v="10"/>
    <n v="26580"/>
    <n v="23922"/>
    <s v="грин01064"/>
    <x v="34"/>
  </r>
  <r>
    <s v="Акт входного контроля грин01065 от 15.09.2025 14:52:17"/>
    <n v="1671"/>
    <n v="37555"/>
    <x v="4"/>
    <s v="Жданов Андрей Иванович"/>
    <s v="С707ОУ"/>
    <x v="14"/>
    <x v="1"/>
    <x v="3"/>
    <m/>
    <x v="31"/>
    <n v="1.2"/>
    <x v="14"/>
    <n v="35140"/>
    <n v="14430"/>
    <n v="18"/>
    <n v="20710"/>
    <n v="16982.2"/>
    <s v="грин01065"/>
    <x v="34"/>
  </r>
  <r>
    <s v="Акт входного контроля грин01066 от 15.09.2025 20:44:50"/>
    <n v="1674"/>
    <n v="37557"/>
    <x v="4"/>
    <s v="Гужва А М."/>
    <s v="Т285ВЕ"/>
    <x v="14"/>
    <x v="1"/>
    <x v="3"/>
    <m/>
    <x v="32"/>
    <n v="1.5"/>
    <x v="14"/>
    <n v="36190"/>
    <n v="14790"/>
    <n v="13"/>
    <n v="21400"/>
    <n v="18618"/>
    <s v="грин01066"/>
    <x v="34"/>
  </r>
  <r>
    <s v="Акт входного контроля грин01067 от 16.09.2025 15:02:36"/>
    <n v="1682"/>
    <n v="136"/>
    <x v="5"/>
    <s v="Сайко Василий Викторович"/>
    <s v="А816ЕВ"/>
    <x v="16"/>
    <x v="11"/>
    <x v="0"/>
    <m/>
    <x v="33"/>
    <n v="0.8"/>
    <x v="16"/>
    <n v="23210"/>
    <n v="14110"/>
    <n v="18"/>
    <n v="9100"/>
    <n v="7462"/>
    <s v="грин01067"/>
    <x v="35"/>
  </r>
  <r>
    <s v="Акт входного контроля грин01068 от 16.09.2025 20:03:02"/>
    <n v="1684"/>
    <n v="137"/>
    <x v="5"/>
    <s v="Бербеницкий Сергей Николаевич"/>
    <s v="С400РР"/>
    <x v="16"/>
    <x v="11"/>
    <x v="0"/>
    <m/>
    <x v="33"/>
    <n v="2"/>
    <x v="16"/>
    <n v="38560"/>
    <n v="15090"/>
    <n v="23"/>
    <n v="23470"/>
    <n v="18071.900000000001"/>
    <s v="грин01068"/>
    <x v="35"/>
  </r>
  <r>
    <s v="Акт входного контроля грин01069 от 16.09.2025 22:37:50"/>
    <n v="1685"/>
    <n v="138"/>
    <x v="5"/>
    <s v="Сероштан Станислав Викторович"/>
    <s v="Е758РЕ"/>
    <x v="16"/>
    <x v="11"/>
    <x v="0"/>
    <m/>
    <x v="33"/>
    <n v="1.5"/>
    <x v="16"/>
    <n v="32100"/>
    <n v="14880"/>
    <n v="22"/>
    <n v="17220"/>
    <n v="13431.6"/>
    <s v="грин01069"/>
    <x v="35"/>
  </r>
  <r>
    <s v="Акт входного контроля грин01070 от 17.09.2025 3:26:23"/>
    <n v="1686"/>
    <n v="139"/>
    <x v="5"/>
    <s v="Сайко Василий Викторович"/>
    <s v="А816ЕВ"/>
    <x v="16"/>
    <x v="11"/>
    <x v="0"/>
    <m/>
    <x v="33"/>
    <n v="1.3"/>
    <x v="16"/>
    <n v="28680"/>
    <n v="14180"/>
    <n v="28"/>
    <n v="14500"/>
    <n v="10440"/>
    <s v="грин01070"/>
    <x v="36"/>
  </r>
  <r>
    <s v="Акт входного контроля грин01071 от 17.09.2025 5:27:19"/>
    <n v="1687"/>
    <n v="140"/>
    <x v="5"/>
    <s v="Бербеницкий Сергей Николаевич"/>
    <s v="С400РР"/>
    <x v="16"/>
    <x v="11"/>
    <x v="0"/>
    <m/>
    <x v="33"/>
    <n v="1.5"/>
    <x v="16"/>
    <n v="32420"/>
    <n v="15070"/>
    <n v="24"/>
    <n v="17350"/>
    <n v="13186"/>
    <s v="грин01071"/>
    <x v="36"/>
  </r>
  <r>
    <s v="Акт входного контроля грин01072 от 17.09.2025 6:51:28"/>
    <n v="1688"/>
    <n v="141"/>
    <x v="5"/>
    <s v="Сайко Василий Викторович"/>
    <s v="А816ЕВ"/>
    <x v="16"/>
    <x v="11"/>
    <x v="0"/>
    <m/>
    <x v="33"/>
    <n v="0.9"/>
    <x v="16"/>
    <n v="24510"/>
    <n v="14170"/>
    <n v="26"/>
    <n v="10340"/>
    <n v="7651.6"/>
    <s v="грин01072"/>
    <x v="36"/>
  </r>
  <r>
    <s v="Акт входного контроля грин01073 от 17.09.2025 11:25:09"/>
    <n v="1691"/>
    <n v="142"/>
    <x v="5"/>
    <s v="Черевко Александр Владимирович"/>
    <s v="А114МК"/>
    <x v="16"/>
    <x v="11"/>
    <x v="0"/>
    <m/>
    <x v="34"/>
    <n v="1.3"/>
    <x v="16"/>
    <n v="28250"/>
    <n v="14750"/>
    <n v="21"/>
    <n v="13500"/>
    <n v="10665"/>
    <s v="грин01073"/>
    <x v="36"/>
  </r>
  <r>
    <s v="Акт входного контроля грин01074 от 17.09.2025 13:23:36"/>
    <n v="1692"/>
    <n v="143"/>
    <x v="5"/>
    <s v="Богучарский А. И."/>
    <s v="Е404УС"/>
    <x v="16"/>
    <x v="11"/>
    <x v="0"/>
    <m/>
    <x v="34"/>
    <n v="1.3"/>
    <x v="16"/>
    <n v="27900"/>
    <n v="14020"/>
    <n v="18"/>
    <n v="13880"/>
    <n v="11381.6"/>
    <s v="грин01074"/>
    <x v="36"/>
  </r>
  <r>
    <s v="Акт входного контроля грин01075 от 17.09.2025 15:31:56"/>
    <n v="1694"/>
    <n v="144"/>
    <x v="5"/>
    <s v="Черевко Александр Владимирович"/>
    <s v="А114МК"/>
    <x v="16"/>
    <x v="11"/>
    <x v="0"/>
    <m/>
    <x v="34"/>
    <n v="1"/>
    <x v="16"/>
    <n v="25200"/>
    <n v="14730"/>
    <n v="16"/>
    <n v="10470"/>
    <n v="8794.7999999999993"/>
    <s v="грин01075"/>
    <x v="36"/>
  </r>
  <r>
    <s v="Акт входного контроля грин01076 от 17.09.2025 15:57:28"/>
    <n v="1697"/>
    <n v="145"/>
    <x v="5"/>
    <s v="Богучарский А. И."/>
    <s v="Е404УС"/>
    <x v="16"/>
    <x v="11"/>
    <x v="0"/>
    <m/>
    <x v="34"/>
    <n v="1.5"/>
    <x v="16"/>
    <n v="29610"/>
    <n v="14010"/>
    <n v="25"/>
    <n v="15600"/>
    <n v="11700"/>
    <s v="грин01076"/>
    <x v="36"/>
  </r>
  <r>
    <s v="Акт входного контроля грин01077 от 17.09.2025 16:42:14"/>
    <n v="1698"/>
    <n v="146"/>
    <x v="5"/>
    <s v="Черевко Александр Владимирович"/>
    <s v="А114МК"/>
    <x v="16"/>
    <x v="11"/>
    <x v="0"/>
    <m/>
    <x v="34"/>
    <n v="1.3"/>
    <x v="16"/>
    <n v="28690"/>
    <n v="14720"/>
    <n v="24"/>
    <n v="13970"/>
    <n v="10617.2"/>
    <s v="грин01077"/>
    <x v="36"/>
  </r>
  <r>
    <s v="Акт входного контроля грин01078 от 17.09.2025 18:33:27"/>
    <n v="1699"/>
    <n v="147"/>
    <x v="5"/>
    <s v="Богучарский А. И."/>
    <s v="Е404УС"/>
    <x v="16"/>
    <x v="11"/>
    <x v="0"/>
    <m/>
    <x v="34"/>
    <n v="1.7"/>
    <x v="16"/>
    <n v="32120"/>
    <n v="14000"/>
    <n v="25"/>
    <n v="18120"/>
    <n v="13590"/>
    <s v="грин01078"/>
    <x v="36"/>
  </r>
  <r>
    <s v="Акт входного контроля грин01079 от 17.09.2025 22:25:50"/>
    <n v="1700"/>
    <n v="148"/>
    <x v="5"/>
    <s v="Черевко Александр Владимирович"/>
    <s v="А114МК"/>
    <x v="16"/>
    <x v="11"/>
    <x v="0"/>
    <m/>
    <x v="34"/>
    <n v="1.8"/>
    <x v="16"/>
    <n v="33450"/>
    <n v="14720"/>
    <n v="19"/>
    <n v="18730"/>
    <n v="15171.3"/>
    <s v="грин01079"/>
    <x v="36"/>
  </r>
  <r>
    <s v="Акт входного контроля грин01080 от 17.09.2025 22:30:06"/>
    <n v="1701"/>
    <n v="149"/>
    <x v="5"/>
    <s v="Ревенко Андрей Вячеславович"/>
    <s v="А781РР"/>
    <x v="16"/>
    <x v="11"/>
    <x v="0"/>
    <m/>
    <x v="34"/>
    <n v="1.5"/>
    <x v="16"/>
    <n v="30660"/>
    <n v="15130"/>
    <n v="23"/>
    <n v="15530"/>
    <n v="11958.1"/>
    <s v="грин01080"/>
    <x v="36"/>
  </r>
  <r>
    <s v="Акт входного контроля грин01081 от 17.09.2025 23:28:55"/>
    <n v="1702"/>
    <n v="150"/>
    <x v="5"/>
    <s v="Богучарский А. И."/>
    <s v="Е404УС"/>
    <x v="16"/>
    <x v="11"/>
    <x v="0"/>
    <m/>
    <x v="34"/>
    <n v="1.4"/>
    <x v="16"/>
    <n v="28770"/>
    <n v="13990"/>
    <n v="24"/>
    <n v="14780"/>
    <n v="11232.8"/>
    <s v="грин01081"/>
    <x v="36"/>
  </r>
  <r>
    <s v="Акт входного контроля грин01082 от 18.09.2025 1:18:19"/>
    <n v="1704"/>
    <n v="151"/>
    <x v="5"/>
    <s v="Черевко Александр Владимирович"/>
    <s v="А114МК"/>
    <x v="16"/>
    <x v="11"/>
    <x v="0"/>
    <m/>
    <x v="34"/>
    <n v="1.2"/>
    <x v="16"/>
    <n v="27380"/>
    <n v="14700"/>
    <n v="25"/>
    <n v="12680"/>
    <n v="9510"/>
    <s v="грин01082"/>
    <x v="37"/>
  </r>
  <r>
    <s v="Акт входного контроля грин01083 от 18.09.2025 4:30:01"/>
    <n v="1705"/>
    <n v="152"/>
    <x v="5"/>
    <s v="Богучарский А. И."/>
    <s v="Е404УС"/>
    <x v="16"/>
    <x v="11"/>
    <x v="0"/>
    <m/>
    <x v="34"/>
    <n v="1.3"/>
    <x v="16"/>
    <n v="28110"/>
    <n v="13990"/>
    <n v="28"/>
    <n v="14120"/>
    <n v="10166.4"/>
    <s v="грин01083"/>
    <x v="37"/>
  </r>
  <r>
    <s v="Акт входного контроля грин01084 от 18.09.2025 6:22:14"/>
    <n v="1706"/>
    <n v="153"/>
    <x v="5"/>
    <s v="Черевко Александр Владимирович"/>
    <s v="А114МК"/>
    <x v="16"/>
    <x v="11"/>
    <x v="0"/>
    <m/>
    <x v="34"/>
    <n v="1.3"/>
    <x v="16"/>
    <n v="28410"/>
    <n v="14700"/>
    <n v="34"/>
    <n v="13710"/>
    <n v="9048.6"/>
    <s v="грин01084"/>
    <x v="37"/>
  </r>
  <r>
    <s v="Акт входного контроля грин01085 от 18.09.2025 6:26:37"/>
    <n v="1707"/>
    <n v="154"/>
    <x v="5"/>
    <s v="Богучарский А. И."/>
    <s v="Е404УС"/>
    <x v="16"/>
    <x v="11"/>
    <x v="0"/>
    <m/>
    <x v="34"/>
    <n v="1.5"/>
    <x v="16"/>
    <n v="29600"/>
    <n v="13970"/>
    <n v="32"/>
    <n v="15630"/>
    <n v="10628.4"/>
    <s v="грин01085"/>
    <x v="37"/>
  </r>
  <r>
    <s v="Акт входного контроля грин01086 от 18.09.2025 10:47:19"/>
    <n v="1708"/>
    <n v="37563"/>
    <x v="4"/>
    <s v="Игольницын Сергей Владимирович"/>
    <s v="В780ТТ"/>
    <x v="15"/>
    <x v="1"/>
    <x v="3"/>
    <m/>
    <x v="34"/>
    <n v="1.5"/>
    <x v="15"/>
    <n v="39270"/>
    <n v="15480"/>
    <n v="24"/>
    <n v="23790"/>
    <n v="18080.400000000001"/>
    <s v="грин01086"/>
    <x v="37"/>
  </r>
  <r>
    <s v="Акт входного контроля грин01087 от 18.09.2025 10:58:07"/>
    <n v="1710"/>
    <n v="37565"/>
    <x v="4"/>
    <s v="Титаренко Максим Сергеевич"/>
    <s v="О398ХО"/>
    <x v="15"/>
    <x v="1"/>
    <x v="3"/>
    <m/>
    <x v="34"/>
    <n v="1.5"/>
    <x v="15"/>
    <n v="37930"/>
    <n v="14740"/>
    <n v="14"/>
    <n v="23190"/>
    <n v="19943.400000000001"/>
    <s v="грин01087"/>
    <x v="37"/>
  </r>
  <r>
    <s v="Акт входного контроля грин01088 от 18.09.2025 11:09:54"/>
    <n v="1711"/>
    <n v="37567"/>
    <x v="4"/>
    <s v="Грищенко Александр Александрович"/>
    <s v="К416ТН"/>
    <x v="15"/>
    <x v="1"/>
    <x v="3"/>
    <m/>
    <x v="34"/>
    <n v="1.4"/>
    <x v="15"/>
    <n v="38430"/>
    <n v="15700"/>
    <n v="8"/>
    <n v="22730"/>
    <n v="20911.599999999999"/>
    <s v="грин01088"/>
    <x v="37"/>
  </r>
  <r>
    <s v="Акт входного контроля грин01089 от 18.09.2025 14:15:07"/>
    <n v="1712"/>
    <n v="37569"/>
    <x v="4"/>
    <s v="Ушаков С Е."/>
    <s v="О212РТ"/>
    <x v="15"/>
    <x v="1"/>
    <x v="3"/>
    <m/>
    <x v="34"/>
    <n v="1.4"/>
    <x v="15"/>
    <n v="36030"/>
    <n v="14160"/>
    <n v="8"/>
    <n v="21870"/>
    <n v="20120.400000000001"/>
    <s v="грин01089"/>
    <x v="37"/>
  </r>
  <r>
    <s v="Акт входного контроля грин01090 от 18.09.2025 14:35:56"/>
    <n v="1713"/>
    <n v="37571"/>
    <x v="4"/>
    <s v="Пищев Александр Васильевич "/>
    <s v="Т522ОН"/>
    <x v="15"/>
    <x v="1"/>
    <x v="3"/>
    <m/>
    <x v="34"/>
    <n v="1.7"/>
    <x v="15"/>
    <n v="46400"/>
    <n v="19180"/>
    <n v="12"/>
    <n v="27220"/>
    <n v="23953.599999999999"/>
    <s v="грин01090"/>
    <x v="37"/>
  </r>
  <r>
    <s v="Акт входного контроля грин01091 от 18.09.2025 14:42:17"/>
    <n v="1714"/>
    <n v="37573"/>
    <x v="4"/>
    <s v="Давыденко Юрий Викторович"/>
    <s v="У094СР"/>
    <x v="15"/>
    <x v="1"/>
    <x v="3"/>
    <m/>
    <x v="34"/>
    <n v="1.6"/>
    <x v="15"/>
    <n v="42250"/>
    <n v="17000"/>
    <n v="8"/>
    <n v="25250"/>
    <n v="23230"/>
    <s v="грин01091"/>
    <x v="37"/>
  </r>
  <r>
    <s v="Акт входного контроля грин01092 от 18.09.2025 14:50:52"/>
    <n v="1715"/>
    <n v="37577"/>
    <x v="4"/>
    <s v="Демченко Анатолий Григорьевич"/>
    <s v="Р818СЕ"/>
    <x v="15"/>
    <x v="1"/>
    <x v="3"/>
    <m/>
    <x v="34"/>
    <n v="1.4"/>
    <x v="15"/>
    <n v="36960"/>
    <n v="14920"/>
    <n v="8"/>
    <n v="22040"/>
    <n v="20276.8"/>
    <s v="грин01092"/>
    <x v="37"/>
  </r>
  <r>
    <s v="Акт входного контроля грин01093 от 18.09.2025 15:20:48"/>
    <n v="1716"/>
    <n v="37575"/>
    <x v="4"/>
    <s v="Затонский Сергей Анатольевич"/>
    <s v="Е647РМ"/>
    <x v="15"/>
    <x v="1"/>
    <x v="3"/>
    <m/>
    <x v="34"/>
    <n v="1.3"/>
    <x v="15"/>
    <n v="35480"/>
    <n v="14820"/>
    <n v="8"/>
    <n v="20660"/>
    <n v="19007.2"/>
    <s v="грин01093"/>
    <x v="37"/>
  </r>
  <r>
    <s v="Акт входного контроля грин01094 от 18.09.2025 17:37:30"/>
    <n v="1718"/>
    <n v="37581"/>
    <x v="4"/>
    <s v="Аладин Василий Сергеевич"/>
    <s v="Т110ТМ"/>
    <x v="15"/>
    <x v="1"/>
    <x v="3"/>
    <m/>
    <x v="35"/>
    <n v="1.2"/>
    <x v="15"/>
    <n v="34990"/>
    <n v="14800"/>
    <n v="22"/>
    <n v="20190"/>
    <n v="15748.2"/>
    <s v="грин01094"/>
    <x v="37"/>
  </r>
  <r>
    <s v="Акт входного контроля грин01095 от 18.09.2025 18:07:25"/>
    <n v="1719"/>
    <n v="37579"/>
    <x v="4"/>
    <s v="Рудик Александр Иванович"/>
    <s v="А309АТ"/>
    <x v="15"/>
    <x v="1"/>
    <x v="3"/>
    <m/>
    <x v="35"/>
    <n v="1.3"/>
    <x v="15"/>
    <n v="36500"/>
    <n v="14710"/>
    <n v="30"/>
    <n v="21790"/>
    <n v="15253"/>
    <s v="грин01095"/>
    <x v="37"/>
  </r>
  <r>
    <s v="Акт входного контроля грин01096 от 18.09.2025 20:48:26"/>
    <n v="1720"/>
    <n v="37590"/>
    <x v="4"/>
    <s v="Фомин Николай Григорьевич"/>
    <s v="А731ВА"/>
    <x v="15"/>
    <x v="1"/>
    <x v="3"/>
    <m/>
    <x v="35"/>
    <n v="1.4"/>
    <x v="15"/>
    <n v="38540"/>
    <n v="14900"/>
    <n v="17"/>
    <n v="23640"/>
    <n v="19621.2"/>
    <s v="грин01096"/>
    <x v="37"/>
  </r>
  <r>
    <s v="Акт входного контроля грин01097 от 18.09.2025 21:00:33"/>
    <n v="1721"/>
    <n v="37593"/>
    <x v="4"/>
    <s v="Извеков Владимир Владимирович"/>
    <s v="Н378ХЕ"/>
    <x v="15"/>
    <x v="1"/>
    <x v="3"/>
    <m/>
    <x v="35"/>
    <n v="1.4"/>
    <x v="15"/>
    <n v="37810"/>
    <n v="15380"/>
    <n v="9"/>
    <n v="22430"/>
    <n v="20411.3"/>
    <s v="грин01097"/>
    <x v="37"/>
  </r>
  <r>
    <s v="Акт входного контроля грин01098 от 18.09.2025 23:10:36"/>
    <n v="1722"/>
    <n v="37595"/>
    <x v="4"/>
    <s v="Блажко Алексей Николаевич"/>
    <s v="М676КО"/>
    <x v="15"/>
    <x v="1"/>
    <x v="3"/>
    <m/>
    <x v="35"/>
    <n v="1.7"/>
    <x v="15"/>
    <n v="51930"/>
    <n v="24090"/>
    <n v="9"/>
    <n v="27840"/>
    <n v="25334.400000000001"/>
    <s v="грин01098"/>
    <x v="37"/>
  </r>
  <r>
    <s v="Акт входного контроля грин01099 от 18.09.2025 23:19:24"/>
    <n v="1723"/>
    <n v="37602"/>
    <x v="4"/>
    <s v="Чернецов Александр Михайлович"/>
    <s v="Р866РМ"/>
    <x v="15"/>
    <x v="1"/>
    <x v="3"/>
    <m/>
    <x v="35"/>
    <n v="1.6"/>
    <x v="15"/>
    <n v="40860"/>
    <n v="14910"/>
    <n v="7"/>
    <n v="25950"/>
    <n v="24133.5"/>
    <s v="грин01099"/>
    <x v="37"/>
  </r>
  <r>
    <s v="Акт входного контроля грин01100 от 18.09.2025 23:34:44"/>
    <n v="1724"/>
    <n v="37616"/>
    <x v="4"/>
    <s v="Кулинич Евгений Владимирович"/>
    <s v="У801СТ"/>
    <x v="15"/>
    <x v="1"/>
    <x v="3"/>
    <m/>
    <x v="35"/>
    <n v="1.5"/>
    <x v="15"/>
    <n v="39270"/>
    <n v="15040"/>
    <n v="12"/>
    <n v="24230"/>
    <n v="21322.400000000001"/>
    <s v="грин01100"/>
    <x v="37"/>
  </r>
  <r>
    <s v="Акт входного контроля грин01101 от 18.09.2025 22:18:23"/>
    <n v="1725"/>
    <n v="37618"/>
    <x v="4"/>
    <s v="Бондаренко Николай Николаевич"/>
    <s v="А315МК"/>
    <x v="15"/>
    <x v="1"/>
    <x v="3"/>
    <m/>
    <x v="35"/>
    <n v="1.3"/>
    <x v="15"/>
    <n v="35090"/>
    <n v="13970"/>
    <n v="13"/>
    <n v="21120"/>
    <n v="18374.400000000001"/>
    <s v="грин01101"/>
    <x v="37"/>
  </r>
  <r>
    <s v="Акт входного контроля грин01102 от 18.09.2025 23:45:26"/>
    <n v="1726"/>
    <n v="37624"/>
    <x v="4"/>
    <s v="Майстровский В.Н."/>
    <s v="М057АО"/>
    <x v="15"/>
    <x v="1"/>
    <x v="3"/>
    <m/>
    <x v="35"/>
    <n v="1.5"/>
    <x v="15"/>
    <n v="39280"/>
    <n v="14530"/>
    <n v="8"/>
    <n v="24750"/>
    <n v="22770"/>
    <s v="грин01102"/>
    <x v="37"/>
  </r>
  <r>
    <s v="Акт входного контроля грин01103 от 18.09.2025 23:50:19"/>
    <n v="1727"/>
    <n v="37626"/>
    <x v="4"/>
    <s v="Долгих Николай Петрович"/>
    <s v="У726ЕР"/>
    <x v="15"/>
    <x v="1"/>
    <x v="3"/>
    <m/>
    <x v="35"/>
    <n v="1.5"/>
    <x v="15"/>
    <n v="39690"/>
    <n v="15120"/>
    <n v="5"/>
    <n v="24570"/>
    <n v="23341.5"/>
    <s v="грин01103"/>
    <x v="37"/>
  </r>
  <r>
    <s v="Акт входного контроля грин01104 от 18.09.2025 23:59:24"/>
    <n v="1728"/>
    <n v="37622"/>
    <x v="4"/>
    <s v="Кудря Евгений"/>
    <s v="А719ОО"/>
    <x v="15"/>
    <x v="1"/>
    <x v="3"/>
    <m/>
    <x v="35"/>
    <n v="1.3"/>
    <x v="15"/>
    <n v="38880"/>
    <n v="14980"/>
    <n v="7"/>
    <n v="23900"/>
    <n v="22227"/>
    <s v="грин01104"/>
    <x v="37"/>
  </r>
  <r>
    <s v="Акт входного контроля грин01105 от 19.09.2025 4:35:35"/>
    <n v="1730"/>
    <n v="37693"/>
    <x v="4"/>
    <s v="Мудрак Игорь Вадимович"/>
    <s v="С198УЕ"/>
    <x v="14"/>
    <x v="1"/>
    <x v="3"/>
    <m/>
    <x v="35"/>
    <n v="2.7"/>
    <x v="14"/>
    <n v="56660"/>
    <n v="24020"/>
    <n v="12"/>
    <n v="32640"/>
    <n v="28723.200000000001"/>
    <s v="грин01105"/>
    <x v="38"/>
  </r>
  <r>
    <s v="Акт входного контроля грин01106 от 19.09.2025 5:44:03"/>
    <n v="1731"/>
    <n v="37695"/>
    <x v="4"/>
    <s v="Егоян Артем Владимирович"/>
    <s v="А701СН"/>
    <x v="14"/>
    <x v="1"/>
    <x v="3"/>
    <m/>
    <x v="35"/>
    <n v="2"/>
    <x v="14"/>
    <n v="39540"/>
    <n v="15060"/>
    <n v="8"/>
    <n v="24480"/>
    <n v="22521.599999999999"/>
    <s v="грин01106"/>
    <x v="38"/>
  </r>
  <r>
    <s v="Акт входного контроля грин01107 от 19.09.2025 7:31:44"/>
    <n v="1732"/>
    <n v="37628"/>
    <x v="4"/>
    <s v="Ховятский АМ"/>
    <s v="Р684ОХ"/>
    <x v="14"/>
    <x v="1"/>
    <x v="3"/>
    <m/>
    <x v="35"/>
    <n v="2.1"/>
    <x v="14"/>
    <n v="39670"/>
    <n v="14570"/>
    <n v="7"/>
    <n v="25100"/>
    <n v="23343"/>
    <s v="грин01107"/>
    <x v="38"/>
  </r>
  <r>
    <s v="Акт входного контроля грин01108 от 19.09.2025 8:43:27"/>
    <n v="1733"/>
    <n v="37683"/>
    <x v="4"/>
    <s v="Пугачев Сергей Викторович"/>
    <s v="Р258УХ"/>
    <x v="14"/>
    <x v="1"/>
    <x v="3"/>
    <m/>
    <x v="35"/>
    <n v="2.2000000000000002"/>
    <x v="14"/>
    <n v="41470"/>
    <n v="15550"/>
    <n v="11"/>
    <n v="25920"/>
    <n v="23068.799999999999"/>
    <s v="грин01108"/>
    <x v="38"/>
  </r>
  <r>
    <s v="Акт входного контроля грин01109 от 19.09.2025 10:29:07"/>
    <n v="1734"/>
    <n v="37689"/>
    <x v="4"/>
    <s v="Дик Илья Александрович"/>
    <s v="М556ХВ"/>
    <x v="14"/>
    <x v="1"/>
    <x v="3"/>
    <m/>
    <x v="35"/>
    <n v="2.2999999999999998"/>
    <x v="14"/>
    <n v="42850"/>
    <n v="15520"/>
    <n v="14"/>
    <n v="27330"/>
    <n v="23503.8"/>
    <s v="грин01109"/>
    <x v="38"/>
  </r>
  <r>
    <s v="Акт входного контроля грин01110 от 19.09.2025 11:21:25"/>
    <n v="1735"/>
    <n v="37697"/>
    <x v="4"/>
    <s v="Чернышов Александр Павлович"/>
    <s v="М704ТС"/>
    <x v="14"/>
    <x v="1"/>
    <x v="3"/>
    <m/>
    <x v="35"/>
    <n v="2.1"/>
    <x v="14"/>
    <n v="41270"/>
    <n v="16310"/>
    <n v="4"/>
    <n v="24960"/>
    <n v="23961.599999999999"/>
    <s v="грин01110"/>
    <x v="38"/>
  </r>
  <r>
    <s v="Акт входного контроля грин01111 от 19.09.2025 12:11:28"/>
    <n v="1737"/>
    <n v="37699"/>
    <x v="4"/>
    <s v="Глушенко Александр Иванович"/>
    <s v="Н735ВК"/>
    <x v="14"/>
    <x v="1"/>
    <x v="3"/>
    <m/>
    <x v="35"/>
    <n v="1.9"/>
    <x v="14"/>
    <n v="39830"/>
    <n v="16410"/>
    <n v="8"/>
    <n v="23420"/>
    <n v="21546.400000000001"/>
    <s v="грин01111"/>
    <x v="38"/>
  </r>
  <r>
    <s v="Акт входного контроля грин01112 от 19.09.2025 13:34:25"/>
    <n v="1738"/>
    <n v="37701"/>
    <x v="4"/>
    <s v="Веревкин Андрей Александрович"/>
    <s v="Н234ВК"/>
    <x v="13"/>
    <x v="1"/>
    <x v="3"/>
    <m/>
    <x v="35"/>
    <n v="2"/>
    <x v="13"/>
    <n v="40400"/>
    <n v="16310"/>
    <n v="4"/>
    <n v="24090"/>
    <n v="23126.400000000001"/>
    <s v="грин01112"/>
    <x v="38"/>
  </r>
  <r>
    <s v="Акт входного контроля грин01113 от 19.09.2025 14:04:51"/>
    <n v="1739"/>
    <n v="37703"/>
    <x v="4"/>
    <s v="Сотников Сергей Кириллович"/>
    <s v="Т443МВ"/>
    <x v="13"/>
    <x v="1"/>
    <x v="3"/>
    <m/>
    <x v="35"/>
    <n v="2"/>
    <x v="13"/>
    <n v="40680"/>
    <n v="15850"/>
    <n v="9"/>
    <n v="24830"/>
    <n v="22595.3"/>
    <s v="грин01113"/>
    <x v="38"/>
  </r>
  <r>
    <s v="Акт входного контроля грин01114 от 19.09.2025 15:16:50"/>
    <n v="1740"/>
    <n v="37705"/>
    <x v="4"/>
    <s v="Данильченко Ю.А."/>
    <s v="Р347КА"/>
    <x v="13"/>
    <x v="1"/>
    <x v="3"/>
    <m/>
    <x v="35"/>
    <n v="2.1"/>
    <x v="13"/>
    <n v="39970"/>
    <n v="14930"/>
    <n v="10"/>
    <n v="25040"/>
    <n v="22536"/>
    <s v="грин01114"/>
    <x v="38"/>
  </r>
  <r>
    <s v="Акт входного контроля грин01115 от 19.09.2025 16:23:41"/>
    <n v="1743"/>
    <n v="37709"/>
    <x v="4"/>
    <s v="Огнев Максим Викторович"/>
    <s v="Р755НН"/>
    <x v="13"/>
    <x v="1"/>
    <x v="3"/>
    <m/>
    <x v="35"/>
    <n v="1.9"/>
    <x v="13"/>
    <n v="37740"/>
    <n v="14670"/>
    <n v="4"/>
    <n v="23070"/>
    <n v="22147.200000000001"/>
    <s v="грин01115"/>
    <x v="38"/>
  </r>
  <r>
    <s v="Акт входного контроля грин01116 от 19.09.2025 17:49:00"/>
    <n v="1745"/>
    <n v="37711"/>
    <x v="4"/>
    <s v="Лазаренко Вячеслав Владимирович"/>
    <s v="Т239УС"/>
    <x v="14"/>
    <x v="1"/>
    <x v="3"/>
    <m/>
    <x v="35"/>
    <n v="2.1"/>
    <x v="14"/>
    <n v="38820"/>
    <n v="14760"/>
    <n v="5"/>
    <n v="24060"/>
    <n v="22857"/>
    <s v="грин01116"/>
    <x v="38"/>
  </r>
  <r>
    <s v="Акт входного контроля грин01117 от 19.09.2025 18:19:40"/>
    <n v="1746"/>
    <n v="37715"/>
    <x v="4"/>
    <s v="Емец Р.А."/>
    <s v="У315НХ"/>
    <x v="13"/>
    <x v="1"/>
    <x v="3"/>
    <m/>
    <x v="36"/>
    <n v="1.3"/>
    <x v="13"/>
    <n v="38620"/>
    <n v="15550"/>
    <n v="9"/>
    <n v="23070"/>
    <n v="20993.7"/>
    <s v="грин01117"/>
    <x v="38"/>
  </r>
  <r>
    <s v="Акт входного контроля грин01118 от 19.09.2025 19:17:39"/>
    <n v="1747"/>
    <n v="37719"/>
    <x v="4"/>
    <s v="Бербеницкий Сергей Николаевич"/>
    <s v="С400РР"/>
    <x v="13"/>
    <x v="1"/>
    <x v="3"/>
    <m/>
    <x v="36"/>
    <n v="1.5"/>
    <x v="13"/>
    <n v="42670"/>
    <n v="15080"/>
    <n v="4"/>
    <n v="27590"/>
    <n v="26486.400000000001"/>
    <s v="грин01118"/>
    <x v="38"/>
  </r>
  <r>
    <s v="Акт входного контроля грин01119 от 19.09.2025 22:10:53"/>
    <n v="1748"/>
    <n v="37724"/>
    <x v="4"/>
    <s v="Пищев Александр Васильевич "/>
    <s v="Т522ОН"/>
    <x v="13"/>
    <x v="1"/>
    <x v="3"/>
    <m/>
    <x v="36"/>
    <n v="1.9"/>
    <x v="13"/>
    <n v="53330"/>
    <n v="19220"/>
    <n v="9"/>
    <n v="34110"/>
    <n v="31040.1"/>
    <s v="грин01119"/>
    <x v="38"/>
  </r>
  <r>
    <s v="Акт входного контроля грин01120 от 19.09.2025 22:58:41"/>
    <n v="1749"/>
    <s v="37722/1"/>
    <x v="4"/>
    <s v="Мудрак Вадим Васильевич"/>
    <s v="Х514ОК"/>
    <x v="13"/>
    <x v="1"/>
    <x v="3"/>
    <m/>
    <x v="36"/>
    <n v="1.9"/>
    <x v="13"/>
    <n v="55380"/>
    <n v="20890"/>
    <n v="8"/>
    <n v="34490"/>
    <n v="31730.799999999999"/>
    <s v="грин01120"/>
    <x v="38"/>
  </r>
  <r>
    <s v="Акт входного контроля грин01121 от 19.09.2025 23:15:41"/>
    <n v="1751"/>
    <n v="37728"/>
    <x v="4"/>
    <s v="Давыденко Юрий Викторович"/>
    <s v="У094СР"/>
    <x v="13"/>
    <x v="1"/>
    <x v="3"/>
    <m/>
    <x v="36"/>
    <n v="1.5"/>
    <x v="13"/>
    <n v="44420"/>
    <n v="17030"/>
    <n v="5"/>
    <n v="27390"/>
    <n v="26020.5"/>
    <s v="грин01121"/>
    <x v="38"/>
  </r>
  <r>
    <s v="Акт входного контроля грин01122 от 19.09.2025 23:37:23"/>
    <n v="1752"/>
    <n v="37726"/>
    <x v="4"/>
    <s v="Демченко Анатолий Григорьевич"/>
    <s v="Р818СЕ"/>
    <x v="13"/>
    <x v="1"/>
    <x v="3"/>
    <m/>
    <x v="36"/>
    <n v="1.4"/>
    <x v="13"/>
    <n v="39350"/>
    <n v="14940"/>
    <n v="5"/>
    <n v="24410"/>
    <n v="23189.5"/>
    <s v="грин01122"/>
    <x v="38"/>
  </r>
  <r>
    <s v="Акт входного контроля грин01123 от 19.09.2025 22:19:34"/>
    <n v="1753"/>
    <n v="37730"/>
    <x v="4"/>
    <s v="Затонский Сергей Анатольевич"/>
    <s v="Е647РМ"/>
    <x v="13"/>
    <x v="1"/>
    <x v="3"/>
    <m/>
    <x v="36"/>
    <n v="1.2"/>
    <x v="13"/>
    <n v="36890"/>
    <n v="14720"/>
    <n v="10"/>
    <n v="22170"/>
    <n v="19953"/>
    <s v="грин01123"/>
    <x v="38"/>
  </r>
  <r>
    <s v="Акт входного контроля грин01125 от 20.09.2025 2:45:21"/>
    <n v="1754"/>
    <n v="37736"/>
    <x v="4"/>
    <s v="Блажко Алексей Николаевич"/>
    <s v="М676КО"/>
    <x v="13"/>
    <x v="1"/>
    <x v="3"/>
    <m/>
    <x v="36"/>
    <n v="2"/>
    <x v="13"/>
    <n v="58870"/>
    <n v="24080"/>
    <n v="12"/>
    <n v="34790"/>
    <n v="30615.200000000001"/>
    <s v="грин01125"/>
    <x v="39"/>
  </r>
  <r>
    <s v="Акт входного контроля грин01126 от 20.09.2025 3:50:19"/>
    <n v="1755"/>
    <n v="37738"/>
    <x v="4"/>
    <s v="Никитась Сергей Анатольевич"/>
    <s v="К570ЕО"/>
    <x v="13"/>
    <x v="1"/>
    <x v="3"/>
    <m/>
    <x v="36"/>
    <n v="1.5"/>
    <x v="13"/>
    <n v="42430"/>
    <n v="14930"/>
    <n v="10"/>
    <n v="27500"/>
    <n v="24750"/>
    <s v="грин01126"/>
    <x v="39"/>
  </r>
  <r>
    <s v="Акт входного контроля грин01127 от 20.09.2025 4:19:30"/>
    <n v="1756"/>
    <n v="37742"/>
    <x v="4"/>
    <s v="Ушаков С Е."/>
    <s v="О212РТ"/>
    <x v="13"/>
    <x v="1"/>
    <x v="3"/>
    <m/>
    <x v="36"/>
    <n v="1.4"/>
    <x v="13"/>
    <n v="39630"/>
    <n v="14170"/>
    <n v="12"/>
    <n v="25460"/>
    <n v="22404.799999999999"/>
    <s v="грин01127"/>
    <x v="39"/>
  </r>
  <r>
    <s v="Акт входного контроля грин01128 от 20.09.2025 6:38:23"/>
    <n v="1757"/>
    <n v="37744"/>
    <x v="4"/>
    <s v="Аладин Василий Сергеевич"/>
    <s v="Т110ТМ"/>
    <x v="13"/>
    <x v="1"/>
    <x v="3"/>
    <m/>
    <x v="36"/>
    <n v="1.3"/>
    <x v="13"/>
    <n v="38110"/>
    <n v="14860"/>
    <n v="5"/>
    <n v="23250"/>
    <n v="22087.5"/>
    <s v="грин01128"/>
    <x v="39"/>
  </r>
  <r>
    <s v="Акт входного контроля грин01129 от 20.09.2025 8:42:19"/>
    <n v="1758"/>
    <n v="37747"/>
    <x v="4"/>
    <s v="Дик Илья Александрович"/>
    <s v="М556ХВ"/>
    <x v="13"/>
    <x v="1"/>
    <x v="3"/>
    <m/>
    <x v="36"/>
    <n v="1.6"/>
    <x v="13"/>
    <n v="44560"/>
    <n v="15750"/>
    <n v="6"/>
    <n v="28810"/>
    <n v="27081.4"/>
    <s v="грин01129"/>
    <x v="39"/>
  </r>
  <r>
    <s v="Акт входного контроля грин01130 от 20.09.2025 10:50:10"/>
    <n v="1759"/>
    <n v="37749"/>
    <x v="4"/>
    <s v="Бондаренко Николай Николаевич"/>
    <s v="А315МК"/>
    <x v="13"/>
    <x v="1"/>
    <x v="3"/>
    <m/>
    <x v="36"/>
    <n v="1.2"/>
    <x v="13"/>
    <n v="36170"/>
    <n v="13990"/>
    <n v="8"/>
    <n v="22180"/>
    <n v="20405.599999999999"/>
    <s v="грин01130"/>
    <x v="39"/>
  </r>
  <r>
    <s v="Акт входного контроля грин01131 от 20.09.2025 10:52:49"/>
    <n v="1761"/>
    <n v="37755"/>
    <x v="4"/>
    <s v="Чернышов Александр Павлович"/>
    <s v="М704ТС"/>
    <x v="13"/>
    <x v="1"/>
    <x v="3"/>
    <m/>
    <x v="36"/>
    <n v="1.4"/>
    <x v="13"/>
    <n v="41690"/>
    <n v="16310"/>
    <n v="6"/>
    <n v="25380"/>
    <n v="23857.200000000001"/>
    <s v="грин01131"/>
    <x v="39"/>
  </r>
  <r>
    <s v="Акт входного контроля грин01132 от 20.09.2025 14:25:26"/>
    <n v="1764"/>
    <n v="37753"/>
    <x v="4"/>
    <s v="Данильченко Ю.А."/>
    <s v="Р347КА"/>
    <x v="13"/>
    <x v="1"/>
    <x v="3"/>
    <m/>
    <x v="37"/>
    <n v="1.4"/>
    <x v="13"/>
    <n v="40790"/>
    <n v="14950"/>
    <n v="8"/>
    <n v="25840"/>
    <n v="23772.799999999999"/>
    <s v="грин01132"/>
    <x v="39"/>
  </r>
  <r>
    <s v="Акт входного контроля грин01133 от 20.09.2025 14:28:22"/>
    <n v="1768"/>
    <n v="155"/>
    <x v="5"/>
    <s v="Чигрин Н.А."/>
    <s v="А819ЕВ"/>
    <x v="16"/>
    <x v="11"/>
    <x v="0"/>
    <m/>
    <x v="37"/>
    <n v="1.5"/>
    <x v="16"/>
    <n v="24080"/>
    <n v="14330"/>
    <n v="30"/>
    <n v="9750"/>
    <n v="6825"/>
    <s v="грин01133"/>
    <x v="39"/>
  </r>
  <r>
    <s v="Акт входного контроля грин01134 от 20.09.2025 16:43:00"/>
    <n v="1769"/>
    <n v="156"/>
    <x v="5"/>
    <s v="Ревенко Андрей Вячеславович"/>
    <s v="А781РР"/>
    <x v="16"/>
    <x v="11"/>
    <x v="0"/>
    <m/>
    <x v="37"/>
    <n v="3.1"/>
    <x v="16"/>
    <n v="34840"/>
    <n v="15140"/>
    <n v="21"/>
    <n v="19700"/>
    <n v="15563"/>
    <s v="грин01134"/>
    <x v="39"/>
  </r>
  <r>
    <s v="Акт входного контроля грин01135 от 20.09.2025 17:24:32"/>
    <n v="1771"/>
    <n v="157"/>
    <x v="5"/>
    <s v="Извеков Владимир Владимирович"/>
    <s v="Н378ХЕ"/>
    <x v="16"/>
    <x v="11"/>
    <x v="0"/>
    <m/>
    <x v="37"/>
    <n v="3.5"/>
    <x v="16"/>
    <n v="37700"/>
    <n v="15500"/>
    <n v="32"/>
    <n v="22200"/>
    <n v="15096"/>
    <s v="грин01135"/>
    <x v="39"/>
  </r>
  <r>
    <s v="Акт входного контроля грин01136 от 20.09.2025 19:31:56"/>
    <n v="1772"/>
    <n v="158"/>
    <x v="5"/>
    <s v="Магадиев Александр Сайлаувич"/>
    <s v="У184НО"/>
    <x v="16"/>
    <x v="11"/>
    <x v="0"/>
    <m/>
    <x v="37"/>
    <n v="3.5"/>
    <x v="16"/>
    <n v="37170"/>
    <n v="14620"/>
    <n v="33"/>
    <n v="22550"/>
    <n v="15108.5"/>
    <s v="грин01136"/>
    <x v="39"/>
  </r>
  <r>
    <s v="Акт входного контроля грин01137 от 20.09.2025 19:37:51"/>
    <n v="1773"/>
    <n v="159"/>
    <x v="5"/>
    <s v="Чигрин Н.А."/>
    <s v="А819ЕВ"/>
    <x v="16"/>
    <x v="11"/>
    <x v="0"/>
    <m/>
    <x v="37"/>
    <n v="1.7"/>
    <x v="16"/>
    <n v="25480"/>
    <n v="14600"/>
    <n v="27"/>
    <n v="10880"/>
    <n v="7942.4"/>
    <s v="грин01137"/>
    <x v="39"/>
  </r>
  <r>
    <s v="Акт входного контроля грин01138 от 20.09.2025 21:07:15"/>
    <n v="1774"/>
    <n v="160"/>
    <x v="5"/>
    <s v="Ревенко Андрей Вячеславович"/>
    <s v="А781РР"/>
    <x v="16"/>
    <x v="11"/>
    <x v="0"/>
    <m/>
    <x v="37"/>
    <n v="3.5"/>
    <x v="16"/>
    <n v="37590"/>
    <n v="15380"/>
    <n v="22"/>
    <n v="22210"/>
    <n v="17323.8"/>
    <s v="грин01138"/>
    <x v="39"/>
  </r>
  <r>
    <s v="Акт входного контроля грин01139 от 20.09.2025 22:23:42"/>
    <n v="1776"/>
    <n v="161"/>
    <x v="5"/>
    <s v="Извеков Владимир Владимирович"/>
    <s v="Н378ХЕ"/>
    <x v="16"/>
    <x v="11"/>
    <x v="0"/>
    <m/>
    <x v="37"/>
    <n v="2.7"/>
    <x v="16"/>
    <n v="33080"/>
    <n v="15820"/>
    <n v="31"/>
    <n v="17260"/>
    <n v="11909.4"/>
    <s v="грин01139"/>
    <x v="39"/>
  </r>
  <r>
    <s v="Акт входного контроля грин01140 от 20.09.2025 23:01:31"/>
    <n v="1770"/>
    <n v="37751"/>
    <x v="4"/>
    <s v="Сайко Василий Викторович"/>
    <s v="А816ЕВ"/>
    <x v="13"/>
    <x v="1"/>
    <x v="3"/>
    <m/>
    <x v="37"/>
    <n v="0.6"/>
    <x v="13"/>
    <n v="24020"/>
    <n v="14170"/>
    <n v="4"/>
    <n v="9850"/>
    <n v="9456"/>
    <s v="грин01140"/>
    <x v="39"/>
  </r>
  <r>
    <s v="Акт входного контроля грин01141 от 20.09.2025 20:26:20"/>
    <n v="1775"/>
    <n v="37740"/>
    <x v="4"/>
    <s v="Пищев Александр Васильевич "/>
    <s v="Т522ОН"/>
    <x v="13"/>
    <x v="1"/>
    <x v="3"/>
    <m/>
    <x v="36"/>
    <n v="1.9"/>
    <x v="13"/>
    <n v="48500"/>
    <n v="19270"/>
    <n v="4"/>
    <n v="29230"/>
    <n v="28060.799999999999"/>
    <s v="грин01141"/>
    <x v="39"/>
  </r>
  <r>
    <s v="Акт входного контроля грин01142 от 21.09.2025 17:57:38"/>
    <n v="1777"/>
    <n v="162"/>
    <x v="5"/>
    <s v="Магадиев Александр Сайлаувич"/>
    <s v="У184НО"/>
    <x v="16"/>
    <x v="11"/>
    <x v="0"/>
    <m/>
    <x v="38"/>
    <n v="1.6"/>
    <x v="16"/>
    <n v="37650"/>
    <n v="14710"/>
    <n v="16"/>
    <n v="22940"/>
    <n v="19269.599999999999"/>
    <s v="грин01142"/>
    <x v="40"/>
  </r>
  <r>
    <s v="Акт входного контроля грин01143 от 21.09.2025 18:05:20"/>
    <n v="1778"/>
    <n v="163"/>
    <x v="5"/>
    <s v="Сайко Василий Викторович"/>
    <s v="А816ЕВ"/>
    <x v="16"/>
    <x v="11"/>
    <x v="0"/>
    <m/>
    <x v="38"/>
    <n v="1.3"/>
    <x v="16"/>
    <n v="32320"/>
    <n v="14210"/>
    <n v="15"/>
    <n v="18110"/>
    <n v="15393.5"/>
    <s v="грин01143"/>
    <x v="40"/>
  </r>
  <r>
    <s v="Акт входного контроля грин01144 от 21.09.2025 19:33:31"/>
    <n v="1779"/>
    <n v="164"/>
    <x v="5"/>
    <s v="Ревенко Андрей Вячеславович"/>
    <s v="А781РР"/>
    <x v="16"/>
    <x v="11"/>
    <x v="0"/>
    <m/>
    <x v="38"/>
    <n v="1.5"/>
    <x v="16"/>
    <n v="38100"/>
    <n v="15150"/>
    <n v="8"/>
    <n v="22950"/>
    <n v="21114"/>
    <s v="грин01144"/>
    <x v="40"/>
  </r>
  <r>
    <s v="Акт входного контроля грин01145 от 21.09.2025 18:12:15"/>
    <n v="1780"/>
    <n v="165"/>
    <x v="5"/>
    <s v="Магадиев Александр Сайлаувич"/>
    <s v="У184НО"/>
    <x v="17"/>
    <x v="12"/>
    <x v="0"/>
    <m/>
    <x v="38"/>
    <n v="6.2"/>
    <x v="17"/>
    <n v="37510"/>
    <n v="14680"/>
    <n v="4"/>
    <n v="22830"/>
    <n v="21916.799999999999"/>
    <s v="грин01145"/>
    <x v="40"/>
  </r>
  <r>
    <s v="Акт входного контроля грин01146 от 21.09.2025 18:20:52"/>
    <n v="1781"/>
    <n v="166"/>
    <x v="5"/>
    <s v="Сайко Василий Викторович"/>
    <s v="А816ЕВ"/>
    <x v="17"/>
    <x v="12"/>
    <x v="0"/>
    <m/>
    <x v="38"/>
    <n v="2.2999999999999998"/>
    <x v="18"/>
    <n v="22380"/>
    <n v="14190"/>
    <n v="10"/>
    <n v="8190"/>
    <n v="7371"/>
    <s v="грин01146"/>
    <x v="40"/>
  </r>
  <r>
    <s v="Акт входного контроля грин01147 от 25.09.2025 12:08:39"/>
    <n v="1789"/>
    <n v="167"/>
    <x v="5"/>
    <s v="Сероштан Станислав Викторович"/>
    <s v="Е758РЕ"/>
    <x v="18"/>
    <x v="13"/>
    <x v="1"/>
    <m/>
    <x v="39"/>
    <n v="1.8"/>
    <x v="19"/>
    <n v="37340"/>
    <n v="14870"/>
    <n v="17"/>
    <n v="22470"/>
    <n v="18650.099999999999"/>
    <s v="грин01147"/>
    <x v="41"/>
  </r>
  <r>
    <s v="Акт входного контроля грин01148 от 25.09.2025 13:35:02"/>
    <n v="1790"/>
    <n v="168"/>
    <x v="5"/>
    <s v="Богучарский А. И."/>
    <s v="Е404УС"/>
    <x v="18"/>
    <x v="13"/>
    <x v="1"/>
    <m/>
    <x v="39"/>
    <n v="1.6"/>
    <x v="19"/>
    <n v="34150"/>
    <n v="13950"/>
    <n v="26"/>
    <n v="20200"/>
    <n v="14948"/>
    <s v="грин01148"/>
    <x v="41"/>
  </r>
  <r>
    <s v="Акт входного контроля грин01149 от 25.09.2025 14:01:17"/>
    <n v="1791"/>
    <n v="169"/>
    <x v="5"/>
    <s v="Черевко Александр Владимирович"/>
    <s v="А114МК"/>
    <x v="18"/>
    <x v="13"/>
    <x v="1"/>
    <m/>
    <x v="39"/>
    <n v="1.6"/>
    <x v="19"/>
    <n v="34070"/>
    <n v="14710"/>
    <n v="10"/>
    <n v="19360"/>
    <n v="17424"/>
    <s v="грин01149"/>
    <x v="41"/>
  </r>
  <r>
    <s v="Акт входного контроля грин01150 от 25.09.2025 14:15:19"/>
    <n v="1792"/>
    <n v="170"/>
    <x v="5"/>
    <s v="Сероштан Станислав Викторович"/>
    <s v="Е758РЕ"/>
    <x v="18"/>
    <x v="13"/>
    <x v="1"/>
    <m/>
    <x v="39"/>
    <n v="1.8"/>
    <x v="19"/>
    <n v="37180"/>
    <n v="14860"/>
    <n v="8"/>
    <n v="22320"/>
    <n v="20534.400000000001"/>
    <s v="грин01150"/>
    <x v="41"/>
  </r>
  <r>
    <s v="Акт входного контроля грин01151 от 25.09.2025 14:37:47"/>
    <n v="1793"/>
    <n v="54984"/>
    <x v="6"/>
    <s v="Кулинич Евгений Владимирович"/>
    <s v="У801СТ"/>
    <x v="19"/>
    <x v="1"/>
    <x v="4"/>
    <m/>
    <x v="39"/>
    <n v="1.3"/>
    <x v="20"/>
    <n v="39420"/>
    <n v="15110"/>
    <n v="5"/>
    <n v="24310"/>
    <n v="23094.5"/>
    <s v="грин01151"/>
    <x v="41"/>
  </r>
  <r>
    <s v="Акт входного контроля грин01152 от 25.09.2025 14:53:18"/>
    <n v="1794"/>
    <n v="171"/>
    <x v="5"/>
    <s v="Богучарский А. И."/>
    <s v="Е404УС"/>
    <x v="18"/>
    <x v="13"/>
    <x v="1"/>
    <m/>
    <x v="39"/>
    <n v="1.7"/>
    <x v="19"/>
    <n v="34930"/>
    <n v="13940"/>
    <n v="8"/>
    <n v="20990"/>
    <n v="19310.8"/>
    <s v="грин01152"/>
    <x v="41"/>
  </r>
  <r>
    <s v="Акт входного контроля грин01153 от 25.09.2025 15:25:08"/>
    <n v="1795"/>
    <n v="172"/>
    <x v="5"/>
    <s v="Черевко Александр Владимирович"/>
    <s v="А114МК"/>
    <x v="18"/>
    <x v="13"/>
    <x v="1"/>
    <m/>
    <x v="39"/>
    <n v="1.5"/>
    <x v="19"/>
    <n v="32550"/>
    <n v="14700"/>
    <n v="7"/>
    <n v="17850"/>
    <n v="16600.5"/>
    <s v="грин01153"/>
    <x v="41"/>
  </r>
  <r>
    <s v="Акт входного контроля грин01154 от 25.09.2025 16:35:29"/>
    <n v="1797"/>
    <n v="173"/>
    <x v="5"/>
    <s v="Сероштан Станислав Викторович"/>
    <s v="Е758РЕ"/>
    <x v="18"/>
    <x v="13"/>
    <x v="1"/>
    <m/>
    <x v="39"/>
    <n v="1.7"/>
    <x v="19"/>
    <n v="36110"/>
    <n v="14840"/>
    <n v="14"/>
    <n v="21270"/>
    <n v="18292.2"/>
    <s v="грин01154"/>
    <x v="41"/>
  </r>
  <r>
    <s v="Акт входного контроля грин01155 от 25.09.2025 17:35:19"/>
    <n v="1799"/>
    <n v="174"/>
    <x v="5"/>
    <s v="Кулинич Евгений Владимирович"/>
    <s v="У801СТ"/>
    <x v="18"/>
    <x v="13"/>
    <x v="1"/>
    <m/>
    <x v="39"/>
    <n v="1.8"/>
    <x v="19"/>
    <n v="37490"/>
    <n v="15110"/>
    <n v="11"/>
    <n v="22380"/>
    <n v="19918.2"/>
    <s v="грин01155"/>
    <x v="41"/>
  </r>
  <r>
    <s v="Акт входного контроля грин01156 от 25.09.2025 18:02:37"/>
    <n v="1801"/>
    <n v="175"/>
    <x v="5"/>
    <s v="Богучарский А. И."/>
    <s v="Е404УС"/>
    <x v="18"/>
    <x v="13"/>
    <x v="1"/>
    <m/>
    <x v="39"/>
    <n v="1.8"/>
    <x v="19"/>
    <n v="35850"/>
    <n v="13930"/>
    <n v="20"/>
    <n v="21920"/>
    <n v="17536"/>
    <s v="грин01156"/>
    <x v="41"/>
  </r>
  <r>
    <s v="Акт входного контроля грин01157 от 25.09.2025 18:34:58"/>
    <n v="1802"/>
    <n v="176"/>
    <x v="5"/>
    <s v="Черевко Александр Владимирович"/>
    <s v="А114МК"/>
    <x v="18"/>
    <x v="13"/>
    <x v="1"/>
    <m/>
    <x v="39"/>
    <n v="1.3"/>
    <x v="19"/>
    <n v="30940"/>
    <n v="14690"/>
    <n v="8"/>
    <n v="16250"/>
    <n v="14950"/>
    <s v="грин01157"/>
    <x v="41"/>
  </r>
  <r>
    <s v="Акт входного контроля грин01158 от 25.09.2025 20:09:10"/>
    <n v="1803"/>
    <n v="177"/>
    <x v="5"/>
    <s v="Сероштан Станислав Викторович"/>
    <s v="Е758РЕ"/>
    <x v="18"/>
    <x v="13"/>
    <x v="1"/>
    <m/>
    <x v="39"/>
    <n v="1.8"/>
    <x v="19"/>
    <n v="37140"/>
    <n v="14830"/>
    <n v="13"/>
    <n v="22310"/>
    <n v="19409.7"/>
    <s v="грин01158"/>
    <x v="41"/>
  </r>
  <r>
    <s v="Акт входного контроля грин01159 от 25.09.2025 21:11:34"/>
    <n v="1804"/>
    <n v="178"/>
    <x v="5"/>
    <s v="Кулинич Евгений Владимирович"/>
    <s v="У801СТ"/>
    <x v="18"/>
    <x v="13"/>
    <x v="1"/>
    <m/>
    <x v="39"/>
    <n v="1.9"/>
    <x v="19"/>
    <n v="38710"/>
    <n v="15090"/>
    <n v="6"/>
    <n v="23620"/>
    <n v="22202.799999999999"/>
    <s v="грин01159"/>
    <x v="41"/>
  </r>
  <r>
    <s v="Акт входного контроля грин01160 от 25.09.2025 22:12:11"/>
    <n v="1806"/>
    <n v="179"/>
    <x v="5"/>
    <s v="Богучарский А. И."/>
    <s v="Е404УС"/>
    <x v="18"/>
    <x v="13"/>
    <x v="1"/>
    <m/>
    <x v="39"/>
    <n v="1.6"/>
    <x v="19"/>
    <n v="34160"/>
    <n v="13920"/>
    <n v="8"/>
    <n v="20240"/>
    <n v="18620.8"/>
    <s v="грин01160"/>
    <x v="41"/>
  </r>
  <r>
    <s v="Акт входного контроля грин01161 от 25.09.2025 22:32:09"/>
    <n v="1808"/>
    <n v="180"/>
    <x v="5"/>
    <s v="Черевко Александр Владимирович"/>
    <s v="А114МК"/>
    <x v="18"/>
    <x v="13"/>
    <x v="1"/>
    <m/>
    <x v="39"/>
    <n v="1.4"/>
    <x v="19"/>
    <n v="32270"/>
    <n v="14680"/>
    <n v="8"/>
    <n v="17590"/>
    <n v="16182.8"/>
    <s v="грин01161"/>
    <x v="41"/>
  </r>
  <r>
    <s v="Акт входного контроля грин01162 от 25.09.2025 23:47:12"/>
    <n v="1809"/>
    <n v="181"/>
    <x v="5"/>
    <s v="Сероштан Станислав Викторович"/>
    <s v="Е758РЕ"/>
    <x v="18"/>
    <x v="13"/>
    <x v="1"/>
    <m/>
    <x v="39"/>
    <n v="1.9"/>
    <x v="19"/>
    <n v="37840"/>
    <n v="14820"/>
    <n v="29"/>
    <n v="23020"/>
    <n v="16344.2"/>
    <s v="грин01162"/>
    <x v="41"/>
  </r>
  <r>
    <s v="Акт входного контроля грин01163 от 25.09.2025 22:39:16"/>
    <n v="1811"/>
    <n v="182"/>
    <x v="5"/>
    <s v="Кулинич Евгений Владимирович"/>
    <s v="У801СТ"/>
    <x v="18"/>
    <x v="13"/>
    <x v="1"/>
    <m/>
    <x v="39"/>
    <n v="1.8"/>
    <x v="19"/>
    <n v="37150"/>
    <n v="15080"/>
    <n v="19"/>
    <n v="22070"/>
    <n v="17876.7"/>
    <s v="грин01163"/>
    <x v="41"/>
  </r>
  <r>
    <s v="Акт входного контроля грин01164 от 25.09.2025 23:18:37"/>
    <n v="1812"/>
    <n v="183"/>
    <x v="5"/>
    <s v="Богучарский А. И."/>
    <s v="Е404УС"/>
    <x v="18"/>
    <x v="13"/>
    <x v="1"/>
    <m/>
    <x v="39"/>
    <n v="1.7"/>
    <x v="19"/>
    <n v="34900"/>
    <n v="13920"/>
    <n v="18"/>
    <n v="20980"/>
    <n v="17203.599999999999"/>
    <s v="грин01164"/>
    <x v="41"/>
  </r>
  <r>
    <s v="Акт входного контроля грин01165 от 25.09.2025 23:58:01"/>
    <n v="1813"/>
    <n v="184"/>
    <x v="5"/>
    <s v="Черевко Александр Владимирович"/>
    <s v="А114МК"/>
    <x v="18"/>
    <x v="13"/>
    <x v="1"/>
    <m/>
    <x v="39"/>
    <n v="1.5"/>
    <x v="19"/>
    <n v="33330"/>
    <n v="14700"/>
    <n v="20"/>
    <n v="18630"/>
    <n v="14904"/>
    <s v="грин01165"/>
    <x v="41"/>
  </r>
  <r>
    <s v="Акт входного контроля грин01166 от 26.09.2025 5:28:16"/>
    <n v="1814"/>
    <n v="185"/>
    <x v="5"/>
    <s v="Сероштан Станислав Викторович"/>
    <s v="Е758РЕ"/>
    <x v="18"/>
    <x v="13"/>
    <x v="1"/>
    <m/>
    <x v="39"/>
    <n v="1.7"/>
    <x v="19"/>
    <n v="36210"/>
    <n v="14860"/>
    <n v="30"/>
    <n v="21350"/>
    <n v="14945"/>
    <s v="грин01166"/>
    <x v="42"/>
  </r>
  <r>
    <s v="Акт входного контроля грин01167 от 26.09.2025 5:54:57"/>
    <n v="1815"/>
    <n v="186"/>
    <x v="5"/>
    <s v="Кулинич Евгений Владимирович"/>
    <s v="У801СТ"/>
    <x v="18"/>
    <x v="13"/>
    <x v="1"/>
    <m/>
    <x v="39"/>
    <n v="1.9"/>
    <x v="19"/>
    <n v="38190"/>
    <n v="15160"/>
    <n v="18"/>
    <n v="23030"/>
    <n v="18884.599999999999"/>
    <s v="грин01167"/>
    <x v="42"/>
  </r>
  <r>
    <s v="Акт входного контроля грин01168 от 26.09.2025 11:39:26"/>
    <n v="1819"/>
    <n v="187"/>
    <x v="5"/>
    <s v="Ревенко Андрей Вячеславович"/>
    <s v="А781РР"/>
    <x v="18"/>
    <x v="13"/>
    <x v="1"/>
    <m/>
    <x v="40"/>
    <n v="1.6"/>
    <x v="19"/>
    <n v="36530"/>
    <n v="15110"/>
    <n v="15"/>
    <n v="21420"/>
    <n v="18207"/>
    <s v="грин01168"/>
    <x v="42"/>
  </r>
  <r>
    <s v="Акт входного контроля грин01169 от 26.09.2025 12:28:58"/>
    <n v="1823"/>
    <n v="188"/>
    <x v="5"/>
    <s v="Бербеницкий Сергей Николаевич"/>
    <s v="С400РР"/>
    <x v="18"/>
    <x v="13"/>
    <x v="1"/>
    <m/>
    <x v="40"/>
    <n v="1.7"/>
    <x v="19"/>
    <n v="37710"/>
    <n v="15140"/>
    <n v="17"/>
    <n v="22570"/>
    <n v="18733.099999999999"/>
    <s v="грин01169"/>
    <x v="42"/>
  </r>
  <r>
    <s v="Акт входного контроля грин01170 от 26.09.2025 13:28:58"/>
    <n v="1824"/>
    <n v="189"/>
    <x v="5"/>
    <s v="Емец Р.А."/>
    <s v="У315НХ"/>
    <x v="18"/>
    <x v="13"/>
    <x v="1"/>
    <m/>
    <x v="40"/>
    <n v="1.9"/>
    <x v="19"/>
    <n v="38000"/>
    <n v="15760"/>
    <n v="16"/>
    <n v="22240"/>
    <n v="18681.599999999999"/>
    <s v="грин01170"/>
    <x v="42"/>
  </r>
  <r>
    <s v="Акт входного контроля грин01171 от 26.09.2025 14:31:52"/>
    <n v="1825"/>
    <n v="190"/>
    <x v="5"/>
    <s v="Магадиев Александр Сайлаувич"/>
    <s v="У184НО"/>
    <x v="18"/>
    <x v="1"/>
    <x v="1"/>
    <m/>
    <x v="40"/>
    <n v="1.4"/>
    <x v="19"/>
    <n v="34460"/>
    <n v="14560"/>
    <n v="15"/>
    <n v="19900"/>
    <n v="16915"/>
    <s v="грин01171"/>
    <x v="42"/>
  </r>
  <r>
    <s v="Акт входного контроля грин01172 от 26.09.2025 14:36:20"/>
    <n v="1827"/>
    <n v="191"/>
    <x v="5"/>
    <s v="Ревенко Андрей Вячеславович"/>
    <s v="А781РР"/>
    <x v="18"/>
    <x v="1"/>
    <x v="1"/>
    <m/>
    <x v="40"/>
    <n v="1.4"/>
    <x v="19"/>
    <n v="34560"/>
    <n v="15070"/>
    <n v="15"/>
    <n v="19490"/>
    <n v="16566.5"/>
    <s v="грин01172"/>
    <x v="42"/>
  </r>
  <r>
    <s v="Акт входного контроля грин01173 от 26.09.2025 15:56:28"/>
    <n v="1829"/>
    <n v="192"/>
    <x v="5"/>
    <s v="Бербеницкий Сергей Николаевич"/>
    <s v="С400РР"/>
    <x v="18"/>
    <x v="1"/>
    <x v="1"/>
    <m/>
    <x v="40"/>
    <n v="1.8"/>
    <x v="19"/>
    <n v="39260"/>
    <n v="15130"/>
    <n v="13"/>
    <n v="24130"/>
    <n v="20993.1"/>
    <s v="грин01173"/>
    <x v="42"/>
  </r>
  <r>
    <s v="Акт входного контроля грин01174 от 26.09.2025 16:23:16"/>
    <n v="1830"/>
    <n v="193"/>
    <x v="5"/>
    <s v="Емец Р.А."/>
    <s v="У315НХ"/>
    <x v="18"/>
    <x v="1"/>
    <x v="1"/>
    <m/>
    <x v="40"/>
    <n v="1.4"/>
    <x v="19"/>
    <n v="35360"/>
    <n v="15750"/>
    <n v="26"/>
    <n v="19610"/>
    <n v="14511.4"/>
    <s v="грин01174"/>
    <x v="42"/>
  </r>
  <r>
    <s v="Акт входного контроля грин01175 от 26.09.2025 17:15:05"/>
    <n v="1831"/>
    <n v="194"/>
    <x v="5"/>
    <s v="Магадиев Александр Сайлаувич"/>
    <s v="У184НО"/>
    <x v="18"/>
    <x v="1"/>
    <x v="1"/>
    <m/>
    <x v="40"/>
    <n v="1.6"/>
    <x v="19"/>
    <n v="37220"/>
    <n v="14540"/>
    <n v="19"/>
    <n v="22680"/>
    <n v="18370.8"/>
    <s v="грин01175"/>
    <x v="42"/>
  </r>
  <r>
    <s v="Акт входного контроля грин01176 от 26.09.2025 17:55:06"/>
    <n v="1832"/>
    <n v="195"/>
    <x v="5"/>
    <s v="Ревенко Андрей Вячеславович"/>
    <s v="А781РР"/>
    <x v="18"/>
    <x v="1"/>
    <x v="1"/>
    <m/>
    <x v="40"/>
    <n v="1.5"/>
    <x v="19"/>
    <n v="35380"/>
    <n v="15060"/>
    <n v="16"/>
    <n v="20320"/>
    <n v="17068.8"/>
    <s v="грин01176"/>
    <x v="42"/>
  </r>
  <r>
    <s v="Акт входного контроля грин01177 от 26.09.2025 18:30:12"/>
    <n v="1833"/>
    <n v="196"/>
    <x v="5"/>
    <s v="Бербеницкий Сергей Николаевич"/>
    <s v="С400РР"/>
    <x v="18"/>
    <x v="1"/>
    <x v="1"/>
    <m/>
    <x v="40"/>
    <n v="1.7"/>
    <x v="19"/>
    <n v="38820"/>
    <n v="15110"/>
    <n v="9"/>
    <n v="23710"/>
    <n v="21576.1"/>
    <s v="грин01177"/>
    <x v="42"/>
  </r>
  <r>
    <s v="Акт входного контроля грин01178 от 26.09.2025 17:51:16"/>
    <n v="1834"/>
    <n v="197"/>
    <x v="5"/>
    <s v="Емец Р.А."/>
    <s v="У315НХ"/>
    <x v="18"/>
    <x v="1"/>
    <x v="1"/>
    <m/>
    <x v="40"/>
    <n v="1.7"/>
    <x v="19"/>
    <n v="39130"/>
    <n v="15730"/>
    <n v="10"/>
    <n v="23400"/>
    <n v="21060"/>
    <s v="грин01178"/>
    <x v="42"/>
  </r>
  <r>
    <s v="Акт входного контроля грин01179 от 26.09.2025 18:31:22"/>
    <n v="1835"/>
    <n v="198"/>
    <x v="5"/>
    <s v="Магадиев Александр Сайлаувич"/>
    <s v="У184НО"/>
    <x v="18"/>
    <x v="1"/>
    <x v="1"/>
    <m/>
    <x v="40"/>
    <n v="1.6"/>
    <x v="19"/>
    <n v="36560"/>
    <n v="14530"/>
    <n v="6"/>
    <n v="22030"/>
    <n v="20708.2"/>
    <s v="грин01179"/>
    <x v="42"/>
  </r>
  <r>
    <s v="Акт входного контроля грин01180 от 26.09.2025 19:07:51"/>
    <n v="1837"/>
    <n v="199"/>
    <x v="5"/>
    <s v="Ревенко Андрей Вячеславович"/>
    <s v="А781РР"/>
    <x v="18"/>
    <x v="1"/>
    <x v="1"/>
    <m/>
    <x v="40"/>
    <n v="1.4"/>
    <x v="19"/>
    <n v="34850"/>
    <n v="15040"/>
    <n v="17"/>
    <n v="19810"/>
    <n v="16442.3"/>
    <s v="грин01180"/>
    <x v="42"/>
  </r>
  <r>
    <s v="Акт входного контроля грин01181 от 26.09.2025 19:55:12"/>
    <n v="1839"/>
    <n v="200"/>
    <x v="5"/>
    <s v="Бербеницкий Сергей Николаевич"/>
    <s v="С400РР"/>
    <x v="18"/>
    <x v="1"/>
    <x v="1"/>
    <m/>
    <x v="40"/>
    <n v="1.7"/>
    <x v="19"/>
    <n v="38420"/>
    <n v="15180"/>
    <n v="12"/>
    <n v="23240"/>
    <n v="20451.2"/>
    <s v="грин01181"/>
    <x v="42"/>
  </r>
  <r>
    <s v="Акт входного контроля грин01182 от 26.09.2025 21:28:24"/>
    <n v="1840"/>
    <n v="201"/>
    <x v="5"/>
    <s v="Емец Р.А."/>
    <s v="У315НХ"/>
    <x v="18"/>
    <x v="1"/>
    <x v="1"/>
    <m/>
    <x v="40"/>
    <n v="1.7"/>
    <x v="19"/>
    <n v="38790"/>
    <n v="15750"/>
    <n v="6"/>
    <n v="23040"/>
    <n v="21657.599999999999"/>
    <s v="грин01182"/>
    <x v="42"/>
  </r>
  <r>
    <s v="Акт входного контроля грин01183 от 26.09.2025 22:08:35"/>
    <n v="1841"/>
    <n v="202"/>
    <x v="5"/>
    <s v="Магадиев Александр Сайлаувич"/>
    <s v="У184НО"/>
    <x v="18"/>
    <x v="1"/>
    <x v="1"/>
    <m/>
    <x v="40"/>
    <n v="1.6"/>
    <x v="19"/>
    <n v="36040"/>
    <n v="14510"/>
    <n v="12"/>
    <n v="21530"/>
    <n v="18946.400000000001"/>
    <s v="грин01183"/>
    <x v="42"/>
  </r>
  <r>
    <s v="Акт входного контроля грин01184 от 26.09.2025 22:54:46"/>
    <n v="1842"/>
    <n v="203"/>
    <x v="5"/>
    <s v="Ревенко Андрей Вячеславович"/>
    <s v="А781РР"/>
    <x v="18"/>
    <x v="1"/>
    <x v="1"/>
    <m/>
    <x v="40"/>
    <n v="1.6"/>
    <x v="19"/>
    <n v="36800"/>
    <n v="15070"/>
    <n v="7"/>
    <n v="21730"/>
    <n v="20208.900000000001"/>
    <s v="грин01184"/>
    <x v="42"/>
  </r>
  <r>
    <s v="Акт входного контроля грин01185 от 27.09.2025 12:04:01"/>
    <n v="1843"/>
    <n v="204"/>
    <x v="5"/>
    <s v="Бербеницкий Сергей Николаевич"/>
    <s v="С400РР"/>
    <x v="18"/>
    <x v="1"/>
    <x v="1"/>
    <m/>
    <x v="40"/>
    <n v="1.7"/>
    <x v="19"/>
    <n v="39100"/>
    <n v="15090"/>
    <n v="8"/>
    <n v="24010"/>
    <n v="22089.200000000001"/>
    <s v="грин01185"/>
    <x v="43"/>
  </r>
  <r>
    <s v="Акт входного контроля грин01186 от 27.09.2025 13:16:51"/>
    <n v="1846"/>
    <n v="205"/>
    <x v="5"/>
    <s v="Емец Р.А."/>
    <s v="У315НХ"/>
    <x v="18"/>
    <x v="1"/>
    <x v="1"/>
    <m/>
    <x v="40"/>
    <n v="1.6"/>
    <x v="19"/>
    <n v="37920"/>
    <n v="15720"/>
    <n v="11"/>
    <n v="22200"/>
    <n v="19758"/>
    <s v="грин01186"/>
    <x v="43"/>
  </r>
  <r>
    <s v="Акт входного контроля грин01187 от 27.09.2025 13:21:04"/>
    <n v="1847"/>
    <n v="206"/>
    <x v="5"/>
    <s v="Магадиев Александр Сайлаувич"/>
    <s v="У184НО"/>
    <x v="18"/>
    <x v="1"/>
    <x v="1"/>
    <m/>
    <x v="40"/>
    <n v="1.6"/>
    <x v="19"/>
    <n v="37070"/>
    <n v="14510"/>
    <n v="8"/>
    <n v="22560"/>
    <n v="20755.2"/>
    <s v="грин01187"/>
    <x v="43"/>
  </r>
  <r>
    <s v="Акт входного контроля грин01188 от 27.09.2025 13:24:01"/>
    <n v="1848"/>
    <n v="207"/>
    <x v="5"/>
    <s v="Ревенко Андрей Вячеславович"/>
    <s v="А781РР"/>
    <x v="18"/>
    <x v="1"/>
    <x v="1"/>
    <m/>
    <x v="40"/>
    <n v="1.6"/>
    <x v="19"/>
    <n v="36570"/>
    <n v="15050"/>
    <n v="10"/>
    <n v="21520"/>
    <n v="19368"/>
    <s v="грин01188"/>
    <x v="43"/>
  </r>
  <r>
    <s v="Акт входного контроля грин01189 от 27.09.2025 13:26:36"/>
    <n v="1849"/>
    <n v="208"/>
    <x v="5"/>
    <s v="Емец Р.А."/>
    <s v="У315НХ"/>
    <x v="18"/>
    <x v="1"/>
    <x v="1"/>
    <m/>
    <x v="40"/>
    <n v="1.7"/>
    <x v="19"/>
    <n v="39150"/>
    <n v="15720"/>
    <n v="9"/>
    <n v="23430"/>
    <n v="21321.3"/>
    <s v="грин01189"/>
    <x v="43"/>
  </r>
  <r>
    <s v="Акт входного контроля грин01190 от 27.09.2025 13:30:14"/>
    <n v="1850"/>
    <n v="209"/>
    <x v="5"/>
    <s v="Магадиев Александр Сайлаувич"/>
    <s v="У184НО"/>
    <x v="18"/>
    <x v="1"/>
    <x v="1"/>
    <m/>
    <x v="40"/>
    <n v="1.6"/>
    <x v="19"/>
    <n v="36270"/>
    <n v="14510"/>
    <n v="8"/>
    <n v="21760"/>
    <n v="20019.2"/>
    <s v="грин01190"/>
    <x v="43"/>
  </r>
  <r>
    <s v="Акт входного контроля грин01191 от 27.09.2025 13:32:31"/>
    <n v="1852"/>
    <n v="210"/>
    <x v="5"/>
    <s v="Жданов Андрей Иванович"/>
    <s v="С707ОУ"/>
    <x v="18"/>
    <x v="1"/>
    <x v="1"/>
    <m/>
    <x v="41"/>
    <n v="1.3"/>
    <x v="19"/>
    <n v="33980"/>
    <n v="14560"/>
    <n v="14"/>
    <n v="19420"/>
    <n v="16701.2"/>
    <s v="грин01191"/>
    <x v="43"/>
  </r>
  <r>
    <s v="Акт входного контроля грин01192 от 27.09.2025 13:43:30"/>
    <n v="1854"/>
    <n v="211"/>
    <x v="5"/>
    <s v="Гужва А М."/>
    <s v="Т285ВЕ"/>
    <x v="18"/>
    <x v="1"/>
    <x v="1"/>
    <m/>
    <x v="41"/>
    <n v="1.4"/>
    <x v="19"/>
    <n v="34820"/>
    <n v="14890"/>
    <n v="18"/>
    <n v="19930"/>
    <n v="16342.6"/>
    <s v="грин01192"/>
    <x v="43"/>
  </r>
  <r>
    <s v="Акт входного контроля грин01193 от 27.09.2025 13:46:43"/>
    <n v="1856"/>
    <n v="212"/>
    <x v="5"/>
    <s v="Кудря Евгений"/>
    <s v="А719ОО"/>
    <x v="18"/>
    <x v="1"/>
    <x v="1"/>
    <m/>
    <x v="41"/>
    <n v="1.5"/>
    <x v="19"/>
    <n v="36510"/>
    <n v="15250"/>
    <n v="21"/>
    <n v="21260"/>
    <n v="16795.400000000001"/>
    <s v="грин01193"/>
    <x v="43"/>
  </r>
  <r>
    <s v="Акт входного контроля грин01194 от 27.09.2025 13:51:10"/>
    <n v="1857"/>
    <n v="213"/>
    <x v="5"/>
    <s v="Фомин Николай Григорьевич"/>
    <s v="А731ВА"/>
    <x v="18"/>
    <x v="1"/>
    <x v="1"/>
    <m/>
    <x v="41"/>
    <n v="1.5"/>
    <x v="19"/>
    <n v="36110"/>
    <n v="15090"/>
    <n v="23"/>
    <n v="21020"/>
    <n v="16185.4"/>
    <s v="грин01194"/>
    <x v="43"/>
  </r>
  <r>
    <s v="Акт входного контроля грин01195 от 27.09.2025 13:54:52"/>
    <n v="1858"/>
    <n v="214"/>
    <x v="5"/>
    <s v="Жданов Андрей Иванович"/>
    <s v="С707ОУ"/>
    <x v="18"/>
    <x v="1"/>
    <x v="1"/>
    <m/>
    <x v="41"/>
    <n v="1.4"/>
    <x v="19"/>
    <n v="34360"/>
    <n v="14550"/>
    <n v="23"/>
    <n v="19810"/>
    <n v="15253.7"/>
    <s v="грин01195"/>
    <x v="43"/>
  </r>
  <r>
    <s v="Акт входного контроля грин01196 от 27.09.2025 13:57:42"/>
    <n v="1861"/>
    <n v="215"/>
    <x v="5"/>
    <s v="Гужва А М."/>
    <s v="Т285ВЕ"/>
    <x v="18"/>
    <x v="1"/>
    <x v="1"/>
    <m/>
    <x v="41"/>
    <n v="1.4"/>
    <x v="19"/>
    <n v="34830"/>
    <n v="14880"/>
    <n v="16"/>
    <n v="19950"/>
    <n v="16758"/>
    <s v="грин01196"/>
    <x v="43"/>
  </r>
  <r>
    <s v="Акт входного контроля грин01197 от 27.09.2025 15:11:42"/>
    <n v="1862"/>
    <n v="216"/>
    <x v="5"/>
    <s v="Кудря Евгений"/>
    <s v="А719ОО"/>
    <x v="18"/>
    <x v="1"/>
    <x v="1"/>
    <m/>
    <x v="41"/>
    <n v="1.5"/>
    <x v="19"/>
    <n v="37530"/>
    <n v="15230"/>
    <n v="14"/>
    <n v="22300"/>
    <n v="19178"/>
    <s v="грин01197"/>
    <x v="43"/>
  </r>
  <r>
    <s v="Акт входного контроля грин01198 от 27.09.2025 16:47:46"/>
    <n v="1863"/>
    <n v="217"/>
    <x v="5"/>
    <s v="Фомин Николай Григорьевич"/>
    <s v="А731ВА"/>
    <x v="18"/>
    <x v="1"/>
    <x v="1"/>
    <m/>
    <x v="41"/>
    <n v="1.4"/>
    <x v="19"/>
    <n v="34840"/>
    <n v="15070"/>
    <n v="22"/>
    <n v="19770"/>
    <n v="15420.6"/>
    <s v="грин01198"/>
    <x v="43"/>
  </r>
  <r>
    <s v="Акт входного контроля грин01199 от 27.09.2025 16:50:16"/>
    <n v="1864"/>
    <n v="218"/>
    <x v="5"/>
    <s v="Жданов Андрей Иванович"/>
    <s v="С707ОУ"/>
    <x v="18"/>
    <x v="1"/>
    <x v="1"/>
    <m/>
    <x v="41"/>
    <n v="1.4"/>
    <x v="19"/>
    <n v="34370"/>
    <n v="14550"/>
    <n v="19"/>
    <n v="19820"/>
    <n v="16054.2"/>
    <s v="грин01199"/>
    <x v="43"/>
  </r>
  <r>
    <s v="Акт входного контроля грин01200 от 27.09.2025 17:00:32"/>
    <n v="1865"/>
    <n v="219"/>
    <x v="5"/>
    <s v="Гужва А М."/>
    <s v="Т285ВЕ"/>
    <x v="18"/>
    <x v="1"/>
    <x v="1"/>
    <m/>
    <x v="41"/>
    <n v="1.4"/>
    <x v="19"/>
    <n v="35060"/>
    <n v="14880"/>
    <n v="18"/>
    <n v="20180"/>
    <n v="16547.599999999999"/>
    <s v="грин01200"/>
    <x v="43"/>
  </r>
  <r>
    <s v="Акт входного контроля грин01201 от 27.09.2025 19:20:05"/>
    <n v="1867"/>
    <n v="220"/>
    <x v="5"/>
    <s v="Кудря Евгений"/>
    <s v="А719ОО"/>
    <x v="18"/>
    <x v="1"/>
    <x v="1"/>
    <m/>
    <x v="41"/>
    <n v="1.6"/>
    <x v="19"/>
    <n v="37830"/>
    <n v="15230"/>
    <n v="20"/>
    <n v="22600"/>
    <n v="18080"/>
    <s v="грин01201"/>
    <x v="43"/>
  </r>
  <r>
    <s v="Акт входного контроля грин01202 от 27.09.2025 19:23:02"/>
    <n v="1868"/>
    <n v="221"/>
    <x v="5"/>
    <s v="Фомин Николай Григорьевич"/>
    <s v="А731ВА"/>
    <x v="18"/>
    <x v="1"/>
    <x v="1"/>
    <m/>
    <x v="41"/>
    <n v="1.5"/>
    <x v="19"/>
    <n v="36440"/>
    <n v="15070"/>
    <n v="16"/>
    <n v="21370"/>
    <n v="17950.8"/>
    <s v="грин01202"/>
    <x v="43"/>
  </r>
  <r>
    <s v="Акт входного контроля грин01203 от 27.09.2025 19:53:02"/>
    <n v="1869"/>
    <n v="222"/>
    <x v="5"/>
    <s v="Жданов Андрей Иванович"/>
    <s v="С707ОУ"/>
    <x v="18"/>
    <x v="1"/>
    <x v="1"/>
    <m/>
    <x v="41"/>
    <n v="1.4"/>
    <x v="19"/>
    <n v="34030"/>
    <n v="14520"/>
    <n v="20"/>
    <n v="19510"/>
    <n v="15608"/>
    <s v="грин01203"/>
    <x v="43"/>
  </r>
  <r>
    <s v="Акт входного контроля грин01204 от 27.09.2025 20:48:44"/>
    <n v="1870"/>
    <n v="223"/>
    <x v="5"/>
    <s v="Гужва А М."/>
    <s v="Т285ВЕ"/>
    <x v="18"/>
    <x v="1"/>
    <x v="1"/>
    <m/>
    <x v="41"/>
    <n v="1.4"/>
    <x v="19"/>
    <n v="34410"/>
    <n v="14860"/>
    <n v="16"/>
    <n v="19550"/>
    <n v="16422"/>
    <s v="грин01204"/>
    <x v="43"/>
  </r>
  <r>
    <s v="Акт входного контроля грин01205 от 27.09.2025 22:21:58"/>
    <n v="1871"/>
    <n v="224"/>
    <x v="5"/>
    <s v="Кудря Евгений"/>
    <s v="А719ОО"/>
    <x v="18"/>
    <x v="1"/>
    <x v="1"/>
    <m/>
    <x v="41"/>
    <n v="1.3"/>
    <x v="19"/>
    <n v="33930"/>
    <n v="15210"/>
    <n v="16"/>
    <n v="18720"/>
    <n v="15724.8"/>
    <s v="грин01205"/>
    <x v="43"/>
  </r>
  <r>
    <s v="Акт входного контроля грин01206 от 27.09.2025 23:51:07"/>
    <n v="1875"/>
    <n v="226"/>
    <x v="5"/>
    <s v="Жданов Андрей Иванович"/>
    <s v="С707ОУ"/>
    <x v="18"/>
    <x v="1"/>
    <x v="1"/>
    <m/>
    <x v="41"/>
    <n v="1.3"/>
    <x v="19"/>
    <n v="33100"/>
    <n v="14530"/>
    <n v="6"/>
    <n v="18570"/>
    <n v="17455.8"/>
    <s v="грин01206"/>
    <x v="43"/>
  </r>
  <r>
    <s v="Акт входного контроля грин01207 от 27.09.2025 21:45:29"/>
    <n v="1876"/>
    <n v="227"/>
    <x v="5"/>
    <s v="Гужва А М."/>
    <s v="Т285ВЕ"/>
    <x v="18"/>
    <x v="1"/>
    <x v="1"/>
    <m/>
    <x v="41"/>
    <n v="1.4"/>
    <x v="19"/>
    <n v="34630"/>
    <n v="14860"/>
    <n v="8"/>
    <n v="19770"/>
    <n v="18188.400000000001"/>
    <s v="грин01207"/>
    <x v="43"/>
  </r>
  <r>
    <s v="Акт входного контроля грин01208 от 27.09.2025 22:27:09"/>
    <n v="1877"/>
    <n v="228"/>
    <x v="5"/>
    <s v="Кудря Евгений"/>
    <s v="А719ОО"/>
    <x v="18"/>
    <x v="1"/>
    <x v="1"/>
    <m/>
    <x v="41"/>
    <n v="1.4"/>
    <x v="19"/>
    <n v="35390"/>
    <n v="15230"/>
    <n v="10"/>
    <n v="20160"/>
    <n v="18144"/>
    <s v="грин01208"/>
    <x v="43"/>
  </r>
  <r>
    <s v="Акт входного контроля грин01209 от 27.09.2025 23:23:00"/>
    <n v="1878"/>
    <n v="229"/>
    <x v="5"/>
    <s v="Фомин Николай Григорьевич"/>
    <s v="А731ВА"/>
    <x v="18"/>
    <x v="1"/>
    <x v="1"/>
    <m/>
    <x v="41"/>
    <n v="1.5"/>
    <x v="19"/>
    <n v="36180"/>
    <n v="15050"/>
    <n v="6"/>
    <n v="21130"/>
    <n v="19862.2"/>
    <s v="грин01209"/>
    <x v="43"/>
  </r>
  <r>
    <s v="Акт входного контроля грин01210 от 28.09.2025 2:31:37"/>
    <n v="1879"/>
    <n v="230"/>
    <x v="5"/>
    <s v="Жданов Андрей Иванович"/>
    <s v="С707ОУ"/>
    <x v="18"/>
    <x v="1"/>
    <x v="1"/>
    <m/>
    <x v="41"/>
    <n v="1.3"/>
    <x v="19"/>
    <n v="33520"/>
    <n v="14510"/>
    <n v="22"/>
    <n v="19010"/>
    <n v="14827.8"/>
    <s v="грин01210"/>
    <x v="44"/>
  </r>
  <r>
    <s v="Акт входного контроля грин01211 от 28.09.2025 3:24:14"/>
    <n v="1881"/>
    <n v="231"/>
    <x v="5"/>
    <s v="Гужва А М."/>
    <s v="Т285ВЕ"/>
    <x v="18"/>
    <x v="1"/>
    <x v="1"/>
    <m/>
    <x v="41"/>
    <n v="1.4"/>
    <x v="19"/>
    <n v="34290"/>
    <n v="14850"/>
    <n v="14"/>
    <n v="19440"/>
    <n v="16718.400000000001"/>
    <s v="грин01211"/>
    <x v="44"/>
  </r>
  <r>
    <s v="Акт входного контроля грин01212 от 27.09.2025 19:57:36"/>
    <n v="1874"/>
    <n v="225"/>
    <x v="5"/>
    <s v="Фомин Николай Григорьевич"/>
    <s v="А731ВА"/>
    <x v="18"/>
    <x v="1"/>
    <x v="1"/>
    <m/>
    <x v="41"/>
    <n v="1.4"/>
    <x v="19"/>
    <n v="37910"/>
    <n v="15050"/>
    <n v="21"/>
    <n v="22860"/>
    <n v="18059.400000000001"/>
    <s v="грин01212"/>
    <x v="43"/>
  </r>
  <r>
    <s v="Акт входного контроля грин01213 от 29.09.2025 9:54:24"/>
    <n v="1917"/>
    <n v="253"/>
    <x v="5"/>
    <s v="Ревенко Андрей Вячеславович"/>
    <s v="А781РР"/>
    <x v="17"/>
    <x v="2"/>
    <x v="0"/>
    <m/>
    <x v="42"/>
    <n v="1.5"/>
    <x v="17"/>
    <n v="34200"/>
    <n v="15090"/>
    <n v="16"/>
    <n v="19110"/>
    <n v="16052.4"/>
    <s v="грин01213"/>
    <x v="45"/>
  </r>
  <r>
    <s v="Акт входного контроля грин01214 от 29.09.2025 12:48:48"/>
    <n v="1921"/>
    <n v="54990"/>
    <x v="6"/>
    <s v="Магадиев Александр Сайлаувич"/>
    <s v="У184НО"/>
    <x v="19"/>
    <x v="1"/>
    <x v="4"/>
    <m/>
    <x v="42"/>
    <n v="1.4"/>
    <x v="20"/>
    <n v="38510"/>
    <n v="14580"/>
    <n v="5"/>
    <n v="23930"/>
    <n v="22733.5"/>
    <s v="грин01214"/>
    <x v="45"/>
  </r>
  <r>
    <s v="Акт входного контроля грин01215 от 29.09.2025 13:02:32"/>
    <n v="1922"/>
    <n v="54991"/>
    <x v="6"/>
    <s v="Фомин Николай Григорьевич"/>
    <s v="А731ВА"/>
    <x v="19"/>
    <x v="1"/>
    <x v="4"/>
    <m/>
    <x v="42"/>
    <n v="1.3"/>
    <x v="20"/>
    <n v="38390"/>
    <n v="14970"/>
    <n v="6"/>
    <n v="23420"/>
    <n v="22014.799999999999"/>
    <s v="грин01215"/>
    <x v="45"/>
  </r>
  <r>
    <s v="Акт входного контроля грин01216 от 29.09.2025 14:24:26"/>
    <n v="1923"/>
    <n v="54992"/>
    <x v="6"/>
    <s v="Емец Р.А."/>
    <s v="У315НХ"/>
    <x v="19"/>
    <x v="1"/>
    <x v="4"/>
    <m/>
    <x v="42"/>
    <n v="1.4"/>
    <x v="20"/>
    <n v="40940"/>
    <n v="15730"/>
    <n v="6"/>
    <n v="25210"/>
    <n v="23697.4"/>
    <s v="грин01216"/>
    <x v="45"/>
  </r>
  <r>
    <s v="Акт входного контроля грин01217 от 28.09.2025 2:46:17"/>
    <n v="1882"/>
    <n v="232"/>
    <x v="5"/>
    <s v="Кудря Евгений"/>
    <s v="А719ОО"/>
    <x v="20"/>
    <x v="13"/>
    <x v="1"/>
    <m/>
    <x v="41"/>
    <n v="2.5"/>
    <x v="21"/>
    <n v="36800"/>
    <n v="15180"/>
    <n v="24"/>
    <n v="21620"/>
    <n v="16431.2"/>
    <s v="грин01217"/>
    <x v="44"/>
  </r>
  <r>
    <s v="Акт входного контроля грин01218 от 28.09.2025 3:30:52"/>
    <n v="1883"/>
    <n v="233"/>
    <x v="5"/>
    <s v="Фомин Николай Григорьевич"/>
    <s v="А731ВА"/>
    <x v="20"/>
    <x v="13"/>
    <x v="1"/>
    <m/>
    <x v="41"/>
    <n v="2.5"/>
    <x v="21"/>
    <n v="36630"/>
    <n v="15020"/>
    <n v="15"/>
    <n v="21610"/>
    <n v="18368.5"/>
    <s v="грин01218"/>
    <x v="44"/>
  </r>
  <r>
    <s v="Акт входного контроля грин01219 от 29.09.2025 16:15:53"/>
    <n v="1924"/>
    <n v="54992"/>
    <x v="6"/>
    <s v="Черевко Александр Владимирович"/>
    <s v="А114МК"/>
    <x v="19"/>
    <x v="1"/>
    <x v="4"/>
    <m/>
    <x v="42"/>
    <n v="1.4"/>
    <x v="20"/>
    <n v="39870"/>
    <n v="14700"/>
    <n v="6"/>
    <n v="25170"/>
    <n v="23659.8"/>
    <s v="грин01219"/>
    <x v="45"/>
  </r>
  <r>
    <s v="Акт входного контроля грин01220 от 28.09.2025 4:16:43"/>
    <n v="1884"/>
    <n v="234"/>
    <x v="5"/>
    <s v="Жданов Андрей Иванович"/>
    <s v="С707ОУ"/>
    <x v="20"/>
    <x v="13"/>
    <x v="1"/>
    <m/>
    <x v="41"/>
    <n v="2.2000000000000002"/>
    <x v="21"/>
    <n v="33650"/>
    <n v="14490"/>
    <n v="24"/>
    <n v="19160"/>
    <n v="14561.6"/>
    <s v="грин01220"/>
    <x v="44"/>
  </r>
  <r>
    <s v="Акт входного контроля грин01221 от 28.09.2025 4:41:17"/>
    <n v="1885"/>
    <n v="235"/>
    <x v="5"/>
    <s v="Гужва А М."/>
    <s v="Т285ВЕ"/>
    <x v="20"/>
    <x v="13"/>
    <x v="1"/>
    <m/>
    <x v="41"/>
    <n v="2.2000000000000002"/>
    <x v="21"/>
    <n v="33770"/>
    <n v="14840"/>
    <n v="24"/>
    <n v="18930"/>
    <n v="14386.8"/>
    <s v="грин01221"/>
    <x v="44"/>
  </r>
  <r>
    <s v="Акт входного контроля грин01222 от 28.09.2025 5:56:01"/>
    <n v="1886"/>
    <n v="236"/>
    <x v="5"/>
    <s v="Кудря Евгений"/>
    <s v="А719ОО"/>
    <x v="20"/>
    <x v="13"/>
    <x v="1"/>
    <m/>
    <x v="41"/>
    <n v="2.6"/>
    <x v="21"/>
    <n v="38150"/>
    <n v="15170"/>
    <n v="23"/>
    <n v="22980"/>
    <n v="17694.599999999999"/>
    <s v="грин01222"/>
    <x v="44"/>
  </r>
  <r>
    <s v="Акт входного контроля грин01223 от 28.09.2025 22:53:42"/>
    <n v="1915"/>
    <n v="252"/>
    <x v="5"/>
    <s v="Богучарский А. И."/>
    <s v="Е404УС"/>
    <x v="20"/>
    <x v="13"/>
    <x v="1"/>
    <m/>
    <x v="43"/>
    <n v="1.7"/>
    <x v="21"/>
    <n v="27540"/>
    <n v="14050"/>
    <n v="28"/>
    <n v="13490"/>
    <n v="9712.7999999999993"/>
    <s v="грин01223"/>
    <x v="44"/>
  </r>
  <r>
    <s v="Акт входного контроля грин01224 от 28.09.2025 6:47:49"/>
    <n v="1888"/>
    <n v="237"/>
    <x v="5"/>
    <s v="Фомин Николай Григорьевич"/>
    <s v="А731ВА"/>
    <x v="20"/>
    <x v="13"/>
    <x v="1"/>
    <m/>
    <x v="43"/>
    <n v="2.6"/>
    <x v="21"/>
    <n v="36220"/>
    <n v="15010"/>
    <n v="34"/>
    <n v="21210"/>
    <n v="13998.6"/>
    <s v="грин01224"/>
    <x v="44"/>
  </r>
  <r>
    <s v="Акт входного контроля грин01225 от 28.09.2025 8:30:02"/>
    <n v="1890"/>
    <n v="238"/>
    <x v="5"/>
    <s v="Сероштан Станислав Викторович"/>
    <s v="Е758РЕ"/>
    <x v="20"/>
    <x v="13"/>
    <x v="1"/>
    <m/>
    <x v="43"/>
    <n v="2.7"/>
    <x v="21"/>
    <n v="36180"/>
    <n v="14810"/>
    <n v="27"/>
    <n v="21370"/>
    <n v="15600.1"/>
    <s v="грин01225"/>
    <x v="44"/>
  </r>
  <r>
    <s v="Акт входного контроля грин01226 от 28.09.2025 21:57:58"/>
    <n v="1914"/>
    <n v="251"/>
    <x v="5"/>
    <s v="Кулинич Евгений Владимирович"/>
    <s v="У801СТ"/>
    <x v="20"/>
    <x v="13"/>
    <x v="1"/>
    <m/>
    <x v="43"/>
    <n v="2.8"/>
    <x v="21"/>
    <n v="37650"/>
    <n v="15140"/>
    <n v="32"/>
    <n v="22510"/>
    <n v="15306.8"/>
    <s v="грин01226"/>
    <x v="44"/>
  </r>
  <r>
    <s v="Акт входного контроля грин01227 от 28.09.2025 9:39:55"/>
    <n v="1892"/>
    <n v="239"/>
    <x v="5"/>
    <s v="Кулинич Евгений Владимирович"/>
    <s v="У801СТ"/>
    <x v="20"/>
    <x v="13"/>
    <x v="1"/>
    <m/>
    <x v="43"/>
    <n v="2.7"/>
    <x v="21"/>
    <n v="36890"/>
    <n v="15050"/>
    <n v="30"/>
    <n v="21840"/>
    <n v="15288"/>
    <s v="грин01227"/>
    <x v="44"/>
  </r>
  <r>
    <s v="Акт входного контроля грин01228 от 28.09.2025 20:48:20"/>
    <n v="1913"/>
    <n v="250"/>
    <x v="5"/>
    <s v="Сероштан Станислав Викторович"/>
    <s v="Е758РЕ"/>
    <x v="20"/>
    <x v="13"/>
    <x v="1"/>
    <m/>
    <x v="43"/>
    <n v="2.6"/>
    <x v="21"/>
    <n v="35520"/>
    <n v="14730"/>
    <n v="31"/>
    <n v="20790"/>
    <n v="14345.1"/>
    <s v="грин01228"/>
    <x v="44"/>
  </r>
  <r>
    <s v="Акт входного контроля грин01229 от 28.09.2025 10:58:59"/>
    <n v="1896"/>
    <n v="240"/>
    <x v="5"/>
    <s v="Богучарский А. И."/>
    <s v="Е404УС"/>
    <x v="20"/>
    <x v="13"/>
    <x v="1"/>
    <m/>
    <x v="43"/>
    <n v="2.5"/>
    <x v="21"/>
    <n v="33960"/>
    <n v="14000"/>
    <n v="27"/>
    <n v="19960"/>
    <n v="14570.8"/>
    <s v="грин01229"/>
    <x v="44"/>
  </r>
  <r>
    <s v="Акт входного контроля грин01230 от 28.09.2025 11:41:19"/>
    <n v="1897"/>
    <n v="241"/>
    <x v="5"/>
    <s v="Ревенко Андрей Вячеславович"/>
    <s v="А781РР"/>
    <x v="20"/>
    <x v="13"/>
    <x v="1"/>
    <m/>
    <x v="43"/>
    <n v="2.6"/>
    <x v="21"/>
    <n v="36370"/>
    <n v="15120"/>
    <n v="31"/>
    <n v="21250"/>
    <n v="14662.5"/>
    <s v="грин01230"/>
    <x v="44"/>
  </r>
  <r>
    <s v="Акт входного контроля грин01231 от 28.09.2025 19:42:20"/>
    <n v="1911"/>
    <n v="249"/>
    <x v="5"/>
    <s v="Ревенко Андрей Вячеславович"/>
    <s v="А781РР"/>
    <x v="20"/>
    <x v="13"/>
    <x v="1"/>
    <m/>
    <x v="43"/>
    <n v="2.5"/>
    <x v="21"/>
    <n v="35330"/>
    <n v="15100"/>
    <n v="25"/>
    <n v="20230"/>
    <n v="15172.5"/>
    <s v="грин01231"/>
    <x v="44"/>
  </r>
  <r>
    <s v="Акт входного контроля грин01232 от 28.09.2025 12:56:16"/>
    <n v="1900"/>
    <n v="242"/>
    <x v="5"/>
    <s v="Сероштан Станислав Викторович"/>
    <s v="Е758РЕ"/>
    <x v="20"/>
    <x v="13"/>
    <x v="1"/>
    <m/>
    <x v="43"/>
    <n v="2.8"/>
    <x v="21"/>
    <n v="37630"/>
    <n v="14780"/>
    <n v="22"/>
    <n v="22850"/>
    <n v="17823"/>
    <s v="грин01232"/>
    <x v="44"/>
  </r>
  <r>
    <s v="Акт входного контроля грин01233 от 28.09.2025 18:45:04"/>
    <n v="1908"/>
    <n v="248"/>
    <x v="5"/>
    <s v="Богучарский А. И."/>
    <s v="Е404УС"/>
    <x v="20"/>
    <x v="13"/>
    <x v="1"/>
    <m/>
    <x v="43"/>
    <n v="2.7"/>
    <x v="21"/>
    <n v="35450"/>
    <n v="13970"/>
    <n v="32"/>
    <n v="21480"/>
    <n v="14606.4"/>
    <s v="грин01233"/>
    <x v="44"/>
  </r>
  <r>
    <s v="Акт входного контроля грин01234 от 28.09.2025 14:16:13"/>
    <n v="1901"/>
    <n v="243"/>
    <x v="5"/>
    <s v="Кулинич Евгений Владимирович"/>
    <s v="У801СТ"/>
    <x v="20"/>
    <x v="13"/>
    <x v="1"/>
    <m/>
    <x v="43"/>
    <n v="3"/>
    <x v="21"/>
    <n v="39250"/>
    <n v="15170"/>
    <n v="29"/>
    <n v="24080"/>
    <n v="17096.8"/>
    <s v="грин01234"/>
    <x v="44"/>
  </r>
  <r>
    <s v="Акт входного контроля грин01235 от 28.09.2025 15:00:53"/>
    <n v="1902"/>
    <n v="244"/>
    <x v="5"/>
    <s v="Богучарский А. И."/>
    <s v="Е404УС"/>
    <x v="20"/>
    <x v="13"/>
    <x v="1"/>
    <m/>
    <x v="43"/>
    <n v="2.6"/>
    <x v="21"/>
    <n v="35190"/>
    <n v="13980"/>
    <n v="29"/>
    <n v="21210"/>
    <n v="15059.1"/>
    <s v="грин01235"/>
    <x v="44"/>
  </r>
  <r>
    <s v="Акт входного контроля грин01236 от 28.09.2025 17:26:37"/>
    <n v="1907"/>
    <n v="247"/>
    <x v="5"/>
    <s v="Кулинич Евгений Владимирович"/>
    <s v="У801СТ"/>
    <x v="20"/>
    <x v="13"/>
    <x v="1"/>
    <m/>
    <x v="43"/>
    <n v="2.7"/>
    <x v="21"/>
    <n v="36860"/>
    <n v="15150"/>
    <n v="33"/>
    <n v="21710"/>
    <n v="14545.7"/>
    <s v="грин01236"/>
    <x v="44"/>
  </r>
  <r>
    <s v="Акт входного контроля грин01237 от 28.09.2025 15:50:02"/>
    <n v="1903"/>
    <n v="245"/>
    <x v="5"/>
    <s v="Ревенко Андрей Вячеславович"/>
    <s v="А781РР"/>
    <x v="20"/>
    <x v="13"/>
    <x v="1"/>
    <m/>
    <x v="43"/>
    <n v="2.7"/>
    <x v="21"/>
    <n v="36680"/>
    <n v="15100"/>
    <n v="16"/>
    <n v="21580"/>
    <n v="18127.2"/>
    <s v="грин01237"/>
    <x v="44"/>
  </r>
  <r>
    <s v="Акт входного контроля грин01238 от 28.09.2025 16:40:34"/>
    <n v="1904"/>
    <n v="246"/>
    <x v="5"/>
    <s v="Сероштан Станислав Викторович"/>
    <s v="Е758РЕ"/>
    <x v="20"/>
    <x v="13"/>
    <x v="1"/>
    <m/>
    <x v="43"/>
    <n v="2.8"/>
    <x v="21"/>
    <n v="36630"/>
    <n v="14770"/>
    <n v="31"/>
    <n v="21860"/>
    <n v="15083.4"/>
    <s v="грин01238"/>
    <x v="44"/>
  </r>
  <r>
    <s v="Акт входного контроля грин01239 от 29.09.2025 18:39:52"/>
    <n v="1927"/>
    <n v="54993"/>
    <x v="6"/>
    <s v="Майстровский В.Н."/>
    <s v="М057АО"/>
    <x v="19"/>
    <x v="1"/>
    <x v="4"/>
    <m/>
    <x v="42"/>
    <n v="1.5"/>
    <x v="20"/>
    <n v="41110"/>
    <n v="14700"/>
    <n v="5"/>
    <n v="26410"/>
    <n v="25089.5"/>
    <s v="грин01239"/>
    <x v="45"/>
  </r>
  <r>
    <s v="Акт входного контроля грин01240 от 29.09.2025 18:50:40"/>
    <n v="1928"/>
    <n v="54993"/>
    <x v="6"/>
    <s v="Долгих Николай Петрович"/>
    <s v="У726ЕР"/>
    <x v="19"/>
    <x v="1"/>
    <x v="4"/>
    <m/>
    <x v="42"/>
    <n v="1.5"/>
    <x v="20"/>
    <n v="40780"/>
    <n v="15030"/>
    <n v="5"/>
    <n v="25750"/>
    <n v="24462.5"/>
    <s v="грин01240"/>
    <x v="45"/>
  </r>
  <r>
    <s v="Акт входного контроля грин01241 от 29.09.2025 23:27:18"/>
    <n v="1929"/>
    <n v="54994"/>
    <x v="6"/>
    <s v="Мудрак Игорь Вадимович"/>
    <s v="С198УЕ"/>
    <x v="19"/>
    <x v="1"/>
    <x v="4"/>
    <m/>
    <x v="42"/>
    <n v="2.4"/>
    <x v="20"/>
    <n v="66060"/>
    <n v="24280"/>
    <n v="7"/>
    <n v="41780"/>
    <n v="38855.4"/>
    <s v="грин01241"/>
    <x v="45"/>
  </r>
  <r>
    <s v="Акт входного контроля грин01242 от 29.09.2025 23:30:25"/>
    <n v="1930"/>
    <n v="54995"/>
    <x v="6"/>
    <s v="Егоян Артем Владимирович"/>
    <s v="А701СН"/>
    <x v="19"/>
    <x v="1"/>
    <x v="4"/>
    <m/>
    <x v="42"/>
    <n v="1.5"/>
    <x v="20"/>
    <n v="41340"/>
    <n v="15180"/>
    <n v="8"/>
    <n v="26160"/>
    <n v="24067.200000000001"/>
    <s v="грин01242"/>
    <x v="45"/>
  </r>
  <r>
    <s v="Акт входного контроля грин01243 от 29.09.2025 19:06:10"/>
    <n v="1932"/>
    <n v="54996"/>
    <x v="6"/>
    <s v="Мудрак Вадим Васильевич"/>
    <s v="Х514ОК"/>
    <x v="19"/>
    <x v="1"/>
    <x v="4"/>
    <m/>
    <x v="42"/>
    <n v="2"/>
    <x v="20"/>
    <n v="55580"/>
    <n v="21120"/>
    <n v="7"/>
    <n v="34460"/>
    <n v="32047.8"/>
    <s v="грин01243"/>
    <x v="45"/>
  </r>
  <r>
    <s v="Акт входного контроля грин01244 от 29.09.2025 20:26:40"/>
    <n v="1933"/>
    <m/>
    <x v="6"/>
    <s v="Сероштан Станислав Викторович"/>
    <s v="Е758РЕ"/>
    <x v="19"/>
    <x v="1"/>
    <x v="4"/>
    <m/>
    <x v="42"/>
    <n v="1.4"/>
    <x v="20"/>
    <n v="39360"/>
    <n v="14970"/>
    <n v="7"/>
    <n v="24390"/>
    <n v="22682.7"/>
    <s v="грин01244"/>
    <x v="45"/>
  </r>
  <r>
    <s v="Акт входного контроля грин01245 от 29.09.2025 21:11:51"/>
    <n v="1934"/>
    <m/>
    <x v="6"/>
    <s v="Рудик Александр Иванович"/>
    <s v="А309АТ"/>
    <x v="19"/>
    <x v="1"/>
    <x v="4"/>
    <m/>
    <x v="42"/>
    <n v="1.5"/>
    <x v="20"/>
    <n v="41090"/>
    <n v="15090"/>
    <n v="7"/>
    <n v="26000"/>
    <n v="24180"/>
    <s v="грин01245"/>
    <x v="45"/>
  </r>
  <r>
    <s v="Акт входного контроля грин01246 от 29.09.2025 21:17:06"/>
    <n v="1935"/>
    <m/>
    <x v="6"/>
    <s v="Кудря Евгений"/>
    <s v="А719ОО"/>
    <x v="19"/>
    <x v="1"/>
    <x v="4"/>
    <m/>
    <x v="42"/>
    <n v="1.5"/>
    <x v="20"/>
    <n v="40960"/>
    <n v="15210"/>
    <n v="7"/>
    <n v="25750"/>
    <n v="23947.5"/>
    <s v="грин01246"/>
    <x v="45"/>
  </r>
  <r>
    <s v="Акт входного контроля грин01247 от 01.10.2025 11:14:49"/>
    <n v="1955"/>
    <n v="254"/>
    <x v="5"/>
    <s v="Чигрин Н.А."/>
    <s v="А819ЕВ"/>
    <x v="17"/>
    <x v="2"/>
    <x v="0"/>
    <m/>
    <x v="44"/>
    <n v="1.5"/>
    <x v="17"/>
    <n v="28750"/>
    <n v="14420"/>
    <n v="31"/>
    <n v="14330"/>
    <n v="9887.7000000000007"/>
    <s v="грин01247"/>
    <x v="46"/>
  </r>
  <r>
    <s v="Акт входного контроля грин01248 от 01.10.2025 11:53:06"/>
    <n v="1956"/>
    <n v="255"/>
    <x v="5"/>
    <s v="Сайко Василий Викторович"/>
    <s v="А816ЕВ"/>
    <x v="17"/>
    <x v="2"/>
    <x v="0"/>
    <m/>
    <x v="44"/>
    <n v="1.5"/>
    <x v="17"/>
    <n v="29430"/>
    <n v="14250"/>
    <n v="48"/>
    <n v="15180"/>
    <n v="7893.6"/>
    <s v="грин01248"/>
    <x v="46"/>
  </r>
  <r>
    <s v="Акт входного контроля грин01249 от 01.10.2025 14:54:49"/>
    <n v="1957"/>
    <s v="б/н"/>
    <x v="6"/>
    <s v="Кулинич Евгений Владимирович"/>
    <s v="У801СТ"/>
    <x v="19"/>
    <x v="1"/>
    <x v="4"/>
    <m/>
    <x v="44"/>
    <n v="0.8"/>
    <x v="20"/>
    <n v="39690"/>
    <n v="15100"/>
    <n v="20"/>
    <n v="24590"/>
    <n v="19672"/>
    <s v="грин01249"/>
    <x v="46"/>
  </r>
  <r>
    <s v="Акт входного контроля грин01250 от 01.10.2025 15:25:15"/>
    <n v="1958"/>
    <s v="б/н"/>
    <x v="6"/>
    <s v="Магадиев Александр Сайлаувич"/>
    <s v="У184НО"/>
    <x v="19"/>
    <x v="1"/>
    <x v="4"/>
    <m/>
    <x v="44"/>
    <n v="0.9"/>
    <x v="20"/>
    <n v="39460"/>
    <n v="14590"/>
    <n v="11"/>
    <n v="24870"/>
    <n v="22134.3"/>
    <s v="грин01250"/>
    <x v="46"/>
  </r>
  <r>
    <s v="Акт входного контроля грин01251 от 01.10.2025 16:30:29"/>
    <n v="1959"/>
    <s v="б/н"/>
    <x v="6"/>
    <s v="Рудик Александр Иванович"/>
    <s v="А309АТ"/>
    <x v="19"/>
    <x v="1"/>
    <x v="4"/>
    <m/>
    <x v="44"/>
    <n v="0.9"/>
    <x v="20"/>
    <n v="41130"/>
    <n v="14980"/>
    <n v="11"/>
    <n v="26150"/>
    <n v="23273.5"/>
    <s v="грин01251"/>
    <x v="46"/>
  </r>
  <r>
    <s v="Акт входного контроля грин01252 от 01.10.2025 18:01:14"/>
    <n v="1961"/>
    <s v="б/н"/>
    <x v="6"/>
    <s v="Фомин Николай Григорьевич"/>
    <s v="А731ВА"/>
    <x v="19"/>
    <x v="1"/>
    <x v="4"/>
    <m/>
    <x v="44"/>
    <n v="0.8"/>
    <x v="20"/>
    <n v="39410"/>
    <n v="14860"/>
    <n v="6"/>
    <n v="24550"/>
    <n v="23077"/>
    <s v="грин01252"/>
    <x v="46"/>
  </r>
  <r>
    <s v="Акт входного контроля грин01253 от 01.10.2025 19:34:44"/>
    <n v="1962"/>
    <s v="б/н"/>
    <x v="6"/>
    <s v="Богучарский А. И."/>
    <s v="Е404УС"/>
    <x v="19"/>
    <x v="1"/>
    <x v="4"/>
    <m/>
    <x v="44"/>
    <n v="0.8"/>
    <x v="20"/>
    <n v="36920"/>
    <n v="13920"/>
    <n v="12"/>
    <n v="23000"/>
    <n v="20240"/>
    <s v="грин01253"/>
    <x v="46"/>
  </r>
  <r>
    <s v="Акт входного контроля грин01254 от 01.10.2025 19:39:47"/>
    <n v="1963"/>
    <s v="б/н"/>
    <x v="6"/>
    <s v="Емец Р.А."/>
    <s v="У315НХ"/>
    <x v="19"/>
    <x v="1"/>
    <x v="4"/>
    <m/>
    <x v="44"/>
    <n v="0.9"/>
    <x v="20"/>
    <n v="41340"/>
    <n v="15650"/>
    <n v="19"/>
    <n v="25690"/>
    <n v="20808.900000000001"/>
    <s v="грин01254"/>
    <x v="46"/>
  </r>
  <r>
    <s v="Акт входного контроля грин01255 от 01.10.2025 20:45:18"/>
    <n v="1964"/>
    <s v="б/н"/>
    <x v="6"/>
    <s v="Черевко Александр Владимирович"/>
    <s v="А114МК"/>
    <x v="19"/>
    <x v="1"/>
    <x v="4"/>
    <m/>
    <x v="44"/>
    <n v="0.8"/>
    <x v="20"/>
    <n v="39930"/>
    <n v="14660"/>
    <n v="17"/>
    <n v="25270"/>
    <n v="20974.1"/>
    <s v="грин01255"/>
    <x v="46"/>
  </r>
  <r>
    <s v="Акт входного контроля грин01256 от 01.10.2025 21:51:04"/>
    <n v="1966"/>
    <n v="57726"/>
    <x v="6"/>
    <s v="Сероштан Станислав Викторович"/>
    <s v="Е758РЕ"/>
    <x v="21"/>
    <x v="1"/>
    <x v="4"/>
    <m/>
    <x v="44"/>
    <n v="1.8"/>
    <x v="22"/>
    <n v="40340"/>
    <n v="14820"/>
    <n v="27"/>
    <n v="25520"/>
    <n v="18629.599999999999"/>
    <s v="грин01256"/>
    <x v="46"/>
  </r>
  <r>
    <s v="Акт входного контроля грин01257 от 01.10.2025 23:23:32"/>
    <n v="1969"/>
    <s v="Б/Н"/>
    <x v="6"/>
    <s v="Егоян Артем Владимирович"/>
    <s v="А701СН"/>
    <x v="21"/>
    <x v="1"/>
    <x v="4"/>
    <m/>
    <x v="44"/>
    <n v="1.9"/>
    <x v="22"/>
    <n v="41690"/>
    <n v="15080"/>
    <n v="9"/>
    <n v="26610"/>
    <n v="24215.1"/>
    <s v="грин01257"/>
    <x v="46"/>
  </r>
  <r>
    <s v="Акт входного контроля грин01258 от 01.10.2025 21:32:04"/>
    <n v="1970"/>
    <s v="б/н"/>
    <x v="6"/>
    <s v="Мудрак Игорь Вадимович"/>
    <s v="С198УЕ"/>
    <x v="21"/>
    <x v="1"/>
    <x v="4"/>
    <m/>
    <x v="44"/>
    <n v="2.9"/>
    <x v="22"/>
    <n v="66000"/>
    <n v="24150"/>
    <n v="15"/>
    <n v="41850"/>
    <n v="35572.5"/>
    <s v="грин01258"/>
    <x v="46"/>
  </r>
  <r>
    <s v="Акт входного контроля грин01259 от 01.10.2025 22:47:35"/>
    <n v="1973"/>
    <s v="б/н"/>
    <x v="6"/>
    <s v="Майстровский В.Н."/>
    <s v="М057АО"/>
    <x v="21"/>
    <x v="1"/>
    <x v="4"/>
    <m/>
    <x v="44"/>
    <n v="1.8"/>
    <x v="22"/>
    <n v="40200"/>
    <n v="14620"/>
    <n v="10"/>
    <n v="25580"/>
    <n v="23022"/>
    <s v="грин01259"/>
    <x v="46"/>
  </r>
  <r>
    <s v="Акт входного контроля грин01260 от 01.10.2025 23:45:52"/>
    <n v="1974"/>
    <s v="б/н"/>
    <x v="6"/>
    <s v="Гужва А М."/>
    <s v="Т285ВЕ"/>
    <x v="21"/>
    <x v="1"/>
    <x v="4"/>
    <m/>
    <x v="44"/>
    <n v="1.6"/>
    <x v="22"/>
    <n v="37610"/>
    <n v="14930"/>
    <n v="10"/>
    <n v="22680"/>
    <n v="20412"/>
    <s v="грин01260"/>
    <x v="46"/>
  </r>
  <r>
    <s v="Акт входного контроля грин01261 от 01.10.2025 23:49:37"/>
    <n v="1975"/>
    <s v="б/н"/>
    <x v="6"/>
    <s v="Жданов Андрей Иванович"/>
    <s v="С707ОУ"/>
    <x v="21"/>
    <x v="1"/>
    <x v="4"/>
    <m/>
    <x v="44"/>
    <n v="1.5"/>
    <x v="22"/>
    <n v="35620"/>
    <n v="14550"/>
    <n v="13"/>
    <n v="21070"/>
    <n v="18330.900000000001"/>
    <s v="грин01261"/>
    <x v="46"/>
  </r>
  <r>
    <s v="Акт входного контроля грин01262 от 02.10.2025 4:24:57"/>
    <n v="1976"/>
    <s v="б/н"/>
    <x v="6"/>
    <s v="Кулинич Евгений Владимирович"/>
    <s v="У801СТ"/>
    <x v="21"/>
    <x v="1"/>
    <x v="4"/>
    <m/>
    <x v="44"/>
    <n v="1.8"/>
    <x v="22"/>
    <n v="40780"/>
    <n v="15160"/>
    <n v="10"/>
    <n v="25620"/>
    <n v="23058"/>
    <s v="грин01262"/>
    <x v="47"/>
  </r>
  <r>
    <s v="Акт входного контроля грин01263 от 02.10.2025 5:21:45"/>
    <n v="1978"/>
    <s v="б/н"/>
    <x v="6"/>
    <s v="Магадиев Александр Сайлаувич"/>
    <s v="У184НО"/>
    <x v="21"/>
    <x v="1"/>
    <x v="4"/>
    <m/>
    <x v="44"/>
    <n v="1.7"/>
    <x v="22"/>
    <n v="38860"/>
    <n v="14600"/>
    <n v="10"/>
    <n v="24260"/>
    <n v="21834"/>
    <s v="грин01263"/>
    <x v="47"/>
  </r>
  <r>
    <s v="Акт входного контроля грин01264 от 02.10.2025 6:17:09"/>
    <n v="1979"/>
    <s v="б/н"/>
    <x v="6"/>
    <s v="Кудря Евгений"/>
    <s v="А719ОО"/>
    <x v="21"/>
    <x v="1"/>
    <x v="4"/>
    <m/>
    <x v="44"/>
    <n v="1.7"/>
    <x v="22"/>
    <n v="39950"/>
    <n v="15260"/>
    <n v="10"/>
    <n v="24690"/>
    <n v="22221"/>
    <s v="грин01264"/>
    <x v="47"/>
  </r>
  <r>
    <s v="Акт входного контроля грин01265 от 02.10.2025 8:10:34"/>
    <n v="1980"/>
    <s v="б/н"/>
    <x v="6"/>
    <s v="Мудрак Вадим Васильевич"/>
    <s v="Х514ОК"/>
    <x v="21"/>
    <x v="1"/>
    <x v="4"/>
    <m/>
    <x v="44"/>
    <n v="2.4"/>
    <x v="22"/>
    <n v="55700"/>
    <n v="21030"/>
    <n v="9"/>
    <n v="34670"/>
    <n v="31549.7"/>
    <s v="грин01265"/>
    <x v="47"/>
  </r>
  <r>
    <s v="Акт входного контроля грин01266 от 02.10.2025 9:07:48"/>
    <n v="1981"/>
    <n v="57727"/>
    <x v="6"/>
    <s v="Рудик Александр Иванович"/>
    <s v="А309АТ"/>
    <x v="21"/>
    <x v="1"/>
    <x v="4"/>
    <m/>
    <x v="44"/>
    <n v="1.7"/>
    <x v="22"/>
    <n v="39090"/>
    <n v="14900"/>
    <n v="10"/>
    <n v="24190"/>
    <n v="21771"/>
    <s v="грин01266"/>
    <x v="47"/>
  </r>
  <r>
    <s v="Акт входного контроля грин01267 от 01.10.2025 22:35:07"/>
    <n v="1972"/>
    <s v="б/н"/>
    <x v="6"/>
    <s v="Долгих Николай Петрович"/>
    <s v="У726ЕР"/>
    <x v="21"/>
    <x v="1"/>
    <x v="4"/>
    <m/>
    <x v="44"/>
    <n v="1.7"/>
    <x v="22"/>
    <n v="40140"/>
    <n v="15210"/>
    <n v="10"/>
    <n v="24930"/>
    <n v="22437"/>
    <s v="грин01267"/>
    <x v="46"/>
  </r>
  <r>
    <s v="Акт входного контроля грин01268 от 02.10.2025 10:26:47"/>
    <n v="1983"/>
    <n v="57728"/>
    <x v="6"/>
    <s v="Фомин Николай Григорьевич"/>
    <s v="А731ВА"/>
    <x v="21"/>
    <x v="1"/>
    <x v="4"/>
    <m/>
    <x v="44"/>
    <n v="1.6"/>
    <x v="22"/>
    <n v="38010"/>
    <n v="14820"/>
    <n v="8"/>
    <n v="23190"/>
    <n v="21334.799999999999"/>
    <s v="грин01268"/>
    <x v="47"/>
  </r>
  <r>
    <s v="Акт входного контроля грин01269 от 02.10.2025 13:00:34"/>
    <n v="1984"/>
    <n v="57729"/>
    <x v="6"/>
    <s v="Бербеницкий Сергей Николаевич"/>
    <s v="С400РР"/>
    <x v="21"/>
    <x v="1"/>
    <x v="4"/>
    <m/>
    <x v="44"/>
    <n v="1.9"/>
    <x v="22"/>
    <n v="41820"/>
    <n v="15120"/>
    <n v="8"/>
    <n v="26700"/>
    <n v="24564"/>
    <s v="грин01269"/>
    <x v="47"/>
  </r>
  <r>
    <s v="Акт входного контроля грин01270 от 02.10.2025 13:03:29"/>
    <n v="1987"/>
    <n v="57730"/>
    <x v="6"/>
    <s v="Черевко Александр Владимирович"/>
    <s v="А114МК"/>
    <x v="21"/>
    <x v="1"/>
    <x v="4"/>
    <m/>
    <x v="44"/>
    <n v="1.7"/>
    <x v="22"/>
    <n v="38420"/>
    <n v="14580"/>
    <n v="7"/>
    <n v="23840"/>
    <n v="22171.200000000001"/>
    <s v="грин01270"/>
    <x v="47"/>
  </r>
  <r>
    <s v="Акт входного контроля грин01271 от 02.10.2025 16:57:38"/>
    <n v="1992"/>
    <n v="57730"/>
    <x v="6"/>
    <s v="Сероштан Станислав Викторович"/>
    <s v="Е758РЕ"/>
    <x v="22"/>
    <x v="1"/>
    <x v="4"/>
    <m/>
    <x v="45"/>
    <n v="2"/>
    <x v="23"/>
    <n v="39900"/>
    <n v="14740"/>
    <n v="14"/>
    <n v="25160"/>
    <n v="21637.599999999999"/>
    <s v="грин01271"/>
    <x v="47"/>
  </r>
  <r>
    <s v="Акт входного контроля грин01272 от 02.10.2025 17:00:40"/>
    <n v="1993"/>
    <n v="57731"/>
    <x v="6"/>
    <s v="Майстровский В.Н."/>
    <s v="М057АО"/>
    <x v="22"/>
    <x v="1"/>
    <x v="4"/>
    <m/>
    <x v="45"/>
    <n v="2.1"/>
    <x v="23"/>
    <n v="39830"/>
    <n v="14550"/>
    <n v="6"/>
    <n v="25280"/>
    <n v="23763.200000000001"/>
    <s v="грин01272"/>
    <x v="47"/>
  </r>
  <r>
    <s v="Акт входного контроля грин01273 от 02.10.2025 17:07:38"/>
    <n v="1994"/>
    <s v="Б/Н"/>
    <x v="6"/>
    <s v="Егоян Артем Владимирович"/>
    <s v="А701СН"/>
    <x v="22"/>
    <x v="1"/>
    <x v="4"/>
    <m/>
    <x v="45"/>
    <n v="2.1"/>
    <x v="23"/>
    <n v="40780"/>
    <n v="15150"/>
    <n v="7"/>
    <n v="25630"/>
    <n v="23835.9"/>
    <s v="грин01273"/>
    <x v="47"/>
  </r>
  <r>
    <s v="Акт входного контроля грин01274 от 02.10.2025 19:40:43"/>
    <n v="1995"/>
    <s v="б/н"/>
    <x v="6"/>
    <s v="Мудрак Игорь Вадимович"/>
    <s v="С198УЕ"/>
    <x v="22"/>
    <x v="1"/>
    <x v="4"/>
    <m/>
    <x v="45"/>
    <n v="3.3"/>
    <x v="23"/>
    <n v="65180"/>
    <n v="24220"/>
    <n v="6"/>
    <n v="40960"/>
    <n v="38502.400000000001"/>
    <s v="грин01274"/>
    <x v="47"/>
  </r>
  <r>
    <s v="Акт входного контроля грин01275 от 02.10.2025 19:47:44"/>
    <n v="1996"/>
    <s v="б/н"/>
    <x v="6"/>
    <s v="Емец Р.А."/>
    <s v="У315НХ"/>
    <x v="22"/>
    <x v="1"/>
    <x v="4"/>
    <m/>
    <x v="45"/>
    <n v="2.1"/>
    <x v="23"/>
    <n v="41130"/>
    <n v="15710"/>
    <n v="11"/>
    <n v="25420"/>
    <n v="22623.8"/>
    <s v="грин01275"/>
    <x v="47"/>
  </r>
  <r>
    <s v="Акт входного контроля грин01276 от 02.10.2025 20:36:51"/>
    <n v="1998"/>
    <s v="б/н"/>
    <x v="6"/>
    <s v="Магадиев Александр Сайлаувич"/>
    <s v="У184НО"/>
    <x v="22"/>
    <x v="1"/>
    <x v="4"/>
    <m/>
    <x v="45"/>
    <n v="2"/>
    <x v="23"/>
    <n v="39340"/>
    <n v="14580"/>
    <n v="6"/>
    <n v="24760"/>
    <n v="23274.400000000001"/>
    <s v="грин01276"/>
    <x v="47"/>
  </r>
  <r>
    <s v="Акт входного контроля грин01277 от 02.10.2025 21:46:10"/>
    <n v="2000"/>
    <s v="б/н"/>
    <x v="6"/>
    <s v="Кулинич Евгений Владимирович"/>
    <s v="У801СТ"/>
    <x v="22"/>
    <x v="1"/>
    <x v="4"/>
    <m/>
    <x v="45"/>
    <n v="2.1"/>
    <x v="23"/>
    <n v="40640"/>
    <n v="15090"/>
    <n v="11"/>
    <n v="25550"/>
    <n v="22739.5"/>
    <s v="грин01277"/>
    <x v="47"/>
  </r>
  <r>
    <s v="Акт входного контроля грин01278 от 02.10.2025 22:35:27"/>
    <n v="2001"/>
    <s v="б/н"/>
    <x v="6"/>
    <s v="Мудрак Вадим Васильевич"/>
    <s v="Х514ОК"/>
    <x v="22"/>
    <x v="1"/>
    <x v="4"/>
    <m/>
    <x v="45"/>
    <n v="2.9"/>
    <x v="23"/>
    <n v="56280"/>
    <n v="20970"/>
    <n v="11"/>
    <n v="35310"/>
    <n v="31425.9"/>
    <s v="грин01278"/>
    <x v="47"/>
  </r>
  <r>
    <s v="Акт входного контроля грин01279 от 02.10.2025 23:50:02"/>
    <n v="2003"/>
    <s v="б/н"/>
    <x v="6"/>
    <s v="Жданов Андрей Иванович"/>
    <s v="С707ОУ"/>
    <x v="22"/>
    <x v="1"/>
    <x v="4"/>
    <m/>
    <x v="45"/>
    <n v="1.7"/>
    <x v="23"/>
    <n v="35970"/>
    <n v="14490"/>
    <n v="6"/>
    <n v="21480"/>
    <n v="20191.2"/>
    <s v="грин01279"/>
    <x v="47"/>
  </r>
  <r>
    <s v="Акт входного контроля грин01280 от 02.10.2025 18:30:45"/>
    <n v="2004"/>
    <s v="б/н"/>
    <x v="6"/>
    <s v="Гужва А М."/>
    <s v="Т285ВЕ"/>
    <x v="22"/>
    <x v="1"/>
    <x v="4"/>
    <m/>
    <x v="45"/>
    <n v="1.6"/>
    <x v="23"/>
    <n v="34630"/>
    <n v="14870"/>
    <n v="14"/>
    <n v="19760"/>
    <n v="16993.599999999999"/>
    <s v="грин01280"/>
    <x v="47"/>
  </r>
  <r>
    <s v="Акт входного контроля грин01281 от 02.10.2025 18:34:17"/>
    <n v="2005"/>
    <s v="б/н"/>
    <x v="6"/>
    <s v="Фомин Николай Григорьевич"/>
    <s v="А731ВА"/>
    <x v="22"/>
    <x v="1"/>
    <x v="4"/>
    <m/>
    <x v="45"/>
    <n v="1.9"/>
    <x v="23"/>
    <n v="38450"/>
    <n v="14940"/>
    <n v="21"/>
    <n v="23510"/>
    <n v="18572.900000000001"/>
    <s v="грин01281"/>
    <x v="47"/>
  </r>
  <r>
    <s v="Акт входного контроля грин01282 от 02.10.2025 19:23:51"/>
    <n v="2006"/>
    <s v="б/н"/>
    <x v="6"/>
    <s v="Рудик Александр Иванович"/>
    <s v="А309АТ"/>
    <x v="22"/>
    <x v="1"/>
    <x v="4"/>
    <m/>
    <x v="45"/>
    <n v="2"/>
    <x v="23"/>
    <n v="39040"/>
    <n v="14790"/>
    <n v="9"/>
    <n v="24250"/>
    <n v="22067.5"/>
    <s v="грин01282"/>
    <x v="47"/>
  </r>
  <r>
    <s v="Акт входного контроля грин01283 от 02.10.2025 20:01:07"/>
    <n v="2007"/>
    <s v="б/н"/>
    <x v="6"/>
    <s v="Бербеницкий Сергей Николаевич"/>
    <s v="С400РР"/>
    <x v="22"/>
    <x v="1"/>
    <x v="4"/>
    <m/>
    <x v="45"/>
    <n v="2.2999999999999998"/>
    <x v="23"/>
    <n v="43570"/>
    <n v="15200"/>
    <n v="12"/>
    <n v="28370"/>
    <n v="24965.599999999999"/>
    <s v="грин01283"/>
    <x v="47"/>
  </r>
  <r>
    <s v="Акт входного контроля грин01284 от 02.10.2025 21:01:36"/>
    <n v="2008"/>
    <s v="б/н"/>
    <x v="6"/>
    <s v="Кудря Евгений"/>
    <s v="А719ОО"/>
    <x v="22"/>
    <x v="1"/>
    <x v="4"/>
    <m/>
    <x v="45"/>
    <n v="2"/>
    <x v="23"/>
    <n v="39790"/>
    <n v="15190"/>
    <n v="13"/>
    <n v="24600"/>
    <n v="21402"/>
    <s v="грин01284"/>
    <x v="47"/>
  </r>
  <r>
    <s v="Акт входного контроля грин01285 от 02.10.2025 21:05:59"/>
    <n v="2009"/>
    <s v="б/н"/>
    <x v="6"/>
    <s v="Богучарский А. И."/>
    <s v="Е404УС"/>
    <x v="22"/>
    <x v="1"/>
    <x v="4"/>
    <m/>
    <x v="45"/>
    <n v="1.8"/>
    <x v="23"/>
    <n v="36600"/>
    <n v="13980"/>
    <n v="12"/>
    <n v="22620"/>
    <n v="19905.599999999999"/>
    <s v="грин01285"/>
    <x v="47"/>
  </r>
  <r>
    <s v="Акт входного контроля грин01286 от 02.10.2025 22:50:02"/>
    <n v="2010"/>
    <s v="б/н"/>
    <x v="6"/>
    <s v="Майстровский В.Н."/>
    <s v="М057АО"/>
    <x v="22"/>
    <x v="1"/>
    <x v="4"/>
    <m/>
    <x v="45"/>
    <n v="2"/>
    <x v="23"/>
    <n v="38560"/>
    <n v="14490"/>
    <n v="11"/>
    <n v="24070"/>
    <n v="21422.3"/>
    <s v="грин01286"/>
    <x v="47"/>
  </r>
  <r>
    <s v="Акт входного контроля грин01287 от 02.10.2025 23:14:13"/>
    <n v="2011"/>
    <s v="б/н"/>
    <x v="6"/>
    <s v="Сероштан Станислав Викторович"/>
    <s v="Е758РЕ"/>
    <x v="22"/>
    <x v="1"/>
    <x v="4"/>
    <m/>
    <x v="45"/>
    <n v="1.9"/>
    <x v="23"/>
    <n v="38730"/>
    <n v="14840"/>
    <n v="17"/>
    <n v="23890"/>
    <n v="19828.7"/>
    <s v="грин01287"/>
    <x v="47"/>
  </r>
  <r>
    <s v="Акт входного контроля грин01288 от 02.10.2025 23:30:41"/>
    <n v="2012"/>
    <s v="б/н"/>
    <x v="6"/>
    <s v="Черевко Александр Владимирович"/>
    <s v="А114МК"/>
    <x v="22"/>
    <x v="1"/>
    <x v="4"/>
    <m/>
    <x v="45"/>
    <n v="1.9"/>
    <x v="23"/>
    <n v="38530"/>
    <n v="14660"/>
    <n v="16"/>
    <n v="23870"/>
    <n v="20050.8"/>
    <s v="грин01288"/>
    <x v="47"/>
  </r>
  <r>
    <s v="Акт входного контроля грин01289 от 03.10.2025 12:42:02"/>
    <n v="2013"/>
    <s v="б/н"/>
    <x v="6"/>
    <s v="Мудрак Игорь Вадимович"/>
    <s v="С198УЕ"/>
    <x v="22"/>
    <x v="1"/>
    <x v="4"/>
    <m/>
    <x v="45"/>
    <n v="3.3"/>
    <x v="23"/>
    <n v="63840"/>
    <n v="24140"/>
    <n v="15"/>
    <n v="39700"/>
    <n v="33745"/>
    <s v="грин01289"/>
    <x v="48"/>
  </r>
  <r>
    <s v="Акт входного контроля грин01290 от 03.10.2025 13:45:42"/>
    <n v="2017"/>
    <s v="б/н"/>
    <x v="6"/>
    <s v="Егоян Артем Владимирович"/>
    <s v="А701СН"/>
    <x v="21"/>
    <x v="1"/>
    <x v="4"/>
    <m/>
    <x v="45"/>
    <n v="1.6"/>
    <x v="22"/>
    <n v="38600"/>
    <n v="15070"/>
    <n v="18"/>
    <n v="23530"/>
    <n v="19294.599999999999"/>
    <s v="грин01290"/>
    <x v="48"/>
  </r>
  <r>
    <s v="Акт входного контроля грин01291 от 03.10.2025 14:25:43"/>
    <n v="2018"/>
    <s v="б/н"/>
    <x v="6"/>
    <s v="Емец Р.А."/>
    <s v="У315НХ"/>
    <x v="21"/>
    <x v="1"/>
    <x v="4"/>
    <m/>
    <x v="45"/>
    <n v="1.7"/>
    <x v="22"/>
    <n v="40640"/>
    <n v="15650"/>
    <n v="12"/>
    <n v="24990"/>
    <n v="21991.200000000001"/>
    <s v="грин01291"/>
    <x v="48"/>
  </r>
  <r>
    <s v="Акт входного контроля грин01292 от 03.10.2025 15:08:31"/>
    <n v="2019"/>
    <s v="б/н"/>
    <x v="6"/>
    <s v="Магадиев Александр Сайлаувич"/>
    <s v="У184НО"/>
    <x v="21"/>
    <x v="1"/>
    <x v="4"/>
    <m/>
    <x v="45"/>
    <n v="1.7"/>
    <x v="22"/>
    <n v="38770"/>
    <n v="14580"/>
    <n v="13"/>
    <n v="24190"/>
    <n v="21045.3"/>
    <s v="грин01292"/>
    <x v="48"/>
  </r>
  <r>
    <s v="Акт входного контроля грин01293 от 03.10.2025 16:35:57"/>
    <n v="2026"/>
    <s v="б/н"/>
    <x v="6"/>
    <s v="Кулинич Евгений Владимирович"/>
    <s v="У801СТ"/>
    <x v="21"/>
    <x v="1"/>
    <x v="4"/>
    <m/>
    <x v="46"/>
    <n v="1.7"/>
    <x v="22"/>
    <n v="39840"/>
    <n v="15050"/>
    <n v="10"/>
    <n v="24790"/>
    <n v="22311"/>
    <s v="грин01293"/>
    <x v="48"/>
  </r>
  <r>
    <s v="Акт входного контроля грин01294 от 03.10.2025 16:56:37"/>
    <n v="2027"/>
    <s v="б/н"/>
    <x v="6"/>
    <s v="Фомин Николай Григорьевич"/>
    <s v="А731ВА"/>
    <x v="21"/>
    <x v="1"/>
    <x v="4"/>
    <m/>
    <x v="46"/>
    <n v="1.7"/>
    <x v="22"/>
    <n v="39140"/>
    <n v="14870"/>
    <n v="7"/>
    <n v="24270"/>
    <n v="22571.1"/>
    <s v="грин01294"/>
    <x v="48"/>
  </r>
  <r>
    <s v="Акт входного контроля грин01295 от 03.10.2025 18:07:21"/>
    <n v="2028"/>
    <s v="б/н"/>
    <x v="6"/>
    <s v="Мудрак Вадим Васильевич"/>
    <s v="Х514ОК"/>
    <x v="21"/>
    <x v="1"/>
    <x v="4"/>
    <m/>
    <x v="46"/>
    <n v="2.2999999999999998"/>
    <x v="22"/>
    <n v="54420"/>
    <n v="20910"/>
    <n v="8"/>
    <n v="33510"/>
    <n v="30829.200000000001"/>
    <s v="грин01295"/>
    <x v="48"/>
  </r>
  <r>
    <s v="Акт входного контроля грин01296 от 03.10.2025 23:13:19"/>
    <n v="2030"/>
    <s v="б/н"/>
    <x v="6"/>
    <s v="Бербеницкий Сергей Николаевич"/>
    <s v="С400РР"/>
    <x v="21"/>
    <x v="1"/>
    <x v="4"/>
    <m/>
    <x v="46"/>
    <n v="1.9"/>
    <x v="22"/>
    <n v="42320"/>
    <n v="15130"/>
    <n v="7"/>
    <n v="27190"/>
    <n v="25286.7"/>
    <s v="грин01296"/>
    <x v="48"/>
  </r>
  <r>
    <s v="Акт входного контроля грин01297 от 03.10.2025 23:16:30"/>
    <n v="2031"/>
    <s v="б/н"/>
    <x v="6"/>
    <s v="Рудик Александр Иванович"/>
    <s v="А309АТ"/>
    <x v="21"/>
    <x v="1"/>
    <x v="4"/>
    <m/>
    <x v="46"/>
    <n v="1.8"/>
    <x v="22"/>
    <n v="40530"/>
    <n v="14720"/>
    <n v="10"/>
    <n v="25810"/>
    <n v="23229"/>
    <s v="грин01297"/>
    <x v="48"/>
  </r>
  <r>
    <s v="Акт входного контроля грин01298 от 03.10.2025 23:19:06"/>
    <n v="2032"/>
    <s v="б/н"/>
    <x v="6"/>
    <s v="Майстровский В.Н."/>
    <s v="М057АО"/>
    <x v="21"/>
    <x v="1"/>
    <x v="4"/>
    <m/>
    <x v="46"/>
    <n v="1.8"/>
    <x v="22"/>
    <n v="40010"/>
    <n v="14520"/>
    <n v="12"/>
    <n v="25490"/>
    <n v="22431.200000000001"/>
    <s v="грин01298"/>
    <x v="48"/>
  </r>
  <r>
    <s v="Акт входного контроля грин01299 от 03.10.2025 23:32:57"/>
    <n v="2035"/>
    <s v="б/н"/>
    <x v="6"/>
    <s v="Кудря Евгений"/>
    <s v="А719ОО"/>
    <x v="21"/>
    <x v="1"/>
    <x v="4"/>
    <m/>
    <x v="46"/>
    <n v="1.8"/>
    <x v="22"/>
    <n v="40370"/>
    <n v="15120"/>
    <n v="14"/>
    <n v="25250"/>
    <n v="21715"/>
    <s v="грин01299"/>
    <x v="48"/>
  </r>
  <r>
    <s v="Акт входного контроля грин01300 от 03.10.2025 18:36:37"/>
    <n v="2036"/>
    <s v="б/н"/>
    <x v="6"/>
    <s v="Черевко Александр Владимирович"/>
    <s v="А114МК"/>
    <x v="21"/>
    <x v="1"/>
    <x v="4"/>
    <m/>
    <x v="46"/>
    <n v="1.6"/>
    <x v="22"/>
    <n v="38250"/>
    <n v="14760"/>
    <n v="16"/>
    <n v="23490"/>
    <n v="19731.599999999999"/>
    <s v="грин01300"/>
    <x v="48"/>
  </r>
  <r>
    <s v="Акт входного контроля грин01301 от 03.10.2025 19:13:56"/>
    <n v="2037"/>
    <s v="б/н"/>
    <x v="6"/>
    <s v="Богучарский А. И."/>
    <s v="Е404УС"/>
    <x v="21"/>
    <x v="1"/>
    <x v="4"/>
    <m/>
    <x v="46"/>
    <n v="1.6"/>
    <x v="22"/>
    <n v="37280"/>
    <n v="13910"/>
    <n v="9"/>
    <n v="23370"/>
    <n v="21266.7"/>
    <s v="грин01301"/>
    <x v="48"/>
  </r>
  <r>
    <s v="Акт входного контроля грин01302 от 03.10.2025 20:16:05"/>
    <n v="2039"/>
    <s v="б/н"/>
    <x v="6"/>
    <s v="Жданов Андрей Иванович"/>
    <s v="С707ОУ"/>
    <x v="21"/>
    <x v="1"/>
    <x v="4"/>
    <m/>
    <x v="46"/>
    <n v="1.4"/>
    <x v="22"/>
    <n v="35150"/>
    <n v="14490"/>
    <n v="15"/>
    <n v="20660"/>
    <n v="17561"/>
    <s v="грин01302"/>
    <x v="48"/>
  </r>
  <r>
    <s v="Акт входного контроля грин01303 от 03.10.2025 21:09:37"/>
    <n v="2042"/>
    <s v="б/н"/>
    <x v="6"/>
    <s v="Долгих Николай Петрович"/>
    <s v="У726ЕР"/>
    <x v="21"/>
    <x v="1"/>
    <x v="4"/>
    <m/>
    <x v="46"/>
    <n v="1.8"/>
    <x v="22"/>
    <n v="40170"/>
    <n v="15120"/>
    <n v="13"/>
    <n v="25050"/>
    <n v="21793.5"/>
    <s v="грин01303"/>
    <x v="48"/>
  </r>
  <r>
    <s v="Акт входного контроля грин01304 от 03.10.2025 22:43:00"/>
    <n v="2044"/>
    <s v="б/н"/>
    <x v="6"/>
    <s v="Мудрак Игорь Вадимович"/>
    <s v="С198УЕ"/>
    <x v="21"/>
    <x v="1"/>
    <x v="4"/>
    <m/>
    <x v="46"/>
    <n v="2.8"/>
    <x v="22"/>
    <n v="64730"/>
    <n v="24080"/>
    <n v="12"/>
    <n v="40650"/>
    <n v="35772"/>
    <s v="грин01304"/>
    <x v="48"/>
  </r>
  <r>
    <s v="Акт входного контроля грин01305 от 03.10.2025 21:36:57"/>
    <n v="2043"/>
    <s v="б/н"/>
    <x v="6"/>
    <s v="Егоян Артем Владимирович"/>
    <s v="А701СН"/>
    <x v="21"/>
    <x v="1"/>
    <x v="4"/>
    <m/>
    <x v="46"/>
    <n v="1.8"/>
    <x v="22"/>
    <n v="40950"/>
    <n v="15020"/>
    <n v="17"/>
    <n v="25930"/>
    <n v="21521.9"/>
    <s v="грин01305"/>
    <x v="48"/>
  </r>
  <r>
    <s v="Акт входного контроля грин01306 от 04.10.2025 8:13:44"/>
    <n v="2045"/>
    <n v="57732"/>
    <x v="6"/>
    <s v="Емец Р.А."/>
    <s v="У315НХ"/>
    <x v="21"/>
    <x v="1"/>
    <x v="4"/>
    <m/>
    <x v="46"/>
    <n v="1.3"/>
    <x v="22"/>
    <n v="31590"/>
    <n v="15570"/>
    <n v="13"/>
    <n v="16020"/>
    <n v="13937.4"/>
    <s v="грин01306"/>
    <x v="49"/>
  </r>
  <r>
    <s v="Акт входного контроля грин01307 от 04.10.2025 4:09:19"/>
    <n v="2047"/>
    <n v="1"/>
    <x v="7"/>
    <s v="Лазаренко Вячеслав Владимирович"/>
    <s v="Т239УС"/>
    <x v="23"/>
    <x v="1"/>
    <x v="5"/>
    <m/>
    <x v="47"/>
    <n v="2.2999999999999998"/>
    <x v="24"/>
    <n v="40570"/>
    <n v="14980"/>
    <n v="27"/>
    <n v="25590"/>
    <n v="18680.7"/>
    <s v="грин01307"/>
    <x v="49"/>
  </r>
  <r>
    <s v="Акт входного контроля грин01308 от 04.10.2025 4:15:21"/>
    <n v="2048"/>
    <n v="2"/>
    <x v="7"/>
    <s v="Никитась Сергей Анатольевич"/>
    <s v="К570ЕО"/>
    <x v="23"/>
    <x v="1"/>
    <x v="5"/>
    <m/>
    <x v="47"/>
    <n v="2.5"/>
    <x v="24"/>
    <n v="42870"/>
    <n v="15190"/>
    <n v="15"/>
    <n v="27680"/>
    <n v="23528"/>
    <s v="грин01308"/>
    <x v="49"/>
  </r>
  <r>
    <s v="Акт входного контроля грин01309 от 04.10.2025 4:37:07"/>
    <n v="2049"/>
    <n v="3"/>
    <x v="7"/>
    <s v="Чернецов Александр Михайлович"/>
    <s v="Р866РМ"/>
    <x v="23"/>
    <x v="1"/>
    <x v="5"/>
    <m/>
    <x v="47"/>
    <n v="2.5"/>
    <x v="24"/>
    <n v="43320"/>
    <n v="15070"/>
    <n v="15"/>
    <n v="28250"/>
    <n v="24012.5"/>
    <s v="грин01309"/>
    <x v="49"/>
  </r>
  <r>
    <s v="Акт входного контроля грин01310 от 04.10.2025 4:41:37"/>
    <n v="2050"/>
    <n v="4"/>
    <x v="7"/>
    <s v="Пугачев Сергей Викторович"/>
    <s v="Р258УХ"/>
    <x v="23"/>
    <x v="1"/>
    <x v="5"/>
    <m/>
    <x v="47"/>
    <n v="2.4"/>
    <x v="24"/>
    <n v="43110"/>
    <n v="15750"/>
    <n v="14"/>
    <n v="27360"/>
    <n v="23529.599999999999"/>
    <s v="грин01310"/>
    <x v="49"/>
  </r>
  <r>
    <s v="Акт входного контроля грин01311 от 04.10.2025 5:25:32"/>
    <n v="2051"/>
    <n v="5"/>
    <x v="7"/>
    <s v="Пищев Александр Васильевич "/>
    <s v="Т522ОН"/>
    <x v="23"/>
    <x v="1"/>
    <x v="5"/>
    <m/>
    <x v="47"/>
    <n v="2.7"/>
    <x v="24"/>
    <n v="49980"/>
    <n v="19530"/>
    <n v="29"/>
    <n v="30450"/>
    <n v="21619.5"/>
    <s v="грин01311"/>
    <x v="49"/>
  </r>
  <r>
    <s v="Акт входного контроля грин01312 от 04.10.2025 8:42:04"/>
    <n v="2056"/>
    <n v="6"/>
    <x v="7"/>
    <s v="Блажко Алексей Николаевич"/>
    <s v="М676КО"/>
    <x v="23"/>
    <x v="1"/>
    <x v="5"/>
    <m/>
    <x v="47"/>
    <n v="3"/>
    <x v="24"/>
    <n v="57850"/>
    <n v="24260"/>
    <n v="15"/>
    <n v="33590"/>
    <n v="28551.5"/>
    <s v="грин01312"/>
    <x v="49"/>
  </r>
  <r>
    <s v="Акт входного контроля грин01313 от 04.10.2025 8:45:54"/>
    <n v="2057"/>
    <n v="7"/>
    <x v="7"/>
    <s v="Дик Илья Александрович"/>
    <s v="М556ХВ"/>
    <x v="23"/>
    <x v="1"/>
    <x v="5"/>
    <m/>
    <x v="47"/>
    <n v="2.5"/>
    <x v="24"/>
    <n v="43910"/>
    <n v="15720"/>
    <n v="22"/>
    <n v="28190"/>
    <n v="21988.2"/>
    <s v="грин01313"/>
    <x v="49"/>
  </r>
  <r>
    <s v="Акт входного контроля грин01314 от 04.10.2025 9:53:17"/>
    <n v="2061"/>
    <n v="9"/>
    <x v="7"/>
    <s v="Огнев Максим Викторович"/>
    <s v="Р755НН"/>
    <x v="23"/>
    <x v="1"/>
    <x v="5"/>
    <m/>
    <x v="47"/>
    <n v="2"/>
    <x v="24"/>
    <n v="37380"/>
    <n v="14800"/>
    <n v="23"/>
    <n v="22580"/>
    <n v="17386.599999999999"/>
    <s v="грин01314"/>
    <x v="49"/>
  </r>
  <r>
    <s v="Акт входного контроля грин01315 от 04.10.2025 9:42:27"/>
    <n v="2060"/>
    <n v="8"/>
    <x v="7"/>
    <s v="Долгих Николай Петрович"/>
    <s v="У726ЕР"/>
    <x v="23"/>
    <x v="1"/>
    <x v="5"/>
    <m/>
    <x v="47"/>
    <n v="2.2999999999999998"/>
    <x v="24"/>
    <n v="40440"/>
    <n v="15020"/>
    <n v="19"/>
    <n v="25420"/>
    <n v="20590.2"/>
    <s v="грин01315"/>
    <x v="49"/>
  </r>
  <r>
    <s v="Акт входного контроля грин01316 от 04.10.2025 14:58:27"/>
    <n v="2064"/>
    <n v="2"/>
    <x v="7"/>
    <s v="Фомин Николай Григорьевич"/>
    <s v="А731ВА"/>
    <x v="23"/>
    <x v="1"/>
    <x v="5"/>
    <m/>
    <x v="47"/>
    <n v="2.2000000000000002"/>
    <x v="24"/>
    <n v="39350"/>
    <n v="15010"/>
    <n v="12"/>
    <n v="24340"/>
    <n v="21419.200000000001"/>
    <s v="грин01316"/>
    <x v="49"/>
  </r>
  <r>
    <s v="Акт входного контроля грин01317 от 04.10.2025 16:28:34"/>
    <n v="2066"/>
    <n v="1"/>
    <x v="7"/>
    <s v="Мудрак Вадим Васильевич"/>
    <s v="Х514ОК"/>
    <x v="23"/>
    <x v="1"/>
    <x v="5"/>
    <m/>
    <x v="47"/>
    <n v="3.1"/>
    <x v="24"/>
    <n v="55700"/>
    <n v="21000"/>
    <n v="9"/>
    <n v="34700"/>
    <n v="31577"/>
    <s v="грин01317"/>
    <x v="49"/>
  </r>
  <r>
    <s v="Акт входного контроля грин01318 от 04.10.2025 16:55:55"/>
    <n v="2067"/>
    <n v="3"/>
    <x v="7"/>
    <s v="Рудик Александр Иванович"/>
    <s v="А309АТ"/>
    <x v="23"/>
    <x v="1"/>
    <x v="5"/>
    <m/>
    <x v="47"/>
    <n v="2.2999999999999998"/>
    <x v="24"/>
    <n v="41050"/>
    <n v="14940"/>
    <n v="7"/>
    <n v="26110"/>
    <n v="24282.3"/>
    <s v="грин01318"/>
    <x v="49"/>
  </r>
  <r>
    <s v="Акт входного контроля грин01319 от 04.10.2025 17:13:29"/>
    <n v="2068"/>
    <n v="4"/>
    <x v="7"/>
    <s v="Сероштан Станислав Викторович"/>
    <s v="Е758РЕ"/>
    <x v="23"/>
    <x v="1"/>
    <x v="5"/>
    <m/>
    <x v="47"/>
    <n v="2.2000000000000002"/>
    <x v="24"/>
    <n v="39460"/>
    <n v="14810"/>
    <n v="12"/>
    <n v="24650"/>
    <n v="21692"/>
    <s v="грин01319"/>
    <x v="49"/>
  </r>
  <r>
    <s v="Акт входного контроля грин01320 от 04.10.2025 19:19:10"/>
    <n v="2069"/>
    <n v="8"/>
    <x v="7"/>
    <s v="Магадиев Александр Сайлаувич"/>
    <s v="У184НО"/>
    <x v="23"/>
    <x v="1"/>
    <x v="5"/>
    <m/>
    <x v="47"/>
    <n v="2.2000000000000002"/>
    <x v="24"/>
    <n v="38800"/>
    <n v="14550"/>
    <n v="8"/>
    <n v="24250"/>
    <n v="22310"/>
    <s v="грин01320"/>
    <x v="49"/>
  </r>
  <r>
    <s v="Акт входного контроля грин01321 от 04.10.2025 19:24:05"/>
    <n v="2070"/>
    <n v="9"/>
    <x v="7"/>
    <s v="Кулинич Евгений Владимирович"/>
    <s v="У801СТ"/>
    <x v="23"/>
    <x v="1"/>
    <x v="5"/>
    <m/>
    <x v="47"/>
    <n v="2.2999999999999998"/>
    <x v="24"/>
    <n v="40960"/>
    <n v="15130"/>
    <n v="12"/>
    <n v="25830"/>
    <n v="22730.400000000001"/>
    <s v="грин01321"/>
    <x v="49"/>
  </r>
  <r>
    <s v="Акт входного контроля грин01322 от 04.10.2025 20:40:52"/>
    <n v="2071"/>
    <n v="5"/>
    <x v="7"/>
    <s v="Мудрак Игорь Вадимович"/>
    <s v="С198УЕ"/>
    <x v="23"/>
    <x v="1"/>
    <x v="5"/>
    <m/>
    <x v="47"/>
    <n v="3.6"/>
    <x v="24"/>
    <n v="65020"/>
    <n v="24160"/>
    <n v="12"/>
    <n v="40860"/>
    <n v="35956.800000000003"/>
    <s v="грин01322"/>
    <x v="49"/>
  </r>
  <r>
    <s v="Акт входного контроля грин01323 от 04.10.2025 21:49:17"/>
    <n v="2072"/>
    <n v="6"/>
    <x v="7"/>
    <s v="Емец Р.А."/>
    <s v="У315НХ"/>
    <x v="23"/>
    <x v="1"/>
    <x v="5"/>
    <m/>
    <x v="47"/>
    <n v="2.2000000000000002"/>
    <x v="24"/>
    <n v="40330"/>
    <n v="15700"/>
    <n v="6"/>
    <n v="24630"/>
    <n v="23152.2"/>
    <s v="грин01323"/>
    <x v="49"/>
  </r>
  <r>
    <s v="Акт входного контроля грин01324 от 04.10.2025 21:59:13"/>
    <n v="2073"/>
    <n v="7"/>
    <x v="7"/>
    <s v="Богучарский А. И."/>
    <s v="Е404УС"/>
    <x v="23"/>
    <x v="1"/>
    <x v="5"/>
    <m/>
    <x v="47"/>
    <n v="2.1"/>
    <x v="24"/>
    <n v="37300"/>
    <n v="13890"/>
    <n v="11"/>
    <n v="23410"/>
    <n v="20834.900000000001"/>
    <s v="грин01324"/>
    <x v="49"/>
  </r>
  <r>
    <s v="Акт входного контроля грин01325 от 05.10.2025 0:35:37"/>
    <n v="2074"/>
    <n v="13"/>
    <x v="7"/>
    <s v="Лазаренко Вячеслав Владимирович"/>
    <s v="Т239УС"/>
    <x v="23"/>
    <x v="1"/>
    <x v="5"/>
    <m/>
    <x v="47"/>
    <n v="2.2000000000000002"/>
    <x v="24"/>
    <n v="40380"/>
    <n v="14890"/>
    <n v="5"/>
    <n v="25490"/>
    <n v="24215.5"/>
    <s v="грин01325"/>
    <x v="50"/>
  </r>
  <r>
    <s v="Акт входного контроля грин01326 от 05.10.2025 0:40:34"/>
    <n v="2075"/>
    <n v="15"/>
    <x v="7"/>
    <s v="Никитась Сергей Анатольевич"/>
    <s v="К570ЕО"/>
    <x v="23"/>
    <x v="1"/>
    <x v="5"/>
    <m/>
    <x v="47"/>
    <n v="2.4"/>
    <x v="24"/>
    <n v="43210"/>
    <n v="15110"/>
    <n v="18"/>
    <n v="28100"/>
    <n v="23042"/>
    <s v="грин01326"/>
    <x v="50"/>
  </r>
  <r>
    <s v="Акт входного контроля грин01327 от 05.10.2025 2:12:46"/>
    <n v="2077"/>
    <n v="10"/>
    <x v="7"/>
    <s v="Пугачев Сергей Викторович"/>
    <s v="Р258УХ"/>
    <x v="23"/>
    <x v="1"/>
    <x v="5"/>
    <m/>
    <x v="47"/>
    <n v="2.4"/>
    <x v="24"/>
    <n v="43730"/>
    <n v="15760"/>
    <n v="8"/>
    <n v="27970"/>
    <n v="25732.400000000001"/>
    <s v="грин01327"/>
    <x v="50"/>
  </r>
  <r>
    <s v="Акт входного контроля грин01328 от 05.10.2025 2:17:13"/>
    <n v="2078"/>
    <n v="11"/>
    <x v="7"/>
    <s v="Бербеницкий Сергей Николаевич"/>
    <s v="С400РР"/>
    <x v="24"/>
    <x v="1"/>
    <x v="5"/>
    <m/>
    <x v="47"/>
    <n v="1.8"/>
    <x v="25"/>
    <n v="42740"/>
    <n v="15120"/>
    <n v="16"/>
    <n v="27620"/>
    <n v="23200.799999999999"/>
    <s v="грин01328"/>
    <x v="50"/>
  </r>
  <r>
    <s v="Акт входного контроля грин01329 от 05.10.2025 3:47:28"/>
    <n v="2079"/>
    <n v="12"/>
    <x v="7"/>
    <s v="Пищев Александр Васильевич "/>
    <s v="Т522ОН"/>
    <x v="24"/>
    <x v="1"/>
    <x v="5"/>
    <m/>
    <x v="47"/>
    <n v="2.2999999999999998"/>
    <x v="25"/>
    <n v="54350"/>
    <n v="19420"/>
    <n v="21"/>
    <n v="34930"/>
    <n v="27594.7"/>
    <s v="грин01329"/>
    <x v="50"/>
  </r>
  <r>
    <s v="Акт входного контроля грин01330 от 05.10.2025 12:02:53"/>
    <n v="2080"/>
    <n v="14"/>
    <x v="7"/>
    <s v="Кудря Евгений"/>
    <s v="А719ОО"/>
    <x v="24"/>
    <x v="1"/>
    <x v="5"/>
    <m/>
    <x v="47"/>
    <n v="1.5"/>
    <x v="25"/>
    <n v="38630"/>
    <n v="15240"/>
    <n v="26"/>
    <n v="23390"/>
    <n v="17308.599999999999"/>
    <s v="грин01330"/>
    <x v="50"/>
  </r>
  <r>
    <s v="Акт входного контроля грин01331 от 05.10.2025 7:00:03"/>
    <n v="2082"/>
    <n v="18"/>
    <x v="7"/>
    <s v="Огнев Максим Викторович"/>
    <s v="Р755НН"/>
    <x v="24"/>
    <x v="1"/>
    <x v="5"/>
    <m/>
    <x v="47"/>
    <n v="1.5"/>
    <x v="25"/>
    <n v="38520"/>
    <n v="14740"/>
    <n v="51"/>
    <n v="23780"/>
    <n v="11652.2"/>
    <s v="грин01331"/>
    <x v="50"/>
  </r>
  <r>
    <s v="Акт входного контроля грин01332 от 05.10.2025 8:39:04"/>
    <n v="2085"/>
    <n v="16"/>
    <x v="7"/>
    <s v="Блажко Алексей Николаевич"/>
    <s v="М676КО"/>
    <x v="24"/>
    <x v="1"/>
    <x v="5"/>
    <m/>
    <x v="47"/>
    <n v="2.2000000000000002"/>
    <x v="25"/>
    <n v="58110"/>
    <n v="24240"/>
    <n v="21"/>
    <n v="33870"/>
    <n v="26757.3"/>
    <s v="грин01332"/>
    <x v="50"/>
  </r>
  <r>
    <s v="Акт входного контроля грин01333 от 05.10.2025 8:34:05"/>
    <n v="2084"/>
    <n v="17"/>
    <x v="7"/>
    <s v="Дик Илья Александрович"/>
    <s v="М556ХВ"/>
    <x v="24"/>
    <x v="1"/>
    <x v="5"/>
    <m/>
    <x v="47"/>
    <n v="1.8"/>
    <x v="25"/>
    <n v="44230"/>
    <n v="15680"/>
    <n v="30"/>
    <n v="28550"/>
    <n v="19985"/>
    <s v="грин01333"/>
    <x v="50"/>
  </r>
  <r>
    <s v="Акт входного контроля грин01334 от 05.10.2025 8:51:12"/>
    <n v="2086"/>
    <n v="19"/>
    <x v="7"/>
    <s v="Майстровский В.Н."/>
    <s v="М057АО"/>
    <x v="24"/>
    <x v="1"/>
    <x v="5"/>
    <m/>
    <x v="47"/>
    <n v="1.6"/>
    <x v="25"/>
    <n v="39990"/>
    <n v="14650"/>
    <n v="28"/>
    <n v="25340"/>
    <n v="18244.8"/>
    <s v="грин01334"/>
    <x v="50"/>
  </r>
  <r>
    <s v="Акт входного контроля грин01335 от 05.10.2025 9:20:30"/>
    <n v="2087"/>
    <n v="20"/>
    <x v="7"/>
    <s v="Долгих Николай Петрович"/>
    <s v="У726ЕР"/>
    <x v="24"/>
    <x v="1"/>
    <x v="5"/>
    <m/>
    <x v="47"/>
    <n v="1.6"/>
    <x v="25"/>
    <n v="39750"/>
    <n v="14980"/>
    <n v="12"/>
    <n v="24770"/>
    <n v="21797.599999999999"/>
    <s v="грин01335"/>
    <x v="50"/>
  </r>
  <r>
    <s v="Акт входного контроля грин01336 от 05.10.2025 13:31:49"/>
    <n v="2092"/>
    <n v="1"/>
    <x v="7"/>
    <s v="Черевко Александр Владимирович"/>
    <s v="А114МК"/>
    <x v="25"/>
    <x v="14"/>
    <x v="5"/>
    <m/>
    <x v="48"/>
    <n v="1.5"/>
    <x v="26"/>
    <n v="38960"/>
    <n v="14640"/>
    <n v="11"/>
    <n v="24320"/>
    <n v="21644.799999999999"/>
    <s v="грин01336"/>
    <x v="50"/>
  </r>
  <r>
    <s v="Акт входного контроля грин01337 от 05.10.2025 14:38:05"/>
    <n v="2094"/>
    <n v="8"/>
    <x v="7"/>
    <s v="Рудик Александр Иванович"/>
    <s v="А309АТ"/>
    <x v="25"/>
    <x v="14"/>
    <x v="5"/>
    <m/>
    <x v="48"/>
    <n v="1.6"/>
    <x v="26"/>
    <n v="40580"/>
    <n v="14900"/>
    <n v="11"/>
    <n v="25680"/>
    <n v="22855.200000000001"/>
    <s v="грин01337"/>
    <x v="50"/>
  </r>
  <r>
    <s v="Акт входного контроля грин01338 от 05.10.2025 16:01:15"/>
    <n v="2095"/>
    <n v="9"/>
    <x v="7"/>
    <s v="Мудрак Вадим Васильевич"/>
    <s v="Х514ОК"/>
    <x v="25"/>
    <x v="14"/>
    <x v="5"/>
    <m/>
    <x v="48"/>
    <n v="2.7"/>
    <x v="26"/>
    <n v="63510"/>
    <n v="21300"/>
    <n v="10"/>
    <n v="42210"/>
    <n v="37989"/>
    <s v="грин01338"/>
    <x v="50"/>
  </r>
  <r>
    <s v="Акт входного контроля грин01339 от 05.10.2025 20:21:34"/>
    <n v="2102"/>
    <n v="7776"/>
    <x v="8"/>
    <s v="Ховятский АМ"/>
    <s v="Р684ОХ"/>
    <x v="26"/>
    <x v="1"/>
    <x v="6"/>
    <m/>
    <x v="48"/>
    <n v="1.5"/>
    <x v="27"/>
    <n v="40310"/>
    <n v="14620"/>
    <n v="11"/>
    <n v="25690"/>
    <n v="22864.1"/>
    <s v="грин01339"/>
    <x v="50"/>
  </r>
  <r>
    <s v="Акт входного контроля грин01340 от 05.10.2025 16:45:18"/>
    <n v="2096"/>
    <n v="2"/>
    <x v="7"/>
    <s v="Сероштан Станислав Викторович"/>
    <s v="Е758РЕ"/>
    <x v="25"/>
    <x v="14"/>
    <x v="5"/>
    <m/>
    <x v="48"/>
    <n v="1.6"/>
    <x v="26"/>
    <n v="39540"/>
    <n v="14900"/>
    <n v="18"/>
    <n v="24640"/>
    <n v="20204.8"/>
    <s v="грин01340"/>
    <x v="50"/>
  </r>
  <r>
    <s v="Акт входного контроля грин01341 от 05.10.2025 18:44:48"/>
    <n v="2097"/>
    <n v="3"/>
    <x v="7"/>
    <s v="Егоян Артем Владимирович"/>
    <s v="А701СН"/>
    <x v="25"/>
    <x v="14"/>
    <x v="5"/>
    <m/>
    <x v="48"/>
    <n v="1.7"/>
    <x v="26"/>
    <n v="41540"/>
    <n v="15150"/>
    <n v="7"/>
    <n v="26390"/>
    <n v="24542.7"/>
    <s v="грин01341"/>
    <x v="50"/>
  </r>
  <r>
    <s v="Акт входного контроля грин01342 от 05.10.2025 18:51:35"/>
    <n v="2098"/>
    <n v="4"/>
    <x v="7"/>
    <s v="Пугачев Сергей Викторович"/>
    <s v="Р258УХ"/>
    <x v="25"/>
    <x v="14"/>
    <x v="5"/>
    <m/>
    <x v="48"/>
    <n v="1.7"/>
    <x v="26"/>
    <n v="42660"/>
    <n v="15800"/>
    <n v="13"/>
    <n v="26860"/>
    <n v="23368.2"/>
    <s v="грин01342"/>
    <x v="50"/>
  </r>
  <r>
    <s v="Акт входного контроля грин01343 от 05.10.2025 19:24:10"/>
    <n v="2099"/>
    <n v="7"/>
    <x v="7"/>
    <s v="Фомин Николай Григорьевич"/>
    <s v="А731ВА"/>
    <x v="25"/>
    <x v="14"/>
    <x v="5"/>
    <m/>
    <x v="48"/>
    <n v="1.5"/>
    <x v="26"/>
    <n v="39450"/>
    <n v="15010"/>
    <n v="16"/>
    <n v="24440"/>
    <n v="20529.599999999999"/>
    <s v="грин01343"/>
    <x v="50"/>
  </r>
  <r>
    <s v="Акт входного контроля грин01344 от 05.10.2025 20:11:46"/>
    <n v="2100"/>
    <n v="5"/>
    <x v="7"/>
    <s v="Лазаренко Вячеслав Владимирович"/>
    <s v="Т239УС"/>
    <x v="25"/>
    <x v="14"/>
    <x v="5"/>
    <m/>
    <x v="48"/>
    <n v="1.6"/>
    <x v="26"/>
    <n v="40810"/>
    <n v="15010"/>
    <n v="8"/>
    <n v="25800"/>
    <n v="23736"/>
    <s v="грин01344"/>
    <x v="50"/>
  </r>
  <r>
    <s v="Акт входного контроля грин01345 от 05.10.2025 20:16:43"/>
    <n v="2101"/>
    <n v="6"/>
    <x v="7"/>
    <s v="Никитась Сергей Анатольевич"/>
    <s v="К570ЕО"/>
    <x v="25"/>
    <x v="14"/>
    <x v="5"/>
    <m/>
    <x v="48"/>
    <n v="1.7"/>
    <x v="26"/>
    <n v="42010"/>
    <n v="15260"/>
    <n v="8"/>
    <n v="26750"/>
    <n v="24610"/>
    <s v="грин01345"/>
    <x v="50"/>
  </r>
  <r>
    <s v="Акт входного контроля грин01346 от 06.10.2025 11:36:57"/>
    <n v="2107"/>
    <n v="12"/>
    <x v="7"/>
    <s v="Кудря Евгений"/>
    <s v="А719ОО"/>
    <x v="25"/>
    <x v="14"/>
    <x v="5"/>
    <m/>
    <x v="48"/>
    <n v="1.6"/>
    <x v="26"/>
    <n v="40000"/>
    <n v="15290"/>
    <n v="22"/>
    <n v="24710"/>
    <n v="19273.8"/>
    <s v="грин01346"/>
    <x v="51"/>
  </r>
  <r>
    <s v="Акт входного контроля грин01347 от 05.10.2025 23:24:29"/>
    <n v="2105"/>
    <n v="11"/>
    <x v="7"/>
    <s v="Бербеницкий Сергей Николаевич"/>
    <s v="С400РР"/>
    <x v="25"/>
    <x v="14"/>
    <x v="5"/>
    <m/>
    <x v="48"/>
    <n v="1.7"/>
    <x v="26"/>
    <n v="42790"/>
    <n v="15190"/>
    <n v="9"/>
    <n v="27600"/>
    <n v="25116"/>
    <s v="грин01347"/>
    <x v="50"/>
  </r>
  <r>
    <s v="Акт входного контроля грин01348 от 05.10.2025 22:04:06"/>
    <n v="2104"/>
    <n v="10"/>
    <x v="7"/>
    <s v="Мудрак Игорь Вадимович"/>
    <s v="С198УЕ"/>
    <x v="25"/>
    <x v="14"/>
    <x v="5"/>
    <m/>
    <x v="48"/>
    <n v="2.6"/>
    <x v="26"/>
    <n v="65350"/>
    <n v="24070"/>
    <n v="8"/>
    <n v="41280"/>
    <n v="37977.599999999999"/>
    <s v="грин01348"/>
    <x v="50"/>
  </r>
  <r>
    <s v="Акт входного контроля грин01349 от 06.10.2025 13:27:02"/>
    <n v="2108"/>
    <n v="13"/>
    <x v="7"/>
    <s v="Пищев Александр Васильевич "/>
    <s v="Т522ОН"/>
    <x v="25"/>
    <x v="14"/>
    <x v="5"/>
    <m/>
    <x v="48"/>
    <n v="2.1"/>
    <x v="26"/>
    <n v="53310"/>
    <n v="19420"/>
    <n v="7"/>
    <n v="33890"/>
    <n v="31517.7"/>
    <s v="грин01349"/>
    <x v="51"/>
  </r>
  <r>
    <s v="Акт входного контроля грин01350 от 06.10.2025 14:30:46"/>
    <n v="2109"/>
    <n v="14"/>
    <x v="7"/>
    <s v="Блажко Алексей Николаевич"/>
    <s v="М676КО"/>
    <x v="25"/>
    <x v="14"/>
    <x v="5"/>
    <m/>
    <x v="48"/>
    <n v="2.1"/>
    <x v="26"/>
    <n v="57980"/>
    <n v="24220"/>
    <n v="12"/>
    <n v="33760"/>
    <n v="29708.799999999999"/>
    <s v="грин01350"/>
    <x v="51"/>
  </r>
  <r>
    <s v="Акт входного контроля грин01351 от 06.10.2025 14:51:55"/>
    <n v="2110"/>
    <n v="15"/>
    <x v="7"/>
    <s v="Дик Илья Александрович"/>
    <s v="М556ХВ"/>
    <x v="25"/>
    <x v="14"/>
    <x v="5"/>
    <m/>
    <x v="48"/>
    <n v="1.8"/>
    <x v="26"/>
    <n v="44690"/>
    <n v="15670"/>
    <n v="11"/>
    <n v="29020"/>
    <n v="25827.8"/>
    <s v="грин01351"/>
    <x v="51"/>
  </r>
  <r>
    <s v="Акт входного контроля грин01352 от 06.10.2025 15:57:16"/>
    <n v="2111"/>
    <n v="16"/>
    <x v="7"/>
    <s v="Огнев Максим Викторович"/>
    <s v="Р755НН"/>
    <x v="25"/>
    <x v="14"/>
    <x v="5"/>
    <m/>
    <x v="48"/>
    <n v="1.5"/>
    <x v="26"/>
    <n v="39120"/>
    <n v="14710"/>
    <n v="12"/>
    <n v="24410"/>
    <n v="21480.799999999999"/>
    <s v="грин01352"/>
    <x v="51"/>
  </r>
  <r>
    <s v="Акт входного контроля грин01353 от 06.10.2025 18:10:13"/>
    <n v="2113"/>
    <n v="17"/>
    <x v="7"/>
    <s v="Майстровский В.Н."/>
    <s v="М057АО"/>
    <x v="25"/>
    <x v="14"/>
    <x v="5"/>
    <m/>
    <x v="48"/>
    <n v="1.6"/>
    <x v="26"/>
    <n v="39800"/>
    <n v="14640"/>
    <n v="15"/>
    <n v="25160"/>
    <n v="21386"/>
    <s v="грин01353"/>
    <x v="51"/>
  </r>
  <r>
    <s v="Акт входного контроля грин01354 от 06.10.2025 18:13:30"/>
    <n v="2114"/>
    <n v="18"/>
    <x v="7"/>
    <s v="Долгих Николай Петрович"/>
    <s v="У726ЕР"/>
    <x v="25"/>
    <x v="14"/>
    <x v="5"/>
    <m/>
    <x v="48"/>
    <n v="1.7"/>
    <x v="26"/>
    <n v="39980"/>
    <n v="15230"/>
    <n v="9"/>
    <n v="24750"/>
    <n v="22522.5"/>
    <s v="грин01354"/>
    <x v="51"/>
  </r>
  <r>
    <s v="Акт входного контроля грин01355 от 06.10.2025 19:14:05"/>
    <n v="2115"/>
    <n v="19"/>
    <x v="7"/>
    <s v="Гужва А М."/>
    <s v="Т285ВЕ"/>
    <x v="25"/>
    <x v="15"/>
    <x v="5"/>
    <m/>
    <x v="48"/>
    <n v="3.4"/>
    <x v="26"/>
    <n v="37540"/>
    <n v="14980"/>
    <n v="15"/>
    <n v="22560"/>
    <n v="19176"/>
    <s v="грин01355"/>
    <x v="51"/>
  </r>
  <r>
    <s v="Акт входного контроля грин01356 от 06.10.2025 20:29:30"/>
    <n v="2116"/>
    <n v="20"/>
    <x v="7"/>
    <s v="Жданов Андрей Иванович"/>
    <s v="С707ОУ"/>
    <x v="25"/>
    <x v="15"/>
    <x v="5"/>
    <m/>
    <x v="48"/>
    <n v="3.2"/>
    <x v="26"/>
    <n v="35640"/>
    <n v="14560"/>
    <n v="9"/>
    <n v="21080"/>
    <n v="19182.8"/>
    <s v="грин01356"/>
    <x v="51"/>
  </r>
  <r>
    <s v="Акт входного контроля грин01357 от 06.10.2025 21:15:07"/>
    <n v="2120"/>
    <n v="21"/>
    <x v="7"/>
    <s v="Емец Р.А."/>
    <s v="У315НХ"/>
    <x v="25"/>
    <x v="15"/>
    <x v="5"/>
    <m/>
    <x v="48"/>
    <n v="4"/>
    <x v="26"/>
    <n v="42180"/>
    <n v="15570"/>
    <n v="7"/>
    <n v="26610"/>
    <n v="24747.3"/>
    <s v="грин01357"/>
    <x v="51"/>
  </r>
  <r>
    <s v="Акт входного контроля грин01358 от 06.10.2025 22:39:23"/>
    <n v="2131"/>
    <n v="7810"/>
    <x v="8"/>
    <s v="Мудрак Вадим Васильевич"/>
    <s v="Х514ОК"/>
    <x v="26"/>
    <x v="1"/>
    <x v="6"/>
    <m/>
    <x v="49"/>
    <n v="2.5"/>
    <x v="27"/>
    <n v="62860"/>
    <n v="21250"/>
    <n v="1"/>
    <n v="41610"/>
    <n v="41193.9"/>
    <s v="грин01358"/>
    <x v="51"/>
  </r>
  <r>
    <s v="Акт входного контроля грин01359 от 06.10.2025 23:46:15"/>
    <n v="2132"/>
    <n v="7811"/>
    <x v="8"/>
    <s v="Сотников Сергей Кириллович"/>
    <s v="Т443МВ"/>
    <x v="26"/>
    <x v="1"/>
    <x v="6"/>
    <m/>
    <x v="49"/>
    <n v="1.7"/>
    <x v="27"/>
    <n v="43480"/>
    <n v="15890"/>
    <n v="4"/>
    <n v="27590"/>
    <n v="26486.400000000001"/>
    <s v="грин01359"/>
    <x v="51"/>
  </r>
  <r>
    <s v="Акт входного контроля грин01360 от 06.10.2025 17:25:25"/>
    <n v="2133"/>
    <n v="7812"/>
    <x v="8"/>
    <s v="Рыбалкин АН"/>
    <s v="Р687УК"/>
    <x v="26"/>
    <x v="1"/>
    <x v="6"/>
    <m/>
    <x v="49"/>
    <n v="1.6"/>
    <x v="27"/>
    <n v="42180"/>
    <n v="16120"/>
    <n v="5"/>
    <n v="26060"/>
    <n v="24757"/>
    <s v="грин01360"/>
    <x v="51"/>
  </r>
  <r>
    <s v="Акт входного контроля грин01361 от 06.10.2025 18:27:31"/>
    <n v="2135"/>
    <n v="7814"/>
    <x v="8"/>
    <s v="Данильченко Ю.А."/>
    <s v="Р347КА"/>
    <x v="26"/>
    <x v="1"/>
    <x v="6"/>
    <m/>
    <x v="49"/>
    <n v="1.6"/>
    <x v="27"/>
    <n v="41270"/>
    <n v="14960"/>
    <n v="5"/>
    <n v="26310"/>
    <n v="24994.5"/>
    <s v="грин01361"/>
    <x v="51"/>
  </r>
  <r>
    <s v="Акт входного контроля грин01362 от 06.10.2025 19:43:47"/>
    <n v="2136"/>
    <n v="7815"/>
    <x v="8"/>
    <s v="Бондаренко Николай Николаевич"/>
    <s v="А315МК"/>
    <x v="26"/>
    <x v="1"/>
    <x v="6"/>
    <m/>
    <x v="49"/>
    <n v="1.4"/>
    <x v="27"/>
    <n v="36090"/>
    <n v="13980"/>
    <n v="5"/>
    <n v="22110"/>
    <n v="21004.5"/>
    <s v="грин01362"/>
    <x v="51"/>
  </r>
  <r>
    <s v="Акт входного контроля грин01363 от 06.10.2025 23:09:37"/>
    <n v="2139"/>
    <n v="7823"/>
    <x v="8"/>
    <s v="Сероштан Станислав Викторович"/>
    <s v="Е758РЕ"/>
    <x v="26"/>
    <x v="1"/>
    <x v="6"/>
    <m/>
    <x v="49"/>
    <n v="1.4"/>
    <x v="27"/>
    <n v="37970"/>
    <n v="14720"/>
    <n v="4"/>
    <n v="23250"/>
    <n v="22320"/>
    <s v="грин01363"/>
    <x v="51"/>
  </r>
  <r>
    <s v="Акт входного контроля грин01364 от 06.10.2025 23:13:08"/>
    <n v="2140"/>
    <n v="7824"/>
    <x v="8"/>
    <s v="Черевко Александр Владимирович"/>
    <s v="А114МК"/>
    <x v="26"/>
    <x v="1"/>
    <x v="6"/>
    <m/>
    <x v="49"/>
    <n v="1.4"/>
    <x v="27"/>
    <n v="37130"/>
    <n v="14560"/>
    <n v="4"/>
    <n v="22570"/>
    <n v="21667.200000000001"/>
    <s v="грин01364"/>
    <x v="51"/>
  </r>
  <r>
    <s v="Акт входного контроля грин01365 от 07.10.2025 4:16:14"/>
    <n v="2142"/>
    <n v="7829"/>
    <x v="8"/>
    <s v="Чернышов Александр Павлович"/>
    <s v="М704ТС"/>
    <x v="26"/>
    <x v="1"/>
    <x v="6"/>
    <m/>
    <x v="49"/>
    <n v="1.5"/>
    <x v="27"/>
    <n v="40780"/>
    <n v="16330"/>
    <n v="6"/>
    <n v="24450"/>
    <n v="22983"/>
    <s v="грин01365"/>
    <x v="52"/>
  </r>
  <r>
    <s v="Акт входного контроля грин01366 от 07.10.2025 5:08:23"/>
    <n v="2143"/>
    <n v="7828"/>
    <x v="8"/>
    <s v="Пугачев Сергей Викторович"/>
    <s v="Р258УХ"/>
    <x v="26"/>
    <x v="1"/>
    <x v="6"/>
    <m/>
    <x v="49"/>
    <n v="1.7"/>
    <x v="27"/>
    <n v="42870"/>
    <n v="15700"/>
    <n v="5"/>
    <n v="27170"/>
    <n v="25811.5"/>
    <s v="грин01366"/>
    <x v="52"/>
  </r>
  <r>
    <s v="Акт входного контроля грин01367 от 07.10.2025 6:41:28"/>
    <n v="2144"/>
    <n v="7776"/>
    <x v="8"/>
    <s v="Ховятский АМ"/>
    <s v="Р684ОХ"/>
    <x v="26"/>
    <x v="1"/>
    <x v="6"/>
    <m/>
    <x v="49"/>
    <n v="1.5"/>
    <x v="27"/>
    <n v="39200"/>
    <n v="14380"/>
    <n v="7"/>
    <n v="24820"/>
    <n v="23082.6"/>
    <s v="грин01367"/>
    <x v="52"/>
  </r>
  <r>
    <s v="Акт входного контроля грин01368 от 07.10.2025 6:52:30"/>
    <n v="2145"/>
    <n v="7843"/>
    <x v="8"/>
    <s v="Бербеницкий Сергей Николаевич"/>
    <s v="С400РР"/>
    <x v="26"/>
    <x v="1"/>
    <x v="6"/>
    <m/>
    <x v="49"/>
    <n v="1.7"/>
    <x v="27"/>
    <n v="42760"/>
    <n v="15080"/>
    <n v="6"/>
    <n v="27680"/>
    <n v="26019.200000000001"/>
    <s v="грин01368"/>
    <x v="52"/>
  </r>
  <r>
    <s v="Акт входного контроля грин01369 от 07.10.2025 9:29:45"/>
    <n v="2147"/>
    <n v="7847"/>
    <x v="8"/>
    <s v="Глушенко Александр Иванович"/>
    <s v="Н735ВК"/>
    <x v="26"/>
    <x v="1"/>
    <x v="6"/>
    <m/>
    <x v="49"/>
    <n v="1.5"/>
    <x v="27"/>
    <n v="41170"/>
    <n v="16480"/>
    <n v="6"/>
    <n v="24690"/>
    <n v="23208.6"/>
    <s v="грин01369"/>
    <x v="52"/>
  </r>
  <r>
    <s v="Акт входного контроля грин01370 от 07.10.2025 9:52:54"/>
    <n v="2148"/>
    <n v="7848"/>
    <x v="8"/>
    <s v="Веревкин Андрей Александрович"/>
    <s v="Н234ВК"/>
    <x v="26"/>
    <x v="1"/>
    <x v="6"/>
    <m/>
    <x v="49"/>
    <n v="1.5"/>
    <x v="27"/>
    <n v="41130"/>
    <n v="16370"/>
    <n v="4"/>
    <n v="24760"/>
    <n v="23769.599999999999"/>
    <s v="грин01370"/>
    <x v="52"/>
  </r>
  <r>
    <s v="Акт входного контроля грин01371 от 07.10.2025 14:35:19"/>
    <n v="2156"/>
    <n v="1"/>
    <x v="7"/>
    <s v="Мудрак Игорь Вадимович"/>
    <s v="С198УЕ"/>
    <x v="24"/>
    <x v="1"/>
    <x v="5"/>
    <m/>
    <x v="50"/>
    <n v="2.6"/>
    <x v="25"/>
    <n v="64650"/>
    <n v="24150"/>
    <n v="4"/>
    <n v="40500"/>
    <n v="38880"/>
    <s v="грин01371"/>
    <x v="52"/>
  </r>
  <r>
    <s v="Акт входного контроля грин01372 от 07.10.2025 14:45:19"/>
    <n v="2157"/>
    <n v="2"/>
    <x v="7"/>
    <s v="Егоян Артем Владимирович"/>
    <s v="А701СН"/>
    <x v="24"/>
    <x v="1"/>
    <x v="5"/>
    <m/>
    <x v="50"/>
    <n v="1.7"/>
    <x v="25"/>
    <n v="40870"/>
    <n v="15130"/>
    <n v="6"/>
    <n v="25740"/>
    <n v="24195.599999999999"/>
    <s v="грин01372"/>
    <x v="52"/>
  </r>
  <r>
    <s v="Акт входного контроля грин01373 от 07.10.2025 15:33:10"/>
    <n v="2159"/>
    <n v="3"/>
    <x v="7"/>
    <s v="Рудик Александр Иванович"/>
    <s v="А309АТ"/>
    <x v="24"/>
    <x v="1"/>
    <x v="5"/>
    <m/>
    <x v="50"/>
    <n v="1.7"/>
    <x v="25"/>
    <n v="40600"/>
    <n v="14960"/>
    <n v="9"/>
    <n v="25640"/>
    <n v="23332.400000000001"/>
    <s v="грин01373"/>
    <x v="52"/>
  </r>
  <r>
    <s v="Акт входного контроля грин01374 от 07.10.2025 17:50:09"/>
    <n v="2164"/>
    <n v="4"/>
    <x v="7"/>
    <s v="Дик Илья Александрович"/>
    <s v="М556ХВ"/>
    <x v="24"/>
    <x v="1"/>
    <x v="5"/>
    <m/>
    <x v="50"/>
    <n v="1.9"/>
    <x v="25"/>
    <n v="45180"/>
    <n v="15840"/>
    <n v="5"/>
    <n v="29340"/>
    <n v="27873"/>
    <s v="грин01374"/>
    <x v="52"/>
  </r>
  <r>
    <s v="Акт входного контроля грин01375 от 07.10.2025 17:55:49"/>
    <n v="2165"/>
    <n v="5"/>
    <x v="7"/>
    <s v="Чернецов Александр Михайлович"/>
    <s v="Р866РМ"/>
    <x v="24"/>
    <x v="1"/>
    <x v="5"/>
    <m/>
    <x v="50"/>
    <n v="1.9"/>
    <x v="25"/>
    <n v="44360"/>
    <n v="15080"/>
    <n v="10"/>
    <n v="29280"/>
    <n v="26352"/>
    <s v="грин01375"/>
    <x v="52"/>
  </r>
  <r>
    <s v="Акт входного контроля грин01376 от 07.10.2025 18:29:24"/>
    <n v="2166"/>
    <n v="6"/>
    <x v="7"/>
    <s v="Ушаков С Е."/>
    <s v="О212РТ"/>
    <x v="24"/>
    <x v="1"/>
    <x v="5"/>
    <m/>
    <x v="50"/>
    <n v="1.6"/>
    <x v="25"/>
    <n v="39660"/>
    <n v="14410"/>
    <n v="14"/>
    <n v="25250"/>
    <n v="21715"/>
    <s v="грин01376"/>
    <x v="52"/>
  </r>
  <r>
    <s v="Акт входного контроля грин01377 от 07.10.2025 19:26:08"/>
    <n v="2169"/>
    <n v="7"/>
    <x v="7"/>
    <s v="Пищев Александр Васильевич "/>
    <s v="Т522ОН"/>
    <x v="24"/>
    <x v="1"/>
    <x v="5"/>
    <m/>
    <x v="50"/>
    <n v="2.1"/>
    <x v="25"/>
    <n v="51660"/>
    <n v="19570"/>
    <n v="8"/>
    <n v="32090"/>
    <n v="29522.799999999999"/>
    <s v="грин01377"/>
    <x v="52"/>
  </r>
  <r>
    <s v="Акт входного контроля грин01378 от 07.10.2025 21:16:58"/>
    <n v="2170"/>
    <n v="8"/>
    <x v="7"/>
    <s v="Огнев Максим Викторович"/>
    <s v="Р755НН"/>
    <x v="24"/>
    <x v="1"/>
    <x v="5"/>
    <m/>
    <x v="50"/>
    <n v="1.6"/>
    <x v="25"/>
    <n v="40270"/>
    <n v="14800"/>
    <n v="15"/>
    <n v="25470"/>
    <n v="21649.5"/>
    <s v="грин01378"/>
    <x v="52"/>
  </r>
  <r>
    <s v="Акт входного контроля грин01379 от 07.10.2025 21:20:37"/>
    <n v="2172"/>
    <n v="9"/>
    <x v="7"/>
    <s v="Аладин Василий Сергеевич"/>
    <s v="Т110ТМ"/>
    <x v="24"/>
    <x v="1"/>
    <x v="5"/>
    <m/>
    <x v="50"/>
    <n v="1.5"/>
    <x v="25"/>
    <n v="38530"/>
    <n v="14940"/>
    <n v="7"/>
    <n v="23590"/>
    <n v="21938.7"/>
    <s v="грин01379"/>
    <x v="52"/>
  </r>
  <r>
    <s v="Акт входного контроля грин01380 от 07.10.2025 21:31:07"/>
    <n v="2174"/>
    <n v="10"/>
    <x v="7"/>
    <s v="Майстровский В.Н."/>
    <s v="М057АО"/>
    <x v="24"/>
    <x v="1"/>
    <x v="5"/>
    <m/>
    <x v="50"/>
    <n v="1.7"/>
    <x v="25"/>
    <n v="40510"/>
    <n v="14550"/>
    <n v="12"/>
    <n v="25960"/>
    <n v="22844.799999999999"/>
    <s v="грин01380"/>
    <x v="52"/>
  </r>
  <r>
    <s v="Акт входного контроля грин01381 от 07.10.2025 19:37:43"/>
    <n v="2175"/>
    <n v="12"/>
    <x v="7"/>
    <s v="Магадиев Александр Сайлаувич"/>
    <s v="У184НО"/>
    <x v="24"/>
    <x v="1"/>
    <x v="5"/>
    <m/>
    <x v="50"/>
    <n v="1.5"/>
    <x v="25"/>
    <n v="37170"/>
    <n v="14570"/>
    <n v="8"/>
    <n v="22600"/>
    <n v="20792"/>
    <s v="грин01381"/>
    <x v="52"/>
  </r>
  <r>
    <s v="Акт входного контроля грин01382 от 07.10.2025 19:44:53"/>
    <n v="2176"/>
    <n v="11"/>
    <x v="7"/>
    <s v="Долгих Николай Петрович"/>
    <s v="У726ЕР"/>
    <x v="24"/>
    <x v="1"/>
    <x v="5"/>
    <m/>
    <x v="50"/>
    <n v="1.6"/>
    <x v="25"/>
    <n v="39720"/>
    <n v="15120"/>
    <n v="16"/>
    <n v="24600"/>
    <n v="20664"/>
    <s v="грин01382"/>
    <x v="52"/>
  </r>
  <r>
    <s v="Акт входного контроля грин01383 от 07.10.2025 20:30:53"/>
    <n v="2177"/>
    <n v="13"/>
    <x v="7"/>
    <s v="Кулинич Евгений Владимирович"/>
    <s v="У801СТ"/>
    <x v="24"/>
    <x v="1"/>
    <x v="5"/>
    <m/>
    <x v="50"/>
    <n v="1.6"/>
    <x v="25"/>
    <n v="39490"/>
    <n v="15120"/>
    <n v="15"/>
    <n v="24370"/>
    <n v="20714.5"/>
    <s v="грин01383"/>
    <x v="52"/>
  </r>
  <r>
    <s v="Акт входного контроля грин01384 от 07.10.2025 22:37:49"/>
    <n v="2179"/>
    <n v="14"/>
    <x v="7"/>
    <s v="Блажко Алексей Николаевич"/>
    <s v="М676КО"/>
    <x v="24"/>
    <x v="1"/>
    <x v="5"/>
    <m/>
    <x v="50"/>
    <n v="2.6"/>
    <x v="25"/>
    <n v="64150"/>
    <n v="24560"/>
    <n v="17"/>
    <n v="39590"/>
    <n v="32859.699999999997"/>
    <s v="грин01384"/>
    <x v="52"/>
  </r>
  <r>
    <s v="Акт входного контроля грин01385 от 07.10.2025 23:36:27"/>
    <n v="2180"/>
    <n v="15"/>
    <x v="7"/>
    <s v="Мудрак Вадим Васильевич"/>
    <s v="Х514ОК"/>
    <x v="24"/>
    <x v="1"/>
    <x v="5"/>
    <m/>
    <x v="50"/>
    <n v="2.7"/>
    <x v="25"/>
    <n v="62530"/>
    <n v="21380"/>
    <n v="20"/>
    <n v="41150"/>
    <n v="32920"/>
    <s v="грин01385"/>
    <x v="52"/>
  </r>
  <r>
    <s v="Акт входного контроля грин01386 от 08.10.2025 3:22:19"/>
    <n v="2181"/>
    <n v="16"/>
    <x v="7"/>
    <s v="Титаренко Максим Сергеевич"/>
    <s v="О398ХО"/>
    <x v="24"/>
    <x v="1"/>
    <x v="5"/>
    <m/>
    <x v="50"/>
    <n v="1.4"/>
    <x v="25"/>
    <n v="36870"/>
    <n v="14780"/>
    <n v="19"/>
    <n v="22090"/>
    <n v="17892.900000000001"/>
    <s v="грин01386"/>
    <x v="53"/>
  </r>
  <r>
    <s v="Акт входного контроля грин01387 от 08.10.2025 4:11:08"/>
    <n v="2182"/>
    <n v="17"/>
    <x v="7"/>
    <s v="Пугачев Сергей Викторович"/>
    <s v="Р258УХ"/>
    <x v="24"/>
    <x v="1"/>
    <x v="5"/>
    <m/>
    <x v="50"/>
    <n v="1.7"/>
    <x v="25"/>
    <n v="41690"/>
    <n v="15810"/>
    <n v="9"/>
    <n v="25880"/>
    <n v="23550.799999999999"/>
    <s v="грин01387"/>
    <x v="53"/>
  </r>
  <r>
    <s v="Акт входного контроля грин01388 от 08.10.2025 7:36:28"/>
    <n v="2184"/>
    <n v="18"/>
    <x v="7"/>
    <s v="Бербеницкий Сергей Николаевич"/>
    <s v="С400РР"/>
    <x v="24"/>
    <x v="1"/>
    <x v="5"/>
    <m/>
    <x v="50"/>
    <n v="1.7"/>
    <x v="25"/>
    <n v="41670"/>
    <n v="15240"/>
    <n v="22"/>
    <n v="26430"/>
    <n v="20615.400000000001"/>
    <s v="грин01388"/>
    <x v="53"/>
  </r>
  <r>
    <s v="Акт входного контроля грин01389 от 08.10.2025 9:59:03"/>
    <n v="2185"/>
    <n v="19"/>
    <x v="7"/>
    <s v="Сероштан Станислав Викторович"/>
    <s v="Е758РЕ"/>
    <x v="24"/>
    <x v="1"/>
    <x v="5"/>
    <m/>
    <x v="50"/>
    <n v="1.6"/>
    <x v="25"/>
    <n v="39650"/>
    <n v="14830"/>
    <n v="16"/>
    <n v="24820"/>
    <n v="20848.8"/>
    <s v="грин01389"/>
    <x v="53"/>
  </r>
  <r>
    <s v="Акт входного контроля грин01390 от 08.10.2025 10:27:38"/>
    <n v="2186"/>
    <n v="21"/>
    <x v="7"/>
    <s v="Жданов Андрей Иванович"/>
    <s v="С707ОУ"/>
    <x v="24"/>
    <x v="1"/>
    <x v="5"/>
    <m/>
    <x v="50"/>
    <n v="1.3"/>
    <x v="25"/>
    <n v="34960"/>
    <n v="14490"/>
    <n v="24"/>
    <n v="20470"/>
    <n v="15557.2"/>
    <s v="грин01390"/>
    <x v="53"/>
  </r>
  <r>
    <s v="Акт входного контроля грин01391 от 08.10.2025 10:58:04"/>
    <n v="2188"/>
    <n v="20"/>
    <x v="7"/>
    <s v="Черевко Александр Владимирович"/>
    <s v="А114МК"/>
    <x v="24"/>
    <x v="1"/>
    <x v="5"/>
    <m/>
    <x v="50"/>
    <n v="1.2"/>
    <x v="25"/>
    <n v="36690"/>
    <n v="14680"/>
    <n v="12"/>
    <n v="22010"/>
    <n v="19368.8"/>
    <s v="грин01391"/>
    <x v="53"/>
  </r>
  <r>
    <s v="Акт входного контроля грин01392 от 08.10.2025 11:51:19"/>
    <n v="2187"/>
    <n v="22"/>
    <x v="7"/>
    <s v="Гужва А М."/>
    <s v="Т285ВЕ"/>
    <x v="25"/>
    <x v="15"/>
    <x v="5"/>
    <m/>
    <x v="50"/>
    <n v="3.4"/>
    <x v="26"/>
    <n v="37310"/>
    <n v="14970"/>
    <n v="13"/>
    <n v="22340"/>
    <n v="19435.8"/>
    <s v="грин01392"/>
    <x v="53"/>
  </r>
  <r>
    <s v="Акт входного контроля грин01393 от 08.10.2025 12:47:02"/>
    <n v="2189"/>
    <n v="23"/>
    <x v="7"/>
    <s v="Богучарский А. И."/>
    <s v="Е404УС"/>
    <x v="25"/>
    <x v="15"/>
    <x v="5"/>
    <m/>
    <x v="50"/>
    <n v="3.5"/>
    <x v="26"/>
    <n v="36970"/>
    <n v="13930"/>
    <n v="18"/>
    <n v="23040"/>
    <n v="18892.8"/>
    <s v="грин01393"/>
    <x v="53"/>
  </r>
  <r>
    <s v="Акт входного контроля грин01394 от 08.10.2025 14:40:29"/>
    <n v="2191"/>
    <n v="24"/>
    <x v="7"/>
    <s v="Фомин Николай Григорьевич"/>
    <s v="А731ВА"/>
    <x v="25"/>
    <x v="15"/>
    <x v="5"/>
    <m/>
    <x v="50"/>
    <n v="3.7"/>
    <x v="26"/>
    <n v="39190"/>
    <n v="15110"/>
    <n v="9"/>
    <n v="24080"/>
    <n v="21912.799999999999"/>
    <s v="грин01394"/>
    <x v="53"/>
  </r>
  <r>
    <s v="Акт входного контроля грин01395 от 08.10.2025 15:29:42"/>
    <n v="2192"/>
    <n v="25"/>
    <x v="7"/>
    <s v="Рудик Александр Иванович"/>
    <s v="А309АТ"/>
    <x v="25"/>
    <x v="15"/>
    <x v="5"/>
    <m/>
    <x v="50"/>
    <n v="4.0999999999999996"/>
    <x v="26"/>
    <n v="42070"/>
    <n v="14900"/>
    <n v="9"/>
    <n v="27170"/>
    <n v="24724.7"/>
    <s v="грин01395"/>
    <x v="53"/>
  </r>
  <r>
    <s v="Акт входного контроля грин01396 от 08.10.2025 16:00:59"/>
    <n v="2198"/>
    <n v="27"/>
    <x v="7"/>
    <s v="Кудря Евгений"/>
    <s v="А719ОО"/>
    <x v="25"/>
    <x v="15"/>
    <x v="5"/>
    <m/>
    <x v="51"/>
    <n v="4.2"/>
    <x v="26"/>
    <n v="42650"/>
    <n v="15250"/>
    <n v="10"/>
    <n v="27400"/>
    <n v="24660"/>
    <s v="грин01396"/>
    <x v="53"/>
  </r>
  <r>
    <s v="Акт входного контроля грин01405 от 08.10.2025 17:05:44"/>
    <n v="2200"/>
    <n v="26"/>
    <x v="7"/>
    <s v="Емец Р.А."/>
    <s v="У315НХ"/>
    <x v="25"/>
    <x v="15"/>
    <x v="5"/>
    <m/>
    <x v="51"/>
    <n v="3.7"/>
    <x v="26"/>
    <n v="40100"/>
    <n v="15720"/>
    <n v="9"/>
    <n v="24380"/>
    <n v="22185.8"/>
    <s v="грин01405"/>
    <x v="53"/>
  </r>
  <r>
    <s v="Акт входного контроля грин01410 от 08.10.2025 19:14:07"/>
    <n v="2201"/>
    <n v="28"/>
    <x v="7"/>
    <s v="Дик Илья Александрович"/>
    <s v="М556ХВ"/>
    <x v="25"/>
    <x v="15"/>
    <x v="5"/>
    <n v="29910"/>
    <x v="51"/>
    <n v="0.7"/>
    <x v="28"/>
    <n v="45650"/>
    <n v="15740"/>
    <n v="9"/>
    <n v="29910"/>
    <n v="27218.1"/>
    <s v="грин01410"/>
    <x v="53"/>
  </r>
  <r>
    <s v="Акт входного контроля грин01411 от 08.10.2025 19:42:20"/>
    <n v="2205"/>
    <n v="29"/>
    <x v="7"/>
    <s v="Лазаренко Вячеслав Владимирович"/>
    <s v="Т239УС"/>
    <x v="25"/>
    <x v="15"/>
    <x v="5"/>
    <n v="27180"/>
    <x v="51"/>
    <n v="0.7"/>
    <x v="28"/>
    <n v="42240"/>
    <n v="15060"/>
    <n v="6"/>
    <n v="27180"/>
    <n v="25549.200000000001"/>
    <s v="грин01411"/>
    <x v="53"/>
  </r>
  <r>
    <s v="Акт входного контроля грин01412 от 08.10.2025 20:27:33"/>
    <n v="2206"/>
    <n v="1"/>
    <x v="7"/>
    <s v="Никитась Сергей Анатольевич"/>
    <s v="К570ЕО"/>
    <x v="25"/>
    <x v="15"/>
    <x v="5"/>
    <n v="28850"/>
    <x v="51"/>
    <n v="0.7"/>
    <x v="28"/>
    <n v="44060"/>
    <n v="15210"/>
    <n v="9"/>
    <n v="28850"/>
    <n v="26253.5"/>
    <s v="грин01412"/>
    <x v="53"/>
  </r>
  <r>
    <s v="Акт входного контроля грин01413 от 08.10.2025 21:43:58"/>
    <n v="2207"/>
    <n v="2"/>
    <x v="7"/>
    <s v="Чернецов Александр Михайлович"/>
    <s v="Р866РМ"/>
    <x v="25"/>
    <x v="15"/>
    <x v="5"/>
    <n v="28930"/>
    <x v="51"/>
    <n v="0.7"/>
    <x v="28"/>
    <n v="43910"/>
    <n v="14980"/>
    <n v="7"/>
    <n v="28930"/>
    <n v="26904.9"/>
    <s v="грин01413"/>
    <x v="53"/>
  </r>
  <r>
    <s v="Акт входного контроля грин01414 от 08.10.2025 16:32:49"/>
    <n v="2209"/>
    <n v="4"/>
    <x v="7"/>
    <s v="Пищев Александр Васильевич "/>
    <s v="Т522ОН"/>
    <x v="25"/>
    <x v="15"/>
    <x v="5"/>
    <m/>
    <x v="51"/>
    <n v="3.6"/>
    <x v="26"/>
    <n v="43020"/>
    <n v="19460"/>
    <n v="8"/>
    <n v="23560"/>
    <n v="21675.200000000001"/>
    <s v="грин01414"/>
    <x v="53"/>
  </r>
  <r>
    <s v="Акт входного контроля грин01415 от 08.10.2025 17:28:26"/>
    <n v="2210"/>
    <n v="3"/>
    <x v="7"/>
    <s v="Ушаков С Е."/>
    <s v="О212РТ"/>
    <x v="25"/>
    <x v="15"/>
    <x v="5"/>
    <m/>
    <x v="51"/>
    <n v="4.0999999999999996"/>
    <x v="26"/>
    <n v="41080"/>
    <n v="14320"/>
    <n v="11"/>
    <n v="26760"/>
    <n v="23816.400000000001"/>
    <s v="грин01415"/>
    <x v="53"/>
  </r>
  <r>
    <s v="Акт входного контроля грин01416 от 08.10.2025 18:16:13"/>
    <n v="2212"/>
    <n v="5"/>
    <x v="7"/>
    <s v="Мудрак Игорь Вадимович"/>
    <s v="С198УЕ"/>
    <x v="25"/>
    <x v="15"/>
    <x v="5"/>
    <m/>
    <x v="51"/>
    <n v="3.9"/>
    <x v="26"/>
    <n v="49570"/>
    <n v="24060"/>
    <n v="11"/>
    <n v="25510"/>
    <n v="22703.9"/>
    <s v="грин01416"/>
    <x v="53"/>
  </r>
  <r>
    <s v="Акт входного контроля грин01417 от 08.10.2025 19:23:07"/>
    <n v="2213"/>
    <n v="6"/>
    <x v="7"/>
    <s v="Огнев Максим Викторович"/>
    <s v="Р755НН"/>
    <x v="25"/>
    <x v="15"/>
    <x v="5"/>
    <n v="25680"/>
    <x v="51"/>
    <n v="0.6"/>
    <x v="28"/>
    <n v="40390"/>
    <n v="14710"/>
    <n v="8"/>
    <n v="25680"/>
    <n v="23625.599999999999"/>
    <s v="грин01417"/>
    <x v="53"/>
  </r>
  <r>
    <s v="Акт входного контроля грин01418 от 08.10.2025 19:29:37"/>
    <n v="2214"/>
    <n v="7"/>
    <x v="7"/>
    <s v="Аладин Василий Сергеевич"/>
    <s v="Т110ТМ"/>
    <x v="25"/>
    <x v="15"/>
    <x v="5"/>
    <n v="22560"/>
    <x v="51"/>
    <n v="0.6"/>
    <x v="28"/>
    <n v="37450"/>
    <n v="14890"/>
    <n v="13"/>
    <n v="22560"/>
    <n v="19627.2"/>
    <s v="грин01418"/>
    <x v="53"/>
  </r>
  <r>
    <s v="Акт входного контроля грин01419 от 08.10.2025 19:47:42"/>
    <n v="2215"/>
    <n v="8"/>
    <x v="7"/>
    <s v="Блажко Алексей Николаевич"/>
    <s v="М676КО"/>
    <x v="25"/>
    <x v="15"/>
    <x v="5"/>
    <n v="30390"/>
    <x v="51"/>
    <n v="0.7"/>
    <x v="28"/>
    <n v="54820"/>
    <n v="24430"/>
    <n v="9"/>
    <n v="30390"/>
    <n v="27654.9"/>
    <s v="грин01419"/>
    <x v="53"/>
  </r>
  <r>
    <s v="Акт входного контроля грин01420 от 08.10.2025 21:19:21"/>
    <n v="2216"/>
    <s v="8(б)"/>
    <x v="7"/>
    <s v="Майстровский В.Н."/>
    <s v="М057АО"/>
    <x v="25"/>
    <x v="15"/>
    <x v="5"/>
    <n v="21610"/>
    <x v="51"/>
    <n v="0.5"/>
    <x v="28"/>
    <n v="36240"/>
    <n v="14630"/>
    <n v="10"/>
    <n v="21610"/>
    <n v="19449"/>
    <s v="грин01420"/>
    <x v="53"/>
  </r>
  <r>
    <s v="Акт входного контроля грин01421 от 08.10.2025 22:36:34"/>
    <n v="2217"/>
    <n v="11"/>
    <x v="7"/>
    <s v="Пугачев Сергей Викторович"/>
    <s v="Р258УХ"/>
    <x v="25"/>
    <x v="15"/>
    <x v="5"/>
    <n v="20720"/>
    <x v="51"/>
    <n v="0.5"/>
    <x v="28"/>
    <n v="36620"/>
    <n v="15900"/>
    <n v="16"/>
    <n v="20720"/>
    <n v="17404.8"/>
    <s v="грин01421"/>
    <x v="53"/>
  </r>
  <r>
    <s v="Акт входного контроля грин01422 от 08.10.2025 22:48:35"/>
    <n v="2218"/>
    <n v="10"/>
    <x v="7"/>
    <s v="Долгих Николай Петрович"/>
    <s v="У726ЕР"/>
    <x v="25"/>
    <x v="15"/>
    <x v="5"/>
    <n v="21540"/>
    <x v="51"/>
    <n v="0.5"/>
    <x v="28"/>
    <n v="36600"/>
    <n v="15060"/>
    <n v="8"/>
    <n v="21540"/>
    <n v="19816.8"/>
    <s v="грин01422"/>
    <x v="53"/>
  </r>
  <r>
    <s v="Акт входного контроля грин01423 от 08.10.2025 22:53:19"/>
    <n v="2220"/>
    <n v="12"/>
    <x v="7"/>
    <s v="Титаренко Максим Сергеевич"/>
    <s v="О398ХО"/>
    <x v="25"/>
    <x v="15"/>
    <x v="5"/>
    <n v="19230"/>
    <x v="51"/>
    <n v="0.5"/>
    <x v="28"/>
    <n v="33910"/>
    <n v="14680"/>
    <n v="5"/>
    <n v="19230"/>
    <n v="18268.5"/>
    <s v="грин01423"/>
    <x v="53"/>
  </r>
  <r>
    <s v="Акт входного контроля грин01424 от 08.10.2025 22:56:17"/>
    <n v="2221"/>
    <n v="19"/>
    <x v="7"/>
    <s v="Сероштан Станислав Викторович"/>
    <s v="Е758РЕ"/>
    <x v="25"/>
    <x v="15"/>
    <x v="5"/>
    <n v="16210"/>
    <x v="51"/>
    <n v="0.4"/>
    <x v="28"/>
    <n v="30970"/>
    <n v="14760"/>
    <n v="12"/>
    <n v="16210"/>
    <n v="14264.8"/>
    <s v="грин01424"/>
    <x v="53"/>
  </r>
  <r>
    <s v="Акт входного контроля грин01425 от 08.10.2025 22:59:03"/>
    <n v="2222"/>
    <n v="18"/>
    <x v="7"/>
    <s v="Бербеницкий Сергей Николаевич"/>
    <s v="С400РР"/>
    <x v="25"/>
    <x v="15"/>
    <x v="5"/>
    <n v="19900"/>
    <x v="51"/>
    <n v="0.5"/>
    <x v="28"/>
    <n v="35060"/>
    <n v="15160"/>
    <n v="17"/>
    <n v="19900"/>
    <n v="16517"/>
    <s v="грин01425"/>
    <x v="53"/>
  </r>
  <r>
    <s v="Акт входного контроля грин01434 от 09.10.2025 9:10:33"/>
    <n v="2224"/>
    <n v="7951"/>
    <x v="8"/>
    <s v="Рыбалкин АН"/>
    <s v="Р687УК"/>
    <x v="26"/>
    <x v="1"/>
    <x v="6"/>
    <m/>
    <x v="51"/>
    <n v="1.6"/>
    <x v="27"/>
    <n v="43310"/>
    <n v="16150"/>
    <n v="5"/>
    <n v="27160"/>
    <n v="25802"/>
    <s v="грин01434"/>
    <x v="54"/>
  </r>
  <r>
    <s v="Акт входного контроля грин01435 от 09.10.2025 9:56:01"/>
    <n v="2225"/>
    <n v="7952"/>
    <x v="8"/>
    <s v="Сотников Сергей Кириллович"/>
    <s v="Т443МВ"/>
    <x v="26"/>
    <x v="1"/>
    <x v="6"/>
    <m/>
    <x v="51"/>
    <n v="1.6"/>
    <x v="27"/>
    <n v="43110"/>
    <n v="15940"/>
    <n v="5"/>
    <n v="27170"/>
    <n v="25811.5"/>
    <s v="грин01435"/>
    <x v="54"/>
  </r>
  <r>
    <s v="Акт входного контроля грин01440 от 09.10.2025 11:03:32"/>
    <n v="2227"/>
    <n v="7853"/>
    <x v="8"/>
    <s v="Бондаренко Николай Николаевич"/>
    <s v="А315МК"/>
    <x v="26"/>
    <x v="1"/>
    <x v="6"/>
    <m/>
    <x v="51"/>
    <n v="1.3"/>
    <x v="27"/>
    <n v="36340"/>
    <n v="14030"/>
    <n v="10"/>
    <n v="22310"/>
    <n v="20079"/>
    <s v="грин01440"/>
    <x v="54"/>
  </r>
  <r>
    <s v="Акт входного контроля грин01441 от 09.10.2025 11:38:03"/>
    <n v="2231"/>
    <n v="7955"/>
    <x v="8"/>
    <s v="Ховятский АМ"/>
    <s v="Р684ОХ"/>
    <x v="26"/>
    <x v="1"/>
    <x v="6"/>
    <m/>
    <x v="51"/>
    <n v="1.5"/>
    <x v="27"/>
    <n v="39920"/>
    <n v="14700"/>
    <n v="10"/>
    <n v="25220"/>
    <n v="22698"/>
    <s v="грин01441"/>
    <x v="54"/>
  </r>
  <r>
    <s v="Акт входного контроля грин01442 от 09.10.2025 13:12:04"/>
    <n v="2232"/>
    <n v="7954"/>
    <x v="8"/>
    <s v="Данильченко Ю.А."/>
    <s v="Р347КА"/>
    <x v="26"/>
    <x v="1"/>
    <x v="6"/>
    <m/>
    <x v="51"/>
    <n v="1.5"/>
    <x v="27"/>
    <n v="41100"/>
    <n v="15060"/>
    <n v="5"/>
    <n v="26040"/>
    <n v="24738"/>
    <s v="грин01442"/>
    <x v="54"/>
  </r>
  <r>
    <s v="Акт входного контроля грин01443 от 09.10.2025 14:10:19"/>
    <n v="2234"/>
    <n v="7958"/>
    <x v="8"/>
    <s v="Давыденко Юрий Викторович"/>
    <s v="У094СР"/>
    <x v="26"/>
    <x v="1"/>
    <x v="6"/>
    <m/>
    <x v="51"/>
    <n v="1.5"/>
    <x v="27"/>
    <n v="42410"/>
    <n v="17130"/>
    <n v="10"/>
    <n v="25280"/>
    <n v="22752"/>
    <s v="грин01443"/>
    <x v="54"/>
  </r>
  <r>
    <s v="Акт входного контроля грин01444 от 09.10.2025 14:55:20"/>
    <n v="2236"/>
    <n v="7959"/>
    <x v="8"/>
    <s v="Демченко Анатолий Григорьевич"/>
    <s v="Р818СЕ"/>
    <x v="26"/>
    <x v="1"/>
    <x v="6"/>
    <m/>
    <x v="51"/>
    <n v="1.5"/>
    <x v="27"/>
    <n v="39830"/>
    <n v="14980"/>
    <n v="9"/>
    <n v="24850"/>
    <n v="22613.5"/>
    <s v="грин01444"/>
    <x v="54"/>
  </r>
  <r>
    <s v="Акт входного контроля грин01445 от 09.10.2025 16:10:16"/>
    <n v="2237"/>
    <n v="7960"/>
    <x v="8"/>
    <s v="Затонский Сергей Анатольевич"/>
    <s v="Е647РМ"/>
    <x v="26"/>
    <x v="1"/>
    <x v="6"/>
    <m/>
    <x v="52"/>
    <n v="1.4"/>
    <x v="27"/>
    <n v="37100"/>
    <n v="14760"/>
    <n v="5"/>
    <n v="22340"/>
    <n v="21223"/>
    <s v="грин01445"/>
    <x v="54"/>
  </r>
  <r>
    <s v="Акт входного контроля грин01446 от 09.10.2025 16:37:14"/>
    <n v="2238"/>
    <n v="7961"/>
    <x v="8"/>
    <s v="Чернышов Александр Павлович"/>
    <s v="М704ТС"/>
    <x v="26"/>
    <x v="1"/>
    <x v="6"/>
    <m/>
    <x v="52"/>
    <n v="1.5"/>
    <x v="27"/>
    <n v="40670"/>
    <n v="16330"/>
    <n v="11"/>
    <n v="24340"/>
    <n v="21662.6"/>
    <s v="грин01446"/>
    <x v="54"/>
  </r>
  <r>
    <s v="Акт входного контроля грин01447 от 09.10.2025 17:32:21"/>
    <n v="2240"/>
    <n v="7962"/>
    <x v="8"/>
    <s v="Глушенко Александр Иванович"/>
    <s v="Н735ВК"/>
    <x v="26"/>
    <x v="1"/>
    <x v="6"/>
    <m/>
    <x v="52"/>
    <n v="1.4"/>
    <x v="27"/>
    <n v="39060"/>
    <n v="16560"/>
    <n v="13"/>
    <n v="22500"/>
    <n v="19575"/>
    <s v="грин01447"/>
    <x v="54"/>
  </r>
  <r>
    <s v="Акт входного контроля грин01448 от 09.10.2025 18:17:25"/>
    <n v="2241"/>
    <n v="7963"/>
    <x v="8"/>
    <s v="Веревкин Андрей Александрович"/>
    <s v="Н234ВК"/>
    <x v="26"/>
    <x v="1"/>
    <x v="6"/>
    <m/>
    <x v="52"/>
    <n v="1.4"/>
    <x v="27"/>
    <n v="39900"/>
    <n v="16470"/>
    <n v="12"/>
    <n v="23430"/>
    <n v="20618.400000000001"/>
    <s v="грин01448"/>
    <x v="54"/>
  </r>
  <r>
    <s v="Акт входного контроля грин01449 от 09.10.2025 21:40:32"/>
    <n v="2243"/>
    <n v="7974"/>
    <x v="8"/>
    <s v="Мудрак Вадим Васильевич"/>
    <s v="Х514ОК"/>
    <x v="26"/>
    <x v="1"/>
    <x v="6"/>
    <m/>
    <x v="52"/>
    <n v="2.4"/>
    <x v="27"/>
    <n v="60510"/>
    <n v="21280"/>
    <n v="13"/>
    <n v="39230"/>
    <n v="34130.1"/>
    <s v="грин01449"/>
    <x v="54"/>
  </r>
  <r>
    <s v="Акт входного контроля грин01450 от 09.10.2025 21:49:49"/>
    <n v="2244"/>
    <n v="7975"/>
    <x v="8"/>
    <s v="Чернецов Александр Михайлович"/>
    <s v="Р866РМ"/>
    <x v="26"/>
    <x v="1"/>
    <x v="6"/>
    <m/>
    <x v="52"/>
    <n v="1.8"/>
    <x v="27"/>
    <n v="43940"/>
    <n v="14990"/>
    <n v="8"/>
    <n v="28950"/>
    <n v="26634"/>
    <s v="грин01450"/>
    <x v="54"/>
  </r>
  <r>
    <s v="Акт входного контроля грин01451 от 09.10.2025 22:57:47"/>
    <n v="2245"/>
    <n v="7977"/>
    <x v="8"/>
    <s v="Лазаренко Вячеслав Владимирович"/>
    <s v="Т239УС"/>
    <x v="26"/>
    <x v="1"/>
    <x v="6"/>
    <m/>
    <x v="52"/>
    <n v="1.6"/>
    <x v="27"/>
    <n v="41370"/>
    <n v="14910"/>
    <n v="9"/>
    <n v="26460"/>
    <n v="24078.6"/>
    <s v="грин01451"/>
    <x v="54"/>
  </r>
  <r>
    <s v="Акт входного контроля грин01452 от 09.10.2025 23:05:56"/>
    <n v="2246"/>
    <n v="7978"/>
    <x v="8"/>
    <s v="Никитась Сергей Анатольевич"/>
    <s v="К570ЕО"/>
    <x v="26"/>
    <x v="1"/>
    <x v="6"/>
    <m/>
    <x v="52"/>
    <n v="1.8"/>
    <x v="27"/>
    <n v="43900"/>
    <n v="15050"/>
    <n v="14"/>
    <n v="28850"/>
    <n v="24811"/>
    <s v="грин01452"/>
    <x v="54"/>
  </r>
  <r>
    <s v="Акт входного контроля грин01453 от 09.10.2025 23:21:19"/>
    <n v="2247"/>
    <n v="7982"/>
    <x v="8"/>
    <s v="Мудрак Игорь Вадимович"/>
    <s v="С198УЕ"/>
    <x v="26"/>
    <x v="1"/>
    <x v="6"/>
    <m/>
    <x v="52"/>
    <n v="2.5"/>
    <x v="27"/>
    <n v="64040"/>
    <n v="24020"/>
    <n v="14"/>
    <n v="40020"/>
    <n v="34417.199999999997"/>
    <s v="грин01453"/>
    <x v="54"/>
  </r>
  <r>
    <s v="Акт входного контроля грин01454 от 09.10.2025 23:33:07"/>
    <n v="2248"/>
    <n v="7987"/>
    <x v="8"/>
    <s v="Пищев Александр Васильевич "/>
    <s v="Т522ОН"/>
    <x v="26"/>
    <x v="1"/>
    <x v="6"/>
    <m/>
    <x v="52"/>
    <n v="1.9"/>
    <x v="27"/>
    <n v="50900"/>
    <n v="19430"/>
    <n v="12"/>
    <n v="31470"/>
    <n v="27693.599999999999"/>
    <s v="грин01454"/>
    <x v="54"/>
  </r>
  <r>
    <s v="Акт входного контроля грин01455 от 10.10.2025 3:52:14"/>
    <n v="2249"/>
    <n v="7993"/>
    <x v="8"/>
    <s v="Емец Р.А."/>
    <s v="У315НХ"/>
    <x v="26"/>
    <x v="1"/>
    <x v="6"/>
    <m/>
    <x v="52"/>
    <n v="1.5"/>
    <x v="27"/>
    <n v="40210"/>
    <n v="15610"/>
    <n v="12"/>
    <n v="24600"/>
    <n v="21648"/>
    <s v="грин01455"/>
    <x v="55"/>
  </r>
  <r>
    <s v="Акт входного контроля грин01456 от 10.10.2025 4:31:15"/>
    <n v="2250"/>
    <n v="7994"/>
    <x v="8"/>
    <s v="Рудик Александр Иванович"/>
    <s v="А309АТ"/>
    <x v="26"/>
    <x v="1"/>
    <x v="6"/>
    <m/>
    <x v="52"/>
    <n v="1.5"/>
    <x v="27"/>
    <n v="39940"/>
    <n v="14910"/>
    <n v="13"/>
    <n v="25030"/>
    <n v="21776.1"/>
    <s v="грин01456"/>
    <x v="55"/>
  </r>
  <r>
    <s v="Акт входного контроля грин01457 от 10.10.2025 5:27:49"/>
    <n v="2251"/>
    <n v="7995"/>
    <x v="8"/>
    <s v="Фомин Николай Григорьевич"/>
    <s v="А731ВА"/>
    <x v="26"/>
    <x v="1"/>
    <x v="6"/>
    <m/>
    <x v="52"/>
    <n v="1.3"/>
    <x v="27"/>
    <n v="36810"/>
    <n v="14910"/>
    <n v="16"/>
    <n v="21900"/>
    <n v="18396"/>
    <s v="грин01457"/>
    <x v="55"/>
  </r>
  <r>
    <s v="Акт входного контроля грин01458 от 10.10.2025 7:32:29"/>
    <n v="2252"/>
    <n v="7998"/>
    <x v="8"/>
    <s v="Блажко Алексей Николаевич"/>
    <s v="М676КО"/>
    <x v="26"/>
    <x v="1"/>
    <x v="6"/>
    <m/>
    <x v="52"/>
    <n v="2.5"/>
    <x v="27"/>
    <n v="64690"/>
    <n v="24450"/>
    <n v="7"/>
    <n v="40240"/>
    <n v="37423.199999999997"/>
    <s v="грин01458"/>
    <x v="55"/>
  </r>
  <r>
    <s v="Акт входного контроля грин01459 от 10.10.2025 9:05:22"/>
    <n v="2253"/>
    <n v="7999"/>
    <x v="8"/>
    <s v="Дик Илья Александрович"/>
    <s v="М556ХВ"/>
    <x v="26"/>
    <x v="1"/>
    <x v="6"/>
    <m/>
    <x v="52"/>
    <n v="1.8"/>
    <x v="27"/>
    <n v="44900"/>
    <n v="15720"/>
    <n v="16"/>
    <n v="29180"/>
    <n v="24511.200000000001"/>
    <s v="грин01459"/>
    <x v="55"/>
  </r>
  <r>
    <s v="Акт входного контроля грин01460 от 10.10.2025 10:16:49"/>
    <n v="2254"/>
    <n v="8000"/>
    <x v="8"/>
    <s v="Пугачев Сергей Викторович"/>
    <s v="Р258УХ"/>
    <x v="26"/>
    <x v="1"/>
    <x v="6"/>
    <m/>
    <x v="52"/>
    <n v="1.6"/>
    <x v="27"/>
    <n v="41590"/>
    <n v="15670"/>
    <n v="14"/>
    <n v="25920"/>
    <n v="22291.200000000001"/>
    <s v="грин01460"/>
    <x v="55"/>
  </r>
  <r>
    <s v="Акт входного контроля грин01461 от 10.10.2025 11:00:57"/>
    <n v="2255"/>
    <n v="8005"/>
    <x v="8"/>
    <s v="Бербеницкий Сергей Николаевич"/>
    <s v="С400РР"/>
    <x v="26"/>
    <x v="1"/>
    <x v="6"/>
    <m/>
    <x v="52"/>
    <n v="1.7"/>
    <x v="27"/>
    <n v="43180"/>
    <n v="15080"/>
    <n v="8"/>
    <n v="28100"/>
    <n v="25852"/>
    <s v="грин01461"/>
    <x v="55"/>
  </r>
  <r>
    <s v="Акт входного контроля грин01462 от 10.10.2025 11:42:01"/>
    <n v="2256"/>
    <n v="8006"/>
    <x v="8"/>
    <s v="Кудря Евгений"/>
    <s v="А719ОО"/>
    <x v="26"/>
    <x v="1"/>
    <x v="6"/>
    <m/>
    <x v="52"/>
    <n v="1.6"/>
    <x v="27"/>
    <n v="40820"/>
    <n v="15050"/>
    <n v="7"/>
    <n v="25770"/>
    <n v="23966.1"/>
    <s v="грин01462"/>
    <x v="55"/>
  </r>
  <r>
    <s v="Акт входного контроля грин01463 от 10.10.2025 13:37:36"/>
    <n v="2257"/>
    <n v="8007"/>
    <x v="8"/>
    <s v="Рыбалкин АН"/>
    <s v="Р687УК"/>
    <x v="26"/>
    <x v="1"/>
    <x v="6"/>
    <m/>
    <x v="52"/>
    <n v="1.7"/>
    <x v="27"/>
    <n v="43140"/>
    <n v="15940"/>
    <n v="23"/>
    <n v="27200"/>
    <n v="20944"/>
    <s v="грин01463"/>
    <x v="55"/>
  </r>
  <r>
    <s v="Акт входного контроля грин01464 от 10.10.2025 13:45:45"/>
    <n v="2259"/>
    <n v="8010"/>
    <x v="8"/>
    <s v="Сотников Сергей Кириллович"/>
    <s v="Т443МВ"/>
    <x v="26"/>
    <x v="1"/>
    <x v="6"/>
    <m/>
    <x v="52"/>
    <n v="1.6"/>
    <x v="27"/>
    <n v="42450"/>
    <n v="15720"/>
    <n v="9"/>
    <n v="26730"/>
    <n v="24324.3"/>
    <s v="грин01464"/>
    <x v="55"/>
  </r>
  <r>
    <s v="Акт входного контроля грин01465 от 10.10.2025 14:58:57"/>
    <n v="2262"/>
    <n v="8012"/>
    <x v="8"/>
    <s v="Бондаренко Николай Николаевич"/>
    <s v="А315МК"/>
    <x v="26"/>
    <x v="1"/>
    <x v="6"/>
    <m/>
    <x v="52"/>
    <n v="1.4"/>
    <x v="27"/>
    <n v="36100"/>
    <n v="13800"/>
    <n v="10"/>
    <n v="22300"/>
    <n v="20070"/>
    <s v="грин01465"/>
    <x v="55"/>
  </r>
  <r>
    <s v="Акт входного контроля грин01466 от 10.10.2025 15:10:26"/>
    <n v="2265"/>
    <n v="8017"/>
    <x v="8"/>
    <s v="Ховятский АМ"/>
    <s v="Р684ОХ"/>
    <x v="26"/>
    <x v="1"/>
    <x v="6"/>
    <m/>
    <x v="53"/>
    <n v="1.6"/>
    <x v="27"/>
    <n v="39530"/>
    <n v="14450"/>
    <n v="13"/>
    <n v="25080"/>
    <n v="21819.599999999999"/>
    <s v="грин01466"/>
    <x v="55"/>
  </r>
  <r>
    <s v="Акт входного контроля грин01467 от 10.10.2025 16:52:07"/>
    <n v="2266"/>
    <n v="8019"/>
    <x v="8"/>
    <s v="Данильченко Ю.А."/>
    <s v="Р347КА"/>
    <x v="26"/>
    <x v="1"/>
    <x v="6"/>
    <m/>
    <x v="53"/>
    <n v="1.6"/>
    <x v="27"/>
    <n v="40370"/>
    <n v="14810"/>
    <n v="6"/>
    <n v="25560"/>
    <n v="24026.400000000001"/>
    <s v="грин01467"/>
    <x v="55"/>
  </r>
  <r>
    <s v="Акт входного контроля грин01468 от 10.10.2025 17:48:37"/>
    <n v="2267"/>
    <n v="8028"/>
    <x v="8"/>
    <s v="Давыденко Юрий Викторович"/>
    <s v="У094СР"/>
    <x v="26"/>
    <x v="1"/>
    <x v="6"/>
    <m/>
    <x v="53"/>
    <n v="1.7"/>
    <x v="27"/>
    <n v="44620"/>
    <n v="17090"/>
    <n v="4"/>
    <n v="27530"/>
    <n v="26428.799999999999"/>
    <s v="грин01468"/>
    <x v="55"/>
  </r>
  <r>
    <s v="Акт входного контроля грин01469 от 10.10.2025 19:46:13"/>
    <n v="2269"/>
    <n v="8029"/>
    <x v="8"/>
    <s v="Демченко Анатолий Григорьевич"/>
    <s v="Р818СЕ"/>
    <x v="26"/>
    <x v="1"/>
    <x v="6"/>
    <m/>
    <x v="53"/>
    <n v="1.6"/>
    <x v="27"/>
    <n v="39260"/>
    <n v="15000"/>
    <n v="15"/>
    <n v="24260"/>
    <n v="20621"/>
    <s v="грин01469"/>
    <x v="55"/>
  </r>
  <r>
    <s v="Акт входного контроля грин01470 от 10.10.2025 19:54:05"/>
    <n v="2270"/>
    <n v="8030"/>
    <x v="8"/>
    <s v="Затонский Сергей Анатольевич"/>
    <s v="Е647РМ"/>
    <x v="27"/>
    <x v="1"/>
    <x v="6"/>
    <m/>
    <x v="53"/>
    <n v="1.3"/>
    <x v="29"/>
    <n v="37000"/>
    <n v="14770"/>
    <n v="12"/>
    <n v="22230"/>
    <n v="19562.400000000001"/>
    <s v="грин01470"/>
    <x v="55"/>
  </r>
  <r>
    <s v="Акт входного контроля грин01471 от 10.10.2025 20:35:52"/>
    <n v="2272"/>
    <n v="8035"/>
    <x v="8"/>
    <s v="Чернышов Александр Павлович"/>
    <s v="М704ТС"/>
    <x v="27"/>
    <x v="1"/>
    <x v="6"/>
    <m/>
    <x v="53"/>
    <n v="1.4"/>
    <x v="29"/>
    <n v="40260"/>
    <n v="16390"/>
    <n v="4"/>
    <n v="23870"/>
    <n v="22915.200000000001"/>
    <s v="грин01471"/>
    <x v="55"/>
  </r>
  <r>
    <s v="Акт входного контроля грин01472 от 10.10.2025 22:17:12"/>
    <n v="2273"/>
    <n v="8036"/>
    <x v="8"/>
    <s v="Глушенко Александр Иванович"/>
    <s v="Н735ВК"/>
    <x v="27"/>
    <x v="1"/>
    <x v="6"/>
    <m/>
    <x v="53"/>
    <n v="1.4"/>
    <x v="29"/>
    <n v="41390"/>
    <n v="16500"/>
    <n v="7"/>
    <n v="24890"/>
    <n v="23147.7"/>
    <s v="грин01472"/>
    <x v="55"/>
  </r>
  <r>
    <s v="Акт входного контроля грин01473 от 10.10.2025 23:06:45"/>
    <n v="2276"/>
    <n v="8037"/>
    <x v="8"/>
    <s v="Веревкин Андрей Александрович"/>
    <s v="Н234ВК"/>
    <x v="27"/>
    <x v="1"/>
    <x v="6"/>
    <m/>
    <x v="53"/>
    <n v="1.4"/>
    <x v="29"/>
    <n v="40310"/>
    <n v="16450"/>
    <n v="8"/>
    <n v="23860"/>
    <n v="21951.200000000001"/>
    <s v="грин01473"/>
    <x v="55"/>
  </r>
  <r>
    <s v="Акт входного контроля грин01474 от 10.10.2025 23:35:47"/>
    <n v="2277"/>
    <n v="8041"/>
    <x v="8"/>
    <s v="Ушаков С Е."/>
    <s v="О212РТ"/>
    <x v="27"/>
    <x v="1"/>
    <x v="6"/>
    <m/>
    <x v="53"/>
    <n v="1.5"/>
    <x v="29"/>
    <n v="40760"/>
    <n v="14360"/>
    <n v="9"/>
    <n v="26400"/>
    <n v="24024"/>
    <s v="грин01474"/>
    <x v="55"/>
  </r>
  <r>
    <s v="Акт входного контроля грин01475 от 11.10.2025 2:32:39"/>
    <n v="2278"/>
    <n v="8044"/>
    <x v="8"/>
    <s v="Аладин Василий Сергеевич"/>
    <s v="Т110ТМ"/>
    <x v="27"/>
    <x v="1"/>
    <x v="6"/>
    <m/>
    <x v="53"/>
    <n v="1.3"/>
    <x v="29"/>
    <n v="37080"/>
    <n v="14970"/>
    <n v="8"/>
    <n v="22110"/>
    <n v="20341.2"/>
    <s v="грин01475"/>
    <x v="56"/>
  </r>
  <r>
    <s v="Акт входного контроля грин01476 от 11.10.2025 3:03:45"/>
    <n v="2279"/>
    <n v="8043"/>
    <x v="8"/>
    <s v="Огнев Максим Викторович"/>
    <s v="Р755НН"/>
    <x v="27"/>
    <x v="1"/>
    <x v="6"/>
    <m/>
    <x v="53"/>
    <n v="1.4"/>
    <x v="29"/>
    <n v="38710"/>
    <n v="14800"/>
    <n v="9"/>
    <n v="23910"/>
    <n v="21758.1"/>
    <s v="грин01476"/>
    <x v="56"/>
  </r>
  <r>
    <s v="Акт входного контроля грин01477 от 11.10.2025 4:10:57"/>
    <n v="2280"/>
    <n v="8046"/>
    <x v="8"/>
    <s v="Чернецов Александр Михайлович"/>
    <s v="Р866РМ"/>
    <x v="27"/>
    <x v="1"/>
    <x v="6"/>
    <m/>
    <x v="53"/>
    <n v="1.6"/>
    <x v="29"/>
    <n v="43140"/>
    <n v="14990"/>
    <n v="6"/>
    <n v="28150"/>
    <n v="26461"/>
    <s v="грин01477"/>
    <x v="56"/>
  </r>
  <r>
    <s v="Акт входного контроля грин01478 от 11.10.2025 10:23:13"/>
    <n v="2281"/>
    <n v="8055"/>
    <x v="8"/>
    <s v="Лазаренко Вячеслав Владимирович"/>
    <s v="Т239УС"/>
    <x v="27"/>
    <x v="1"/>
    <x v="6"/>
    <m/>
    <x v="53"/>
    <n v="1.5"/>
    <x v="29"/>
    <n v="41040"/>
    <n v="14840"/>
    <n v="5"/>
    <n v="26200"/>
    <n v="24890"/>
    <s v="грин01478"/>
    <x v="56"/>
  </r>
  <r>
    <s v="Акт входного контроля грин01479 от 11.10.2025 10:52:36"/>
    <n v="2282"/>
    <n v="8054"/>
    <x v="8"/>
    <s v="Никитась Сергей Анатольевич"/>
    <s v="К570ЕО"/>
    <x v="27"/>
    <x v="1"/>
    <x v="6"/>
    <m/>
    <x v="53"/>
    <n v="1.7"/>
    <x v="29"/>
    <n v="43820"/>
    <n v="15060"/>
    <n v="8"/>
    <n v="28760"/>
    <n v="26459.200000000001"/>
    <s v="грин01479"/>
    <x v="56"/>
  </r>
  <r>
    <s v="Акт входного контроля грин01480 от 11.10.2025 11:13:41"/>
    <n v="2283"/>
    <n v="8069"/>
    <x v="8"/>
    <s v="Долгих Николай Петрович"/>
    <s v="У726ЕР"/>
    <x v="27"/>
    <x v="1"/>
    <x v="6"/>
    <m/>
    <x v="53"/>
    <n v="1.4"/>
    <x v="29"/>
    <n v="39210"/>
    <n v="15130"/>
    <n v="11"/>
    <n v="24080"/>
    <n v="21431.200000000001"/>
    <s v="грин01480"/>
    <x v="56"/>
  </r>
  <r>
    <s v="Акт входного контроля грин01481 от 11.10.2025 13:30:48"/>
    <n v="2285"/>
    <n v="8059"/>
    <x v="8"/>
    <s v="Мудрак Вадим Васильевич"/>
    <s v="Х514ОК"/>
    <x v="27"/>
    <x v="1"/>
    <x v="6"/>
    <m/>
    <x v="53"/>
    <n v="2.4"/>
    <x v="29"/>
    <n v="62730"/>
    <n v="21170"/>
    <n v="8"/>
    <n v="41560"/>
    <n v="38235.199999999997"/>
    <s v="грин01481"/>
    <x v="56"/>
  </r>
  <r>
    <s v="Акт входного контроля грин01482 от 11.10.2025 13:40:43"/>
    <n v="2286"/>
    <n v="8072"/>
    <x v="8"/>
    <s v="Фомин Николай Григорьевич"/>
    <s v="А731ВА"/>
    <x v="27"/>
    <x v="1"/>
    <x v="6"/>
    <m/>
    <x v="53"/>
    <n v="1.4"/>
    <x v="29"/>
    <n v="38730"/>
    <n v="14950"/>
    <n v="9"/>
    <n v="23780"/>
    <n v="21639.8"/>
    <s v="грин01482"/>
    <x v="56"/>
  </r>
  <r>
    <s v="Акт входного контроля грин01483 от 11.10.2025 14:40:21"/>
    <n v="2289"/>
    <n v="8073"/>
    <x v="8"/>
    <s v="Рудик Александр Иванович"/>
    <s v="А309АТ"/>
    <x v="27"/>
    <x v="1"/>
    <x v="6"/>
    <m/>
    <x v="54"/>
    <n v="1.7"/>
    <x v="29"/>
    <n v="39790"/>
    <n v="14850"/>
    <n v="7"/>
    <n v="24940"/>
    <n v="23194.2"/>
    <s v="грин01483"/>
    <x v="56"/>
  </r>
  <r>
    <s v="Акт входного контроля грин01484 от 11.10.2025 15:55:32"/>
    <n v="2291"/>
    <n v="8076"/>
    <x v="8"/>
    <s v="Пищев Александр Васильевич "/>
    <s v="Т522ОН"/>
    <x v="27"/>
    <x v="1"/>
    <x v="6"/>
    <m/>
    <x v="54"/>
    <n v="2.2000000000000002"/>
    <x v="29"/>
    <n v="50680"/>
    <n v="19290"/>
    <n v="7"/>
    <n v="31390"/>
    <n v="29192.7"/>
    <s v="грин01484"/>
    <x v="56"/>
  </r>
  <r>
    <s v="Акт входного контроля грин01485 от 11.10.2025 16:26:24"/>
    <n v="2294"/>
    <n v="8083"/>
    <x v="8"/>
    <s v="Пугачев Сергей Викторович"/>
    <s v="Р258УХ"/>
    <x v="27"/>
    <x v="1"/>
    <x v="6"/>
    <m/>
    <x v="54"/>
    <n v="2"/>
    <x v="29"/>
    <n v="43880"/>
    <n v="15650"/>
    <n v="8"/>
    <n v="28230"/>
    <n v="25971.599999999999"/>
    <s v="грин01485"/>
    <x v="56"/>
  </r>
  <r>
    <s v="Акт входного контроля грин01486 от 11.10.2025 21:27:56"/>
    <n v="2296"/>
    <n v="8085"/>
    <x v="8"/>
    <s v="Блажко Алексей Николаевич"/>
    <s v="М676КО"/>
    <x v="27"/>
    <x v="1"/>
    <x v="6"/>
    <m/>
    <x v="54"/>
    <n v="2.9"/>
    <x v="29"/>
    <n v="65180"/>
    <n v="24450"/>
    <n v="6"/>
    <n v="40730"/>
    <n v="38286.199999999997"/>
    <s v="грин01486"/>
    <x v="56"/>
  </r>
  <r>
    <s v="Акт входного контроля грин01487 от 11.10.2025 21:38:43"/>
    <n v="2297"/>
    <n v="8086"/>
    <x v="8"/>
    <s v="Дик Илья Александрович"/>
    <s v="М556ХВ"/>
    <x v="27"/>
    <x v="1"/>
    <x v="6"/>
    <m/>
    <x v="54"/>
    <n v="2.1"/>
    <x v="29"/>
    <n v="45260"/>
    <n v="15650"/>
    <n v="7"/>
    <n v="29610"/>
    <n v="27537.3"/>
    <s v="грин01487"/>
    <x v="56"/>
  </r>
  <r>
    <s v="Акт входного контроля грин01488 от 11.10.2025 22:13:51"/>
    <n v="2299"/>
    <n v="4"/>
    <x v="7"/>
    <s v="Богучарский А. И."/>
    <s v="Е404УС"/>
    <x v="24"/>
    <x v="1"/>
    <x v="5"/>
    <n v="22760"/>
    <x v="54"/>
    <n v="2.7"/>
    <x v="28"/>
    <n v="36750"/>
    <n v="13990"/>
    <n v="7"/>
    <n v="22760"/>
    <n v="21166.799999999999"/>
    <s v="грин01488"/>
    <x v="56"/>
  </r>
  <r>
    <s v="Акт входного контроля грин01489 от 11.10.2025 22:36:09"/>
    <n v="2298"/>
    <n v="2"/>
    <x v="7"/>
    <s v="Долгих Николай Петрович"/>
    <s v="У726ЕР"/>
    <x v="24"/>
    <x v="1"/>
    <x v="5"/>
    <n v="24230"/>
    <x v="54"/>
    <n v="2.9"/>
    <x v="28"/>
    <n v="39250"/>
    <n v="15020"/>
    <n v="9"/>
    <n v="24230"/>
    <n v="22049.3"/>
    <s v="грин01489"/>
    <x v="56"/>
  </r>
  <r>
    <s v="Акт входного контроля грин01490 от 11.10.2025 23:08:43"/>
    <n v="2300"/>
    <n v="3"/>
    <x v="7"/>
    <s v="Кудря Евгений"/>
    <s v="А719ОО"/>
    <x v="24"/>
    <x v="1"/>
    <x v="5"/>
    <n v="25000"/>
    <x v="54"/>
    <n v="3"/>
    <x v="28"/>
    <n v="40230"/>
    <n v="15230"/>
    <n v="8"/>
    <n v="25000"/>
    <n v="23000"/>
    <s v="грин01490"/>
    <x v="56"/>
  </r>
  <r>
    <s v="Акт входного контроля грин01491 от 11.10.2025 19:39:18"/>
    <n v="2301"/>
    <n v="8093"/>
    <x v="8"/>
    <s v="Емец Р.А."/>
    <s v="У315НХ"/>
    <x v="27"/>
    <x v="1"/>
    <x v="6"/>
    <m/>
    <x v="54"/>
    <n v="1.7"/>
    <x v="29"/>
    <n v="40130"/>
    <n v="15580"/>
    <n v="8"/>
    <n v="24550"/>
    <n v="22586"/>
    <s v="грин01491"/>
    <x v="56"/>
  </r>
  <r>
    <s v="Акт входного контроля грин01492 от 11.10.2025 20:36:39"/>
    <n v="2302"/>
    <n v="1"/>
    <x v="7"/>
    <s v="Фомин Николай Григорьевич"/>
    <s v="А731ВА"/>
    <x v="24"/>
    <x v="1"/>
    <x v="5"/>
    <n v="23580"/>
    <x v="54"/>
    <n v="2.8"/>
    <x v="28"/>
    <n v="38700"/>
    <n v="15120"/>
    <n v="7"/>
    <n v="23580"/>
    <n v="21929.4"/>
    <s v="грин01492"/>
    <x v="56"/>
  </r>
  <r>
    <s v="Акт входного контроля грин01493 от 12.10.2025 1:42:37"/>
    <n v="2313"/>
    <n v="7"/>
    <x v="7"/>
    <s v="Рудик Александр Иванович"/>
    <s v="А309АТ"/>
    <x v="0"/>
    <x v="1"/>
    <x v="5"/>
    <n v="7120"/>
    <x v="54"/>
    <n v="0.9"/>
    <x v="28"/>
    <n v="21960"/>
    <n v="14840"/>
    <n v="21"/>
    <n v="7120"/>
    <n v="5624.8"/>
    <s v="грин01493"/>
    <x v="57"/>
  </r>
  <r>
    <s v="Акт входного контроля грин01494 от 11.10.2025 21:49:08"/>
    <n v="2305"/>
    <n v="3"/>
    <x v="7"/>
    <s v="Чигрин Н.А."/>
    <s v="А819ЕВ"/>
    <x v="24"/>
    <x v="1"/>
    <x v="5"/>
    <n v="16830"/>
    <x v="54"/>
    <n v="2"/>
    <x v="28"/>
    <n v="31230"/>
    <n v="14400"/>
    <n v="7"/>
    <n v="16830"/>
    <n v="15651.9"/>
    <s v="грин01494"/>
    <x v="56"/>
  </r>
  <r>
    <s v="Акт входного контроля грин01495 от 11.10.2025 22:00:56"/>
    <n v="2306"/>
    <n v="2"/>
    <x v="7"/>
    <s v="Сайко Василий Викторович"/>
    <s v="А816ЕВ"/>
    <x v="24"/>
    <x v="1"/>
    <x v="5"/>
    <n v="9620"/>
    <x v="54"/>
    <n v="1.2"/>
    <x v="28"/>
    <n v="19190"/>
    <n v="9570"/>
    <n v="10"/>
    <n v="9620"/>
    <n v="8658"/>
    <s v="грин01495"/>
    <x v="56"/>
  </r>
  <r>
    <s v="Акт входного контроля грин01496 от 11.10.2025 23:54:42"/>
    <n v="2307"/>
    <n v="8091"/>
    <x v="8"/>
    <s v="Майстровский В.Н."/>
    <s v="М057АО"/>
    <x v="27"/>
    <x v="1"/>
    <x v="6"/>
    <m/>
    <x v="54"/>
    <n v="1.7"/>
    <x v="29"/>
    <n v="38350"/>
    <n v="14520"/>
    <n v="14"/>
    <n v="23830"/>
    <n v="20493.8"/>
    <s v="грин01496"/>
    <x v="56"/>
  </r>
  <r>
    <s v="Акт входного контроля грин01497 от 12.10.2025 5:05:23"/>
    <n v="2309"/>
    <n v="9444"/>
    <x v="8"/>
    <s v="Погуляй А.Б.       "/>
    <s v="О824ТХ"/>
    <x v="27"/>
    <x v="1"/>
    <x v="6"/>
    <m/>
    <x v="54"/>
    <n v="2.2000000000000002"/>
    <x v="29"/>
    <n v="50600"/>
    <n v="18710"/>
    <n v="12"/>
    <n v="31890"/>
    <n v="28063.200000000001"/>
    <s v="грин01497"/>
    <x v="57"/>
  </r>
  <r>
    <s v="Акт входного контроля грин01498 от 12.10.2025 7:39:05"/>
    <n v="2312"/>
    <n v="9445"/>
    <x v="8"/>
    <s v="Кулик О В"/>
    <s v="К403ЕМ"/>
    <x v="27"/>
    <x v="1"/>
    <x v="6"/>
    <m/>
    <x v="54"/>
    <n v="2.1"/>
    <x v="29"/>
    <n v="47990"/>
    <n v="17490"/>
    <n v="7"/>
    <n v="30500"/>
    <n v="28365"/>
    <s v="грин01498"/>
    <x v="57"/>
  </r>
  <r>
    <s v="Акт входного контроля грин01499 от 11.10.2025 20:59:18"/>
    <n v="2303"/>
    <n v="9430"/>
    <x v="8"/>
    <s v="Рыбалкин АН"/>
    <s v="Р687УК"/>
    <x v="27"/>
    <x v="1"/>
    <x v="6"/>
    <m/>
    <x v="54"/>
    <n v="1.8"/>
    <x v="29"/>
    <n v="42180"/>
    <n v="16000"/>
    <n v="6"/>
    <n v="26180"/>
    <n v="24609.200000000001"/>
    <s v="грин01499"/>
    <x v="56"/>
  </r>
  <r>
    <s v="Акт входного контроля грин01500 от 12.10.2025 8:46:00"/>
    <n v="2315"/>
    <n v="9449"/>
    <x v="8"/>
    <s v="Егоян Артем Владимирович"/>
    <s v="А701СН"/>
    <x v="27"/>
    <x v="1"/>
    <x v="6"/>
    <m/>
    <x v="54"/>
    <n v="1.8"/>
    <x v="29"/>
    <n v="41170"/>
    <n v="15030"/>
    <n v="8"/>
    <n v="26140"/>
    <n v="24048.799999999999"/>
    <s v="грин01500"/>
    <x v="57"/>
  </r>
  <r>
    <s v="Акт входного контроля грин01501 от 12.10.2025 10:03:40"/>
    <n v="2314"/>
    <n v="9450"/>
    <x v="8"/>
    <s v="Мудрак Игорь Вадимович"/>
    <s v="С198УЕ"/>
    <x v="27"/>
    <x v="1"/>
    <x v="6"/>
    <m/>
    <x v="54"/>
    <n v="2.8"/>
    <x v="29"/>
    <n v="64080"/>
    <n v="24130"/>
    <n v="10"/>
    <n v="39950"/>
    <n v="35955"/>
    <s v="грин01501"/>
    <x v="57"/>
  </r>
  <r>
    <s v="Акт входного контроля грин01502 от 12.10.2025 10:47:32"/>
    <n v="2317"/>
    <n v="9453"/>
    <x v="8"/>
    <s v="Сероштан Станислав Викторович"/>
    <s v="Е758РЕ"/>
    <x v="27"/>
    <x v="1"/>
    <x v="6"/>
    <m/>
    <x v="54"/>
    <n v="1.7"/>
    <x v="29"/>
    <n v="39390"/>
    <n v="14780"/>
    <n v="16"/>
    <n v="24610"/>
    <n v="20672.400000000001"/>
    <s v="грин01502"/>
    <x v="57"/>
  </r>
  <r>
    <s v="Акт входного контроля грин01503 от 12.10.2025 11:29:42"/>
    <n v="2318"/>
    <n v="9455"/>
    <x v="8"/>
    <s v="Черевко Александр Владимирович"/>
    <s v="А114МК"/>
    <x v="27"/>
    <x v="1"/>
    <x v="6"/>
    <m/>
    <x v="54"/>
    <n v="1.6"/>
    <x v="29"/>
    <n v="37380"/>
    <n v="14610"/>
    <n v="13"/>
    <n v="22770"/>
    <n v="19809.900000000001"/>
    <s v="грин01503"/>
    <x v="57"/>
  </r>
  <r>
    <s v="Акт входного контроля грин01504 от 12.10.2025 12:11:34"/>
    <n v="2320"/>
    <n v="9459"/>
    <x v="8"/>
    <s v="Ховятский АМ"/>
    <s v="Р684ОХ"/>
    <x v="27"/>
    <x v="1"/>
    <x v="6"/>
    <m/>
    <x v="54"/>
    <n v="1.7"/>
    <x v="29"/>
    <n v="38580"/>
    <n v="14490"/>
    <n v="12"/>
    <n v="24090"/>
    <n v="21199.200000000001"/>
    <s v="грин01504"/>
    <x v="57"/>
  </r>
  <r>
    <s v="Акт входного контроля грин01505 от 12.10.2025 13:17:48"/>
    <n v="2321"/>
    <n v="9462"/>
    <x v="8"/>
    <s v="Титаренко Максим Сергеевич"/>
    <s v="О398ХО"/>
    <x v="27"/>
    <x v="1"/>
    <x v="6"/>
    <m/>
    <x v="54"/>
    <n v="1.5"/>
    <x v="29"/>
    <n v="35980"/>
    <n v="14780"/>
    <n v="7"/>
    <n v="21200"/>
    <n v="19716"/>
    <s v="грин01505"/>
    <x v="57"/>
  </r>
  <r>
    <s v="Акт входного контроля грин01506 от 12.10.2025 13:54:43"/>
    <n v="2323"/>
    <n v="9410"/>
    <x v="8"/>
    <s v="Бондаренко Николай Николаевич"/>
    <s v="А315МК"/>
    <x v="27"/>
    <x v="1"/>
    <x v="6"/>
    <m/>
    <x v="54"/>
    <n v="1.5"/>
    <x v="29"/>
    <n v="35870"/>
    <n v="13850"/>
    <n v="9"/>
    <n v="22020"/>
    <n v="20038.2"/>
    <s v="грин01506"/>
    <x v="57"/>
  </r>
  <r>
    <s v="Акт входного контроля грин01507 от 12.10.2025 15:23:07"/>
    <n v="2326"/>
    <n v="9411"/>
    <x v="8"/>
    <s v="Гужва А М."/>
    <s v="Т285ВЕ"/>
    <x v="27"/>
    <x v="1"/>
    <x v="6"/>
    <m/>
    <x v="54"/>
    <n v="1.6"/>
    <x v="29"/>
    <n v="37320"/>
    <n v="14940"/>
    <n v="10"/>
    <n v="22380"/>
    <n v="20142"/>
    <s v="грин01507"/>
    <x v="57"/>
  </r>
  <r>
    <s v="Акт входного контроля грин01508 от 12.10.2025 15:53:44"/>
    <n v="2327"/>
    <n v="9412"/>
    <x v="8"/>
    <s v="Жданов Андрей Иванович"/>
    <s v="С707ОУ"/>
    <x v="27"/>
    <x v="1"/>
    <x v="6"/>
    <m/>
    <x v="54"/>
    <n v="1.5"/>
    <x v="29"/>
    <n v="35520"/>
    <n v="14470"/>
    <n v="10"/>
    <n v="21050"/>
    <n v="18945"/>
    <s v="грин01508"/>
    <x v="57"/>
  </r>
  <r>
    <s v="Акт входного контроля грин01509 от 12.10.2025 16:49:11"/>
    <n v="2328"/>
    <n v="9413"/>
    <x v="8"/>
    <s v="Сотников Сергей Кириллович"/>
    <s v="Т443МВ"/>
    <x v="27"/>
    <x v="1"/>
    <x v="6"/>
    <m/>
    <x v="54"/>
    <n v="1.9"/>
    <x v="29"/>
    <n v="42540"/>
    <n v="15940"/>
    <n v="8"/>
    <n v="26600"/>
    <n v="24472"/>
    <s v="грин01509"/>
    <x v="57"/>
  </r>
  <r>
    <s v="Акт входного контроля грин01510 от 12.10.2025 17:30:00"/>
    <n v="2333"/>
    <n v="9416"/>
    <x v="8"/>
    <s v="Демченко Анатолий Григорьевич"/>
    <s v="Р818СЕ"/>
    <x v="27"/>
    <x v="1"/>
    <x v="6"/>
    <m/>
    <x v="55"/>
    <n v="1.4"/>
    <x v="29"/>
    <n v="38860"/>
    <n v="14960"/>
    <n v="7"/>
    <n v="23900"/>
    <n v="22227"/>
    <s v="грин01510"/>
    <x v="57"/>
  </r>
  <r>
    <s v="Акт входного контроля грин01511 от 12.10.2025 15:28:35"/>
    <n v="2334"/>
    <n v="9417"/>
    <x v="8"/>
    <s v="Затонский Сергей Анатольевич"/>
    <s v="Е647РМ"/>
    <x v="27"/>
    <x v="1"/>
    <x v="6"/>
    <m/>
    <x v="55"/>
    <n v="1.3"/>
    <x v="29"/>
    <n v="36170"/>
    <n v="14740"/>
    <n v="6"/>
    <n v="21430"/>
    <n v="20144.2"/>
    <s v="грин01511"/>
    <x v="57"/>
  </r>
  <r>
    <s v="Акт входного контроля грин01512 от 12.10.2025 21:50:15"/>
    <n v="2335"/>
    <n v="9415"/>
    <x v="8"/>
    <s v="Давыденко Юрий Викторович"/>
    <s v="У094СР"/>
    <x v="27"/>
    <x v="1"/>
    <x v="6"/>
    <m/>
    <x v="55"/>
    <n v="1.5"/>
    <x v="29"/>
    <n v="43410"/>
    <n v="17080"/>
    <n v="6"/>
    <n v="26330"/>
    <n v="24750.2"/>
    <s v="грин01512"/>
    <x v="57"/>
  </r>
  <r>
    <s v="Акт входного контроля грин01513 от 12.10.2025 22:02:04"/>
    <n v="2336"/>
    <n v="9419"/>
    <x v="8"/>
    <s v="Данильченко Ю.А."/>
    <s v="Р347КА"/>
    <x v="27"/>
    <x v="1"/>
    <x v="6"/>
    <m/>
    <x v="55"/>
    <n v="1.5"/>
    <x v="29"/>
    <n v="40210"/>
    <n v="14880"/>
    <n v="4"/>
    <n v="25330"/>
    <n v="24316.799999999999"/>
    <s v="грин01513"/>
    <x v="57"/>
  </r>
  <r>
    <s v="Акт входного контроля грин01514 от 12.10.2025 22:54:00"/>
    <n v="2338"/>
    <n v="9470"/>
    <x v="8"/>
    <s v="Чернецов Александр Михайлович"/>
    <s v="Р866РМ"/>
    <x v="27"/>
    <x v="1"/>
    <x v="6"/>
    <m/>
    <x v="55"/>
    <n v="1.6"/>
    <x v="29"/>
    <n v="42970"/>
    <n v="14970"/>
    <n v="7"/>
    <n v="28000"/>
    <n v="26040"/>
    <s v="грин01514"/>
    <x v="57"/>
  </r>
  <r>
    <s v="Акт входного контроля грин01515 от 12.10.2025 23:27:20"/>
    <n v="2341"/>
    <n v="8041"/>
    <x v="8"/>
    <s v="Ушаков С Е."/>
    <s v="О212РТ"/>
    <x v="27"/>
    <x v="1"/>
    <x v="6"/>
    <m/>
    <x v="55"/>
    <n v="1.5"/>
    <x v="29"/>
    <n v="39970"/>
    <n v="14400"/>
    <n v="12"/>
    <n v="25570"/>
    <n v="22501.599999999999"/>
    <s v="грин01515"/>
    <x v="57"/>
  </r>
  <r>
    <s v="Акт входного контроля грин01516 от 12.10.2025 20:37:59"/>
    <n v="2342"/>
    <n v="9476"/>
    <x v="8"/>
    <s v="Кулинич Евгений Владимирович"/>
    <s v="У801СТ"/>
    <x v="27"/>
    <x v="1"/>
    <x v="6"/>
    <m/>
    <x v="55"/>
    <n v="1.4"/>
    <x v="29"/>
    <n v="39290"/>
    <n v="15100"/>
    <n v="12"/>
    <n v="24190"/>
    <n v="21287.200000000001"/>
    <s v="грин01516"/>
    <x v="57"/>
  </r>
  <r>
    <s v="Акт входного контроля грин01517 от 12.10.2025 21:21:31"/>
    <n v="2343"/>
    <n v="9504"/>
    <x v="8"/>
    <s v="Чернышов Александр Павлович"/>
    <s v="М704ТС"/>
    <x v="27"/>
    <x v="1"/>
    <x v="6"/>
    <m/>
    <x v="55"/>
    <n v="1.4"/>
    <x v="29"/>
    <n v="39920"/>
    <n v="16350"/>
    <n v="7"/>
    <n v="23570"/>
    <n v="21920.1"/>
    <s v="грин01517"/>
    <x v="57"/>
  </r>
  <r>
    <s v="Акт входного контроля грин01518 от 12.10.2025 22:20:30"/>
    <n v="2344"/>
    <n v="9505"/>
    <x v="8"/>
    <s v="Рыбалкин АН"/>
    <s v="Р687УК"/>
    <x v="27"/>
    <x v="1"/>
    <x v="6"/>
    <m/>
    <x v="55"/>
    <n v="1.5"/>
    <x v="29"/>
    <n v="42460"/>
    <n v="16030"/>
    <n v="7"/>
    <n v="26430"/>
    <n v="24579.9"/>
    <s v="грин01518"/>
    <x v="57"/>
  </r>
  <r>
    <s v="Акт входного контроля грин01519 от 13.10.2025 4:53:07"/>
    <n v="2346"/>
    <n v="9506"/>
    <x v="8"/>
    <s v="Глушенко Александр Иванович"/>
    <s v="Н735ВК"/>
    <x v="27"/>
    <x v="1"/>
    <x v="6"/>
    <m/>
    <x v="55"/>
    <n v="1.4"/>
    <x v="29"/>
    <n v="40740"/>
    <n v="16450"/>
    <n v="7"/>
    <n v="24290"/>
    <n v="22589.7"/>
    <s v="грин01519"/>
    <x v="58"/>
  </r>
  <r>
    <s v="Акт входного контроля грин01520 от 13.10.2025 6:12:47"/>
    <n v="2347"/>
    <n v="9507"/>
    <x v="8"/>
    <s v="Веревкин Андрей Александрович"/>
    <s v="Н234ВК"/>
    <x v="27"/>
    <x v="1"/>
    <x v="6"/>
    <m/>
    <x v="55"/>
    <n v="1.5"/>
    <x v="29"/>
    <n v="40490"/>
    <n v="16400"/>
    <n v="9"/>
    <n v="24090"/>
    <n v="21921.9"/>
    <s v="грин01520"/>
    <x v="58"/>
  </r>
  <r>
    <s v="Акт входного контроля грин01521 от 13.10.2025 8:00:42"/>
    <n v="2348"/>
    <n v="9559"/>
    <x v="8"/>
    <s v="Сотников Сергей Кириллович"/>
    <s v="Т443МВ"/>
    <x v="28"/>
    <x v="1"/>
    <x v="6"/>
    <m/>
    <x v="55"/>
    <n v="1.4"/>
    <x v="30"/>
    <n v="37520"/>
    <n v="15680"/>
    <n v="16"/>
    <n v="21840"/>
    <n v="18345.599999999999"/>
    <s v="грин01521"/>
    <x v="58"/>
  </r>
  <r>
    <s v="Акт входного контроля грин01522 от 13.10.2025 22:09:35"/>
    <n v="2350"/>
    <n v="1"/>
    <x v="7"/>
    <s v="Титаренко Максим Сергеевич"/>
    <s v="О398ХО"/>
    <x v="24"/>
    <x v="1"/>
    <x v="5"/>
    <n v="20910"/>
    <x v="56"/>
    <n v="2.5"/>
    <x v="28"/>
    <n v="35650"/>
    <n v="14740"/>
    <n v="29"/>
    <n v="20910"/>
    <n v="14846.1"/>
    <s v="грин01522"/>
    <x v="58"/>
  </r>
  <r>
    <s v="Акт входного контроля грин01523 от 13.10.2025 14:18:30"/>
    <n v="2351"/>
    <n v="1"/>
    <x v="9"/>
    <s v="Никитась Сергей Анатольевич"/>
    <s v="К570ЕО"/>
    <x v="29"/>
    <x v="1"/>
    <x v="7"/>
    <m/>
    <x v="56"/>
    <n v="1.2"/>
    <x v="31"/>
    <n v="40030"/>
    <n v="15160"/>
    <n v="5"/>
    <n v="24870"/>
    <n v="23626.5"/>
    <s v="грин01523"/>
    <x v="58"/>
  </r>
  <r>
    <s v="Акт входного контроля грин01524 от 13.10.2025 17:21:50"/>
    <n v="2353"/>
    <n v="2"/>
    <x v="9"/>
    <s v="Пугачев Сергей Викторович"/>
    <s v="Р258УХ"/>
    <x v="30"/>
    <x v="15"/>
    <x v="7"/>
    <m/>
    <x v="56"/>
    <n v="1.1000000000000001"/>
    <x v="32"/>
    <n v="41510"/>
    <n v="15790"/>
    <n v="5"/>
    <n v="25720"/>
    <n v="24434"/>
    <s v="грин01524"/>
    <x v="58"/>
  </r>
  <r>
    <s v="Акт входного контроля грин01525 от 13.10.2025 19:19:16"/>
    <n v="2355"/>
    <n v="3"/>
    <x v="9"/>
    <s v="Лазаренко Вячеслав Владимирович"/>
    <s v="Т239УС"/>
    <x v="31"/>
    <x v="1"/>
    <x v="7"/>
    <m/>
    <x v="56"/>
    <n v="1.5"/>
    <x v="33"/>
    <n v="39040"/>
    <n v="15070"/>
    <n v="5"/>
    <n v="23970"/>
    <n v="22771.5"/>
    <s v="грин01525"/>
    <x v="58"/>
  </r>
  <r>
    <s v="Акт входного контроля грин01526 от 15.10.2025 22:54:22"/>
    <n v="2363"/>
    <n v="4"/>
    <x v="9"/>
    <s v="Богучарский А. И."/>
    <s v="Е404УС"/>
    <x v="30"/>
    <x v="15"/>
    <x v="7"/>
    <m/>
    <x v="57"/>
    <n v="1"/>
    <x v="32"/>
    <n v="36500"/>
    <n v="13950"/>
    <n v="15"/>
    <n v="22550"/>
    <n v="19167.5"/>
    <s v="грин01526"/>
    <x v="59"/>
  </r>
  <r>
    <s v="Акт входного контроля грин01527 от 15.10.2025 22:57:08"/>
    <n v="2364"/>
    <n v="5"/>
    <x v="9"/>
    <s v="Магадиев Александр Сайлаувич"/>
    <s v="У184НО"/>
    <x v="30"/>
    <x v="15"/>
    <x v="7"/>
    <m/>
    <x v="57"/>
    <n v="1.1000000000000001"/>
    <x v="32"/>
    <n v="39090"/>
    <n v="14640"/>
    <n v="12"/>
    <n v="24450"/>
    <n v="21516"/>
    <s v="грин01527"/>
    <x v="59"/>
  </r>
  <r>
    <s v="Акт входного контроля грин01528 от 15.10.2025 23:18:58"/>
    <n v="2365"/>
    <n v="6"/>
    <x v="9"/>
    <s v="Ревенко Андрей Вячеславович"/>
    <s v="А781РР"/>
    <x v="30"/>
    <x v="15"/>
    <x v="7"/>
    <m/>
    <x v="57"/>
    <n v="1"/>
    <x v="32"/>
    <n v="38780"/>
    <n v="15250"/>
    <n v="9"/>
    <n v="23530"/>
    <n v="21412.3"/>
    <s v="грин01528"/>
    <x v="59"/>
  </r>
  <r>
    <s v="Акт входного контроля грин01529 от 15.10.2025 23:24:17"/>
    <n v="2366"/>
    <n v="7"/>
    <x v="9"/>
    <s v="Кулинич Евгений Владимирович"/>
    <s v="У801СТ"/>
    <x v="30"/>
    <x v="15"/>
    <x v="7"/>
    <m/>
    <x v="57"/>
    <n v="1.2"/>
    <x v="32"/>
    <n v="41350"/>
    <n v="15190"/>
    <n v="6"/>
    <n v="26160"/>
    <n v="24590.400000000001"/>
    <s v="грин01529"/>
    <x v="59"/>
  </r>
  <r>
    <s v="Акт входного контроля грин01530 от 16.10.2025 6:19:50"/>
    <n v="2367"/>
    <n v="8"/>
    <x v="9"/>
    <s v="Емец Р.А."/>
    <s v="У315НХ"/>
    <x v="30"/>
    <x v="15"/>
    <x v="7"/>
    <m/>
    <x v="57"/>
    <n v="1.1000000000000001"/>
    <x v="32"/>
    <n v="41760"/>
    <n v="15730"/>
    <n v="13"/>
    <n v="26030"/>
    <n v="22646.1"/>
    <s v="грин01530"/>
    <x v="60"/>
  </r>
  <r>
    <s v="Акт входного контроля грин01531 от 16.10.2025 6:22:45"/>
    <n v="2368"/>
    <n v="9"/>
    <x v="9"/>
    <s v="Рудик Александр Иванович"/>
    <s v="А309АТ"/>
    <x v="30"/>
    <x v="15"/>
    <x v="7"/>
    <m/>
    <x v="57"/>
    <n v="1.2"/>
    <x v="32"/>
    <n v="42560"/>
    <n v="14950"/>
    <n v="8"/>
    <n v="27610"/>
    <n v="25401.200000000001"/>
    <s v="грин01531"/>
    <x v="60"/>
  </r>
  <r>
    <s v="Акт входного контроля грин01532 от 16.10.2025 6:26:22"/>
    <n v="2369"/>
    <n v="10"/>
    <x v="9"/>
    <s v="Титаренко Максим Сергеевич"/>
    <s v="О398ХО"/>
    <x v="30"/>
    <x v="15"/>
    <x v="7"/>
    <m/>
    <x v="57"/>
    <n v="1"/>
    <x v="32"/>
    <n v="38420"/>
    <n v="14800"/>
    <n v="17"/>
    <n v="23620"/>
    <n v="19604.599999999999"/>
    <s v="грин01532"/>
    <x v="60"/>
  </r>
  <r>
    <s v="Акт входного контроля грин01533 от 16.10.2025 7:39:38"/>
    <n v="2370"/>
    <n v="11"/>
    <x v="9"/>
    <s v="Фомин Николай Григорьевич"/>
    <s v="А731ВА"/>
    <x v="30"/>
    <x v="15"/>
    <x v="7"/>
    <m/>
    <x v="57"/>
    <n v="1.1000000000000001"/>
    <x v="32"/>
    <n v="40190"/>
    <n v="15040"/>
    <n v="10"/>
    <n v="25150"/>
    <n v="22635"/>
    <s v="грин01533"/>
    <x v="60"/>
  </r>
  <r>
    <s v="Акт входного контроля грин01534 от 16.10.2025 10:26:48"/>
    <n v="2371"/>
    <n v="12"/>
    <x v="9"/>
    <s v="Бербеницкий Сергей Николаевич"/>
    <s v="С400РР"/>
    <x v="30"/>
    <x v="15"/>
    <x v="7"/>
    <m/>
    <x v="57"/>
    <n v="1.3"/>
    <x v="32"/>
    <n v="43730"/>
    <n v="15240"/>
    <n v="9"/>
    <n v="28490"/>
    <n v="25925.9"/>
    <s v="грин01534"/>
    <x v="60"/>
  </r>
  <r>
    <s v="Акт входного контроля грин01535 от 16.10.2025 10:23:55"/>
    <n v="2372"/>
    <n v="13"/>
    <x v="9"/>
    <s v="Кудря Евгений"/>
    <s v="А719ОО"/>
    <x v="30"/>
    <x v="15"/>
    <x v="7"/>
    <m/>
    <x v="57"/>
    <n v="1.1000000000000001"/>
    <x v="32"/>
    <n v="40790"/>
    <n v="15300"/>
    <n v="13"/>
    <n v="25490"/>
    <n v="22176.3"/>
    <s v="грин01535"/>
    <x v="60"/>
  </r>
  <r>
    <s v="Акт входного контроля грин01536 от 16.10.2025 6:28:16"/>
    <n v="2373"/>
    <n v="14"/>
    <x v="9"/>
    <s v="Сероштан Станислав Викторович"/>
    <s v="Е758РЕ"/>
    <x v="30"/>
    <x v="15"/>
    <x v="7"/>
    <m/>
    <x v="57"/>
    <n v="1.1000000000000001"/>
    <x v="32"/>
    <n v="39590"/>
    <n v="14910"/>
    <n v="16"/>
    <n v="24680"/>
    <n v="20731.2"/>
    <s v="грин01536"/>
    <x v="60"/>
  </r>
  <r>
    <s v="Акт входного контроля грин01537 от 16.10.2025 12:09:47"/>
    <n v="2378"/>
    <n v="15"/>
    <x v="9"/>
    <s v="Погуляй А.Б.       "/>
    <s v="О824ТХ"/>
    <x v="30"/>
    <x v="15"/>
    <x v="7"/>
    <m/>
    <x v="57"/>
    <n v="1.4"/>
    <x v="32"/>
    <n v="50820"/>
    <n v="18920"/>
    <n v="12"/>
    <n v="31900"/>
    <n v="28072"/>
    <s v="грин01537"/>
    <x v="60"/>
  </r>
  <r>
    <s v="Акт входного контроля грин01538 от 16.10.2025 14:19:30"/>
    <n v="2380"/>
    <n v="16"/>
    <x v="9"/>
    <s v="Кулик О В"/>
    <s v="К403ЕМ"/>
    <x v="30"/>
    <x v="15"/>
    <x v="7"/>
    <m/>
    <x v="57"/>
    <n v="1.4"/>
    <x v="32"/>
    <n v="49390"/>
    <n v="17650"/>
    <n v="13"/>
    <n v="31740"/>
    <n v="27613.8"/>
    <s v="грин01538"/>
    <x v="60"/>
  </r>
  <r>
    <s v="Акт входного контроля грин01539 от 16.10.2025 16:34:55"/>
    <n v="2385"/>
    <n v="17"/>
    <x v="9"/>
    <s v="Мудрак Вадим Васильевич"/>
    <s v="Х514ОК"/>
    <x v="30"/>
    <x v="15"/>
    <x v="7"/>
    <m/>
    <x v="57"/>
    <n v="1.9"/>
    <x v="32"/>
    <n v="63670"/>
    <n v="21410"/>
    <n v="10"/>
    <n v="42260"/>
    <n v="38034"/>
    <s v="грин01539"/>
    <x v="60"/>
  </r>
  <r>
    <s v="Акт входного контроля грин01540 от 16.10.2025 16:40:20"/>
    <n v="2387"/>
    <n v="18"/>
    <x v="9"/>
    <s v="Огнев Максим Викторович"/>
    <s v="Р755НН"/>
    <x v="30"/>
    <x v="15"/>
    <x v="7"/>
    <m/>
    <x v="58"/>
    <n v="1.1000000000000001"/>
    <x v="32"/>
    <n v="40550"/>
    <n v="14940"/>
    <n v="13"/>
    <n v="25610"/>
    <n v="22280.7"/>
    <s v="грин01540"/>
    <x v="60"/>
  </r>
  <r>
    <s v="Акт входного контроля грин01541 от 16.10.2025 16:55:06"/>
    <n v="2388"/>
    <n v="20"/>
    <x v="9"/>
    <s v="Аладин Василий Сергеевич"/>
    <s v="Т110ТМ"/>
    <x v="30"/>
    <x v="15"/>
    <x v="7"/>
    <m/>
    <x v="58"/>
    <n v="0.9"/>
    <x v="32"/>
    <n v="35970"/>
    <n v="15110"/>
    <n v="15"/>
    <n v="20860"/>
    <n v="17731"/>
    <s v="грин01541"/>
    <x v="60"/>
  </r>
  <r>
    <s v="Акт входного контроля грин01542 от 16.10.2025 17:16:12"/>
    <n v="2389"/>
    <n v="19"/>
    <x v="9"/>
    <s v="Дик Илья Александрович"/>
    <s v="М556ХВ"/>
    <x v="30"/>
    <x v="15"/>
    <x v="7"/>
    <m/>
    <x v="58"/>
    <n v="1.4"/>
    <x v="32"/>
    <n v="47070"/>
    <n v="15930"/>
    <n v="17"/>
    <n v="31140"/>
    <n v="25846.2"/>
    <s v="грин01542"/>
    <x v="60"/>
  </r>
  <r>
    <s v="Акт входного контроля грин01543 от 16.10.2025 19:19:59"/>
    <n v="2390"/>
    <n v="22"/>
    <x v="9"/>
    <s v="Пищев Александр Васильевич "/>
    <s v="Т522ОН"/>
    <x v="30"/>
    <x v="15"/>
    <x v="7"/>
    <m/>
    <x v="58"/>
    <n v="1.5"/>
    <x v="32"/>
    <n v="53680"/>
    <n v="19660"/>
    <n v="17"/>
    <n v="34020"/>
    <n v="28236.6"/>
    <s v="грин01543"/>
    <x v="60"/>
  </r>
  <r>
    <s v="Акт входного контроля грин01544 от 16.10.2025 21:43:34"/>
    <n v="2393"/>
    <n v="21"/>
    <x v="9"/>
    <s v="Блажко Алексей Николаевич"/>
    <s v="М676КО"/>
    <x v="30"/>
    <x v="15"/>
    <x v="7"/>
    <m/>
    <x v="58"/>
    <n v="1.8"/>
    <x v="32"/>
    <n v="64850"/>
    <n v="24610"/>
    <n v="6"/>
    <n v="40240"/>
    <n v="37825.599999999999"/>
    <s v="грин01544"/>
    <x v="60"/>
  </r>
  <r>
    <s v="Акт входного контроля грин01545 от 16.10.2025 23:35:30"/>
    <n v="2394"/>
    <n v="23"/>
    <x v="9"/>
    <s v="Мудрак Игорь Вадимович"/>
    <s v="С198УЕ"/>
    <x v="30"/>
    <x v="15"/>
    <x v="7"/>
    <m/>
    <x v="58"/>
    <n v="1.7"/>
    <x v="32"/>
    <n v="63210"/>
    <n v="24240"/>
    <n v="17"/>
    <n v="38970"/>
    <n v="32345.1"/>
    <s v="грин01545"/>
    <x v="60"/>
  </r>
  <r>
    <s v="Акт входного контроля грин01546 от 16.10.2025 19:03:04"/>
    <n v="2395"/>
    <n v="25"/>
    <x v="9"/>
    <s v="Чернецов Александр Михайлович"/>
    <s v="Р866РМ"/>
    <x v="30"/>
    <x v="15"/>
    <x v="7"/>
    <m/>
    <x v="58"/>
    <n v="1.3"/>
    <x v="32"/>
    <n v="43820"/>
    <n v="15240"/>
    <n v="6"/>
    <n v="28580"/>
    <n v="26865.200000000001"/>
    <s v="грин01546"/>
    <x v="60"/>
  </r>
  <r>
    <s v="Акт входного контроля грин01547 от 16.10.2025 19:46:30"/>
    <n v="2396"/>
    <n v="24"/>
    <x v="9"/>
    <s v="Егоян Артем Владимирович"/>
    <s v="А701СН"/>
    <x v="30"/>
    <x v="15"/>
    <x v="7"/>
    <m/>
    <x v="58"/>
    <n v="1.1000000000000001"/>
    <x v="32"/>
    <n v="39450"/>
    <n v="15180"/>
    <n v="10"/>
    <n v="24270"/>
    <n v="21843"/>
    <s v="грин01547"/>
    <x v="60"/>
  </r>
  <r>
    <s v="Акт входного контроля грин01548 от 16.10.2025 21:11:18"/>
    <n v="2398"/>
    <n v="27"/>
    <x v="9"/>
    <s v="Ушаков С Е."/>
    <s v="О212РТ"/>
    <x v="30"/>
    <x v="15"/>
    <x v="7"/>
    <m/>
    <x v="58"/>
    <n v="1.2"/>
    <x v="32"/>
    <n v="42810"/>
    <n v="14600"/>
    <n v="12"/>
    <n v="28210"/>
    <n v="24824.799999999999"/>
    <s v="грин01548"/>
    <x v="60"/>
  </r>
  <r>
    <s v="Акт входного контроля грин01549 от 16.10.2025 21:21:28"/>
    <n v="2399"/>
    <n v="26"/>
    <x v="9"/>
    <s v="Лазаренко Вячеслав Владимирович"/>
    <s v="Т239УС"/>
    <x v="30"/>
    <x v="15"/>
    <x v="7"/>
    <m/>
    <x v="58"/>
    <n v="1.2"/>
    <x v="32"/>
    <n v="42560"/>
    <n v="15130"/>
    <n v="9"/>
    <n v="27430"/>
    <n v="24961.3"/>
    <s v="грин01549"/>
    <x v="60"/>
  </r>
  <r>
    <s v="Акт входного контроля грин01550 от 16.10.2025 22:40:19"/>
    <n v="2401"/>
    <n v="28"/>
    <x v="9"/>
    <s v="Никитась Сергей Анатольевич"/>
    <s v="К570ЕО"/>
    <x v="30"/>
    <x v="15"/>
    <x v="7"/>
    <m/>
    <x v="58"/>
    <n v="1.2"/>
    <x v="32"/>
    <n v="43310"/>
    <n v="15310"/>
    <n v="12"/>
    <n v="28000"/>
    <n v="24640"/>
    <s v="грин01550"/>
    <x v="60"/>
  </r>
  <r>
    <s v="Акт входного контроля грин01551 от 16.10.2025 22:58:09"/>
    <n v="2402"/>
    <n v="29"/>
    <x v="9"/>
    <s v="Черевко Александр Владимирович"/>
    <s v="А114МК"/>
    <x v="30"/>
    <x v="15"/>
    <x v="7"/>
    <m/>
    <x v="58"/>
    <n v="1"/>
    <x v="32"/>
    <n v="37530"/>
    <n v="14680"/>
    <n v="16"/>
    <n v="22850"/>
    <n v="19194"/>
    <s v="грин01551"/>
    <x v="60"/>
  </r>
  <r>
    <s v="Акт входного контроля грин01552 от 16.10.2025 23:45:42"/>
    <n v="2403"/>
    <n v="30"/>
    <x v="9"/>
    <s v="Богучарский А. И."/>
    <s v="Е404УС"/>
    <x v="30"/>
    <x v="15"/>
    <x v="7"/>
    <m/>
    <x v="58"/>
    <n v="1"/>
    <x v="32"/>
    <n v="36800"/>
    <n v="13980"/>
    <n v="17"/>
    <n v="22820"/>
    <n v="18940.599999999999"/>
    <s v="грин01552"/>
    <x v="60"/>
  </r>
  <r>
    <s v="Акт входного контроля грин01553 от 17.10.2025 10:57:20"/>
    <n v="2405"/>
    <n v="31"/>
    <x v="9"/>
    <s v="Кудря Евгений"/>
    <s v="А719ОО"/>
    <x v="30"/>
    <x v="15"/>
    <x v="7"/>
    <m/>
    <x v="58"/>
    <n v="1"/>
    <x v="32"/>
    <n v="37870"/>
    <n v="15230"/>
    <n v="14"/>
    <n v="22640"/>
    <n v="19470.400000000001"/>
    <s v="грин01553"/>
    <x v="61"/>
  </r>
  <r>
    <s v="Акт входного контроля грин01554 от 17.10.2025 12:04:55"/>
    <n v="2406"/>
    <n v="32"/>
    <x v="9"/>
    <s v="Титаренко Максим Сергеевич"/>
    <s v="О398ХО"/>
    <x v="30"/>
    <x v="15"/>
    <x v="7"/>
    <m/>
    <x v="58"/>
    <n v="1"/>
    <x v="32"/>
    <n v="37820"/>
    <n v="14860"/>
    <n v="9"/>
    <n v="22960"/>
    <n v="20893.599999999999"/>
    <s v="грин01554"/>
    <x v="61"/>
  </r>
  <r>
    <s v="Акт входного контроля грин01555 от 17.10.2025 13:46:22"/>
    <n v="2407"/>
    <n v="33"/>
    <x v="9"/>
    <s v="Рудик Александр Иванович"/>
    <s v="А309АТ"/>
    <x v="30"/>
    <x v="15"/>
    <x v="7"/>
    <m/>
    <x v="58"/>
    <n v="1.2"/>
    <x v="32"/>
    <n v="41270"/>
    <n v="14850"/>
    <n v="15"/>
    <n v="26420"/>
    <n v="22457"/>
    <s v="грин01555"/>
    <x v="61"/>
  </r>
  <r>
    <s v="Акт входного контроля грин01556 от 17.10.2025 15:20:56"/>
    <n v="2408"/>
    <n v="34"/>
    <x v="9"/>
    <s v="Майстровский В.Н."/>
    <s v="М057АО"/>
    <x v="30"/>
    <x v="15"/>
    <x v="7"/>
    <m/>
    <x v="58"/>
    <n v="1.1000000000000001"/>
    <x v="32"/>
    <n v="39310"/>
    <n v="14660"/>
    <n v="15"/>
    <n v="24650"/>
    <n v="20952.5"/>
    <s v="грин01556"/>
    <x v="61"/>
  </r>
  <r>
    <s v="Акт входного контроля грин01557 от 17.10.2025 16:11:42"/>
    <n v="2409"/>
    <n v="35"/>
    <x v="9"/>
    <s v="Долгих Николай Петрович"/>
    <s v="У726ЕР"/>
    <x v="30"/>
    <x v="15"/>
    <x v="7"/>
    <m/>
    <x v="58"/>
    <n v="1.1000000000000001"/>
    <x v="32"/>
    <n v="39690"/>
    <n v="15260"/>
    <n v="15"/>
    <n v="24430"/>
    <n v="20765.5"/>
    <s v="грин01557"/>
    <x v="61"/>
  </r>
  <r>
    <s v="Акт входного контроля грин01558 от 17.10.2025 17:27:31"/>
    <n v="2410"/>
    <n v="36"/>
    <x v="9"/>
    <s v="Кулинич Евгений Владимирович"/>
    <s v="У801СТ"/>
    <x v="30"/>
    <x v="15"/>
    <x v="7"/>
    <m/>
    <x v="58"/>
    <n v="1.1000000000000001"/>
    <x v="32"/>
    <n v="39480"/>
    <n v="15210"/>
    <n v="12"/>
    <n v="24270"/>
    <n v="21357.599999999999"/>
    <s v="грин01558"/>
    <x v="61"/>
  </r>
  <r>
    <s v="Акт входного контроля грин01559 от 17.10.2025 18:36:39"/>
    <n v="2412"/>
    <n v="39"/>
    <x v="9"/>
    <s v="Сероштан Станислав Викторович"/>
    <s v="Е758РЕ"/>
    <x v="30"/>
    <x v="15"/>
    <x v="7"/>
    <m/>
    <x v="58"/>
    <n v="1.1000000000000001"/>
    <x v="32"/>
    <n v="39070"/>
    <n v="14820"/>
    <n v="13"/>
    <n v="24250"/>
    <n v="21097.5"/>
    <s v="грин01559"/>
    <x v="61"/>
  </r>
  <r>
    <s v="Акт входного контроля грин01560 от 17.10.2025 22:40:27"/>
    <n v="2420"/>
    <n v="37"/>
    <x v="9"/>
    <s v="Жданов Андрей Иванович"/>
    <s v="С707ОУ"/>
    <x v="30"/>
    <x v="15"/>
    <x v="7"/>
    <m/>
    <x v="59"/>
    <n v="0.9"/>
    <x v="32"/>
    <n v="35460"/>
    <n v="14470"/>
    <n v="11"/>
    <n v="20990"/>
    <n v="18681.099999999999"/>
    <s v="грин01560"/>
    <x v="61"/>
  </r>
  <r>
    <s v="Акт входного контроля грин01561 от 17.10.2025 22:43:05"/>
    <n v="2422"/>
    <n v="38"/>
    <x v="9"/>
    <s v="Гужва А М."/>
    <s v="Т285ВЕ"/>
    <x v="30"/>
    <x v="15"/>
    <x v="7"/>
    <m/>
    <x v="59"/>
    <n v="1"/>
    <x v="32"/>
    <n v="38040"/>
    <n v="14950"/>
    <n v="9"/>
    <n v="23090"/>
    <n v="21011.9"/>
    <s v="грин01561"/>
    <x v="61"/>
  </r>
  <r>
    <s v="Акт входного контроля грин01562 от 17.10.2025 22:45:10"/>
    <n v="2423"/>
    <n v="40"/>
    <x v="9"/>
    <s v="Бербеницкий Сергей Николаевич"/>
    <s v="С400РР"/>
    <x v="30"/>
    <x v="15"/>
    <x v="7"/>
    <m/>
    <x v="59"/>
    <n v="1.2"/>
    <x v="32"/>
    <n v="43530"/>
    <n v="15170"/>
    <n v="7"/>
    <n v="28360"/>
    <n v="26374.799999999999"/>
    <s v="грин01562"/>
    <x v="61"/>
  </r>
  <r>
    <s v="Акт входного контроля грин01563 от 17.10.2025 23:11:48"/>
    <n v="2425"/>
    <n v="41"/>
    <x v="9"/>
    <s v="Фомин Николай Григорьевич"/>
    <s v="А731ВА"/>
    <x v="30"/>
    <x v="15"/>
    <x v="7"/>
    <m/>
    <x v="59"/>
    <n v="1.1000000000000001"/>
    <x v="32"/>
    <n v="40890"/>
    <n v="15100"/>
    <n v="9"/>
    <n v="25790"/>
    <n v="23468.9"/>
    <s v="грин01563"/>
    <x v="61"/>
  </r>
  <r>
    <s v="Акт входного контроля грин01564 от 17.10.2025 20:04:02"/>
    <n v="2426"/>
    <n v="1"/>
    <x v="7"/>
    <s v="Черевко Александр Владимирович"/>
    <s v="А114МК"/>
    <x v="24"/>
    <x v="1"/>
    <x v="5"/>
    <n v="23420"/>
    <x v="59"/>
    <n v="2.8"/>
    <x v="28"/>
    <n v="38270"/>
    <n v="14850"/>
    <n v="34"/>
    <n v="23420"/>
    <n v="15457.2"/>
    <s v="грин01564"/>
    <x v="61"/>
  </r>
  <r>
    <s v="Акт входного контроля грин01565 от 17.10.2025 20:54:22"/>
    <n v="2428"/>
    <n v="10008"/>
    <x v="8"/>
    <s v="Чернышов Александр Павлович"/>
    <s v="М704ТС"/>
    <x v="28"/>
    <x v="1"/>
    <x v="6"/>
    <m/>
    <x v="59"/>
    <n v="1.6"/>
    <x v="30"/>
    <n v="41210"/>
    <n v="16330"/>
    <n v="18"/>
    <n v="24880"/>
    <n v="20401.599999999999"/>
    <s v="грин01565"/>
    <x v="61"/>
  </r>
  <r>
    <s v="Акт входного контроля грин01566 от 17.10.2025 21:13:41"/>
    <n v="2429"/>
    <n v="42"/>
    <x v="9"/>
    <s v="Емец Р.А."/>
    <s v="У315НХ"/>
    <x v="30"/>
    <x v="15"/>
    <x v="7"/>
    <m/>
    <x v="59"/>
    <n v="1.1000000000000001"/>
    <x v="32"/>
    <n v="42020"/>
    <n v="15700"/>
    <n v="10"/>
    <n v="26320"/>
    <n v="23688"/>
    <s v="грин01566"/>
    <x v="61"/>
  </r>
  <r>
    <s v="Акт входного контроля грин01567 от 17.10.2025 21:48:12"/>
    <n v="2430"/>
    <n v="43"/>
    <x v="9"/>
    <s v="Магадиев Александр Сайлаувич"/>
    <s v="У184НО"/>
    <x v="30"/>
    <x v="15"/>
    <x v="7"/>
    <m/>
    <x v="59"/>
    <n v="1"/>
    <x v="32"/>
    <n v="38530"/>
    <n v="14580"/>
    <n v="8"/>
    <n v="23950"/>
    <n v="22034"/>
    <s v="грин01567"/>
    <x v="61"/>
  </r>
  <r>
    <s v="Акт входного контроля грин01568 от 17.10.2025 22:47:50"/>
    <n v="2432"/>
    <n v="44"/>
    <x v="9"/>
    <s v="Ревенко Андрей Вячеславович"/>
    <s v="А781РР"/>
    <x v="30"/>
    <x v="15"/>
    <x v="7"/>
    <m/>
    <x v="59"/>
    <n v="0.9"/>
    <x v="32"/>
    <n v="37660"/>
    <n v="15240"/>
    <n v="10"/>
    <n v="22420"/>
    <n v="20178"/>
    <s v="грин01568"/>
    <x v="61"/>
  </r>
  <r>
    <s v="Акт входного контроля грин01569 от 18.10.2025 7:20:07"/>
    <n v="2434"/>
    <n v="45"/>
    <x v="9"/>
    <s v="Погуляй А.Б.       "/>
    <s v="О824ТХ"/>
    <x v="30"/>
    <x v="15"/>
    <x v="7"/>
    <m/>
    <x v="59"/>
    <n v="1.3"/>
    <x v="32"/>
    <n v="50510"/>
    <n v="18770"/>
    <n v="8"/>
    <n v="31740"/>
    <n v="29200.799999999999"/>
    <s v="грин01569"/>
    <x v="62"/>
  </r>
  <r>
    <s v="Акт входного контроля грин01570 от 18.10.2025 7:22:28"/>
    <n v="2435"/>
    <n v="46"/>
    <x v="9"/>
    <s v="Кулик О В"/>
    <s v="К403ЕМ"/>
    <x v="30"/>
    <x v="15"/>
    <x v="7"/>
    <m/>
    <x v="59"/>
    <n v="1.3"/>
    <x v="32"/>
    <n v="47860"/>
    <n v="17550"/>
    <n v="9"/>
    <n v="30310"/>
    <n v="27582.1"/>
    <s v="грин01570"/>
    <x v="62"/>
  </r>
  <r>
    <s v="Акт входного контроля грин01571 от 18.10.2025 8:22:05"/>
    <n v="2436"/>
    <n v="2"/>
    <x v="9"/>
    <s v="Пугачев Сергей Викторович"/>
    <s v="Р258УХ"/>
    <x v="30"/>
    <x v="15"/>
    <x v="7"/>
    <m/>
    <x v="59"/>
    <n v="1.2"/>
    <x v="32"/>
    <n v="43740"/>
    <n v="15820"/>
    <n v="13"/>
    <n v="27920"/>
    <n v="24290.400000000001"/>
    <s v="грин01571"/>
    <x v="62"/>
  </r>
  <r>
    <s v="Акт входного контроля грин01572 от 18.10.2025 10:07:17"/>
    <n v="2437"/>
    <n v="48"/>
    <x v="9"/>
    <s v="Мудрак Вадим Васильевич"/>
    <s v="Х514ОК"/>
    <x v="31"/>
    <x v="15"/>
    <x v="7"/>
    <m/>
    <x v="59"/>
    <n v="1.7"/>
    <x v="33"/>
    <n v="62760"/>
    <n v="21360"/>
    <n v="14"/>
    <n v="41400"/>
    <n v="35604"/>
    <s v="грин01572"/>
    <x v="62"/>
  </r>
  <r>
    <s v="Акт входного контроля грин01573 от 18.10.2025 11:52:50"/>
    <n v="2439"/>
    <n v="49"/>
    <x v="9"/>
    <s v="Дик Илья Александрович"/>
    <s v="М556ХВ"/>
    <x v="31"/>
    <x v="15"/>
    <x v="7"/>
    <m/>
    <x v="59"/>
    <n v="1.3"/>
    <x v="33"/>
    <n v="46500"/>
    <n v="15850"/>
    <n v="11"/>
    <n v="30650"/>
    <n v="27278.5"/>
    <s v="грин01573"/>
    <x v="62"/>
  </r>
  <r>
    <s v="Акт входного контроля грин01574 от 18.10.2025 14:01:57"/>
    <n v="2445"/>
    <n v="50"/>
    <x v="9"/>
    <s v="Пищев Александр Васильевич "/>
    <s v="Т522ОН"/>
    <x v="31"/>
    <x v="15"/>
    <x v="7"/>
    <m/>
    <x v="59"/>
    <n v="1.5"/>
    <x v="33"/>
    <n v="54440"/>
    <n v="19540"/>
    <n v="16"/>
    <n v="34900"/>
    <n v="29316"/>
    <s v="грин01574"/>
    <x v="62"/>
  </r>
  <r>
    <s v="Акт входного контроля грин01575 от 18.10.2025 17:17:11"/>
    <n v="2446"/>
    <n v="51"/>
    <x v="9"/>
    <s v="Блажко Алексей Николаевич"/>
    <s v="М676КО"/>
    <x v="31"/>
    <x v="15"/>
    <x v="7"/>
    <m/>
    <x v="59"/>
    <n v="1.7"/>
    <x v="33"/>
    <n v="64490"/>
    <n v="24530"/>
    <n v="8"/>
    <n v="39960"/>
    <n v="36763.199999999997"/>
    <s v="грин01575"/>
    <x v="62"/>
  </r>
  <r>
    <s v="Акт входного контроля грин01576 от 18.10.2025 17:30:04"/>
    <n v="2448"/>
    <n v="53"/>
    <x v="9"/>
    <s v="Чернецов Александр Михайлович"/>
    <s v="Р866РМ"/>
    <x v="31"/>
    <x v="15"/>
    <x v="7"/>
    <m/>
    <x v="60"/>
    <n v="1.2"/>
    <x v="33"/>
    <n v="43460"/>
    <n v="15070"/>
    <n v="13"/>
    <n v="28390"/>
    <n v="24699.3"/>
    <s v="грин01576"/>
    <x v="62"/>
  </r>
  <r>
    <s v="Акт входного контроля грин01577 от 18.10.2025 20:15:08"/>
    <n v="2449"/>
    <n v="52"/>
    <x v="9"/>
    <s v="Мудрак Игорь Вадимович"/>
    <s v="С198УЕ"/>
    <x v="31"/>
    <x v="15"/>
    <x v="7"/>
    <m/>
    <x v="60"/>
    <n v="1.5"/>
    <x v="33"/>
    <n v="60950"/>
    <n v="24240"/>
    <n v="50"/>
    <n v="36710"/>
    <n v="18355"/>
    <s v="грин01577"/>
    <x v="62"/>
  </r>
  <r>
    <s v="Акт входного контроля грин01578 от 18.10.2025 21:13:23"/>
    <n v="2450"/>
    <n v="54"/>
    <x v="9"/>
    <s v="Ушаков С Е."/>
    <s v="О212РТ"/>
    <x v="31"/>
    <x v="15"/>
    <x v="7"/>
    <m/>
    <x v="60"/>
    <n v="1.1000000000000001"/>
    <x v="33"/>
    <n v="41100"/>
    <n v="14440"/>
    <n v="10"/>
    <n v="26660"/>
    <n v="23994"/>
    <s v="грин01578"/>
    <x v="62"/>
  </r>
  <r>
    <s v="Акт входного контроля грин01579 от 18.10.2025 23:32:45"/>
    <n v="2451"/>
    <n v="55"/>
    <x v="9"/>
    <s v="Лазаренко Вячеслав Владимирович"/>
    <s v="Т239УС"/>
    <x v="31"/>
    <x v="15"/>
    <x v="7"/>
    <m/>
    <x v="60"/>
    <n v="1.1000000000000001"/>
    <x v="33"/>
    <n v="40580"/>
    <n v="15010"/>
    <n v="11"/>
    <n v="25570"/>
    <n v="22757.3"/>
    <s v="грин01579"/>
    <x v="62"/>
  </r>
  <r>
    <s v="Акт входного контроля грин01580 от 18.10.2025 23:38:53"/>
    <n v="2453"/>
    <n v="56"/>
    <x v="9"/>
    <s v="Никитась Сергей Анатольевич"/>
    <s v="К570ЕО"/>
    <x v="31"/>
    <x v="15"/>
    <x v="7"/>
    <m/>
    <x v="60"/>
    <n v="1.1000000000000001"/>
    <x v="33"/>
    <n v="41980"/>
    <n v="15250"/>
    <n v="39"/>
    <n v="26730"/>
    <n v="16305.3"/>
    <s v="грин01580"/>
    <x v="62"/>
  </r>
  <r>
    <s v="Акт входного контроля грин01581 от 18.10.2025 16:43:52"/>
    <n v="2454"/>
    <n v="57"/>
    <x v="9"/>
    <s v="Титаренко Максим Сергеевич"/>
    <s v="О398ХО"/>
    <x v="31"/>
    <x v="15"/>
    <x v="7"/>
    <m/>
    <x v="60"/>
    <n v="0.9"/>
    <x v="33"/>
    <n v="36080"/>
    <n v="14880"/>
    <n v="24"/>
    <n v="21200"/>
    <n v="16112"/>
    <s v="грин01581"/>
    <x v="62"/>
  </r>
  <r>
    <s v="Акт входного контроля грин01582 от 18.10.2025 18:33:44"/>
    <n v="2455"/>
    <n v="56"/>
    <x v="9"/>
    <s v="Долгих Николай Петрович"/>
    <s v="У726ЕР"/>
    <x v="31"/>
    <x v="15"/>
    <x v="7"/>
    <m/>
    <x v="60"/>
    <n v="1"/>
    <x v="33"/>
    <n v="40240"/>
    <n v="15140"/>
    <n v="27"/>
    <n v="25100"/>
    <n v="18323"/>
    <s v="грин01582"/>
    <x v="62"/>
  </r>
  <r>
    <s v="Акт входного контроля грин01583 от 18.10.2025 19:12:16"/>
    <n v="2456"/>
    <n v="58"/>
    <x v="9"/>
    <s v="Майстровский В.Н."/>
    <s v="М057АО"/>
    <x v="31"/>
    <x v="15"/>
    <x v="7"/>
    <m/>
    <x v="60"/>
    <n v="1"/>
    <x v="33"/>
    <n v="39560"/>
    <n v="14640"/>
    <n v="17"/>
    <n v="24920"/>
    <n v="20683.599999999999"/>
    <s v="грин01583"/>
    <x v="62"/>
  </r>
  <r>
    <s v="Акт входного контроля грин01584 от 18.10.2025 19:37:08"/>
    <n v="2457"/>
    <n v="60"/>
    <x v="9"/>
    <s v="Кулинич Евгений Владимирович"/>
    <s v="У801СТ"/>
    <x v="31"/>
    <x v="15"/>
    <x v="7"/>
    <m/>
    <x v="60"/>
    <n v="1"/>
    <x v="33"/>
    <n v="40410"/>
    <n v="15220"/>
    <n v="4"/>
    <n v="25190"/>
    <n v="24182.400000000001"/>
    <s v="грин01584"/>
    <x v="62"/>
  </r>
  <r>
    <s v="Акт входного контроля грин01585 от 18.10.2025 21:27:12"/>
    <n v="2460"/>
    <n v="61"/>
    <x v="9"/>
    <s v="Бербеницкий Сергей Николаевич"/>
    <s v="С400РР"/>
    <x v="31"/>
    <x v="15"/>
    <x v="7"/>
    <m/>
    <x v="60"/>
    <n v="1.1000000000000001"/>
    <x v="33"/>
    <n v="42550"/>
    <n v="15310"/>
    <n v="10"/>
    <n v="27240"/>
    <n v="24516"/>
    <s v="грин01585"/>
    <x v="62"/>
  </r>
  <r>
    <s v="Акт входного контроля грин01586 от 18.10.2025 23:57:37"/>
    <n v="2464"/>
    <n v="63"/>
    <x v="9"/>
    <s v="Гужва А М."/>
    <s v="Т285ВЕ"/>
    <x v="31"/>
    <x v="15"/>
    <x v="7"/>
    <m/>
    <x v="60"/>
    <n v="0.9"/>
    <x v="33"/>
    <n v="36350"/>
    <n v="14960"/>
    <n v="7"/>
    <n v="21390"/>
    <n v="19892.7"/>
    <s v="грин01586"/>
    <x v="62"/>
  </r>
  <r>
    <s v="Акт входного контроля грин01587 от 19.10.2025 10:52:28"/>
    <n v="2465"/>
    <n v="64"/>
    <x v="9"/>
    <s v="Жданов Андрей Иванович"/>
    <s v="С707ОУ"/>
    <x v="31"/>
    <x v="15"/>
    <x v="7"/>
    <m/>
    <x v="60"/>
    <n v="0.9"/>
    <x v="33"/>
    <n v="35300"/>
    <n v="14520"/>
    <n v="39"/>
    <n v="20780"/>
    <n v="12675.8"/>
    <s v="грин01587"/>
    <x v="63"/>
  </r>
  <r>
    <s v="Акт входного контроля грин01588 от 19.10.2025 11:00:50"/>
    <n v="2466"/>
    <n v="70"/>
    <x v="9"/>
    <s v="Емец Р.А."/>
    <s v="У315НХ"/>
    <x v="31"/>
    <x v="15"/>
    <x v="7"/>
    <m/>
    <x v="60"/>
    <n v="1"/>
    <x v="33"/>
    <n v="39400"/>
    <n v="15610"/>
    <n v="7"/>
    <n v="23790"/>
    <n v="22124.7"/>
    <s v="грин01588"/>
    <x v="63"/>
  </r>
  <r>
    <s v="Акт входного контроля грин01589 от 18.10.2025 21:49:58"/>
    <n v="2461"/>
    <n v="62"/>
    <x v="9"/>
    <s v="Фомин Николай Григорьевич"/>
    <s v="А731ВА"/>
    <x v="31"/>
    <x v="15"/>
    <x v="7"/>
    <m/>
    <x v="60"/>
    <n v="0.9"/>
    <x v="33"/>
    <n v="37430"/>
    <n v="15010"/>
    <n v="17"/>
    <n v="22420"/>
    <n v="18608.599999999999"/>
    <s v="грин01589"/>
    <x v="62"/>
  </r>
  <r>
    <s v="Акт входного контроля грин01590 от 19.10.2025 11:18:31"/>
    <n v="2468"/>
    <n v="66"/>
    <x v="9"/>
    <s v="Сероштан Станислав Викторович"/>
    <s v="Е758РЕ"/>
    <x v="31"/>
    <x v="15"/>
    <x v="7"/>
    <m/>
    <x v="60"/>
    <n v="1.1000000000000001"/>
    <x v="33"/>
    <n v="40080"/>
    <n v="14840"/>
    <n v="6"/>
    <n v="25240"/>
    <n v="23725.599999999999"/>
    <s v="грин01590"/>
    <x v="63"/>
  </r>
  <r>
    <s v="Акт входного контроля грин01591 от 18.10.2025 19:45:47"/>
    <n v="2458"/>
    <n v="1"/>
    <x v="7"/>
    <s v="Богучарский А. И."/>
    <s v="Е404УС"/>
    <x v="25"/>
    <x v="1"/>
    <x v="5"/>
    <n v="22230"/>
    <x v="60"/>
    <n v="2.7"/>
    <x v="28"/>
    <n v="36250"/>
    <n v="14020"/>
    <n v="34"/>
    <n v="22230"/>
    <n v="14671.8"/>
    <s v="грин01591"/>
    <x v="62"/>
  </r>
  <r>
    <s v="Акт входного контроля грин01592 от 19.10.2025 13:52:44"/>
    <n v="2467"/>
    <n v="3"/>
    <x v="7"/>
    <s v="Кулик О В"/>
    <s v="К403ЕМ"/>
    <x v="25"/>
    <x v="1"/>
    <x v="5"/>
    <n v="9080"/>
    <x v="60"/>
    <n v="1.1000000000000001"/>
    <x v="28"/>
    <n v="26720"/>
    <n v="17640"/>
    <n v="5"/>
    <n v="9080"/>
    <n v="8626"/>
    <s v="грин01592"/>
    <x v="63"/>
  </r>
  <r>
    <s v="Акт входного контроля грин01593 от 18.10.2025 23:19:04"/>
    <n v="2463"/>
    <n v="2"/>
    <x v="7"/>
    <s v="Погуляй А.Б.       "/>
    <s v="О824ТХ"/>
    <x v="25"/>
    <x v="1"/>
    <x v="5"/>
    <n v="32910"/>
    <x v="60"/>
    <n v="3.9"/>
    <x v="28"/>
    <n v="51770"/>
    <n v="18860"/>
    <n v="25"/>
    <n v="32910"/>
    <n v="24682.5"/>
    <s v="грин01593"/>
    <x v="62"/>
  </r>
  <r>
    <s v="Акт входного контроля грин01594 от 19.10.2025 3:31:52"/>
    <n v="2469"/>
    <n v="65"/>
    <x v="9"/>
    <s v="Пугачев Сергей Викторович"/>
    <s v="Р258УХ"/>
    <x v="31"/>
    <x v="1"/>
    <x v="7"/>
    <m/>
    <x v="60"/>
    <n v="1.8"/>
    <x v="33"/>
    <n v="44210"/>
    <n v="15900"/>
    <n v="6"/>
    <n v="28310"/>
    <n v="26611.4"/>
    <s v="грин01594"/>
    <x v="63"/>
  </r>
  <r>
    <s v="Акт входного контроля грин01595 от 19.10.2025 15:53:39"/>
    <n v="2470"/>
    <n v="67"/>
    <x v="9"/>
    <s v="Черевко Александр Владимирович"/>
    <s v="А114МК"/>
    <x v="31"/>
    <x v="1"/>
    <x v="7"/>
    <m/>
    <x v="60"/>
    <n v="1.3"/>
    <x v="33"/>
    <n v="35440"/>
    <n v="14760"/>
    <n v="10"/>
    <n v="20680"/>
    <n v="18612"/>
    <s v="грин01595"/>
    <x v="63"/>
  </r>
  <r>
    <s v="Акт входного контроля грин01596 от 19.10.2025 4:36:10"/>
    <n v="2471"/>
    <n v="69"/>
    <x v="9"/>
    <s v="Огнев Максим Викторович"/>
    <s v="Р755НН"/>
    <x v="31"/>
    <x v="1"/>
    <x v="7"/>
    <m/>
    <x v="60"/>
    <n v="1.5"/>
    <x v="33"/>
    <n v="39110"/>
    <n v="14800"/>
    <n v="9"/>
    <n v="24310"/>
    <n v="22122.1"/>
    <s v="грин01596"/>
    <x v="63"/>
  </r>
  <r>
    <s v="Акт входного контроля грин01597 от 19.10.2025 17:09:52"/>
    <n v="2472"/>
    <n v="68"/>
    <x v="9"/>
    <s v="Аладин Василий Сергеевич"/>
    <s v="Т110ТМ"/>
    <x v="31"/>
    <x v="1"/>
    <x v="7"/>
    <m/>
    <x v="60"/>
    <n v="1.4"/>
    <x v="33"/>
    <n v="37550"/>
    <n v="14980"/>
    <n v="11"/>
    <n v="22570"/>
    <n v="20087.3"/>
    <s v="грин01597"/>
    <x v="63"/>
  </r>
  <r>
    <s v="Акт входного контроля грин01598 от 19.10.2025 19:27:24"/>
    <n v="2480"/>
    <n v="1"/>
    <x v="7"/>
    <s v="Дик Илья Александрович"/>
    <s v="М556ХВ"/>
    <x v="25"/>
    <x v="1"/>
    <x v="5"/>
    <n v="32200"/>
    <x v="61"/>
    <n v="3.9"/>
    <x v="28"/>
    <n v="47940"/>
    <n v="15740"/>
    <n v="22"/>
    <n v="32200"/>
    <n v="25116"/>
    <s v="грин01598"/>
    <x v="63"/>
  </r>
  <r>
    <s v="Акт входного контроля грин01599 от 19.10.2025 20:45:47"/>
    <n v="2481"/>
    <n v="2"/>
    <x v="7"/>
    <s v="Магадиев Александр Сайлаувич"/>
    <s v="У184НО"/>
    <x v="25"/>
    <x v="1"/>
    <x v="5"/>
    <n v="24350"/>
    <x v="61"/>
    <n v="2.9"/>
    <x v="28"/>
    <n v="38970"/>
    <n v="14620"/>
    <n v="26"/>
    <n v="24350"/>
    <n v="18019"/>
    <s v="грин01599"/>
    <x v="63"/>
  </r>
  <r>
    <s v="Акт входного контроля грин01600 от 19.10.2025 20:48:04"/>
    <n v="2483"/>
    <n v="3"/>
    <x v="7"/>
    <s v="Ревенко Андрей Вячеславович"/>
    <s v="А781РР"/>
    <x v="25"/>
    <x v="1"/>
    <x v="5"/>
    <n v="24350"/>
    <x v="61"/>
    <n v="2.9"/>
    <x v="28"/>
    <n v="39260"/>
    <n v="15280"/>
    <n v="37"/>
    <n v="23980"/>
    <n v="15107.4"/>
    <s v="грин01600"/>
    <x v="63"/>
  </r>
  <r>
    <s v="Акт входного контроля грин01601 от 20.10.2025 18:49:39"/>
    <n v="2486"/>
    <n v="4"/>
    <x v="7"/>
    <s v="Рудик Александр Иванович"/>
    <s v="А309АТ"/>
    <x v="24"/>
    <x v="1"/>
    <x v="5"/>
    <n v="26930"/>
    <x v="62"/>
    <n v="3.2"/>
    <x v="28"/>
    <n v="42460"/>
    <n v="15530"/>
    <n v="16"/>
    <n v="26930"/>
    <n v="22621.200000000001"/>
    <s v="грин01601"/>
    <x v="64"/>
  </r>
  <r>
    <s v="Акт входного контроля грин01602 от 20.10.2025 19:15:27"/>
    <n v="2487"/>
    <n v="71"/>
    <x v="9"/>
    <s v="Пищев Александр Васильевич "/>
    <s v="Т522ОН"/>
    <x v="29"/>
    <x v="1"/>
    <x v="7"/>
    <m/>
    <x v="62"/>
    <n v="1.1000000000000001"/>
    <x v="31"/>
    <n v="39270"/>
    <n v="16020"/>
    <n v="7"/>
    <n v="23250"/>
    <n v="21622.5"/>
    <s v="грин01602"/>
    <x v="64"/>
  </r>
  <r>
    <s v="Акт входного контроля грин01603 от 20.10.2025 17:37:27"/>
    <n v="2488"/>
    <n v="5"/>
    <x v="7"/>
    <s v="Блажко Алексей Николаевич"/>
    <s v="М676КО"/>
    <x v="24"/>
    <x v="1"/>
    <x v="5"/>
    <n v="30960"/>
    <x v="62"/>
    <n v="3.7"/>
    <x v="28"/>
    <n v="55660"/>
    <n v="24700"/>
    <n v="7"/>
    <n v="30960"/>
    <n v="28792.799999999999"/>
    <s v="грин01603"/>
    <x v="64"/>
  </r>
  <r>
    <s v="Акт входного контроля грин01604 от 20.10.2025 17:39:34"/>
    <n v="2489"/>
    <n v="72"/>
    <x v="9"/>
    <s v="Ушаков С Е."/>
    <s v="О212РТ"/>
    <x v="29"/>
    <x v="1"/>
    <x v="7"/>
    <m/>
    <x v="62"/>
    <n v="1.2"/>
    <x v="31"/>
    <n v="39880"/>
    <n v="14610"/>
    <n v="10"/>
    <n v="25270"/>
    <n v="22743"/>
    <s v="грин01604"/>
    <x v="64"/>
  </r>
  <r>
    <s v="Акт входного контроля грин01605 от 20.10.2025 19:45:21"/>
    <n v="2490"/>
    <n v="75"/>
    <x v="9"/>
    <s v="Лазаренко Вячеслав Владимирович"/>
    <s v="Т239УС"/>
    <x v="29"/>
    <x v="1"/>
    <x v="7"/>
    <m/>
    <x v="62"/>
    <n v="1.2"/>
    <x v="31"/>
    <n v="40450"/>
    <n v="15170"/>
    <n v="8"/>
    <n v="25280"/>
    <n v="23257.599999999999"/>
    <s v="грин01605"/>
    <x v="64"/>
  </r>
  <r>
    <s v="Акт входного контроля грин01606 от 20.10.2025 19:52:29"/>
    <n v="2491"/>
    <n v="76"/>
    <x v="9"/>
    <s v="Никитась Сергей Анатольевич"/>
    <s v="К570ЕО"/>
    <x v="29"/>
    <x v="1"/>
    <x v="7"/>
    <m/>
    <x v="62"/>
    <n v="1.3"/>
    <x v="31"/>
    <n v="43540"/>
    <n v="15370"/>
    <n v="15"/>
    <n v="28170"/>
    <n v="23944.5"/>
    <s v="грин01606"/>
    <x v="64"/>
  </r>
  <r>
    <s v="Акт входного контроля грин01607 от 20.10.2025 20:12:56"/>
    <n v="2493"/>
    <n v="6"/>
    <x v="7"/>
    <s v="Чернецов Александр Михайлович"/>
    <s v="Р866РМ"/>
    <x v="25"/>
    <x v="1"/>
    <x v="5"/>
    <n v="27830"/>
    <x v="62"/>
    <n v="3.3"/>
    <x v="28"/>
    <n v="42980"/>
    <n v="15150"/>
    <n v="15"/>
    <n v="27830"/>
    <n v="23655.5"/>
    <s v="грин01607"/>
    <x v="64"/>
  </r>
  <r>
    <s v="Акт входного контроля грин01608 от 20.10.2025 20:58:00"/>
    <n v="2495"/>
    <n v="7"/>
    <x v="7"/>
    <s v="Мудрак Игорь Вадимович"/>
    <s v="С198УЕ"/>
    <x v="25"/>
    <x v="1"/>
    <x v="5"/>
    <n v="25580"/>
    <x v="62"/>
    <n v="3.1"/>
    <x v="28"/>
    <n v="49850"/>
    <n v="24270"/>
    <n v="36"/>
    <n v="25580"/>
    <n v="16371.2"/>
    <s v="грин01608"/>
    <x v="64"/>
  </r>
  <r>
    <s v="Акт входного контроля грин01609 от 20.10.2025 21:34:12"/>
    <n v="2497"/>
    <n v="8"/>
    <x v="7"/>
    <s v="Кулинич Евгений Владимирович"/>
    <s v="У801СТ"/>
    <x v="25"/>
    <x v="1"/>
    <x v="5"/>
    <n v="22430"/>
    <x v="62"/>
    <n v="2.7"/>
    <x v="28"/>
    <n v="37800"/>
    <n v="15370"/>
    <n v="37"/>
    <n v="22430"/>
    <n v="14130.9"/>
    <s v="грин01609"/>
    <x v="64"/>
  </r>
  <r>
    <s v="Акт входного контроля грин01610 от 20.10.2025 21:40:31"/>
    <n v="2498"/>
    <n v="77"/>
    <x v="9"/>
    <s v="Огнев Максим Викторович"/>
    <s v="Р755НН"/>
    <x v="29"/>
    <x v="1"/>
    <x v="7"/>
    <m/>
    <x v="62"/>
    <n v="1.1000000000000001"/>
    <x v="31"/>
    <n v="38280"/>
    <n v="15030"/>
    <n v="22"/>
    <n v="23250"/>
    <n v="18135"/>
    <s v="грин01610"/>
    <x v="64"/>
  </r>
  <r>
    <s v="Акт входного контроля грин01611 от 20.10.2025 21:44:10"/>
    <n v="2499"/>
    <n v="78"/>
    <x v="9"/>
    <s v="Аладин Василий Сергеевич"/>
    <s v="Т110ТМ"/>
    <x v="29"/>
    <x v="1"/>
    <x v="7"/>
    <m/>
    <x v="62"/>
    <n v="1"/>
    <x v="31"/>
    <n v="36970"/>
    <n v="15200"/>
    <n v="11"/>
    <n v="21770"/>
    <n v="19375.3"/>
    <s v="грин01611"/>
    <x v="64"/>
  </r>
  <r>
    <s v="Акт входного контроля грин01612 от 20.10.2025 23:20:05"/>
    <n v="2501"/>
    <n v="79"/>
    <x v="9"/>
    <s v="Дик Илья Александрович"/>
    <s v="М556ХВ"/>
    <x v="29"/>
    <x v="1"/>
    <x v="7"/>
    <m/>
    <x v="62"/>
    <n v="1.3"/>
    <x v="31"/>
    <n v="45180"/>
    <n v="16220"/>
    <n v="12"/>
    <n v="28960"/>
    <n v="25484.799999999999"/>
    <s v="грин01612"/>
    <x v="64"/>
  </r>
  <r>
    <s v="Акт входного контроля грин01613 от 20.10.2025 23:29:47"/>
    <n v="2502"/>
    <n v="80"/>
    <x v="9"/>
    <s v="Бербеницкий Сергей Николаевич"/>
    <s v="С400РР"/>
    <x v="29"/>
    <x v="1"/>
    <x v="7"/>
    <m/>
    <x v="62"/>
    <n v="1.1000000000000001"/>
    <x v="31"/>
    <n v="40060"/>
    <n v="15290"/>
    <n v="11"/>
    <n v="24770"/>
    <n v="22045.3"/>
    <s v="грин01613"/>
    <x v="64"/>
  </r>
  <r>
    <s v="Акт входного контроля грин01614 от 21.10.2025 8:08:42"/>
    <n v="2503"/>
    <n v="81"/>
    <x v="9"/>
    <s v="Богучарский А. И."/>
    <s v="Е404УС"/>
    <x v="29"/>
    <x v="1"/>
    <x v="7"/>
    <m/>
    <x v="62"/>
    <n v="1"/>
    <x v="31"/>
    <n v="35000"/>
    <n v="14040"/>
    <n v="17"/>
    <n v="20960"/>
    <n v="17396.8"/>
    <s v="грин01614"/>
    <x v="65"/>
  </r>
  <r>
    <s v="Акт входного контроля грин01615 от 21.10.2025 8:50:59"/>
    <n v="2504"/>
    <n v="82"/>
    <x v="9"/>
    <s v="Сероштан Станислав Викторович"/>
    <s v="Е758РЕ"/>
    <x v="29"/>
    <x v="1"/>
    <x v="7"/>
    <m/>
    <x v="62"/>
    <n v="1"/>
    <x v="31"/>
    <n v="37350"/>
    <n v="14880"/>
    <n v="19"/>
    <n v="22470"/>
    <n v="18200.7"/>
    <s v="грин01615"/>
    <x v="65"/>
  </r>
  <r>
    <s v="Акт входного контроля грин01616 от 21.10.2025 9:38:56"/>
    <n v="2505"/>
    <n v="83"/>
    <x v="9"/>
    <s v="Магадиев Александр Сайлаувич"/>
    <s v="У184НО"/>
    <x v="29"/>
    <x v="1"/>
    <x v="7"/>
    <m/>
    <x v="62"/>
    <n v="1.1000000000000001"/>
    <x v="31"/>
    <n v="38050"/>
    <n v="14640"/>
    <n v="12"/>
    <n v="23410"/>
    <n v="20600.8"/>
    <s v="грин01616"/>
    <x v="65"/>
  </r>
  <r>
    <s v="Акт входного контроля грин01617 от 21.10.2025 10:34:49"/>
    <n v="2507"/>
    <n v="84"/>
    <x v="9"/>
    <s v="Ревенко Андрей Вячеславович"/>
    <s v="А781РР"/>
    <x v="29"/>
    <x v="1"/>
    <x v="7"/>
    <m/>
    <x v="62"/>
    <n v="1"/>
    <x v="31"/>
    <n v="37520"/>
    <n v="15320"/>
    <n v="19"/>
    <n v="22200"/>
    <n v="17982"/>
    <s v="грин01617"/>
    <x v="65"/>
  </r>
  <r>
    <s v="Акт входного контроля грин01618 от 21.10.2025 11:08:24"/>
    <n v="2508"/>
    <n v="85"/>
    <x v="9"/>
    <s v="Пищев Александр Васильевич "/>
    <s v="Т522ОН"/>
    <x v="29"/>
    <x v="1"/>
    <x v="7"/>
    <m/>
    <x v="62"/>
    <n v="1.1000000000000001"/>
    <x v="31"/>
    <n v="40140"/>
    <n v="15910"/>
    <n v="15"/>
    <n v="24230"/>
    <n v="20595.5"/>
    <s v="грин01618"/>
    <x v="65"/>
  </r>
  <r>
    <s v="Акт входного контроля грин01619 от 21.10.2025 12:16:18"/>
    <n v="2509"/>
    <n v="86"/>
    <x v="9"/>
    <s v="Рудик Александр Иванович"/>
    <s v="А309АТ"/>
    <x v="29"/>
    <x v="1"/>
    <x v="7"/>
    <m/>
    <x v="62"/>
    <n v="1.2"/>
    <x v="31"/>
    <n v="40400"/>
    <n v="15280"/>
    <n v="26"/>
    <n v="25120"/>
    <n v="18588.8"/>
    <s v="грин01619"/>
    <x v="65"/>
  </r>
  <r>
    <s v="Акт входного контроля грин01620 от 21.10.2025 13:12:49"/>
    <n v="2511"/>
    <n v="87"/>
    <x v="9"/>
    <s v="Ушаков С Е."/>
    <s v="О212РТ"/>
    <x v="29"/>
    <x v="1"/>
    <x v="7"/>
    <m/>
    <x v="62"/>
    <n v="1.2"/>
    <x v="31"/>
    <n v="40870"/>
    <n v="14480"/>
    <n v="16"/>
    <n v="26390"/>
    <n v="22167.599999999999"/>
    <s v="грин01620"/>
    <x v="65"/>
  </r>
  <r>
    <s v="Акт входного контроля грин01621 от 21.10.2025 14:17:35"/>
    <n v="2513"/>
    <n v="88"/>
    <x v="9"/>
    <s v="Жданов Андрей Иванович"/>
    <s v="С707ОУ"/>
    <x v="29"/>
    <x v="1"/>
    <x v="7"/>
    <m/>
    <x v="62"/>
    <n v="0.9"/>
    <x v="31"/>
    <n v="34330"/>
    <n v="14710"/>
    <n v="18"/>
    <n v="19620"/>
    <n v="16088.4"/>
    <s v="грин01621"/>
    <x v="65"/>
  </r>
  <r>
    <s v="Акт входного контроля грин01622 от 21.10.2025 15:07:21"/>
    <n v="2518"/>
    <n v="89"/>
    <x v="9"/>
    <s v="Гужва А М."/>
    <s v="Т285ВЕ"/>
    <x v="29"/>
    <x v="1"/>
    <x v="7"/>
    <m/>
    <x v="63"/>
    <n v="0.9"/>
    <x v="31"/>
    <n v="34900"/>
    <n v="15120"/>
    <n v="13"/>
    <n v="19780"/>
    <n v="17208.599999999999"/>
    <s v="грин01622"/>
    <x v="65"/>
  </r>
  <r>
    <s v="Акт входного контроля грин01623 от 21.10.2025 15:55:59"/>
    <n v="2521"/>
    <n v="1"/>
    <x v="7"/>
    <s v="Егоян Артем Владимирович"/>
    <s v="А701СН"/>
    <x v="24"/>
    <x v="1"/>
    <x v="5"/>
    <n v="24200"/>
    <x v="62"/>
    <n v="2.9"/>
    <x v="28"/>
    <n v="39290"/>
    <n v="15090"/>
    <n v="27"/>
    <n v="24200"/>
    <n v="17666"/>
    <s v="грин01623"/>
    <x v="65"/>
  </r>
  <r>
    <s v="Акт входного контроля грин01624 от 21.10.2025 17:06:09"/>
    <n v="2523"/>
    <n v="92"/>
    <x v="9"/>
    <s v="Емец Р.А."/>
    <s v="У315НХ"/>
    <x v="29"/>
    <x v="1"/>
    <x v="7"/>
    <m/>
    <x v="63"/>
    <n v="1.1000000000000001"/>
    <x v="31"/>
    <n v="39510"/>
    <n v="15800"/>
    <n v="5"/>
    <n v="23710"/>
    <n v="22524.5"/>
    <s v="грин01624"/>
    <x v="65"/>
  </r>
  <r>
    <s v="Акт входного контроля грин01625 от 21.10.2025 18:36:37"/>
    <n v="2524"/>
    <n v="90"/>
    <x v="9"/>
    <s v="Лазаренко Вячеслав Владимирович"/>
    <s v="Т239УС"/>
    <x v="29"/>
    <x v="1"/>
    <x v="7"/>
    <m/>
    <x v="63"/>
    <n v="1.1000000000000001"/>
    <x v="31"/>
    <n v="39990"/>
    <n v="15210"/>
    <n v="7"/>
    <n v="24780"/>
    <n v="23045.4"/>
    <s v="грин01625"/>
    <x v="65"/>
  </r>
  <r>
    <s v="Акт входного контроля грин01626 от 21.10.2025 19:53:37"/>
    <n v="2525"/>
    <n v="91"/>
    <x v="9"/>
    <s v="Никитась Сергей Анатольевич"/>
    <s v="К570ЕО"/>
    <x v="29"/>
    <x v="1"/>
    <x v="7"/>
    <m/>
    <x v="63"/>
    <n v="1.2"/>
    <x v="31"/>
    <n v="42050"/>
    <n v="15420"/>
    <n v="28"/>
    <n v="26630"/>
    <n v="19173.599999999999"/>
    <s v="грин01626"/>
    <x v="65"/>
  </r>
  <r>
    <s v="Акт входного контроля грин01627 от 21.10.2025 21:17:55"/>
    <n v="2526"/>
    <n v="93"/>
    <x v="9"/>
    <s v="Чернецов Александр Михайлович"/>
    <s v="Р866РМ"/>
    <x v="29"/>
    <x v="1"/>
    <x v="7"/>
    <m/>
    <x v="63"/>
    <n v="1.3"/>
    <x v="31"/>
    <n v="42910"/>
    <n v="15260"/>
    <n v="7"/>
    <n v="27650"/>
    <n v="25714.5"/>
    <s v="грин01627"/>
    <x v="65"/>
  </r>
  <r>
    <s v="Акт входного контроля грин01628 от 21.10.2025 18:46:20"/>
    <n v="2527"/>
    <n v="94"/>
    <x v="9"/>
    <s v="Огнев Максим Викторович"/>
    <s v="Р755НН"/>
    <x v="29"/>
    <x v="1"/>
    <x v="7"/>
    <m/>
    <x v="63"/>
    <n v="1.1000000000000001"/>
    <x v="31"/>
    <n v="39240"/>
    <n v="15010"/>
    <n v="13"/>
    <n v="24230"/>
    <n v="21080.1"/>
    <s v="грин01628"/>
    <x v="65"/>
  </r>
  <r>
    <s v="Акт входного контроля грин01629 от 21.10.2025 18:51:08"/>
    <n v="2528"/>
    <n v="95"/>
    <x v="9"/>
    <s v="Аладин Василий Сергеевич"/>
    <s v="Т110ТМ"/>
    <x v="29"/>
    <x v="1"/>
    <x v="7"/>
    <m/>
    <x v="63"/>
    <n v="1"/>
    <x v="31"/>
    <n v="37070"/>
    <n v="15020"/>
    <n v="21"/>
    <n v="22050"/>
    <n v="17419.5"/>
    <s v="грин01629"/>
    <x v="65"/>
  </r>
  <r>
    <s v="Акт входного контроля грин01630 от 21.10.2025 20:26:42"/>
    <n v="2530"/>
    <n v="97"/>
    <x v="9"/>
    <s v="Бербеницкий Сергей Николаевич"/>
    <s v="С400РР"/>
    <x v="29"/>
    <x v="1"/>
    <x v="7"/>
    <m/>
    <x v="63"/>
    <n v="1.3"/>
    <x v="31"/>
    <n v="42430"/>
    <n v="15310"/>
    <n v="7"/>
    <n v="27120"/>
    <n v="25221.599999999999"/>
    <s v="грин01630"/>
    <x v="65"/>
  </r>
  <r>
    <s v="Акт входного контроля грин01631 от 21.10.2025 20:31:05"/>
    <n v="2531"/>
    <n v="10324"/>
    <x v="8"/>
    <s v="Чернышов Александр Павлович"/>
    <s v="М704ТС"/>
    <x v="28"/>
    <x v="1"/>
    <x v="6"/>
    <m/>
    <x v="63"/>
    <n v="1.5"/>
    <x v="30"/>
    <n v="39440"/>
    <n v="16350"/>
    <n v="15"/>
    <n v="23090"/>
    <n v="19626.5"/>
    <s v="грин01631"/>
    <x v="65"/>
  </r>
  <r>
    <s v="Акт входного контроля грин01632 от 21.10.2025 21:19:23"/>
    <n v="2532"/>
    <n v="10325"/>
    <x v="8"/>
    <s v="Глушенко Александр Иванович"/>
    <s v="Н735ВК"/>
    <x v="28"/>
    <x v="1"/>
    <x v="6"/>
    <m/>
    <x v="63"/>
    <n v="1.5"/>
    <x v="30"/>
    <n v="40740"/>
    <n v="16460"/>
    <n v="11"/>
    <n v="24280"/>
    <n v="21609.200000000001"/>
    <s v="грин01632"/>
    <x v="65"/>
  </r>
  <r>
    <s v="Акт входного контроля грин01633 от 21.10.2025 21:30:26"/>
    <n v="2533"/>
    <n v="96"/>
    <x v="9"/>
    <s v="Дик Илья Александрович"/>
    <s v="М556ХВ"/>
    <x v="29"/>
    <x v="1"/>
    <x v="7"/>
    <m/>
    <x v="63"/>
    <n v="1.4"/>
    <x v="31"/>
    <n v="45390"/>
    <n v="16090"/>
    <n v="12"/>
    <n v="29300"/>
    <n v="25784"/>
    <s v="грин01633"/>
    <x v="65"/>
  </r>
  <r>
    <s v="Акт входного контроля грин01634 от 21.10.2025 22:53:36"/>
    <n v="2535"/>
    <n v="10327"/>
    <x v="8"/>
    <s v="Сотников Сергей Кириллович"/>
    <s v="Т443МВ"/>
    <x v="28"/>
    <x v="1"/>
    <x v="6"/>
    <m/>
    <x v="63"/>
    <n v="1.6"/>
    <x v="30"/>
    <n v="41850"/>
    <n v="15910"/>
    <n v="9"/>
    <n v="25940"/>
    <n v="23605.4"/>
    <s v="грин01634"/>
    <x v="65"/>
  </r>
  <r>
    <s v="Акт входного контроля грин01635 от 21.10.2025 22:58:32"/>
    <n v="2536"/>
    <n v="10326"/>
    <x v="8"/>
    <s v="Данильченко Ю.А."/>
    <s v="Р347КА"/>
    <x v="28"/>
    <x v="1"/>
    <x v="6"/>
    <m/>
    <x v="63"/>
    <n v="1.6"/>
    <x v="30"/>
    <n v="39980"/>
    <n v="14970"/>
    <n v="14"/>
    <n v="25010"/>
    <n v="21508.6"/>
    <s v="грин01635"/>
    <x v="65"/>
  </r>
  <r>
    <s v="Акт входного контроля грин01636 от 21.10.2025 23:54:02"/>
    <n v="2537"/>
    <n v="10328"/>
    <x v="8"/>
    <s v="Рыбалкин АН"/>
    <s v="Р687УК"/>
    <x v="28"/>
    <x v="1"/>
    <x v="6"/>
    <m/>
    <x v="63"/>
    <n v="1.5"/>
    <x v="30"/>
    <n v="40600"/>
    <n v="16140"/>
    <n v="8"/>
    <n v="24460"/>
    <n v="22503.200000000001"/>
    <s v="грин01636"/>
    <x v="65"/>
  </r>
  <r>
    <s v="Акт входного контроля грин01637 от 22.10.2025 6:47:38"/>
    <n v="2540"/>
    <n v="10329"/>
    <x v="8"/>
    <s v="Бондаренко Николай Николаевич"/>
    <s v="А315МК"/>
    <x v="28"/>
    <x v="1"/>
    <x v="6"/>
    <m/>
    <x v="63"/>
    <n v="1.4"/>
    <x v="30"/>
    <n v="35810"/>
    <n v="13990"/>
    <n v="9"/>
    <n v="21820"/>
    <n v="19856.2"/>
    <s v="грин01637"/>
    <x v="66"/>
  </r>
  <r>
    <s v="Акт входного контроля грин01638 от 22.10.2025 8:03:41"/>
    <n v="2541"/>
    <n v="10343"/>
    <x v="8"/>
    <s v="Ховятский АМ"/>
    <s v="Р684ОХ"/>
    <x v="28"/>
    <x v="1"/>
    <x v="6"/>
    <m/>
    <x v="63"/>
    <n v="1.5"/>
    <x v="30"/>
    <n v="38400"/>
    <n v="14640"/>
    <n v="10"/>
    <n v="23760"/>
    <n v="21384"/>
    <s v="грин01638"/>
    <x v="66"/>
  </r>
  <r>
    <s v="Акт входного контроля грин01639 от 22.10.2025 8:48:55"/>
    <n v="2542"/>
    <n v="10335"/>
    <x v="8"/>
    <s v="Кулинич Евгений Владимирович"/>
    <s v="У801СТ"/>
    <x v="28"/>
    <x v="1"/>
    <x v="6"/>
    <m/>
    <x v="63"/>
    <n v="1.5"/>
    <x v="30"/>
    <n v="39480"/>
    <n v="15210"/>
    <n v="17"/>
    <n v="24270"/>
    <n v="20144.099999999999"/>
    <s v="грин01639"/>
    <x v="66"/>
  </r>
  <r>
    <s v="Акт входного контроля грин01640 от 22.10.2025 10:12:59"/>
    <n v="2544"/>
    <n v="10338"/>
    <x v="8"/>
    <s v="Давыденко Юрий Викторович"/>
    <s v="У094СР"/>
    <x v="28"/>
    <x v="1"/>
    <x v="6"/>
    <m/>
    <x v="63"/>
    <n v="1.6"/>
    <x v="30"/>
    <n v="42400"/>
    <n v="17160"/>
    <n v="16"/>
    <n v="25240"/>
    <n v="21201.599999999999"/>
    <s v="грин01640"/>
    <x v="66"/>
  </r>
  <r>
    <s v="Акт входного контроля грин01642 от 22.10.2025 13:03:38"/>
    <n v="2545"/>
    <n v="10348"/>
    <x v="8"/>
    <s v="Затонский Сергей Анатольевич"/>
    <s v="Е647РМ"/>
    <x v="28"/>
    <x v="1"/>
    <x v="6"/>
    <m/>
    <x v="63"/>
    <n v="1.4"/>
    <x v="30"/>
    <n v="36500"/>
    <n v="14750"/>
    <n v="6"/>
    <n v="21750"/>
    <n v="20445"/>
    <s v="грин01642"/>
    <x v="66"/>
  </r>
  <r>
    <s v="Акт входного контроля грин01643 от 22.10.2025 13:09:42"/>
    <n v="2546"/>
    <n v="10350"/>
    <x v="8"/>
    <s v="Демченко Анатолий Григорьевич"/>
    <s v="Р818СЕ"/>
    <x v="28"/>
    <x v="1"/>
    <x v="6"/>
    <m/>
    <x v="63"/>
    <n v="1.5"/>
    <x v="30"/>
    <n v="38610"/>
    <n v="15040"/>
    <n v="14"/>
    <n v="23570"/>
    <n v="20270.2"/>
    <s v="грин01643"/>
    <x v="66"/>
  </r>
  <r>
    <s v="Акт входного контроля грин01644 от 22.10.2025 14:56:33"/>
    <n v="2548"/>
    <n v="10351"/>
    <x v="8"/>
    <s v="Блажко Алексей Николаевич"/>
    <s v="М676КО"/>
    <x v="28"/>
    <x v="1"/>
    <x v="6"/>
    <m/>
    <x v="63"/>
    <n v="2.6"/>
    <x v="30"/>
    <n v="65670"/>
    <n v="24580"/>
    <n v="25"/>
    <n v="41090"/>
    <n v="30817.5"/>
    <s v="грин01644"/>
    <x v="66"/>
  </r>
  <r>
    <s v="Акт входного контроля грин01645 от 22.10.2025 15:08:41"/>
    <n v="2550"/>
    <n v="10364"/>
    <x v="8"/>
    <s v="Кулик О В"/>
    <s v="К403ЕМ"/>
    <x v="28"/>
    <x v="1"/>
    <x v="6"/>
    <m/>
    <x v="63"/>
    <n v="1.9"/>
    <x v="30"/>
    <n v="47450"/>
    <n v="17540"/>
    <n v="18"/>
    <n v="29910"/>
    <n v="24526.2"/>
    <s v="грин01645"/>
    <x v="66"/>
  </r>
  <r>
    <s v="Акт входного контроля грин01646 от 21.10.2025 22:08:55"/>
    <n v="2534"/>
    <n v="2"/>
    <x v="7"/>
    <s v="Мудрак Вадим Васильевич"/>
    <s v="Х514ОК"/>
    <x v="24"/>
    <x v="15"/>
    <x v="5"/>
    <n v="6050"/>
    <x v="64"/>
    <n v="0.1"/>
    <x v="28"/>
    <n v="27570"/>
    <n v="21520"/>
    <n v="12"/>
    <n v="6050"/>
    <n v="5324"/>
    <s v="грин01646"/>
    <x v="65"/>
  </r>
  <r>
    <s v="Акт входного контроля грин01647 от 22.10.2025 16:46:48"/>
    <n v="2551"/>
    <n v="10361"/>
    <x v="8"/>
    <s v="Погуляй А.Б.       "/>
    <s v="О824ТХ"/>
    <x v="28"/>
    <x v="1"/>
    <x v="6"/>
    <m/>
    <x v="63"/>
    <n v="2"/>
    <x v="30"/>
    <n v="51140"/>
    <n v="18760"/>
    <n v="12"/>
    <n v="32380"/>
    <n v="28494.400000000001"/>
    <s v="грин01647"/>
    <x v="66"/>
  </r>
  <r>
    <s v="Акт входного контроля грин01648 от 22.10.2025 19:18:25"/>
    <n v="2554"/>
    <n v="10401"/>
    <x v="8"/>
    <s v="Мудрак Вадим Васильевич"/>
    <s v="Х514ОК"/>
    <x v="28"/>
    <x v="1"/>
    <x v="6"/>
    <m/>
    <x v="65"/>
    <n v="2.6"/>
    <x v="30"/>
    <n v="62070"/>
    <n v="21360"/>
    <n v="7"/>
    <n v="40710"/>
    <n v="37860.300000000003"/>
    <s v="грин01648"/>
    <x v="66"/>
  </r>
  <r>
    <s v="Акт входного контроля грин01649 от 22.10.2025 19:21:22"/>
    <n v="2555"/>
    <n v="10384"/>
    <x v="8"/>
    <s v="Ушаков С Е."/>
    <s v="О212РТ"/>
    <x v="28"/>
    <x v="1"/>
    <x v="6"/>
    <m/>
    <x v="65"/>
    <n v="1.7"/>
    <x v="30"/>
    <n v="42030"/>
    <n v="14450"/>
    <n v="19"/>
    <n v="27580"/>
    <n v="22339.8"/>
    <s v="грин01649"/>
    <x v="66"/>
  </r>
  <r>
    <s v="Акт входного контроля грин01650 от 22.10.2025 19:40:47"/>
    <n v="2556"/>
    <n v="1"/>
    <x v="7"/>
    <s v="Черевко Александр Владимирович"/>
    <s v="А114МК"/>
    <x v="24"/>
    <x v="1"/>
    <x v="5"/>
    <n v="23670"/>
    <x v="65"/>
    <n v="2.8"/>
    <x v="28"/>
    <n v="38420"/>
    <n v="14750"/>
    <n v="13"/>
    <n v="23670"/>
    <n v="20592.900000000001"/>
    <s v="грин01650"/>
    <x v="66"/>
  </r>
  <r>
    <s v="Акт входного контроля грин01651 от 22.10.2025 20:46:04"/>
    <n v="2557"/>
    <n v="10371"/>
    <x v="8"/>
    <s v="Веревкин Андрей Александрович"/>
    <s v="Н234ВК"/>
    <x v="28"/>
    <x v="1"/>
    <x v="6"/>
    <m/>
    <x v="65"/>
    <n v="1.5"/>
    <x v="30"/>
    <n v="40550"/>
    <n v="16210"/>
    <n v="11"/>
    <n v="24340"/>
    <n v="21662.6"/>
    <s v="грин01651"/>
    <x v="66"/>
  </r>
  <r>
    <s v="Акт входного контроля грин01652 от 22.10.2025 21:29:34"/>
    <n v="2558"/>
    <n v="2"/>
    <x v="7"/>
    <s v="Сероштан Станислав Викторович"/>
    <s v="Е758РЕ"/>
    <x v="23"/>
    <x v="1"/>
    <x v="5"/>
    <n v="24990"/>
    <x v="65"/>
    <n v="3"/>
    <x v="28"/>
    <n v="39860"/>
    <n v="14870"/>
    <n v="15"/>
    <n v="24990"/>
    <n v="21241.5"/>
    <s v="грин01652"/>
    <x v="66"/>
  </r>
  <r>
    <s v="Акт входного контроля грин01653 от 22.10.2025 22:41:07"/>
    <n v="2559"/>
    <n v="3"/>
    <x v="7"/>
    <s v="Богучарский А. И."/>
    <s v="Е404УС"/>
    <x v="23"/>
    <x v="1"/>
    <x v="5"/>
    <n v="22510"/>
    <x v="65"/>
    <n v="2.7"/>
    <x v="28"/>
    <n v="36500"/>
    <n v="13990"/>
    <n v="12"/>
    <n v="22510"/>
    <n v="19808.8"/>
    <s v="грин01653"/>
    <x v="66"/>
  </r>
  <r>
    <s v="Акт входного контроля грин01654 от 22.10.2025 23:29:33"/>
    <n v="2560"/>
    <n v="10387"/>
    <x v="8"/>
    <s v="Рудик Александр Иванович"/>
    <s v="А309АТ"/>
    <x v="28"/>
    <x v="1"/>
    <x v="6"/>
    <m/>
    <x v="65"/>
    <n v="1.8"/>
    <x v="30"/>
    <n v="43350"/>
    <n v="14990"/>
    <n v="16"/>
    <n v="28360"/>
    <n v="23822.400000000001"/>
    <s v="грин01654"/>
    <x v="66"/>
  </r>
  <r>
    <s v="Акт входного контроля грин01655 от 22.10.2025 21:31:48"/>
    <n v="2562"/>
    <n v="10386"/>
    <x v="8"/>
    <s v="Пищев Александр Васильевич "/>
    <s v="Т522ОН"/>
    <x v="28"/>
    <x v="1"/>
    <x v="6"/>
    <m/>
    <x v="65"/>
    <n v="2.1"/>
    <x v="30"/>
    <n v="52800"/>
    <n v="19540"/>
    <n v="5"/>
    <n v="33260"/>
    <n v="31597"/>
    <s v="грин01655"/>
    <x v="66"/>
  </r>
  <r>
    <s v="Акт входного контроля грин01656 от 22.10.2025 22:21:45"/>
    <n v="2563"/>
    <n v="10388"/>
    <x v="8"/>
    <s v="Мудрак Игорь Вадимович"/>
    <s v="С198УЕ"/>
    <x v="28"/>
    <x v="1"/>
    <x v="6"/>
    <m/>
    <x v="65"/>
    <n v="2.5"/>
    <x v="30"/>
    <n v="64590"/>
    <n v="24190"/>
    <n v="5"/>
    <n v="40400"/>
    <n v="38380"/>
    <s v="грин01656"/>
    <x v="66"/>
  </r>
  <r>
    <s v="Акт входного контроля грин01657 от 22.10.2025 22:23:43"/>
    <n v="2564"/>
    <n v="10389"/>
    <x v="8"/>
    <s v="Егоян Артем Владимирович"/>
    <s v="А701СН"/>
    <x v="28"/>
    <x v="1"/>
    <x v="6"/>
    <m/>
    <x v="65"/>
    <n v="1.5"/>
    <x v="30"/>
    <n v="38780"/>
    <n v="15030"/>
    <n v="13"/>
    <n v="23750"/>
    <n v="20662.5"/>
    <s v="грин01657"/>
    <x v="66"/>
  </r>
  <r>
    <s v="Акт входного контроля грин01658 от 22.10.2025 22:53:16"/>
    <n v="2565"/>
    <n v="4"/>
    <x v="7"/>
    <s v="Гужва А М."/>
    <s v="Т285ВЕ"/>
    <x v="23"/>
    <x v="1"/>
    <x v="5"/>
    <n v="21900"/>
    <x v="65"/>
    <n v="2.6"/>
    <x v="28"/>
    <n v="36950"/>
    <n v="15050"/>
    <n v="22"/>
    <n v="21900"/>
    <n v="17082"/>
    <s v="грин01658"/>
    <x v="66"/>
  </r>
  <r>
    <s v="Акт входного контроля грин01659 от 23.10.2025 7:28:01"/>
    <n v="2566"/>
    <n v="5"/>
    <x v="7"/>
    <s v="Жданов Андрей Иванович"/>
    <s v="С707ОУ"/>
    <x v="23"/>
    <x v="1"/>
    <x v="5"/>
    <n v="21420"/>
    <x v="65"/>
    <n v="2.6"/>
    <x v="28"/>
    <n v="36060"/>
    <n v="14640"/>
    <n v="29"/>
    <n v="21420"/>
    <n v="15208.2"/>
    <s v="грин01659"/>
    <x v="67"/>
  </r>
  <r>
    <s v="Акт входного контроля грин01660 от 23.10.2025 8:15:35"/>
    <n v="2567"/>
    <n v="10390"/>
    <x v="8"/>
    <s v="Магадиев Александр Сайлаувич"/>
    <s v="У184НО"/>
    <x v="28"/>
    <x v="1"/>
    <x v="6"/>
    <m/>
    <x v="65"/>
    <n v="1.5"/>
    <x v="30"/>
    <n v="38200"/>
    <n v="14520"/>
    <n v="6"/>
    <n v="23680"/>
    <n v="22259.200000000001"/>
    <s v="грин01660"/>
    <x v="67"/>
  </r>
  <r>
    <s v="Акт входного контроля грин01661 от 23.10.2025 9:29:13"/>
    <n v="2568"/>
    <n v="10391"/>
    <x v="8"/>
    <s v="Ревенко Андрей Вячеславович"/>
    <s v="А781РР"/>
    <x v="28"/>
    <x v="1"/>
    <x v="6"/>
    <m/>
    <x v="65"/>
    <n v="1.5"/>
    <x v="30"/>
    <n v="38670"/>
    <n v="15160"/>
    <n v="14"/>
    <n v="23510"/>
    <n v="20218.599999999999"/>
    <s v="грин01661"/>
    <x v="67"/>
  </r>
  <r>
    <s v="Акт входного контроля грин01662 от 23.10.2025 11:17:12"/>
    <n v="2569"/>
    <n v="6"/>
    <x v="7"/>
    <s v="Блажко Алексей Николаевич"/>
    <s v="М676КО"/>
    <x v="25"/>
    <x v="1"/>
    <x v="5"/>
    <n v="41190"/>
    <x v="65"/>
    <n v="4.9000000000000004"/>
    <x v="28"/>
    <n v="65700"/>
    <n v="24510"/>
    <n v="16"/>
    <n v="41190"/>
    <n v="34599.599999999999"/>
    <s v="грин01662"/>
    <x v="67"/>
  </r>
  <r>
    <s v="Акт входного контроля грин01663 от 23.10.2025 11:27:34"/>
    <n v="2570"/>
    <n v="10392"/>
    <x v="8"/>
    <s v="Лазаренко Вячеслав Владимирович"/>
    <s v="Т239УС"/>
    <x v="28"/>
    <x v="1"/>
    <x v="6"/>
    <m/>
    <x v="65"/>
    <n v="1.6"/>
    <x v="30"/>
    <n v="40890"/>
    <n v="14910"/>
    <n v="5"/>
    <n v="25980"/>
    <n v="24681"/>
    <s v="грин01663"/>
    <x v="67"/>
  </r>
  <r>
    <s v="Акт входного контроля грин01664 от 23.10.2025 12:59:17"/>
    <n v="2571"/>
    <n v="10393"/>
    <x v="8"/>
    <s v="Никитась Сергей Анатольевич"/>
    <s v="К570ЕО"/>
    <x v="28"/>
    <x v="1"/>
    <x v="6"/>
    <m/>
    <x v="65"/>
    <n v="1.8"/>
    <x v="30"/>
    <n v="43700"/>
    <n v="15110"/>
    <n v="9"/>
    <n v="28590"/>
    <n v="26016.9"/>
    <s v="грин01664"/>
    <x v="67"/>
  </r>
  <r>
    <s v="Акт входного контроля грин01665 от 23.10.2025 13:21:48"/>
    <n v="2572"/>
    <n v="10394"/>
    <x v="8"/>
    <s v="Чернецов Александр Михайлович"/>
    <s v="Р866РМ"/>
    <x v="28"/>
    <x v="1"/>
    <x v="6"/>
    <m/>
    <x v="65"/>
    <n v="1.8"/>
    <x v="30"/>
    <n v="44290"/>
    <n v="15070"/>
    <n v="10"/>
    <n v="29220"/>
    <n v="26298"/>
    <s v="грин01665"/>
    <x v="67"/>
  </r>
  <r>
    <s v="Акт входного контроля грин01666 от 23.10.2025 16:03:16"/>
    <n v="2573"/>
    <n v="10395"/>
    <x v="8"/>
    <s v="Кудря Евгений"/>
    <s v="А719ОО"/>
    <x v="28"/>
    <x v="1"/>
    <x v="6"/>
    <m/>
    <x v="65"/>
    <n v="1.6"/>
    <x v="30"/>
    <n v="39800"/>
    <n v="15050"/>
    <n v="12"/>
    <n v="24750"/>
    <n v="21780"/>
    <s v="грин01666"/>
    <x v="67"/>
  </r>
  <r>
    <s v="Акт входного контроля грин01667 от 23.10.2025 16:12:01"/>
    <n v="2575"/>
    <n v="11"/>
    <x v="7"/>
    <s v="Черевко Александр Владимирович"/>
    <s v="А114МК"/>
    <x v="25"/>
    <x v="15"/>
    <x v="5"/>
    <n v="14610"/>
    <x v="64"/>
    <n v="0.4"/>
    <x v="28"/>
    <n v="29340"/>
    <n v="14730"/>
    <n v="9"/>
    <n v="14610"/>
    <n v="13295.1"/>
    <s v="грин01667"/>
    <x v="67"/>
  </r>
  <r>
    <s v="Акт входного контроля грин01668 от 23.10.2025 16:18:59"/>
    <n v="2576"/>
    <n v="10396"/>
    <x v="8"/>
    <s v="Пугачев Сергей Викторович"/>
    <s v="Р258УХ"/>
    <x v="28"/>
    <x v="1"/>
    <x v="6"/>
    <m/>
    <x v="65"/>
    <n v="1.8"/>
    <x v="30"/>
    <n v="44690"/>
    <n v="15780"/>
    <n v="12"/>
    <n v="28910"/>
    <n v="25440.799999999999"/>
    <s v="грин01668"/>
    <x v="67"/>
  </r>
  <r>
    <s v="Акт входного контроля грин01669 от 23.10.2025 17:31:40"/>
    <n v="2580"/>
    <n v="10397"/>
    <x v="8"/>
    <s v="Майстровский В.Н."/>
    <s v="М057АО"/>
    <x v="28"/>
    <x v="1"/>
    <x v="6"/>
    <m/>
    <x v="64"/>
    <n v="1.6"/>
    <x v="30"/>
    <n v="39390"/>
    <n v="14580"/>
    <n v="28"/>
    <n v="24810"/>
    <n v="17863.2"/>
    <s v="грин01669"/>
    <x v="67"/>
  </r>
  <r>
    <s v="Акт входного контроля грин01670 от 23.10.2025 17:40:01"/>
    <n v="2581"/>
    <n v="10398"/>
    <x v="8"/>
    <s v="Долгих Николай Петрович"/>
    <s v="У726ЕР"/>
    <x v="28"/>
    <x v="1"/>
    <x v="6"/>
    <m/>
    <x v="64"/>
    <n v="1.5"/>
    <x v="30"/>
    <n v="39540"/>
    <n v="15120"/>
    <n v="21"/>
    <n v="24420"/>
    <n v="19291.8"/>
    <s v="грин01670"/>
    <x v="67"/>
  </r>
  <r>
    <s v="Акт входного контроля грин01671 от 23.10.2025 23:23:57"/>
    <n v="2584"/>
    <n v="10399"/>
    <x v="8"/>
    <s v="Огнев Максим Викторович"/>
    <s v="Р755НН"/>
    <x v="28"/>
    <x v="1"/>
    <x v="6"/>
    <m/>
    <x v="64"/>
    <n v="1.5"/>
    <x v="30"/>
    <n v="38940"/>
    <n v="14770"/>
    <n v="4"/>
    <n v="24170"/>
    <n v="23203.200000000001"/>
    <s v="грин01671"/>
    <x v="67"/>
  </r>
  <r>
    <s v="Акт входного контроля грин01672 от 23.10.2025 23:27:09"/>
    <n v="2587"/>
    <n v="10400"/>
    <x v="8"/>
    <s v="Аладин Василий Сергеевич"/>
    <s v="Т110ТМ"/>
    <x v="28"/>
    <x v="1"/>
    <x v="6"/>
    <m/>
    <x v="64"/>
    <n v="1.5"/>
    <x v="30"/>
    <n v="38070"/>
    <n v="15030"/>
    <n v="7"/>
    <n v="23040"/>
    <n v="21427.200000000001"/>
    <s v="грин01672"/>
    <x v="67"/>
  </r>
  <r>
    <s v="Акт входного контроля грин01673 от 23.10.2025 23:31:28"/>
    <n v="2590"/>
    <n v="9"/>
    <x v="7"/>
    <s v="Демченко Анатолий Григорьевич"/>
    <s v="Р818СЕ"/>
    <x v="24"/>
    <x v="15"/>
    <x v="5"/>
    <n v="24300"/>
    <x v="64"/>
    <n v="0.6"/>
    <x v="28"/>
    <n v="39370"/>
    <n v="15070"/>
    <n v="24"/>
    <n v="24300"/>
    <n v="18468"/>
    <s v="грин01673"/>
    <x v="67"/>
  </r>
  <r>
    <s v="Акт входного контроля грин01674 от 23.10.2025 23:43:08"/>
    <n v="2591"/>
    <n v="8"/>
    <x v="7"/>
    <s v="Затонский Сергей Анатольевич"/>
    <s v="Е647РМ"/>
    <x v="24"/>
    <x v="15"/>
    <x v="5"/>
    <n v="22690"/>
    <x v="64"/>
    <n v="0.6"/>
    <x v="28"/>
    <n v="37650"/>
    <n v="14960"/>
    <n v="10"/>
    <n v="22690"/>
    <n v="20421"/>
    <s v="грин01674"/>
    <x v="67"/>
  </r>
  <r>
    <s v="Акт входного контроля грин01675 от 23.10.2025 14:46:06"/>
    <n v="2592"/>
    <n v="10402"/>
    <x v="8"/>
    <s v="Бербеницкий Сергей Николаевич"/>
    <s v="С400РР"/>
    <x v="28"/>
    <x v="1"/>
    <x v="6"/>
    <m/>
    <x v="65"/>
    <n v="1.8"/>
    <x v="30"/>
    <n v="43410"/>
    <n v="15310"/>
    <n v="21"/>
    <n v="28100"/>
    <n v="22199"/>
    <s v="грин01675"/>
    <x v="67"/>
  </r>
  <r>
    <s v="Акт входного контроля грин01676 от 23.10.2025 16:30:56"/>
    <n v="2593"/>
    <n v="10404"/>
    <x v="8"/>
    <s v="Чернышов Александр Павлович"/>
    <s v="М704ТС"/>
    <x v="28"/>
    <x v="1"/>
    <x v="6"/>
    <m/>
    <x v="65"/>
    <n v="1.5"/>
    <x v="30"/>
    <n v="40070"/>
    <n v="16520"/>
    <n v="17"/>
    <n v="23550"/>
    <n v="19546.5"/>
    <s v="грин01676"/>
    <x v="67"/>
  </r>
  <r>
    <s v="Акт входного контроля грин01677 от 23.10.2025 16:35:27"/>
    <n v="2594"/>
    <n v="10405"/>
    <x v="8"/>
    <s v="Глушенко Александр Иванович"/>
    <s v="Н735ВК"/>
    <x v="28"/>
    <x v="1"/>
    <x v="6"/>
    <m/>
    <x v="65"/>
    <n v="1.5"/>
    <x v="30"/>
    <n v="39890"/>
    <n v="16580"/>
    <n v="23"/>
    <n v="23310"/>
    <n v="17948.7"/>
    <s v="грин01677"/>
    <x v="67"/>
  </r>
  <r>
    <s v="Акт входного контроля грин01678 от 23.10.2025 18:28:51"/>
    <n v="2595"/>
    <n v="98"/>
    <x v="9"/>
    <s v="Веревкин Андрей Александрович"/>
    <s v="Н234ВК"/>
    <x v="31"/>
    <x v="1"/>
    <x v="7"/>
    <m/>
    <x v="64"/>
    <n v="1.6"/>
    <x v="33"/>
    <n v="42440"/>
    <n v="16580"/>
    <n v="9"/>
    <n v="25860"/>
    <n v="23532.6"/>
    <s v="грин01678"/>
    <x v="67"/>
  </r>
  <r>
    <s v="Акт входного контроля грин01679 от 23.10.2025 19:15:43"/>
    <n v="2596"/>
    <n v="101"/>
    <x v="9"/>
    <s v="Ушаков С Е."/>
    <s v="О212РТ"/>
    <x v="32"/>
    <x v="1"/>
    <x v="7"/>
    <m/>
    <x v="64"/>
    <n v="1.1000000000000001"/>
    <x v="34"/>
    <n v="41720"/>
    <n v="14690"/>
    <n v="20"/>
    <n v="27030"/>
    <n v="21624"/>
    <s v="грин01679"/>
    <x v="67"/>
  </r>
  <r>
    <s v="Акт входного контроля грин01680 от 23.10.2025 19:44:34"/>
    <n v="2597"/>
    <n v="10406"/>
    <x v="8"/>
    <s v="Дик Илья Александрович"/>
    <s v="М556ХВ"/>
    <x v="28"/>
    <x v="1"/>
    <x v="6"/>
    <m/>
    <x v="64"/>
    <n v="2"/>
    <x v="30"/>
    <n v="47500"/>
    <n v="15870"/>
    <n v="12"/>
    <n v="31630"/>
    <n v="27834.400000000001"/>
    <s v="грин01680"/>
    <x v="67"/>
  </r>
  <r>
    <s v="Акт входного контроля грин01681 от 23.10.2025 20:24:21"/>
    <n v="2599"/>
    <n v="10422"/>
    <x v="8"/>
    <s v="Сотников Сергей Кириллович"/>
    <s v="Т443МВ"/>
    <x v="28"/>
    <x v="1"/>
    <x v="6"/>
    <m/>
    <x v="64"/>
    <n v="1.7"/>
    <x v="30"/>
    <n v="42510"/>
    <n v="15760"/>
    <n v="6"/>
    <n v="26750"/>
    <n v="25145"/>
    <s v="грин01681"/>
    <x v="67"/>
  </r>
  <r>
    <s v="Акт входного контроля грин01682 от 23.10.2025 14:09:54"/>
    <n v="2589"/>
    <n v="7"/>
    <x v="7"/>
    <s v="Давыденко Юрий Викторович"/>
    <s v="У094СР"/>
    <x v="24"/>
    <x v="1"/>
    <x v="5"/>
    <n v="26240"/>
    <x v="65"/>
    <n v="3"/>
    <x v="28"/>
    <n v="43490"/>
    <n v="17250"/>
    <n v="5"/>
    <n v="26240"/>
    <n v="24928"/>
    <s v="грин01682"/>
    <x v="67"/>
  </r>
  <r>
    <s v="Акт входного контроля грин01683 от 23.10.2025 20:38:25"/>
    <n v="2600"/>
    <n v="99"/>
    <x v="9"/>
    <s v="Ховятский АМ"/>
    <s v="Р684ОХ"/>
    <x v="29"/>
    <x v="1"/>
    <x v="7"/>
    <m/>
    <x v="64"/>
    <n v="1.1000000000000001"/>
    <x v="31"/>
    <n v="39310"/>
    <n v="14640"/>
    <n v="13"/>
    <n v="24670"/>
    <n v="21462.9"/>
    <s v="грин01683"/>
    <x v="67"/>
  </r>
  <r>
    <s v="Акт входного контроля грин01684 от 23.10.2025 20:42:38"/>
    <n v="2601"/>
    <n v="10429"/>
    <x v="8"/>
    <s v="Рыбалкин АН"/>
    <s v="Р687УК"/>
    <x v="28"/>
    <x v="1"/>
    <x v="6"/>
    <m/>
    <x v="64"/>
    <n v="1.7"/>
    <x v="30"/>
    <n v="42490"/>
    <n v="16080"/>
    <n v="9"/>
    <n v="26410"/>
    <n v="24033.1"/>
    <s v="грин01684"/>
    <x v="67"/>
  </r>
  <r>
    <s v="Акт входного контроля грин01685 от 23.10.2025 21:15:37"/>
    <n v="2603"/>
    <n v="10424"/>
    <x v="8"/>
    <s v="Данильченко Ю.А."/>
    <s v="Р347КА"/>
    <x v="28"/>
    <x v="1"/>
    <x v="6"/>
    <m/>
    <x v="64"/>
    <n v="1.6"/>
    <x v="30"/>
    <n v="40770"/>
    <n v="14910"/>
    <n v="22"/>
    <n v="25860"/>
    <n v="20170.8"/>
    <s v="грин01685"/>
    <x v="67"/>
  </r>
  <r>
    <s v="Акт входного контроля грин01686 от 23.10.2025 21:36:33"/>
    <n v="2604"/>
    <n v="100"/>
    <x v="9"/>
    <s v="Бондаренко Николай Николаевич"/>
    <s v="А315МК"/>
    <x v="33"/>
    <x v="1"/>
    <x v="7"/>
    <m/>
    <x v="64"/>
    <n v="1"/>
    <x v="35"/>
    <n v="35540"/>
    <n v="13860"/>
    <n v="18"/>
    <n v="21680"/>
    <n v="17777.599999999999"/>
    <s v="грин01686"/>
    <x v="67"/>
  </r>
  <r>
    <s v="Акт входного контроля грин01687 от 23.10.2025 21:47:00"/>
    <n v="2605"/>
    <n v="10592"/>
    <x v="8"/>
    <s v="Кулинич Евгений Владимирович"/>
    <s v="У801СТ"/>
    <x v="28"/>
    <x v="1"/>
    <x v="6"/>
    <m/>
    <x v="64"/>
    <n v="1.6"/>
    <x v="30"/>
    <n v="40040"/>
    <n v="15100"/>
    <n v="12"/>
    <n v="24940"/>
    <n v="21947.200000000001"/>
    <s v="грин01687"/>
    <x v="67"/>
  </r>
  <r>
    <s v="Акт входного контроля грин01688 от 24.10.2025 14:47:32"/>
    <n v="2606"/>
    <n v="10643"/>
    <x v="8"/>
    <s v="Фомин Николай Григорьевич"/>
    <s v="А731ВА"/>
    <x v="28"/>
    <x v="1"/>
    <x v="6"/>
    <m/>
    <x v="64"/>
    <n v="1.5"/>
    <x v="30"/>
    <n v="39190"/>
    <n v="15080"/>
    <n v="26"/>
    <n v="24110"/>
    <n v="17841.400000000001"/>
    <s v="грин01688"/>
    <x v="68"/>
  </r>
  <r>
    <s v="Акт входного контроля грин01689 от 24.10.2025 15:05:34"/>
    <n v="2607"/>
    <n v="10653"/>
    <x v="8"/>
    <s v="Пищев Александр Васильевич "/>
    <s v="Т522ОН"/>
    <x v="28"/>
    <x v="1"/>
    <x v="6"/>
    <m/>
    <x v="64"/>
    <n v="0.9"/>
    <x v="30"/>
    <n v="35510"/>
    <n v="19560"/>
    <n v="16"/>
    <n v="15950"/>
    <n v="13398"/>
    <s v="грин01689"/>
    <x v="68"/>
  </r>
  <r>
    <s v="Акт входного контроля грин01691 от 24.10.2025 15:14:39"/>
    <n v="2613"/>
    <n v="10630"/>
    <x v="8"/>
    <s v="Сайко Василий Викторович"/>
    <s v="А816ЕВ"/>
    <x v="34"/>
    <x v="15"/>
    <x v="6"/>
    <m/>
    <x v="64"/>
    <n v="1"/>
    <x v="36"/>
    <n v="25770"/>
    <n v="14250"/>
    <n v="24"/>
    <n v="11520"/>
    <n v="8755.2000000000007"/>
    <s v="грин01691"/>
    <x v="68"/>
  </r>
  <r>
    <s v="Акт входного контроля грин01692 от 24.10.2025 16:38:08"/>
    <n v="2614"/>
    <n v="104"/>
    <x v="9"/>
    <s v="Ревенко Андрей Вячеславович"/>
    <s v="А781РР"/>
    <x v="31"/>
    <x v="1"/>
    <x v="7"/>
    <m/>
    <x v="66"/>
    <n v="1.5"/>
    <x v="33"/>
    <n v="39360"/>
    <n v="15280"/>
    <n v="6"/>
    <n v="24080"/>
    <n v="22635.200000000001"/>
    <s v="грин01692"/>
    <x v="68"/>
  </r>
  <r>
    <s v="Акт входного контроля грин01693 от 24.10.2025 17:04:46"/>
    <n v="2615"/>
    <n v="107"/>
    <x v="9"/>
    <s v="Егоян Артем Владимирович"/>
    <s v="А701СН"/>
    <x v="31"/>
    <x v="1"/>
    <x v="7"/>
    <m/>
    <x v="66"/>
    <n v="1.5"/>
    <x v="33"/>
    <n v="39860"/>
    <n v="15190"/>
    <n v="7"/>
    <n v="24670"/>
    <n v="22943.1"/>
    <s v="грин01693"/>
    <x v="68"/>
  </r>
  <r>
    <s v="Акт входного контроля грин01694 от 24.10.2025 18:05:17"/>
    <n v="2617"/>
    <n v="105"/>
    <x v="9"/>
    <s v="Жданов Андрей Иванович"/>
    <s v="С707ОУ"/>
    <x v="31"/>
    <x v="1"/>
    <x v="7"/>
    <m/>
    <x v="66"/>
    <n v="1.3"/>
    <x v="33"/>
    <n v="35770"/>
    <n v="14630"/>
    <n v="7"/>
    <n v="21140"/>
    <n v="19660.2"/>
    <s v="грин01694"/>
    <x v="68"/>
  </r>
  <r>
    <s v="Акт входного контроля грин01695 от 24.10.2025 18:14:29"/>
    <n v="2618"/>
    <n v="102"/>
    <x v="9"/>
    <s v="Пугачев Сергей Викторович"/>
    <s v="Р258УХ"/>
    <x v="31"/>
    <x v="1"/>
    <x v="7"/>
    <m/>
    <x v="66"/>
    <n v="2"/>
    <x v="33"/>
    <n v="47420"/>
    <n v="15920"/>
    <n v="7"/>
    <n v="31500"/>
    <n v="29295"/>
    <s v="грин01695"/>
    <x v="68"/>
  </r>
  <r>
    <s v="Акт входного контроля грин01696 от 24.10.2025 19:29:36"/>
    <n v="2620"/>
    <n v="109"/>
    <x v="9"/>
    <s v="Лазаренко Вячеслав Владимирович"/>
    <s v="Т239УС"/>
    <x v="31"/>
    <x v="1"/>
    <x v="7"/>
    <m/>
    <x v="66"/>
    <n v="1.7"/>
    <x v="33"/>
    <n v="42450"/>
    <n v="15120"/>
    <n v="8"/>
    <n v="27330"/>
    <n v="25143.599999999999"/>
    <s v="грин01696"/>
    <x v="68"/>
  </r>
  <r>
    <s v="Акт входного контроля грин01697 от 24.10.2025 21:22:04"/>
    <n v="2621"/>
    <n v="108"/>
    <x v="9"/>
    <s v="Веревкин Андрей Александрович"/>
    <s v="Н234ВК"/>
    <x v="31"/>
    <x v="1"/>
    <x v="7"/>
    <m/>
    <x v="66"/>
    <n v="1.6"/>
    <x v="33"/>
    <n v="42930"/>
    <n v="16560"/>
    <n v="9"/>
    <n v="26370"/>
    <n v="23996.7"/>
    <s v="грин01697"/>
    <x v="68"/>
  </r>
  <r>
    <s v="Акт входного контроля грин01698 от 24.10.2025 18:56:48"/>
    <n v="2623"/>
    <n v="110"/>
    <x v="9"/>
    <s v="Никитась Сергей Анатольевич"/>
    <s v="К570ЕО"/>
    <x v="31"/>
    <x v="1"/>
    <x v="7"/>
    <m/>
    <x v="66"/>
    <n v="1.8"/>
    <x v="33"/>
    <n v="43580"/>
    <n v="15320"/>
    <n v="5"/>
    <n v="28260"/>
    <n v="26847"/>
    <s v="грин01698"/>
    <x v="68"/>
  </r>
  <r>
    <s v="Акт входного контроля грин01699 от 24.10.2025 20:18:17"/>
    <n v="2624"/>
    <n v="111"/>
    <x v="9"/>
    <s v="Чернецов Александр Михайлович"/>
    <s v="Р866РМ"/>
    <x v="31"/>
    <x v="1"/>
    <x v="7"/>
    <m/>
    <x v="66"/>
    <n v="1.9"/>
    <x v="33"/>
    <n v="45360"/>
    <n v="15180"/>
    <n v="6"/>
    <n v="30180"/>
    <n v="28369.200000000001"/>
    <s v="грин01699"/>
    <x v="68"/>
  </r>
  <r>
    <s v="Акт входного контроля грин01700 от 24.10.2025 20:59:34"/>
    <n v="2625"/>
    <n v="106"/>
    <x v="9"/>
    <s v="Мудрак Игорь Вадимович"/>
    <s v="С198УЕ"/>
    <x v="31"/>
    <x v="1"/>
    <x v="7"/>
    <m/>
    <x v="66"/>
    <n v="2.6"/>
    <x v="33"/>
    <n v="65370"/>
    <n v="24190"/>
    <n v="10"/>
    <n v="41180"/>
    <n v="37062"/>
    <s v="грин01700"/>
    <x v="68"/>
  </r>
  <r>
    <s v="Акт входного контроля грин01701 от 24.10.2025 21:44:56"/>
    <n v="2626"/>
    <n v="112"/>
    <x v="9"/>
    <s v="Ушаков С Е."/>
    <s v="О212РТ"/>
    <x v="31"/>
    <x v="1"/>
    <x v="7"/>
    <m/>
    <x v="66"/>
    <n v="1.8"/>
    <x v="33"/>
    <n v="43030"/>
    <n v="14520"/>
    <n v="13"/>
    <n v="28510"/>
    <n v="24803.7"/>
    <s v="грин01701"/>
    <x v="68"/>
  </r>
  <r>
    <s v="Акт входного контроля грин01702 от 25.10.2025 2:14:46"/>
    <n v="2629"/>
    <n v="115"/>
    <x v="9"/>
    <s v="Огнев Максим Викторович"/>
    <s v="Р755НН"/>
    <x v="31"/>
    <x v="1"/>
    <x v="7"/>
    <m/>
    <x v="66"/>
    <n v="1.5"/>
    <x v="33"/>
    <n v="39760"/>
    <n v="14960"/>
    <n v="8"/>
    <n v="24800"/>
    <n v="22816"/>
    <s v="грин01702"/>
    <x v="69"/>
  </r>
  <r>
    <s v="Акт входного контроля грин01703 от 25.10.2025 2:57:51"/>
    <n v="2630"/>
    <n v="114"/>
    <x v="9"/>
    <s v="Дик Илья Александрович"/>
    <s v="М556ХВ"/>
    <x v="31"/>
    <x v="1"/>
    <x v="7"/>
    <m/>
    <x v="66"/>
    <n v="2"/>
    <x v="33"/>
    <n v="48380"/>
    <n v="16100"/>
    <n v="5"/>
    <n v="32280"/>
    <n v="30666"/>
    <s v="грин01703"/>
    <x v="69"/>
  </r>
  <r>
    <s v="Акт входного контроля грин01704 от 25.10.2025 5:03:46"/>
    <n v="2631"/>
    <n v="103"/>
    <x v="9"/>
    <s v="Мудрак Вадим Васильевич"/>
    <s v="Х514ОК"/>
    <x v="31"/>
    <x v="1"/>
    <x v="7"/>
    <m/>
    <x v="66"/>
    <n v="2.7"/>
    <x v="33"/>
    <n v="65510"/>
    <n v="21340"/>
    <n v="9"/>
    <n v="44170"/>
    <n v="40194.699999999997"/>
    <s v="грин01704"/>
    <x v="69"/>
  </r>
  <r>
    <s v="Акт входного контроля грин01705 от 25.10.2025 7:46:18"/>
    <n v="2632"/>
    <n v="116"/>
    <x v="9"/>
    <s v="Аладин Василий Сергеевич"/>
    <s v="Т110ТМ"/>
    <x v="29"/>
    <x v="1"/>
    <x v="7"/>
    <m/>
    <x v="66"/>
    <n v="1"/>
    <x v="31"/>
    <n v="36960"/>
    <n v="15100"/>
    <n v="36"/>
    <n v="21860"/>
    <n v="13990.4"/>
    <s v="грин01705"/>
    <x v="69"/>
  </r>
  <r>
    <s v="Акт входного контроля грин01706 от 25.10.2025 7:51:26"/>
    <n v="2633"/>
    <n v="113"/>
    <x v="9"/>
    <s v="Блажко Алексей Николаевич"/>
    <s v="М676КО"/>
    <x v="29"/>
    <x v="1"/>
    <x v="7"/>
    <m/>
    <x v="66"/>
    <n v="1.9"/>
    <x v="31"/>
    <n v="65120"/>
    <n v="24710"/>
    <n v="20"/>
    <n v="40410"/>
    <n v="32328"/>
    <s v="грин01706"/>
    <x v="69"/>
  </r>
  <r>
    <s v="Акт входного контроля грин01707 от 25.10.2025 8:50:48"/>
    <n v="2634"/>
    <n v="117"/>
    <x v="9"/>
    <s v="Сероштан Станислав Викторович"/>
    <s v="Е758РЕ"/>
    <x v="29"/>
    <x v="1"/>
    <x v="7"/>
    <m/>
    <x v="66"/>
    <n v="1.2"/>
    <x v="31"/>
    <n v="40430"/>
    <n v="14910"/>
    <n v="15"/>
    <n v="25520"/>
    <n v="21692"/>
    <s v="грин01707"/>
    <x v="69"/>
  </r>
  <r>
    <s v="Акт входного контроля грин01708 от 25.10.2025 9:36:11"/>
    <n v="2635"/>
    <n v="118"/>
    <x v="9"/>
    <s v="Черевко Александр Владимирович"/>
    <s v="А114МК"/>
    <x v="29"/>
    <x v="1"/>
    <x v="7"/>
    <m/>
    <x v="66"/>
    <n v="1"/>
    <x v="31"/>
    <n v="36670"/>
    <n v="14860"/>
    <n v="27"/>
    <n v="21810"/>
    <n v="15921.3"/>
    <s v="грин01708"/>
    <x v="69"/>
  </r>
  <r>
    <s v="Акт входного контроля грин01709 от 25.10.2025 10:13:28"/>
    <n v="2636"/>
    <n v="119"/>
    <x v="9"/>
    <s v="Сотников Сергей Кириллович"/>
    <s v="Т443МВ"/>
    <x v="29"/>
    <x v="1"/>
    <x v="7"/>
    <m/>
    <x v="66"/>
    <n v="1.2"/>
    <x v="31"/>
    <n v="41660"/>
    <n v="15900"/>
    <n v="9"/>
    <n v="25760"/>
    <n v="23441.599999999999"/>
    <s v="грин01709"/>
    <x v="69"/>
  </r>
  <r>
    <s v="Акт входного контроля грин01710 от 25.10.2025 11:26:40"/>
    <n v="2637"/>
    <n v="120"/>
    <x v="9"/>
    <s v="Погуляй А.Б.       "/>
    <s v="О824ТХ"/>
    <x v="29"/>
    <x v="1"/>
    <x v="7"/>
    <m/>
    <x v="66"/>
    <n v="1.3"/>
    <x v="31"/>
    <n v="47570"/>
    <n v="18960"/>
    <n v="13"/>
    <n v="28610"/>
    <n v="24890.7"/>
    <s v="грин01710"/>
    <x v="69"/>
  </r>
  <r>
    <s v="Акт входного контроля грин01711 от 25.10.2025 12:16:24"/>
    <n v="2638"/>
    <n v="122"/>
    <x v="9"/>
    <s v="Богучарский А. И."/>
    <s v="Е404УС"/>
    <x v="29"/>
    <x v="1"/>
    <x v="7"/>
    <m/>
    <x v="66"/>
    <n v="1"/>
    <x v="31"/>
    <n v="35900"/>
    <n v="14090"/>
    <n v="9"/>
    <n v="21810"/>
    <n v="19847.099999999999"/>
    <s v="грин01711"/>
    <x v="69"/>
  </r>
  <r>
    <s v="Акт входного контроля грин01712 от 25.10.2025 13:31:22"/>
    <n v="2639"/>
    <n v="121"/>
    <x v="9"/>
    <s v="Кулик О В"/>
    <s v="К403ЕМ"/>
    <x v="29"/>
    <x v="1"/>
    <x v="7"/>
    <m/>
    <x v="66"/>
    <n v="1.4"/>
    <x v="31"/>
    <n v="47350"/>
    <n v="17730"/>
    <n v="14"/>
    <n v="29620"/>
    <n v="25473.200000000001"/>
    <s v="грин01712"/>
    <x v="69"/>
  </r>
  <r>
    <s v="Акт входного контроля грин01713 от 25.10.2025 14:39:57"/>
    <n v="2642"/>
    <n v="123"/>
    <x v="9"/>
    <s v="Ховятский АМ"/>
    <s v="Р684ОХ"/>
    <x v="29"/>
    <x v="1"/>
    <x v="7"/>
    <m/>
    <x v="67"/>
    <n v="1.2"/>
    <x v="31"/>
    <n v="39590"/>
    <n v="14630"/>
    <n v="7"/>
    <n v="24960"/>
    <n v="23212.799999999999"/>
    <s v="грин01713"/>
    <x v="69"/>
  </r>
  <r>
    <s v="Акт входного контроля грин01714 от 25.10.2025 15:40:29"/>
    <n v="2644"/>
    <n v="124"/>
    <x v="9"/>
    <s v="Майстровский В.Н."/>
    <s v="М057АО"/>
    <x v="29"/>
    <x v="1"/>
    <x v="7"/>
    <m/>
    <x v="67"/>
    <n v="1.2"/>
    <x v="31"/>
    <n v="40220"/>
    <n v="14710"/>
    <n v="11"/>
    <n v="25510"/>
    <n v="22703.9"/>
    <s v="грин01714"/>
    <x v="69"/>
  </r>
  <r>
    <s v="Акт входного контроля грин01715 от 25.10.2025 16:16:50"/>
    <n v="2645"/>
    <n v="125"/>
    <x v="9"/>
    <s v="Долгих Николай Петрович"/>
    <s v="У726ЕР"/>
    <x v="29"/>
    <x v="1"/>
    <x v="7"/>
    <m/>
    <x v="67"/>
    <n v="1.1000000000000001"/>
    <x v="31"/>
    <n v="39450"/>
    <n v="15280"/>
    <n v="9"/>
    <n v="24170"/>
    <n v="21994.7"/>
    <s v="грин01715"/>
    <x v="69"/>
  </r>
  <r>
    <s v="Акт входного контроля грин01716 от 25.10.2025 17:55:41"/>
    <n v="2646"/>
    <n v="126"/>
    <x v="9"/>
    <s v="Рыбалкин АН"/>
    <s v="Р687УК"/>
    <x v="29"/>
    <x v="1"/>
    <x v="7"/>
    <m/>
    <x v="67"/>
    <n v="1.2"/>
    <x v="31"/>
    <n v="42790"/>
    <n v="16240"/>
    <n v="11"/>
    <n v="26550"/>
    <n v="23629.5"/>
    <s v="грин01716"/>
    <x v="69"/>
  </r>
  <r>
    <s v="Акт входного контроля грин01717 от 25.10.2025 19:12:35"/>
    <n v="2648"/>
    <n v="127"/>
    <x v="9"/>
    <s v="Данильченко Ю.А."/>
    <s v="Р347КА"/>
    <x v="29"/>
    <x v="1"/>
    <x v="7"/>
    <m/>
    <x v="68"/>
    <n v="1.2"/>
    <x v="31"/>
    <n v="40190"/>
    <n v="15090"/>
    <n v="8"/>
    <n v="25100"/>
    <n v="23092"/>
    <s v="грин01717"/>
    <x v="69"/>
  </r>
  <r>
    <s v="Акт входного контроля грин01718 от 25.10.2025 19:37:47"/>
    <n v="2650"/>
    <n v="128"/>
    <x v="9"/>
    <s v="Бондаренко Николай Николаевич"/>
    <s v="А315МК"/>
    <x v="29"/>
    <x v="1"/>
    <x v="7"/>
    <m/>
    <x v="68"/>
    <n v="1"/>
    <x v="31"/>
    <n v="34860"/>
    <n v="13990"/>
    <n v="9"/>
    <n v="20870"/>
    <n v="18991.7"/>
    <s v="грин01718"/>
    <x v="69"/>
  </r>
  <r>
    <s v="Акт входного контроля грин01719 от 25.10.2025 21:50:52"/>
    <n v="2652"/>
    <n v="129"/>
    <x v="9"/>
    <s v="Кулинич Евгений Владимирович"/>
    <s v="У801СТ"/>
    <x v="29"/>
    <x v="1"/>
    <x v="7"/>
    <m/>
    <x v="67"/>
    <n v="1.1000000000000001"/>
    <x v="31"/>
    <n v="39070"/>
    <n v="15260"/>
    <n v="15"/>
    <n v="23810"/>
    <n v="20238.5"/>
    <s v="грин01719"/>
    <x v="69"/>
  </r>
  <r>
    <s v="Акт входного контроля грин01720 от 25.10.2025 23:57:18"/>
    <n v="2654"/>
    <n v="130"/>
    <x v="9"/>
    <s v="Пищев Александр Васильевич "/>
    <s v="Т522ОН"/>
    <x v="29"/>
    <x v="1"/>
    <x v="7"/>
    <m/>
    <x v="67"/>
    <n v="1.3"/>
    <x v="31"/>
    <n v="47720"/>
    <n v="19870"/>
    <n v="25"/>
    <n v="27850"/>
    <n v="20887.5"/>
    <s v="грин01720"/>
    <x v="69"/>
  </r>
  <r>
    <s v="Акт входного контроля грин01721 от 25.10.2025 23:23:24"/>
    <n v="2655"/>
    <n v="131"/>
    <x v="9"/>
    <s v="Фомин Николай Григорьевич"/>
    <s v="А731ВА"/>
    <x v="29"/>
    <x v="1"/>
    <x v="7"/>
    <m/>
    <x v="67"/>
    <n v="1"/>
    <x v="31"/>
    <n v="37840"/>
    <n v="15190"/>
    <n v="11"/>
    <n v="22650"/>
    <n v="20158.5"/>
    <s v="грин01721"/>
    <x v="69"/>
  </r>
  <r>
    <s v="Акт входного контроля грин01722 от 26.10.2025 1:24:49"/>
    <n v="2656"/>
    <n v="132"/>
    <x v="9"/>
    <s v="Ревенко Андрей Вячеславович"/>
    <s v="А781РР"/>
    <x v="29"/>
    <x v="1"/>
    <x v="7"/>
    <m/>
    <x v="67"/>
    <n v="1.1000000000000001"/>
    <x v="31"/>
    <n v="38140"/>
    <n v="15310"/>
    <n v="18"/>
    <n v="22830"/>
    <n v="18720.599999999999"/>
    <s v="грин01722"/>
    <x v="70"/>
  </r>
  <r>
    <s v="Акт входного контроля грин01723 от 26.10.2025 2:22:45"/>
    <n v="2657"/>
    <n v="133"/>
    <x v="9"/>
    <s v="Пугачев Сергей Викторович"/>
    <s v="Р258УХ"/>
    <x v="29"/>
    <x v="1"/>
    <x v="7"/>
    <m/>
    <x v="68"/>
    <n v="1.2"/>
    <x v="31"/>
    <n v="42840"/>
    <n v="16220"/>
    <n v="12"/>
    <n v="26620"/>
    <n v="23425.599999999999"/>
    <s v="грин01723"/>
    <x v="70"/>
  </r>
  <r>
    <s v="Акт входного контроля грин01724 от 26.10.2025 3:32:00"/>
    <n v="2659"/>
    <n v="134"/>
    <x v="9"/>
    <s v="Лазаренко Вячеслав Владимирович"/>
    <s v="Т239УС"/>
    <x v="29"/>
    <x v="1"/>
    <x v="7"/>
    <m/>
    <x v="67"/>
    <n v="1.2"/>
    <x v="31"/>
    <n v="40760"/>
    <n v="15190"/>
    <n v="6"/>
    <n v="25570"/>
    <n v="24035.8"/>
    <s v="грин01724"/>
    <x v="70"/>
  </r>
  <r>
    <s v="Акт входного контроля грин01725 от 26.10.2025 4:07:40"/>
    <n v="2660"/>
    <n v="135"/>
    <x v="9"/>
    <s v="Никитась Сергей Анатольевич"/>
    <s v="К570ЕО"/>
    <x v="29"/>
    <x v="1"/>
    <x v="7"/>
    <m/>
    <x v="67"/>
    <n v="1.2"/>
    <x v="31"/>
    <n v="42230"/>
    <n v="15350"/>
    <n v="11"/>
    <n v="26880"/>
    <n v="23923.200000000001"/>
    <s v="грин01725"/>
    <x v="70"/>
  </r>
  <r>
    <s v="Акт входного контроля грин01726 от 26.10.2025 5:06:44"/>
    <n v="2661"/>
    <n v="136"/>
    <x v="9"/>
    <s v="Чернецов Александр Михайлович"/>
    <s v="Р866РМ"/>
    <x v="29"/>
    <x v="1"/>
    <x v="7"/>
    <m/>
    <x v="67"/>
    <n v="1.3"/>
    <x v="31"/>
    <n v="42640"/>
    <n v="15310"/>
    <n v="16"/>
    <n v="27330"/>
    <n v="22957.200000000001"/>
    <s v="грин01726"/>
    <x v="70"/>
  </r>
  <r>
    <s v="Акт входного контроля грин01727 от 26.10.2025 6:12:27"/>
    <n v="2662"/>
    <n v="137"/>
    <x v="9"/>
    <s v="Ушаков С Е."/>
    <s v="О212РТ"/>
    <x v="29"/>
    <x v="1"/>
    <x v="7"/>
    <m/>
    <x v="67"/>
    <n v="1.3"/>
    <x v="31"/>
    <n v="41830"/>
    <n v="14660"/>
    <n v="5"/>
    <n v="27170"/>
    <n v="25811.5"/>
    <s v="грин01727"/>
    <x v="70"/>
  </r>
  <r>
    <s v="Акт входного контроля грин01728 от 26.10.2025 6:33:50"/>
    <n v="2663"/>
    <n v="138"/>
    <x v="9"/>
    <s v="Огнев Максим Викторович"/>
    <s v="Р755НН"/>
    <x v="29"/>
    <x v="1"/>
    <x v="7"/>
    <m/>
    <x v="67"/>
    <n v="1.1000000000000001"/>
    <x v="31"/>
    <n v="39500"/>
    <n v="14960"/>
    <n v="17"/>
    <n v="24540"/>
    <n v="20368.2"/>
    <s v="грин01728"/>
    <x v="70"/>
  </r>
  <r>
    <s v="Акт входного контроля грин01729 от 26.10.2025 10:13:05"/>
    <n v="2664"/>
    <n v="139"/>
    <x v="9"/>
    <s v="Дик Илья Александрович"/>
    <s v="М556ХВ"/>
    <x v="29"/>
    <x v="1"/>
    <x v="7"/>
    <m/>
    <x v="67"/>
    <n v="1.4"/>
    <x v="31"/>
    <n v="47160"/>
    <n v="16140"/>
    <n v="10"/>
    <n v="31020"/>
    <n v="27918"/>
    <s v="грин01729"/>
    <x v="70"/>
  </r>
  <r>
    <s v="Акт входного контроля грин01730 от 26.10.2025 11:14:52"/>
    <n v="2665"/>
    <n v="141"/>
    <x v="9"/>
    <s v="Аладин Василий Сергеевич"/>
    <s v="Т110ТМ"/>
    <x v="29"/>
    <x v="1"/>
    <x v="7"/>
    <m/>
    <x v="67"/>
    <n v="1"/>
    <x v="31"/>
    <n v="37460"/>
    <n v="15070"/>
    <n v="9"/>
    <n v="22390"/>
    <n v="20374.900000000001"/>
    <s v="грин01730"/>
    <x v="70"/>
  </r>
  <r>
    <s v="Акт входного контроля грин01731 от 26.10.2025 12:59:42"/>
    <n v="2666"/>
    <n v="143"/>
    <x v="9"/>
    <s v="Сотников Сергей Кириллович"/>
    <s v="Т443МВ"/>
    <x v="29"/>
    <x v="1"/>
    <x v="7"/>
    <m/>
    <x v="67"/>
    <n v="1.1000000000000001"/>
    <x v="31"/>
    <n v="39580"/>
    <n v="15960"/>
    <n v="14"/>
    <n v="23620"/>
    <n v="20313.2"/>
    <s v="грин01731"/>
    <x v="70"/>
  </r>
  <r>
    <s v="Акт входного контроля грин01732 от 26.10.2025 14:42:46"/>
    <n v="2668"/>
    <n v="142"/>
    <x v="9"/>
    <s v="Блажко Алексей Николаевич"/>
    <s v="М676КО"/>
    <x v="29"/>
    <x v="1"/>
    <x v="7"/>
    <m/>
    <x v="67"/>
    <n v="1.6"/>
    <x v="31"/>
    <n v="60070"/>
    <n v="24880"/>
    <n v="19"/>
    <n v="35190"/>
    <n v="28503.9"/>
    <s v="грин01732"/>
    <x v="70"/>
  </r>
  <r>
    <s v="Акт входного контроля грин01733 от 26.10.2025 16:50:27"/>
    <n v="2669"/>
    <n v="140"/>
    <x v="9"/>
    <s v="Мудрак Вадим Васильевич"/>
    <s v="Х514ОК"/>
    <x v="29"/>
    <x v="1"/>
    <x v="7"/>
    <m/>
    <x v="67"/>
    <n v="1.7"/>
    <x v="31"/>
    <n v="57650"/>
    <n v="21550"/>
    <n v="12"/>
    <n v="36100"/>
    <n v="31768"/>
    <s v="грин01733"/>
    <x v="70"/>
  </r>
  <r>
    <s v="Акт входного контроля грин01734 от 26.10.2025 19:42:59"/>
    <n v="2670"/>
    <n v="144"/>
    <x v="9"/>
    <s v="Рудик Александр Иванович"/>
    <s v="А309АТ"/>
    <x v="29"/>
    <x v="1"/>
    <x v="7"/>
    <m/>
    <x v="67"/>
    <n v="1.2"/>
    <x v="31"/>
    <n v="41370"/>
    <n v="15080"/>
    <n v="14"/>
    <n v="26290"/>
    <n v="22609.4"/>
    <s v="грин01734"/>
    <x v="70"/>
  </r>
  <r>
    <s v="Акт входного контроля грин01735 от 26.10.2025 21:34:00"/>
    <n v="2671"/>
    <n v="145"/>
    <x v="9"/>
    <s v="Сероштан Станислав Викторович"/>
    <s v="Е758РЕ"/>
    <x v="29"/>
    <x v="1"/>
    <x v="7"/>
    <m/>
    <x v="67"/>
    <n v="1.1000000000000001"/>
    <x v="31"/>
    <n v="39590"/>
    <n v="14960"/>
    <n v="16"/>
    <n v="24630"/>
    <n v="20689.2"/>
    <s v="грин01735"/>
    <x v="70"/>
  </r>
  <r>
    <s v="Акт входного контроля грин01737 от 26.10.2025 22:49:14"/>
    <n v="2672"/>
    <n v="146"/>
    <x v="9"/>
    <s v="Кудря Евгений"/>
    <s v="А719ОО"/>
    <x v="29"/>
    <x v="1"/>
    <x v="7"/>
    <m/>
    <x v="67"/>
    <n v="1.1000000000000001"/>
    <x v="31"/>
    <n v="39870"/>
    <n v="15470"/>
    <n v="17"/>
    <n v="24400"/>
    <n v="20252"/>
    <s v="грин01737"/>
    <x v="70"/>
  </r>
  <r>
    <s v="Акт входного контроля грин01739 от 26.10.2025 9:37:45"/>
    <n v="2674"/>
    <n v="147"/>
    <x v="9"/>
    <s v="Черевко Александр Владимирович"/>
    <s v="А114МК"/>
    <x v="29"/>
    <x v="1"/>
    <x v="7"/>
    <m/>
    <x v="67"/>
    <n v="1.1000000000000001"/>
    <x v="31"/>
    <n v="37950"/>
    <n v="14920"/>
    <n v="12"/>
    <n v="23030"/>
    <n v="20266.400000000001"/>
    <s v="грин01739"/>
    <x v="70"/>
  </r>
  <r>
    <s v="Акт входного контроля грин01740 от 26.10.2025 12:28:57"/>
    <n v="2676"/>
    <n v="148"/>
    <x v="9"/>
    <s v="Егоян Артем Владимирович"/>
    <s v="А701СН"/>
    <x v="29"/>
    <x v="1"/>
    <x v="7"/>
    <m/>
    <x v="68"/>
    <n v="1.1000000000000001"/>
    <x v="31"/>
    <n v="38650"/>
    <n v="15170"/>
    <n v="15"/>
    <n v="23480"/>
    <n v="19958"/>
    <s v="грин01740"/>
    <x v="70"/>
  </r>
  <r>
    <s v="Акт входного контроля грин01741 от 26.10.2025 13:06:34"/>
    <n v="2679"/>
    <n v="150"/>
    <x v="9"/>
    <s v="Ховятский АМ"/>
    <s v="Р684ОХ"/>
    <x v="29"/>
    <x v="1"/>
    <x v="7"/>
    <m/>
    <x v="68"/>
    <n v="1.1000000000000001"/>
    <x v="31"/>
    <n v="38380"/>
    <n v="14800"/>
    <n v="20"/>
    <n v="23580"/>
    <n v="18864"/>
    <s v="грин01741"/>
    <x v="70"/>
  </r>
  <r>
    <s v="Акт входного контроля грин01742 от 26.10.2025 13:34:42"/>
    <n v="2681"/>
    <n v="151"/>
    <x v="9"/>
    <s v="Рыбалкин АН"/>
    <s v="Р687УК"/>
    <x v="29"/>
    <x v="1"/>
    <x v="7"/>
    <m/>
    <x v="68"/>
    <n v="1.1000000000000001"/>
    <x v="31"/>
    <n v="40120"/>
    <n v="16280"/>
    <n v="10"/>
    <n v="23840"/>
    <n v="21456"/>
    <s v="грин01742"/>
    <x v="70"/>
  </r>
  <r>
    <s v="Акт входного контроля грин01743 от 26.10.2025 15:01:00"/>
    <n v="2682"/>
    <n v="152"/>
    <x v="9"/>
    <s v="Майстровский В.Н."/>
    <s v="М057АО"/>
    <x v="29"/>
    <x v="1"/>
    <x v="7"/>
    <m/>
    <x v="68"/>
    <n v="1.2"/>
    <x v="31"/>
    <n v="38970"/>
    <n v="14770"/>
    <n v="21"/>
    <n v="24200"/>
    <n v="19118"/>
    <s v="грин01743"/>
    <x v="70"/>
  </r>
  <r>
    <s v="Акт входного контроля грин01744 от 26.10.2025 17:46:10"/>
    <n v="2683"/>
    <n v="149"/>
    <x v="9"/>
    <s v="Мудрак Игорь Вадимович"/>
    <s v="С198УЕ"/>
    <x v="33"/>
    <x v="1"/>
    <x v="7"/>
    <m/>
    <x v="67"/>
    <n v="1.8"/>
    <x v="35"/>
    <n v="62600"/>
    <n v="24250"/>
    <n v="18"/>
    <n v="38350"/>
    <n v="31447"/>
    <s v="грин01744"/>
    <x v="70"/>
  </r>
  <r>
    <s v="Акт входного контроля грин01745 от 26.10.2025 18:33:00"/>
    <n v="2685"/>
    <n v="154"/>
    <x v="9"/>
    <s v="Жданов Андрей Иванович"/>
    <s v="С707ОУ"/>
    <x v="33"/>
    <x v="1"/>
    <x v="7"/>
    <m/>
    <x v="67"/>
    <n v="0.9"/>
    <x v="35"/>
    <n v="34980"/>
    <n v="14840"/>
    <n v="18"/>
    <n v="20140"/>
    <n v="16514.8"/>
    <s v="грин01745"/>
    <x v="70"/>
  </r>
  <r>
    <s v="Акт входного контроля грин01746 от 26.10.2025 19:01:23"/>
    <n v="2686"/>
    <n v="155"/>
    <x v="9"/>
    <s v="Бондаренко Николай Николаевич"/>
    <s v="А315МК"/>
    <x v="33"/>
    <x v="1"/>
    <x v="7"/>
    <m/>
    <x v="67"/>
    <n v="1"/>
    <x v="35"/>
    <n v="36390"/>
    <n v="14210"/>
    <n v="5"/>
    <n v="22180"/>
    <n v="21071"/>
    <s v="грин01746"/>
    <x v="70"/>
  </r>
  <r>
    <s v="Акт входного контроля грин01747 от 26.10.2025 19:43:30"/>
    <n v="2688"/>
    <n v="153"/>
    <x v="9"/>
    <s v="Данильченко Ю.А."/>
    <s v="Р347КА"/>
    <x v="33"/>
    <x v="1"/>
    <x v="7"/>
    <m/>
    <x v="68"/>
    <n v="1.1000000000000001"/>
    <x v="35"/>
    <n v="39260"/>
    <n v="15160"/>
    <n v="5"/>
    <n v="24100"/>
    <n v="22895"/>
    <s v="грин01747"/>
    <x v="70"/>
  </r>
  <r>
    <s v="Акт входного контроля грин01748 от 26.10.2025 20:48:20"/>
    <n v="2689"/>
    <n v="157"/>
    <x v="9"/>
    <s v="Фомин Николай Григорьевич"/>
    <s v="А731ВА"/>
    <x v="33"/>
    <x v="1"/>
    <x v="7"/>
    <m/>
    <x v="68"/>
    <n v="1.1000000000000001"/>
    <x v="35"/>
    <n v="39280"/>
    <n v="15360"/>
    <n v="10"/>
    <n v="23920"/>
    <n v="21528"/>
    <s v="грин01748"/>
    <x v="70"/>
  </r>
  <r>
    <s v="Акт входного контроля грин01749 от 26.10.2025 21:51:09"/>
    <n v="2691"/>
    <n v="156"/>
    <x v="9"/>
    <s v="Пищев Александр Васильевич "/>
    <s v="Т522ОН"/>
    <x v="33"/>
    <x v="1"/>
    <x v="7"/>
    <m/>
    <x v="68"/>
    <n v="1.6"/>
    <x v="35"/>
    <n v="53440"/>
    <n v="19890"/>
    <n v="11"/>
    <n v="33550"/>
    <n v="29859.5"/>
    <s v="грин01749"/>
    <x v="70"/>
  </r>
  <r>
    <s v="Акт входного контроля грин01751 от 27.10.2025 16:01:44"/>
    <n v="2692"/>
    <n v="159"/>
    <x v="9"/>
    <s v="Лазаренко Вячеслав Владимирович"/>
    <s v="Т239УС"/>
    <x v="33"/>
    <x v="1"/>
    <x v="7"/>
    <m/>
    <x v="68"/>
    <n v="1.2"/>
    <x v="35"/>
    <n v="41170"/>
    <n v="15440"/>
    <n v="8"/>
    <n v="25730"/>
    <n v="23671.599999999999"/>
    <s v="грин01751"/>
    <x v="71"/>
  </r>
  <r>
    <s v="Акт входного контроля грин01755 от 27.10.2025 16:59:17"/>
    <n v="2695"/>
    <n v="160"/>
    <x v="9"/>
    <s v="Никитась Сергей Анатольевич"/>
    <s v="К570ЕО"/>
    <x v="33"/>
    <x v="1"/>
    <x v="7"/>
    <m/>
    <x v="68"/>
    <n v="1.3"/>
    <x v="35"/>
    <n v="43410"/>
    <n v="15450"/>
    <n v="9"/>
    <n v="27960"/>
    <n v="25443.599999999999"/>
    <s v="грин01755"/>
    <x v="71"/>
  </r>
  <r>
    <s v="Акт входного контроля грин01757 от 27.10.2025 18:02:59"/>
    <n v="2694"/>
    <n v="158"/>
    <x v="9"/>
    <s v="Пугачев Сергей Викторович"/>
    <s v="Р258УХ"/>
    <x v="33"/>
    <x v="1"/>
    <x v="7"/>
    <m/>
    <x v="69"/>
    <n v="1.3"/>
    <x v="35"/>
    <n v="43310"/>
    <n v="15910"/>
    <n v="8"/>
    <n v="27400"/>
    <n v="25208"/>
    <s v="грин01757"/>
    <x v="71"/>
  </r>
  <r>
    <s v="Акт входного контроля грин01758 от 27.10.2025 19:59:26"/>
    <n v="2697"/>
    <n v="161"/>
    <x v="9"/>
    <s v="Чернецов Александр Михайлович"/>
    <s v="Р866РМ"/>
    <x v="33"/>
    <x v="1"/>
    <x v="7"/>
    <m/>
    <x v="69"/>
    <n v="1.3"/>
    <x v="35"/>
    <n v="43460"/>
    <n v="15230"/>
    <n v="9"/>
    <n v="28230"/>
    <n v="25689.3"/>
    <s v="грин01758"/>
    <x v="71"/>
  </r>
  <r>
    <s v="Акт входного контроля грин01759 от 27.10.2025 21:09:37"/>
    <n v="2698"/>
    <n v="162"/>
    <x v="9"/>
    <s v="Ушаков С Е."/>
    <s v="О212РТ"/>
    <x v="33"/>
    <x v="1"/>
    <x v="7"/>
    <m/>
    <x v="69"/>
    <n v="1.2"/>
    <x v="35"/>
    <n v="40650"/>
    <n v="14530"/>
    <n v="11"/>
    <n v="26120"/>
    <n v="23246.799999999999"/>
    <s v="грин01759"/>
    <x v="71"/>
  </r>
  <r>
    <s v="Акт входного контроля грин01760 от 27.10.2025 21:21:38"/>
    <n v="2703"/>
    <n v="163"/>
    <x v="9"/>
    <s v="Ревенко Андрей Вячеславович"/>
    <s v="А781РР"/>
    <x v="33"/>
    <x v="1"/>
    <x v="7"/>
    <m/>
    <x v="69"/>
    <n v="1.1000000000000001"/>
    <x v="35"/>
    <n v="38230"/>
    <n v="15680"/>
    <n v="7"/>
    <n v="22550"/>
    <n v="20971.5"/>
    <s v="грин01760"/>
    <x v="71"/>
  </r>
  <r>
    <s v="Акт входного контроля грин01761 от 27.10.2025 13:34:37"/>
    <n v="2707"/>
    <n v="164"/>
    <x v="9"/>
    <s v="Погуляй А.Б.       "/>
    <s v="О824ТХ"/>
    <x v="33"/>
    <x v="1"/>
    <x v="7"/>
    <m/>
    <x v="68"/>
    <n v="1.5"/>
    <x v="35"/>
    <n v="50770"/>
    <n v="18900"/>
    <n v="5"/>
    <n v="31870"/>
    <n v="30276.5"/>
    <s v="грин01761"/>
    <x v="71"/>
  </r>
  <r>
    <s v="Акт входного контроля грин01762 от 27.10.2025 15:16:48"/>
    <n v="2712"/>
    <n v="165"/>
    <x v="9"/>
    <s v="Огнев Максим Викторович"/>
    <s v="Р755НН"/>
    <x v="33"/>
    <x v="1"/>
    <x v="7"/>
    <m/>
    <x v="68"/>
    <n v="1.2"/>
    <x v="35"/>
    <n v="39960"/>
    <n v="15130"/>
    <n v="7"/>
    <n v="24830"/>
    <n v="23091.9"/>
    <s v="грин01762"/>
    <x v="71"/>
  </r>
  <r>
    <s v="Акт входного контроля грин01763 от 27.10.2025 15:25:38"/>
    <n v="2713"/>
    <n v="166"/>
    <x v="9"/>
    <s v="Аладин Василий Сергеевич"/>
    <s v="Т110ТМ"/>
    <x v="33"/>
    <x v="1"/>
    <x v="7"/>
    <m/>
    <x v="68"/>
    <n v="1.1000000000000001"/>
    <x v="35"/>
    <n v="38270"/>
    <n v="15200"/>
    <n v="9"/>
    <n v="23070"/>
    <n v="20993.7"/>
    <s v="грин01763"/>
    <x v="71"/>
  </r>
  <r>
    <s v="Акт входного контроля грин01764 от 27.10.2025 17:12:44"/>
    <n v="2715"/>
    <n v="167"/>
    <x v="9"/>
    <s v="Дик Илья Александрович"/>
    <s v="М556ХВ"/>
    <x v="33"/>
    <x v="1"/>
    <x v="7"/>
    <m/>
    <x v="68"/>
    <n v="1.5"/>
    <x v="35"/>
    <n v="47940"/>
    <n v="16130"/>
    <n v="10"/>
    <n v="31810"/>
    <n v="28629"/>
    <s v="грин01764"/>
    <x v="71"/>
  </r>
  <r>
    <s v="Акт входного контроля грин01765 от 27.10.2025 18:13:14"/>
    <n v="2716"/>
    <n v="168"/>
    <x v="9"/>
    <s v="Бербеницкий Сергей Николаевич"/>
    <s v="С400РР"/>
    <x v="33"/>
    <x v="1"/>
    <x v="7"/>
    <m/>
    <x v="69"/>
    <n v="1.3"/>
    <x v="35"/>
    <n v="43360"/>
    <n v="15450"/>
    <n v="11"/>
    <n v="27910"/>
    <n v="24839.9"/>
    <s v="грин01765"/>
    <x v="71"/>
  </r>
  <r>
    <s v="Акт входного контроля грин01766 от 27.10.2025 19:33:34"/>
    <n v="2718"/>
    <n v="169"/>
    <x v="9"/>
    <s v="Сотников Сергей Кириллович"/>
    <s v="Т443МВ"/>
    <x v="33"/>
    <x v="1"/>
    <x v="7"/>
    <m/>
    <x v="69"/>
    <n v="1.2"/>
    <x v="35"/>
    <n v="41890"/>
    <n v="16080"/>
    <n v="9"/>
    <n v="25810"/>
    <n v="23487.1"/>
    <s v="грин01766"/>
    <x v="71"/>
  </r>
  <r>
    <s v="Акт входного контроля грин01767 от 27.10.2025 19:41:50"/>
    <n v="2719"/>
    <n v="170"/>
    <x v="9"/>
    <s v="Блажко Алексей Николаевич"/>
    <s v="М676КО"/>
    <x v="33"/>
    <x v="1"/>
    <x v="7"/>
    <m/>
    <x v="69"/>
    <n v="2"/>
    <x v="35"/>
    <n v="66710"/>
    <n v="24970"/>
    <n v="14"/>
    <n v="41740"/>
    <n v="35896.400000000001"/>
    <s v="грин01767"/>
    <x v="71"/>
  </r>
  <r>
    <s v="Акт входного контроля грин01768 от 27.10.2025 21:31:42"/>
    <n v="2721"/>
    <n v="174"/>
    <x v="9"/>
    <s v="Сероштан Станислав Викторович"/>
    <s v="Е758РЕ"/>
    <x v="33"/>
    <x v="1"/>
    <x v="7"/>
    <m/>
    <x v="69"/>
    <n v="1.1000000000000001"/>
    <x v="35"/>
    <n v="37930"/>
    <n v="14950"/>
    <n v="6"/>
    <n v="22980"/>
    <n v="21601.200000000001"/>
    <s v="грин01768"/>
    <x v="71"/>
  </r>
  <r>
    <s v="Акт входного контроля грин01769 от 27.10.2025 22:25:20"/>
    <n v="2722"/>
    <n v="172"/>
    <x v="9"/>
    <s v="Мудрак Вадим Васильевич"/>
    <s v="Х514ОК"/>
    <x v="33"/>
    <x v="1"/>
    <x v="7"/>
    <m/>
    <x v="69"/>
    <n v="1.9"/>
    <x v="35"/>
    <n v="62830"/>
    <n v="21410"/>
    <n v="16"/>
    <n v="41420"/>
    <n v="34792.800000000003"/>
    <s v="грин01769"/>
    <x v="71"/>
  </r>
  <r>
    <s v="Акт входного контроля грин01770 от 27.10.2025 23:31:59"/>
    <n v="2724"/>
    <n v="175"/>
    <x v="9"/>
    <s v="Черевко Александр Владимирович"/>
    <s v="А114МК"/>
    <x v="33"/>
    <x v="1"/>
    <x v="7"/>
    <m/>
    <x v="69"/>
    <n v="1"/>
    <x v="35"/>
    <n v="36980"/>
    <n v="14950"/>
    <n v="6"/>
    <n v="22030"/>
    <n v="20708.2"/>
    <s v="грин01770"/>
    <x v="71"/>
  </r>
  <r>
    <s v="Акт входного контроля грин01771 от 27.10.2025 20:47:29"/>
    <n v="2720"/>
    <n v="173"/>
    <x v="9"/>
    <s v="Рудик Александр Иванович"/>
    <s v="А309АТ"/>
    <x v="33"/>
    <x v="1"/>
    <x v="7"/>
    <m/>
    <x v="69"/>
    <n v="1.2"/>
    <x v="35"/>
    <n v="40500"/>
    <n v="15220"/>
    <n v="8"/>
    <n v="25280"/>
    <n v="23257.599999999999"/>
    <s v="грин01771"/>
    <x v="71"/>
  </r>
  <r>
    <s v="Акт входного контроля грин01772 от 27.10.2025 23:45:28"/>
    <n v="2725"/>
    <n v="176"/>
    <x v="9"/>
    <s v="Ховятский АМ"/>
    <s v="Р684ОХ"/>
    <x v="33"/>
    <x v="1"/>
    <x v="7"/>
    <m/>
    <x v="69"/>
    <n v="1.1000000000000001"/>
    <x v="35"/>
    <n v="39170"/>
    <n v="14840"/>
    <n v="5"/>
    <n v="24330"/>
    <n v="23113.5"/>
    <s v="грин01772"/>
    <x v="71"/>
  </r>
  <r>
    <s v="Акт входного контроля грин01773 от 28.10.2025 11:25:33"/>
    <n v="2727"/>
    <n v="177"/>
    <x v="9"/>
    <s v="Рыбалкин АН"/>
    <s v="Р687УК"/>
    <x v="33"/>
    <x v="1"/>
    <x v="7"/>
    <m/>
    <x v="69"/>
    <n v="1.1000000000000001"/>
    <x v="35"/>
    <n v="39930"/>
    <n v="16150"/>
    <n v="8"/>
    <n v="23780"/>
    <n v="21877.599999999999"/>
    <s v="грин01773"/>
    <x v="72"/>
  </r>
  <r>
    <s v="Акт входного контроля грин01774 от 28.10.2025 13:37:47"/>
    <n v="2728"/>
    <n v="178"/>
    <x v="9"/>
    <s v="Майстровский В.Н."/>
    <s v="М057АО"/>
    <x v="33"/>
    <x v="1"/>
    <x v="7"/>
    <m/>
    <x v="69"/>
    <n v="1.1000000000000001"/>
    <x v="35"/>
    <n v="39210"/>
    <n v="14730"/>
    <n v="10"/>
    <n v="24480"/>
    <n v="22032"/>
    <s v="грин01774"/>
    <x v="72"/>
  </r>
  <r>
    <s v="Акт входного контроля грин01775 от 28.10.2025 13:50:52"/>
    <n v="2730"/>
    <n v="179"/>
    <x v="9"/>
    <s v="Богучарский А. И."/>
    <s v="Е404УС"/>
    <x v="33"/>
    <x v="1"/>
    <x v="7"/>
    <m/>
    <x v="69"/>
    <n v="1"/>
    <x v="35"/>
    <n v="35840"/>
    <n v="14030"/>
    <n v="32"/>
    <n v="21810"/>
    <n v="14830.8"/>
    <s v="грин01775"/>
    <x v="72"/>
  </r>
  <r>
    <s v="Акт входного контроля грин01776 от 28.10.2025 14:02:10"/>
    <n v="2733"/>
    <n v="180"/>
    <x v="9"/>
    <s v="Егоян Артем Владимирович"/>
    <s v="А701СН"/>
    <x v="33"/>
    <x v="1"/>
    <x v="7"/>
    <m/>
    <x v="69"/>
    <n v="1.1000000000000001"/>
    <x v="35"/>
    <n v="39030"/>
    <n v="15220"/>
    <n v="8"/>
    <n v="23810"/>
    <n v="21905.200000000001"/>
    <s v="грин01776"/>
    <x v="72"/>
  </r>
  <r>
    <s v="Акт входного контроля грин01777 от 28.10.2025 14:47:02"/>
    <n v="2734"/>
    <n v="182"/>
    <x v="9"/>
    <s v="Бондаренко Николай Николаевич"/>
    <s v="А315МК"/>
    <x v="33"/>
    <x v="1"/>
    <x v="7"/>
    <m/>
    <x v="69"/>
    <n v="1"/>
    <x v="35"/>
    <n v="35240"/>
    <n v="14150"/>
    <n v="18"/>
    <n v="21090"/>
    <n v="17293.8"/>
    <s v="грин01777"/>
    <x v="72"/>
  </r>
  <r>
    <s v="Акт входного контроля грин01778 от 28.10.2025 16:34:47"/>
    <n v="2735"/>
    <n v="183"/>
    <x v="9"/>
    <s v="Кулинич Евгений Владимирович"/>
    <s v="У801СТ"/>
    <x v="33"/>
    <x v="1"/>
    <x v="7"/>
    <m/>
    <x v="69"/>
    <n v="1.1000000000000001"/>
    <x v="35"/>
    <n v="39530"/>
    <n v="15200"/>
    <n v="20"/>
    <n v="24330"/>
    <n v="19464"/>
    <s v="грин01778"/>
    <x v="72"/>
  </r>
  <r>
    <s v="Акт входного контроля грин01779 от 28.10.2025 16:48:57"/>
    <n v="2736"/>
    <n v="171"/>
    <x v="9"/>
    <s v="Долгих Николай Петрович"/>
    <s v="У726ЕР"/>
    <x v="33"/>
    <x v="1"/>
    <x v="7"/>
    <m/>
    <x v="69"/>
    <n v="1.1000000000000001"/>
    <x v="35"/>
    <n v="39290"/>
    <n v="15280"/>
    <n v="27"/>
    <n v="24010"/>
    <n v="17527.3"/>
    <s v="грин01779"/>
    <x v="72"/>
  </r>
  <r>
    <s v="Акт входного контроля грин01780 от 28.10.2025 18:21:34"/>
    <n v="2737"/>
    <n v="184"/>
    <x v="9"/>
    <s v="Данильченко Ю.А."/>
    <s v="Р347КА"/>
    <x v="33"/>
    <x v="1"/>
    <x v="7"/>
    <m/>
    <x v="69"/>
    <n v="1.2"/>
    <x v="35"/>
    <n v="40110"/>
    <n v="15070"/>
    <n v="14"/>
    <n v="25040"/>
    <n v="21534.400000000001"/>
    <s v="грин01780"/>
    <x v="72"/>
  </r>
  <r>
    <s v="Акт входного контроля грин01781 от 28.10.2025 18:05:02"/>
    <n v="2755"/>
    <n v="8206"/>
    <x v="8"/>
    <s v="Чигрин Н.А."/>
    <s v="А819ЕВ"/>
    <x v="34"/>
    <x v="15"/>
    <x v="6"/>
    <m/>
    <x v="70"/>
    <n v="1"/>
    <x v="36"/>
    <n v="30390"/>
    <n v="14430"/>
    <n v="17"/>
    <n v="15960"/>
    <n v="13246.8"/>
    <s v="грин01781"/>
    <x v="72"/>
  </r>
  <r>
    <s v="Акт входного контроля грин01782 от 28.10.2025 19:08:47"/>
    <n v="2738"/>
    <n v="185"/>
    <x v="9"/>
    <s v="Кулик О В"/>
    <s v="К403ЕМ"/>
    <x v="33"/>
    <x v="1"/>
    <x v="7"/>
    <m/>
    <x v="69"/>
    <n v="1.4"/>
    <x v="35"/>
    <n v="47920"/>
    <n v="17670"/>
    <n v="11"/>
    <n v="30250"/>
    <n v="26922.5"/>
    <s v="грин01782"/>
    <x v="72"/>
  </r>
  <r>
    <s v="Акт входного контроля грин01783 от 28.10.2025 20:08:12"/>
    <n v="2739"/>
    <n v="186"/>
    <x v="9"/>
    <s v="Кудря Евгений"/>
    <s v="А719ОО"/>
    <x v="33"/>
    <x v="1"/>
    <x v="7"/>
    <m/>
    <x v="69"/>
    <n v="1.1000000000000001"/>
    <x v="35"/>
    <n v="38550"/>
    <n v="15300"/>
    <n v="12"/>
    <n v="23250"/>
    <n v="20460"/>
    <s v="грин01783"/>
    <x v="72"/>
  </r>
  <r>
    <s v="Акт входного контроля грин01784 от 28.10.2025 22:57:01"/>
    <n v="2740"/>
    <n v="187"/>
    <x v="9"/>
    <s v="Пищев Александр Васильевич "/>
    <s v="Т522ОН"/>
    <x v="33"/>
    <x v="1"/>
    <x v="7"/>
    <m/>
    <x v="69"/>
    <n v="1.5"/>
    <x v="35"/>
    <n v="52090"/>
    <n v="19730"/>
    <n v="9"/>
    <n v="32360"/>
    <n v="29447.599999999999"/>
    <s v="грин01784"/>
    <x v="72"/>
  </r>
  <r>
    <s v="Акт входного контроля грин01785 от 28.10.2025 9:53:50"/>
    <n v="2743"/>
    <n v="188"/>
    <x v="9"/>
    <s v="Магадиев Александр Сайлаувич"/>
    <s v="У184НО"/>
    <x v="33"/>
    <x v="1"/>
    <x v="7"/>
    <m/>
    <x v="69"/>
    <n v="1.1000000000000001"/>
    <x v="35"/>
    <n v="38980"/>
    <n v="14630"/>
    <n v="10"/>
    <n v="24350"/>
    <n v="21915"/>
    <s v="грин01785"/>
    <x v="72"/>
  </r>
  <r>
    <s v="Акт входного контроля грин01786 от 28.10.2025 23:25:33"/>
    <n v="2746"/>
    <n v="189"/>
    <x v="9"/>
    <s v="Фомин Николай Григорьевич"/>
    <s v="А731ВА"/>
    <x v="33"/>
    <x v="1"/>
    <x v="7"/>
    <m/>
    <x v="69"/>
    <n v="1.1000000000000001"/>
    <x v="35"/>
    <n v="38570"/>
    <n v="15160"/>
    <n v="10"/>
    <n v="23410"/>
    <n v="21069"/>
    <s v="грин01786"/>
    <x v="72"/>
  </r>
  <r>
    <s v="Акт входного контроля грин01787 от 28.10.2025 12:09:28"/>
    <n v="2747"/>
    <n v="190"/>
    <x v="9"/>
    <s v="Лазаренко Вячеслав Владимирович"/>
    <s v="Т239УС"/>
    <x v="33"/>
    <x v="1"/>
    <x v="7"/>
    <m/>
    <x v="70"/>
    <n v="1.2"/>
    <x v="35"/>
    <n v="40840"/>
    <n v="15090"/>
    <n v="7"/>
    <n v="25750"/>
    <n v="23947.5"/>
    <s v="грин01787"/>
    <x v="72"/>
  </r>
  <r>
    <s v="Акт входного контроля грин01788 от 28.10.2025 12:42:24"/>
    <n v="2748"/>
    <n v="191"/>
    <x v="9"/>
    <s v="Пугачев Сергей Викторович"/>
    <s v="Р258УХ"/>
    <x v="33"/>
    <x v="1"/>
    <x v="7"/>
    <m/>
    <x v="70"/>
    <n v="1.3"/>
    <x v="35"/>
    <n v="43030"/>
    <n v="15910"/>
    <n v="14"/>
    <n v="27120"/>
    <n v="23323.200000000001"/>
    <s v="грин01788"/>
    <x v="72"/>
  </r>
  <r>
    <s v="Акт входного контроля грин01789 от 28.10.2025 22:27:39"/>
    <n v="2758"/>
    <n v="203"/>
    <x v="9"/>
    <s v="Черевко Александр Владимирович"/>
    <s v="А114МК"/>
    <x v="32"/>
    <x v="1"/>
    <x v="7"/>
    <m/>
    <x v="70"/>
    <n v="1.2"/>
    <x v="35"/>
    <n v="34500"/>
    <n v="14970"/>
    <n v="5"/>
    <n v="19530"/>
    <n v="18553.5"/>
    <s v="грин01789"/>
    <x v="72"/>
  </r>
  <r>
    <s v="Акт входного контроля грин01790 от 28.10.2025 23:41:09"/>
    <n v="2761"/>
    <n v="196"/>
    <x v="9"/>
    <s v="Дик Илья Александрович"/>
    <s v="М556ХВ"/>
    <x v="32"/>
    <x v="1"/>
    <x v="7"/>
    <m/>
    <x v="69"/>
    <n v="1.3"/>
    <x v="34"/>
    <n v="43680"/>
    <n v="16350"/>
    <n v="12"/>
    <n v="27330"/>
    <n v="24050.400000000001"/>
    <s v="грин01790"/>
    <x v="72"/>
  </r>
  <r>
    <s v="Акт входного контроля грин01791 от 29.10.2025 5:00:55"/>
    <n v="2762"/>
    <n v="193"/>
    <x v="9"/>
    <s v="Чернецов Александр Михайлович"/>
    <s v="Р866РМ"/>
    <x v="32"/>
    <x v="1"/>
    <x v="7"/>
    <m/>
    <x v="70"/>
    <n v="1.4"/>
    <x v="34"/>
    <n v="39000"/>
    <n v="15240"/>
    <n v="14"/>
    <n v="23760"/>
    <n v="20433.599999999999"/>
    <s v="грин01791"/>
    <x v="73"/>
  </r>
  <r>
    <s v="Акт входного контроля грин01792 от 29.10.2025 5:43:30"/>
    <n v="2763"/>
    <n v="192"/>
    <x v="9"/>
    <s v="Никитась Сергей Анатольевич"/>
    <s v="К570ЕО"/>
    <x v="32"/>
    <x v="1"/>
    <x v="7"/>
    <m/>
    <x v="70"/>
    <n v="1.5"/>
    <x v="34"/>
    <n v="39910"/>
    <n v="15280"/>
    <n v="21"/>
    <n v="24630"/>
    <n v="19457.7"/>
    <s v="грин01792"/>
    <x v="73"/>
  </r>
  <r>
    <s v="Акт входного контроля грин01793 от 29.10.2025 6:40:15"/>
    <n v="2764"/>
    <n v="194"/>
    <x v="9"/>
    <s v="Ушаков С Е."/>
    <s v="О212РТ"/>
    <x v="32"/>
    <x v="1"/>
    <x v="7"/>
    <m/>
    <x v="70"/>
    <n v="1.4"/>
    <x v="34"/>
    <n v="37630"/>
    <n v="14510"/>
    <n v="20"/>
    <n v="23120"/>
    <n v="18496"/>
    <s v="грин01793"/>
    <x v="73"/>
  </r>
  <r>
    <s v="Акт входного контроля грин01794 от 29.10.2025 7:53:30"/>
    <n v="2765"/>
    <n v="181"/>
    <x v="9"/>
    <s v="Мудрак Игорь Вадимович"/>
    <s v="С198УЕ"/>
    <x v="32"/>
    <x v="1"/>
    <x v="7"/>
    <m/>
    <x v="70"/>
    <n v="1.2"/>
    <x v="34"/>
    <n v="43510"/>
    <n v="24180"/>
    <n v="4"/>
    <n v="19330"/>
    <n v="18556.8"/>
    <s v="грин01794"/>
    <x v="73"/>
  </r>
  <r>
    <s v="Акт входного контроля грин01795 от 29.10.2025 8:46:54"/>
    <n v="2766"/>
    <n v="195"/>
    <x v="9"/>
    <s v="Ревенко Андрей Вячеславович"/>
    <s v="А781РР"/>
    <x v="32"/>
    <x v="1"/>
    <x v="7"/>
    <m/>
    <x v="70"/>
    <n v="1.3"/>
    <x v="34"/>
    <n v="36500"/>
    <n v="15380"/>
    <n v="6"/>
    <n v="21120"/>
    <n v="19852.8"/>
    <s v="грин01795"/>
    <x v="73"/>
  </r>
  <r>
    <s v="Акт входного контроля грин01801 от 29.10.2025 20:10:46"/>
    <n v="2772"/>
    <n v="197"/>
    <x v="9"/>
    <s v="Бербеницкий Сергей Николаевич"/>
    <s v="С400РР"/>
    <x v="32"/>
    <x v="1"/>
    <x v="7"/>
    <m/>
    <x v="71"/>
    <n v="1.3"/>
    <x v="34"/>
    <n v="38740"/>
    <n v="15430"/>
    <n v="12"/>
    <n v="23310"/>
    <n v="20512.8"/>
    <s v="грин01801"/>
    <x v="73"/>
  </r>
  <r>
    <s v="Акт входного контроля грин01802 от 29.10.2025 21:18:21"/>
    <n v="2773"/>
    <n v="198"/>
    <x v="9"/>
    <s v="Сотников Сергей Кириллович"/>
    <s v="Т443МВ"/>
    <x v="32"/>
    <x v="1"/>
    <x v="7"/>
    <m/>
    <x v="71"/>
    <n v="1.3"/>
    <x v="34"/>
    <n v="39210"/>
    <n v="15840"/>
    <n v="6"/>
    <n v="23370"/>
    <n v="21967.8"/>
    <s v="грин01802"/>
    <x v="73"/>
  </r>
  <r>
    <s v="Акт входного контроля грин01803 от 29.10.2025 22:57:27"/>
    <n v="2774"/>
    <n v="200"/>
    <x v="9"/>
    <s v="Рудик Александр Иванович"/>
    <s v="А309АТ"/>
    <x v="32"/>
    <x v="1"/>
    <x v="7"/>
    <m/>
    <x v="71"/>
    <n v="1.4"/>
    <x v="34"/>
    <n v="39740"/>
    <n v="15150"/>
    <n v="14"/>
    <n v="24590"/>
    <n v="21147.4"/>
    <s v="грин01803"/>
    <x v="73"/>
  </r>
  <r>
    <s v="Акт входного контроля грин01804 от 29.10.2025 23:21:11"/>
    <n v="2775"/>
    <n v="201"/>
    <x v="9"/>
    <s v="Сероштан Станислав Викторович"/>
    <s v="Е758РЕ"/>
    <x v="32"/>
    <x v="1"/>
    <x v="7"/>
    <m/>
    <x v="71"/>
    <n v="1.3"/>
    <x v="34"/>
    <n v="37990"/>
    <n v="15020"/>
    <n v="14"/>
    <n v="22970"/>
    <n v="19754.2"/>
    <s v="грин01804"/>
    <x v="73"/>
  </r>
  <r>
    <s v="Акт входного контроля грин01805 от 29.10.2025 19:13:59"/>
    <n v="2776"/>
    <n v="199"/>
    <x v="9"/>
    <s v="Блажко Алексей Николаевич"/>
    <s v="М676КО"/>
    <x v="32"/>
    <x v="1"/>
    <x v="7"/>
    <m/>
    <x v="71"/>
    <n v="2.2000000000000002"/>
    <x v="34"/>
    <n v="64100"/>
    <n v="24740"/>
    <n v="7"/>
    <n v="39360"/>
    <n v="36604.800000000003"/>
    <s v="грин01805"/>
    <x v="73"/>
  </r>
  <r>
    <s v="Акт входного контроля грин01806 от 29.10.2025 20:43:52"/>
    <n v="2777"/>
    <n v="202"/>
    <x v="9"/>
    <s v="Погуляй А.Б.       "/>
    <s v="О824ТХ"/>
    <x v="32"/>
    <x v="1"/>
    <x v="7"/>
    <m/>
    <x v="71"/>
    <n v="1.7"/>
    <x v="34"/>
    <n v="50270"/>
    <n v="18920"/>
    <n v="9"/>
    <n v="31350"/>
    <n v="28528.5"/>
    <s v="грин01806"/>
    <x v="73"/>
  </r>
  <r>
    <s v="Акт входного контроля грин01807 от 29.10.2025 21:40:56"/>
    <n v="2778"/>
    <n v="205"/>
    <x v="9"/>
    <s v="Ховятский АМ"/>
    <s v="Р684ОХ"/>
    <x v="32"/>
    <x v="1"/>
    <x v="7"/>
    <m/>
    <x v="71"/>
    <n v="1.3"/>
    <x v="34"/>
    <n v="38130"/>
    <n v="14880"/>
    <n v="7"/>
    <n v="23250"/>
    <n v="21622.5"/>
    <s v="грин01807"/>
    <x v="73"/>
  </r>
  <r>
    <s v="Акт входного контроля грин01808 от 29.10.2025 22:21:04"/>
    <n v="2779"/>
    <n v="206"/>
    <x v="9"/>
    <s v="Рыбалкин АН"/>
    <s v="Р687УК"/>
    <x v="32"/>
    <x v="1"/>
    <x v="7"/>
    <m/>
    <x v="71"/>
    <n v="1.4"/>
    <x v="34"/>
    <n v="41100"/>
    <n v="16280"/>
    <n v="14"/>
    <n v="24820"/>
    <n v="21345.200000000001"/>
    <s v="грин01808"/>
    <x v="73"/>
  </r>
  <r>
    <s v="Акт входного контроля грин01809 от 29.10.2025 23:00:55"/>
    <n v="2780"/>
    <n v="204"/>
    <x v="9"/>
    <s v="Бондаренко Николай Николаевич"/>
    <s v="А315МК"/>
    <x v="32"/>
    <x v="1"/>
    <x v="7"/>
    <m/>
    <x v="71"/>
    <n v="1.2"/>
    <x v="34"/>
    <n v="35310"/>
    <n v="14100"/>
    <n v="22"/>
    <n v="21210"/>
    <n v="16543.8"/>
    <s v="грин01809"/>
    <x v="73"/>
  </r>
  <r>
    <s v="Акт входного контроля грин01810 от 30.10.2025 5:39:59"/>
    <n v="2781"/>
    <n v="207"/>
    <x v="9"/>
    <s v="Огнев Максим Викторович"/>
    <s v="Р755НН"/>
    <x v="32"/>
    <x v="1"/>
    <x v="7"/>
    <m/>
    <x v="71"/>
    <n v="1.4"/>
    <x v="34"/>
    <n v="39290"/>
    <n v="14960"/>
    <n v="14"/>
    <n v="24330"/>
    <n v="20923.8"/>
    <s v="грин01810"/>
    <x v="74"/>
  </r>
  <r>
    <s v="Акт входного контроля грин01811 от 30.10.2025 6:23:27"/>
    <n v="2782"/>
    <n v="208"/>
    <x v="9"/>
    <s v="Аладин Василий Сергеевич"/>
    <s v="Т110ТМ"/>
    <x v="32"/>
    <x v="1"/>
    <x v="7"/>
    <m/>
    <x v="71"/>
    <n v="1.2"/>
    <x v="34"/>
    <n v="36590"/>
    <n v="15100"/>
    <n v="24"/>
    <n v="21490"/>
    <n v="16332.4"/>
    <s v="грин01811"/>
    <x v="74"/>
  </r>
  <r>
    <s v="Акт входного контроля грин01812 от 30.10.2025 7:49:36"/>
    <n v="2783"/>
    <n v="209"/>
    <x v="9"/>
    <s v="Данильченко Ю.А."/>
    <s v="Р347КА"/>
    <x v="32"/>
    <x v="1"/>
    <x v="7"/>
    <m/>
    <x v="71"/>
    <n v="1.3"/>
    <x v="34"/>
    <n v="39010"/>
    <n v="15210"/>
    <n v="21"/>
    <n v="23800"/>
    <n v="18802"/>
    <s v="грин01812"/>
    <x v="74"/>
  </r>
  <r>
    <s v="Акт входного контроля грин01813 от 30.10.2025 8:44:55"/>
    <n v="2784"/>
    <n v="211"/>
    <x v="9"/>
    <s v="Егоян Артем Владимирович"/>
    <s v="А701СН"/>
    <x v="32"/>
    <x v="1"/>
    <x v="7"/>
    <m/>
    <x v="71"/>
    <n v="1.3"/>
    <x v="34"/>
    <n v="38810"/>
    <n v="15190"/>
    <n v="12"/>
    <n v="23620"/>
    <n v="20785.599999999999"/>
    <s v="грин01813"/>
    <x v="74"/>
  </r>
  <r>
    <s v="Акт входного контроля грин01814 от 30.10.2025 10:29:59"/>
    <n v="2785"/>
    <n v="210"/>
    <x v="9"/>
    <s v="Мудрак Вадим Васильевич"/>
    <s v="Х514ОК"/>
    <x v="32"/>
    <x v="1"/>
    <x v="7"/>
    <m/>
    <x v="71"/>
    <n v="2.2000000000000002"/>
    <x v="34"/>
    <n v="59920"/>
    <n v="21330"/>
    <n v="24"/>
    <n v="38590"/>
    <n v="29328.400000000001"/>
    <s v="грин01814"/>
    <x v="74"/>
  </r>
  <r>
    <s v="Акт входного контроля грин01815 от 30.10.2025 12:46:12"/>
    <n v="2786"/>
    <n v="212"/>
    <x v="9"/>
    <s v="Пищев Александр Васильевич "/>
    <s v="Т522ОН"/>
    <x v="32"/>
    <x v="1"/>
    <x v="7"/>
    <m/>
    <x v="71"/>
    <n v="1.8"/>
    <x v="34"/>
    <n v="52000"/>
    <n v="19590"/>
    <n v="8"/>
    <n v="32410"/>
    <n v="29817.200000000001"/>
    <s v="грин01815"/>
    <x v="74"/>
  </r>
  <r>
    <s v="Акт входного контроля грин01816 от 30.10.2025 12:48:55"/>
    <n v="2787"/>
    <n v="213"/>
    <x v="9"/>
    <s v="Фомин Николай Григорьевич"/>
    <s v="А731ВА"/>
    <x v="32"/>
    <x v="1"/>
    <x v="7"/>
    <m/>
    <x v="71"/>
    <n v="1.3"/>
    <x v="34"/>
    <n v="38140"/>
    <n v="15080"/>
    <n v="11"/>
    <n v="23060"/>
    <n v="20523.400000000001"/>
    <s v="грин01816"/>
    <x v="74"/>
  </r>
  <r>
    <s v="Акт входного контроля грин01817 от 30.10.2025 14:22:47"/>
    <n v="2788"/>
    <n v="215"/>
    <x v="9"/>
    <s v="Пугачев Сергей Викторович"/>
    <s v="Р258УХ"/>
    <x v="32"/>
    <x v="1"/>
    <x v="7"/>
    <m/>
    <x v="71"/>
    <n v="1.5"/>
    <x v="34"/>
    <n v="43040"/>
    <n v="16020"/>
    <n v="15"/>
    <n v="27020"/>
    <n v="22967"/>
    <s v="грин01817"/>
    <x v="74"/>
  </r>
  <r>
    <s v="Акт входного контроля грин01818 от 30.10.2025 14:56:57"/>
    <n v="2790"/>
    <n v="214"/>
    <x v="9"/>
    <s v="Чернецов Александр Михайлович"/>
    <s v="Р866РМ"/>
    <x v="32"/>
    <x v="1"/>
    <x v="7"/>
    <m/>
    <x v="71"/>
    <n v="1.4"/>
    <x v="34"/>
    <n v="40560"/>
    <n v="15130"/>
    <n v="16"/>
    <n v="25430"/>
    <n v="21361.200000000001"/>
    <s v="грин01818"/>
    <x v="74"/>
  </r>
  <r>
    <s v="Акт входного контроля грин01819 от 30.10.2025 16:20:04"/>
    <n v="2793"/>
    <n v="216"/>
    <x v="9"/>
    <s v="Никитась Сергей Анатольевич"/>
    <s v="К570ЕО"/>
    <x v="32"/>
    <x v="1"/>
    <x v="7"/>
    <m/>
    <x v="71"/>
    <n v="1.5"/>
    <x v="34"/>
    <n v="42970"/>
    <n v="15290"/>
    <n v="18"/>
    <n v="27680"/>
    <n v="22697.599999999999"/>
    <s v="грин01819"/>
    <x v="74"/>
  </r>
  <r>
    <s v="Акт входного контроля грин01820 от 30.10.2025 17:31:11"/>
    <n v="2795"/>
    <n v="217"/>
    <x v="9"/>
    <s v="Ушаков С Е."/>
    <s v="О212РТ"/>
    <x v="32"/>
    <x v="1"/>
    <x v="7"/>
    <m/>
    <x v="72"/>
    <n v="1.3"/>
    <x v="34"/>
    <n v="38470"/>
    <n v="14670"/>
    <n v="8"/>
    <n v="23800"/>
    <n v="21896"/>
    <s v="грин01820"/>
    <x v="74"/>
  </r>
  <r>
    <s v="Акт входного контроля грин01821 от 30.10.2025 19:09:18"/>
    <n v="2796"/>
    <n v="218"/>
    <x v="9"/>
    <s v="Дик Илья Александрович"/>
    <s v="М556ХВ"/>
    <x v="32"/>
    <x v="1"/>
    <x v="7"/>
    <m/>
    <x v="72"/>
    <n v="1.4"/>
    <x v="34"/>
    <n v="41540"/>
    <n v="16290"/>
    <n v="29"/>
    <n v="25250"/>
    <n v="17927.5"/>
    <s v="грин01821"/>
    <x v="74"/>
  </r>
  <r>
    <s v="Акт входного контроля грин01822 от 30.10.2025 21:27:34"/>
    <n v="2797"/>
    <n v="219"/>
    <x v="9"/>
    <s v="Лазаренко Вячеслав Владимирович"/>
    <s v="Т239УС"/>
    <x v="32"/>
    <x v="1"/>
    <x v="7"/>
    <m/>
    <x v="72"/>
    <n v="1.3"/>
    <x v="34"/>
    <n v="38490"/>
    <n v="15230"/>
    <n v="14"/>
    <n v="23260"/>
    <n v="20003.599999999999"/>
    <s v="грин01822"/>
    <x v="74"/>
  </r>
  <r>
    <s v="Акт входного контроля грин01823 от 30.10.2025 21:33:16"/>
    <n v="2798"/>
    <n v="220"/>
    <x v="9"/>
    <s v="Мудрак Игорь Вадимович"/>
    <s v="С198УЕ"/>
    <x v="33"/>
    <x v="1"/>
    <x v="7"/>
    <m/>
    <x v="72"/>
    <n v="1.1000000000000001"/>
    <x v="35"/>
    <n v="50670"/>
    <n v="24380"/>
    <n v="15"/>
    <n v="26290"/>
    <n v="22346.5"/>
    <s v="грин01823"/>
    <x v="74"/>
  </r>
  <r>
    <s v="Акт входного контроля грин01824 от 30.10.2025 22:34:22"/>
    <n v="2799"/>
    <n v="11284"/>
    <x v="8"/>
    <s v="Магадиев Александр Сайлаувич"/>
    <s v="У184НО"/>
    <x v="34"/>
    <x v="15"/>
    <x v="6"/>
    <m/>
    <x v="72"/>
    <n v="1.7"/>
    <x v="36"/>
    <n v="40270"/>
    <n v="14630"/>
    <n v="6"/>
    <n v="25640"/>
    <n v="24101.599999999999"/>
    <s v="грин01824"/>
    <x v="74"/>
  </r>
  <r>
    <s v="Акт входного контроля грин01825 от 30.10.2025 23:30:12"/>
    <n v="2800"/>
    <n v="11285"/>
    <x v="8"/>
    <s v="Ревенко Андрей Вячеславович"/>
    <s v="А781РР"/>
    <x v="34"/>
    <x v="15"/>
    <x v="6"/>
    <m/>
    <x v="72"/>
    <n v="1.6"/>
    <x v="36"/>
    <n v="40310"/>
    <n v="15310"/>
    <n v="11"/>
    <n v="25000"/>
    <n v="22250"/>
    <s v="грин01825"/>
    <x v="74"/>
  </r>
  <r>
    <s v="Акт входного контроля грин01826 от 30.10.2025 20:29:09"/>
    <n v="2801"/>
    <n v="11294"/>
    <x v="8"/>
    <s v="Кулинич Евгений Владимирович"/>
    <s v="У801СТ"/>
    <x v="34"/>
    <x v="15"/>
    <x v="6"/>
    <m/>
    <x v="72"/>
    <n v="1.7"/>
    <x v="36"/>
    <n v="40300"/>
    <n v="15120"/>
    <n v="6"/>
    <n v="25180"/>
    <n v="23669.200000000001"/>
    <s v="грин01826"/>
    <x v="74"/>
  </r>
  <r>
    <s v="Акт входного контроля грин01827 от 30.10.2025 20:34:18"/>
    <n v="2802"/>
    <n v="221"/>
    <x v="9"/>
    <s v="Сотников Сергей Кириллович"/>
    <s v="Т443МВ"/>
    <x v="33"/>
    <x v="1"/>
    <x v="7"/>
    <m/>
    <x v="72"/>
    <n v="0.9"/>
    <x v="35"/>
    <n v="38170"/>
    <n v="16110"/>
    <n v="6"/>
    <n v="22060"/>
    <n v="20736.400000000001"/>
    <s v="грин01827"/>
    <x v="74"/>
  </r>
  <r>
    <s v="Акт входного контроля грин01828 от 30.10.2025 20:40:50"/>
    <n v="2803"/>
    <n v="222"/>
    <x v="9"/>
    <s v="Блажко Алексей Николаевич"/>
    <s v="М676КО"/>
    <x v="33"/>
    <x v="1"/>
    <x v="7"/>
    <m/>
    <x v="72"/>
    <n v="1.3"/>
    <x v="35"/>
    <n v="56080"/>
    <n v="24950"/>
    <n v="10"/>
    <n v="31130"/>
    <n v="28017"/>
    <s v="грин01828"/>
    <x v="74"/>
  </r>
  <r>
    <s v="Акт входного контроля грин01829 от 30.10.2025 22:21:02"/>
    <n v="2804"/>
    <n v="223"/>
    <x v="9"/>
    <s v="Погуляй А.Б.       "/>
    <s v="О824ТХ"/>
    <x v="33"/>
    <x v="1"/>
    <x v="7"/>
    <m/>
    <x v="72"/>
    <n v="1.2"/>
    <x v="35"/>
    <n v="48210"/>
    <n v="18970"/>
    <n v="4"/>
    <n v="29240"/>
    <n v="28070.400000000001"/>
    <s v="грин01829"/>
    <x v="74"/>
  </r>
  <r>
    <s v="Акт входного контроля грин01830 от 30.10.2025 22:41:47"/>
    <n v="2805"/>
    <n v="224"/>
    <x v="9"/>
    <s v="Ховятский АМ"/>
    <s v="Р684ОХ"/>
    <x v="33"/>
    <x v="1"/>
    <x v="7"/>
    <m/>
    <x v="72"/>
    <n v="1"/>
    <x v="35"/>
    <n v="38220"/>
    <n v="14880"/>
    <n v="15"/>
    <n v="23340"/>
    <n v="19839"/>
    <s v="грин01830"/>
    <x v="74"/>
  </r>
  <r>
    <s v="Акт входного контроля грин01831 от 31.10.2025 9:08:21"/>
    <n v="2806"/>
    <n v="225"/>
    <x v="9"/>
    <s v="Рыбалкин АН"/>
    <s v="Р687УК"/>
    <x v="33"/>
    <x v="1"/>
    <x v="7"/>
    <m/>
    <x v="72"/>
    <n v="1"/>
    <x v="35"/>
    <n v="40660"/>
    <n v="16440"/>
    <n v="9"/>
    <n v="24220"/>
    <n v="22040.2"/>
    <s v="грин01831"/>
    <x v="75"/>
  </r>
  <r>
    <s v="Акт входного контроля грин01832 от 31.10.2025 9:33:59"/>
    <n v="2807"/>
    <n v="226"/>
    <x v="9"/>
    <s v="Бондаренко Николай Николаевич"/>
    <s v="А315МК"/>
    <x v="33"/>
    <x v="1"/>
    <x v="7"/>
    <m/>
    <x v="72"/>
    <n v="0.9"/>
    <x v="35"/>
    <n v="34970"/>
    <n v="14020"/>
    <n v="7"/>
    <n v="20950"/>
    <n v="19483.5"/>
    <s v="грин01832"/>
    <x v="75"/>
  </r>
  <r>
    <s v="Акт входного контроля грин01833 от 31.10.2025 10:56:34"/>
    <n v="2808"/>
    <n v="227"/>
    <x v="9"/>
    <s v="Огнев Максим Викторович"/>
    <s v="Р755НН"/>
    <x v="33"/>
    <x v="1"/>
    <x v="7"/>
    <m/>
    <x v="72"/>
    <n v="1"/>
    <x v="35"/>
    <n v="38690"/>
    <n v="15060"/>
    <n v="7"/>
    <n v="23630"/>
    <n v="21975.9"/>
    <s v="грин01833"/>
    <x v="75"/>
  </r>
  <r>
    <s v="Акт входного контроля грин01834 от 31.10.2025 11:05:21"/>
    <n v="2809"/>
    <n v="228"/>
    <x v="9"/>
    <s v="Аладин Василий Сергеевич"/>
    <s v="Т110ТМ"/>
    <x v="33"/>
    <x v="1"/>
    <x v="7"/>
    <m/>
    <x v="72"/>
    <n v="0.9"/>
    <x v="35"/>
    <n v="36990"/>
    <n v="15220"/>
    <n v="7"/>
    <n v="21770"/>
    <n v="20246.099999999999"/>
    <s v="грин01834"/>
    <x v="75"/>
  </r>
  <r>
    <s v="Акт входного контроля грин01835 от 31.10.2025 12:49:58"/>
    <n v="2810"/>
    <n v="229"/>
    <x v="9"/>
    <s v="Данильченко Ю.А."/>
    <s v="Р347КА"/>
    <x v="33"/>
    <x v="1"/>
    <x v="7"/>
    <m/>
    <x v="72"/>
    <n v="1"/>
    <x v="35"/>
    <n v="38680"/>
    <n v="15130"/>
    <n v="5"/>
    <n v="23550"/>
    <n v="22372.5"/>
    <s v="грин01835"/>
    <x v="75"/>
  </r>
  <r>
    <s v="Акт входного контроля грин01837 от 31.10.2025 14:00:29"/>
    <n v="2811"/>
    <n v="230"/>
    <x v="9"/>
    <s v="Черевко Александр Владимирович"/>
    <s v="А114МК"/>
    <x v="33"/>
    <x v="1"/>
    <x v="7"/>
    <m/>
    <x v="72"/>
    <n v="0.9"/>
    <x v="35"/>
    <n v="36090"/>
    <n v="15050"/>
    <n v="6"/>
    <n v="21040"/>
    <n v="19777.599999999999"/>
    <s v="грин01837"/>
    <x v="75"/>
  </r>
  <r>
    <s v="Акт входного контроля грин01838 от 31.10.2025 14:33:45"/>
    <n v="2812"/>
    <n v="231"/>
    <x v="9"/>
    <s v="Сероштан Станислав Викторович"/>
    <s v="Е758РЕ"/>
    <x v="33"/>
    <x v="1"/>
    <x v="7"/>
    <m/>
    <x v="72"/>
    <n v="1"/>
    <x v="35"/>
    <n v="39020"/>
    <n v="15140"/>
    <n v="8"/>
    <n v="23880"/>
    <n v="21969.599999999999"/>
    <s v="грин01838"/>
    <x v="75"/>
  </r>
  <r>
    <s v="Акт входного контроля грин01839 от 31.10.2025 14:41:43"/>
    <n v="2813"/>
    <n v="232"/>
    <x v="9"/>
    <s v="Майстровский В.Н."/>
    <s v="М057АО"/>
    <x v="33"/>
    <x v="1"/>
    <x v="7"/>
    <m/>
    <x v="72"/>
    <n v="1"/>
    <x v="35"/>
    <n v="38890"/>
    <n v="14750"/>
    <n v="14"/>
    <n v="24140"/>
    <n v="20760.400000000001"/>
    <s v="грин01839"/>
    <x v="75"/>
  </r>
  <r>
    <s v="Акт входного контроля грин01840 от 31.10.2025 15:44:54"/>
    <n v="2816"/>
    <n v="233"/>
    <x v="9"/>
    <s v="Долгих Николай Петрович"/>
    <s v="У726ЕР"/>
    <x v="33"/>
    <x v="1"/>
    <x v="7"/>
    <m/>
    <x v="72"/>
    <n v="0.9"/>
    <x v="35"/>
    <n v="37530"/>
    <n v="15190"/>
    <n v="17"/>
    <n v="22340"/>
    <n v="18542.2"/>
    <s v="грин01840"/>
    <x v="75"/>
  </r>
  <r>
    <s v="Акт входного контроля грин01841 от 31.10.2025 16:17:54"/>
    <n v="2817"/>
    <n v="234"/>
    <x v="9"/>
    <s v="Жданов Андрей Иванович"/>
    <s v="С707ОУ"/>
    <x v="33"/>
    <x v="1"/>
    <x v="7"/>
    <m/>
    <x v="73"/>
    <n v="0.9"/>
    <x v="35"/>
    <n v="34350"/>
    <n v="14680"/>
    <n v="29"/>
    <n v="19670"/>
    <n v="13965.7"/>
    <s v="грин01841"/>
    <x v="75"/>
  </r>
  <r>
    <s v="Акт входного контроля грин01842 от 31.10.2025 17:34:13"/>
    <n v="2818"/>
    <n v="235"/>
    <x v="9"/>
    <s v="Емец Р.А."/>
    <s v="У315НХ"/>
    <x v="33"/>
    <x v="1"/>
    <x v="7"/>
    <m/>
    <x v="73"/>
    <n v="1.1000000000000001"/>
    <x v="35"/>
    <n v="38830"/>
    <n v="15730"/>
    <n v="5"/>
    <n v="23100"/>
    <n v="21945"/>
    <s v="грин01842"/>
    <x v="75"/>
  </r>
  <r>
    <s v="Акт входного контроля грин01843 от 31.10.2025 18:37:22"/>
    <n v="2820"/>
    <n v="236"/>
    <x v="9"/>
    <s v="Пищев Александр Васильевич "/>
    <s v="Т522ОН"/>
    <x v="33"/>
    <x v="1"/>
    <x v="7"/>
    <m/>
    <x v="73"/>
    <n v="1.5"/>
    <x v="35"/>
    <n v="50150"/>
    <n v="19580"/>
    <n v="8"/>
    <n v="30570"/>
    <n v="28124.400000000001"/>
    <s v="грин01843"/>
    <x v="75"/>
  </r>
  <r>
    <s v="Акт входного контроля грин01844 от 31.10.2025 21:54:19"/>
    <n v="2821"/>
    <n v="238"/>
    <x v="9"/>
    <s v="Бербеницкий Сергей Николаевич"/>
    <s v="С400РР"/>
    <x v="33"/>
    <x v="1"/>
    <x v="7"/>
    <m/>
    <x v="73"/>
    <n v="1.3"/>
    <x v="35"/>
    <n v="42080"/>
    <n v="15350"/>
    <n v="8"/>
    <n v="26730"/>
    <n v="24591.599999999999"/>
    <s v="грин01844"/>
    <x v="75"/>
  </r>
  <r>
    <s v="Акт входного контроля грин01845 от 31.10.2025 21:57:05"/>
    <n v="2822"/>
    <n v="237"/>
    <x v="9"/>
    <s v="Мудрак Вадим Васильевич"/>
    <s v="Х514ОК"/>
    <x v="33"/>
    <x v="1"/>
    <x v="7"/>
    <m/>
    <x v="73"/>
    <n v="2.1"/>
    <x v="35"/>
    <n v="62880"/>
    <n v="21410"/>
    <n v="9"/>
    <n v="41470"/>
    <n v="37737.699999999997"/>
    <s v="грин01845"/>
    <x v="75"/>
  </r>
  <r>
    <s v="Акт входного контроля грин01846 от 31.10.2025 19:26:05"/>
    <n v="2823"/>
    <n v="239"/>
    <x v="9"/>
    <s v="Пугачев Сергей Викторович"/>
    <s v="Р258УХ"/>
    <x v="33"/>
    <x v="1"/>
    <x v="7"/>
    <m/>
    <x v="73"/>
    <n v="1.3"/>
    <x v="35"/>
    <n v="44970"/>
    <n v="15990"/>
    <n v="13"/>
    <n v="28980"/>
    <n v="25212.6"/>
    <s v="грин01846"/>
    <x v="75"/>
  </r>
  <r>
    <s v="Акт входного контроля грин01847 от 31.10.2025 20:07:02"/>
    <n v="2824"/>
    <n v="240"/>
    <x v="9"/>
    <s v="Чернецов Александр Михайлович"/>
    <s v="Р866РМ"/>
    <x v="33"/>
    <x v="1"/>
    <x v="7"/>
    <m/>
    <x v="73"/>
    <n v="1.3"/>
    <x v="35"/>
    <n v="44250"/>
    <n v="15310"/>
    <n v="7"/>
    <n v="28940"/>
    <n v="26914.2"/>
    <s v="грин01847"/>
    <x v="75"/>
  </r>
  <r>
    <s v="Акт входного контроля грин01848 от 31.10.2025 20:33:15"/>
    <n v="2825"/>
    <n v="241"/>
    <x v="9"/>
    <s v="Ушаков С Е."/>
    <s v="О212РТ"/>
    <x v="33"/>
    <x v="1"/>
    <x v="7"/>
    <m/>
    <x v="73"/>
    <n v="1.3"/>
    <x v="35"/>
    <n v="42810"/>
    <n v="14590"/>
    <n v="4"/>
    <n v="28220"/>
    <n v="27091.200000000001"/>
    <s v="грин01848"/>
    <x v="75"/>
  </r>
  <r>
    <s v="Акт входного контроля грин01849 от 31.10.2025 21:07:48"/>
    <n v="2826"/>
    <n v="242"/>
    <x v="9"/>
    <s v="Никитась Сергей Анатольевич"/>
    <s v="К570ЕО"/>
    <x v="33"/>
    <x v="1"/>
    <x v="7"/>
    <m/>
    <x v="73"/>
    <n v="1.4"/>
    <x v="35"/>
    <n v="44670"/>
    <n v="15410"/>
    <n v="13"/>
    <n v="29260"/>
    <n v="25456.2"/>
    <s v="грин01849"/>
    <x v="75"/>
  </r>
  <r>
    <s v="Акт входного контроля грин01850 от 31.10.2025 23:16:37"/>
    <n v="2828"/>
    <n v="244"/>
    <x v="9"/>
    <s v="Лазаренко Вячеслав Владимирович"/>
    <s v="Т239УС"/>
    <x v="33"/>
    <x v="1"/>
    <x v="7"/>
    <m/>
    <x v="73"/>
    <n v="1.1000000000000001"/>
    <x v="35"/>
    <n v="42230"/>
    <n v="15100"/>
    <n v="9"/>
    <n v="27130"/>
    <n v="24688.3"/>
    <s v="грин01850"/>
    <x v="75"/>
  </r>
  <r>
    <s v="Акт входного контроля грин01851 от 31.10.2025 22:29:02"/>
    <n v="2827"/>
    <n v="243"/>
    <x v="9"/>
    <s v="Дик Илья Александрович"/>
    <s v="М556ХВ"/>
    <x v="33"/>
    <x v="1"/>
    <x v="7"/>
    <m/>
    <x v="73"/>
    <n v="1.2"/>
    <x v="35"/>
    <n v="47460"/>
    <n v="16110"/>
    <n v="8"/>
    <n v="31350"/>
    <n v="28842"/>
    <s v="грин01851"/>
    <x v="75"/>
  </r>
  <r>
    <s v="Акт входного контроля грин01852 от 31.10.2025 23:47:16"/>
    <n v="2829"/>
    <n v="246"/>
    <x v="9"/>
    <s v="Блажко Алексей Николаевич"/>
    <s v="М676КО"/>
    <x v="33"/>
    <x v="1"/>
    <x v="7"/>
    <m/>
    <x v="73"/>
    <n v="1.1000000000000001"/>
    <x v="35"/>
    <n v="65660"/>
    <n v="24820"/>
    <n v="10"/>
    <n v="40840"/>
    <n v="36756"/>
    <s v="грин01852"/>
    <x v="75"/>
  </r>
  <r>
    <s v="Акт входного контроля грин01853 от 01.11.2025 8:52:46"/>
    <n v="2830"/>
    <n v="245"/>
    <x v="9"/>
    <s v="Сотников Сергей Кириллович"/>
    <s v="Т443МВ"/>
    <x v="33"/>
    <x v="1"/>
    <x v="7"/>
    <m/>
    <x v="73"/>
    <n v="1.1000000000000001"/>
    <x v="35"/>
    <n v="43100"/>
    <n v="15930"/>
    <n v="11"/>
    <n v="27170"/>
    <n v="24181.3"/>
    <s v="грин01853"/>
    <x v="76"/>
  </r>
  <r>
    <s v="Акт входного контроля грин01854 от 01.11.2025 9:34:03"/>
    <n v="2831"/>
    <n v="247"/>
    <x v="9"/>
    <s v="Ховятский АМ"/>
    <s v="Р684ОХ"/>
    <x v="33"/>
    <x v="1"/>
    <x v="7"/>
    <m/>
    <x v="73"/>
    <n v="0.8"/>
    <x v="35"/>
    <n v="39120"/>
    <n v="14840"/>
    <n v="23"/>
    <n v="24280"/>
    <n v="18695.599999999999"/>
    <s v="грин01854"/>
    <x v="76"/>
  </r>
  <r>
    <s v="Акт входного контроля грин01855 от 01.11.2025 10:09:23"/>
    <n v="2832"/>
    <n v="248"/>
    <x v="9"/>
    <s v="Бондаренко Николай Николаевич"/>
    <s v="А315МК"/>
    <x v="33"/>
    <x v="1"/>
    <x v="7"/>
    <m/>
    <x v="73"/>
    <n v="0.8"/>
    <x v="35"/>
    <n v="35970"/>
    <n v="14040"/>
    <n v="12"/>
    <n v="21930"/>
    <n v="19298.400000000001"/>
    <s v="грин01855"/>
    <x v="76"/>
  </r>
  <r>
    <s v="Акт входного контроля грин01856 от 01.11.2025 11:10:36"/>
    <n v="2833"/>
    <n v="250"/>
    <x v="9"/>
    <s v="Фомин Николай Григорьевич"/>
    <s v="А731ВА"/>
    <x v="32"/>
    <x v="1"/>
    <x v="7"/>
    <m/>
    <x v="73"/>
    <n v="0.8"/>
    <x v="34"/>
    <n v="37510"/>
    <n v="15240"/>
    <n v="8"/>
    <n v="22270"/>
    <n v="20488.400000000001"/>
    <s v="грин01856"/>
    <x v="76"/>
  </r>
  <r>
    <s v="Акт входного контроля грин01857 от 01.11.2025 11:37:55"/>
    <n v="2834"/>
    <n v="249"/>
    <x v="9"/>
    <s v="Кулинич Евгений Владимирович"/>
    <s v="У801СТ"/>
    <x v="32"/>
    <x v="1"/>
    <x v="7"/>
    <m/>
    <x v="73"/>
    <n v="0.8"/>
    <x v="34"/>
    <n v="39390"/>
    <n v="15220"/>
    <n v="18"/>
    <n v="24170"/>
    <n v="19819.400000000001"/>
    <s v="грин01857"/>
    <x v="76"/>
  </r>
  <r>
    <s v="Акт входного контроля грин01858 от 01.11.2025 14:21:33"/>
    <n v="2836"/>
    <n v="252"/>
    <x v="9"/>
    <s v="Ревенко Андрей Вячеславович"/>
    <s v="А781РР"/>
    <x v="32"/>
    <x v="1"/>
    <x v="7"/>
    <m/>
    <x v="73"/>
    <n v="0.9"/>
    <x v="34"/>
    <n v="39980"/>
    <n v="15310"/>
    <n v="12"/>
    <n v="24670"/>
    <n v="21709.599999999999"/>
    <s v="грин01858"/>
    <x v="76"/>
  </r>
  <r>
    <s v="Акт входного контроля грин01859 от 01.11.2025 15:13:59"/>
    <n v="2837"/>
    <n v="253"/>
    <x v="9"/>
    <s v="Огнев Максим Викторович"/>
    <s v="Р755НН"/>
    <x v="32"/>
    <x v="1"/>
    <x v="7"/>
    <m/>
    <x v="73"/>
    <n v="0.9"/>
    <x v="34"/>
    <n v="39610"/>
    <n v="14920"/>
    <n v="14"/>
    <n v="24690"/>
    <n v="21233.4"/>
    <s v="грин01859"/>
    <x v="76"/>
  </r>
  <r>
    <s v="Акт входного контроля грин01860 от 01.11.2025 16:07:09"/>
    <n v="2844"/>
    <n v="254"/>
    <x v="9"/>
    <s v="Данильченко Ю.А."/>
    <s v="Р347КА"/>
    <x v="32"/>
    <x v="1"/>
    <x v="7"/>
    <m/>
    <x v="73"/>
    <n v="0.9"/>
    <x v="34"/>
    <n v="39820"/>
    <n v="15190"/>
    <n v="6"/>
    <n v="24630"/>
    <n v="23152.2"/>
    <s v="грин01860"/>
    <x v="76"/>
  </r>
  <r>
    <s v="Акт входного контроля грин01861 от 01.11.2025 19:20:56"/>
    <n v="2842"/>
    <n v="255"/>
    <x v="9"/>
    <s v="Погуляй А.Б.       "/>
    <s v="О824ТХ"/>
    <x v="32"/>
    <x v="1"/>
    <x v="7"/>
    <m/>
    <x v="74"/>
    <n v="1.6"/>
    <x v="34"/>
    <n v="51070"/>
    <n v="18870"/>
    <n v="10"/>
    <n v="32200"/>
    <n v="28980"/>
    <s v="грин01861"/>
    <x v="76"/>
  </r>
  <r>
    <s v="Акт входного контроля грин01862 от 01.11.2025 19:30:37"/>
    <n v="2846"/>
    <n v="256"/>
    <x v="9"/>
    <s v="Сероштан Станислав Викторович"/>
    <s v="Е758РЕ"/>
    <x v="32"/>
    <x v="1"/>
    <x v="7"/>
    <m/>
    <x v="74"/>
    <n v="1.3"/>
    <x v="34"/>
    <n v="40220"/>
    <n v="15070"/>
    <n v="13"/>
    <n v="25150"/>
    <n v="21880.5"/>
    <s v="грин01862"/>
    <x v="76"/>
  </r>
  <r>
    <s v="Акт входного контроля грин01863 от 01.11.2025 20:26:51"/>
    <n v="2852"/>
    <n v="258"/>
    <x v="9"/>
    <s v="Егоян Артем Владимирович"/>
    <s v="А701СН"/>
    <x v="32"/>
    <x v="1"/>
    <x v="7"/>
    <m/>
    <x v="74"/>
    <n v="1.3"/>
    <x v="34"/>
    <n v="40860"/>
    <n v="15150"/>
    <n v="8"/>
    <n v="25710"/>
    <n v="23653.200000000001"/>
    <s v="грин01863"/>
    <x v="76"/>
  </r>
  <r>
    <s v="Акт входного контроля грин01864 от 01.11.2025 20:33:45"/>
    <n v="2858"/>
    <n v="271"/>
    <x v="9"/>
    <s v="Чигрин Н.А."/>
    <s v="А819ЕВ"/>
    <x v="32"/>
    <x v="1"/>
    <x v="7"/>
    <m/>
    <x v="74"/>
    <n v="0.8"/>
    <x v="34"/>
    <n v="29670"/>
    <n v="14320"/>
    <n v="10"/>
    <n v="15350"/>
    <n v="13815"/>
    <s v="грин01864"/>
    <x v="76"/>
  </r>
  <r>
    <s v="Акт входного контроля грин01865 от 01.11.2025 22:49:27"/>
    <n v="2849"/>
    <n v="257"/>
    <x v="9"/>
    <s v="Мудрак Игорь Вадимович"/>
    <s v="С198УЕ"/>
    <x v="32"/>
    <x v="1"/>
    <x v="7"/>
    <m/>
    <x v="74"/>
    <n v="1.9"/>
    <x v="34"/>
    <n v="61960"/>
    <n v="24260"/>
    <n v="9"/>
    <n v="37700"/>
    <n v="34307"/>
    <s v="грин01865"/>
    <x v="76"/>
  </r>
  <r>
    <s v="Акт входного контроля грин01866 от 01.11.2025 23:03:10"/>
    <n v="2853"/>
    <n v="259"/>
    <x v="9"/>
    <s v="Пищев Александр Васильевич "/>
    <s v="Т522ОН"/>
    <x v="32"/>
    <x v="1"/>
    <x v="7"/>
    <m/>
    <x v="74"/>
    <n v="1.7"/>
    <x v="34"/>
    <n v="52710"/>
    <n v="19690"/>
    <n v="8"/>
    <n v="33020"/>
    <n v="30378.400000000001"/>
    <s v="грин01866"/>
    <x v="76"/>
  </r>
  <r>
    <s v="Акт входного контроля грин01867 от 01.11.2025 16:39:28"/>
    <n v="2854"/>
    <n v="260"/>
    <x v="9"/>
    <s v="Рудик Александр Иванович"/>
    <s v="А309АТ"/>
    <x v="32"/>
    <x v="1"/>
    <x v="7"/>
    <m/>
    <x v="74"/>
    <n v="1.4"/>
    <x v="34"/>
    <n v="42170"/>
    <n v="15200"/>
    <n v="8"/>
    <n v="26970"/>
    <n v="24812.400000000001"/>
    <s v="грин01867"/>
    <x v="76"/>
  </r>
  <r>
    <s v="Акт входного контроля грин01868 от 01.11.2025 17:02:24"/>
    <n v="2855"/>
    <n v="261"/>
    <x v="9"/>
    <s v="Пугачев Сергей Викторович"/>
    <s v="Р258УХ"/>
    <x v="32"/>
    <x v="1"/>
    <x v="7"/>
    <m/>
    <x v="74"/>
    <n v="1.4"/>
    <x v="34"/>
    <n v="43170"/>
    <n v="15860"/>
    <n v="8"/>
    <n v="27310"/>
    <n v="25125.200000000001"/>
    <s v="грин01868"/>
    <x v="76"/>
  </r>
  <r>
    <s v="Акт входного контроля грин01869 от 01.11.2025 17:32:40"/>
    <n v="2856"/>
    <n v="11480"/>
    <x v="8"/>
    <s v="Майстровский В.Н."/>
    <s v="М057АО"/>
    <x v="34"/>
    <x v="15"/>
    <x v="6"/>
    <m/>
    <x v="74"/>
    <n v="1.6"/>
    <x v="36"/>
    <n v="40400"/>
    <n v="14630"/>
    <n v="15"/>
    <n v="25770"/>
    <n v="21904.5"/>
    <s v="грин01869"/>
    <x v="76"/>
  </r>
  <r>
    <s v="Акт входного контроля грин01870 от 01.11.2025 17:37:47"/>
    <n v="2857"/>
    <n v="11482"/>
    <x v="8"/>
    <s v="Долгих Николай Петрович"/>
    <s v="У726ЕР"/>
    <x v="34"/>
    <x v="15"/>
    <x v="6"/>
    <m/>
    <x v="74"/>
    <n v="1.6"/>
    <x v="36"/>
    <n v="41350"/>
    <n v="15130"/>
    <n v="8"/>
    <n v="26220"/>
    <n v="24122.400000000001"/>
    <s v="грин01870"/>
    <x v="76"/>
  </r>
  <r>
    <s v="Акт входного контроля грин01871 от 01.11.2025 18:39:03"/>
    <n v="2859"/>
    <n v="11499"/>
    <x v="8"/>
    <s v="Бербеницкий Сергей Николаевич"/>
    <s v="С400РР"/>
    <x v="34"/>
    <x v="15"/>
    <x v="6"/>
    <m/>
    <x v="74"/>
    <n v="1.8"/>
    <x v="36"/>
    <n v="43770"/>
    <n v="15270"/>
    <n v="8"/>
    <n v="28500"/>
    <n v="26220"/>
    <s v="грин01871"/>
    <x v="76"/>
  </r>
  <r>
    <s v="Акт входного контроля грин01872 от 01.11.2025 18:51:43"/>
    <n v="2860"/>
    <n v="263"/>
    <x v="9"/>
    <s v="Чернецов Александр Михайлович"/>
    <s v="Р866РМ"/>
    <x v="32"/>
    <x v="1"/>
    <x v="7"/>
    <m/>
    <x v="74"/>
    <n v="1.5"/>
    <x v="34"/>
    <n v="44900"/>
    <n v="15130"/>
    <n v="15"/>
    <n v="29770"/>
    <n v="25304.5"/>
    <s v="грин01872"/>
    <x v="76"/>
  </r>
  <r>
    <s v="Акт входного контроля грин01873 от 01.11.2025 4:40:28"/>
    <n v="2835"/>
    <n v="251"/>
    <x v="9"/>
    <s v="Магадиев Александр Сайлаувич"/>
    <s v="У184НО"/>
    <x v="32"/>
    <x v="1"/>
    <x v="7"/>
    <m/>
    <x v="73"/>
    <n v="0.8"/>
    <x v="34"/>
    <n v="37990"/>
    <n v="14660"/>
    <n v="16"/>
    <n v="23330"/>
    <n v="19597.2"/>
    <s v="грин01873"/>
    <x v="76"/>
  </r>
  <r>
    <s v="Акт входного контроля грин01874 от 01.11.2025 19:37:31"/>
    <n v="2861"/>
    <n v="262"/>
    <x v="9"/>
    <s v="Мудрак Вадим Васильевич"/>
    <s v="Х514ОК"/>
    <x v="32"/>
    <x v="1"/>
    <x v="7"/>
    <m/>
    <x v="74"/>
    <n v="2.1"/>
    <x v="34"/>
    <n v="63860"/>
    <n v="21510"/>
    <n v="10"/>
    <n v="42350"/>
    <n v="38115"/>
    <s v="грин01874"/>
    <x v="76"/>
  </r>
  <r>
    <s v="Акт входного контроля грин01875 от 01.11.2025 19:46:20"/>
    <n v="2862"/>
    <n v="265"/>
    <x v="9"/>
    <s v="Никитась Сергей Анатольевич"/>
    <s v="К570ЕО"/>
    <x v="32"/>
    <x v="1"/>
    <x v="7"/>
    <m/>
    <x v="74"/>
    <n v="1.5"/>
    <x v="34"/>
    <n v="45950"/>
    <n v="15380"/>
    <n v="7"/>
    <n v="30570"/>
    <n v="28430.1"/>
    <s v="грин01875"/>
    <x v="76"/>
  </r>
  <r>
    <s v="Акт входного контроля грин01876 от 01.11.2025 21:06:29"/>
    <n v="2864"/>
    <n v="264"/>
    <x v="9"/>
    <s v="Черевко Александр Владимирович"/>
    <s v="А114МК"/>
    <x v="32"/>
    <x v="1"/>
    <x v="7"/>
    <m/>
    <x v="74"/>
    <n v="1.2"/>
    <x v="34"/>
    <n v="38830"/>
    <n v="14970"/>
    <n v="11"/>
    <n v="23860"/>
    <n v="21235.4"/>
    <s v="грин01876"/>
    <x v="76"/>
  </r>
  <r>
    <s v="Акт входного контроля грин01877 от 01.11.2025 21:18:06"/>
    <n v="2865"/>
    <n v="266"/>
    <x v="9"/>
    <s v="Дик Илья Александрович"/>
    <s v="М556ХВ"/>
    <x v="32"/>
    <x v="1"/>
    <x v="7"/>
    <m/>
    <x v="74"/>
    <n v="1.6"/>
    <x v="34"/>
    <n v="49030"/>
    <n v="16210"/>
    <n v="6"/>
    <n v="32820"/>
    <n v="30850.799999999999"/>
    <s v="грин01877"/>
    <x v="76"/>
  </r>
  <r>
    <s v="Акт входного контроля грин01878 от 01.11.2025 21:32:55"/>
    <n v="2866"/>
    <n v="267"/>
    <x v="9"/>
    <s v="Лазаренко Вячеслав Владимирович"/>
    <s v="Т239УС"/>
    <x v="32"/>
    <x v="1"/>
    <x v="7"/>
    <m/>
    <x v="74"/>
    <n v="1.3"/>
    <x v="34"/>
    <n v="41610"/>
    <n v="15010"/>
    <n v="10"/>
    <n v="26600"/>
    <n v="23940"/>
    <s v="грин01878"/>
    <x v="76"/>
  </r>
  <r>
    <s v="Акт входного контроля грин01879 от 01.11.2025 22:29:29"/>
    <n v="2867"/>
    <n v="269"/>
    <x v="9"/>
    <s v="Сотников Сергей Кириллович"/>
    <s v="Т443МВ"/>
    <x v="32"/>
    <x v="1"/>
    <x v="7"/>
    <m/>
    <x v="74"/>
    <n v="1.4"/>
    <x v="34"/>
    <n v="44800"/>
    <n v="16020"/>
    <n v="6"/>
    <n v="28780"/>
    <n v="27053.200000000001"/>
    <s v="грин01879"/>
    <x v="76"/>
  </r>
  <r>
    <s v="Акт входного контроля грин01880 от 01.11.2025 23:04:26"/>
    <n v="2868"/>
    <n v="270"/>
    <x v="9"/>
    <s v="Ховятский АМ"/>
    <s v="Р684ОХ"/>
    <x v="32"/>
    <x v="1"/>
    <x v="7"/>
    <m/>
    <x v="74"/>
    <n v="1.3"/>
    <x v="34"/>
    <n v="40230"/>
    <n v="14760"/>
    <n v="9"/>
    <n v="25470"/>
    <n v="23177.7"/>
    <s v="грин01880"/>
    <x v="76"/>
  </r>
  <r>
    <s v="Акт входного контроля грин01881 от 01.11.2025 23:53:49"/>
    <n v="2869"/>
    <n v="274"/>
    <x v="9"/>
    <s v="Фомин Николай Григорьевич"/>
    <s v="А731ВА"/>
    <x v="32"/>
    <x v="1"/>
    <x v="7"/>
    <m/>
    <x v="74"/>
    <n v="1.3"/>
    <x v="34"/>
    <n v="40450"/>
    <n v="15080"/>
    <n v="31"/>
    <n v="25370"/>
    <n v="17505.3"/>
    <s v="грин01881"/>
    <x v="76"/>
  </r>
  <r>
    <s v="Акт входного контроля грин01882 от 02.11.2025 20:13:07"/>
    <n v="2870"/>
    <n v="268"/>
    <x v="9"/>
    <s v="Блажко Алексей Николаевич"/>
    <s v="М676КО"/>
    <x v="32"/>
    <x v="1"/>
    <x v="7"/>
    <m/>
    <x v="75"/>
    <n v="2.2999999999999998"/>
    <x v="34"/>
    <n v="68260"/>
    <n v="24870"/>
    <n v="6"/>
    <n v="43390"/>
    <n v="40786.6"/>
    <s v="грин01882"/>
    <x v="77"/>
  </r>
  <r>
    <s v="Акт входного контроля грин01883 от 02.11.2025 22:14:22"/>
    <n v="2871"/>
    <n v="273"/>
    <x v="9"/>
    <s v="Кулинич Евгений Владимирович"/>
    <s v="У801СТ"/>
    <x v="32"/>
    <x v="1"/>
    <x v="7"/>
    <m/>
    <x v="75"/>
    <n v="1.4"/>
    <x v="34"/>
    <n v="41280"/>
    <n v="15280"/>
    <n v="7"/>
    <n v="26000"/>
    <n v="24180"/>
    <s v="грин01883"/>
    <x v="77"/>
  </r>
  <r>
    <s v="Акт входного контроля грин01884 от 02.11.2025 22:23:10"/>
    <n v="2872"/>
    <n v="272"/>
    <x v="9"/>
    <s v="Бондаренко Николай Николаевич"/>
    <s v="А315МК"/>
    <x v="32"/>
    <x v="1"/>
    <x v="7"/>
    <m/>
    <x v="75"/>
    <n v="1.3"/>
    <x v="34"/>
    <n v="38420"/>
    <n v="14120"/>
    <n v="13"/>
    <n v="24300"/>
    <n v="21141"/>
    <s v="грин01884"/>
    <x v="77"/>
  </r>
  <r>
    <s v="Акт входного контроля грин01885 от 02.11.2025 23:04:54"/>
    <n v="2874"/>
    <n v="276"/>
    <x v="9"/>
    <s v="Аладин Василий Сергеевич"/>
    <s v="Т110ТМ"/>
    <x v="32"/>
    <x v="1"/>
    <x v="7"/>
    <m/>
    <x v="75"/>
    <n v="1.2"/>
    <x v="34"/>
    <n v="38580"/>
    <n v="15060"/>
    <n v="24"/>
    <n v="23520"/>
    <n v="17875.2"/>
    <s v="грин01885"/>
    <x v="77"/>
  </r>
  <r>
    <s v="Акт входного контроля грин01886 от 02.11.2025 23:54:59"/>
    <n v="2875"/>
    <n v="275"/>
    <x v="9"/>
    <s v="Огнев Максим Викторович"/>
    <s v="Р755НН"/>
    <x v="32"/>
    <x v="1"/>
    <x v="7"/>
    <m/>
    <x v="75"/>
    <n v="1.4"/>
    <x v="34"/>
    <n v="41060"/>
    <n v="15010"/>
    <n v="9"/>
    <n v="26050"/>
    <n v="23705.5"/>
    <s v="грин01886"/>
    <x v="77"/>
  </r>
  <r>
    <s v="Акт входного контроля грин01887 от 02.11.2025 3:14:00"/>
    <n v="2873"/>
    <n v="279"/>
    <x v="9"/>
    <s v="Сероштан Станислав Викторович"/>
    <s v="Е758РЕ"/>
    <x v="32"/>
    <x v="1"/>
    <x v="7"/>
    <m/>
    <x v="74"/>
    <n v="1.3"/>
    <x v="34"/>
    <n v="40440"/>
    <n v="15020"/>
    <n v="23"/>
    <n v="25420"/>
    <n v="19573.400000000001"/>
    <s v="грин01887"/>
    <x v="77"/>
  </r>
  <r>
    <s v="Акт входного контроля грин01888 от 02.11.2025 17:07:25"/>
    <n v="2881"/>
    <n v="277"/>
    <x v="9"/>
    <s v="Погуляй А.Б.       "/>
    <s v="О824ТХ"/>
    <x v="32"/>
    <x v="1"/>
    <x v="7"/>
    <m/>
    <x v="74"/>
    <n v="1.6"/>
    <x v="34"/>
    <n v="51190"/>
    <n v="18780"/>
    <n v="8"/>
    <n v="32410"/>
    <n v="29817.200000000001"/>
    <s v="грин01888"/>
    <x v="77"/>
  </r>
  <r>
    <s v="Акт входного контроля грин01889 от 02.11.2025 17:02:43"/>
    <n v="2880"/>
    <n v="278"/>
    <x v="9"/>
    <s v="Кулик О В"/>
    <s v="К403ЕМ"/>
    <x v="32"/>
    <x v="1"/>
    <x v="7"/>
    <m/>
    <x v="74"/>
    <n v="1.6"/>
    <x v="34"/>
    <n v="48470"/>
    <n v="17490"/>
    <n v="11"/>
    <n v="30980"/>
    <n v="27572.2"/>
    <s v="грин01889"/>
    <x v="77"/>
  </r>
  <r>
    <s v="Акт входного контроля грин01890 от 02.11.2025 17:29:56"/>
    <n v="2882"/>
    <n v="280"/>
    <x v="9"/>
    <s v="Пищев Александр Васильевич "/>
    <s v="Т522ОН"/>
    <x v="32"/>
    <x v="1"/>
    <x v="7"/>
    <m/>
    <x v="74"/>
    <n v="1.7"/>
    <x v="34"/>
    <n v="53920"/>
    <n v="19540"/>
    <n v="4"/>
    <n v="34380"/>
    <n v="33004.800000000003"/>
    <s v="грин01890"/>
    <x v="77"/>
  </r>
  <r>
    <s v="Акт входного контроля грин01891 от 02.11.2025 21:26:47"/>
    <n v="2889"/>
    <n v="281"/>
    <x v="9"/>
    <s v="Мудрак Игорь Вадимович"/>
    <s v="С198УЕ"/>
    <x v="32"/>
    <x v="1"/>
    <x v="7"/>
    <m/>
    <x v="75"/>
    <n v="2.1"/>
    <x v="34"/>
    <n v="63830"/>
    <n v="24290"/>
    <n v="9"/>
    <n v="39540"/>
    <n v="35981.4"/>
    <s v="грин01891"/>
    <x v="77"/>
  </r>
  <r>
    <s v="Акт входного контроля грин01892 от 02.11.2025 15:58:04"/>
    <n v="2878"/>
    <n v="11576"/>
    <x v="8"/>
    <s v="Магадиев Александр Сайлаувич"/>
    <s v="У184НО"/>
    <x v="34"/>
    <x v="15"/>
    <x v="6"/>
    <m/>
    <x v="75"/>
    <n v="1.6"/>
    <x v="36"/>
    <n v="38580"/>
    <n v="14540"/>
    <n v="13"/>
    <n v="24040"/>
    <n v="20914.8"/>
    <s v="грин01892"/>
    <x v="77"/>
  </r>
  <r>
    <s v="Акт входного контроля грин01893 от 02.11.2025 16:04:05"/>
    <n v="2879"/>
    <n v="11577"/>
    <x v="8"/>
    <s v="Ревенко Андрей Вячеславович"/>
    <s v="А781РР"/>
    <x v="34"/>
    <x v="15"/>
    <x v="6"/>
    <m/>
    <x v="75"/>
    <n v="1.7"/>
    <x v="36"/>
    <n v="39560"/>
    <n v="15220"/>
    <n v="9"/>
    <n v="24340"/>
    <n v="22149.4"/>
    <s v="грин01893"/>
    <x v="77"/>
  </r>
  <r>
    <s v="Акт входного контроля грин01894 от 02.11.2025 18:26:51"/>
    <n v="2883"/>
    <n v="11579"/>
    <x v="8"/>
    <s v="Данильченко Ю.А."/>
    <s v="Р347КА"/>
    <x v="34"/>
    <x v="15"/>
    <x v="6"/>
    <m/>
    <x v="75"/>
    <n v="1.8"/>
    <x v="36"/>
    <n v="41850"/>
    <n v="15050"/>
    <n v="12"/>
    <n v="26800"/>
    <n v="23584"/>
    <s v="грин01894"/>
    <x v="77"/>
  </r>
  <r>
    <s v="Акт входного контроля грин01895 от 02.11.2025 20:18:08"/>
    <n v="2885"/>
    <n v="11602"/>
    <x v="8"/>
    <s v="Давыденко Юрий Викторович"/>
    <s v="У094СР"/>
    <x v="34"/>
    <x v="15"/>
    <x v="6"/>
    <m/>
    <x v="75"/>
    <n v="1.8"/>
    <x v="36"/>
    <n v="43490"/>
    <n v="17170"/>
    <n v="8"/>
    <n v="26320"/>
    <n v="24214.400000000001"/>
    <s v="грин01895"/>
    <x v="77"/>
  </r>
  <r>
    <s v="Акт входного контроля грин01896 от 02.11.2025 20:23:26"/>
    <n v="2886"/>
    <n v="11601"/>
    <x v="8"/>
    <s v="Демченко Анатолий Григорьевич"/>
    <s v="Р818СЕ"/>
    <x v="34"/>
    <x v="15"/>
    <x v="6"/>
    <m/>
    <x v="75"/>
    <n v="1.7"/>
    <x v="36"/>
    <n v="40260"/>
    <n v="15000"/>
    <n v="11"/>
    <n v="25260"/>
    <n v="22481.4"/>
    <s v="грин01896"/>
    <x v="77"/>
  </r>
  <r>
    <s v="Акт входного контроля грин01897 от 02.11.2025 20:54:03"/>
    <n v="2887"/>
    <n v="283"/>
    <x v="9"/>
    <s v="Рудик Александр Иванович"/>
    <s v="А309АТ"/>
    <x v="32"/>
    <x v="1"/>
    <x v="7"/>
    <m/>
    <x v="75"/>
    <n v="1.5"/>
    <x v="34"/>
    <n v="42850"/>
    <n v="14990"/>
    <n v="10"/>
    <n v="27860"/>
    <n v="25074"/>
    <s v="грин01897"/>
    <x v="77"/>
  </r>
  <r>
    <s v="Акт входного контроля грин01898 от 02.11.2025 20:59:13"/>
    <n v="2888"/>
    <n v="284"/>
    <x v="9"/>
    <s v="Пугачев Сергей Викторович"/>
    <s v="Р258УХ"/>
    <x v="32"/>
    <x v="1"/>
    <x v="7"/>
    <m/>
    <x v="75"/>
    <n v="1.6"/>
    <x v="34"/>
    <n v="45660"/>
    <n v="15970"/>
    <n v="7"/>
    <n v="29690"/>
    <n v="27611.7"/>
    <s v="грин01898"/>
    <x v="77"/>
  </r>
  <r>
    <s v="Акт входного контроля грин01899 от 02.11.2025 18:48:22"/>
    <n v="2884"/>
    <n v="282"/>
    <x v="9"/>
    <s v="Егоян Артем Владимирович"/>
    <s v="А701СН"/>
    <x v="32"/>
    <x v="1"/>
    <x v="7"/>
    <m/>
    <x v="74"/>
    <n v="1.3"/>
    <x v="34"/>
    <n v="41350"/>
    <n v="15120"/>
    <n v="10"/>
    <n v="26230"/>
    <n v="23607"/>
    <s v="грин01899"/>
    <x v="77"/>
  </r>
  <r>
    <s v="Акт входного контроля грин01900 от 02.11.2025 23:56:05"/>
    <n v="2890"/>
    <n v="286"/>
    <x v="9"/>
    <s v="Долгих Николай Петрович"/>
    <s v="У726ЕР"/>
    <x v="32"/>
    <x v="1"/>
    <x v="7"/>
    <m/>
    <x v="75"/>
    <n v="1.4"/>
    <x v="34"/>
    <n v="41140"/>
    <n v="15260"/>
    <n v="5"/>
    <n v="25880"/>
    <n v="24586"/>
    <s v="грин01900"/>
    <x v="77"/>
  </r>
  <r>
    <s v="Акт входного контроля грин01901 от 03.11.2025 19:25:31"/>
    <n v="2891"/>
    <n v="285"/>
    <x v="9"/>
    <s v="Майстровский В.Н."/>
    <s v="М057АО"/>
    <x v="32"/>
    <x v="1"/>
    <x v="7"/>
    <m/>
    <x v="76"/>
    <n v="1.6"/>
    <x v="34"/>
    <n v="40350"/>
    <n v="14620"/>
    <n v="12"/>
    <n v="25730"/>
    <n v="22642.400000000001"/>
    <s v="грин01901"/>
    <x v="78"/>
  </r>
  <r>
    <s v="Акт входного контроля грин01904 от 03.11.2025 19:58:30"/>
    <n v="2896"/>
    <n v="287"/>
    <x v="9"/>
    <s v="Бербеницкий Сергей Николаевич"/>
    <s v="С400РР"/>
    <x v="32"/>
    <x v="1"/>
    <x v="7"/>
    <m/>
    <x v="76"/>
    <n v="1.7"/>
    <x v="34"/>
    <n v="42510"/>
    <n v="15310"/>
    <n v="3"/>
    <n v="27200"/>
    <n v="26384"/>
    <s v="грин01904"/>
    <x v="78"/>
  </r>
  <r>
    <s v="Акт входного контроля грин01905 от 03.11.2025 20:57:45"/>
    <n v="2897"/>
    <n v="288"/>
    <x v="9"/>
    <s v="Чернецов Александр Михайлович"/>
    <s v="Р866РМ"/>
    <x v="32"/>
    <x v="1"/>
    <x v="7"/>
    <m/>
    <x v="76"/>
    <n v="1.8"/>
    <x v="34"/>
    <n v="44190"/>
    <n v="15230"/>
    <n v="7"/>
    <n v="28960"/>
    <n v="26932.799999999999"/>
    <s v="грин01905"/>
    <x v="78"/>
  </r>
  <r>
    <s v="Акт входного контроля грин01906 от 03.11.2025 22:12:47"/>
    <n v="2898"/>
    <n v="290"/>
    <x v="9"/>
    <s v="Никитась Сергей Анатольевич"/>
    <s v="К570ЕО"/>
    <x v="32"/>
    <x v="1"/>
    <x v="7"/>
    <m/>
    <x v="76"/>
    <n v="1.8"/>
    <x v="34"/>
    <n v="45140"/>
    <n v="15240"/>
    <n v="13"/>
    <n v="29900"/>
    <n v="26013"/>
    <s v="грин01906"/>
    <x v="78"/>
  </r>
  <r>
    <s v="Акт входного контроля грин01907 от 03.11.2025 23:07:20"/>
    <n v="2899"/>
    <n v="289"/>
    <x v="9"/>
    <s v="Богучарский А. И."/>
    <s v="Е404УС"/>
    <x v="32"/>
    <x v="1"/>
    <x v="7"/>
    <m/>
    <x v="76"/>
    <n v="1.4"/>
    <x v="34"/>
    <n v="37060"/>
    <n v="13940"/>
    <n v="14"/>
    <n v="23120"/>
    <n v="19883.2"/>
    <s v="грин01907"/>
    <x v="78"/>
  </r>
  <r>
    <s v="Акт входного контроля грин01908 от 03.11.2025 15:50:13"/>
    <n v="2900"/>
    <n v="291"/>
    <x v="9"/>
    <s v="Емец Р.А."/>
    <s v="У315НХ"/>
    <x v="32"/>
    <x v="1"/>
    <x v="7"/>
    <m/>
    <x v="76"/>
    <n v="1.5"/>
    <x v="34"/>
    <n v="40740"/>
    <n v="15700"/>
    <n v="15"/>
    <n v="25040"/>
    <n v="21284"/>
    <s v="грин01908"/>
    <x v="78"/>
  </r>
  <r>
    <s v="Акт входного контроля грин01909 от 03.11.2025 17:13:47"/>
    <n v="2902"/>
    <n v="293"/>
    <x v="9"/>
    <s v="Дик Илья Александрович"/>
    <s v="М556ХВ"/>
    <x v="32"/>
    <x v="1"/>
    <x v="7"/>
    <m/>
    <x v="76"/>
    <n v="2"/>
    <x v="34"/>
    <n v="48850"/>
    <n v="16010"/>
    <n v="13"/>
    <n v="32840"/>
    <n v="28570.799999999999"/>
    <s v="грин01909"/>
    <x v="78"/>
  </r>
  <r>
    <s v="Акт входного контроля грин01910 от 03.11.2025 18:13:10"/>
    <n v="2903"/>
    <n v="294"/>
    <x v="9"/>
    <s v="Черевко Александр Владимирович"/>
    <s v="А114МК"/>
    <x v="32"/>
    <x v="1"/>
    <x v="7"/>
    <m/>
    <x v="76"/>
    <n v="1.6"/>
    <x v="34"/>
    <n v="40580"/>
    <n v="14920"/>
    <n v="13"/>
    <n v="25660"/>
    <n v="22324.2"/>
    <s v="грин01910"/>
    <x v="78"/>
  </r>
  <r>
    <s v="Акт входного контроля грин01911 от 03.11.2025 20:25:32"/>
    <n v="2905"/>
    <n v="292"/>
    <x v="9"/>
    <s v="Мудрак Вадим Васильевич"/>
    <s v="Х514ОК"/>
    <x v="32"/>
    <x v="1"/>
    <x v="7"/>
    <m/>
    <x v="76"/>
    <n v="2.7"/>
    <x v="34"/>
    <n v="65330"/>
    <n v="21320"/>
    <n v="4"/>
    <n v="44010"/>
    <n v="42249.599999999999"/>
    <s v="грин01911"/>
    <x v="78"/>
  </r>
  <r>
    <s v="Акт входного контроля грин01912 от 03.11.2025 18:55:55"/>
    <n v="2904"/>
    <n v="295"/>
    <x v="9"/>
    <s v="Ушаков С Е."/>
    <s v="О212РТ"/>
    <x v="32"/>
    <x v="1"/>
    <x v="7"/>
    <m/>
    <x v="76"/>
    <n v="1.9"/>
    <x v="34"/>
    <n v="45150"/>
    <n v="14660"/>
    <n v="13"/>
    <n v="30490"/>
    <n v="26526.3"/>
    <s v="грин01912"/>
    <x v="78"/>
  </r>
  <r>
    <s v="Акт входного контроля грин01913 от 03.11.2025 21:04:39"/>
    <n v="2907"/>
    <n v="296"/>
    <x v="9"/>
    <s v="Лазаренко Вячеслав Владимирович"/>
    <s v="Т239УС"/>
    <x v="32"/>
    <x v="1"/>
    <x v="7"/>
    <m/>
    <x v="76"/>
    <n v="1.8"/>
    <x v="34"/>
    <n v="43790"/>
    <n v="15130"/>
    <n v="6"/>
    <n v="28660"/>
    <n v="26940.400000000001"/>
    <s v="грин01913"/>
    <x v="78"/>
  </r>
  <r>
    <s v="Акт входного контроля грин01914 от 03.11.2025 22:14:41"/>
    <n v="2908"/>
    <n v="298"/>
    <x v="9"/>
    <s v="Ховятский АМ"/>
    <s v="Р684ОХ"/>
    <x v="32"/>
    <x v="1"/>
    <x v="7"/>
    <m/>
    <x v="76"/>
    <n v="1.5"/>
    <x v="34"/>
    <n v="39290"/>
    <n v="14810"/>
    <n v="6"/>
    <n v="24480"/>
    <n v="23011.200000000001"/>
    <s v="грин01914"/>
    <x v="78"/>
  </r>
  <r>
    <s v="Акт входного контроля грин01915 от 03.11.2025 22:51:32"/>
    <n v="2909"/>
    <n v="297"/>
    <x v="9"/>
    <s v="Сотников Сергей Кириллович"/>
    <s v="Т443МВ"/>
    <x v="32"/>
    <x v="1"/>
    <x v="7"/>
    <m/>
    <x v="76"/>
    <n v="1.7"/>
    <x v="34"/>
    <n v="43960"/>
    <n v="15890"/>
    <n v="11"/>
    <n v="28070"/>
    <n v="24982.3"/>
    <s v="грин01915"/>
    <x v="78"/>
  </r>
  <r>
    <s v="Акт входного контроля грин01916 от 03.11.2025 23:18:09"/>
    <n v="2910"/>
    <n v="299"/>
    <x v="9"/>
    <s v="Жданов Андрей Иванович"/>
    <s v="С707ОУ"/>
    <x v="32"/>
    <x v="1"/>
    <x v="7"/>
    <m/>
    <x v="76"/>
    <n v="1.3"/>
    <x v="34"/>
    <n v="36130"/>
    <n v="14640"/>
    <n v="14"/>
    <n v="21490"/>
    <n v="18481.400000000001"/>
    <s v="грин01916"/>
    <x v="78"/>
  </r>
  <r>
    <s v="Акт входного контроля грин01917 от 04.11.2025 15:12:44"/>
    <n v="2911"/>
    <n v="301"/>
    <x v="9"/>
    <s v="Кулинич Евгений Владимирович"/>
    <s v="У801СТ"/>
    <x v="32"/>
    <x v="1"/>
    <x v="7"/>
    <m/>
    <x v="76"/>
    <n v="1.6"/>
    <x v="34"/>
    <n v="41260"/>
    <n v="15220"/>
    <n v="9"/>
    <n v="26040"/>
    <n v="23696.400000000001"/>
    <s v="грин01917"/>
    <x v="79"/>
  </r>
  <r>
    <s v="Акт входного контроля грин01918 от 04.11.2025 16:21:38"/>
    <n v="2913"/>
    <n v="302"/>
    <x v="9"/>
    <s v="Бондаренко Николай Николаевич"/>
    <s v="А315МК"/>
    <x v="32"/>
    <x v="1"/>
    <x v="7"/>
    <m/>
    <x v="76"/>
    <n v="1.4"/>
    <x v="34"/>
    <n v="36730"/>
    <n v="13980"/>
    <n v="17"/>
    <n v="22750"/>
    <n v="18882.5"/>
    <s v="грин01918"/>
    <x v="79"/>
  </r>
  <r>
    <s v="Акт входного контроля грин01919 от 04.11.2025 16:43:50"/>
    <n v="2914"/>
    <n v="303"/>
    <x v="9"/>
    <s v="Огнев Максим Викторович"/>
    <s v="Р755НН"/>
    <x v="32"/>
    <x v="1"/>
    <x v="7"/>
    <m/>
    <x v="76"/>
    <n v="1.5"/>
    <x v="34"/>
    <n v="39450"/>
    <n v="14860"/>
    <n v="6"/>
    <n v="24590"/>
    <n v="23114.6"/>
    <s v="грин01919"/>
    <x v="79"/>
  </r>
  <r>
    <s v="Акт входного контроля грин01920 от 04.11.2025 18:49:22"/>
    <n v="2915"/>
    <n v="300"/>
    <x v="9"/>
    <s v="Блажко Алексей Николаевич"/>
    <s v="М676КО"/>
    <x v="32"/>
    <x v="1"/>
    <x v="7"/>
    <m/>
    <x v="77"/>
    <n v="1.8"/>
    <x v="34"/>
    <n v="68020"/>
    <n v="24790"/>
    <n v="10"/>
    <n v="43230"/>
    <n v="38907"/>
    <s v="грин01920"/>
    <x v="79"/>
  </r>
  <r>
    <s v="Акт входного контроля грин01921 от 04.11.2025 19:18:35"/>
    <n v="2916"/>
    <n v="304"/>
    <x v="9"/>
    <s v="Аладин Василий Сергеевич"/>
    <s v="Т110ТМ"/>
    <x v="32"/>
    <x v="1"/>
    <x v="7"/>
    <m/>
    <x v="77"/>
    <n v="1.3"/>
    <x v="34"/>
    <n v="39940"/>
    <n v="15110"/>
    <n v="13"/>
    <n v="24830"/>
    <n v="21602.1"/>
    <s v="грин01921"/>
    <x v="79"/>
  </r>
  <r>
    <s v="Акт входного контроля грин01922 от 04.11.2025 21:38:02"/>
    <n v="2917"/>
    <n v="306"/>
    <x v="9"/>
    <s v="Рыбалкин АН"/>
    <s v="Р687УК"/>
    <x v="32"/>
    <x v="1"/>
    <x v="7"/>
    <m/>
    <x v="77"/>
    <n v="1.3"/>
    <x v="34"/>
    <n v="43260"/>
    <n v="16300"/>
    <n v="8"/>
    <n v="26960"/>
    <n v="24803.200000000001"/>
    <s v="грин01922"/>
    <x v="79"/>
  </r>
  <r>
    <s v="Акт входного контроля грин01923 от 04.11.2025 23:42:40"/>
    <n v="2918"/>
    <n v="307"/>
    <x v="9"/>
    <s v="Магадиев Александр Сайлаувич"/>
    <s v="У184НО"/>
    <x v="32"/>
    <x v="1"/>
    <x v="7"/>
    <m/>
    <x v="77"/>
    <n v="1.3"/>
    <x v="34"/>
    <n v="39590"/>
    <n v="14580"/>
    <n v="14"/>
    <n v="25010"/>
    <n v="21508.6"/>
    <s v="грин01923"/>
    <x v="79"/>
  </r>
  <r>
    <s v="Акт входного контроля грин01924 от 04.11.2025 23:46:02"/>
    <n v="2919"/>
    <n v="308"/>
    <x v="9"/>
    <s v="Ревенко Андрей Вячеславович"/>
    <s v="А781РР"/>
    <x v="32"/>
    <x v="1"/>
    <x v="7"/>
    <m/>
    <x v="77"/>
    <n v="1.2"/>
    <x v="34"/>
    <n v="40280"/>
    <n v="15270"/>
    <n v="10"/>
    <n v="25010"/>
    <n v="22509"/>
    <s v="грин01924"/>
    <x v="79"/>
  </r>
  <r>
    <s v="Акт входного контроля грин01925 от 04.11.2025 13:36:01"/>
    <n v="2921"/>
    <n v="305"/>
    <x v="9"/>
    <s v="Пищев Александр Васильевич "/>
    <s v="Т522ОН"/>
    <x v="32"/>
    <x v="1"/>
    <x v="7"/>
    <m/>
    <x v="76"/>
    <n v="2.2999999999999998"/>
    <x v="34"/>
    <n v="54770"/>
    <n v="19680"/>
    <n v="17"/>
    <n v="35090"/>
    <n v="29124.7"/>
    <s v="грин01925"/>
    <x v="79"/>
  </r>
  <r>
    <s v="Акт входного контроля грин01926 от 04.11.2025 14:10:06"/>
    <n v="2922"/>
    <n v="309"/>
    <x v="9"/>
    <s v="Данильченко Ю.А."/>
    <s v="Р347КА"/>
    <x v="32"/>
    <x v="1"/>
    <x v="7"/>
    <m/>
    <x v="76"/>
    <n v="1.7"/>
    <x v="34"/>
    <n v="41000"/>
    <n v="15130"/>
    <n v="4"/>
    <n v="25870"/>
    <n v="24835.200000000001"/>
    <s v="грин01926"/>
    <x v="79"/>
  </r>
  <r>
    <s v="Акт входного контроля грин01927 от 04.11.2025 16:30:15"/>
    <n v="2923"/>
    <n v="311"/>
    <x v="9"/>
    <s v="Сероштан Станислав Викторович"/>
    <s v="Е758РЕ"/>
    <x v="32"/>
    <x v="1"/>
    <x v="7"/>
    <m/>
    <x v="76"/>
    <n v="1.7"/>
    <x v="34"/>
    <n v="40350"/>
    <n v="14940"/>
    <n v="11"/>
    <n v="25410"/>
    <n v="22614.9"/>
    <s v="грин01927"/>
    <x v="79"/>
  </r>
  <r>
    <s v="Акт входного контроля грин01928 от 04.11.2025 17:37:23"/>
    <n v="2924"/>
    <n v="310"/>
    <x v="9"/>
    <s v="Кулик О В"/>
    <s v="К403ЕМ"/>
    <x v="32"/>
    <x v="1"/>
    <x v="7"/>
    <m/>
    <x v="77"/>
    <n v="1.5"/>
    <x v="34"/>
    <n v="48070"/>
    <n v="17560"/>
    <n v="16"/>
    <n v="30510"/>
    <n v="25628.400000000001"/>
    <s v="грин01928"/>
    <x v="79"/>
  </r>
  <r>
    <s v="Акт входного контроля грин01929 от 04.11.2025 19:33:27"/>
    <n v="2926"/>
    <n v="312"/>
    <x v="9"/>
    <s v="Фомин Николай Григорьевич"/>
    <s v="А731ВА"/>
    <x v="32"/>
    <x v="1"/>
    <x v="7"/>
    <m/>
    <x v="77"/>
    <n v="1.3"/>
    <x v="34"/>
    <n v="41640"/>
    <n v="15140"/>
    <n v="11"/>
    <n v="26500"/>
    <n v="23585"/>
    <s v="грин01929"/>
    <x v="79"/>
  </r>
  <r>
    <s v="Акт входного контроля грин01930 от 04.11.2025 20:22:56"/>
    <n v="2928"/>
    <n v="313"/>
    <x v="9"/>
    <s v="Давыденко Юрий Викторович"/>
    <s v="У094СР"/>
    <x v="32"/>
    <x v="1"/>
    <x v="7"/>
    <m/>
    <x v="77"/>
    <n v="1.4"/>
    <x v="34"/>
    <n v="46470"/>
    <n v="16990"/>
    <n v="8"/>
    <n v="29480"/>
    <n v="27121.599999999999"/>
    <s v="грин01930"/>
    <x v="79"/>
  </r>
  <r>
    <s v="Акт входного контроля грин01931 от 04.11.2025 20:18:29"/>
    <n v="2927"/>
    <n v="314"/>
    <x v="9"/>
    <s v="Демченко Анатолий Григорьевич"/>
    <s v="Р818СЕ"/>
    <x v="32"/>
    <x v="1"/>
    <x v="7"/>
    <m/>
    <x v="77"/>
    <n v="1.3"/>
    <x v="34"/>
    <n v="40160"/>
    <n v="14810"/>
    <n v="4"/>
    <n v="25350"/>
    <n v="24336"/>
    <s v="грин01931"/>
    <x v="79"/>
  </r>
  <r>
    <s v="Акт входного контроля грин01932 от 05.11.2025 17:23:54"/>
    <n v="2929"/>
    <n v="8319"/>
    <x v="8"/>
    <s v="Бербеницкий Сергей Николаевич"/>
    <s v="С400РР"/>
    <x v="34"/>
    <x v="15"/>
    <x v="6"/>
    <m/>
    <x v="77"/>
    <n v="1.8"/>
    <x v="36"/>
    <n v="43270"/>
    <n v="15200"/>
    <n v="22"/>
    <n v="28070"/>
    <n v="21894.6"/>
    <s v="грин01932"/>
    <x v="80"/>
  </r>
  <r>
    <s v="Акт входного контроля грин01933 от 05.11.2025 17:24:22"/>
    <n v="2930"/>
    <n v="8320"/>
    <x v="8"/>
    <s v="Чернецов Александр Михайлович"/>
    <s v="Р866РМ"/>
    <x v="34"/>
    <x v="15"/>
    <x v="6"/>
    <m/>
    <x v="77"/>
    <n v="1.9"/>
    <x v="36"/>
    <n v="45580"/>
    <n v="15080"/>
    <n v="14"/>
    <n v="30500"/>
    <n v="26230"/>
    <s v="грин01933"/>
    <x v="80"/>
  </r>
  <r>
    <s v="Акт входного контроля грин01934 от 05.11.2025 17:24:53"/>
    <n v="2931"/>
    <n v="8322"/>
    <x v="8"/>
    <s v="Богучарский А. И."/>
    <s v="Е404УС"/>
    <x v="34"/>
    <x v="15"/>
    <x v="6"/>
    <m/>
    <x v="77"/>
    <n v="1.5"/>
    <x v="36"/>
    <n v="37080"/>
    <n v="13930"/>
    <n v="20"/>
    <n v="23150"/>
    <n v="18520"/>
    <s v="грин01934"/>
    <x v="80"/>
  </r>
  <r>
    <s v="Акт входного контроля грин01935 от 05.11.2025 17:26:23"/>
    <n v="2933"/>
    <n v="8323"/>
    <x v="8"/>
    <s v="Пугачев Сергей Викторович"/>
    <s v="Р258УХ"/>
    <x v="34"/>
    <x v="15"/>
    <x v="6"/>
    <m/>
    <x v="77"/>
    <n v="1.9"/>
    <x v="36"/>
    <n v="46390"/>
    <n v="15780"/>
    <n v="7"/>
    <n v="30610"/>
    <n v="28467.3"/>
    <s v="грин01935"/>
    <x v="80"/>
  </r>
  <r>
    <s v="Акт входного контроля грин01936 от 05.11.2025 17:54:47"/>
    <n v="2934"/>
    <n v="8321"/>
    <x v="8"/>
    <s v="Мудрак Игорь Вадимович"/>
    <s v="С198УЕ"/>
    <x v="34"/>
    <x v="15"/>
    <x v="6"/>
    <m/>
    <x v="77"/>
    <n v="2.5"/>
    <x v="36"/>
    <n v="64280"/>
    <n v="24140"/>
    <n v="10"/>
    <n v="40140"/>
    <n v="36126"/>
    <s v="грин01936"/>
    <x v="80"/>
  </r>
  <r>
    <s v="Акт входного контроля грин01937 от 05.11.2025 19:00:27"/>
    <n v="2935"/>
    <n v="8324"/>
    <x v="8"/>
    <s v="Егоян Артем Владимирович"/>
    <s v="А701СН"/>
    <x v="34"/>
    <x v="15"/>
    <x v="6"/>
    <m/>
    <x v="77"/>
    <n v="1.7"/>
    <x v="36"/>
    <n v="41600"/>
    <n v="15030"/>
    <n v="20"/>
    <n v="26570"/>
    <n v="21256"/>
    <s v="грин01937"/>
    <x v="80"/>
  </r>
  <r>
    <s v="Акт входного контроля грин01938 от 05.11.2025 21:43:48"/>
    <n v="2938"/>
    <n v="8325"/>
    <x v="8"/>
    <s v="Мудрак Вадим Васильевич"/>
    <s v="Х514ОК"/>
    <x v="34"/>
    <x v="15"/>
    <x v="6"/>
    <m/>
    <x v="77"/>
    <n v="2.7"/>
    <x v="36"/>
    <n v="63940"/>
    <n v="21240"/>
    <n v="7"/>
    <n v="42700"/>
    <n v="39711"/>
    <s v="грин01938"/>
    <x v="80"/>
  </r>
  <r>
    <s v="Акт входного контроля грин01939 от 05.11.2025 22:03:11"/>
    <n v="2952"/>
    <n v="319"/>
    <x v="9"/>
    <s v="Чигрин Н.А."/>
    <s v="А819ЕВ"/>
    <x v="35"/>
    <x v="1"/>
    <x v="7"/>
    <m/>
    <x v="78"/>
    <n v="0.8"/>
    <x v="37"/>
    <n v="27770"/>
    <n v="14360"/>
    <n v="22"/>
    <n v="13410"/>
    <n v="10459.799999999999"/>
    <s v="грин01939"/>
    <x v="80"/>
  </r>
  <r>
    <s v="Акт входного контроля грин01940 от 05.11.2025 23:50:15"/>
    <n v="2941"/>
    <n v="8326"/>
    <x v="8"/>
    <s v="Ушаков С Е."/>
    <s v="О212РТ"/>
    <x v="34"/>
    <x v="15"/>
    <x v="6"/>
    <m/>
    <x v="77"/>
    <n v="1.9"/>
    <x v="36"/>
    <n v="44150"/>
    <n v="14480"/>
    <n v="14"/>
    <n v="29670"/>
    <n v="25516.2"/>
    <s v="грин01940"/>
    <x v="80"/>
  </r>
  <r>
    <s v="Акт входного контроля грин01941 от 05.11.2025 16:30:16"/>
    <n v="2947"/>
    <n v="8327"/>
    <x v="8"/>
    <s v="Лазаренко Вячеслав Владимирович"/>
    <s v="Т239УС"/>
    <x v="34"/>
    <x v="15"/>
    <x v="6"/>
    <m/>
    <x v="78"/>
    <n v="1.9"/>
    <x v="36"/>
    <n v="42180"/>
    <n v="14980"/>
    <n v="24"/>
    <n v="27200"/>
    <n v="20672"/>
    <s v="грин01941"/>
    <x v="80"/>
  </r>
  <r>
    <s v="Акт входного контроля грин01942 от 05.11.2025 16:37:21"/>
    <n v="2948"/>
    <n v="8328"/>
    <x v="8"/>
    <s v="Никитась Сергей Анатольевич"/>
    <s v="К570ЕО"/>
    <x v="34"/>
    <x v="15"/>
    <x v="6"/>
    <m/>
    <x v="78"/>
    <n v="2.1"/>
    <x v="36"/>
    <n v="46070"/>
    <n v="15250"/>
    <n v="27"/>
    <n v="30820"/>
    <n v="22498.6"/>
    <s v="грин01942"/>
    <x v="80"/>
  </r>
  <r>
    <s v="Акт входного контроля грин01943 от 05.11.2025 18:03:23"/>
    <n v="2951"/>
    <n v="8329"/>
    <x v="8"/>
    <s v="Рудик Александр Иванович"/>
    <s v="А309АТ"/>
    <x v="34"/>
    <x v="15"/>
    <x v="6"/>
    <m/>
    <x v="78"/>
    <n v="2"/>
    <x v="36"/>
    <n v="43320"/>
    <n v="15010"/>
    <n v="20"/>
    <n v="28310"/>
    <n v="22648"/>
    <s v="грин01943"/>
    <x v="80"/>
  </r>
  <r>
    <s v="Акт входного контроля грин01944 от 05.11.2025 20:17:39"/>
    <n v="2953"/>
    <n v="8330"/>
    <x v="8"/>
    <s v="Емец Р.А."/>
    <s v="У315НХ"/>
    <x v="34"/>
    <x v="15"/>
    <x v="6"/>
    <m/>
    <x v="78"/>
    <n v="1.7"/>
    <x v="36"/>
    <n v="40390"/>
    <n v="15640"/>
    <n v="18"/>
    <n v="24750"/>
    <n v="20295"/>
    <s v="грин01944"/>
    <x v="80"/>
  </r>
  <r>
    <s v="Акт входного контроля грин01945 от 05.11.2025 20:32:34"/>
    <n v="2954"/>
    <n v="8333"/>
    <x v="8"/>
    <s v="Кулинич Евгений Владимирович"/>
    <s v="У801СТ"/>
    <x v="34"/>
    <x v="15"/>
    <x v="6"/>
    <m/>
    <x v="78"/>
    <n v="1.8"/>
    <x v="36"/>
    <n v="40920"/>
    <n v="15110"/>
    <n v="24"/>
    <n v="25810"/>
    <n v="19615.599999999999"/>
    <s v="грин01945"/>
    <x v="80"/>
  </r>
  <r>
    <s v="Акт входного контроля грин01946 от 05.11.2025 22:57:09"/>
    <n v="2956"/>
    <n v="8334"/>
    <x v="8"/>
    <s v="Майстровский В.Н."/>
    <s v="М057АО"/>
    <x v="34"/>
    <x v="15"/>
    <x v="6"/>
    <m/>
    <x v="78"/>
    <n v="1.8"/>
    <x v="36"/>
    <n v="40240"/>
    <n v="14610"/>
    <n v="18"/>
    <n v="25630"/>
    <n v="21016.6"/>
    <s v="грин01946"/>
    <x v="80"/>
  </r>
  <r>
    <s v="Акт входного контроля грин01947 от 05.11.2025 23:02:08"/>
    <n v="2957"/>
    <n v="8335"/>
    <x v="8"/>
    <s v="Долгих Николай Петрович"/>
    <s v="У726ЕР"/>
    <x v="34"/>
    <x v="15"/>
    <x v="6"/>
    <m/>
    <x v="78"/>
    <n v="1.9"/>
    <x v="36"/>
    <n v="41950"/>
    <n v="15140"/>
    <n v="11"/>
    <n v="26810"/>
    <n v="23860.9"/>
    <s v="грин01947"/>
    <x v="80"/>
  </r>
  <r>
    <s v="Акт входного контроля грин01948 от 06.11.2025 12:11:44"/>
    <n v="2958"/>
    <n v="8337"/>
    <x v="8"/>
    <s v="Черевко Александр Владимирович"/>
    <s v="А114МК"/>
    <x v="34"/>
    <x v="15"/>
    <x v="6"/>
    <m/>
    <x v="78"/>
    <n v="1.7"/>
    <x v="36"/>
    <n v="39290"/>
    <n v="14770"/>
    <n v="25"/>
    <n v="24520"/>
    <n v="18390"/>
    <s v="грин01948"/>
    <x v="81"/>
  </r>
  <r>
    <s v="Акт входного контроля грин01949 от 06.11.2025 14:59:31"/>
    <n v="2959"/>
    <n v="8339"/>
    <x v="8"/>
    <s v="Блажко Алексей Николаевич"/>
    <s v="М676КО"/>
    <x v="34"/>
    <x v="15"/>
    <x v="6"/>
    <m/>
    <x v="78"/>
    <n v="2.9"/>
    <x v="36"/>
    <n v="66540"/>
    <n v="24550"/>
    <n v="20"/>
    <n v="41990"/>
    <n v="33592"/>
    <s v="грин01949"/>
    <x v="81"/>
  </r>
  <r>
    <s v="Акт входного контроля грин01950 от 06.11.2025 16:34:17"/>
    <n v="2960"/>
    <n v="8342"/>
    <x v="8"/>
    <s v="Рыбалкин АН"/>
    <s v="Р687УК"/>
    <x v="34"/>
    <x v="15"/>
    <x v="6"/>
    <m/>
    <x v="78"/>
    <n v="1.9"/>
    <x v="36"/>
    <n v="43090"/>
    <n v="16200"/>
    <n v="8"/>
    <n v="26890"/>
    <n v="24738.799999999999"/>
    <s v="грин01950"/>
    <x v="81"/>
  </r>
  <r>
    <s v="Акт входного контроля грин01951 от 06.11.2025 18:41:09"/>
    <n v="2961"/>
    <n v="8340"/>
    <x v="8"/>
    <s v="Огнев Максим Викторович"/>
    <s v="Р755НН"/>
    <x v="34"/>
    <x v="15"/>
    <x v="6"/>
    <m/>
    <x v="78"/>
    <n v="1.8"/>
    <x v="36"/>
    <n v="40410"/>
    <n v="14810"/>
    <n v="27"/>
    <n v="25600"/>
    <n v="18688"/>
    <s v="грин01951"/>
    <x v="81"/>
  </r>
  <r>
    <s v="Акт входного контроля грин01952 от 06.11.2025 20:57:14"/>
    <n v="2962"/>
    <n v="8341"/>
    <x v="8"/>
    <s v="Аладин Василий Сергеевич"/>
    <s v="Т110ТМ"/>
    <x v="34"/>
    <x v="15"/>
    <x v="6"/>
    <m/>
    <x v="78"/>
    <n v="1.6"/>
    <x v="36"/>
    <n v="38670"/>
    <n v="14980"/>
    <n v="27"/>
    <n v="23690"/>
    <n v="17293.7"/>
    <s v="грин01952"/>
    <x v="81"/>
  </r>
  <r>
    <s v="Акт входного контроля грин01953 от 06.11.2025 22:27:21"/>
    <n v="2963"/>
    <n v="8344"/>
    <x v="8"/>
    <s v="Магадиев Александр Сайлаувич"/>
    <s v="У184НО"/>
    <x v="34"/>
    <x v="15"/>
    <x v="6"/>
    <m/>
    <x v="78"/>
    <n v="1.7"/>
    <x v="36"/>
    <n v="39440"/>
    <n v="14550"/>
    <n v="30"/>
    <n v="24890"/>
    <n v="17423"/>
    <s v="грин01953"/>
    <x v="81"/>
  </r>
  <r>
    <s v="Акт входного контроля грин01954 от 06.11.2025 23:35:20"/>
    <n v="2964"/>
    <n v="8345"/>
    <x v="8"/>
    <s v="Ревенко Андрей Вячеславович"/>
    <s v="А781РР"/>
    <x v="34"/>
    <x v="15"/>
    <x v="6"/>
    <m/>
    <x v="78"/>
    <n v="1.7"/>
    <x v="36"/>
    <n v="39310"/>
    <n v="15230"/>
    <n v="14"/>
    <n v="24080"/>
    <n v="20708.8"/>
    <s v="грин01954"/>
    <x v="81"/>
  </r>
  <r>
    <s v="Акт входного контроля грин01955 от 06.11.2025 9:51:46"/>
    <n v="2967"/>
    <n v="8348"/>
    <x v="8"/>
    <s v="Данильченко Ю.А."/>
    <s v="Р347КА"/>
    <x v="34"/>
    <x v="15"/>
    <x v="6"/>
    <m/>
    <x v="78"/>
    <n v="1.8"/>
    <x v="36"/>
    <n v="41120"/>
    <n v="15020"/>
    <n v="14"/>
    <n v="26100"/>
    <n v="22446"/>
    <s v="грин01955"/>
    <x v="81"/>
  </r>
  <r>
    <s v="Акт входного контроля грин01956 от 06.11.2025 11:38:02"/>
    <n v="2969"/>
    <n v="8353"/>
    <x v="8"/>
    <s v="Ховятский АМ"/>
    <s v="Р684ОХ"/>
    <x v="34"/>
    <x v="15"/>
    <x v="6"/>
    <m/>
    <x v="78"/>
    <n v="1.8"/>
    <x v="36"/>
    <n v="40590"/>
    <n v="14790"/>
    <n v="13"/>
    <n v="25800"/>
    <n v="22446"/>
    <s v="грин01956"/>
    <x v="81"/>
  </r>
  <r>
    <s v="Акт входного контроля грин01957 от 06.11.2025 13:36:24"/>
    <n v="2970"/>
    <n v="8354"/>
    <x v="8"/>
    <s v="Бондаренко Николай Николаевич"/>
    <s v="А315МК"/>
    <x v="34"/>
    <x v="15"/>
    <x v="6"/>
    <m/>
    <x v="79"/>
    <n v="1.2"/>
    <x v="36"/>
    <n v="37050"/>
    <n v="14120"/>
    <n v="27"/>
    <n v="22930"/>
    <n v="16738.900000000001"/>
    <s v="грин01957"/>
    <x v="81"/>
  </r>
  <r>
    <s v="Акт входного контроля грин01958 от 06.11.2025 16:34:36"/>
    <n v="2971"/>
    <n v="8010"/>
    <x v="8"/>
    <s v="Сотников Сергей Кириллович"/>
    <s v="Т443МВ"/>
    <x v="34"/>
    <x v="15"/>
    <x v="6"/>
    <m/>
    <x v="79"/>
    <n v="1.5"/>
    <x v="36"/>
    <n v="43960"/>
    <n v="16200"/>
    <n v="13"/>
    <n v="27760"/>
    <n v="24151.200000000001"/>
    <s v="грин01958"/>
    <x v="81"/>
  </r>
  <r>
    <s v="Акт входного контроля грин01959 от 06.11.2025 17:35:10"/>
    <n v="2972"/>
    <n v="8355"/>
    <x v="8"/>
    <s v="Пищев Александр Васильевич "/>
    <s v="Т522ОН"/>
    <x v="34"/>
    <x v="15"/>
    <x v="6"/>
    <m/>
    <x v="79"/>
    <n v="1.8"/>
    <x v="36"/>
    <n v="52590"/>
    <n v="19380"/>
    <n v="8"/>
    <n v="33210"/>
    <n v="30553.200000000001"/>
    <s v="грин01959"/>
    <x v="81"/>
  </r>
  <r>
    <s v="Акт входного контроля грин01960 от 06.11.2025 17:38:56"/>
    <n v="2973"/>
    <n v="8387"/>
    <x v="8"/>
    <s v="Давыденко Юрий Викторович"/>
    <s v="У094СР"/>
    <x v="34"/>
    <x v="15"/>
    <x v="6"/>
    <m/>
    <x v="79"/>
    <n v="1.5"/>
    <x v="36"/>
    <n v="45520"/>
    <n v="17120"/>
    <n v="5"/>
    <n v="28400"/>
    <n v="26980"/>
    <s v="грин01960"/>
    <x v="81"/>
  </r>
  <r>
    <s v="Акт входного контроля грин01961 от 08.11.2025 18:01:42"/>
    <n v="2984"/>
    <n v="328"/>
    <x v="9"/>
    <s v="Чигрин Н.А."/>
    <s v="А819ЕВ"/>
    <x v="35"/>
    <x v="1"/>
    <x v="7"/>
    <m/>
    <x v="80"/>
    <n v="0.7"/>
    <x v="37"/>
    <n v="28290"/>
    <n v="14290"/>
    <n v="25"/>
    <n v="14000"/>
    <n v="10500"/>
    <s v="грин01961"/>
    <x v="82"/>
  </r>
  <r>
    <s v="Акт входного контроля грин01962 от 08.11.2025 22:02:13"/>
    <n v="2986"/>
    <n v="320"/>
    <x v="9"/>
    <s v="Жданов Андрей Иванович"/>
    <s v="С707ОУ"/>
    <x v="35"/>
    <x v="1"/>
    <x v="7"/>
    <m/>
    <x v="80"/>
    <n v="1"/>
    <x v="37"/>
    <n v="34810"/>
    <n v="14650"/>
    <n v="24"/>
    <n v="20160"/>
    <n v="15321.6"/>
    <s v="грин01962"/>
    <x v="82"/>
  </r>
  <r>
    <s v="Акт входного контроля грин01963 от 08.11.2025 22:39:16"/>
    <n v="2987"/>
    <n v="321"/>
    <x v="9"/>
    <s v="Гужва А М."/>
    <s v="Т285ВЕ"/>
    <x v="35"/>
    <x v="1"/>
    <x v="7"/>
    <m/>
    <x v="80"/>
    <n v="1.1000000000000001"/>
    <x v="37"/>
    <n v="35670"/>
    <n v="15010"/>
    <n v="29"/>
    <n v="20660"/>
    <n v="14668.6"/>
    <s v="грин01963"/>
    <x v="82"/>
  </r>
  <r>
    <s v="Акт входного контроля грин01964 от 08.11.2025 19:49:02"/>
    <n v="2989"/>
    <n v="322"/>
    <x v="9"/>
    <s v="Богучарский А. И."/>
    <s v="Е404УС"/>
    <x v="35"/>
    <x v="1"/>
    <x v="7"/>
    <m/>
    <x v="80"/>
    <n v="1.1000000000000001"/>
    <x v="37"/>
    <n v="35450"/>
    <n v="13920"/>
    <n v="29"/>
    <n v="21530"/>
    <n v="15286.3"/>
    <s v="грин01964"/>
    <x v="82"/>
  </r>
  <r>
    <s v="Акт входного контроля грин01965 от 08.11.2025 20:34:54"/>
    <n v="2990"/>
    <n v="323"/>
    <x v="9"/>
    <s v="Фомин Николай Григорьевич"/>
    <s v="А731ВА"/>
    <x v="35"/>
    <x v="1"/>
    <x v="7"/>
    <m/>
    <x v="80"/>
    <n v="1.2"/>
    <x v="37"/>
    <n v="38240"/>
    <n v="15010"/>
    <n v="25"/>
    <n v="23230"/>
    <n v="17422.5"/>
    <s v="грин01965"/>
    <x v="82"/>
  </r>
  <r>
    <s v="Акт входного контроля грин01966 от 08.11.2025 21:17:15"/>
    <n v="2991"/>
    <n v="324"/>
    <x v="9"/>
    <s v="Магадиев Александр Сайлаувич"/>
    <s v="У184НО"/>
    <x v="35"/>
    <x v="1"/>
    <x v="7"/>
    <m/>
    <x v="80"/>
    <n v="1.2"/>
    <x v="37"/>
    <n v="37440"/>
    <n v="14610"/>
    <n v="32"/>
    <n v="22830"/>
    <n v="15524.4"/>
    <s v="грин01966"/>
    <x v="82"/>
  </r>
  <r>
    <s v="Акт входного контроля грин01967 от 08.11.2025 22:15:51"/>
    <n v="2992"/>
    <n v="325"/>
    <x v="9"/>
    <s v="Ревенко Андрей Вячеславович"/>
    <s v="А781РР"/>
    <x v="35"/>
    <x v="1"/>
    <x v="7"/>
    <m/>
    <x v="80"/>
    <n v="1.2"/>
    <x v="37"/>
    <n v="37700"/>
    <n v="15250"/>
    <n v="35"/>
    <n v="22450"/>
    <n v="14592.5"/>
    <s v="грин01967"/>
    <x v="82"/>
  </r>
  <r>
    <s v="Акт входного контроля грин01968 от 08.11.2025 23:22:28"/>
    <n v="2993"/>
    <n v="326"/>
    <x v="9"/>
    <s v="Кулинич Евгений Владимирович"/>
    <s v="У801СТ"/>
    <x v="35"/>
    <x v="1"/>
    <x v="7"/>
    <m/>
    <x v="80"/>
    <n v="1.2"/>
    <x v="37"/>
    <n v="38530"/>
    <n v="15180"/>
    <n v="23"/>
    <n v="23350"/>
    <n v="17979.5"/>
    <s v="грин01968"/>
    <x v="82"/>
  </r>
  <r>
    <s v="Акт входного контроля грин01969 от 09.11.2025 7:49:36"/>
    <n v="2994"/>
    <n v="327"/>
    <x v="9"/>
    <s v="Сероштан Станислав Викторович"/>
    <s v="Е758РЕ"/>
    <x v="35"/>
    <x v="1"/>
    <x v="7"/>
    <m/>
    <x v="80"/>
    <n v="1.2"/>
    <x v="37"/>
    <n v="38760"/>
    <n v="15000"/>
    <n v="38"/>
    <n v="23760"/>
    <n v="14731.2"/>
    <s v="грин01969"/>
    <x v="83"/>
  </r>
  <r>
    <s v="Акт входного контроля грин01970 от 09.11.2025 8:16:25"/>
    <n v="2995"/>
    <n v="329"/>
    <x v="9"/>
    <s v="Рудик Александр Иванович"/>
    <s v="А309АТ"/>
    <x v="35"/>
    <x v="1"/>
    <x v="7"/>
    <m/>
    <x v="80"/>
    <n v="1.3"/>
    <x v="37"/>
    <n v="40920"/>
    <n v="14930"/>
    <n v="24"/>
    <n v="25990"/>
    <n v="19752.400000000001"/>
    <s v="грин01970"/>
    <x v="83"/>
  </r>
  <r>
    <s v="Акт входного контроля грин01971 от 09.11.2025 9:48:03"/>
    <n v="2996"/>
    <n v="330"/>
    <x v="9"/>
    <s v="Емец Р.А."/>
    <s v="У315НХ"/>
    <x v="35"/>
    <x v="1"/>
    <x v="7"/>
    <m/>
    <x v="80"/>
    <n v="1.3"/>
    <x v="37"/>
    <n v="39980"/>
    <n v="15730"/>
    <n v="23"/>
    <n v="24250"/>
    <n v="18672.5"/>
    <s v="грин01971"/>
    <x v="83"/>
  </r>
  <r>
    <s v="Акт входного контроля грин01972 от 09.11.2025 11:01:14"/>
    <n v="2997"/>
    <n v="332"/>
    <x v="9"/>
    <s v="Погуляй А.Б.       "/>
    <s v="О824ТХ"/>
    <x v="35"/>
    <x v="1"/>
    <x v="7"/>
    <m/>
    <x v="80"/>
    <n v="1.6"/>
    <x v="37"/>
    <n v="49950"/>
    <n v="18900"/>
    <n v="28"/>
    <n v="31050"/>
    <n v="22356"/>
    <s v="грин01972"/>
    <x v="83"/>
  </r>
  <r>
    <s v="Акт входного контроля грин01973 от 09.11.2025 12:18:32"/>
    <n v="2998"/>
    <n v="331"/>
    <x v="9"/>
    <s v="Мудрак Вадим Васильевич"/>
    <s v="Х514ОК"/>
    <x v="35"/>
    <x v="1"/>
    <x v="7"/>
    <m/>
    <x v="80"/>
    <n v="2.1"/>
    <x v="37"/>
    <n v="61810"/>
    <n v="21330"/>
    <n v="23"/>
    <n v="40480"/>
    <n v="31169.599999999999"/>
    <s v="грин01973"/>
    <x v="83"/>
  </r>
  <r>
    <s v="Акт входного контроля грин01974 от 09.11.2025 13:42:53"/>
    <n v="2999"/>
    <n v="333"/>
    <x v="9"/>
    <s v="Кулик О В"/>
    <s v="К403ЕМ"/>
    <x v="35"/>
    <x v="1"/>
    <x v="7"/>
    <m/>
    <x v="80"/>
    <n v="1.4"/>
    <x v="37"/>
    <n v="44980"/>
    <n v="17590"/>
    <n v="37"/>
    <n v="27390"/>
    <n v="17255.7"/>
    <s v="грин01974"/>
    <x v="83"/>
  </r>
  <r>
    <s v="Акт входного контроля грин01975 от 09.11.2025 14:24:27"/>
    <n v="3000"/>
    <n v="334"/>
    <x v="9"/>
    <s v="Бербеницкий Сергей Николаевич"/>
    <s v="С400РР"/>
    <x v="35"/>
    <x v="1"/>
    <x v="7"/>
    <m/>
    <x v="80"/>
    <n v="1.3"/>
    <x v="37"/>
    <n v="40940"/>
    <n v="15200"/>
    <n v="39"/>
    <n v="25740"/>
    <n v="15701.4"/>
    <s v="грин01975"/>
    <x v="83"/>
  </r>
  <r>
    <s v="Акт входного контроля грин01976 от 09.11.2025 15:36:20"/>
    <n v="3001"/>
    <n v="335"/>
    <x v="9"/>
    <s v="Майстровский В.Н."/>
    <s v="М057АО"/>
    <x v="35"/>
    <x v="1"/>
    <x v="7"/>
    <m/>
    <x v="80"/>
    <n v="1.2"/>
    <x v="37"/>
    <n v="38080"/>
    <n v="14600"/>
    <n v="34"/>
    <n v="23480"/>
    <n v="15496.8"/>
    <s v="грин01976"/>
    <x v="83"/>
  </r>
  <r>
    <s v="Акт входного контроля грин01977 от 09.11.2025 20:31:05"/>
    <n v="3002"/>
    <n v="336"/>
    <x v="9"/>
    <s v="Долгих Николай Петрович"/>
    <s v="У726ЕР"/>
    <x v="35"/>
    <x v="1"/>
    <x v="7"/>
    <m/>
    <x v="80"/>
    <n v="1.2"/>
    <x v="37"/>
    <n v="38030"/>
    <n v="15230"/>
    <n v="27"/>
    <n v="22800"/>
    <n v="16644"/>
    <s v="грин01977"/>
    <x v="83"/>
  </r>
  <r>
    <s v="Акт входного контроля грин01978 от 09.11.2025 22:03:34"/>
    <n v="3003"/>
    <n v="337"/>
    <x v="9"/>
    <s v="Мудрак Игорь Вадимович"/>
    <s v="С198УЕ"/>
    <x v="35"/>
    <x v="1"/>
    <x v="7"/>
    <m/>
    <x v="80"/>
    <n v="2"/>
    <x v="37"/>
    <n v="62190"/>
    <n v="24320"/>
    <n v="23"/>
    <n v="37870"/>
    <n v="29159.9"/>
    <s v="грин01978"/>
    <x v="83"/>
  </r>
  <r>
    <s v="Акт входного контроля грин01979 от 09.11.2025 23:37:50"/>
    <n v="3004"/>
    <n v="338"/>
    <x v="9"/>
    <s v="Чернецов Александр Михайлович"/>
    <s v="Р866РМ"/>
    <x v="35"/>
    <x v="1"/>
    <x v="7"/>
    <m/>
    <x v="81"/>
    <n v="1.3"/>
    <x v="37"/>
    <n v="41780"/>
    <n v="15240"/>
    <n v="18"/>
    <n v="26540"/>
    <n v="21762.799999999999"/>
    <s v="грин01979"/>
    <x v="83"/>
  </r>
  <r>
    <s v="Акт входного контроля грин01980 от 09.11.2025 23:48:25"/>
    <n v="3005"/>
    <n v="339"/>
    <x v="9"/>
    <s v="Пугачев Сергей Викторович"/>
    <s v="Р258УХ"/>
    <x v="35"/>
    <x v="1"/>
    <x v="7"/>
    <m/>
    <x v="81"/>
    <n v="1.4"/>
    <x v="37"/>
    <n v="43500"/>
    <n v="15920"/>
    <n v="23"/>
    <n v="27580"/>
    <n v="21236.6"/>
    <s v="грин01980"/>
    <x v="83"/>
  </r>
  <r>
    <s v="Акт входного контроля грин01981 от 09.11.2025 13:07:39"/>
    <n v="3006"/>
    <n v="340"/>
    <x v="9"/>
    <s v="Ушаков С Е."/>
    <s v="О212РТ"/>
    <x v="35"/>
    <x v="1"/>
    <x v="7"/>
    <m/>
    <x v="81"/>
    <n v="1.4"/>
    <x v="37"/>
    <n v="41930"/>
    <n v="14610"/>
    <n v="19"/>
    <n v="27320"/>
    <n v="22129.200000000001"/>
    <s v="грин01981"/>
    <x v="83"/>
  </r>
  <r>
    <s v="Акт входного контроля грин01982 от 09.11.2025 15:07:21"/>
    <n v="3008"/>
    <n v="341"/>
    <x v="9"/>
    <s v="Лазаренко Вячеслав Владимирович"/>
    <s v="Т239УС"/>
    <x v="35"/>
    <x v="1"/>
    <x v="7"/>
    <m/>
    <x v="81"/>
    <n v="1.3"/>
    <x v="37"/>
    <n v="40410"/>
    <n v="15120"/>
    <n v="21"/>
    <n v="25290"/>
    <n v="19979.099999999999"/>
    <s v="грин01982"/>
    <x v="83"/>
  </r>
  <r>
    <s v="Акт входного контроля грин01983 от 09.11.2025 15:18:05"/>
    <n v="3009"/>
    <n v="342"/>
    <x v="9"/>
    <s v="Никитась Сергей Анатольевич"/>
    <s v="К570ЕО"/>
    <x v="35"/>
    <x v="1"/>
    <x v="7"/>
    <m/>
    <x v="81"/>
    <n v="1.4"/>
    <x v="37"/>
    <n v="44030"/>
    <n v="15320"/>
    <n v="26"/>
    <n v="28710"/>
    <n v="21245.4"/>
    <s v="грин01983"/>
    <x v="83"/>
  </r>
  <r>
    <s v="Акт входного контроля грин01984 от 09.11.2025 15:47:17"/>
    <n v="3010"/>
    <n v="343"/>
    <x v="9"/>
    <s v="Пищев Александр Васильевич "/>
    <s v="Т522ОН"/>
    <x v="35"/>
    <x v="1"/>
    <x v="7"/>
    <m/>
    <x v="81"/>
    <n v="1.7"/>
    <x v="37"/>
    <n v="52560"/>
    <n v="19660"/>
    <n v="40"/>
    <n v="32900"/>
    <n v="19740"/>
    <s v="грин01984"/>
    <x v="83"/>
  </r>
  <r>
    <s v="Акт входного контроля грин01985 от 09.11.2025 18:34:09"/>
    <n v="3011"/>
    <n v="344"/>
    <x v="9"/>
    <s v="Блажко Алексей Николаевич"/>
    <s v="М676КО"/>
    <x v="35"/>
    <x v="1"/>
    <x v="7"/>
    <m/>
    <x v="81"/>
    <n v="2.1"/>
    <x v="37"/>
    <n v="65320"/>
    <n v="24720"/>
    <n v="17"/>
    <n v="40600"/>
    <n v="33698"/>
    <s v="грин01985"/>
    <x v="83"/>
  </r>
  <r>
    <s v="Акт входного контроля грин01986 от 05.11.2025 5:05:10"/>
    <n v="2932"/>
    <n v="8336"/>
    <x v="8"/>
    <s v="Дик Илья Александрович"/>
    <s v="М556ХВ"/>
    <x v="34"/>
    <x v="15"/>
    <x v="6"/>
    <m/>
    <x v="77"/>
    <n v="2"/>
    <x v="36"/>
    <n v="49130"/>
    <n v="15960"/>
    <n v="19"/>
    <n v="28130"/>
    <n v="22785.3"/>
    <s v="грин01986"/>
    <x v="80"/>
  </r>
  <r>
    <s v="Акт входного контроля грин01987 от 09.11.2025 18:50:38"/>
    <n v="3012"/>
    <n v="345"/>
    <x v="9"/>
    <s v="Дик Илья Александрович"/>
    <s v="М556ХВ"/>
    <x v="35"/>
    <x v="1"/>
    <x v="7"/>
    <m/>
    <x v="81"/>
    <n v="1.6"/>
    <x v="37"/>
    <n v="46980"/>
    <n v="16090"/>
    <n v="26"/>
    <n v="30890"/>
    <n v="22858.6"/>
    <s v="грин01987"/>
    <x v="83"/>
  </r>
  <r>
    <s v="Акт входного контроля грин01988 от 09.11.2025 19:08:30"/>
    <n v="3013"/>
    <n v="348"/>
    <x v="9"/>
    <s v="Богучарский А. И."/>
    <s v="Е404УС"/>
    <x v="35"/>
    <x v="1"/>
    <x v="7"/>
    <m/>
    <x v="81"/>
    <n v="1.1000000000000001"/>
    <x v="37"/>
    <n v="35360"/>
    <n v="13940"/>
    <n v="33"/>
    <n v="21420"/>
    <n v="14351.4"/>
    <s v="грин01988"/>
    <x v="83"/>
  </r>
  <r>
    <s v="Акт входного контроля грин01989 от 09.11.2025 19:14:35"/>
    <n v="3014"/>
    <n v="347"/>
    <x v="9"/>
    <s v="Аладин Василий Сергеевич"/>
    <s v="Т110ТМ"/>
    <x v="35"/>
    <x v="1"/>
    <x v="7"/>
    <m/>
    <x v="81"/>
    <n v="1.1000000000000001"/>
    <x v="37"/>
    <n v="37640"/>
    <n v="15090"/>
    <n v="47"/>
    <n v="22550"/>
    <n v="11951.5"/>
    <s v="грин01989"/>
    <x v="83"/>
  </r>
  <r>
    <s v="Акт входного контроля грин01990 от 09.11.2025 19:17:41"/>
    <n v="3015"/>
    <n v="346"/>
    <x v="9"/>
    <s v="Огнев Максим Викторович"/>
    <s v="Р755НН"/>
    <x v="35"/>
    <x v="1"/>
    <x v="7"/>
    <m/>
    <x v="81"/>
    <n v="1.2"/>
    <x v="37"/>
    <n v="37810"/>
    <n v="14970"/>
    <n v="36"/>
    <n v="22840"/>
    <n v="14617.6"/>
    <s v="грин01990"/>
    <x v="83"/>
  </r>
  <r>
    <s v="Акт входного контроля грин01991 от 09.11.2025 20:36:28"/>
    <n v="3016"/>
    <n v="349"/>
    <x v="9"/>
    <s v="Гужва А М."/>
    <s v="Т285ВЕ"/>
    <x v="35"/>
    <x v="1"/>
    <x v="7"/>
    <m/>
    <x v="81"/>
    <n v="1.1000000000000001"/>
    <x v="37"/>
    <n v="36200"/>
    <n v="14980"/>
    <n v="39"/>
    <n v="21220"/>
    <n v="12944.2"/>
    <s v="грин01991"/>
    <x v="83"/>
  </r>
  <r>
    <s v="Акт входного контроля грин01992 от 09.11.2025 20:41:16"/>
    <n v="3017"/>
    <n v="350"/>
    <x v="9"/>
    <s v="Жданов Андрей Иванович"/>
    <s v="С707ОУ"/>
    <x v="35"/>
    <x v="1"/>
    <x v="7"/>
    <m/>
    <x v="81"/>
    <n v="1"/>
    <x v="37"/>
    <n v="34090"/>
    <n v="14640"/>
    <n v="43"/>
    <n v="19450"/>
    <n v="11086.5"/>
    <s v="грин01992"/>
    <x v="83"/>
  </r>
  <r>
    <s v="Акт входного контроля грин01993 от 09.11.2025 22:25:29"/>
    <n v="3018"/>
    <n v="351"/>
    <x v="9"/>
    <s v="Погуляй А.Б.       "/>
    <s v="О824ТХ"/>
    <x v="35"/>
    <x v="1"/>
    <x v="7"/>
    <m/>
    <x v="81"/>
    <n v="1.6"/>
    <x v="37"/>
    <n v="50930"/>
    <n v="18800"/>
    <n v="27"/>
    <n v="32130"/>
    <n v="23454.9"/>
    <s v="грин01993"/>
    <x v="83"/>
  </r>
  <r>
    <s v="Акт входного контроля грин01994 от 09.11.2025 22:58:02"/>
    <n v="3019"/>
    <n v="353"/>
    <x v="9"/>
    <s v="Фомин Николай Григорьевич"/>
    <s v="А731ВА"/>
    <x v="35"/>
    <x v="1"/>
    <x v="7"/>
    <m/>
    <x v="81"/>
    <n v="0.6"/>
    <x v="37"/>
    <n v="26840"/>
    <n v="14980"/>
    <n v="37"/>
    <n v="11860"/>
    <n v="7471.8"/>
    <s v="грин01994"/>
    <x v="83"/>
  </r>
  <r>
    <s v="Акт входного контроля грин01995 от 09.11.2025 23:06:59"/>
    <n v="3020"/>
    <n v="352"/>
    <x v="9"/>
    <s v="Мудрак Вадим Васильевич"/>
    <s v="Х514ОК"/>
    <x v="35"/>
    <x v="1"/>
    <x v="7"/>
    <m/>
    <x v="81"/>
    <n v="1"/>
    <x v="37"/>
    <n v="45980"/>
    <n v="21380"/>
    <n v="35"/>
    <n v="24600"/>
    <n v="15990"/>
    <s v="грин01995"/>
    <x v="83"/>
  </r>
  <r>
    <s v="Акт входного контроля грин01996 от 05.11.2025 5:05:10"/>
    <n v="2932"/>
    <n v="8336"/>
    <x v="9"/>
    <s v="Дик Илья Александрович"/>
    <s v="М556ХВ"/>
    <x v="32"/>
    <x v="15"/>
    <x v="7"/>
    <m/>
    <x v="77"/>
    <n v="0.5"/>
    <x v="34"/>
    <n v="49130"/>
    <n v="15960"/>
    <n v="19"/>
    <n v="5040"/>
    <n v="4082.4"/>
    <s v="грин01996"/>
    <x v="8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AB73B0-7179-48D9-B8DC-73491C05316C}" name="Сводная таблица6" cacheId="7" applyNumberFormats="0" applyBorderFormats="0" applyFontFormats="0" applyPatternFormats="0" applyAlignmentFormats="0" applyWidthHeightFormats="1" dataCaption="Значения" updatedVersion="8" minRefreshableVersion="3" itemPrintTitles="1" createdVersion="8" indent="0" outline="1" outlineData="1" multipleFieldFilters="0" rowHeaderCaption="КА/Культура/Поле/Сорт/Дата уборки">
  <location ref="B7:H32" firstHeaderRow="0" firstDataRow="1" firstDataCol="1" rowPageCount="2" colPageCount="1"/>
  <pivotFields count="22">
    <pivotField showAll="0"/>
    <pivotField numFmtId="222" showAll="0"/>
    <pivotField showAll="0"/>
    <pivotField axis="axisPage" multipleItemSelectionAllowed="1" showAll="0">
      <items count="17">
        <item h="1" m="1" x="10"/>
        <item h="1" sd="0" x="0"/>
        <item h="1" sd="0" x="1"/>
        <item h="1" m="1" x="13"/>
        <item h="1" m="1" x="11"/>
        <item h="1" m="1" x="12"/>
        <item x="5"/>
        <item x="6"/>
        <item h="1" m="1" x="14"/>
        <item h="1" m="1" x="15"/>
        <item x="7"/>
        <item x="8"/>
        <item x="2"/>
        <item x="3"/>
        <item x="4"/>
        <item x="9"/>
        <item t="default"/>
      </items>
    </pivotField>
    <pivotField showAll="0"/>
    <pivotField showAll="0"/>
    <pivotField showAll="0">
      <items count="43">
        <item sd="0" x="1"/>
        <item x="0"/>
        <item sd="0" x="2"/>
        <item sd="0" x="3"/>
        <item sd="0" x="4"/>
        <item sd="0" x="5"/>
        <item x="7"/>
        <item x="6"/>
        <item m="1" x="38"/>
        <item m="1" x="39"/>
        <item m="1" x="40"/>
        <item m="1" x="41"/>
        <item x="8"/>
        <item sd="0" x="9"/>
        <item sd="0" x="10"/>
        <item sd="0" x="11"/>
        <item sd="0" x="12"/>
        <item sd="0" x="13"/>
        <item sd="0" x="14"/>
        <item sd="0" x="15"/>
        <item sd="0" x="17"/>
        <item m="1" x="36"/>
        <item x="18"/>
        <item x="19"/>
        <item x="20"/>
        <item x="21"/>
        <item x="22"/>
        <item x="23"/>
        <item x="24"/>
        <item x="25"/>
        <item x="26"/>
        <item x="27"/>
        <item x="34"/>
        <item m="1" x="37"/>
        <item x="29"/>
        <item x="30"/>
        <item x="31"/>
        <item x="32"/>
        <item x="33"/>
        <item x="35"/>
        <item x="16"/>
        <item x="28"/>
        <item t="default"/>
      </items>
    </pivotField>
    <pivotField axis="axisRow" showAll="0">
      <items count="18">
        <item sd="0" x="2"/>
        <item sd="0" x="3"/>
        <item sd="0" x="0"/>
        <item sd="0" x="1"/>
        <item m="1" x="16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t="default"/>
      </items>
    </pivotField>
    <pivotField axis="axisRow" showAll="0">
      <items count="13">
        <item x="2"/>
        <item sd="0" x="1"/>
        <item sd="0" m="1" x="11"/>
        <item x="3"/>
        <item m="1" x="9"/>
        <item sd="0" x="0"/>
        <item sd="0" m="1" x="8"/>
        <item sd="0" x="4"/>
        <item sd="0" m="1" x="10"/>
        <item sd="0" x="5"/>
        <item sd="0" x="6"/>
        <item sd="0" x="7"/>
        <item t="default" sd="0"/>
      </items>
    </pivotField>
    <pivotField showAll="0"/>
    <pivotField axis="axisRow" multipleItemSelectionAllowed="1" showAll="0">
      <items count="83">
        <item sd="0" x="1"/>
        <item sd="0" x="2"/>
        <item sd="0" x="3"/>
        <item sd="0" x="4"/>
        <item sd="0" x="0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3"/>
        <item sd="0" x="22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8"/>
        <item sd="0" x="35"/>
        <item sd="0" x="36"/>
        <item sd="0" x="37"/>
        <item sd="0" x="39"/>
        <item sd="0" x="40"/>
        <item sd="0" x="41"/>
        <item sd="0" x="43"/>
        <item sd="0" x="42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5"/>
        <item sd="0" x="64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x="79"/>
        <item x="80"/>
        <item x="81"/>
        <item t="default" sd="0"/>
      </items>
    </pivotField>
    <pivotField dataField="1" showAll="0"/>
    <pivotField axis="axisRow" showAll="0">
      <items count="39">
        <item sd="0" x="0"/>
        <item sd="0" x="2"/>
        <item sd="0" x="1"/>
        <item sd="0" x="3"/>
        <item sd="0" x="4"/>
        <item sd="0" x="5"/>
        <item sd="0" x="12"/>
        <item sd="0" x="10"/>
        <item sd="0" x="14"/>
        <item sd="0" x="13"/>
        <item sd="0" x="15"/>
        <item sd="0" x="9"/>
        <item sd="0" x="11"/>
        <item sd="0" x="8"/>
        <item sd="0" x="6"/>
        <item sd="0" x="7"/>
        <item x="16"/>
        <item x="17"/>
        <item x="18"/>
        <item sd="0" x="19"/>
        <item sd="0" x="20"/>
        <item sd="0" x="21"/>
        <item sd="0" x="22"/>
        <item sd="0" x="23"/>
        <item sd="0" x="24"/>
        <item sd="0" x="25"/>
        <item sd="0" x="27"/>
        <item sd="0" x="26"/>
        <item sd="0" x="29"/>
        <item x="28"/>
        <item sd="0" x="31"/>
        <item sd="0" x="32"/>
        <item sd="0" x="33"/>
        <item sd="0" x="34"/>
        <item sd="0" x="35"/>
        <item sd="0" x="36"/>
        <item sd="0" x="30"/>
        <item sd="0" x="37"/>
        <item t="default"/>
      </items>
    </pivotField>
    <pivotField numFmtId="175" showAll="0"/>
    <pivotField numFmtId="175" showAll="0"/>
    <pivotField numFmtId="170" showAll="0"/>
    <pivotField dataField="1" numFmtId="175" showAll="0"/>
    <pivotField dataField="1" numFmtId="175" showAll="0"/>
    <pivotField showAll="0"/>
    <pivotField axis="axisPage" numFmtId="14" multipleItemSelectionAllowed="1" showAll="0">
      <items count="8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6"/>
        <item x="27"/>
        <item x="25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dataField="1" dragToRow="0" dragToCol="0" dragToPage="0" showAll="0" defaultSubtotal="0"/>
    <pivotField dataField="1" dragToRow="0" dragToCol="0" dragToPage="0" showAll="0" defaultSubtotal="0"/>
  </pivotFields>
  <rowFields count="4">
    <field x="8"/>
    <field x="12"/>
    <field x="7"/>
    <field x="10"/>
  </rowFields>
  <rowItems count="25">
    <i>
      <x/>
    </i>
    <i r="1">
      <x v="1"/>
    </i>
    <i r="1">
      <x v="2"/>
    </i>
    <i r="1">
      <x v="3"/>
    </i>
    <i r="1">
      <x v="4"/>
    </i>
    <i r="1">
      <x v="5"/>
    </i>
    <i r="1">
      <x v="13"/>
    </i>
    <i r="1">
      <x v="14"/>
    </i>
    <i r="1">
      <x v="15"/>
    </i>
    <i>
      <x v="1"/>
    </i>
    <i>
      <x v="3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5"/>
    </i>
    <i>
      <x v="7"/>
    </i>
    <i>
      <x v="9"/>
    </i>
    <i>
      <x v="10"/>
    </i>
    <i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2">
    <pageField fld="3" hier="-1"/>
    <pageField fld="19" hier="-1"/>
  </pageFields>
  <dataFields count="6">
    <dataField name="Количество  рейсов" fld="16" subtotal="count" baseField="10" baseItem="66" numFmtId="3"/>
    <dataField name=" Площадь уборки, га" fld="11" baseField="7" baseItem="11" numFmtId="175"/>
    <dataField name="Физ. вес, кг" fld="16" baseField="3" baseItem="0" numFmtId="3"/>
    <dataField name=" Зачетный вес, кг" fld="17" baseField="10" baseItem="1" numFmtId="3"/>
    <dataField name=" Урожайность физ.вес, т/га" fld="20" baseField="7" baseItem="1" numFmtId="175"/>
    <dataField name=" Урожайность зач.вес, т/га" fld="21" baseField="6" baseItem="0" numFmtId="175"/>
  </dataFields>
  <formats count="22">
    <format dxfId="237">
      <pivotArea field="6" type="button" dataOnly="0" labelOnly="1" outline="0"/>
    </format>
    <format dxfId="23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235">
      <pivotArea outline="0" fieldPosition="0">
        <references count="1">
          <reference field="4294967294" count="1">
            <x v="5"/>
          </reference>
        </references>
      </pivotArea>
    </format>
    <format dxfId="234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33">
      <pivotArea field="6" type="button" dataOnly="0" labelOnly="1" outline="0"/>
    </format>
    <format dxfId="232">
      <pivotArea dataOnly="0" labelOnly="1" outline="0" fieldPosition="0">
        <references count="1">
          <reference field="4294967294" count="5">
            <x v="1"/>
            <x v="2"/>
            <x v="3"/>
            <x v="4"/>
            <x v="5"/>
          </reference>
        </references>
      </pivotArea>
    </format>
    <format dxfId="231">
      <pivotArea field="6" type="button" dataOnly="0" labelOnly="1" outline="0"/>
    </format>
    <format dxfId="230">
      <pivotArea dataOnly="0" labelOnly="1" outline="0" fieldPosition="0">
        <references count="1">
          <reference field="4294967294" count="5">
            <x v="1"/>
            <x v="2"/>
            <x v="3"/>
            <x v="4"/>
            <x v="5"/>
          </reference>
        </references>
      </pivotArea>
    </format>
    <format dxfId="229">
      <pivotArea outline="0" fieldPosition="0">
        <references count="1">
          <reference field="4294967294" count="1">
            <x v="1"/>
          </reference>
        </references>
      </pivotArea>
    </format>
    <format dxfId="228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227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226">
      <pivotArea type="all" dataOnly="0" outline="0" fieldPosition="0"/>
    </format>
    <format dxfId="225">
      <pivotArea outline="0" collapsedLevelsAreSubtotals="1" fieldPosition="0"/>
    </format>
    <format dxfId="224">
      <pivotArea field="8" type="button" dataOnly="0" labelOnly="1" outline="0" axis="axisRow" fieldPosition="0"/>
    </format>
    <format dxfId="223">
      <pivotArea dataOnly="0" labelOnly="1" fieldPosition="0">
        <references count="1">
          <reference field="8" count="1">
            <x v="9"/>
          </reference>
        </references>
      </pivotArea>
    </format>
    <format dxfId="222">
      <pivotArea dataOnly="0" labelOnly="1" grandRow="1" outline="0" fieldPosition="0"/>
    </format>
    <format dxfId="221">
      <pivotArea dataOnly="0" labelOnly="1" fieldPosition="0">
        <references count="2">
          <reference field="8" count="1" selected="0">
            <x v="9"/>
          </reference>
          <reference field="12" count="4">
            <x v="24"/>
            <x v="25"/>
            <x v="27"/>
            <x v="29"/>
          </reference>
        </references>
      </pivotArea>
    </format>
    <format dxfId="220">
      <pivotArea dataOnly="0" labelOnly="1" outline="0" fieldPosition="0">
        <references count="1">
          <reference field="4294967294" count="5">
            <x v="1"/>
            <x v="2"/>
            <x v="3"/>
            <x v="4"/>
            <x v="5"/>
          </reference>
        </references>
      </pivotArea>
    </format>
    <format dxfId="219">
      <pivotArea outline="0" fieldPosition="0">
        <references count="1">
          <reference field="4294967294" count="1">
            <x v="0"/>
          </reference>
        </references>
      </pivotArea>
    </format>
    <format dxfId="21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16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Контрагент" xr10:uid="{EE588271-3DF9-4BF5-BE8A-97910321017E}" sourceName="Контрагент">
  <pivotTables>
    <pivotTable tabId="26" name="Сводная таблица6"/>
  </pivotTables>
  <data>
    <tabular pivotCacheId="441440967">
      <items count="16">
        <i x="6" s="1"/>
        <i x="5" s="1"/>
        <i x="4" s="1"/>
        <i x="2" s="1"/>
        <i x="3" s="1"/>
        <i x="9" s="1"/>
        <i x="0"/>
        <i x="7" s="1"/>
        <i x="8" s="1"/>
        <i x="1"/>
        <i x="14" nd="1"/>
        <i x="12" nd="1"/>
        <i x="10" nd="1"/>
        <i x="11" nd="1"/>
        <i x="15" nd="1"/>
        <i x="13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Контрагент" xr10:uid="{D59B873E-744D-4D7C-BC79-27C135FA0E43}" cache="Срез_Контрагент" caption="Контрагент" columnCount="10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BE6F110-9FD9-4A85-9E91-1EB1EA131AC1}" name="Таблица2" displayName="Таблица2" ref="A1:Q1466" totalsRowCount="1" headerRowDxfId="215" dataDxfId="214" totalsRowDxfId="212" tableBorderDxfId="213">
  <autoFilter ref="A1:Q1465" xr:uid="{0BE6F110-9FD9-4A85-9E91-1EB1EA131AC1}"/>
  <tableColumns count="17">
    <tableColumn id="1" xr3:uid="{E6D1363A-5959-4B10-AC0D-DC916EC3C662}" name="Документ" dataDxfId="211" totalsRowDxfId="210"/>
    <tableColumn id="2" xr3:uid="{4C23DA98-86E4-4AE0-837A-3D9760A2EF7A}" name="Номер взвешивания" dataDxfId="209" totalsRowDxfId="208"/>
    <tableColumn id="3" xr3:uid="{2C5A43AC-12B6-4DE2-9C7D-B2C4DD8EF606}" name="Номер вх.  док." dataDxfId="207" totalsRowDxfId="206"/>
    <tableColumn id="4" xr3:uid="{CCBE79FD-6122-4A6F-9CC3-D4C5AC2AC2A2}" name="Контрагент" dataDxfId="205" totalsRowDxfId="204"/>
    <tableColumn id="5" xr3:uid="{AA841C0F-AE5E-47BA-B147-6092F6B2CE1F}" name="Водитель" dataDxfId="203" totalsRowDxfId="202"/>
    <tableColumn id="6" xr3:uid="{FEF950A0-BD82-4F80-8DFD-DE09C758A90B}" name="Автомобиль" dataDxfId="201" totalsRowDxfId="200"/>
    <tableColumn id="7" xr3:uid="{013B5232-DFF3-483D-A588-9E17DA75FB5E}" name="Номер поля" dataDxfId="199" totalsRowDxfId="198"/>
    <tableColumn id="8" xr3:uid="{4BB72825-4D8B-40EA-A8E3-20341BD9F3C3}" name="Хар-ка" dataDxfId="197" totalsRowDxfId="196"/>
    <tableColumn id="9" xr3:uid="{7C8C6905-A626-49B5-A804-581597F31EE6}" name="Исх. номенклатура" dataDxfId="195" totalsRowDxfId="194"/>
    <tableColumn id="10" xr3:uid="{099AFFA4-408F-42C2-A11C-10F8BDEAC881}" name="Вес брутто" dataDxfId="193" totalsRowDxfId="192"/>
    <tableColumn id="11" xr3:uid="{A5A3CE46-814E-4B22-B5C8-6504FE4D1EE4}" name="Вес тары" dataDxfId="191" totalsRowDxfId="190"/>
    <tableColumn id="12" xr3:uid="{A4DB306E-A9CA-4DCE-B0E6-13EB1AB37BB4}" name="% отходов сверх допуска" dataDxfId="189" totalsRowDxfId="188"/>
    <tableColumn id="13" xr3:uid="{F720ACD8-84FC-400B-B2D5-52967EB5F8D5}" name="Вес нетто" totalsRowFunction="sum" dataDxfId="187" totalsRowDxfId="186"/>
    <tableColumn id="14" xr3:uid="{782F7D29-E09A-4DD8-9B24-591AC8CEC82A}" name="Зачетный вес" dataDxfId="185" totalsRowDxfId="184"/>
    <tableColumn id="15" xr3:uid="{CA00A765-F78A-4611-BFB9-7AFC04E7DEB5}" name="Номер акта" dataDxfId="183" totalsRowDxfId="182"/>
    <tableColumn id="16" xr3:uid="{FC6B1B08-C1BF-4CE8-847B-983EC007EEE1}" name="Дата акта" dataDxfId="181" totalsRowDxfId="180"/>
    <tableColumn id="17" xr3:uid="{9160A598-6D60-4A38-8E70-95DCF0110473}" name="Время акта" dataDxfId="179" totalsRowDxfId="17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52F87E9-1A93-4856-8F7D-54DA05B9D6DB}" name="Таблица16" displayName="Таблица16" ref="A1:P1461" totalsRowCount="1" headerRowDxfId="177" dataDxfId="176">
  <autoFilter ref="A1:P1460" xr:uid="{552F87E9-1A93-4856-8F7D-54DA05B9D6DB}"/>
  <sortState xmlns:xlrd2="http://schemas.microsoft.com/office/spreadsheetml/2017/richdata2" ref="A2:P1460">
    <sortCondition ref="O1:O1460"/>
  </sortState>
  <tableColumns count="16">
    <tableColumn id="1" xr3:uid="{A968FB26-670C-4D7B-A0FA-171268DA6670}" name="Документ" dataDxfId="175" totalsRowDxfId="174"/>
    <tableColumn id="2" xr3:uid="{E2A22CB1-A8D0-4930-AEFE-AF048B350824}" name="Номер взвешивания" dataDxfId="173" totalsRowDxfId="172"/>
    <tableColumn id="3" xr3:uid="{44AF9221-2EBC-4154-BEAB-91283141A39B}" name="Номер вх.  док." dataDxfId="171" totalsRowDxfId="170"/>
    <tableColumn id="4" xr3:uid="{62F55ED9-5949-49A2-BD65-3ECB0F9BF3B9}" name="Контрагент" dataDxfId="169" totalsRowDxfId="168"/>
    <tableColumn id="5" xr3:uid="{5EFA7C19-F508-4380-AFB0-ACE8B3F15DF6}" name="Водитель" dataDxfId="167" totalsRowDxfId="166"/>
    <tableColumn id="6" xr3:uid="{073B68FE-01D9-4B0B-9D6E-FA891AD7E8BB}" name="Автомобиль" dataDxfId="165" totalsRowDxfId="164"/>
    <tableColumn id="7" xr3:uid="{5A104283-3C69-4366-9839-1FC00929F1D6}" name="Номер поля" dataDxfId="163" totalsRowDxfId="162"/>
    <tableColumn id="8" xr3:uid="{000E08D9-6022-451C-AC93-405B48736A61}" name="Хар-ка" dataDxfId="161" totalsRowDxfId="160"/>
    <tableColumn id="9" xr3:uid="{9A7F0151-7475-40ED-903D-01669FD26E03}" name="Исх. номенклатура" dataDxfId="159" totalsRowDxfId="158"/>
    <tableColumn id="10" xr3:uid="{569DA8DF-EF15-47D0-96C0-1BEF730CA4CC}" name="Вес брутто" dataDxfId="157" totalsRowDxfId="156"/>
    <tableColumn id="11" xr3:uid="{A80E8EE8-9A8B-486D-B340-8990ECBD9B46}" name="Вес тары" dataDxfId="155" totalsRowDxfId="154"/>
    <tableColumn id="12" xr3:uid="{B877EB2B-FB29-4FA0-BC90-09628B517712}" name="% отходов сверх допуска" dataDxfId="153" totalsRowDxfId="152"/>
    <tableColumn id="13" xr3:uid="{99CB3345-6144-454B-A374-AEBB2FF80FF5}" name="Вес нетто" totalsRowFunction="sum" dataDxfId="151" totalsRowDxfId="150"/>
    <tableColumn id="14" xr3:uid="{FB6EFD99-E98C-4FF1-AA8A-7A73BD13DB32}" name="Зачетный вес" dataDxfId="149" totalsRowDxfId="148"/>
    <tableColumn id="15" xr3:uid="{140A8927-27D9-44D5-B2BA-EF28CFD8AD7D}" name="№ акта" dataDxfId="147" totalsRowDxfId="146"/>
    <tableColumn id="16" xr3:uid="{E2FCB440-2CF1-4552-9DC9-D256A30AAD07}" name="Дата акта" dataDxfId="145" totalsRowDxfId="1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9DF47FB-8784-4F6B-9E54-45F35D38575E}" name="Таблица4" displayName="Таблица4" ref="A1:W58" totalsRowCount="1" headerRowDxfId="143" dataDxfId="142" tableBorderDxfId="141">
  <autoFilter ref="A1:W57" xr:uid="{E9DF47FB-8784-4F6B-9E54-45F35D38575E}">
    <filterColumn colId="4">
      <customFilters>
        <customFilter operator="notEqual" val=" "/>
      </customFilters>
    </filterColumn>
  </autoFilter>
  <tableColumns count="23">
    <tableColumn id="1" xr3:uid="{BE5ECDE8-40C6-44C5-9B59-B5ED5E4691E7}" name="Культура" dataDxfId="140" totalsRowDxfId="139"/>
    <tableColumn id="2" xr3:uid="{1D0AE8C8-0023-4E4E-9ACB-A178DB7BBEBB}" name="Поле" dataDxfId="138" totalsRowDxfId="137"/>
    <tableColumn id="3" xr3:uid="{2D56407A-C0A8-406F-A4EB-145C259A3873}" name="Сорт семян (полное название)_x000a_акт" dataDxfId="136" totalsRowDxfId="135"/>
    <tableColumn id="8" xr3:uid="{AFFC7D35-4CA1-4592-9B91-B165A3F50B17}" name="Сорт семян_x000a_акт" dataDxfId="134" totalsRowDxfId="133"/>
    <tableColumn id="23" xr3:uid="{678A75B9-B0DE-444E-B9C6-16098AE3856B}" name="Сорт семян_x000a_агро" dataDxfId="132" totalsRowDxfId="131"/>
    <tableColumn id="17" xr3:uid="{AEBE7891-C56F-4D33-B262-E90C17FD2ACF}" name="Сроки сева" dataDxfId="130" totalsRowDxfId="129"/>
    <tableColumn id="18" xr3:uid="{3E5A0D70-5B5B-4F07-BE26-01DF4FDF97EE}" name="Сроки уборки" dataDxfId="128" totalsRowDxfId="127"/>
    <tableColumn id="4" xr3:uid="{986028FA-CDD8-4D43-8EE3-D2FF282BDEFD}" name="Площадь поля, га" dataDxfId="126" totalsRowDxfId="125"/>
    <tableColumn id="5" xr3:uid="{468E1C1B-0FAE-4DA6-878C-25CC2098E02F}" name="Площадь внесения, га" totalsRowFunction="sum" dataDxfId="124" totalsRowDxfId="123"/>
    <tableColumn id="6" xr3:uid="{DBD8FF60-1E0E-460F-AAAE-87313AA1FBAE}" name="Количество внесения, п.е." totalsRowFunction="sum" dataDxfId="122" totalsRowDxfId="121"/>
    <tableColumn id="7" xr3:uid="{0AB7A613-251F-4CBF-8869-D791F5668CAE}" name="Норма высева факт, п.е./га" totalsRowFunction="custom" dataDxfId="120" totalsRowDxfId="119">
      <calculatedColumnFormula>Таблица4[[#This Row],[Количество внесения, п.е.]]/Таблица4[[#This Row],[Площадь внесения, га]]</calculatedColumnFormula>
      <totalsRowFormula>Таблица4[[#Totals],[Количество внесения, п.е.]]/Таблица4[[#Totals],[Площадь внесения, га]]</totalsRowFormula>
    </tableColumn>
    <tableColumn id="9" xr3:uid="{6AF9CD55-281B-4B41-AE5F-43F70BCCAD45}" name="Урожайность план, т/га" totalsRowFunction="custom" dataDxfId="118" totalsRowDxfId="117">
      <totalsRowFormula>Таблица4[[#Totals],[Валовый сбор план, т]]/Таблица4[[#Totals],[Площадь внесения, га]]</totalsRowFormula>
    </tableColumn>
    <tableColumn id="10" xr3:uid="{2EC5136C-B05B-4FA4-B728-B3AC236B2DB4}" name="Валовый сбор план, т" totalsRowFunction="sum" dataDxfId="116" totalsRowDxfId="115">
      <calculatedColumnFormula>Таблица4[[#This Row],[Урожайность план, т/га]]*Таблица4[[#This Row],[Площадь внесения, га]]</calculatedColumnFormula>
    </tableColumn>
    <tableColumn id="11" xr3:uid="{67A09348-2553-4BBA-B820-96C1BA441F38}" name="Рефакция план, %" totalsRowFunction="custom" dataDxfId="114" totalsRowDxfId="113">
      <totalsRowFormula>1-Таблица4[[#Totals],[Зачетный вес план, т]]/Таблица4[[#Totals],[Валовый сбор план, т]]</totalsRowFormula>
    </tableColumn>
    <tableColumn id="12" xr3:uid="{3DAA0BB7-0E67-44B2-A4FC-6E251EEC803A}" name="Зачетный вес план, т" totalsRowFunction="sum" dataDxfId="112" totalsRowDxfId="111">
      <calculatedColumnFormula>Таблица4[[#This Row],[Валовый сбор план, т]]*(1-Таблица4[[#This Row],[Рефакция план, %]])</calculatedColumnFormula>
    </tableColumn>
    <tableColumn id="19" xr3:uid="{1B4F6E33-5756-4120-94E7-0DB1C03B16C0}" name="Площадь уборки, га" totalsRowFunction="sum" dataDxfId="110" totalsRowDxfId="109"/>
    <tableColumn id="20" xr3:uid="{47A4B653-E5EC-43FE-8847-BABEDE8F5602}" name="Остаток, га" totalsRowFunction="sum" dataDxfId="108" totalsRowDxfId="107">
      <calculatedColumnFormula>Таблица4[[#This Row],[Площадь внесения, га]]-Таблица4[[#This Row],[Площадь уборки, га]]</calculatedColumnFormula>
    </tableColumn>
    <tableColumn id="21" xr3:uid="{CA88A311-DB11-4EF8-A36D-2802FAF43428}" name="в т.ч. Бросили, га" totalsRowFunction="sum" dataDxfId="106" totalsRowDxfId="105"/>
    <tableColumn id="13" xr3:uid="{956C8D2C-A805-464F-96A7-BD8492485D64}" name="Урожайность факт, т/га" totalsRowFunction="custom" dataDxfId="104" totalsRowDxfId="103">
      <calculatedColumnFormula>IFERROR(Таблица4[[#This Row],[Валовый сбор факт, т]]/Таблица4[[#This Row],[Площадь уборки, га]], "-")</calculatedColumnFormula>
      <totalsRowFormula>Таблица4[[#Totals],[Валовый сбор факт, т]]/Таблица4[[#Totals],[Площадь уборки, га]]</totalsRowFormula>
    </tableColumn>
    <tableColumn id="14" xr3:uid="{FF54FF03-07C1-40DB-AC68-905E9025B22B}" name="Валовый сбор факт, т" totalsRowFunction="sum" dataDxfId="102" totalsRowDxfId="101"/>
    <tableColumn id="15" xr3:uid="{CDBE0210-0932-4F35-B295-15715C6CAD7F}" name="Рефакция факт, %" totalsRowFunction="custom" dataDxfId="100" totalsRowDxfId="99">
      <calculatedColumnFormula>IFERROR(1-Таблица4[[#This Row],[Зачетный вес факт, т]]/Таблица4[[#This Row],[Валовый сбор факт, т]], "-")</calculatedColumnFormula>
      <totalsRowFormula>1-Таблица4[[#Totals],[Зачетный вес факт, т]]/Таблица4[[#Totals],[Валовый сбор факт, т]]</totalsRowFormula>
    </tableColumn>
    <tableColumn id="16" xr3:uid="{375A89BB-E842-45F0-8069-29606B141A96}" name="Зачетный вес факт, т" totalsRowFunction="sum" dataDxfId="98" totalsRowDxfId="97"/>
    <tableColumn id="22" xr3:uid="{C5AA7A2C-95A3-42C8-94E3-FC17CF774114}" name="Примечание" dataDxfId="9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211A19-4E61-4B6D-ADBA-C21A608E2EF4}" name="Таблица24" displayName="Таблица24" ref="A1:T1461" totalsRowCount="1" headerRowDxfId="95" dataDxfId="94" totalsRowDxfId="92" tableBorderDxfId="93">
  <autoFilter ref="A1:T1460" xr:uid="{70211A19-4E61-4B6D-ADBA-C21A608E2EF4}">
    <filterColumn colId="3">
      <filters>
        <filter val="КОЛОС ООО"/>
      </filters>
    </filterColumn>
    <filterColumn colId="7">
      <filters>
        <filter val="Генератор"/>
      </filters>
    </filterColumn>
    <filterColumn colId="12">
      <filters>
        <filter val="4.2 Колос"/>
      </filters>
    </filterColumn>
  </autoFilter>
  <tableColumns count="20">
    <tableColumn id="1" xr3:uid="{7EADEFEB-42E1-4F94-8557-682E51F5296C}" name="Документ" dataDxfId="91" totalsRowDxfId="90"/>
    <tableColumn id="2" xr3:uid="{1FDD99DD-51B8-42BA-BB6F-4FB71A54D33A}" name="Номер взвешивания" dataDxfId="89" totalsRowDxfId="88"/>
    <tableColumn id="3" xr3:uid="{71A4CF11-3937-4F8A-A78A-CDACBA4FBB18}" name="Номер вх.  док." dataDxfId="87" totalsRowDxfId="86"/>
    <tableColumn id="4" xr3:uid="{34DC4FBC-EB47-4CA1-9E95-23EFBDF9FBF8}" name="Контрагент" dataDxfId="85" totalsRowDxfId="84"/>
    <tableColumn id="5" xr3:uid="{FDE7FAD8-C96E-4E4B-85FF-BDCBE5614EEC}" name="Водитель" dataDxfId="83" totalsRowDxfId="82"/>
    <tableColumn id="6" xr3:uid="{530E6045-6C27-416F-B11F-52AE53D14E2E}" name="Автомобиль" dataDxfId="81" totalsRowDxfId="80"/>
    <tableColumn id="7" xr3:uid="{BB34109D-1AB3-4495-831A-F59EF721B0E4}" name="Номер поля" dataDxfId="79" totalsRowDxfId="78"/>
    <tableColumn id="8" xr3:uid="{B68F52E4-C0DA-4964-8093-676764442316}" name="Хар-ка" dataDxfId="77" totalsRowDxfId="76"/>
    <tableColumn id="9" xr3:uid="{13BBDD28-16F4-4E01-B34F-F181F89AB893}" name="Исх. номенклатура" dataDxfId="75" totalsRowDxfId="74"/>
    <tableColumn id="18" xr3:uid="{2EC6E28C-4800-46A8-A56B-BFE894512AB9}" name="Вес нетто ЗАКУПКА" totalsRowFunction="sum" dataDxfId="73" totalsRowDxfId="72"/>
    <tableColumn id="19" xr3:uid="{13AFEA60-B1F8-48DE-A98F-48B96B35F145}" name="Дата уборки" dataDxfId="71" totalsRowDxfId="70"/>
    <tableColumn id="20" xr3:uid="{1C24D71D-E2C1-4D2A-8646-737D2C2F5AE7}" name="Площадь уборки, га" totalsRowFunction="sum" dataDxfId="69" totalsRowDxfId="68"/>
    <tableColumn id="21" xr3:uid="{DF43B649-2C18-44D5-B254-93B662E65A5F}" name="Поле уточн" dataDxfId="67" totalsRowDxfId="66"/>
    <tableColumn id="10" xr3:uid="{E1E4F9BF-92AA-400C-9880-43F046FB72D8}" name="Вес брутто" dataDxfId="65" totalsRowDxfId="64"/>
    <tableColumn id="11" xr3:uid="{8073F292-48C8-4CAD-8FE5-5C22C21A989A}" name="Вес тары" dataDxfId="63" totalsRowDxfId="62"/>
    <tableColumn id="12" xr3:uid="{D25209BF-3198-4D95-B708-6517AD3E0630}" name="% отходов сверх допуска" dataDxfId="61" totalsRowDxfId="60"/>
    <tableColumn id="13" xr3:uid="{B950A254-780C-40E7-8119-8E6B736C8038}" name="Вес нетто" totalsRowFunction="sum" dataDxfId="59" totalsRowDxfId="58"/>
    <tableColumn id="14" xr3:uid="{4B59BCBC-FB01-4FB6-9B5B-564BE5B2B50F}" name="Зачетный вес" totalsRowFunction="sum" dataDxfId="57" totalsRowDxfId="56"/>
    <tableColumn id="15" xr3:uid="{E50EF0B4-8D3F-4433-B881-7CF2DA139700}" name="Номер акта" dataDxfId="55" totalsRowDxfId="54"/>
    <tableColumn id="16" xr3:uid="{D9C18641-7432-484E-B381-04522A3617E3}" name="Дата акта" dataDxfId="53" totalsRowDxfId="52"/>
  </tableColumns>
  <tableStyleInfo name="TableStyleLight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7F2853B-5211-419C-A6E4-76FF8727774B}" name="Таблица7" displayName="Таблица7" ref="A1:U192" totalsRowCount="1">
  <autoFilter ref="A1:U191" xr:uid="{F7F2853B-5211-419C-A6E4-76FF8727774B}"/>
  <tableColumns count="21">
    <tableColumn id="1" xr3:uid="{F2286AE3-4304-4B94-ABF5-85C96AA73F80}" name="Документ"/>
    <tableColumn id="2" xr3:uid="{20908FC8-F1FB-4168-A72C-87FC7028627F}" name="Номер взвешивания"/>
    <tableColumn id="3" xr3:uid="{8EDB1D26-966F-4A3D-ACA7-09424A5E2CF8}" name="Номер вх.  док."/>
    <tableColumn id="4" xr3:uid="{00E0B0EF-2809-4FB5-92FA-E3355AA0D6A2}" name="Контрагент"/>
    <tableColumn id="5" xr3:uid="{028374C1-EDF4-48F4-A0F4-58E4D0BBAD95}" name="Водитель"/>
    <tableColumn id="6" xr3:uid="{A5A1520C-0E4D-47C7-9F09-3D995E1773CE}" name="Автомобиль"/>
    <tableColumn id="7" xr3:uid="{44A108A6-17E4-4479-A849-FDD46AE18D50}" name="Номер поля"/>
    <tableColumn id="8" xr3:uid="{D225FC17-4602-4612-8EAB-65811CCC4608}" name="Хар-ка"/>
    <tableColumn id="9" xr3:uid="{93969363-15FD-4E5B-9290-AE29AD3CF421}" name="Исх. номенклатура"/>
    <tableColumn id="10" xr3:uid="{A674BE46-9006-4D83-B11A-D2053B4920FF}" name="Закупка"/>
    <tableColumn id="11" xr3:uid="{79FDAD4C-9C97-412A-B503-B404D49B3ADA}" name="Дата уборки" dataDxfId="51" totalsRowDxfId="50">
      <calculatedColumnFormula>ROUND(VLOOKUP(Таблица7[[#This Row],[Номер взвешивания]],#REF!,10,FALSE),1)</calculatedColumnFormula>
    </tableColumn>
    <tableColumn id="12" xr3:uid="{FCCA699F-073D-44A7-885F-D5756C5CBF0D}" name="Площадь уборки, га" totalsRowFunction="sum" dataDxfId="49" totalsRowDxfId="48">
      <calculatedColumnFormula>ROUND(VLOOKUP(Таблица7[[#This Row],[Номер взвешивания]],#REF!,11,FALSE),1)</calculatedColumnFormula>
    </tableColumn>
    <tableColumn id="13" xr3:uid="{F25AACB6-6F72-45F5-B328-220FFA24F4BB}" name="Смена" dataDxfId="47">
      <calculatedColumnFormula>ROUND(VLOOKUP(Таблица7[[#This Row],[Номер взвешивания]],#REF!,12,FALSE),1)</calculatedColumnFormula>
    </tableColumn>
    <tableColumn id="14" xr3:uid="{16A87634-CD05-457E-BA7F-6F9BA9C43018}" name="Вес брутто"/>
    <tableColumn id="15" xr3:uid="{660BAB5D-8E11-4553-B2AD-8A6A5AFC85B4}" name="Вес тары"/>
    <tableColumn id="16" xr3:uid="{58E1573F-EBAB-4807-BFBD-434C18B71DC3}" name="% отходов сверх допуска"/>
    <tableColumn id="17" xr3:uid="{250CD5EB-E595-47EC-AD9F-612B94C8C02E}" name="Вес нетто" totalsRowFunction="sum"/>
    <tableColumn id="18" xr3:uid="{39B93A68-18AE-481D-A627-E49811AC1C40}" name="Зачетный вес" totalsRowFunction="sum"/>
    <tableColumn id="19" xr3:uid="{6495E085-EDE1-411A-9876-6B7593F298B5}" name="Номер акта"/>
    <tableColumn id="20" xr3:uid="{ABB10489-C58F-48E9-99BB-CC1F18A1D4B3}" name="Дата акта"/>
    <tableColumn id="21" xr3:uid="{00C41033-3046-4C0A-9612-DB8B09A25CF5}" name="Примечание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D3C2F0-6851-4FD6-BE5A-ACE00EFEBE04}" name="Таблица1" displayName="Таблица1" ref="A1:V68" totalsRowCount="1" headerRowDxfId="46" dataDxfId="45" totalsRowDxfId="44">
  <autoFilter ref="A1:V67" xr:uid="{4AD3C2F0-6851-4FD6-BE5A-ACE00EFEBE04}">
    <filterColumn colId="0">
      <filters>
        <filter val="Колос"/>
        <filter val="ООО ГРК"/>
      </filters>
    </filterColumn>
    <filterColumn colId="8">
      <filters>
        <filter val="сахарная"/>
      </filters>
    </filterColumn>
  </autoFilter>
  <tableColumns count="22">
    <tableColumn id="1" xr3:uid="{BFE97928-456C-4D8E-8F36-2B82B1CD6F87}" name="Контрагент" dataDxfId="43" totalsRowDxfId="42"/>
    <tableColumn id="3" xr3:uid="{7B37993F-7881-401F-8EAC-89EE8A8904BC}" name="Номер поля агро исх" dataDxfId="41" totalsRowDxfId="40"/>
    <tableColumn id="20" xr3:uid="{00CF7DA8-A5DE-4E48-9F74-E5F23C651C52}" name="Номер поля агро уточн" dataDxfId="39" totalsRowDxfId="38"/>
    <tableColumn id="15" xr3:uid="{C73CFC33-037A-4716-9AEA-40354402841B}" name="Номер поля справочник" dataDxfId="37" totalsRowDxfId="36"/>
    <tableColumn id="14" xr3:uid="{029FA058-46FC-4BCD-9670-C9A4188B8EEA}" name="Дата сева агро" dataDxfId="35" totalsRowDxfId="34"/>
    <tableColumn id="17" xr3:uid="{D08084CA-46EC-43CA-8182-77E07838AA8C}" name="Дата уборки план" dataDxfId="33" totalsRowDxfId="32">
      <calculatedColumnFormula>Таблица1[[#This Row],[Дата сева агро]]+84</calculatedColumnFormula>
    </tableColumn>
    <tableColumn id="2" xr3:uid="{31BEFABC-CC1E-4EA6-AD02-53F4068D7CEB}" name="Дата уборки план_откорр" dataDxfId="31" totalsRowDxfId="30"/>
    <tableColumn id="18" xr3:uid="{7A278765-70E4-42FA-8642-6D6F20135486}" name="Дата уборки факт" dataDxfId="29" totalsRowDxfId="28"/>
    <tableColumn id="22" xr3:uid="{36777976-BF4D-4F9F-8576-4B33E2B84DAB}" name="Вид" dataDxfId="27" totalsRowDxfId="26"/>
    <tableColumn id="4" xr3:uid="{AE5CC3EE-51F1-4E40-AF61-270F6B54F4F8}" name="Сорт агро" dataDxfId="25" totalsRowDxfId="24"/>
    <tableColumn id="16" xr3:uid="{035C2A47-174B-4314-9D72-80EB1423FDED}" name="Сорт акт ERP" dataDxfId="23" totalsRowDxfId="22"/>
    <tableColumn id="5" xr3:uid="{53BC81E1-73E5-4292-90B3-E6D4FE64D8E3}" name="Площадь сева, га" totalsRowFunction="sum" dataDxfId="21" totalsRowDxfId="20"/>
    <tableColumn id="6" xr3:uid="{65F990ED-413E-4848-93D3-AAB8C459BD02}" name="Площадь сева по акту, га" totalsRowFunction="sum" dataDxfId="19" totalsRowDxfId="18"/>
    <tableColumn id="19" xr3:uid="{0999136D-8614-4267-B482-9C492C7FD918}" name="Площадь уборки, га" totalsRowFunction="sum" dataDxfId="17" totalsRowDxfId="16"/>
    <tableColumn id="7" xr3:uid="{D8ABE9E4-97E7-4A17-84A4-51AC348B0695}" name="Остаток площади" totalsRowFunction="sum" dataDxfId="15" totalsRowDxfId="14">
      <calculatedColumnFormula>Таблица1[[#This Row],[Площадь сева, га]]-Таблица1[[#This Row],[Площадь уборки, га]]</calculatedColumnFormula>
    </tableColumn>
    <tableColumn id="8" xr3:uid="{EF3EFEFC-05BA-4887-B9CE-F8116666EBC4}" name="Закрытие, %" dataDxfId="13" totalsRowDxfId="12">
      <calculatedColumnFormula>Таблица1[[#This Row],[Площадь уборки, га]]/Таблица1[[#This Row],[Площадь сева, га]]</calculatedColumnFormula>
    </tableColumn>
    <tableColumn id="9" xr3:uid="{1F6E4CC4-C45C-47C1-BF9A-E881C4AFCFB6}" name="Урожайность плановая, т/га" dataDxfId="11" totalsRowDxfId="10"/>
    <tableColumn id="10" xr3:uid="{468566BB-86B5-48D8-84A7-8FEBC42FE1D5}" name="Урожайность фактическая, т/га" totalsRowFunction="custom" dataDxfId="9" totalsRowDxfId="8">
      <calculatedColumnFormula>IFERROR(Таблица1[[#This Row],[Валовый сбор фактический, т]]/Таблица1[[#This Row],[Площадь уборки, га]],"-")</calculatedColumnFormula>
      <totalsRowFormula>Таблица1[[#Totals],[Валовый сбор фактический, т]]/Таблица1[[#Totals],[Площадь уборки, га]]</totalsRowFormula>
    </tableColumn>
    <tableColumn id="11" xr3:uid="{D2A5DA4B-9BAC-4B21-9A49-61CFCE42BBB0}" name="Валовый сбор плановый, т" totalsRowFunction="sum" dataDxfId="7" totalsRowDxfId="6">
      <calculatedColumnFormula>Таблица1[[#This Row],[Урожайность плановая, т/га]]*Таблица1[[#This Row],[Площадь сева, га]]</calculatedColumnFormula>
    </tableColumn>
    <tableColumn id="12" xr3:uid="{C7F1F672-2BCA-4D0C-B50A-0E40B0BAAE1E}" name="Валовый сбор фактический, т" totalsRowFunction="sum" dataDxfId="5" totalsRowDxfId="4"/>
    <tableColumn id="13" xr3:uid="{146E2923-7217-4B09-B3E2-088F945FE603}" name="Выполнение плана, %" totalsRowFunction="custom" dataDxfId="3" totalsRowDxfId="2">
      <calculatedColumnFormula>IFERROR(Таблица1[[#This Row],[Валовый сбор фактический, т]]/Таблица1[[#This Row],[Валовый сбор плановый, т]],"-")</calculatedColumnFormula>
      <totalsRowFormula>Таблица1[[#Totals],[Валовый сбор фактический, т]]/Таблица1[[#Totals],[Валовый сбор плановый, т]]</totalsRowFormula>
    </tableColumn>
    <tableColumn id="21" xr3:uid="{72C84951-EC29-4D00-AF51-DD70AF882810}" name="Примечание" dataDxfId="1" totalsRow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3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4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96C46-AE96-4185-8AD3-06F4DDCFEE3E}">
  <sheetPr>
    <pageSetUpPr fitToPage="1"/>
  </sheetPr>
  <dimension ref="A1:AE30"/>
  <sheetViews>
    <sheetView showGridLines="0" zoomScale="60" zoomScaleNormal="60" zoomScaleSheetLayoutView="70" workbookViewId="0">
      <selection activeCell="AM39" sqref="AM39"/>
    </sheetView>
  </sheetViews>
  <sheetFormatPr defaultRowHeight="15"/>
  <cols>
    <col min="25" max="28" width="8.85546875" customWidth="1"/>
    <col min="29" max="29" width="9.7109375" customWidth="1"/>
    <col min="30" max="30" width="8.85546875" customWidth="1"/>
    <col min="31" max="31" width="25.28515625" customWidth="1"/>
    <col min="32" max="35" width="8.85546875" customWidth="1"/>
  </cols>
  <sheetData>
    <row r="1" spans="1:24" ht="27">
      <c r="A1" s="345" t="s">
        <v>3947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</row>
    <row r="18" spans="26:31">
      <c r="AD18" s="37"/>
    </row>
    <row r="24" spans="26:31" ht="18.75">
      <c r="Z24" s="77"/>
      <c r="AA24" s="186"/>
      <c r="AB24" s="186"/>
      <c r="AC24" s="186"/>
      <c r="AD24" s="186"/>
      <c r="AE24" s="187"/>
    </row>
    <row r="25" spans="26:31" ht="18.75">
      <c r="Z25" s="186"/>
      <c r="AA25" s="186"/>
      <c r="AB25" s="186"/>
      <c r="AC25" s="186"/>
      <c r="AD25" s="186"/>
      <c r="AE25" s="188"/>
    </row>
    <row r="26" spans="26:31" ht="18.75">
      <c r="Z26" s="77"/>
      <c r="AA26" s="186"/>
      <c r="AB26" s="186"/>
      <c r="AC26" s="186"/>
      <c r="AD26" s="186"/>
      <c r="AE26" s="188"/>
    </row>
    <row r="27" spans="26:31" ht="18.75">
      <c r="Z27" s="77"/>
      <c r="AA27" s="186"/>
      <c r="AB27" s="186"/>
      <c r="AC27" s="186"/>
      <c r="AD27" s="186"/>
      <c r="AE27" s="188"/>
    </row>
    <row r="28" spans="26:31" ht="18.75">
      <c r="Z28" s="77"/>
      <c r="AA28" s="186"/>
      <c r="AB28" s="186"/>
      <c r="AC28" s="186"/>
      <c r="AD28" s="186"/>
      <c r="AE28" s="188"/>
    </row>
    <row r="29" spans="26:31" ht="18.75">
      <c r="Z29" s="189"/>
      <c r="AA29" s="186"/>
      <c r="AB29" s="186"/>
      <c r="AC29" s="186"/>
      <c r="AD29" s="186"/>
      <c r="AE29" s="190"/>
    </row>
    <row r="30" spans="26:31" ht="18.75">
      <c r="Z30" s="189"/>
      <c r="AA30" s="186"/>
      <c r="AB30" s="186"/>
      <c r="AC30" s="186"/>
      <c r="AD30" s="186"/>
      <c r="AE30" s="190"/>
    </row>
  </sheetData>
  <mergeCells count="1">
    <mergeCell ref="A1:X1"/>
  </mergeCells>
  <pageMargins left="0.35" right="0.24" top="0.74803149606299213" bottom="0.74803149606299213" header="0.31496062992125984" footer="0.31496062992125984"/>
  <pageSetup paperSize="9" scale="55" orientation="landscape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E30"/>
  <sheetViews>
    <sheetView showGridLines="0" zoomScale="60" zoomScaleNormal="60" zoomScaleSheetLayoutView="70" workbookViewId="0">
      <selection activeCell="E62" sqref="E62"/>
    </sheetView>
  </sheetViews>
  <sheetFormatPr defaultRowHeight="15"/>
  <cols>
    <col min="25" max="28" width="8.85546875" customWidth="1"/>
    <col min="29" max="29" width="9.7109375" customWidth="1"/>
    <col min="30" max="30" width="8.85546875" customWidth="1"/>
    <col min="31" max="31" width="25.28515625" customWidth="1"/>
    <col min="32" max="35" width="8.85546875" customWidth="1"/>
  </cols>
  <sheetData>
    <row r="1" spans="1:24" ht="27">
      <c r="A1" s="345" t="s">
        <v>333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</row>
    <row r="18" spans="26:31">
      <c r="AD18" s="37"/>
    </row>
    <row r="24" spans="26:31" ht="18.75">
      <c r="Z24" s="77" t="s">
        <v>341</v>
      </c>
      <c r="AA24" s="186"/>
      <c r="AB24" s="186"/>
      <c r="AC24" s="186"/>
      <c r="AD24" s="186"/>
      <c r="AE24" s="187">
        <f>'ОПЕРФАКТ 2025'!C93</f>
        <v>33419.870300000002</v>
      </c>
    </row>
    <row r="25" spans="26:31" ht="18.75">
      <c r="Z25" s="186"/>
      <c r="AA25" s="186"/>
      <c r="AB25" s="186"/>
      <c r="AC25" s="186"/>
      <c r="AD25" s="186"/>
      <c r="AE25" s="188"/>
    </row>
    <row r="26" spans="26:31" ht="18.75">
      <c r="Z26" s="77" t="s">
        <v>1010</v>
      </c>
      <c r="AA26" s="186"/>
      <c r="AB26" s="186"/>
      <c r="AC26" s="186"/>
      <c r="AD26" s="186"/>
      <c r="AE26" s="188">
        <f>'ОПЕРФАКТ 2025'!C95</f>
        <v>31138.910300000003</v>
      </c>
    </row>
    <row r="27" spans="26:31" ht="18.75">
      <c r="Z27" s="77" t="s">
        <v>345</v>
      </c>
      <c r="AA27" s="186"/>
      <c r="AB27" s="186"/>
      <c r="AC27" s="186"/>
      <c r="AD27" s="186"/>
      <c r="AE27" s="188">
        <f>'ОПЕРФАКТ 2025'!C96</f>
        <v>1038.43</v>
      </c>
    </row>
    <row r="28" spans="26:31" ht="18.75">
      <c r="Z28" s="77" t="s">
        <v>346</v>
      </c>
      <c r="AA28" s="186"/>
      <c r="AB28" s="186"/>
      <c r="AC28" s="186"/>
      <c r="AD28" s="186"/>
      <c r="AE28" s="188">
        <f>'ОПЕРФАКТ 2025'!C97</f>
        <v>1242.53</v>
      </c>
    </row>
    <row r="29" spans="26:31" ht="18.75">
      <c r="Z29" s="189" t="s">
        <v>546</v>
      </c>
      <c r="AA29" s="186"/>
      <c r="AB29" s="186"/>
      <c r="AC29" s="186"/>
      <c r="AD29" s="186"/>
      <c r="AE29" s="190">
        <f>'ОПЕРФАКТ 2025'!C98</f>
        <v>967.72</v>
      </c>
    </row>
    <row r="30" spans="26:31" ht="18.75">
      <c r="Z30" s="189" t="s">
        <v>173</v>
      </c>
      <c r="AA30" s="186"/>
      <c r="AB30" s="186"/>
      <c r="AC30" s="186"/>
      <c r="AD30" s="186"/>
      <c r="AE30" s="190">
        <f>'ОПЕРФАКТ 2025'!C99</f>
        <v>274.81</v>
      </c>
    </row>
  </sheetData>
  <mergeCells count="1">
    <mergeCell ref="A1:X1"/>
  </mergeCells>
  <pageMargins left="0.35" right="0.24" top="0.74803149606299213" bottom="0.74803149606299213" header="0.31496062992125984" footer="0.31496062992125984"/>
  <pageSetup paperSize="9" scale="55" orientation="landscape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A4EF2-8FFE-404B-A804-C4A867CE306D}">
  <dimension ref="A1:AB99"/>
  <sheetViews>
    <sheetView showGridLines="0" workbookViewId="0">
      <pane xSplit="2" topLeftCell="C1" activePane="topRight" state="frozen"/>
      <selection pane="topRight" activeCell="K41" sqref="K41"/>
    </sheetView>
  </sheetViews>
  <sheetFormatPr defaultRowHeight="15"/>
  <cols>
    <col min="1" max="1" width="20.140625" customWidth="1"/>
    <col min="2" max="2" width="29.140625" customWidth="1"/>
    <col min="3" max="3" width="12.28515625" customWidth="1"/>
    <col min="4" max="4" width="10.140625" bestFit="1" customWidth="1"/>
    <col min="5" max="5" width="14.28515625" customWidth="1"/>
    <col min="7" max="8" width="10.7109375" customWidth="1"/>
    <col min="9" max="9" width="21.85546875" customWidth="1"/>
    <col min="10" max="10" width="9.7109375" customWidth="1"/>
    <col min="11" max="11" width="11.7109375" customWidth="1"/>
    <col min="13" max="13" width="11.7109375" customWidth="1"/>
    <col min="14" max="14" width="9.7109375" bestFit="1" customWidth="1"/>
  </cols>
  <sheetData>
    <row r="1" spans="1:17">
      <c r="A1" t="s">
        <v>726</v>
      </c>
      <c r="B1" t="s">
        <v>182</v>
      </c>
      <c r="C1" s="59">
        <v>46244</v>
      </c>
      <c r="F1">
        <v>150</v>
      </c>
      <c r="G1" s="201"/>
      <c r="H1" s="171"/>
      <c r="I1" t="s">
        <v>173</v>
      </c>
    </row>
    <row r="2" spans="1:17">
      <c r="B2" s="37" t="s">
        <v>164</v>
      </c>
      <c r="I2" s="37" t="s">
        <v>172</v>
      </c>
    </row>
    <row r="3" spans="1:17" s="82" customFormat="1" ht="18">
      <c r="B3" s="82" t="s">
        <v>6</v>
      </c>
      <c r="C3" s="173">
        <v>46237</v>
      </c>
      <c r="F3" s="174" t="s">
        <v>350</v>
      </c>
      <c r="G3" s="174" t="s">
        <v>348</v>
      </c>
      <c r="H3" s="174" t="s">
        <v>349</v>
      </c>
      <c r="J3" s="174" t="s">
        <v>16</v>
      </c>
      <c r="K3" s="174" t="s">
        <v>17</v>
      </c>
      <c r="L3" s="174"/>
      <c r="M3" s="174" t="s">
        <v>13</v>
      </c>
      <c r="N3" s="174" t="s">
        <v>20</v>
      </c>
      <c r="Q3"/>
    </row>
    <row r="4" spans="1:17">
      <c r="B4" t="s">
        <v>7</v>
      </c>
      <c r="C4" s="35"/>
      <c r="F4">
        <f>F13+F14</f>
        <v>345</v>
      </c>
      <c r="G4" s="201">
        <f>G13+G14</f>
        <v>265</v>
      </c>
      <c r="H4" s="171"/>
      <c r="I4" t="s">
        <v>175</v>
      </c>
      <c r="J4" s="51">
        <f>J13+J14</f>
        <v>4362</v>
      </c>
      <c r="K4" s="52">
        <f>K13+K14</f>
        <v>2214.75</v>
      </c>
      <c r="L4" s="49">
        <f>IFERROR(K4/J4,)</f>
        <v>0.5077372764786795</v>
      </c>
      <c r="M4" s="50">
        <f>M13+M14</f>
        <v>117</v>
      </c>
      <c r="N4" s="176">
        <f>IFERROR(K4/M4, "-" )</f>
        <v>18.929487179487179</v>
      </c>
    </row>
    <row r="5" spans="1:17">
      <c r="B5" t="s">
        <v>303</v>
      </c>
      <c r="C5" s="35">
        <v>46320</v>
      </c>
      <c r="D5" s="35"/>
      <c r="F5">
        <v>750</v>
      </c>
      <c r="G5" s="201">
        <f>297+447</f>
        <v>744</v>
      </c>
      <c r="H5" s="171">
        <v>18</v>
      </c>
      <c r="I5" t="s">
        <v>176</v>
      </c>
      <c r="J5" s="51">
        <f>G5*H5</f>
        <v>13392</v>
      </c>
      <c r="K5" s="52">
        <f>'Кукуруза Кирова'!C18</f>
        <v>1765.74</v>
      </c>
      <c r="L5" s="49">
        <f>IFERROR(K5/J5,)</f>
        <v>0.13185035842293907</v>
      </c>
      <c r="M5" s="50">
        <f>'Кукуруза Кирова'!E18</f>
        <v>91</v>
      </c>
      <c r="N5" s="176">
        <f>IFERROR(K5/M5, "-" )</f>
        <v>19.403736263736263</v>
      </c>
    </row>
    <row r="6" spans="1:17">
      <c r="B6" t="s">
        <v>178</v>
      </c>
      <c r="C6" s="48">
        <f>C5-C3+1</f>
        <v>84</v>
      </c>
      <c r="F6">
        <f>F11+F12</f>
        <v>341</v>
      </c>
      <c r="G6" s="201">
        <f>G11+G12</f>
        <v>543.96</v>
      </c>
      <c r="H6" s="171"/>
      <c r="I6" t="s">
        <v>174</v>
      </c>
      <c r="J6" s="51">
        <f>J11+J12</f>
        <v>8432.4</v>
      </c>
      <c r="K6" s="52"/>
      <c r="L6" s="49">
        <f>IFERROR(K6/J6,)</f>
        <v>0</v>
      </c>
      <c r="M6" s="50">
        <f>M11+M12</f>
        <v>0</v>
      </c>
      <c r="N6" s="176" t="str">
        <f>IFERROR(K6/M6, "-" )</f>
        <v>-</v>
      </c>
    </row>
    <row r="7" spans="1:17">
      <c r="B7" t="s">
        <v>165</v>
      </c>
      <c r="C7" s="60">
        <f>C1-C3+1</f>
        <v>8</v>
      </c>
      <c r="F7">
        <v>210</v>
      </c>
      <c r="G7" s="201">
        <v>198</v>
      </c>
      <c r="H7" s="171">
        <v>18</v>
      </c>
      <c r="I7" t="s">
        <v>340</v>
      </c>
      <c r="J7">
        <f>G7*H7</f>
        <v>3564</v>
      </c>
      <c r="K7" s="52"/>
      <c r="L7" s="49">
        <f>IFERROR(K7/J7,)</f>
        <v>0</v>
      </c>
      <c r="M7" s="50"/>
      <c r="N7" s="176" t="str">
        <f>IFERROR(K7/M7, "-" )</f>
        <v>-</v>
      </c>
    </row>
    <row r="8" spans="1:17">
      <c r="B8" t="s">
        <v>164</v>
      </c>
      <c r="C8" s="53">
        <f>C7/C6</f>
        <v>9.5238095238095233E-2</v>
      </c>
      <c r="F8">
        <v>565</v>
      </c>
      <c r="G8" s="201">
        <v>413.5</v>
      </c>
      <c r="H8" s="171">
        <v>18</v>
      </c>
      <c r="I8" t="s">
        <v>63</v>
      </c>
      <c r="J8" s="51">
        <f>G8*H8</f>
        <v>7443</v>
      </c>
      <c r="K8" s="52"/>
      <c r="L8" s="49">
        <f>IFERROR(K8/J8,)</f>
        <v>0</v>
      </c>
      <c r="M8" s="50"/>
      <c r="N8" s="176" t="str">
        <f t="shared" ref="N8" si="0">IFERROR(K8/M8, "-" )</f>
        <v>-</v>
      </c>
    </row>
    <row r="9" spans="1:17">
      <c r="F9" s="37">
        <f>SUM(F4:F8)+F1</f>
        <v>2361</v>
      </c>
      <c r="G9" s="203">
        <f>SUM(G4:G8)</f>
        <v>2164.46</v>
      </c>
      <c r="J9" s="55">
        <f>SUM(J4:J8)</f>
        <v>37193.4</v>
      </c>
      <c r="K9" s="55">
        <f>SUM(K4:K8)</f>
        <v>3980.49</v>
      </c>
      <c r="L9" s="55"/>
      <c r="M9" s="55">
        <f>SUM(M4:M8)</f>
        <v>208</v>
      </c>
      <c r="N9" s="37"/>
    </row>
    <row r="10" spans="1:17">
      <c r="K10" s="51"/>
      <c r="L10" s="51"/>
      <c r="M10" s="36"/>
    </row>
    <row r="11" spans="1:17">
      <c r="B11" s="37" t="s">
        <v>13</v>
      </c>
      <c r="F11">
        <v>0</v>
      </c>
      <c r="G11">
        <v>91</v>
      </c>
      <c r="H11">
        <v>18</v>
      </c>
      <c r="I11" t="s">
        <v>189</v>
      </c>
      <c r="J11" s="51">
        <f>G11*H11</f>
        <v>1638</v>
      </c>
      <c r="K11" s="51"/>
      <c r="L11" s="51"/>
    </row>
    <row r="12" spans="1:17">
      <c r="B12" s="172" t="s">
        <v>343</v>
      </c>
      <c r="C12" s="51">
        <v>2361</v>
      </c>
      <c r="F12">
        <v>341</v>
      </c>
      <c r="G12">
        <v>452.96</v>
      </c>
      <c r="H12">
        <v>15</v>
      </c>
      <c r="I12" t="s">
        <v>335</v>
      </c>
      <c r="J12" s="51">
        <f>G12*H12</f>
        <v>6794.4</v>
      </c>
      <c r="K12" s="51"/>
      <c r="L12" s="51"/>
    </row>
    <row r="13" spans="1:17">
      <c r="B13" s="172" t="s">
        <v>16</v>
      </c>
      <c r="C13" s="107">
        <f>G9</f>
        <v>2164.46</v>
      </c>
      <c r="F13">
        <v>144</v>
      </c>
      <c r="G13">
        <v>129</v>
      </c>
      <c r="H13">
        <v>18</v>
      </c>
      <c r="I13" t="s">
        <v>186</v>
      </c>
      <c r="J13" s="51">
        <f>G13*H13</f>
        <v>2322</v>
      </c>
      <c r="K13" s="51"/>
    </row>
    <row r="14" spans="1:17">
      <c r="B14" t="s">
        <v>302</v>
      </c>
      <c r="C14" s="51"/>
      <c r="F14">
        <v>201</v>
      </c>
      <c r="G14">
        <v>136</v>
      </c>
      <c r="H14">
        <v>15</v>
      </c>
      <c r="I14" t="s">
        <v>197</v>
      </c>
      <c r="J14" s="51">
        <f>G14*H14</f>
        <v>2040</v>
      </c>
      <c r="K14" s="51">
        <f>'Кукуруза суперсл ГРК'!C18</f>
        <v>2214.75</v>
      </c>
      <c r="M14">
        <f>'Кукуруза суперсл ГРК'!E18</f>
        <v>117</v>
      </c>
    </row>
    <row r="15" spans="1:17">
      <c r="B15" t="s">
        <v>17</v>
      </c>
      <c r="C15" s="107">
        <f>M9</f>
        <v>208</v>
      </c>
      <c r="D15" s="61"/>
      <c r="J15" s="51"/>
      <c r="K15" s="51"/>
    </row>
    <row r="16" spans="1:17">
      <c r="B16" t="s">
        <v>166</v>
      </c>
      <c r="C16" s="53">
        <f>C15/C13</f>
        <v>9.609787198654629E-2</v>
      </c>
      <c r="E16" s="53"/>
    </row>
    <row r="17" spans="2:6">
      <c r="C17" s="51"/>
    </row>
    <row r="19" spans="2:6">
      <c r="B19" t="s">
        <v>108</v>
      </c>
      <c r="C19" s="61">
        <f>M9-C20</f>
        <v>91</v>
      </c>
      <c r="E19" t="s">
        <v>304</v>
      </c>
    </row>
    <row r="20" spans="2:6">
      <c r="B20" t="s">
        <v>109</v>
      </c>
      <c r="C20">
        <f>M12+M14</f>
        <v>117</v>
      </c>
      <c r="E20" t="s">
        <v>304</v>
      </c>
    </row>
    <row r="22" spans="2:6">
      <c r="B22" s="37" t="s">
        <v>167</v>
      </c>
    </row>
    <row r="23" spans="2:6">
      <c r="B23" t="s">
        <v>168</v>
      </c>
      <c r="C23" s="339">
        <f>M9</f>
        <v>208</v>
      </c>
    </row>
    <row r="24" spans="2:6">
      <c r="B24" t="s">
        <v>169</v>
      </c>
      <c r="C24" s="231">
        <v>0</v>
      </c>
    </row>
    <row r="25" spans="2:6">
      <c r="B25" t="s">
        <v>170</v>
      </c>
      <c r="C25" s="61">
        <f>C27-C23-C24</f>
        <v>1956.46</v>
      </c>
    </row>
    <row r="26" spans="2:6">
      <c r="C26" s="231"/>
    </row>
    <row r="27" spans="2:6">
      <c r="B27" t="s">
        <v>16</v>
      </c>
      <c r="C27" s="61">
        <f>C13</f>
        <v>2164.46</v>
      </c>
    </row>
    <row r="28" spans="2:6">
      <c r="C28" s="36"/>
    </row>
    <row r="29" spans="2:6">
      <c r="B29" s="37" t="s">
        <v>171</v>
      </c>
    </row>
    <row r="30" spans="2:6">
      <c r="B30" s="172" t="s">
        <v>343</v>
      </c>
      <c r="C30" s="51">
        <v>40671</v>
      </c>
      <c r="D30" t="s">
        <v>347</v>
      </c>
    </row>
    <row r="31" spans="2:6">
      <c r="B31" t="s">
        <v>16</v>
      </c>
      <c r="C31" s="52">
        <f>J9</f>
        <v>37193.4</v>
      </c>
      <c r="D31" t="s">
        <v>347</v>
      </c>
      <c r="E31" s="191">
        <f>C31/C30-1</f>
        <v>-8.5505642841336549E-2</v>
      </c>
      <c r="F31" s="51">
        <f>C31-C30</f>
        <v>-3477.5999999999985</v>
      </c>
    </row>
    <row r="32" spans="2:6">
      <c r="B32" t="s">
        <v>302</v>
      </c>
      <c r="C32" s="51"/>
    </row>
    <row r="33" spans="2:5">
      <c r="B33" t="s">
        <v>17</v>
      </c>
      <c r="C33" s="52">
        <f>K9</f>
        <v>3980.49</v>
      </c>
      <c r="D33" s="58" t="s">
        <v>347</v>
      </c>
    </row>
    <row r="34" spans="2:5">
      <c r="B34" t="s">
        <v>166</v>
      </c>
      <c r="C34" s="53">
        <f>C33/C31</f>
        <v>0.1070214070238268</v>
      </c>
      <c r="E34" s="53"/>
    </row>
    <row r="35" spans="2:5">
      <c r="C35" s="178" t="s">
        <v>304</v>
      </c>
      <c r="D35" t="s">
        <v>282</v>
      </c>
      <c r="E35" s="178" t="s">
        <v>353</v>
      </c>
    </row>
    <row r="36" spans="2:5">
      <c r="B36" t="s">
        <v>108</v>
      </c>
      <c r="C36" s="51">
        <f>K9-C37</f>
        <v>1765.7399999999998</v>
      </c>
      <c r="D36" s="51">
        <f>J9-D37</f>
        <v>28359</v>
      </c>
      <c r="E36" s="51">
        <f>D36-C36</f>
        <v>26593.260000000002</v>
      </c>
    </row>
    <row r="37" spans="2:5">
      <c r="B37" t="s">
        <v>109</v>
      </c>
      <c r="C37" s="51">
        <f>K12+K14</f>
        <v>2214.75</v>
      </c>
      <c r="D37" s="51">
        <f>J12+J14</f>
        <v>8834.4</v>
      </c>
      <c r="E37" s="51">
        <f>D37-C37</f>
        <v>6619.65</v>
      </c>
    </row>
    <row r="39" spans="2:5">
      <c r="C39" s="36"/>
    </row>
    <row r="40" spans="2:5">
      <c r="B40" s="37" t="s">
        <v>181</v>
      </c>
    </row>
    <row r="41" spans="2:5">
      <c r="B41" s="172" t="s">
        <v>343</v>
      </c>
      <c r="C41" s="36">
        <v>17.226175349428207</v>
      </c>
    </row>
    <row r="42" spans="2:5">
      <c r="B42" t="s">
        <v>16</v>
      </c>
      <c r="C42" s="36">
        <f>C31/C13</f>
        <v>17.183685538194286</v>
      </c>
    </row>
    <row r="43" spans="2:5">
      <c r="B43" t="s">
        <v>302</v>
      </c>
      <c r="C43" s="36"/>
    </row>
    <row r="44" spans="2:5">
      <c r="B44" t="s">
        <v>17</v>
      </c>
      <c r="C44" s="36">
        <f>C33/C15</f>
        <v>19.136971153846154</v>
      </c>
      <c r="D44" s="108">
        <f>C44</f>
        <v>19.136971153846154</v>
      </c>
    </row>
    <row r="46" spans="2:5">
      <c r="B46" t="s">
        <v>108</v>
      </c>
      <c r="C46" s="108">
        <f>IFERROR(C36/C19, "-")</f>
        <v>19.40373626373626</v>
      </c>
      <c r="E46" t="s">
        <v>304</v>
      </c>
    </row>
    <row r="47" spans="2:5">
      <c r="B47" t="s">
        <v>109</v>
      </c>
      <c r="C47" s="108">
        <f>IFERROR(C37/C20, "-")</f>
        <v>18.929487179487179</v>
      </c>
      <c r="E47" t="s">
        <v>304</v>
      </c>
    </row>
    <row r="49" spans="2:28">
      <c r="C49" s="37" t="s">
        <v>195</v>
      </c>
      <c r="L49" s="37" t="s">
        <v>37</v>
      </c>
      <c r="U49" s="37" t="s">
        <v>181</v>
      </c>
    </row>
    <row r="50" spans="2:28">
      <c r="B50" s="37" t="s">
        <v>185</v>
      </c>
    </row>
    <row r="51" spans="2:28">
      <c r="C51" s="37">
        <v>2019</v>
      </c>
      <c r="D51" s="37">
        <v>2020</v>
      </c>
      <c r="E51" s="37">
        <v>2021</v>
      </c>
      <c r="F51" s="37">
        <v>2022</v>
      </c>
      <c r="G51" s="37">
        <v>2023</v>
      </c>
      <c r="H51" s="37">
        <v>2024</v>
      </c>
      <c r="I51" s="37">
        <v>2025</v>
      </c>
      <c r="J51" s="37">
        <v>2026</v>
      </c>
      <c r="L51" s="37">
        <v>2019</v>
      </c>
      <c r="M51" s="37">
        <v>2020</v>
      </c>
      <c r="N51" s="37">
        <v>2021</v>
      </c>
      <c r="O51" s="37">
        <v>2022</v>
      </c>
      <c r="P51" s="37">
        <v>2023</v>
      </c>
      <c r="Q51" s="37">
        <v>2024</v>
      </c>
      <c r="R51" s="37">
        <v>2025</v>
      </c>
      <c r="S51" s="37">
        <v>2026</v>
      </c>
      <c r="U51" s="37">
        <v>2019</v>
      </c>
      <c r="V51" s="37">
        <v>2020</v>
      </c>
      <c r="W51" s="37">
        <v>2021</v>
      </c>
      <c r="X51" s="37">
        <v>2022</v>
      </c>
      <c r="Y51" s="37">
        <v>2023</v>
      </c>
      <c r="Z51" s="37">
        <v>2024</v>
      </c>
      <c r="AA51" s="37">
        <v>2025</v>
      </c>
      <c r="AB51" s="37">
        <v>2026</v>
      </c>
    </row>
    <row r="52" spans="2:28">
      <c r="B52" t="s">
        <v>196</v>
      </c>
      <c r="C52" s="51"/>
      <c r="D52" s="51">
        <v>15589.84</v>
      </c>
      <c r="E52" s="51">
        <v>8061.38</v>
      </c>
      <c r="F52" s="51">
        <v>4279.68</v>
      </c>
      <c r="G52" s="51"/>
      <c r="H52" s="51"/>
      <c r="I52" s="51"/>
      <c r="J52" s="52"/>
      <c r="L52" s="51"/>
      <c r="M52" s="51">
        <v>791</v>
      </c>
      <c r="N52" s="51">
        <v>411.65</v>
      </c>
      <c r="O52" s="51">
        <v>270.82</v>
      </c>
      <c r="P52" s="51">
        <v>0</v>
      </c>
      <c r="S52" s="50"/>
      <c r="U52" s="51"/>
      <c r="V52" s="36">
        <f>D52/M52</f>
        <v>19.709026548672565</v>
      </c>
      <c r="W52" s="36">
        <f>E52/N52</f>
        <v>19.58309243289202</v>
      </c>
      <c r="X52" s="36">
        <f>F52/O52</f>
        <v>15.802673362380919</v>
      </c>
      <c r="Y52" s="36"/>
      <c r="Z52" s="36"/>
      <c r="AA52" s="36"/>
      <c r="AB52" s="107">
        <f t="shared" ref="AB52" si="1">IFERROR(J52/S52,)</f>
        <v>0</v>
      </c>
    </row>
    <row r="53" spans="2:28">
      <c r="B53" s="168" t="s">
        <v>336</v>
      </c>
      <c r="C53" s="169"/>
      <c r="D53" s="169"/>
      <c r="E53" s="169"/>
      <c r="F53" s="169"/>
      <c r="G53" s="169"/>
      <c r="H53" s="169"/>
      <c r="I53" s="169">
        <v>1860.64</v>
      </c>
      <c r="J53" s="169"/>
      <c r="K53" s="168"/>
      <c r="L53" s="169"/>
      <c r="M53" s="169"/>
      <c r="N53" s="169"/>
      <c r="O53" s="169"/>
      <c r="P53" s="169"/>
      <c r="Q53" s="168"/>
      <c r="R53" s="168">
        <v>124.99999999999999</v>
      </c>
      <c r="S53" s="168"/>
      <c r="T53" s="168"/>
      <c r="U53" s="169"/>
      <c r="V53" s="170"/>
      <c r="W53" s="170"/>
      <c r="X53" s="170"/>
      <c r="Y53" s="170"/>
      <c r="Z53" s="170"/>
      <c r="AA53" s="170">
        <f>I53/R53</f>
        <v>14.885120000000002</v>
      </c>
      <c r="AB53" s="170">
        <f>IFERROR(J53/S53,)</f>
        <v>0</v>
      </c>
    </row>
    <row r="54" spans="2:28">
      <c r="B54" t="s">
        <v>352</v>
      </c>
      <c r="C54" s="51"/>
      <c r="D54" s="51"/>
      <c r="E54" s="51"/>
      <c r="F54" s="51"/>
      <c r="G54" s="51"/>
      <c r="H54" s="51"/>
      <c r="I54" s="51">
        <v>3223.16</v>
      </c>
      <c r="J54" s="52"/>
      <c r="L54" s="51"/>
      <c r="M54" s="51"/>
      <c r="N54" s="51"/>
      <c r="O54" s="51"/>
      <c r="P54" s="51"/>
      <c r="R54">
        <v>268</v>
      </c>
      <c r="S54" s="50"/>
      <c r="U54" s="51"/>
      <c r="V54" s="36"/>
      <c r="W54" s="36"/>
      <c r="X54" s="36"/>
      <c r="Y54" s="36"/>
      <c r="Z54" s="36"/>
      <c r="AA54" s="36">
        <f>I54/R54</f>
        <v>12.026716417910448</v>
      </c>
      <c r="AB54" s="107">
        <f t="shared" ref="AB54:AB66" si="2">IFERROR(J54/S54,)</f>
        <v>0</v>
      </c>
    </row>
    <row r="55" spans="2:28">
      <c r="B55" s="168" t="s">
        <v>186</v>
      </c>
      <c r="C55" s="169"/>
      <c r="D55" s="169"/>
      <c r="E55" s="169"/>
      <c r="F55" s="169"/>
      <c r="G55" s="169">
        <v>2829.55</v>
      </c>
      <c r="H55" s="169">
        <v>178.65</v>
      </c>
      <c r="I55" s="169">
        <v>1812.05</v>
      </c>
      <c r="J55" s="169"/>
      <c r="K55" s="168"/>
      <c r="L55" s="169"/>
      <c r="M55" s="169"/>
      <c r="N55" s="169"/>
      <c r="O55" s="169"/>
      <c r="P55" s="169">
        <v>197.60000000000002</v>
      </c>
      <c r="Q55" s="168">
        <v>23</v>
      </c>
      <c r="R55" s="168">
        <v>156</v>
      </c>
      <c r="S55" s="168"/>
      <c r="T55" s="168"/>
      <c r="U55" s="169"/>
      <c r="V55" s="170"/>
      <c r="W55" s="170"/>
      <c r="X55" s="170"/>
      <c r="Y55" s="170">
        <f>G55/P55</f>
        <v>14.319585020242915</v>
      </c>
      <c r="Z55" s="170">
        <f>H55/Q55</f>
        <v>7.767391304347826</v>
      </c>
      <c r="AA55" s="170">
        <f>I55/R55</f>
        <v>11.615705128205128</v>
      </c>
      <c r="AB55" s="170">
        <f t="shared" si="2"/>
        <v>0</v>
      </c>
    </row>
    <row r="56" spans="2:28">
      <c r="B56" s="168" t="s">
        <v>197</v>
      </c>
      <c r="C56" s="169"/>
      <c r="D56" s="169">
        <v>6271.2</v>
      </c>
      <c r="E56" s="169">
        <v>4487.5</v>
      </c>
      <c r="F56" s="169">
        <v>4513.01</v>
      </c>
      <c r="G56" s="169">
        <v>1950.56</v>
      </c>
      <c r="H56" s="169">
        <v>3707.36</v>
      </c>
      <c r="I56" s="169">
        <v>550.89</v>
      </c>
      <c r="J56" s="169">
        <f>K14</f>
        <v>2214.75</v>
      </c>
      <c r="K56" s="168"/>
      <c r="L56" s="169"/>
      <c r="M56" s="169">
        <v>411</v>
      </c>
      <c r="N56" s="169">
        <v>315</v>
      </c>
      <c r="O56" s="169">
        <v>400</v>
      </c>
      <c r="P56" s="169">
        <v>142.69999999999999</v>
      </c>
      <c r="Q56" s="168">
        <v>459</v>
      </c>
      <c r="R56" s="168">
        <v>63</v>
      </c>
      <c r="S56" s="168">
        <f>M14</f>
        <v>117</v>
      </c>
      <c r="T56" s="168"/>
      <c r="U56" s="169"/>
      <c r="V56" s="170">
        <f t="shared" ref="V56:X58" si="3">D56/M56</f>
        <v>15.258394160583942</v>
      </c>
      <c r="W56" s="170">
        <f t="shared" si="3"/>
        <v>14.246031746031745</v>
      </c>
      <c r="X56" s="170">
        <f t="shared" si="3"/>
        <v>11.282525</v>
      </c>
      <c r="Y56" s="170">
        <f>G56/P56</f>
        <v>13.66895585143658</v>
      </c>
      <c r="Z56" s="170">
        <f>H56/Q56</f>
        <v>8.0770370370370372</v>
      </c>
      <c r="AA56" s="170">
        <f>I56/R56</f>
        <v>8.7442857142857147</v>
      </c>
      <c r="AB56" s="170">
        <f t="shared" si="2"/>
        <v>18.929487179487179</v>
      </c>
    </row>
    <row r="57" spans="2:28">
      <c r="B57" t="s">
        <v>187</v>
      </c>
      <c r="C57" s="51"/>
      <c r="D57" s="51">
        <v>7230.23</v>
      </c>
      <c r="E57" s="51">
        <v>7910.3599999999988</v>
      </c>
      <c r="F57" s="51">
        <v>2840.27</v>
      </c>
      <c r="G57" s="51"/>
      <c r="H57" s="51"/>
      <c r="I57" s="51"/>
      <c r="J57" s="52"/>
      <c r="L57" s="51"/>
      <c r="M57" s="51">
        <v>415</v>
      </c>
      <c r="N57" s="51">
        <v>482.2</v>
      </c>
      <c r="O57" s="51">
        <v>155.12</v>
      </c>
      <c r="P57" s="51"/>
      <c r="S57" s="50"/>
      <c r="U57" s="51"/>
      <c r="V57" s="36">
        <f t="shared" si="3"/>
        <v>17.422240963855419</v>
      </c>
      <c r="W57" s="36">
        <f t="shared" si="3"/>
        <v>16.4047283284944</v>
      </c>
      <c r="X57" s="36">
        <f t="shared" si="3"/>
        <v>18.310146982980918</v>
      </c>
      <c r="Y57" s="36"/>
      <c r="Z57" s="36"/>
      <c r="AA57" s="36"/>
      <c r="AB57" s="107">
        <f t="shared" si="2"/>
        <v>0</v>
      </c>
    </row>
    <row r="58" spans="2:28">
      <c r="B58" t="s">
        <v>188</v>
      </c>
      <c r="C58" s="51"/>
      <c r="D58" s="51">
        <v>2466.02</v>
      </c>
      <c r="E58" s="51">
        <v>4706.8399999999992</v>
      </c>
      <c r="F58" s="51">
        <v>3078.48</v>
      </c>
      <c r="G58" s="51"/>
      <c r="H58" s="51"/>
      <c r="I58" s="51"/>
      <c r="J58" s="52"/>
      <c r="L58" s="51"/>
      <c r="M58" s="51">
        <v>200</v>
      </c>
      <c r="N58" s="51">
        <v>257</v>
      </c>
      <c r="O58" s="51">
        <v>186</v>
      </c>
      <c r="P58" s="51"/>
      <c r="S58" s="50"/>
      <c r="U58" s="51"/>
      <c r="V58" s="36">
        <f t="shared" si="3"/>
        <v>12.3301</v>
      </c>
      <c r="W58" s="36">
        <f t="shared" si="3"/>
        <v>18.314552529182876</v>
      </c>
      <c r="X58" s="36">
        <f t="shared" si="3"/>
        <v>16.550967741935484</v>
      </c>
      <c r="Y58" s="36"/>
      <c r="Z58" s="36"/>
      <c r="AA58" s="36"/>
      <c r="AB58" s="107">
        <f t="shared" si="2"/>
        <v>0</v>
      </c>
    </row>
    <row r="59" spans="2:28">
      <c r="B59" s="168" t="s">
        <v>189</v>
      </c>
      <c r="C59" s="169"/>
      <c r="D59" s="169"/>
      <c r="E59" s="169"/>
      <c r="F59" s="169">
        <v>3647.23</v>
      </c>
      <c r="G59" s="169">
        <v>5885.83</v>
      </c>
      <c r="H59" s="169">
        <v>6304.38</v>
      </c>
      <c r="I59" s="169">
        <v>5445.72</v>
      </c>
      <c r="J59" s="169"/>
      <c r="K59" s="168"/>
      <c r="L59" s="169"/>
      <c r="M59" s="169"/>
      <c r="N59" s="169"/>
      <c r="O59" s="169">
        <v>274.04000000000002</v>
      </c>
      <c r="P59" s="169">
        <v>304.89999999999998</v>
      </c>
      <c r="Q59" s="168">
        <v>305</v>
      </c>
      <c r="R59" s="168">
        <v>343</v>
      </c>
      <c r="S59" s="168"/>
      <c r="T59" s="168"/>
      <c r="U59" s="169"/>
      <c r="V59" s="170"/>
      <c r="W59" s="170"/>
      <c r="X59" s="170">
        <f>F59/O59</f>
        <v>13.30911545759743</v>
      </c>
      <c r="Y59" s="170">
        <f>G59/P59</f>
        <v>19.304132502459826</v>
      </c>
      <c r="Z59" s="170">
        <f>H59/Q59</f>
        <v>20.670098360655739</v>
      </c>
      <c r="AA59" s="170">
        <f>I59/R59</f>
        <v>15.876734693877552</v>
      </c>
      <c r="AB59" s="170">
        <f t="shared" si="2"/>
        <v>0</v>
      </c>
    </row>
    <row r="60" spans="2:28">
      <c r="B60" s="168" t="s">
        <v>335</v>
      </c>
      <c r="C60" s="169"/>
      <c r="D60" s="169"/>
      <c r="E60" s="169"/>
      <c r="F60" s="169"/>
      <c r="G60" s="169"/>
      <c r="H60" s="169"/>
      <c r="I60" s="169">
        <v>8295.44</v>
      </c>
      <c r="J60" s="169"/>
      <c r="K60" s="168"/>
      <c r="L60" s="169"/>
      <c r="M60" s="169"/>
      <c r="N60" s="169"/>
      <c r="O60" s="169"/>
      <c r="P60" s="169"/>
      <c r="Q60" s="168"/>
      <c r="R60" s="168">
        <v>494</v>
      </c>
      <c r="S60" s="168"/>
      <c r="T60" s="168"/>
      <c r="U60" s="169"/>
      <c r="V60" s="170"/>
      <c r="W60" s="170"/>
      <c r="X60" s="170"/>
      <c r="Y60" s="170"/>
      <c r="Z60" s="170"/>
      <c r="AA60" s="170">
        <f>I60/R60</f>
        <v>16.792388663967614</v>
      </c>
      <c r="AB60" s="170">
        <f t="shared" si="2"/>
        <v>0</v>
      </c>
    </row>
    <row r="61" spans="2:28">
      <c r="B61" s="168" t="s">
        <v>190</v>
      </c>
      <c r="C61" s="169"/>
      <c r="D61" s="169"/>
      <c r="E61" s="169"/>
      <c r="F61" s="169">
        <v>1823.61</v>
      </c>
      <c r="G61" s="169">
        <v>1986.5500000000002</v>
      </c>
      <c r="H61" s="169">
        <v>3497.07</v>
      </c>
      <c r="I61" s="169">
        <v>4688.0497000000005</v>
      </c>
      <c r="J61" s="169">
        <f>K5</f>
        <v>1765.74</v>
      </c>
      <c r="K61" s="168"/>
      <c r="L61" s="169"/>
      <c r="M61" s="169"/>
      <c r="N61" s="169"/>
      <c r="O61" s="169">
        <v>110</v>
      </c>
      <c r="P61" s="169">
        <v>136</v>
      </c>
      <c r="Q61" s="168">
        <v>302</v>
      </c>
      <c r="R61" s="168">
        <v>297</v>
      </c>
      <c r="S61" s="168">
        <f>M5</f>
        <v>91</v>
      </c>
      <c r="T61" s="168"/>
      <c r="U61" s="169"/>
      <c r="V61" s="170"/>
      <c r="W61" s="170"/>
      <c r="X61" s="170">
        <f t="shared" ref="X61:Z62" si="4">F61/O61</f>
        <v>16.578272727272726</v>
      </c>
      <c r="Y61" s="170">
        <f t="shared" si="4"/>
        <v>14.606985294117649</v>
      </c>
      <c r="Z61" s="170">
        <f t="shared" si="4"/>
        <v>11.579701986754968</v>
      </c>
      <c r="AA61" s="170">
        <f>I61/R61</f>
        <v>15.784679124579126</v>
      </c>
      <c r="AB61" s="170">
        <f t="shared" si="2"/>
        <v>19.403736263736263</v>
      </c>
    </row>
    <row r="62" spans="2:28">
      <c r="B62" s="168" t="s">
        <v>191</v>
      </c>
      <c r="C62" s="169"/>
      <c r="D62" s="169">
        <v>9394.42</v>
      </c>
      <c r="E62" s="169">
        <v>7409.64</v>
      </c>
      <c r="F62" s="169">
        <v>9977.4</v>
      </c>
      <c r="G62" s="169">
        <v>10250.58</v>
      </c>
      <c r="H62" s="169">
        <v>7397.2</v>
      </c>
      <c r="I62" s="169">
        <v>9223.7003000000004</v>
      </c>
      <c r="J62" s="169"/>
      <c r="K62" s="168"/>
      <c r="L62" s="169"/>
      <c r="M62" s="169">
        <v>459</v>
      </c>
      <c r="N62" s="169">
        <v>448.5</v>
      </c>
      <c r="O62" s="169">
        <v>510</v>
      </c>
      <c r="P62" s="169">
        <v>552.6</v>
      </c>
      <c r="Q62" s="168">
        <v>460.5</v>
      </c>
      <c r="R62" s="168">
        <v>451</v>
      </c>
      <c r="S62" s="168"/>
      <c r="T62" s="168"/>
      <c r="U62" s="169"/>
      <c r="V62" s="170">
        <f>D62/M62</f>
        <v>20.467145969498912</v>
      </c>
      <c r="W62" s="170">
        <f>E62/N62</f>
        <v>16.520936454849497</v>
      </c>
      <c r="X62" s="170">
        <f t="shared" si="4"/>
        <v>19.563529411764705</v>
      </c>
      <c r="Y62" s="170">
        <f t="shared" si="4"/>
        <v>18.549728555917479</v>
      </c>
      <c r="Z62" s="170">
        <f t="shared" si="4"/>
        <v>16.06340933767644</v>
      </c>
      <c r="AA62" s="170">
        <f>I62/R62</f>
        <v>20.451663636363637</v>
      </c>
      <c r="AB62" s="170">
        <f t="shared" si="2"/>
        <v>0</v>
      </c>
    </row>
    <row r="63" spans="2:28">
      <c r="B63" t="s">
        <v>192</v>
      </c>
      <c r="C63" s="51"/>
      <c r="D63" s="51"/>
      <c r="E63" s="51"/>
      <c r="F63" s="51"/>
      <c r="G63" s="51">
        <v>649.82999999999993</v>
      </c>
      <c r="H63" s="51"/>
      <c r="I63" s="51"/>
      <c r="J63" s="52"/>
      <c r="L63" s="51"/>
      <c r="M63" s="51"/>
      <c r="N63" s="51"/>
      <c r="O63" s="51"/>
      <c r="P63" s="51">
        <v>256.39999999999998</v>
      </c>
      <c r="S63" s="50"/>
      <c r="U63" s="51"/>
      <c r="V63" s="36"/>
      <c r="W63" s="36"/>
      <c r="X63" s="36"/>
      <c r="Y63" s="36">
        <f>G63/P63</f>
        <v>2.5344383775351012</v>
      </c>
      <c r="Z63" s="36"/>
      <c r="AA63" s="36"/>
      <c r="AB63" s="107">
        <f t="shared" si="2"/>
        <v>0</v>
      </c>
    </row>
    <row r="64" spans="2:28">
      <c r="B64" t="s">
        <v>193</v>
      </c>
      <c r="C64" s="51"/>
      <c r="D64" s="51"/>
      <c r="E64" s="51"/>
      <c r="F64" s="51">
        <v>1582.22</v>
      </c>
      <c r="G64" s="51"/>
      <c r="H64" s="51"/>
      <c r="I64" s="51"/>
      <c r="J64" s="52"/>
      <c r="L64" s="51"/>
      <c r="M64" s="51"/>
      <c r="N64" s="51"/>
      <c r="O64" s="51">
        <v>110</v>
      </c>
      <c r="P64" s="51"/>
      <c r="S64" s="50"/>
      <c r="U64" s="51"/>
      <c r="V64" s="36"/>
      <c r="W64" s="36"/>
      <c r="X64" s="36">
        <f>F64/O64</f>
        <v>14.383818181818182</v>
      </c>
      <c r="Y64" s="36"/>
      <c r="Z64" s="36"/>
      <c r="AA64" s="36"/>
      <c r="AB64" s="107">
        <f t="shared" si="2"/>
        <v>0</v>
      </c>
    </row>
    <row r="65" spans="2:28">
      <c r="B65" t="s">
        <v>334</v>
      </c>
      <c r="C65" s="51"/>
      <c r="D65" s="51"/>
      <c r="E65" s="51"/>
      <c r="F65" s="51"/>
      <c r="G65" s="51"/>
      <c r="H65" s="51">
        <v>499.75</v>
      </c>
      <c r="I65" s="51"/>
      <c r="J65" s="52"/>
      <c r="L65" s="51"/>
      <c r="M65" s="51"/>
      <c r="N65" s="51"/>
      <c r="O65" s="51"/>
      <c r="P65" s="51"/>
      <c r="Q65">
        <v>112</v>
      </c>
      <c r="S65" s="50"/>
      <c r="U65" s="51"/>
      <c r="V65" s="36"/>
      <c r="W65" s="36"/>
      <c r="X65" s="36"/>
      <c r="Y65" s="36"/>
      <c r="Z65" s="36">
        <f>H65/Q65</f>
        <v>4.4620535714285712</v>
      </c>
      <c r="AA65" s="36"/>
      <c r="AB65" s="107">
        <f t="shared" si="2"/>
        <v>0</v>
      </c>
    </row>
    <row r="66" spans="2:28">
      <c r="B66" t="s">
        <v>194</v>
      </c>
      <c r="C66" s="51"/>
      <c r="D66" s="51"/>
      <c r="E66" s="51"/>
      <c r="F66" s="51"/>
      <c r="G66" s="51"/>
      <c r="H66" s="51">
        <v>2375.63</v>
      </c>
      <c r="I66" s="51"/>
      <c r="J66" s="52"/>
      <c r="L66" s="51"/>
      <c r="M66" s="51"/>
      <c r="N66" s="51"/>
      <c r="O66" s="51"/>
      <c r="P66" s="51"/>
      <c r="Q66">
        <v>175</v>
      </c>
      <c r="S66" s="50"/>
      <c r="U66" s="51"/>
      <c r="V66" s="36"/>
      <c r="W66" s="36"/>
      <c r="X66" s="36"/>
      <c r="Y66" s="36"/>
      <c r="Z66" s="36">
        <f>H66/Q66</f>
        <v>13.575028571428572</v>
      </c>
      <c r="AA66" s="36"/>
      <c r="AB66" s="107">
        <f t="shared" si="2"/>
        <v>0</v>
      </c>
    </row>
    <row r="67" spans="2:28">
      <c r="C67" s="55">
        <f t="shared" ref="C67:I67" si="5">SUM(C52:C66)</f>
        <v>0</v>
      </c>
      <c r="D67" s="55">
        <f t="shared" si="5"/>
        <v>40951.71</v>
      </c>
      <c r="E67" s="55">
        <f t="shared" si="5"/>
        <v>32575.719999999998</v>
      </c>
      <c r="F67" s="55">
        <f t="shared" si="5"/>
        <v>31741.9</v>
      </c>
      <c r="G67" s="55">
        <f t="shared" si="5"/>
        <v>23552.9</v>
      </c>
      <c r="H67" s="55">
        <f t="shared" si="5"/>
        <v>23960.04</v>
      </c>
      <c r="I67" s="55">
        <f t="shared" si="5"/>
        <v>35099.65</v>
      </c>
      <c r="J67" s="55">
        <f>SUM(J52:J66)</f>
        <v>3980.49</v>
      </c>
      <c r="L67" s="55">
        <f t="shared" ref="L67:R67" si="6">SUM(L52:L66)</f>
        <v>0</v>
      </c>
      <c r="M67" s="55">
        <f t="shared" si="6"/>
        <v>2276</v>
      </c>
      <c r="N67" s="55">
        <f t="shared" si="6"/>
        <v>1914.35</v>
      </c>
      <c r="O67" s="55">
        <f t="shared" si="6"/>
        <v>2015.98</v>
      </c>
      <c r="P67" s="55">
        <f t="shared" si="6"/>
        <v>1590.2000000000003</v>
      </c>
      <c r="Q67" s="55">
        <f t="shared" si="6"/>
        <v>1836.5</v>
      </c>
      <c r="R67" s="55">
        <f t="shared" si="6"/>
        <v>2197</v>
      </c>
      <c r="S67" s="55">
        <f t="shared" ref="S67" si="7">SUM(S52:S66)</f>
        <v>208</v>
      </c>
      <c r="V67" s="36">
        <f>D67/M67</f>
        <v>17.992842706502636</v>
      </c>
      <c r="W67" s="36">
        <f>E67/N67</f>
        <v>17.016595711338052</v>
      </c>
      <c r="X67" s="36">
        <f>F67/O67</f>
        <v>15.745146281213108</v>
      </c>
      <c r="Y67" s="36">
        <f>G67/P67</f>
        <v>14.811281599798766</v>
      </c>
      <c r="Z67" s="36">
        <f>H67/Q67</f>
        <v>13.046577729376532</v>
      </c>
      <c r="AA67" s="36">
        <f>I67/R67</f>
        <v>15.976172052799273</v>
      </c>
      <c r="AB67" s="36">
        <f>J67/S67</f>
        <v>19.136971153846154</v>
      </c>
    </row>
    <row r="68" spans="2:28">
      <c r="F68" s="58">
        <f>F67</f>
        <v>31741.9</v>
      </c>
      <c r="G68" s="58">
        <f>G67</f>
        <v>23552.9</v>
      </c>
      <c r="H68" s="58">
        <f>H67</f>
        <v>23960.04</v>
      </c>
      <c r="I68" s="58">
        <f t="shared" ref="I68:J68" si="8">I67</f>
        <v>35099.65</v>
      </c>
      <c r="J68" s="58">
        <f t="shared" si="8"/>
        <v>3980.49</v>
      </c>
      <c r="O68" s="57">
        <f>O67</f>
        <v>2015.98</v>
      </c>
      <c r="P68" s="57">
        <f>P67</f>
        <v>1590.2000000000003</v>
      </c>
      <c r="Q68" s="57">
        <f>Q67</f>
        <v>1836.5</v>
      </c>
      <c r="R68" s="57">
        <f>R67</f>
        <v>2197</v>
      </c>
      <c r="S68" s="57">
        <f>S67</f>
        <v>208</v>
      </c>
      <c r="X68" s="54">
        <f>X67</f>
        <v>15.745146281213108</v>
      </c>
      <c r="Y68" s="54">
        <f>Y67</f>
        <v>14.811281599798766</v>
      </c>
      <c r="Z68" s="54">
        <f>Z67</f>
        <v>13.046577729376532</v>
      </c>
      <c r="AA68" s="54">
        <f>AA67</f>
        <v>15.976172052799273</v>
      </c>
      <c r="AB68" s="54">
        <f>AB67</f>
        <v>19.136971153846154</v>
      </c>
    </row>
    <row r="70" spans="2:28">
      <c r="C70" t="s">
        <v>195</v>
      </c>
      <c r="D70" t="s">
        <v>181</v>
      </c>
    </row>
    <row r="71" spans="2:28">
      <c r="B71" s="37">
        <v>2020</v>
      </c>
      <c r="C71" s="51">
        <f>D67</f>
        <v>40951.71</v>
      </c>
      <c r="D71" s="36">
        <f>V67</f>
        <v>17.992842706502636</v>
      </c>
    </row>
    <row r="72" spans="2:28">
      <c r="B72" s="37">
        <v>2021</v>
      </c>
      <c r="C72" s="51">
        <f>E67</f>
        <v>32575.719999999998</v>
      </c>
      <c r="D72" s="36">
        <f>W67</f>
        <v>17.016595711338052</v>
      </c>
    </row>
    <row r="73" spans="2:28">
      <c r="B73" s="37">
        <v>2022</v>
      </c>
      <c r="C73" s="51">
        <f>F67</f>
        <v>31741.9</v>
      </c>
      <c r="D73" s="36">
        <f>X67</f>
        <v>15.745146281213108</v>
      </c>
    </row>
    <row r="74" spans="2:28">
      <c r="B74" s="37">
        <v>2023</v>
      </c>
      <c r="C74" s="51">
        <f>G67</f>
        <v>23552.9</v>
      </c>
      <c r="D74" s="36">
        <f>Y67</f>
        <v>14.811281599798766</v>
      </c>
    </row>
    <row r="75" spans="2:28">
      <c r="B75" s="37">
        <v>2024</v>
      </c>
      <c r="C75" s="51">
        <f>H67</f>
        <v>23960.04</v>
      </c>
      <c r="D75" s="36">
        <f>Z67</f>
        <v>13.046577729376532</v>
      </c>
    </row>
    <row r="76" spans="2:28">
      <c r="B76" s="37">
        <v>2025</v>
      </c>
      <c r="C76" s="51">
        <f>I67</f>
        <v>35099.65</v>
      </c>
      <c r="D76" s="36">
        <f>AA68</f>
        <v>15.976172052799273</v>
      </c>
    </row>
    <row r="77" spans="2:28">
      <c r="B77" s="37">
        <v>2026</v>
      </c>
      <c r="C77" s="51">
        <f>J68</f>
        <v>3980.49</v>
      </c>
      <c r="D77" s="36">
        <f>AB67</f>
        <v>19.136971153846154</v>
      </c>
    </row>
    <row r="78" spans="2:28">
      <c r="B78" s="37"/>
      <c r="C78" s="51"/>
      <c r="D78" s="36"/>
    </row>
    <row r="79" spans="2:28">
      <c r="C79" s="37" t="s">
        <v>195</v>
      </c>
    </row>
    <row r="80" spans="2:28">
      <c r="C80" s="37" t="s">
        <v>3</v>
      </c>
      <c r="D80" s="37" t="s">
        <v>4</v>
      </c>
      <c r="E80" s="37" t="s">
        <v>5</v>
      </c>
      <c r="F80" s="37" t="s">
        <v>338</v>
      </c>
      <c r="G80" s="37" t="s">
        <v>3831</v>
      </c>
    </row>
    <row r="81" spans="2:7">
      <c r="B81" t="s">
        <v>340</v>
      </c>
      <c r="C81" s="51"/>
      <c r="D81" s="51"/>
      <c r="E81" s="51"/>
      <c r="F81" s="51">
        <f>$I$53</f>
        <v>1860.64</v>
      </c>
      <c r="G81" s="51">
        <f>$J$53</f>
        <v>0</v>
      </c>
    </row>
    <row r="82" spans="2:7">
      <c r="B82" t="s">
        <v>175</v>
      </c>
      <c r="C82" s="51">
        <v>4513.01</v>
      </c>
      <c r="D82" s="51">
        <f>$G$55+$G$56</f>
        <v>4780.1100000000006</v>
      </c>
      <c r="E82" s="51">
        <f>$H$56+$H$55</f>
        <v>3886.01</v>
      </c>
      <c r="F82" s="51">
        <f>$I$56+$I$55</f>
        <v>2362.94</v>
      </c>
      <c r="G82" s="51">
        <f>$J$56+$J$55</f>
        <v>2214.75</v>
      </c>
    </row>
    <row r="83" spans="2:7">
      <c r="B83" t="s">
        <v>174</v>
      </c>
      <c r="C83" s="51">
        <v>3647.23</v>
      </c>
      <c r="D83" s="51">
        <f>$G$59</f>
        <v>5885.83</v>
      </c>
      <c r="E83" s="51">
        <f>$H$59</f>
        <v>6304.38</v>
      </c>
      <c r="F83" s="51">
        <f>$I$59+$I$60</f>
        <v>13741.16</v>
      </c>
      <c r="G83" s="51">
        <f>$J$59+$J$60</f>
        <v>0</v>
      </c>
    </row>
    <row r="84" spans="2:7">
      <c r="B84" t="s">
        <v>176</v>
      </c>
      <c r="C84" s="51">
        <v>1823.61</v>
      </c>
      <c r="D84" s="51">
        <f>$G$61</f>
        <v>1986.5500000000002</v>
      </c>
      <c r="E84" s="51">
        <f>$H$61</f>
        <v>3497.07</v>
      </c>
      <c r="F84" s="51">
        <f>$I$61</f>
        <v>4688.0497000000005</v>
      </c>
      <c r="G84" s="51">
        <f>$J$61</f>
        <v>1765.74</v>
      </c>
    </row>
    <row r="85" spans="2:7">
      <c r="B85" t="s">
        <v>63</v>
      </c>
      <c r="C85" s="51">
        <v>9977.4</v>
      </c>
      <c r="D85" s="51">
        <f>$G$62</f>
        <v>10250.58</v>
      </c>
      <c r="E85" s="51">
        <f>$H$62</f>
        <v>7397.2</v>
      </c>
      <c r="F85" s="51">
        <f>$I$62</f>
        <v>9223.7003000000004</v>
      </c>
      <c r="G85" s="51">
        <f>$J$62</f>
        <v>0</v>
      </c>
    </row>
    <row r="86" spans="2:7">
      <c r="B86" t="s">
        <v>198</v>
      </c>
      <c r="C86" s="51">
        <v>11780.650000000001</v>
      </c>
      <c r="D86" s="51">
        <f>$G$67-SUM(D81:D85)</f>
        <v>649.83000000000175</v>
      </c>
      <c r="E86" s="51">
        <f>$H67-SUM(E81:E85)</f>
        <v>2875.380000000001</v>
      </c>
      <c r="F86" s="51">
        <f>$I$54</f>
        <v>3223.16</v>
      </c>
      <c r="G86" s="51">
        <f>$J67-SUM(G81:G85)</f>
        <v>0</v>
      </c>
    </row>
    <row r="87" spans="2:7">
      <c r="B87" t="s">
        <v>16</v>
      </c>
      <c r="C87" s="51"/>
      <c r="D87" s="51"/>
      <c r="E87" s="51"/>
      <c r="F87" s="51"/>
      <c r="G87" s="51">
        <f>$C$31-SUM(G81:G86)</f>
        <v>33212.910000000003</v>
      </c>
    </row>
    <row r="88" spans="2:7">
      <c r="C88" s="55">
        <v>31741.9</v>
      </c>
      <c r="D88" s="55">
        <f>SUM(D81:D86)</f>
        <v>23552.9</v>
      </c>
      <c r="E88" s="55">
        <f>SUM(E81:E87)</f>
        <v>23960.04</v>
      </c>
      <c r="F88" s="55">
        <f>SUM(F81:F87)</f>
        <v>35099.649999999994</v>
      </c>
      <c r="G88" s="55">
        <f>SUM(G81:G87)</f>
        <v>37193.4</v>
      </c>
    </row>
    <row r="93" spans="2:7">
      <c r="B93" t="s">
        <v>341</v>
      </c>
      <c r="C93" s="181">
        <f>C95+C97+C96</f>
        <v>3980.49</v>
      </c>
    </row>
    <row r="94" spans="2:7">
      <c r="C94" s="108"/>
    </row>
    <row r="95" spans="2:7">
      <c r="B95" t="s">
        <v>342</v>
      </c>
      <c r="C95" s="181">
        <f>K9-C96</f>
        <v>3980.49</v>
      </c>
    </row>
    <row r="96" spans="2:7">
      <c r="B96" t="s">
        <v>220</v>
      </c>
      <c r="C96" s="181"/>
    </row>
    <row r="97" spans="2:3">
      <c r="C97" s="181"/>
    </row>
    <row r="98" spans="2:3">
      <c r="B98" s="179" t="s">
        <v>3859</v>
      </c>
      <c r="C98" s="52"/>
    </row>
    <row r="99" spans="2:3">
      <c r="B99" s="179"/>
      <c r="C99" s="51"/>
    </row>
  </sheetData>
  <sheetProtection formatCells="0" formatColumns="0" formatRows="0" insertColumns="0" insertRows="0" insertHyperlinks="0" deleteColumns="0" deleteRows="0" sort="0" autoFilter="0" pivotTables="0"/>
  <phoneticPr fontId="30" type="noConversion"/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104F4-AA0F-4AE5-A899-E635BD5198A2}">
  <dimension ref="A1:Z99"/>
  <sheetViews>
    <sheetView showGridLines="0" topLeftCell="A79" workbookViewId="0">
      <pane xSplit="2" topLeftCell="C1" activePane="topRight" state="frozen"/>
      <selection pane="topRight" activeCell="F111" sqref="F111"/>
    </sheetView>
  </sheetViews>
  <sheetFormatPr defaultRowHeight="15"/>
  <cols>
    <col min="1" max="1" width="13.85546875" customWidth="1"/>
    <col min="2" max="2" width="29.140625" customWidth="1"/>
    <col min="3" max="3" width="12.28515625" customWidth="1"/>
    <col min="4" max="4" width="10.140625" bestFit="1" customWidth="1"/>
    <col min="5" max="5" width="14.28515625" customWidth="1"/>
    <col min="7" max="8" width="10.7109375" customWidth="1"/>
    <col min="9" max="9" width="21.140625" customWidth="1"/>
    <col min="10" max="10" width="12.42578125" customWidth="1"/>
    <col min="11" max="11" width="11.7109375" customWidth="1"/>
    <col min="13" max="13" width="11.7109375" customWidth="1"/>
    <col min="14" max="14" width="9.7109375" bestFit="1" customWidth="1"/>
  </cols>
  <sheetData>
    <row r="1" spans="1:17">
      <c r="A1" t="s">
        <v>726</v>
      </c>
      <c r="B1" t="s">
        <v>182</v>
      </c>
      <c r="C1" s="59">
        <v>45970</v>
      </c>
    </row>
    <row r="2" spans="1:17">
      <c r="B2" s="37" t="s">
        <v>164</v>
      </c>
      <c r="I2" s="37" t="s">
        <v>172</v>
      </c>
    </row>
    <row r="3" spans="1:17" s="82" customFormat="1" ht="18">
      <c r="B3" s="82" t="s">
        <v>6</v>
      </c>
      <c r="C3" s="173">
        <v>45877</v>
      </c>
      <c r="F3" s="174" t="s">
        <v>350</v>
      </c>
      <c r="G3" s="174" t="s">
        <v>348</v>
      </c>
      <c r="H3" s="174" t="s">
        <v>349</v>
      </c>
      <c r="J3" s="174" t="s">
        <v>16</v>
      </c>
      <c r="K3" s="174" t="s">
        <v>17</v>
      </c>
      <c r="L3" s="174"/>
      <c r="M3" s="174" t="s">
        <v>13</v>
      </c>
      <c r="N3" s="174" t="s">
        <v>20</v>
      </c>
      <c r="Q3"/>
    </row>
    <row r="4" spans="1:17">
      <c r="B4" t="s">
        <v>7</v>
      </c>
      <c r="C4" s="35">
        <v>45970</v>
      </c>
      <c r="D4" t="s">
        <v>2917</v>
      </c>
      <c r="F4">
        <f>F12+F13</f>
        <v>909</v>
      </c>
      <c r="G4" s="201">
        <f>G12+G13</f>
        <v>909</v>
      </c>
      <c r="H4" s="171"/>
      <c r="I4" t="s">
        <v>174</v>
      </c>
      <c r="J4" s="51">
        <f>J12+J13</f>
        <v>14784</v>
      </c>
      <c r="K4" s="52">
        <f>K12+K13</f>
        <v>13741.16</v>
      </c>
      <c r="L4" s="49">
        <f t="shared" ref="L4:L9" si="0">K4/J4</f>
        <v>0.92946158008658009</v>
      </c>
      <c r="M4" s="50">
        <f>M12+M13</f>
        <v>837</v>
      </c>
      <c r="N4" s="176">
        <f t="shared" ref="N4:N9" si="1">IFERROR(K4/M4, "-" )</f>
        <v>16.417156511350061</v>
      </c>
    </row>
    <row r="5" spans="1:17">
      <c r="B5" t="s">
        <v>303</v>
      </c>
      <c r="C5" s="35">
        <f>C4</f>
        <v>45970</v>
      </c>
      <c r="D5" s="35">
        <v>45950</v>
      </c>
      <c r="F5">
        <f>F14+F15</f>
        <v>211</v>
      </c>
      <c r="G5" s="201">
        <f>G14+G15</f>
        <v>219</v>
      </c>
      <c r="H5" s="171"/>
      <c r="I5" t="s">
        <v>175</v>
      </c>
      <c r="J5" s="51">
        <f>J14+J15</f>
        <v>3690</v>
      </c>
      <c r="K5" s="52">
        <f>K14+K15</f>
        <v>2362.94</v>
      </c>
      <c r="L5" s="49">
        <f t="shared" si="0"/>
        <v>0.64036314363143632</v>
      </c>
      <c r="M5" s="50">
        <f>M14+M15</f>
        <v>219</v>
      </c>
      <c r="N5" s="176">
        <f t="shared" si="1"/>
        <v>10.789680365296803</v>
      </c>
    </row>
    <row r="6" spans="1:17">
      <c r="B6" t="s">
        <v>178</v>
      </c>
      <c r="C6" s="48">
        <f>C5-C3+1</f>
        <v>94</v>
      </c>
      <c r="F6">
        <v>125</v>
      </c>
      <c r="G6" s="201">
        <v>125</v>
      </c>
      <c r="H6" s="171">
        <v>18</v>
      </c>
      <c r="I6" t="s">
        <v>340</v>
      </c>
      <c r="J6">
        <f>G6*H6</f>
        <v>2250</v>
      </c>
      <c r="K6" s="52">
        <f>'Кукуруза Агролидер'!C18</f>
        <v>1860.64</v>
      </c>
      <c r="L6" s="49">
        <f t="shared" si="0"/>
        <v>0.82695111111111119</v>
      </c>
      <c r="M6" s="50">
        <f>'Кукуруза Агролидер'!E18</f>
        <v>124.99999999999999</v>
      </c>
      <c r="N6" s="176">
        <f t="shared" si="1"/>
        <v>14.885120000000002</v>
      </c>
    </row>
    <row r="7" spans="1:17">
      <c r="B7" t="s">
        <v>165</v>
      </c>
      <c r="C7" s="60">
        <f>C1-C3+1</f>
        <v>94</v>
      </c>
      <c r="F7">
        <v>300</v>
      </c>
      <c r="G7" s="202">
        <f>180+88</f>
        <v>268</v>
      </c>
      <c r="H7" s="171">
        <v>18</v>
      </c>
      <c r="I7" t="s">
        <v>344</v>
      </c>
      <c r="J7">
        <f>G7*H7</f>
        <v>4824</v>
      </c>
      <c r="K7" s="52">
        <f>'Кукуруза Братковский'!C18</f>
        <v>3223.16</v>
      </c>
      <c r="L7" s="49">
        <f t="shared" si="0"/>
        <v>0.66815091210613597</v>
      </c>
      <c r="M7" s="50">
        <f>'Кукуруза Братковский'!E18</f>
        <v>268</v>
      </c>
      <c r="N7" s="176">
        <f t="shared" si="1"/>
        <v>12.026716417910448</v>
      </c>
    </row>
    <row r="8" spans="1:17">
      <c r="B8" t="s">
        <v>164</v>
      </c>
      <c r="C8" s="53">
        <f>C7/C6</f>
        <v>1</v>
      </c>
      <c r="F8">
        <v>285</v>
      </c>
      <c r="G8" s="201">
        <v>297</v>
      </c>
      <c r="H8" s="171">
        <v>17</v>
      </c>
      <c r="I8" t="s">
        <v>176</v>
      </c>
      <c r="J8" s="51">
        <f>G8*H8</f>
        <v>5049</v>
      </c>
      <c r="K8" s="52">
        <f>'Кукуруза Кирова'!C18</f>
        <v>1765.74</v>
      </c>
      <c r="L8" s="49">
        <f t="shared" si="0"/>
        <v>0.34972073677956034</v>
      </c>
      <c r="M8" s="50">
        <f>'Кукуруза Кирова'!E18</f>
        <v>91</v>
      </c>
      <c r="N8" s="176">
        <f t="shared" si="1"/>
        <v>19.403736263736263</v>
      </c>
    </row>
    <row r="9" spans="1:17">
      <c r="F9">
        <v>436</v>
      </c>
      <c r="G9" s="201">
        <v>451</v>
      </c>
      <c r="H9" s="177">
        <v>19</v>
      </c>
      <c r="I9" t="s">
        <v>63</v>
      </c>
      <c r="J9" s="51">
        <f>G9*H9</f>
        <v>8569</v>
      </c>
      <c r="K9" s="52">
        <f>'Кукуруза Колос'!C17</f>
        <v>9223.7003000000004</v>
      </c>
      <c r="L9" s="49">
        <f t="shared" si="0"/>
        <v>1.0764033492822966</v>
      </c>
      <c r="M9" s="230">
        <f>'Кукуруза Колос'!E17</f>
        <v>451.02948004836759</v>
      </c>
      <c r="N9" s="176">
        <f t="shared" si="1"/>
        <v>20.45032688109626</v>
      </c>
    </row>
    <row r="10" spans="1:17">
      <c r="F10" s="37">
        <f>SUM(F4:F9)</f>
        <v>2266</v>
      </c>
      <c r="G10" s="203">
        <f>SUM(G4:G9)</f>
        <v>2269</v>
      </c>
      <c r="J10" s="55">
        <f>SUM(J4:J9)</f>
        <v>39166</v>
      </c>
      <c r="K10" s="55">
        <f>SUM(K4:K9)</f>
        <v>32177.340300000003</v>
      </c>
      <c r="L10" s="55"/>
      <c r="M10" s="175">
        <f>SUM(M4:M9)</f>
        <v>1991.0294800483675</v>
      </c>
      <c r="N10" s="37"/>
    </row>
    <row r="11" spans="1:17">
      <c r="B11" s="37" t="s">
        <v>13</v>
      </c>
      <c r="K11" s="51"/>
      <c r="L11" s="51"/>
      <c r="M11" s="36"/>
    </row>
    <row r="12" spans="1:17">
      <c r="B12" s="172" t="s">
        <v>343</v>
      </c>
      <c r="C12" s="51">
        <v>2266</v>
      </c>
      <c r="F12">
        <v>343</v>
      </c>
      <c r="G12">
        <v>343</v>
      </c>
      <c r="H12">
        <v>20</v>
      </c>
      <c r="I12" t="s">
        <v>189</v>
      </c>
      <c r="J12" s="51">
        <f>G12*H12</f>
        <v>6860</v>
      </c>
      <c r="K12" s="51">
        <f>'Кукуруза Иррико сахар'!C19</f>
        <v>5445.72</v>
      </c>
      <c r="L12" s="51"/>
      <c r="M12">
        <f>'Кукуруза Иррико сахар'!E19</f>
        <v>343</v>
      </c>
    </row>
    <row r="13" spans="1:17">
      <c r="A13" t="s">
        <v>351</v>
      </c>
      <c r="B13" s="172" t="s">
        <v>16</v>
      </c>
      <c r="C13" s="52">
        <f>G10</f>
        <v>2269</v>
      </c>
      <c r="F13">
        <v>566</v>
      </c>
      <c r="G13">
        <v>566</v>
      </c>
      <c r="H13">
        <v>14</v>
      </c>
      <c r="I13" t="s">
        <v>335</v>
      </c>
      <c r="J13" s="51">
        <f>G13*H13</f>
        <v>7924</v>
      </c>
      <c r="K13" s="51">
        <f>'Кукуруза Иррико суперсл'!C18</f>
        <v>8295.44</v>
      </c>
      <c r="L13" s="51"/>
      <c r="M13">
        <f>'Кукуруза Иррико суперсл'!E18</f>
        <v>494</v>
      </c>
    </row>
    <row r="14" spans="1:17">
      <c r="B14" t="s">
        <v>302</v>
      </c>
      <c r="C14" s="51"/>
      <c r="F14">
        <v>75</v>
      </c>
      <c r="G14">
        <v>156</v>
      </c>
      <c r="H14">
        <v>18</v>
      </c>
      <c r="I14" t="s">
        <v>186</v>
      </c>
      <c r="J14" s="51">
        <f>G14*H14</f>
        <v>2808</v>
      </c>
      <c r="K14" s="51">
        <f>'Кукуруза сахарная ГРК'!C21</f>
        <v>1812.05</v>
      </c>
      <c r="M14">
        <f>'Кукуруза сахарная ГРК'!E21</f>
        <v>156</v>
      </c>
    </row>
    <row r="15" spans="1:17">
      <c r="B15" t="s">
        <v>17</v>
      </c>
      <c r="C15" s="52">
        <f>M10</f>
        <v>1991.0294800483675</v>
      </c>
      <c r="D15" s="61"/>
      <c r="F15">
        <v>136</v>
      </c>
      <c r="G15">
        <v>63</v>
      </c>
      <c r="H15">
        <v>14</v>
      </c>
      <c r="I15" t="s">
        <v>197</v>
      </c>
      <c r="J15" s="51">
        <f>G15*H15</f>
        <v>882</v>
      </c>
      <c r="K15" s="51">
        <f>'Кукуруза суперсл ГРК'!H10</f>
        <v>550.89</v>
      </c>
      <c r="M15">
        <f>'Кукуруза суперсл ГРК'!H12</f>
        <v>63</v>
      </c>
    </row>
    <row r="16" spans="1:17">
      <c r="B16" t="s">
        <v>166</v>
      </c>
      <c r="C16" s="53">
        <f>C15/C13</f>
        <v>0.87749205819672438</v>
      </c>
      <c r="E16" s="53"/>
    </row>
    <row r="17" spans="2:6">
      <c r="C17" s="51"/>
    </row>
    <row r="19" spans="2:6">
      <c r="B19" t="s">
        <v>108</v>
      </c>
      <c r="C19" s="61">
        <f>M10-C20</f>
        <v>1434.0294800483675</v>
      </c>
      <c r="E19" t="s">
        <v>304</v>
      </c>
    </row>
    <row r="20" spans="2:6">
      <c r="B20" t="s">
        <v>109</v>
      </c>
      <c r="C20">
        <f>M13+M15</f>
        <v>557</v>
      </c>
      <c r="E20" t="s">
        <v>304</v>
      </c>
    </row>
    <row r="22" spans="2:6">
      <c r="B22" s="37" t="s">
        <v>167</v>
      </c>
    </row>
    <row r="23" spans="2:6">
      <c r="B23" t="s">
        <v>168</v>
      </c>
      <c r="C23" s="230">
        <f>M10</f>
        <v>1991.0294800483675</v>
      </c>
    </row>
    <row r="24" spans="2:6">
      <c r="B24" t="s">
        <v>169</v>
      </c>
      <c r="C24" s="231">
        <v>72</v>
      </c>
    </row>
    <row r="25" spans="2:6">
      <c r="B25" t="s">
        <v>170</v>
      </c>
      <c r="C25" s="231">
        <f>C27-C23-C24</f>
        <v>205.97051995163247</v>
      </c>
    </row>
    <row r="27" spans="2:6">
      <c r="B27" t="s">
        <v>16</v>
      </c>
      <c r="C27" s="51">
        <f>C13</f>
        <v>2269</v>
      </c>
    </row>
    <row r="28" spans="2:6">
      <c r="C28" s="36"/>
    </row>
    <row r="29" spans="2:6">
      <c r="B29" s="37" t="s">
        <v>171</v>
      </c>
    </row>
    <row r="30" spans="2:6">
      <c r="B30" s="172" t="s">
        <v>343</v>
      </c>
      <c r="C30" s="51">
        <v>38817</v>
      </c>
      <c r="D30" t="s">
        <v>347</v>
      </c>
    </row>
    <row r="31" spans="2:6">
      <c r="B31" t="s">
        <v>16</v>
      </c>
      <c r="C31" s="52">
        <f>J10</f>
        <v>39166</v>
      </c>
      <c r="D31" t="s">
        <v>347</v>
      </c>
      <c r="E31" s="191">
        <f>C31/C30-1</f>
        <v>8.9909060463198021E-3</v>
      </c>
      <c r="F31" s="51">
        <f>C31-C30</f>
        <v>349</v>
      </c>
    </row>
    <row r="32" spans="2:6">
      <c r="B32" t="s">
        <v>302</v>
      </c>
      <c r="C32" s="51"/>
    </row>
    <row r="33" spans="2:5">
      <c r="B33" t="s">
        <v>17</v>
      </c>
      <c r="C33" s="52">
        <f>K10</f>
        <v>32177.340300000003</v>
      </c>
      <c r="D33" s="58" t="s">
        <v>347</v>
      </c>
    </row>
    <row r="34" spans="2:5">
      <c r="B34" t="s">
        <v>166</v>
      </c>
      <c r="C34" s="53">
        <f>C33/C31</f>
        <v>0.82156309809528683</v>
      </c>
      <c r="E34" s="53"/>
    </row>
    <row r="35" spans="2:5">
      <c r="C35" s="178" t="s">
        <v>304</v>
      </c>
      <c r="D35" t="s">
        <v>282</v>
      </c>
      <c r="E35" s="178" t="s">
        <v>353</v>
      </c>
    </row>
    <row r="36" spans="2:5">
      <c r="B36" t="s">
        <v>108</v>
      </c>
      <c r="C36" s="51">
        <f>K10-C37</f>
        <v>23331.010300000002</v>
      </c>
      <c r="D36" s="51">
        <f>J10-D37</f>
        <v>30360</v>
      </c>
      <c r="E36" s="51">
        <f>D36-C36</f>
        <v>7028.9896999999983</v>
      </c>
    </row>
    <row r="37" spans="2:5">
      <c r="B37" t="s">
        <v>109</v>
      </c>
      <c r="C37" s="51">
        <f>K13+K15</f>
        <v>8846.33</v>
      </c>
      <c r="D37" s="51">
        <f>J13+J15</f>
        <v>8806</v>
      </c>
      <c r="E37" s="51">
        <f>D37-C37</f>
        <v>-40.329999999999927</v>
      </c>
    </row>
    <row r="39" spans="2:5">
      <c r="C39" s="36"/>
    </row>
    <row r="40" spans="2:5">
      <c r="B40" s="37" t="s">
        <v>181</v>
      </c>
    </row>
    <row r="41" spans="2:5">
      <c r="B41" s="172" t="s">
        <v>343</v>
      </c>
    </row>
    <row r="42" spans="2:5">
      <c r="B42" t="s">
        <v>16</v>
      </c>
      <c r="C42" s="36">
        <f>C31/C13</f>
        <v>17.261348611723225</v>
      </c>
    </row>
    <row r="43" spans="2:5">
      <c r="B43" t="s">
        <v>302</v>
      </c>
      <c r="C43" s="36"/>
    </row>
    <row r="44" spans="2:5">
      <c r="B44" t="s">
        <v>17</v>
      </c>
      <c r="C44" s="36">
        <f>C33/C15</f>
        <v>16.161157141288701</v>
      </c>
      <c r="D44" s="108">
        <f>C44</f>
        <v>16.161157141288701</v>
      </c>
    </row>
    <row r="46" spans="2:5">
      <c r="B46" t="s">
        <v>108</v>
      </c>
      <c r="C46" s="108">
        <f>IFERROR(C36/C19, "-")</f>
        <v>16.269547191744682</v>
      </c>
      <c r="E46" t="s">
        <v>304</v>
      </c>
    </row>
    <row r="47" spans="2:5">
      <c r="B47" t="s">
        <v>109</v>
      </c>
      <c r="C47" s="108">
        <f>IFERROR(C37/C20, "-")</f>
        <v>15.882100538599641</v>
      </c>
      <c r="E47" t="s">
        <v>304</v>
      </c>
    </row>
    <row r="49" spans="2:25">
      <c r="C49" s="37" t="s">
        <v>195</v>
      </c>
      <c r="K49" s="37" t="s">
        <v>37</v>
      </c>
      <c r="S49" s="37" t="s">
        <v>181</v>
      </c>
    </row>
    <row r="50" spans="2:25">
      <c r="B50" s="37" t="s">
        <v>185</v>
      </c>
    </row>
    <row r="51" spans="2:25">
      <c r="C51" s="37">
        <v>2019</v>
      </c>
      <c r="D51" s="37">
        <v>2020</v>
      </c>
      <c r="E51" s="37">
        <v>2021</v>
      </c>
      <c r="F51" s="37">
        <v>2022</v>
      </c>
      <c r="G51" s="37">
        <v>2023</v>
      </c>
      <c r="H51" s="37">
        <v>2024</v>
      </c>
      <c r="I51" s="37">
        <v>2025</v>
      </c>
      <c r="K51" s="37">
        <v>2019</v>
      </c>
      <c r="L51" s="37">
        <v>2020</v>
      </c>
      <c r="M51" s="37">
        <v>2021</v>
      </c>
      <c r="N51" s="37">
        <v>2022</v>
      </c>
      <c r="O51" s="37">
        <v>2023</v>
      </c>
      <c r="P51" s="37">
        <v>2024</v>
      </c>
      <c r="Q51" s="37">
        <v>2025</v>
      </c>
      <c r="S51" s="37">
        <v>2019</v>
      </c>
      <c r="T51" s="37">
        <v>2020</v>
      </c>
      <c r="U51" s="37">
        <v>2021</v>
      </c>
      <c r="V51" s="37">
        <v>2022</v>
      </c>
      <c r="W51" s="37">
        <v>2023</v>
      </c>
      <c r="X51" s="37">
        <v>2024</v>
      </c>
      <c r="Y51" s="37">
        <v>2025</v>
      </c>
    </row>
    <row r="52" spans="2:25">
      <c r="B52" t="s">
        <v>196</v>
      </c>
      <c r="C52" s="51"/>
      <c r="D52" s="51">
        <v>15589.84</v>
      </c>
      <c r="E52" s="51">
        <v>8061.38</v>
      </c>
      <c r="F52" s="51">
        <v>4279.68</v>
      </c>
      <c r="G52" s="51"/>
      <c r="H52" s="51"/>
      <c r="I52" s="52"/>
      <c r="K52" s="51"/>
      <c r="L52" s="51">
        <v>791</v>
      </c>
      <c r="M52" s="51">
        <v>411.65</v>
      </c>
      <c r="N52" s="51">
        <v>270.82</v>
      </c>
      <c r="O52" s="51">
        <v>0</v>
      </c>
      <c r="Q52" s="50"/>
      <c r="S52" s="51"/>
      <c r="T52" s="36">
        <f>D52/L52</f>
        <v>19.709026548672565</v>
      </c>
      <c r="U52" s="36">
        <f>E52/M52</f>
        <v>19.58309243289202</v>
      </c>
      <c r="V52" s="36">
        <f>F52/N52</f>
        <v>15.802673362380919</v>
      </c>
      <c r="W52" s="36"/>
      <c r="X52" s="107"/>
      <c r="Y52" s="107"/>
    </row>
    <row r="53" spans="2:25">
      <c r="B53" s="168" t="s">
        <v>336</v>
      </c>
      <c r="C53" s="169"/>
      <c r="D53" s="169"/>
      <c r="E53" s="169"/>
      <c r="F53" s="169"/>
      <c r="G53" s="169"/>
      <c r="H53" s="169"/>
      <c r="I53" s="169">
        <f>'Кукуруза Агролидер'!C18</f>
        <v>1860.64</v>
      </c>
      <c r="J53" s="168"/>
      <c r="K53" s="169"/>
      <c r="L53" s="169"/>
      <c r="M53" s="169"/>
      <c r="N53" s="169"/>
      <c r="O53" s="169"/>
      <c r="P53" s="168"/>
      <c r="Q53" s="168">
        <f>'Кукуруза Агролидер'!E18</f>
        <v>124.99999999999999</v>
      </c>
      <c r="R53" s="168"/>
      <c r="S53" s="169"/>
      <c r="T53" s="170"/>
      <c r="U53" s="170"/>
      <c r="V53" s="170"/>
      <c r="W53" s="170"/>
      <c r="X53" s="170"/>
      <c r="Y53" s="170">
        <f>I53/Q53</f>
        <v>14.885120000000002</v>
      </c>
    </row>
    <row r="54" spans="2:25">
      <c r="B54" s="168" t="s">
        <v>352</v>
      </c>
      <c r="C54" s="169"/>
      <c r="D54" s="169"/>
      <c r="E54" s="169"/>
      <c r="F54" s="169"/>
      <c r="G54" s="169"/>
      <c r="H54" s="169"/>
      <c r="I54" s="169">
        <f>'Кукуруза Братковский'!C18</f>
        <v>3223.16</v>
      </c>
      <c r="J54" s="168"/>
      <c r="K54" s="169"/>
      <c r="L54" s="169"/>
      <c r="M54" s="169"/>
      <c r="N54" s="169"/>
      <c r="O54" s="169"/>
      <c r="P54" s="168"/>
      <c r="Q54" s="168">
        <f>'Кукуруза Братковский'!E18</f>
        <v>268</v>
      </c>
      <c r="R54" s="168"/>
      <c r="S54" s="169"/>
      <c r="T54" s="170"/>
      <c r="U54" s="170"/>
      <c r="V54" s="170"/>
      <c r="W54" s="170"/>
      <c r="X54" s="170"/>
      <c r="Y54" s="170">
        <f>I54/Q54</f>
        <v>12.026716417910448</v>
      </c>
    </row>
    <row r="55" spans="2:25">
      <c r="B55" s="168" t="s">
        <v>186</v>
      </c>
      <c r="C55" s="169"/>
      <c r="D55" s="169"/>
      <c r="E55" s="169"/>
      <c r="F55" s="169"/>
      <c r="G55" s="169">
        <v>2829.55</v>
      </c>
      <c r="H55" s="169">
        <v>178.65</v>
      </c>
      <c r="I55" s="169">
        <f>'Кукуруза сахарная ГРК'!C21</f>
        <v>1812.05</v>
      </c>
      <c r="J55" s="168"/>
      <c r="K55" s="169"/>
      <c r="L55" s="169"/>
      <c r="M55" s="169"/>
      <c r="N55" s="169"/>
      <c r="O55" s="169">
        <v>197.60000000000002</v>
      </c>
      <c r="P55" s="168">
        <v>23</v>
      </c>
      <c r="Q55" s="168">
        <f>'Кукуруза сахарная ГРК'!E21</f>
        <v>156</v>
      </c>
      <c r="R55" s="168"/>
      <c r="S55" s="169"/>
      <c r="T55" s="170"/>
      <c r="U55" s="170"/>
      <c r="V55" s="170"/>
      <c r="W55" s="170">
        <f t="shared" ref="W55:Y56" si="2">G55/O55</f>
        <v>14.319585020242915</v>
      </c>
      <c r="X55" s="170">
        <f t="shared" si="2"/>
        <v>7.767391304347826</v>
      </c>
      <c r="Y55" s="170">
        <f t="shared" si="2"/>
        <v>11.615705128205128</v>
      </c>
    </row>
    <row r="56" spans="2:25">
      <c r="B56" s="168" t="s">
        <v>197</v>
      </c>
      <c r="C56" s="169"/>
      <c r="D56" s="169">
        <v>6271.2</v>
      </c>
      <c r="E56" s="169">
        <v>4487.5</v>
      </c>
      <c r="F56" s="169">
        <v>4513.01</v>
      </c>
      <c r="G56" s="169">
        <v>1950.56</v>
      </c>
      <c r="H56" s="169">
        <v>3707.36</v>
      </c>
      <c r="I56" s="169">
        <f>'Кукуруза суперсл ГРК'!H10</f>
        <v>550.89</v>
      </c>
      <c r="J56" s="168"/>
      <c r="K56" s="169"/>
      <c r="L56" s="169">
        <v>411</v>
      </c>
      <c r="M56" s="169">
        <v>315</v>
      </c>
      <c r="N56" s="169">
        <v>400</v>
      </c>
      <c r="O56" s="169">
        <v>142.69999999999999</v>
      </c>
      <c r="P56" s="168">
        <v>459</v>
      </c>
      <c r="Q56" s="168">
        <f>'Кукуруза суперсл ГРК'!H12</f>
        <v>63</v>
      </c>
      <c r="R56" s="168"/>
      <c r="S56" s="169"/>
      <c r="T56" s="170">
        <f t="shared" ref="T56:V58" si="3">D56/L56</f>
        <v>15.258394160583942</v>
      </c>
      <c r="U56" s="170">
        <f t="shared" si="3"/>
        <v>14.246031746031745</v>
      </c>
      <c r="V56" s="170">
        <f t="shared" si="3"/>
        <v>11.282525</v>
      </c>
      <c r="W56" s="170">
        <f t="shared" si="2"/>
        <v>13.66895585143658</v>
      </c>
      <c r="X56" s="170">
        <f t="shared" si="2"/>
        <v>8.0770370370370372</v>
      </c>
      <c r="Y56" s="170">
        <f t="shared" si="2"/>
        <v>8.7442857142857147</v>
      </c>
    </row>
    <row r="57" spans="2:25">
      <c r="B57" t="s">
        <v>187</v>
      </c>
      <c r="C57" s="51"/>
      <c r="D57" s="51">
        <v>7230.23</v>
      </c>
      <c r="E57" s="51">
        <v>7910.3599999999988</v>
      </c>
      <c r="F57" s="51">
        <v>2840.27</v>
      </c>
      <c r="G57" s="51"/>
      <c r="H57" s="51"/>
      <c r="I57" s="52"/>
      <c r="K57" s="51"/>
      <c r="L57" s="51">
        <v>415</v>
      </c>
      <c r="M57" s="51">
        <v>482.2</v>
      </c>
      <c r="N57" s="51">
        <v>155.12</v>
      </c>
      <c r="O57" s="51"/>
      <c r="Q57" s="50"/>
      <c r="S57" s="51"/>
      <c r="T57" s="36">
        <f t="shared" si="3"/>
        <v>17.422240963855419</v>
      </c>
      <c r="U57" s="36">
        <f t="shared" si="3"/>
        <v>16.4047283284944</v>
      </c>
      <c r="V57" s="36">
        <f t="shared" si="3"/>
        <v>18.310146982980918</v>
      </c>
      <c r="W57" s="36"/>
      <c r="X57" s="107"/>
      <c r="Y57" s="107"/>
    </row>
    <row r="58" spans="2:25">
      <c r="B58" t="s">
        <v>188</v>
      </c>
      <c r="C58" s="51"/>
      <c r="D58" s="51">
        <v>2466.02</v>
      </c>
      <c r="E58" s="51">
        <v>4706.8399999999992</v>
      </c>
      <c r="F58" s="51">
        <v>3078.48</v>
      </c>
      <c r="G58" s="51"/>
      <c r="H58" s="51"/>
      <c r="I58" s="52"/>
      <c r="K58" s="51"/>
      <c r="L58" s="51">
        <v>200</v>
      </c>
      <c r="M58" s="51">
        <v>257</v>
      </c>
      <c r="N58" s="51">
        <v>186</v>
      </c>
      <c r="O58" s="51"/>
      <c r="Q58" s="50"/>
      <c r="S58" s="51"/>
      <c r="T58" s="36">
        <f t="shared" si="3"/>
        <v>12.3301</v>
      </c>
      <c r="U58" s="36">
        <f t="shared" si="3"/>
        <v>18.314552529182876</v>
      </c>
      <c r="V58" s="36">
        <f t="shared" si="3"/>
        <v>16.550967741935484</v>
      </c>
      <c r="W58" s="36"/>
      <c r="X58" s="107"/>
      <c r="Y58" s="107"/>
    </row>
    <row r="59" spans="2:25">
      <c r="B59" s="168" t="s">
        <v>189</v>
      </c>
      <c r="C59" s="169"/>
      <c r="D59" s="169"/>
      <c r="E59" s="169"/>
      <c r="F59" s="169">
        <v>3647.23</v>
      </c>
      <c r="G59" s="169">
        <v>5885.83</v>
      </c>
      <c r="H59" s="169">
        <v>6304.38</v>
      </c>
      <c r="I59" s="169">
        <f>'Кукуруза Иррико сахар'!C19</f>
        <v>5445.72</v>
      </c>
      <c r="J59" s="168"/>
      <c r="K59" s="169"/>
      <c r="L59" s="169"/>
      <c r="M59" s="169"/>
      <c r="N59" s="169">
        <v>274.04000000000002</v>
      </c>
      <c r="O59" s="169">
        <v>304.89999999999998</v>
      </c>
      <c r="P59" s="168">
        <v>305</v>
      </c>
      <c r="Q59" s="168">
        <f>'Кукуруза Иррико сахар'!E19</f>
        <v>343</v>
      </c>
      <c r="R59" s="168"/>
      <c r="S59" s="169"/>
      <c r="T59" s="170"/>
      <c r="U59" s="170"/>
      <c r="V59" s="170">
        <f>F59/N59</f>
        <v>13.30911545759743</v>
      </c>
      <c r="W59" s="170">
        <f>G59/O59</f>
        <v>19.304132502459826</v>
      </c>
      <c r="X59" s="170">
        <f>H59/P59</f>
        <v>20.670098360655739</v>
      </c>
      <c r="Y59" s="170">
        <f>I59/Q59</f>
        <v>15.876734693877552</v>
      </c>
    </row>
    <row r="60" spans="2:25">
      <c r="B60" s="168" t="s">
        <v>335</v>
      </c>
      <c r="C60" s="169"/>
      <c r="D60" s="169"/>
      <c r="E60" s="169"/>
      <c r="F60" s="169"/>
      <c r="G60" s="169"/>
      <c r="H60" s="169"/>
      <c r="I60" s="169">
        <f>'Кукуруза Иррико суперсл'!C18</f>
        <v>8295.44</v>
      </c>
      <c r="J60" s="168"/>
      <c r="K60" s="169"/>
      <c r="L60" s="169"/>
      <c r="M60" s="169"/>
      <c r="N60" s="169"/>
      <c r="O60" s="169"/>
      <c r="P60" s="168"/>
      <c r="Q60" s="168">
        <f>'Кукуруза Иррико суперсл'!H12</f>
        <v>494</v>
      </c>
      <c r="R60" s="168"/>
      <c r="S60" s="169"/>
      <c r="T60" s="170"/>
      <c r="U60" s="170"/>
      <c r="V60" s="170"/>
      <c r="W60" s="170"/>
      <c r="X60" s="170"/>
      <c r="Y60" s="170">
        <f>I60/Q60</f>
        <v>16.792388663967614</v>
      </c>
    </row>
    <row r="61" spans="2:25">
      <c r="B61" s="168" t="s">
        <v>190</v>
      </c>
      <c r="C61" s="169"/>
      <c r="D61" s="169"/>
      <c r="E61" s="169"/>
      <c r="F61" s="169">
        <v>1823.61</v>
      </c>
      <c r="G61" s="169">
        <v>1986.5500000000002</v>
      </c>
      <c r="H61" s="169">
        <v>3497.07</v>
      </c>
      <c r="I61" s="169">
        <f>'Кукуруза Кирова'!C18</f>
        <v>1765.74</v>
      </c>
      <c r="J61" s="168"/>
      <c r="K61" s="169"/>
      <c r="L61" s="169"/>
      <c r="M61" s="169"/>
      <c r="N61" s="169">
        <v>110</v>
      </c>
      <c r="O61" s="169">
        <v>136</v>
      </c>
      <c r="P61" s="168">
        <v>302</v>
      </c>
      <c r="Q61" s="168">
        <f>'Кукуруза Кирова'!E18</f>
        <v>91</v>
      </c>
      <c r="R61" s="168"/>
      <c r="S61" s="169"/>
      <c r="T61" s="170"/>
      <c r="U61" s="170"/>
      <c r="V61" s="170">
        <f t="shared" ref="V61:X62" si="4">F61/N61</f>
        <v>16.578272727272726</v>
      </c>
      <c r="W61" s="170">
        <f t="shared" si="4"/>
        <v>14.606985294117649</v>
      </c>
      <c r="X61" s="170">
        <f t="shared" si="4"/>
        <v>11.579701986754968</v>
      </c>
      <c r="Y61" s="170">
        <f>I61/Q61</f>
        <v>19.403736263736263</v>
      </c>
    </row>
    <row r="62" spans="2:25">
      <c r="B62" s="168" t="s">
        <v>191</v>
      </c>
      <c r="C62" s="169"/>
      <c r="D62" s="169">
        <v>9394.42</v>
      </c>
      <c r="E62" s="169">
        <v>7409.64</v>
      </c>
      <c r="F62" s="169">
        <v>9977.4</v>
      </c>
      <c r="G62" s="169">
        <v>10250.58</v>
      </c>
      <c r="H62" s="169">
        <v>7397.2</v>
      </c>
      <c r="I62" s="169">
        <f>'Кукуруза Колос'!C17</f>
        <v>9223.7003000000004</v>
      </c>
      <c r="J62" s="168"/>
      <c r="K62" s="169"/>
      <c r="L62" s="169">
        <v>459</v>
      </c>
      <c r="M62" s="169">
        <v>448.5</v>
      </c>
      <c r="N62" s="169">
        <v>510</v>
      </c>
      <c r="O62" s="169">
        <v>552.6</v>
      </c>
      <c r="P62" s="168">
        <v>460.5</v>
      </c>
      <c r="Q62" s="168">
        <f>'Кукуруза Колос'!E17</f>
        <v>451.02948004836759</v>
      </c>
      <c r="R62" s="168"/>
      <c r="S62" s="169"/>
      <c r="T62" s="170">
        <f>D62/L62</f>
        <v>20.467145969498912</v>
      </c>
      <c r="U62" s="170">
        <f>E62/M62</f>
        <v>16.520936454849497</v>
      </c>
      <c r="V62" s="170">
        <f t="shared" si="4"/>
        <v>19.563529411764705</v>
      </c>
      <c r="W62" s="170">
        <f t="shared" si="4"/>
        <v>18.549728555917479</v>
      </c>
      <c r="X62" s="170">
        <f t="shared" si="4"/>
        <v>16.06340933767644</v>
      </c>
      <c r="Y62" s="170">
        <f>I62/Q62</f>
        <v>20.45032688109626</v>
      </c>
    </row>
    <row r="63" spans="2:25">
      <c r="B63" t="s">
        <v>192</v>
      </c>
      <c r="C63" s="51"/>
      <c r="D63" s="51"/>
      <c r="E63" s="51"/>
      <c r="F63" s="51"/>
      <c r="G63" s="51">
        <v>649.82999999999993</v>
      </c>
      <c r="H63" s="51"/>
      <c r="I63" s="52"/>
      <c r="K63" s="51"/>
      <c r="L63" s="51"/>
      <c r="M63" s="51"/>
      <c r="N63" s="51"/>
      <c r="O63" s="51">
        <v>256.39999999999998</v>
      </c>
      <c r="Q63" s="50"/>
      <c r="S63" s="51"/>
      <c r="T63" s="36"/>
      <c r="U63" s="36"/>
      <c r="V63" s="36"/>
      <c r="W63" s="36">
        <f>G63/O63</f>
        <v>2.5344383775351012</v>
      </c>
      <c r="X63" s="107"/>
      <c r="Y63" s="107"/>
    </row>
    <row r="64" spans="2:25">
      <c r="B64" t="s">
        <v>193</v>
      </c>
      <c r="C64" s="51"/>
      <c r="D64" s="51"/>
      <c r="E64" s="51"/>
      <c r="F64" s="51">
        <v>1582.22</v>
      </c>
      <c r="G64" s="51"/>
      <c r="H64" s="51"/>
      <c r="I64" s="52"/>
      <c r="K64" s="51"/>
      <c r="L64" s="51"/>
      <c r="M64" s="51"/>
      <c r="N64" s="51">
        <v>110</v>
      </c>
      <c r="O64" s="51"/>
      <c r="Q64" s="50"/>
      <c r="S64" s="51"/>
      <c r="T64" s="36"/>
      <c r="U64" s="36"/>
      <c r="V64" s="36">
        <f>F64/N64</f>
        <v>14.383818181818182</v>
      </c>
      <c r="W64" s="36"/>
      <c r="X64" s="107"/>
      <c r="Y64" s="107"/>
    </row>
    <row r="65" spans="2:26">
      <c r="B65" t="s">
        <v>334</v>
      </c>
      <c r="C65" s="51"/>
      <c r="D65" s="51"/>
      <c r="E65" s="51"/>
      <c r="F65" s="51"/>
      <c r="G65" s="51"/>
      <c r="H65" s="51">
        <v>499.75</v>
      </c>
      <c r="I65" s="52"/>
      <c r="K65" s="51"/>
      <c r="L65" s="51"/>
      <c r="M65" s="51"/>
      <c r="N65" s="51"/>
      <c r="O65" s="51"/>
      <c r="P65">
        <v>112</v>
      </c>
      <c r="Q65" s="50"/>
      <c r="S65" s="51"/>
      <c r="T65" s="36"/>
      <c r="U65" s="36"/>
      <c r="V65" s="36"/>
      <c r="W65" s="36"/>
      <c r="X65" s="107">
        <f>H65/P65</f>
        <v>4.4620535714285712</v>
      </c>
      <c r="Y65" s="107"/>
    </row>
    <row r="66" spans="2:26">
      <c r="B66" t="s">
        <v>194</v>
      </c>
      <c r="C66" s="51"/>
      <c r="D66" s="51"/>
      <c r="E66" s="51"/>
      <c r="F66" s="51"/>
      <c r="G66" s="51"/>
      <c r="H66" s="51">
        <v>2375.63</v>
      </c>
      <c r="I66" s="52"/>
      <c r="K66" s="51"/>
      <c r="L66" s="51"/>
      <c r="M66" s="51"/>
      <c r="N66" s="51"/>
      <c r="O66" s="51"/>
      <c r="P66">
        <v>175</v>
      </c>
      <c r="Q66" s="50"/>
      <c r="S66" s="51"/>
      <c r="T66" s="36"/>
      <c r="U66" s="36"/>
      <c r="V66" s="36"/>
      <c r="W66" s="36"/>
      <c r="X66" s="107">
        <f>H66/P66</f>
        <v>13.575028571428572</v>
      </c>
      <c r="Y66" s="107"/>
    </row>
    <row r="67" spans="2:26">
      <c r="C67" s="55">
        <f t="shared" ref="C67:I67" si="5">SUM(C52:C66)</f>
        <v>0</v>
      </c>
      <c r="D67" s="55">
        <f t="shared" si="5"/>
        <v>40951.71</v>
      </c>
      <c r="E67" s="55">
        <f t="shared" si="5"/>
        <v>32575.719999999998</v>
      </c>
      <c r="F67" s="55">
        <f t="shared" si="5"/>
        <v>31741.9</v>
      </c>
      <c r="G67" s="55">
        <f t="shared" si="5"/>
        <v>23552.9</v>
      </c>
      <c r="H67" s="55">
        <f t="shared" si="5"/>
        <v>23960.04</v>
      </c>
      <c r="I67" s="55">
        <f t="shared" si="5"/>
        <v>32177.340300000003</v>
      </c>
      <c r="K67" s="55">
        <f t="shared" ref="K67:Q67" si="6">SUM(K52:K66)</f>
        <v>0</v>
      </c>
      <c r="L67" s="55">
        <f t="shared" si="6"/>
        <v>2276</v>
      </c>
      <c r="M67" s="55">
        <f t="shared" si="6"/>
        <v>1914.35</v>
      </c>
      <c r="N67" s="55">
        <f t="shared" si="6"/>
        <v>2015.98</v>
      </c>
      <c r="O67" s="55">
        <f t="shared" si="6"/>
        <v>1590.2000000000003</v>
      </c>
      <c r="P67" s="55">
        <f t="shared" si="6"/>
        <v>1836.5</v>
      </c>
      <c r="Q67" s="55">
        <f t="shared" si="6"/>
        <v>1991.0294800483675</v>
      </c>
      <c r="T67" s="36">
        <f>D67/L67</f>
        <v>17.992842706502636</v>
      </c>
      <c r="U67" s="36">
        <f>E67/M67</f>
        <v>17.016595711338052</v>
      </c>
      <c r="V67" s="36">
        <f>F67/N67</f>
        <v>15.745146281213108</v>
      </c>
      <c r="W67" s="36">
        <f>G67/O67</f>
        <v>14.811281599798766</v>
      </c>
      <c r="X67" s="36">
        <f>H67/P67</f>
        <v>13.046577729376532</v>
      </c>
      <c r="Y67" s="36">
        <f>I67/Q67</f>
        <v>16.161157141288701</v>
      </c>
    </row>
    <row r="68" spans="2:26">
      <c r="F68" s="58">
        <f>F67</f>
        <v>31741.9</v>
      </c>
      <c r="G68" s="58">
        <f>G67</f>
        <v>23552.9</v>
      </c>
      <c r="H68" s="58">
        <f>H67</f>
        <v>23960.04</v>
      </c>
      <c r="I68" s="58">
        <f>I67</f>
        <v>32177.340300000003</v>
      </c>
      <c r="N68" s="57">
        <f>N67</f>
        <v>2015.98</v>
      </c>
      <c r="O68" s="57">
        <f>O67</f>
        <v>1590.2000000000003</v>
      </c>
      <c r="P68" s="57">
        <f>P67</f>
        <v>1836.5</v>
      </c>
      <c r="Q68" s="57">
        <f>Q67</f>
        <v>1991.0294800483675</v>
      </c>
      <c r="V68" s="54">
        <f>V67</f>
        <v>15.745146281213108</v>
      </c>
      <c r="W68" s="54">
        <f>W67</f>
        <v>14.811281599798766</v>
      </c>
      <c r="X68" s="54">
        <f>X67</f>
        <v>13.046577729376532</v>
      </c>
      <c r="Y68" s="54">
        <f>Y67</f>
        <v>16.161157141288701</v>
      </c>
      <c r="Z68" s="54"/>
    </row>
    <row r="70" spans="2:26">
      <c r="C70" t="s">
        <v>195</v>
      </c>
      <c r="D70" t="s">
        <v>181</v>
      </c>
    </row>
    <row r="71" spans="2:26">
      <c r="B71" s="37">
        <v>2020</v>
      </c>
      <c r="C71" s="51">
        <f>D67</f>
        <v>40951.71</v>
      </c>
      <c r="D71" s="36">
        <f>T67</f>
        <v>17.992842706502636</v>
      </c>
    </row>
    <row r="72" spans="2:26">
      <c r="B72" s="37">
        <v>2021</v>
      </c>
      <c r="C72" s="51">
        <f>E67</f>
        <v>32575.719999999998</v>
      </c>
      <c r="D72" s="36">
        <f>U67</f>
        <v>17.016595711338052</v>
      </c>
    </row>
    <row r="73" spans="2:26">
      <c r="B73" s="37">
        <v>2022</v>
      </c>
      <c r="C73" s="51">
        <f>F67</f>
        <v>31741.9</v>
      </c>
      <c r="D73" s="36">
        <f>V67</f>
        <v>15.745146281213108</v>
      </c>
    </row>
    <row r="74" spans="2:26">
      <c r="B74" s="37">
        <v>2023</v>
      </c>
      <c r="C74" s="51">
        <f>G67</f>
        <v>23552.9</v>
      </c>
      <c r="D74" s="36">
        <f>W67</f>
        <v>14.811281599798766</v>
      </c>
    </row>
    <row r="75" spans="2:26">
      <c r="B75" s="37">
        <v>2024</v>
      </c>
      <c r="C75" s="51">
        <f>H67</f>
        <v>23960.04</v>
      </c>
      <c r="D75" s="36">
        <f>X67</f>
        <v>13.046577729376532</v>
      </c>
    </row>
    <row r="76" spans="2:26">
      <c r="B76" s="37">
        <v>2025</v>
      </c>
      <c r="C76" s="51">
        <f>I67</f>
        <v>32177.340300000003</v>
      </c>
      <c r="D76" s="36">
        <f>Y68</f>
        <v>16.161157141288701</v>
      </c>
    </row>
    <row r="78" spans="2:26">
      <c r="C78" s="37" t="s">
        <v>195</v>
      </c>
    </row>
    <row r="79" spans="2:26">
      <c r="C79" s="37" t="s">
        <v>3</v>
      </c>
      <c r="D79" s="37" t="s">
        <v>4</v>
      </c>
      <c r="E79" s="37" t="s">
        <v>5</v>
      </c>
      <c r="F79" s="37" t="s">
        <v>338</v>
      </c>
    </row>
    <row r="80" spans="2:26">
      <c r="B80" t="s">
        <v>340</v>
      </c>
      <c r="C80" s="51"/>
      <c r="D80" s="51"/>
      <c r="E80" s="51"/>
      <c r="F80" s="51">
        <f>$I$53</f>
        <v>1860.64</v>
      </c>
    </row>
    <row r="81" spans="2:6">
      <c r="B81" t="s">
        <v>344</v>
      </c>
      <c r="C81" s="51"/>
      <c r="D81" s="51"/>
      <c r="E81" s="51"/>
      <c r="F81" s="51">
        <f>$I$54</f>
        <v>3223.16</v>
      </c>
    </row>
    <row r="82" spans="2:6">
      <c r="B82" t="s">
        <v>175</v>
      </c>
      <c r="C82" s="51">
        <v>4513.01</v>
      </c>
      <c r="D82" s="51">
        <f>$G$55+$G$56</f>
        <v>4780.1100000000006</v>
      </c>
      <c r="E82" s="51">
        <f>$H$56+$H$55</f>
        <v>3886.01</v>
      </c>
      <c r="F82" s="51">
        <f>$I$56+$I$55</f>
        <v>2362.94</v>
      </c>
    </row>
    <row r="83" spans="2:6">
      <c r="B83" t="s">
        <v>174</v>
      </c>
      <c r="C83" s="51">
        <v>3647.23</v>
      </c>
      <c r="D83" s="51">
        <f>$G$59</f>
        <v>5885.83</v>
      </c>
      <c r="E83" s="51">
        <f>$H$59</f>
        <v>6304.38</v>
      </c>
      <c r="F83" s="51">
        <f>$I$59+$I$60</f>
        <v>13741.16</v>
      </c>
    </row>
    <row r="84" spans="2:6">
      <c r="B84" t="s">
        <v>176</v>
      </c>
      <c r="C84" s="51">
        <v>1823.61</v>
      </c>
      <c r="D84" s="51">
        <f>$G$61</f>
        <v>1986.5500000000002</v>
      </c>
      <c r="E84" s="51">
        <f>$H$61</f>
        <v>3497.07</v>
      </c>
      <c r="F84" s="51">
        <f>$I$61</f>
        <v>1765.74</v>
      </c>
    </row>
    <row r="85" spans="2:6">
      <c r="B85" t="s">
        <v>63</v>
      </c>
      <c r="C85" s="51">
        <v>9977.4</v>
      </c>
      <c r="D85" s="51">
        <f>$G$62</f>
        <v>10250.58</v>
      </c>
      <c r="E85" s="51">
        <f>$H$62</f>
        <v>7397.2</v>
      </c>
      <c r="F85" s="51">
        <f>$I$62</f>
        <v>9223.7003000000004</v>
      </c>
    </row>
    <row r="86" spans="2:6">
      <c r="B86" t="s">
        <v>198</v>
      </c>
      <c r="C86" s="51">
        <v>11780.650000000001</v>
      </c>
      <c r="D86" s="51">
        <f>$G$67-SUM(D80:D85)</f>
        <v>649.83000000000175</v>
      </c>
      <c r="E86" s="51">
        <f>$H67-SUM(E80:E85)</f>
        <v>2875.380000000001</v>
      </c>
      <c r="F86" s="51">
        <f>$I67-SUM(F80:F85)</f>
        <v>0</v>
      </c>
    </row>
    <row r="87" spans="2:6">
      <c r="B87" t="s">
        <v>16</v>
      </c>
      <c r="C87" s="51"/>
      <c r="D87" s="51"/>
      <c r="E87" s="51"/>
      <c r="F87" s="51">
        <f>$C$31-SUM(F80:F86)</f>
        <v>6988.6596999999965</v>
      </c>
    </row>
    <row r="88" spans="2:6">
      <c r="C88" s="55">
        <v>31741.9</v>
      </c>
      <c r="D88" s="55">
        <f>SUM(D80:D86)</f>
        <v>23552.9</v>
      </c>
      <c r="E88" s="55">
        <f>SUM(E80:E87)</f>
        <v>23960.04</v>
      </c>
      <c r="F88" s="55">
        <f>SUM(F80:F87)</f>
        <v>39166</v>
      </c>
    </row>
    <row r="93" spans="2:6">
      <c r="B93" t="s">
        <v>341</v>
      </c>
      <c r="C93" s="181">
        <f>C95+C97+C96</f>
        <v>33419.870300000002</v>
      </c>
    </row>
    <row r="94" spans="2:6">
      <c r="C94" s="108"/>
    </row>
    <row r="95" spans="2:6">
      <c r="B95" t="s">
        <v>342</v>
      </c>
      <c r="C95" s="181">
        <f>K10-C96</f>
        <v>31138.910300000003</v>
      </c>
    </row>
    <row r="96" spans="2:6">
      <c r="B96" t="s">
        <v>345</v>
      </c>
      <c r="C96" s="181">
        <f>'Кукуруза Братковский'!C32</f>
        <v>1038.43</v>
      </c>
    </row>
    <row r="97" spans="2:3">
      <c r="B97" t="s">
        <v>346</v>
      </c>
      <c r="C97" s="181">
        <f>C98+C99</f>
        <v>1242.53</v>
      </c>
    </row>
    <row r="98" spans="2:3">
      <c r="B98" s="179" t="s">
        <v>546</v>
      </c>
      <c r="C98" s="52">
        <f>967720/1000</f>
        <v>967.72</v>
      </c>
    </row>
    <row r="99" spans="2:3">
      <c r="B99" s="179" t="s">
        <v>173</v>
      </c>
      <c r="C99" s="52">
        <f>274810/1000</f>
        <v>274.81</v>
      </c>
    </row>
  </sheetData>
  <sheetProtection formatCells="0" formatColumns="0" formatRows="0" insertColumns="0" insertRows="0" insertHyperlinks="0" deleteColumns="0" deleteRows="0" sort="0" autoFilter="0" pivotTables="0"/>
  <phoneticPr fontId="30" type="noConversion"/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30BEA-1B79-4960-8CAC-E70A5EE562A7}">
  <dimension ref="A1:I58"/>
  <sheetViews>
    <sheetView topLeftCell="A4" zoomScale="80" zoomScaleNormal="80" workbookViewId="0">
      <selection activeCell="G27" sqref="G27"/>
    </sheetView>
  </sheetViews>
  <sheetFormatPr defaultRowHeight="15"/>
  <cols>
    <col min="1" max="1" width="48" customWidth="1"/>
    <col min="2" max="2" width="20.42578125" customWidth="1"/>
    <col min="3" max="3" width="29" customWidth="1"/>
    <col min="4" max="5" width="20.85546875" customWidth="1"/>
    <col min="6" max="6" width="20.85546875" style="38" customWidth="1"/>
    <col min="7" max="7" width="27.140625" customWidth="1"/>
    <col min="8" max="8" width="35.5703125" customWidth="1"/>
  </cols>
  <sheetData>
    <row r="1" spans="1:9">
      <c r="A1" s="43" t="s">
        <v>152</v>
      </c>
      <c r="B1" s="44" t="s">
        <v>24</v>
      </c>
      <c r="C1" s="44" t="s">
        <v>28</v>
      </c>
      <c r="D1" s="44" t="s">
        <v>110</v>
      </c>
      <c r="E1" s="44" t="s">
        <v>111</v>
      </c>
      <c r="F1" s="47" t="s">
        <v>153</v>
      </c>
      <c r="I1" t="s">
        <v>184</v>
      </c>
    </row>
    <row r="2" spans="1:9">
      <c r="A2" s="39" t="s">
        <v>38</v>
      </c>
      <c r="B2" s="39" t="s">
        <v>25</v>
      </c>
      <c r="C2" s="39" t="s">
        <v>95</v>
      </c>
      <c r="D2" s="40">
        <v>14.6</v>
      </c>
      <c r="E2" s="39">
        <v>19</v>
      </c>
      <c r="F2" s="42">
        <f>D2+D3+D4</f>
        <v>190</v>
      </c>
      <c r="H2" t="s">
        <v>216</v>
      </c>
      <c r="I2" s="36">
        <f>D5+D6-53</f>
        <v>-3.7999999999999972</v>
      </c>
    </row>
    <row r="3" spans="1:9">
      <c r="A3" s="39"/>
      <c r="B3" s="39"/>
      <c r="C3" s="39" t="s">
        <v>94</v>
      </c>
      <c r="D3" s="40">
        <v>98.4</v>
      </c>
      <c r="E3" s="39">
        <v>64</v>
      </c>
      <c r="F3" s="42"/>
      <c r="H3" t="s">
        <v>219</v>
      </c>
      <c r="I3" s="36">
        <f>D3+D7-111</f>
        <v>-1.7999999999999972</v>
      </c>
    </row>
    <row r="4" spans="1:9">
      <c r="A4" s="39"/>
      <c r="B4" s="39"/>
      <c r="C4" s="39" t="s">
        <v>41</v>
      </c>
      <c r="D4" s="40">
        <v>77</v>
      </c>
      <c r="E4" s="39">
        <v>50</v>
      </c>
      <c r="F4" s="42"/>
      <c r="G4" t="s">
        <v>183</v>
      </c>
      <c r="H4" t="s">
        <v>217</v>
      </c>
      <c r="I4" s="36">
        <f>D4-42</f>
        <v>35</v>
      </c>
    </row>
    <row r="5" spans="1:9">
      <c r="A5" s="39"/>
      <c r="B5" s="39" t="s">
        <v>112</v>
      </c>
      <c r="C5" s="39" t="s">
        <v>93</v>
      </c>
      <c r="D5" s="40">
        <v>30</v>
      </c>
      <c r="E5" s="39">
        <v>19.5</v>
      </c>
      <c r="F5" s="42">
        <f>D5</f>
        <v>30</v>
      </c>
      <c r="H5" t="s">
        <v>224</v>
      </c>
      <c r="I5" s="36">
        <f>D2-11</f>
        <v>3.5999999999999996</v>
      </c>
    </row>
    <row r="6" spans="1:9">
      <c r="A6" s="39"/>
      <c r="B6" s="39" t="s">
        <v>113</v>
      </c>
      <c r="C6" s="39" t="s">
        <v>93</v>
      </c>
      <c r="D6" s="40">
        <v>19.2</v>
      </c>
      <c r="E6" s="39">
        <v>12.5</v>
      </c>
      <c r="F6" s="42">
        <f>D6+D7</f>
        <v>30</v>
      </c>
      <c r="I6" s="38">
        <f>SUM(I2:I3,I5)</f>
        <v>-1.9999999999999947</v>
      </c>
    </row>
    <row r="7" spans="1:9">
      <c r="A7" s="39"/>
      <c r="B7" s="39"/>
      <c r="C7" s="39" t="s">
        <v>94</v>
      </c>
      <c r="D7" s="40">
        <v>10.8</v>
      </c>
      <c r="E7" s="39">
        <v>7</v>
      </c>
      <c r="F7" s="42"/>
    </row>
    <row r="8" spans="1:9" s="37" customFormat="1">
      <c r="A8" s="45" t="s">
        <v>114</v>
      </c>
      <c r="B8" s="45"/>
      <c r="C8" s="45"/>
      <c r="D8" s="46">
        <v>250</v>
      </c>
      <c r="E8" s="45">
        <v>172</v>
      </c>
      <c r="F8" s="46">
        <f>SUM(F2:F7)</f>
        <v>250</v>
      </c>
    </row>
    <row r="9" spans="1:9">
      <c r="A9" s="39" t="s">
        <v>43</v>
      </c>
      <c r="B9" s="39" t="s">
        <v>115</v>
      </c>
      <c r="C9" s="39" t="s">
        <v>100</v>
      </c>
      <c r="D9" s="40">
        <v>60</v>
      </c>
      <c r="E9" s="39">
        <v>39</v>
      </c>
      <c r="F9" s="42">
        <f>D9</f>
        <v>60</v>
      </c>
    </row>
    <row r="10" spans="1:9">
      <c r="A10" s="39"/>
      <c r="B10" s="39" t="s">
        <v>116</v>
      </c>
      <c r="C10" s="39" t="s">
        <v>96</v>
      </c>
      <c r="D10" s="40">
        <v>29.5</v>
      </c>
      <c r="E10" s="39">
        <v>19.149999999999999</v>
      </c>
      <c r="F10" s="42">
        <f>D10+D11+D12</f>
        <v>58</v>
      </c>
      <c r="G10" t="s">
        <v>263</v>
      </c>
      <c r="I10">
        <v>11</v>
      </c>
    </row>
    <row r="11" spans="1:9">
      <c r="A11" s="39"/>
      <c r="B11" s="39"/>
      <c r="C11" s="39" t="s">
        <v>99</v>
      </c>
      <c r="D11" s="40">
        <v>16.5</v>
      </c>
      <c r="E11" s="39">
        <v>10.7</v>
      </c>
      <c r="F11" s="42"/>
    </row>
    <row r="12" spans="1:9">
      <c r="A12" s="39"/>
      <c r="B12" s="39"/>
      <c r="C12" s="39" t="s">
        <v>100</v>
      </c>
      <c r="D12" s="40">
        <v>12</v>
      </c>
      <c r="E12" s="39">
        <v>7.7</v>
      </c>
      <c r="F12" s="42"/>
      <c r="G12" t="s">
        <v>264</v>
      </c>
      <c r="I12">
        <v>12</v>
      </c>
    </row>
    <row r="13" spans="1:9">
      <c r="A13" s="39"/>
      <c r="B13" s="39" t="s">
        <v>117</v>
      </c>
      <c r="C13" s="39" t="s">
        <v>97</v>
      </c>
      <c r="D13" s="40">
        <v>32.9</v>
      </c>
      <c r="E13" s="39">
        <v>42.8</v>
      </c>
      <c r="F13" s="42">
        <f>D13+D14+D15</f>
        <v>101</v>
      </c>
    </row>
    <row r="14" spans="1:9">
      <c r="A14" s="39"/>
      <c r="B14" s="39"/>
      <c r="C14" s="39" t="s">
        <v>99</v>
      </c>
      <c r="D14" s="40">
        <v>45.1</v>
      </c>
      <c r="E14" s="39">
        <v>29.3</v>
      </c>
      <c r="F14" s="42"/>
    </row>
    <row r="15" spans="1:9">
      <c r="A15" s="39"/>
      <c r="B15" s="39"/>
      <c r="C15" s="39" t="s">
        <v>98</v>
      </c>
      <c r="D15" s="40">
        <v>23</v>
      </c>
      <c r="E15" s="39">
        <v>15</v>
      </c>
      <c r="F15" s="42"/>
    </row>
    <row r="16" spans="1:9">
      <c r="A16" s="39"/>
      <c r="B16" s="39" t="s">
        <v>118</v>
      </c>
      <c r="C16" s="39" t="s">
        <v>97</v>
      </c>
      <c r="D16" s="40">
        <v>44</v>
      </c>
      <c r="E16" s="39">
        <v>57.2</v>
      </c>
      <c r="F16" s="42">
        <f>D16</f>
        <v>44</v>
      </c>
    </row>
    <row r="17" spans="1:6">
      <c r="A17" s="39"/>
      <c r="B17" s="39" t="s">
        <v>119</v>
      </c>
      <c r="C17" s="39" t="s">
        <v>96</v>
      </c>
      <c r="D17" s="40">
        <v>0.8</v>
      </c>
      <c r="E17" s="39">
        <v>1.1000000000000001</v>
      </c>
      <c r="F17" s="42">
        <f>D17+D18</f>
        <v>87</v>
      </c>
    </row>
    <row r="18" spans="1:6">
      <c r="A18" s="39"/>
      <c r="B18" s="39"/>
      <c r="C18" s="39" t="s">
        <v>45</v>
      </c>
      <c r="D18" s="40">
        <v>86.2</v>
      </c>
      <c r="E18" s="39">
        <v>56</v>
      </c>
      <c r="F18" s="42"/>
    </row>
    <row r="19" spans="1:6">
      <c r="A19" s="39"/>
      <c r="B19" s="39" t="s">
        <v>120</v>
      </c>
      <c r="C19" s="39" t="s">
        <v>96</v>
      </c>
      <c r="D19" s="40">
        <v>72</v>
      </c>
      <c r="E19" s="39">
        <v>93.6</v>
      </c>
      <c r="F19" s="42">
        <f>D19</f>
        <v>72</v>
      </c>
    </row>
    <row r="20" spans="1:6">
      <c r="A20" s="39"/>
      <c r="B20" s="39" t="s">
        <v>68</v>
      </c>
      <c r="C20" s="39" t="s">
        <v>96</v>
      </c>
      <c r="D20" s="40">
        <v>41</v>
      </c>
      <c r="E20" s="39">
        <v>46.45</v>
      </c>
      <c r="F20" s="42">
        <f>D20</f>
        <v>41</v>
      </c>
    </row>
    <row r="21" spans="1:6">
      <c r="A21" s="39"/>
      <c r="B21" s="39" t="s">
        <v>121</v>
      </c>
      <c r="C21" s="39" t="s">
        <v>96</v>
      </c>
      <c r="D21" s="40">
        <v>19</v>
      </c>
      <c r="E21" s="39">
        <v>24.7</v>
      </c>
      <c r="F21" s="42">
        <f>D21</f>
        <v>19</v>
      </c>
    </row>
    <row r="22" spans="1:6" s="37" customFormat="1">
      <c r="A22" s="45" t="s">
        <v>122</v>
      </c>
      <c r="B22" s="45"/>
      <c r="C22" s="45"/>
      <c r="D22" s="46">
        <v>482</v>
      </c>
      <c r="E22" s="45">
        <v>442.70000000000005</v>
      </c>
      <c r="F22" s="46">
        <f>SUM(F9:F21)</f>
        <v>482</v>
      </c>
    </row>
    <row r="23" spans="1:6">
      <c r="A23" s="39" t="s">
        <v>50</v>
      </c>
      <c r="B23" s="39" t="s">
        <v>126</v>
      </c>
      <c r="C23" s="39" t="s">
        <v>124</v>
      </c>
      <c r="D23" s="40">
        <v>42</v>
      </c>
      <c r="E23" s="39">
        <v>27</v>
      </c>
      <c r="F23" s="42">
        <f>D23</f>
        <v>42</v>
      </c>
    </row>
    <row r="24" spans="1:6">
      <c r="A24" s="39"/>
      <c r="B24" s="39" t="s">
        <v>127</v>
      </c>
      <c r="C24" s="39" t="s">
        <v>124</v>
      </c>
      <c r="D24" s="40">
        <v>33</v>
      </c>
      <c r="E24" s="39">
        <v>22</v>
      </c>
      <c r="F24" s="42">
        <f t="shared" ref="F24:F31" si="0">D24</f>
        <v>33</v>
      </c>
    </row>
    <row r="25" spans="1:6">
      <c r="A25" s="39"/>
      <c r="B25" s="39" t="s">
        <v>128</v>
      </c>
      <c r="C25" s="39" t="s">
        <v>124</v>
      </c>
      <c r="D25" s="40">
        <v>36</v>
      </c>
      <c r="E25" s="39">
        <v>23</v>
      </c>
      <c r="F25" s="42">
        <f t="shared" si="0"/>
        <v>36</v>
      </c>
    </row>
    <row r="26" spans="1:6">
      <c r="A26" s="39"/>
      <c r="B26" s="39" t="s">
        <v>129</v>
      </c>
      <c r="C26" s="39" t="s">
        <v>124</v>
      </c>
      <c r="D26" s="40">
        <v>37</v>
      </c>
      <c r="E26" s="39">
        <v>24</v>
      </c>
      <c r="F26" s="42">
        <f t="shared" si="0"/>
        <v>37</v>
      </c>
    </row>
    <row r="27" spans="1:6">
      <c r="A27" s="39"/>
      <c r="B27" s="39" t="s">
        <v>130</v>
      </c>
      <c r="C27" s="39" t="s">
        <v>124</v>
      </c>
      <c r="D27" s="40">
        <v>36</v>
      </c>
      <c r="E27" s="39">
        <v>24</v>
      </c>
      <c r="F27" s="42">
        <f t="shared" si="0"/>
        <v>36</v>
      </c>
    </row>
    <row r="28" spans="1:6">
      <c r="A28" s="39"/>
      <c r="B28" s="39" t="s">
        <v>131</v>
      </c>
      <c r="C28" s="39" t="s">
        <v>124</v>
      </c>
      <c r="D28" s="40">
        <v>32</v>
      </c>
      <c r="E28" s="39">
        <v>21</v>
      </c>
      <c r="F28" s="42">
        <f t="shared" si="0"/>
        <v>32</v>
      </c>
    </row>
    <row r="29" spans="1:6">
      <c r="A29" s="39"/>
      <c r="B29" s="39" t="s">
        <v>132</v>
      </c>
      <c r="C29" s="39" t="s">
        <v>124</v>
      </c>
      <c r="D29" s="40">
        <v>32</v>
      </c>
      <c r="E29" s="39">
        <v>20</v>
      </c>
      <c r="F29" s="42">
        <f t="shared" si="0"/>
        <v>32</v>
      </c>
    </row>
    <row r="30" spans="1:6">
      <c r="A30" s="39"/>
      <c r="B30" s="39" t="s">
        <v>133</v>
      </c>
      <c r="C30" s="39" t="s">
        <v>124</v>
      </c>
      <c r="D30" s="40">
        <v>37</v>
      </c>
      <c r="E30" s="39">
        <v>24</v>
      </c>
      <c r="F30" s="42">
        <f t="shared" si="0"/>
        <v>37</v>
      </c>
    </row>
    <row r="31" spans="1:6">
      <c r="A31" s="39"/>
      <c r="B31" s="39" t="s">
        <v>134</v>
      </c>
      <c r="C31" s="39" t="s">
        <v>124</v>
      </c>
      <c r="D31" s="40">
        <v>20</v>
      </c>
      <c r="E31" s="39">
        <v>13</v>
      </c>
      <c r="F31" s="42">
        <f t="shared" si="0"/>
        <v>20</v>
      </c>
    </row>
    <row r="32" spans="1:6" s="37" customFormat="1">
      <c r="A32" s="45" t="s">
        <v>135</v>
      </c>
      <c r="B32" s="45"/>
      <c r="C32" s="45"/>
      <c r="D32" s="46">
        <v>305</v>
      </c>
      <c r="E32" s="45">
        <v>198</v>
      </c>
      <c r="F32" s="46">
        <f>SUM(F23:F31)</f>
        <v>305</v>
      </c>
    </row>
    <row r="33" spans="1:6">
      <c r="A33" s="39" t="s">
        <v>52</v>
      </c>
      <c r="B33" s="112" t="s">
        <v>123</v>
      </c>
      <c r="C33" s="112" t="s">
        <v>95</v>
      </c>
      <c r="D33" s="113">
        <v>130</v>
      </c>
      <c r="E33" s="112">
        <v>168</v>
      </c>
      <c r="F33" s="114">
        <f>D33</f>
        <v>130</v>
      </c>
    </row>
    <row r="34" spans="1:6">
      <c r="A34" s="39"/>
      <c r="B34" s="112"/>
      <c r="C34" s="112" t="s">
        <v>124</v>
      </c>
      <c r="D34" s="113">
        <v>80</v>
      </c>
      <c r="E34" s="112">
        <v>52</v>
      </c>
      <c r="F34" s="114">
        <f>D34</f>
        <v>80</v>
      </c>
    </row>
    <row r="35" spans="1:6">
      <c r="A35" s="39"/>
      <c r="B35" s="112"/>
      <c r="C35" s="112" t="s">
        <v>53</v>
      </c>
      <c r="D35" s="113">
        <v>92</v>
      </c>
      <c r="E35" s="112">
        <v>60</v>
      </c>
      <c r="F35" s="114">
        <f>D35</f>
        <v>92</v>
      </c>
    </row>
    <row r="36" spans="1:6" s="37" customFormat="1">
      <c r="A36" s="45" t="s">
        <v>125</v>
      </c>
      <c r="B36" s="45"/>
      <c r="C36" s="45"/>
      <c r="D36" s="46">
        <v>302</v>
      </c>
      <c r="E36" s="45">
        <v>280</v>
      </c>
      <c r="F36" s="46">
        <f>SUM(F33:F35)</f>
        <v>302</v>
      </c>
    </row>
    <row r="37" spans="1:6">
      <c r="A37" s="39" t="s">
        <v>54</v>
      </c>
      <c r="B37" s="112" t="s">
        <v>147</v>
      </c>
      <c r="C37" s="112" t="s">
        <v>124</v>
      </c>
      <c r="D37" s="113">
        <v>37</v>
      </c>
      <c r="E37" s="112">
        <v>24</v>
      </c>
      <c r="F37" s="114">
        <f>D37+D38</f>
        <v>72</v>
      </c>
    </row>
    <row r="38" spans="1:6">
      <c r="A38" s="39"/>
      <c r="B38" s="112"/>
      <c r="C38" s="112" t="s">
        <v>148</v>
      </c>
      <c r="D38" s="113">
        <v>35</v>
      </c>
      <c r="E38" s="112">
        <v>23</v>
      </c>
      <c r="F38" s="114"/>
    </row>
    <row r="39" spans="1:6">
      <c r="A39" s="39"/>
      <c r="B39" s="112" t="s">
        <v>149</v>
      </c>
      <c r="C39" s="112" t="s">
        <v>53</v>
      </c>
      <c r="D39" s="113">
        <v>16.5</v>
      </c>
      <c r="E39" s="112">
        <v>11</v>
      </c>
      <c r="F39" s="114">
        <f>D39+D40</f>
        <v>52</v>
      </c>
    </row>
    <row r="40" spans="1:6">
      <c r="A40" s="39"/>
      <c r="B40" s="112"/>
      <c r="C40" s="112" t="s">
        <v>148</v>
      </c>
      <c r="D40" s="113">
        <v>35.5</v>
      </c>
      <c r="E40" s="112">
        <v>23</v>
      </c>
      <c r="F40" s="114"/>
    </row>
    <row r="41" spans="1:6">
      <c r="A41" s="39"/>
      <c r="B41" s="112" t="s">
        <v>150</v>
      </c>
      <c r="C41" s="112" t="s">
        <v>53</v>
      </c>
      <c r="D41" s="113">
        <v>45</v>
      </c>
      <c r="E41" s="112">
        <v>29</v>
      </c>
      <c r="F41" s="114">
        <f>D41</f>
        <v>45</v>
      </c>
    </row>
    <row r="42" spans="1:6" s="37" customFormat="1">
      <c r="A42" s="45" t="s">
        <v>151</v>
      </c>
      <c r="B42" s="45"/>
      <c r="C42" s="45"/>
      <c r="D42" s="46">
        <v>169</v>
      </c>
      <c r="E42" s="45">
        <v>110</v>
      </c>
      <c r="F42" s="46">
        <f>SUM(F37:F41)</f>
        <v>169</v>
      </c>
    </row>
    <row r="43" spans="1:6">
      <c r="A43" s="39" t="s">
        <v>55</v>
      </c>
      <c r="B43" s="112" t="s">
        <v>136</v>
      </c>
      <c r="C43" s="112" t="s">
        <v>137</v>
      </c>
      <c r="D43" s="113">
        <v>32.9</v>
      </c>
      <c r="E43" s="112">
        <v>21</v>
      </c>
      <c r="F43" s="114">
        <f>D43</f>
        <v>32.9</v>
      </c>
    </row>
    <row r="44" spans="1:6">
      <c r="A44" s="39"/>
      <c r="B44" s="112" t="s">
        <v>138</v>
      </c>
      <c r="C44" s="112" t="s">
        <v>137</v>
      </c>
      <c r="D44" s="113">
        <v>70.599999999999994</v>
      </c>
      <c r="E44" s="112">
        <v>43</v>
      </c>
      <c r="F44" s="114">
        <f>D44</f>
        <v>70.599999999999994</v>
      </c>
    </row>
    <row r="45" spans="1:6">
      <c r="A45" s="39"/>
      <c r="B45" s="112" t="s">
        <v>139</v>
      </c>
      <c r="C45" s="112" t="s">
        <v>124</v>
      </c>
      <c r="D45" s="113">
        <v>2</v>
      </c>
      <c r="E45" s="112">
        <v>2</v>
      </c>
      <c r="F45" s="114">
        <f>D45+D46</f>
        <v>71</v>
      </c>
    </row>
    <row r="46" spans="1:6">
      <c r="A46" s="39"/>
      <c r="B46" s="112"/>
      <c r="C46" s="112" t="s">
        <v>94</v>
      </c>
      <c r="D46" s="113">
        <v>69</v>
      </c>
      <c r="E46" s="112">
        <v>45</v>
      </c>
      <c r="F46" s="114"/>
    </row>
    <row r="47" spans="1:6">
      <c r="A47" s="39"/>
      <c r="B47" s="112" t="s">
        <v>140</v>
      </c>
      <c r="C47" s="112" t="s">
        <v>137</v>
      </c>
      <c r="D47" s="113">
        <v>69</v>
      </c>
      <c r="E47" s="112">
        <v>45</v>
      </c>
      <c r="F47" s="114">
        <f>D47</f>
        <v>69</v>
      </c>
    </row>
    <row r="48" spans="1:6">
      <c r="A48" s="39"/>
      <c r="B48" s="112" t="s">
        <v>141</v>
      </c>
      <c r="C48" s="112" t="s">
        <v>94</v>
      </c>
      <c r="D48" s="113">
        <v>42</v>
      </c>
      <c r="E48" s="112">
        <v>27</v>
      </c>
      <c r="F48" s="114">
        <f>D48+D49</f>
        <v>71</v>
      </c>
    </row>
    <row r="49" spans="1:6">
      <c r="A49" s="39"/>
      <c r="B49" s="112"/>
      <c r="C49" s="112" t="s">
        <v>137</v>
      </c>
      <c r="D49" s="113">
        <v>29</v>
      </c>
      <c r="E49" s="112">
        <v>19</v>
      </c>
      <c r="F49" s="114"/>
    </row>
    <row r="50" spans="1:6">
      <c r="A50" s="39"/>
      <c r="B50" s="112" t="s">
        <v>142</v>
      </c>
      <c r="C50" s="112" t="s">
        <v>124</v>
      </c>
      <c r="D50" s="113">
        <v>47</v>
      </c>
      <c r="E50" s="112">
        <v>31</v>
      </c>
      <c r="F50" s="114">
        <f>D50</f>
        <v>47</v>
      </c>
    </row>
    <row r="51" spans="1:6">
      <c r="A51" s="39"/>
      <c r="B51" s="112" t="s">
        <v>143</v>
      </c>
      <c r="C51" s="112" t="s">
        <v>124</v>
      </c>
      <c r="D51" s="113">
        <v>49</v>
      </c>
      <c r="E51" s="112">
        <v>33</v>
      </c>
      <c r="F51" s="114">
        <f>D51</f>
        <v>49</v>
      </c>
    </row>
    <row r="52" spans="1:6">
      <c r="A52" s="39"/>
      <c r="B52" s="112" t="s">
        <v>144</v>
      </c>
      <c r="C52" s="112" t="s">
        <v>145</v>
      </c>
      <c r="D52" s="113">
        <v>4.5999999999999996</v>
      </c>
      <c r="E52" s="112">
        <v>5</v>
      </c>
      <c r="F52" s="114">
        <f>D52+D53</f>
        <v>50</v>
      </c>
    </row>
    <row r="53" spans="1:6">
      <c r="A53" s="39"/>
      <c r="B53" s="112"/>
      <c r="C53" s="112" t="s">
        <v>124</v>
      </c>
      <c r="D53" s="113">
        <v>45.4</v>
      </c>
      <c r="E53" s="112">
        <v>30</v>
      </c>
      <c r="F53" s="114"/>
    </row>
    <row r="54" spans="1:6" s="37" customFormat="1">
      <c r="A54" s="45" t="s">
        <v>146</v>
      </c>
      <c r="B54" s="45"/>
      <c r="C54" s="45"/>
      <c r="D54" s="46">
        <v>460.5</v>
      </c>
      <c r="E54" s="45">
        <v>301</v>
      </c>
      <c r="F54" s="46">
        <f>SUM(F43:F53)</f>
        <v>460.5</v>
      </c>
    </row>
    <row r="55" spans="1:6">
      <c r="A55" s="39" t="s">
        <v>47</v>
      </c>
      <c r="B55" s="39" t="s">
        <v>116</v>
      </c>
      <c r="C55" s="39"/>
      <c r="D55" s="40"/>
      <c r="E55" s="39"/>
      <c r="F55" s="42"/>
    </row>
    <row r="56" spans="1:6">
      <c r="A56" s="39"/>
      <c r="B56" s="39"/>
      <c r="C56" s="39"/>
      <c r="D56" s="40"/>
      <c r="E56" s="39"/>
      <c r="F56" s="42"/>
    </row>
    <row r="57" spans="1:6" s="37" customFormat="1">
      <c r="A57" s="45" t="s">
        <v>154</v>
      </c>
      <c r="B57" s="45"/>
      <c r="C57" s="45"/>
      <c r="D57" s="46"/>
      <c r="E57" s="45"/>
      <c r="F57" s="46"/>
    </row>
    <row r="58" spans="1:6" s="37" customFormat="1">
      <c r="A58" s="41" t="s">
        <v>21</v>
      </c>
      <c r="B58" s="41"/>
      <c r="C58" s="41"/>
      <c r="D58" s="42">
        <v>1968.5</v>
      </c>
      <c r="E58" s="41">
        <v>1503.7</v>
      </c>
      <c r="F58" s="42">
        <f>F8+F22+F36+F32+F54+F42+F57</f>
        <v>1968.5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5C1C9-03F1-4EAD-96B3-890D1ED03F69}">
  <dimension ref="B1:M14"/>
  <sheetViews>
    <sheetView showGridLines="0" workbookViewId="0">
      <selection activeCell="G25" sqref="G25"/>
    </sheetView>
  </sheetViews>
  <sheetFormatPr defaultRowHeight="15"/>
  <cols>
    <col min="1" max="1" width="2.28515625" customWidth="1"/>
    <col min="2" max="2" width="23" customWidth="1"/>
    <col min="3" max="3" width="9" customWidth="1"/>
    <col min="4" max="4" width="22.5703125" customWidth="1"/>
    <col min="5" max="5" width="10.28515625" customWidth="1"/>
    <col min="6" max="6" width="12.7109375" customWidth="1"/>
    <col min="7" max="7" width="22.140625" customWidth="1"/>
    <col min="8" max="8" width="9.28515625" customWidth="1"/>
    <col min="9" max="9" width="12.28515625" customWidth="1"/>
    <col min="10" max="10" width="9.7109375" customWidth="1"/>
    <col min="11" max="11" width="15.85546875" customWidth="1"/>
    <col min="12" max="12" width="15.85546875" style="36" customWidth="1"/>
  </cols>
  <sheetData>
    <row r="1" spans="2:13" ht="15.75" thickBot="1"/>
    <row r="2" spans="2:13" s="82" customFormat="1" ht="14.45" customHeight="1">
      <c r="B2" s="356" t="s">
        <v>24</v>
      </c>
      <c r="C2" s="358" t="s">
        <v>153</v>
      </c>
      <c r="D2" s="353" t="s">
        <v>240</v>
      </c>
      <c r="E2" s="354"/>
      <c r="F2" s="355"/>
      <c r="G2" s="346" t="s">
        <v>230</v>
      </c>
      <c r="H2" s="347"/>
      <c r="I2" s="347"/>
      <c r="J2" s="347"/>
      <c r="K2" s="347"/>
      <c r="L2" s="348"/>
    </row>
    <row r="3" spans="2:13" s="82" customFormat="1" ht="30">
      <c r="B3" s="357"/>
      <c r="C3" s="359"/>
      <c r="D3" s="83" t="s">
        <v>28</v>
      </c>
      <c r="E3" s="43" t="s">
        <v>238</v>
      </c>
      <c r="F3" s="84" t="s">
        <v>237</v>
      </c>
      <c r="G3" s="83" t="s">
        <v>231</v>
      </c>
      <c r="H3" s="43" t="s">
        <v>24</v>
      </c>
      <c r="I3" s="43" t="s">
        <v>28</v>
      </c>
      <c r="J3" s="43" t="s">
        <v>228</v>
      </c>
      <c r="K3" s="84" t="s">
        <v>229</v>
      </c>
      <c r="L3" s="101" t="s">
        <v>181</v>
      </c>
    </row>
    <row r="4" spans="2:13" s="88" customFormat="1" ht="22.9" customHeight="1">
      <c r="B4" s="349" t="s">
        <v>25</v>
      </c>
      <c r="C4" s="351">
        <f>E4+E5+E6</f>
        <v>190</v>
      </c>
      <c r="D4" s="85" t="s">
        <v>95</v>
      </c>
      <c r="E4" s="86">
        <v>14.6</v>
      </c>
      <c r="F4" s="87">
        <v>19</v>
      </c>
      <c r="G4" s="96">
        <v>45515</v>
      </c>
      <c r="H4" s="105" t="s">
        <v>235</v>
      </c>
      <c r="I4" s="81" t="s">
        <v>42</v>
      </c>
      <c r="J4" s="97">
        <v>11</v>
      </c>
      <c r="K4" s="94">
        <v>202900</v>
      </c>
      <c r="L4" s="102">
        <f>K4/J4/1000</f>
        <v>18.445454545454545</v>
      </c>
    </row>
    <row r="5" spans="2:13" s="88" customFormat="1" ht="22.9" customHeight="1">
      <c r="B5" s="349"/>
      <c r="C5" s="351"/>
      <c r="D5" s="85" t="s">
        <v>94</v>
      </c>
      <c r="E5" s="86">
        <v>98.4</v>
      </c>
      <c r="F5" s="87">
        <v>64</v>
      </c>
      <c r="G5" s="93" t="s">
        <v>232</v>
      </c>
      <c r="H5" s="81" t="s">
        <v>236</v>
      </c>
      <c r="I5" s="81" t="s">
        <v>40</v>
      </c>
      <c r="J5" s="97">
        <v>111</v>
      </c>
      <c r="K5" s="94">
        <v>1478580</v>
      </c>
      <c r="L5" s="102">
        <f t="shared" ref="L5:L10" si="0">K5/J5/1000</f>
        <v>13.32054054054054</v>
      </c>
    </row>
    <row r="6" spans="2:13" s="88" customFormat="1" ht="16.899999999999999" customHeight="1">
      <c r="B6" s="349"/>
      <c r="C6" s="351"/>
      <c r="D6" s="85" t="s">
        <v>41</v>
      </c>
      <c r="E6" s="86">
        <v>77</v>
      </c>
      <c r="F6" s="87">
        <v>50</v>
      </c>
      <c r="G6" s="93"/>
      <c r="H6" s="81"/>
      <c r="I6" s="81"/>
      <c r="J6" s="97"/>
      <c r="K6" s="94"/>
      <c r="L6" s="102"/>
      <c r="M6" s="88" t="s">
        <v>239</v>
      </c>
    </row>
    <row r="7" spans="2:13" s="88" customFormat="1" ht="22.9" customHeight="1">
      <c r="B7" s="93" t="s">
        <v>112</v>
      </c>
      <c r="C7" s="104">
        <f>E7</f>
        <v>30</v>
      </c>
      <c r="D7" s="85" t="s">
        <v>93</v>
      </c>
      <c r="E7" s="86">
        <v>30</v>
      </c>
      <c r="F7" s="87">
        <v>19.5</v>
      </c>
      <c r="G7" s="100" t="s">
        <v>234</v>
      </c>
      <c r="H7" s="105" t="s">
        <v>236</v>
      </c>
      <c r="I7" s="81" t="s">
        <v>39</v>
      </c>
      <c r="J7" s="97">
        <v>28</v>
      </c>
      <c r="K7" s="94">
        <v>338790</v>
      </c>
      <c r="L7" s="102">
        <f t="shared" si="0"/>
        <v>12.099642857142857</v>
      </c>
    </row>
    <row r="8" spans="2:13" s="88" customFormat="1" ht="30.6" customHeight="1">
      <c r="B8" s="349" t="s">
        <v>113</v>
      </c>
      <c r="C8" s="351">
        <f>E8+E9</f>
        <v>30</v>
      </c>
      <c r="D8" s="85" t="s">
        <v>93</v>
      </c>
      <c r="E8" s="86">
        <v>19.2</v>
      </c>
      <c r="F8" s="87">
        <v>12.5</v>
      </c>
      <c r="G8" s="100" t="s">
        <v>233</v>
      </c>
      <c r="H8" s="105" t="s">
        <v>236</v>
      </c>
      <c r="I8" s="81" t="s">
        <v>39</v>
      </c>
      <c r="J8" s="97">
        <f>22+3</f>
        <v>25</v>
      </c>
      <c r="K8" s="94">
        <f>316040+39320</f>
        <v>355360</v>
      </c>
      <c r="L8" s="102">
        <f t="shared" si="0"/>
        <v>14.214399999999999</v>
      </c>
    </row>
    <row r="9" spans="2:13" s="88" customFormat="1" ht="22.9" customHeight="1" thickBot="1">
      <c r="B9" s="350"/>
      <c r="C9" s="352"/>
      <c r="D9" s="89" t="s">
        <v>94</v>
      </c>
      <c r="E9" s="90">
        <v>10.8</v>
      </c>
      <c r="F9" s="91">
        <v>7</v>
      </c>
      <c r="G9" s="99"/>
      <c r="H9" s="92"/>
      <c r="I9" s="92"/>
      <c r="J9" s="98"/>
      <c r="K9" s="95"/>
      <c r="L9" s="103"/>
    </row>
    <row r="10" spans="2:13">
      <c r="C10" s="37">
        <f>SUM(C4:C9)</f>
        <v>250</v>
      </c>
      <c r="E10" s="37">
        <f>SUM(E4:E9)</f>
        <v>250</v>
      </c>
      <c r="J10" s="55">
        <f>SUM(J4:J9)</f>
        <v>175</v>
      </c>
      <c r="K10" s="55">
        <f>SUM(K4:K9)</f>
        <v>2375630</v>
      </c>
      <c r="L10" s="38">
        <f t="shared" si="0"/>
        <v>13.575028571428572</v>
      </c>
    </row>
    <row r="14" spans="2:13">
      <c r="K14" s="51"/>
    </row>
  </sheetData>
  <mergeCells count="8">
    <mergeCell ref="G2:L2"/>
    <mergeCell ref="B4:B6"/>
    <mergeCell ref="B8:B9"/>
    <mergeCell ref="C4:C6"/>
    <mergeCell ref="C8:C9"/>
    <mergeCell ref="D2:F2"/>
    <mergeCell ref="B2:B3"/>
    <mergeCell ref="C2:C3"/>
  </mergeCells>
  <phoneticPr fontId="3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A7557-B05E-4B55-8D9A-8CC5C5984BF5}">
  <sheetPr>
    <pageSetUpPr fitToPage="1"/>
  </sheetPr>
  <dimension ref="B2:AC39"/>
  <sheetViews>
    <sheetView zoomScale="70" zoomScaleNormal="70" workbookViewId="0">
      <selection activeCell="G22" sqref="G22"/>
    </sheetView>
  </sheetViews>
  <sheetFormatPr defaultColWidth="9.140625" defaultRowHeight="14.25" outlineLevelCol="1"/>
  <cols>
    <col min="1" max="1" width="3.28515625" style="5" customWidth="1"/>
    <col min="2" max="2" width="36.28515625" style="5" customWidth="1"/>
    <col min="3" max="6" width="11.5703125" style="5" customWidth="1"/>
    <col min="7" max="7" width="14" style="5" customWidth="1"/>
    <col min="8" max="8" width="18.5703125" style="5" customWidth="1"/>
    <col min="9" max="9" width="10.85546875" style="5" customWidth="1"/>
    <col min="10" max="10" width="15.28515625" style="5" customWidth="1"/>
    <col min="11" max="11" width="24.5703125" style="5" customWidth="1" outlineLevel="1"/>
    <col min="12" max="12" width="12.140625" style="5" customWidth="1" outlineLevel="1"/>
    <col min="13" max="13" width="43.42578125" style="5" customWidth="1" outlineLevel="1"/>
    <col min="14" max="14" width="9.140625" style="9" customWidth="1" outlineLevel="1"/>
    <col min="15" max="15" width="12.28515625" style="5" customWidth="1"/>
    <col min="16" max="16" width="16.7109375" style="5" customWidth="1"/>
    <col min="17" max="17" width="17.5703125" style="5" customWidth="1"/>
    <col min="18" max="18" width="18.85546875" style="5" customWidth="1"/>
    <col min="19" max="19" width="17.5703125" style="5" customWidth="1"/>
    <col min="20" max="20" width="15.7109375" style="5" hidden="1" customWidth="1" outlineLevel="1"/>
    <col min="21" max="25" width="9.140625" style="5" hidden="1" customWidth="1" outlineLevel="1"/>
    <col min="26" max="26" width="11.7109375" style="5" customWidth="1" collapsed="1"/>
    <col min="27" max="27" width="17.140625" style="5" customWidth="1"/>
    <col min="28" max="29" width="12.7109375" style="5" bestFit="1" customWidth="1"/>
    <col min="30" max="16384" width="9.140625" style="5"/>
  </cols>
  <sheetData>
    <row r="2" spans="2:29" ht="60" customHeight="1">
      <c r="B2" s="361" t="s">
        <v>285</v>
      </c>
      <c r="C2" s="361"/>
      <c r="D2" s="361"/>
      <c r="E2" s="361"/>
      <c r="F2" s="361"/>
      <c r="G2" s="361"/>
      <c r="H2" s="361"/>
      <c r="I2" s="361"/>
      <c r="J2" s="361"/>
      <c r="K2" s="361"/>
      <c r="L2" s="361"/>
      <c r="M2" s="361"/>
      <c r="N2" s="361"/>
      <c r="O2" s="361"/>
      <c r="P2" s="361"/>
      <c r="Q2" s="361"/>
      <c r="R2" s="361"/>
      <c r="S2" s="62"/>
      <c r="T2" s="4"/>
      <c r="U2" s="4"/>
    </row>
    <row r="3" spans="2:29" ht="42.75">
      <c r="H3" s="6"/>
      <c r="I3" s="6"/>
      <c r="J3" s="10" t="s">
        <v>18</v>
      </c>
      <c r="K3" s="10" t="s">
        <v>24</v>
      </c>
      <c r="L3" s="10" t="s">
        <v>26</v>
      </c>
      <c r="M3" s="10" t="s">
        <v>28</v>
      </c>
      <c r="N3" s="10" t="s">
        <v>19</v>
      </c>
      <c r="O3" s="10" t="s">
        <v>13</v>
      </c>
      <c r="P3" s="10" t="s">
        <v>204</v>
      </c>
      <c r="Q3" s="10" t="s">
        <v>205</v>
      </c>
      <c r="R3" s="65" t="s">
        <v>269</v>
      </c>
      <c r="S3" s="10" t="s">
        <v>206</v>
      </c>
    </row>
    <row r="4" spans="2:29" ht="20.45" customHeight="1">
      <c r="B4" s="7" t="s">
        <v>0</v>
      </c>
      <c r="C4" s="8" t="s">
        <v>1</v>
      </c>
      <c r="D4" s="8" t="s">
        <v>2</v>
      </c>
      <c r="E4" s="8" t="s">
        <v>3</v>
      </c>
      <c r="F4" s="8" t="s">
        <v>4</v>
      </c>
      <c r="G4" s="8" t="s">
        <v>5</v>
      </c>
      <c r="J4" s="13">
        <v>45502</v>
      </c>
      <c r="K4" s="13" t="s">
        <v>25</v>
      </c>
      <c r="L4" s="15">
        <v>190</v>
      </c>
      <c r="M4" s="15" t="s">
        <v>39</v>
      </c>
      <c r="N4" s="14">
        <v>3</v>
      </c>
      <c r="O4" s="15">
        <v>6</v>
      </c>
      <c r="P4" s="16">
        <v>76300</v>
      </c>
      <c r="Q4" s="17">
        <f>P4/100/O4</f>
        <v>127.16666666666667</v>
      </c>
      <c r="R4" s="18"/>
      <c r="S4" s="17"/>
    </row>
    <row r="5" spans="2:29" s="9" customFormat="1" ht="20.45" customHeight="1">
      <c r="B5" s="11" t="s">
        <v>6</v>
      </c>
      <c r="C5" s="12"/>
      <c r="D5" s="12"/>
      <c r="E5" s="12"/>
      <c r="F5" s="12"/>
      <c r="G5" s="12">
        <v>45502</v>
      </c>
      <c r="J5" s="13">
        <v>45503</v>
      </c>
      <c r="K5" s="13" t="s">
        <v>25</v>
      </c>
      <c r="L5" s="15">
        <v>190</v>
      </c>
      <c r="M5" s="15" t="s">
        <v>39</v>
      </c>
      <c r="N5" s="14">
        <v>12</v>
      </c>
      <c r="O5" s="15">
        <f>14+8</f>
        <v>22</v>
      </c>
      <c r="P5" s="16">
        <v>266340</v>
      </c>
      <c r="Q5" s="17">
        <f t="shared" ref="Q5:Q15" si="0">P5/100/O5</f>
        <v>121.06363636363636</v>
      </c>
      <c r="R5" s="106">
        <v>246070</v>
      </c>
      <c r="S5" s="17"/>
      <c r="T5" s="362" t="s">
        <v>200</v>
      </c>
      <c r="U5" s="363"/>
      <c r="V5" s="363"/>
      <c r="W5" s="363"/>
      <c r="X5" s="363"/>
    </row>
    <row r="6" spans="2:29" ht="20.45" customHeight="1">
      <c r="B6" s="11" t="s">
        <v>7</v>
      </c>
      <c r="C6" s="12"/>
      <c r="D6" s="12"/>
      <c r="E6" s="12"/>
      <c r="F6" s="12"/>
      <c r="G6" s="12">
        <v>45515</v>
      </c>
      <c r="H6" s="33"/>
      <c r="J6" s="13">
        <v>45504</v>
      </c>
      <c r="K6" s="13"/>
      <c r="L6" s="15"/>
      <c r="M6" s="15"/>
      <c r="N6" s="14"/>
      <c r="O6" s="15"/>
      <c r="P6" s="16"/>
      <c r="Q6" s="17"/>
      <c r="R6" s="106">
        <v>92720</v>
      </c>
      <c r="S6" s="17">
        <f>(R5+R6)/100/(O4+O5)</f>
        <v>120.99642857142858</v>
      </c>
      <c r="T6" s="33"/>
      <c r="AC6" s="80"/>
    </row>
    <row r="7" spans="2:29" ht="20.45" customHeight="1">
      <c r="B7" s="11" t="s">
        <v>8</v>
      </c>
      <c r="C7" s="19"/>
      <c r="D7" s="19"/>
      <c r="E7" s="19"/>
      <c r="F7" s="19"/>
      <c r="G7" s="19">
        <f>IF(G6=0,"-",G6-G5+1)</f>
        <v>14</v>
      </c>
      <c r="J7" s="13">
        <v>45505</v>
      </c>
      <c r="K7" s="13" t="s">
        <v>25</v>
      </c>
      <c r="L7" s="15">
        <v>190</v>
      </c>
      <c r="M7" s="15" t="s">
        <v>39</v>
      </c>
      <c r="N7" s="14">
        <v>13</v>
      </c>
      <c r="O7" s="15">
        <v>22</v>
      </c>
      <c r="P7" s="16">
        <v>319060</v>
      </c>
      <c r="Q7" s="17">
        <f t="shared" si="0"/>
        <v>145.02727272727273</v>
      </c>
      <c r="R7" s="106">
        <v>158890</v>
      </c>
      <c r="S7" s="17"/>
    </row>
    <row r="8" spans="2:29" ht="20.45" customHeight="1">
      <c r="B8" s="11" t="s">
        <v>9</v>
      </c>
      <c r="C8" s="19"/>
      <c r="D8" s="19"/>
      <c r="E8" s="19"/>
      <c r="F8" s="19"/>
      <c r="G8" s="19">
        <f>G7-3</f>
        <v>11</v>
      </c>
      <c r="H8" s="33" t="s">
        <v>244</v>
      </c>
      <c r="J8" s="13">
        <v>45506</v>
      </c>
      <c r="K8" s="13"/>
      <c r="L8" s="15"/>
      <c r="M8" s="15"/>
      <c r="N8" s="14"/>
      <c r="O8" s="15"/>
      <c r="P8" s="16"/>
      <c r="Q8" s="17"/>
      <c r="R8" s="106">
        <v>157150</v>
      </c>
      <c r="S8" s="17">
        <f>(R7+R8)/100/O7</f>
        <v>143.65454545454546</v>
      </c>
    </row>
    <row r="9" spans="2:29" ht="20.45" customHeight="1">
      <c r="B9" s="11" t="s">
        <v>10</v>
      </c>
      <c r="C9" s="20"/>
      <c r="D9" s="20"/>
      <c r="E9" s="20"/>
      <c r="F9" s="20"/>
      <c r="G9" s="20" t="s">
        <v>177</v>
      </c>
      <c r="J9" s="13">
        <v>45507</v>
      </c>
      <c r="K9" s="13" t="s">
        <v>199</v>
      </c>
      <c r="L9" s="15">
        <v>77</v>
      </c>
      <c r="M9" s="63" t="s">
        <v>223</v>
      </c>
      <c r="N9" s="14">
        <v>8</v>
      </c>
      <c r="O9" s="64">
        <v>12</v>
      </c>
      <c r="P9" s="16">
        <f>(25840+38460+34900+25440)+(26760+22660+22920+22300)</f>
        <v>219280</v>
      </c>
      <c r="Q9" s="17">
        <f t="shared" si="0"/>
        <v>182.73333333333335</v>
      </c>
      <c r="R9" s="106">
        <f>(25480+38030+34490+25060)+(26590+22260+22440+22140)</f>
        <v>216490</v>
      </c>
      <c r="S9" s="17">
        <f>R9/100/O9</f>
        <v>180.40833333333333</v>
      </c>
      <c r="T9" s="362" t="s">
        <v>203</v>
      </c>
      <c r="U9" s="363"/>
      <c r="V9" s="363"/>
      <c r="W9" s="363"/>
      <c r="X9" s="363"/>
      <c r="Y9" s="363"/>
      <c r="Z9" s="360" t="s">
        <v>242</v>
      </c>
      <c r="AA9" s="360"/>
      <c r="AB9" s="360"/>
      <c r="AC9" s="360"/>
    </row>
    <row r="10" spans="2:29" ht="20.45" customHeight="1">
      <c r="B10" s="11" t="s">
        <v>11</v>
      </c>
      <c r="C10" s="21"/>
      <c r="D10" s="21"/>
      <c r="E10" s="21"/>
      <c r="F10" s="21"/>
      <c r="G10" s="34">
        <f>R18/1000</f>
        <v>3052.95</v>
      </c>
      <c r="H10" s="33" t="s">
        <v>246</v>
      </c>
      <c r="J10" s="13">
        <v>45508</v>
      </c>
      <c r="K10" s="13" t="s">
        <v>199</v>
      </c>
      <c r="L10" s="15">
        <v>77</v>
      </c>
      <c r="M10" s="15" t="s">
        <v>202</v>
      </c>
      <c r="N10" s="14">
        <v>6</v>
      </c>
      <c r="O10" s="64">
        <v>11</v>
      </c>
      <c r="P10" s="16">
        <f>44060+23320+23640+25500+25280+25340</f>
        <v>167140</v>
      </c>
      <c r="Q10" s="17">
        <f t="shared" si="0"/>
        <v>151.94545454545457</v>
      </c>
      <c r="R10" s="106">
        <f>43390+23150+23360+25180+24780+24810</f>
        <v>164670</v>
      </c>
      <c r="S10" s="17">
        <f t="shared" ref="S10:S17" si="1">R10/100/O10</f>
        <v>149.70000000000002</v>
      </c>
      <c r="T10" s="362" t="s">
        <v>203</v>
      </c>
      <c r="U10" s="363"/>
      <c r="V10" s="363"/>
      <c r="W10" s="363"/>
      <c r="X10" s="363"/>
      <c r="Y10" s="363"/>
      <c r="Z10" s="66" t="s">
        <v>207</v>
      </c>
    </row>
    <row r="11" spans="2:29" ht="20.45" customHeight="1">
      <c r="B11" s="11" t="s">
        <v>12</v>
      </c>
      <c r="C11" s="22"/>
      <c r="D11" s="22"/>
      <c r="E11" s="22"/>
      <c r="F11" s="22"/>
      <c r="G11" s="22">
        <v>250</v>
      </c>
      <c r="J11" s="13">
        <v>45509</v>
      </c>
      <c r="K11" s="13" t="s">
        <v>25</v>
      </c>
      <c r="L11" s="15">
        <v>190</v>
      </c>
      <c r="M11" s="15" t="s">
        <v>40</v>
      </c>
      <c r="N11" s="14">
        <v>12</v>
      </c>
      <c r="O11" s="15">
        <v>25</v>
      </c>
      <c r="P11" s="16">
        <v>342860</v>
      </c>
      <c r="Q11" s="17">
        <f t="shared" si="0"/>
        <v>137.14400000000001</v>
      </c>
      <c r="R11" s="106">
        <v>339680</v>
      </c>
      <c r="S11" s="17">
        <f t="shared" si="1"/>
        <v>135.87200000000001</v>
      </c>
      <c r="T11" s="362"/>
      <c r="U11" s="363"/>
      <c r="V11" s="363"/>
      <c r="W11" s="363"/>
    </row>
    <row r="12" spans="2:29" ht="20.45" customHeight="1">
      <c r="B12" s="11" t="s">
        <v>13</v>
      </c>
      <c r="C12" s="22"/>
      <c r="D12" s="22"/>
      <c r="E12" s="22"/>
      <c r="F12" s="22"/>
      <c r="G12" s="22">
        <f>O18</f>
        <v>217</v>
      </c>
      <c r="H12" s="33" t="s">
        <v>245</v>
      </c>
      <c r="J12" s="13">
        <v>45510</v>
      </c>
      <c r="K12" s="13" t="s">
        <v>25</v>
      </c>
      <c r="L12" s="15">
        <v>190</v>
      </c>
      <c r="M12" s="63" t="s">
        <v>208</v>
      </c>
      <c r="N12" s="14">
        <v>3</v>
      </c>
      <c r="O12" s="15">
        <v>9</v>
      </c>
      <c r="P12" s="16">
        <v>118940</v>
      </c>
      <c r="Q12" s="17">
        <f t="shared" si="0"/>
        <v>132.15555555555557</v>
      </c>
      <c r="R12" s="106">
        <v>118400</v>
      </c>
      <c r="S12" s="17">
        <f t="shared" si="1"/>
        <v>131.55555555555554</v>
      </c>
      <c r="T12" s="362" t="s">
        <v>201</v>
      </c>
      <c r="U12" s="363"/>
      <c r="V12" s="363"/>
      <c r="W12" s="363"/>
      <c r="X12" s="363"/>
      <c r="AB12" s="80"/>
    </row>
    <row r="13" spans="2:29" ht="20.45" customHeight="1">
      <c r="B13" s="11" t="s">
        <v>14</v>
      </c>
      <c r="C13" s="23"/>
      <c r="D13" s="23"/>
      <c r="E13" s="23"/>
      <c r="F13" s="23"/>
      <c r="G13" s="23">
        <f>IFERROR(G10/O18*10,0)</f>
        <v>140.68894009216589</v>
      </c>
      <c r="J13" s="13">
        <v>45511</v>
      </c>
      <c r="K13" s="13" t="s">
        <v>199</v>
      </c>
      <c r="L13" s="15">
        <v>77</v>
      </c>
      <c r="M13" s="15" t="s">
        <v>210</v>
      </c>
      <c r="N13" s="14">
        <v>12</v>
      </c>
      <c r="O13" s="15">
        <v>19</v>
      </c>
      <c r="P13" s="16">
        <v>297740</v>
      </c>
      <c r="Q13" s="17">
        <f t="shared" si="0"/>
        <v>156.70526315789473</v>
      </c>
      <c r="R13" s="106">
        <v>296160</v>
      </c>
      <c r="S13" s="17">
        <f t="shared" si="1"/>
        <v>155.87368421052631</v>
      </c>
      <c r="T13" s="362" t="s">
        <v>211</v>
      </c>
      <c r="U13" s="363"/>
      <c r="V13" s="363"/>
      <c r="W13" s="363"/>
      <c r="X13" s="363"/>
      <c r="Z13" s="66" t="s">
        <v>207</v>
      </c>
    </row>
    <row r="14" spans="2:29" ht="20.45" customHeight="1">
      <c r="B14" s="11"/>
      <c r="C14" s="24"/>
      <c r="D14" s="24"/>
      <c r="E14" s="24"/>
      <c r="F14" s="24"/>
      <c r="G14" s="24"/>
      <c r="J14" s="13">
        <v>45512</v>
      </c>
      <c r="K14" s="13" t="s">
        <v>25</v>
      </c>
      <c r="L14" s="15">
        <v>190</v>
      </c>
      <c r="M14" s="63" t="s">
        <v>218</v>
      </c>
      <c r="N14" s="14">
        <v>15</v>
      </c>
      <c r="O14" s="15">
        <v>34</v>
      </c>
      <c r="P14" s="16">
        <f>237860+205680</f>
        <v>443540</v>
      </c>
      <c r="Q14" s="17">
        <f t="shared" si="0"/>
        <v>130.45294117647057</v>
      </c>
      <c r="R14" s="106">
        <f>234890+203910</f>
        <v>438800</v>
      </c>
      <c r="S14" s="17">
        <f t="shared" si="1"/>
        <v>129.05882352941177</v>
      </c>
      <c r="T14" s="362" t="s">
        <v>215</v>
      </c>
      <c r="U14" s="363"/>
      <c r="V14" s="363"/>
      <c r="W14" s="363"/>
      <c r="X14" s="363"/>
    </row>
    <row r="15" spans="2:29" ht="20.45" customHeight="1">
      <c r="J15" s="13">
        <v>45513</v>
      </c>
      <c r="K15" s="13" t="s">
        <v>25</v>
      </c>
      <c r="L15" s="15">
        <v>190</v>
      </c>
      <c r="M15" s="15" t="s">
        <v>40</v>
      </c>
      <c r="N15" s="14">
        <v>23</v>
      </c>
      <c r="O15" s="15">
        <v>46</v>
      </c>
      <c r="P15" s="16">
        <f>259940+200780+167080</f>
        <v>627800</v>
      </c>
      <c r="Q15" s="17">
        <f t="shared" si="0"/>
        <v>136.47826086956522</v>
      </c>
      <c r="R15" s="16">
        <f>256190+135970+37540+25880+165440</f>
        <v>621020</v>
      </c>
      <c r="S15" s="17">
        <f t="shared" si="1"/>
        <v>135.00434782608696</v>
      </c>
      <c r="T15" s="362" t="s">
        <v>222</v>
      </c>
      <c r="U15" s="363"/>
      <c r="V15" s="363"/>
      <c r="W15" s="363"/>
      <c r="X15" s="363"/>
    </row>
    <row r="16" spans="2:29" s="25" customFormat="1" ht="18">
      <c r="B16" s="27" t="s">
        <v>15</v>
      </c>
      <c r="C16" s="28"/>
      <c r="D16" s="6"/>
      <c r="E16" s="6"/>
      <c r="F16" s="6"/>
      <c r="G16" s="6"/>
      <c r="J16" s="13">
        <v>45514</v>
      </c>
      <c r="K16" s="13"/>
      <c r="L16" s="15"/>
      <c r="M16" s="15"/>
      <c r="N16" s="14"/>
      <c r="O16" s="15"/>
      <c r="P16" s="16"/>
      <c r="Q16" s="17"/>
      <c r="R16" s="16"/>
      <c r="S16" s="17"/>
    </row>
    <row r="17" spans="2:28" ht="17.45" customHeight="1">
      <c r="B17" s="11" t="s">
        <v>16</v>
      </c>
      <c r="C17" s="34">
        <f>4500</f>
        <v>4500</v>
      </c>
      <c r="D17" s="23">
        <f>C17/G11*10</f>
        <v>180</v>
      </c>
      <c r="J17" s="13">
        <v>45515</v>
      </c>
      <c r="K17" s="13" t="s">
        <v>199</v>
      </c>
      <c r="L17" s="15">
        <v>30</v>
      </c>
      <c r="M17" s="15" t="s">
        <v>42</v>
      </c>
      <c r="N17" s="14">
        <v>8</v>
      </c>
      <c r="O17" s="15">
        <v>11</v>
      </c>
      <c r="P17" s="16">
        <v>204840</v>
      </c>
      <c r="Q17" s="17">
        <f>P17/100/O17</f>
        <v>186.21818181818182</v>
      </c>
      <c r="R17" s="16">
        <v>202900</v>
      </c>
      <c r="S17" s="17">
        <f t="shared" si="1"/>
        <v>184.45454545454547</v>
      </c>
      <c r="AB17" s="80"/>
    </row>
    <row r="18" spans="2:28" ht="17.45" customHeight="1">
      <c r="B18" s="109" t="s">
        <v>23</v>
      </c>
      <c r="C18" s="110">
        <f>3114</f>
        <v>3114</v>
      </c>
      <c r="D18" s="111">
        <f>C18/G12*10</f>
        <v>143.50230414746545</v>
      </c>
      <c r="E18" s="365" t="s">
        <v>22</v>
      </c>
      <c r="F18" s="365"/>
      <c r="J18" s="10" t="s">
        <v>21</v>
      </c>
      <c r="K18" s="10"/>
      <c r="L18" s="10"/>
      <c r="M18" s="10"/>
      <c r="N18" s="10">
        <f>SUM(N4:N17)</f>
        <v>115</v>
      </c>
      <c r="O18" s="29">
        <f>SUM(O4:O17)</f>
        <v>217</v>
      </c>
      <c r="P18" s="30">
        <f>SUM(P4:P17)</f>
        <v>3083840</v>
      </c>
      <c r="Q18" s="31">
        <f>P18/O18/100</f>
        <v>142.11244239631336</v>
      </c>
      <c r="R18" s="30">
        <f>SUM(R4:R17)</f>
        <v>3052950</v>
      </c>
      <c r="S18" s="31">
        <f>R18/O18/100</f>
        <v>140.68894009216589</v>
      </c>
      <c r="AB18" s="80"/>
    </row>
    <row r="19" spans="2:28" ht="17.45" customHeight="1">
      <c r="B19" s="11" t="s">
        <v>17</v>
      </c>
      <c r="C19" s="34">
        <f>R18/1000</f>
        <v>3052.95</v>
      </c>
      <c r="D19" s="23">
        <f>C19/O18*10</f>
        <v>140.68894009216589</v>
      </c>
      <c r="E19" s="68">
        <f>O18</f>
        <v>217</v>
      </c>
      <c r="H19" s="6"/>
      <c r="I19" s="6"/>
    </row>
    <row r="20" spans="2:28" ht="17.45" customHeight="1">
      <c r="B20" s="11" t="s">
        <v>179</v>
      </c>
      <c r="C20" s="2">
        <f>IFERROR(C19/C18,0)</f>
        <v>0.98039499036608857</v>
      </c>
      <c r="D20" s="1"/>
      <c r="G20" s="3"/>
      <c r="J20" s="10" t="s">
        <v>220</v>
      </c>
      <c r="K20" s="10"/>
      <c r="L20" s="10"/>
      <c r="M20" s="10"/>
      <c r="N20" s="10"/>
      <c r="O20" s="29">
        <f>6+6+11+19</f>
        <v>42</v>
      </c>
      <c r="P20" s="30">
        <f>P9+P10+P13</f>
        <v>684160</v>
      </c>
      <c r="Q20" s="31">
        <f>P20/O20/100</f>
        <v>162.89523809523808</v>
      </c>
      <c r="R20" s="30">
        <f>R9+R10+R13</f>
        <v>677320</v>
      </c>
      <c r="S20" s="31">
        <f>R20/O20/100</f>
        <v>161.26666666666665</v>
      </c>
    </row>
    <row r="21" spans="2:28" ht="17.45" customHeight="1">
      <c r="B21" s="11" t="s">
        <v>180</v>
      </c>
      <c r="C21" s="2">
        <f>O18/250</f>
        <v>0.86799999999999999</v>
      </c>
      <c r="G21" s="3"/>
      <c r="AB21" s="80"/>
    </row>
    <row r="22" spans="2:28" ht="17.45" customHeight="1">
      <c r="G22" s="32"/>
      <c r="J22" s="73" t="s">
        <v>221</v>
      </c>
      <c r="K22" s="73"/>
      <c r="L22" s="73"/>
      <c r="M22" s="73"/>
      <c r="N22" s="73"/>
      <c r="O22" s="74">
        <f>O18-O20</f>
        <v>175</v>
      </c>
      <c r="P22" s="75">
        <f>P18-P20</f>
        <v>2399680</v>
      </c>
      <c r="Q22" s="76">
        <f>P22/O22/100</f>
        <v>137.12457142857144</v>
      </c>
      <c r="R22" s="75">
        <f>R18-R20</f>
        <v>2375630</v>
      </c>
      <c r="S22" s="76">
        <f>R22/O22/100</f>
        <v>135.75028571428572</v>
      </c>
    </row>
    <row r="23" spans="2:28" ht="27" customHeight="1">
      <c r="B23" s="364" t="s">
        <v>213</v>
      </c>
      <c r="C23" s="364"/>
      <c r="D23" s="364"/>
      <c r="E23" s="364"/>
      <c r="M23" s="9"/>
      <c r="N23" s="5"/>
      <c r="Q23" s="80"/>
      <c r="AB23" s="80"/>
    </row>
    <row r="24" spans="2:28" ht="17.45" customHeight="1">
      <c r="B24" s="5" t="s">
        <v>209</v>
      </c>
      <c r="C24" s="34">
        <f>(93430+164670+296160)/1000</f>
        <v>554.26</v>
      </c>
      <c r="D24" s="23">
        <f>C24/(6+11+19)*10</f>
        <v>153.96111111111111</v>
      </c>
      <c r="E24" s="68">
        <f>6+11+19</f>
        <v>36</v>
      </c>
      <c r="M24" s="9"/>
      <c r="N24" s="5"/>
      <c r="Q24" s="80"/>
      <c r="R24" s="80"/>
    </row>
    <row r="25" spans="2:28" ht="17.45" customHeight="1">
      <c r="B25" s="5" t="s">
        <v>109</v>
      </c>
      <c r="C25" s="34">
        <f>123060/1000</f>
        <v>123.06</v>
      </c>
      <c r="D25" s="23">
        <f>C25/6*10</f>
        <v>205.10000000000002</v>
      </c>
      <c r="E25" s="68">
        <f>6</f>
        <v>6</v>
      </c>
      <c r="G25" s="26"/>
      <c r="M25" s="9"/>
      <c r="N25" s="5"/>
      <c r="Q25" s="80"/>
      <c r="R25" s="80"/>
    </row>
    <row r="26" spans="2:28" ht="17.45" customHeight="1">
      <c r="C26" s="69">
        <f>SUM(C24:C25)</f>
        <v>677.31999999999994</v>
      </c>
      <c r="D26" s="70">
        <f>C26/E26*10</f>
        <v>161.26666666666665</v>
      </c>
      <c r="E26" s="67">
        <f>SUM(E24:E25)</f>
        <v>42</v>
      </c>
      <c r="G26" s="3"/>
      <c r="M26" s="9"/>
      <c r="N26" s="5"/>
      <c r="Q26" s="80"/>
    </row>
    <row r="27" spans="2:28" ht="17.45" customHeight="1">
      <c r="R27" s="80"/>
    </row>
    <row r="28" spans="2:28" ht="17.45" customHeight="1">
      <c r="B28" s="71" t="s">
        <v>212</v>
      </c>
      <c r="R28" s="80"/>
    </row>
    <row r="29" spans="2:28" ht="17.45" hidden="1" customHeight="1">
      <c r="B29" s="5" t="s">
        <v>209</v>
      </c>
      <c r="C29" s="34">
        <f>R18/1000-C26</f>
        <v>2375.63</v>
      </c>
      <c r="D29" s="23">
        <f>D30</f>
        <v>135.75028571428572</v>
      </c>
      <c r="E29" s="68">
        <f>O18-E26</f>
        <v>175</v>
      </c>
    </row>
    <row r="30" spans="2:28" ht="17.45" customHeight="1">
      <c r="B30" s="5" t="s">
        <v>209</v>
      </c>
      <c r="C30" s="69">
        <f>SUM(C29:C29)</f>
        <v>2375.63</v>
      </c>
      <c r="D30" s="70">
        <f>C30/E30*10</f>
        <v>135.75028571428572</v>
      </c>
      <c r="E30" s="67">
        <f>SUM(E29:E29)</f>
        <v>175</v>
      </c>
    </row>
    <row r="31" spans="2:28" ht="17.45" hidden="1" customHeight="1"/>
    <row r="32" spans="2:28" ht="15" hidden="1">
      <c r="B32" s="71" t="s">
        <v>214</v>
      </c>
      <c r="C32" s="69">
        <f>C24+C30</f>
        <v>2929.8900000000003</v>
      </c>
      <c r="D32" s="70">
        <f>C32/E32*10</f>
        <v>138.857345971564</v>
      </c>
      <c r="E32" s="67">
        <f>E24+E30</f>
        <v>211</v>
      </c>
    </row>
    <row r="33" spans="2:3" ht="15">
      <c r="B33" s="78" t="s">
        <v>179</v>
      </c>
      <c r="C33" s="79">
        <f>C30/(C18/250*(250-77))</f>
        <v>1.1024378065124498</v>
      </c>
    </row>
    <row r="34" spans="2:3" ht="15">
      <c r="B34" s="78" t="s">
        <v>180</v>
      </c>
      <c r="C34" s="79">
        <f>E30/(250-77)</f>
        <v>1.0115606936416186</v>
      </c>
    </row>
    <row r="35" spans="2:3">
      <c r="C35" s="72"/>
    </row>
    <row r="37" spans="2:3">
      <c r="C37" s="72"/>
    </row>
    <row r="39" spans="2:3">
      <c r="C39" s="72"/>
    </row>
  </sheetData>
  <mergeCells count="12">
    <mergeCell ref="B23:E23"/>
    <mergeCell ref="T15:X15"/>
    <mergeCell ref="E18:F18"/>
    <mergeCell ref="T14:X14"/>
    <mergeCell ref="T13:X13"/>
    <mergeCell ref="Z9:AC9"/>
    <mergeCell ref="B2:R2"/>
    <mergeCell ref="T11:W11"/>
    <mergeCell ref="T5:X5"/>
    <mergeCell ref="T12:X12"/>
    <mergeCell ref="T9:Y9"/>
    <mergeCell ref="T10:Y10"/>
  </mergeCells>
  <phoneticPr fontId="30" type="noConversion"/>
  <pageMargins left="0.7" right="0.7" top="0.75" bottom="0.75" header="0.3" footer="0.3"/>
  <pageSetup paperSize="9" scale="35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FBEDA-F284-46DD-AA67-73816C25032F}">
  <sheetPr>
    <pageSetUpPr fitToPage="1"/>
  </sheetPr>
  <dimension ref="A1:X32"/>
  <sheetViews>
    <sheetView showGridLines="0" zoomScale="70" zoomScaleNormal="70" workbookViewId="0">
      <selection activeCell="L27" sqref="L27"/>
    </sheetView>
  </sheetViews>
  <sheetFormatPr defaultRowHeight="15"/>
  <cols>
    <col min="1" max="1" width="7.42578125" customWidth="1"/>
    <col min="2" max="2" width="80.140625" customWidth="1"/>
    <col min="3" max="3" width="17.7109375" customWidth="1"/>
    <col min="4" max="7" width="16.5703125" customWidth="1"/>
    <col min="8" max="8" width="16.7109375" customWidth="1"/>
  </cols>
  <sheetData>
    <row r="1" spans="1:24" ht="15.75">
      <c r="A1" s="278"/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</row>
    <row r="2" spans="1:24" ht="18.75">
      <c r="A2" s="278"/>
      <c r="B2" s="282"/>
      <c r="C2" s="282"/>
      <c r="D2" s="282"/>
      <c r="E2" s="282"/>
      <c r="F2" s="282"/>
      <c r="G2" s="282"/>
      <c r="H2" s="282"/>
      <c r="I2" s="282"/>
      <c r="J2" s="282"/>
      <c r="K2" s="278"/>
      <c r="L2" s="278"/>
      <c r="M2" s="278"/>
      <c r="N2" s="278"/>
      <c r="O2" s="278"/>
      <c r="P2" s="278"/>
      <c r="Q2" s="278"/>
      <c r="R2" s="278"/>
      <c r="S2" s="278"/>
      <c r="T2" s="278"/>
      <c r="U2" s="278"/>
      <c r="V2" s="278"/>
      <c r="W2" s="278"/>
      <c r="X2" s="278"/>
    </row>
    <row r="3" spans="1:24" ht="42.6" customHeight="1">
      <c r="A3" s="278"/>
      <c r="B3" s="282"/>
      <c r="C3" s="282"/>
      <c r="D3" s="282"/>
      <c r="E3" s="282"/>
      <c r="F3" s="282"/>
      <c r="G3" s="282"/>
      <c r="H3" s="282"/>
      <c r="I3" s="282"/>
      <c r="J3" s="282"/>
      <c r="K3" s="278"/>
      <c r="L3" s="278"/>
      <c r="M3" s="278"/>
      <c r="N3" s="278"/>
      <c r="O3" s="278"/>
      <c r="P3" s="278"/>
      <c r="Q3" s="278"/>
      <c r="R3" s="278"/>
      <c r="S3" s="278"/>
      <c r="T3" s="278"/>
      <c r="U3" s="278"/>
      <c r="V3" s="278"/>
      <c r="W3" s="278"/>
      <c r="X3" s="278"/>
    </row>
    <row r="4" spans="1:24" ht="18.75" hidden="1">
      <c r="A4" s="278"/>
      <c r="B4" s="283" t="s">
        <v>27</v>
      </c>
      <c r="C4" s="282" t="s">
        <v>3829</v>
      </c>
      <c r="D4" s="282"/>
      <c r="E4" s="282"/>
      <c r="F4" s="282"/>
      <c r="G4" s="282"/>
      <c r="H4" s="282"/>
      <c r="I4" s="282"/>
      <c r="J4" s="282"/>
      <c r="K4" s="278"/>
      <c r="L4" s="278"/>
      <c r="M4" s="278"/>
      <c r="N4" s="278"/>
      <c r="O4" s="278"/>
      <c r="P4" s="278"/>
      <c r="Q4" s="278"/>
      <c r="R4" s="278"/>
      <c r="S4" s="278"/>
      <c r="T4" s="278"/>
      <c r="U4" s="278"/>
      <c r="V4" s="278"/>
      <c r="W4" s="278"/>
      <c r="X4" s="278"/>
    </row>
    <row r="5" spans="1:24" ht="18.75">
      <c r="A5" s="278"/>
      <c r="B5" s="283" t="s">
        <v>544</v>
      </c>
      <c r="C5" s="282" t="s">
        <v>3811</v>
      </c>
      <c r="D5" s="282"/>
      <c r="E5" s="282"/>
      <c r="F5" s="282"/>
      <c r="G5" s="282"/>
      <c r="H5" s="282"/>
      <c r="I5" s="282"/>
      <c r="J5" s="282"/>
      <c r="K5" s="278"/>
      <c r="L5" s="278"/>
      <c r="M5" s="278"/>
      <c r="N5" s="278"/>
      <c r="O5" s="278"/>
      <c r="P5" s="278"/>
      <c r="Q5" s="278"/>
      <c r="R5" s="278"/>
      <c r="S5" s="278"/>
      <c r="T5" s="278"/>
      <c r="U5" s="278"/>
      <c r="V5" s="278"/>
      <c r="W5" s="278"/>
      <c r="X5" s="278"/>
    </row>
    <row r="6" spans="1:24" s="82" customFormat="1" ht="16.5" customHeight="1">
      <c r="A6" s="279"/>
      <c r="B6" s="282"/>
      <c r="C6" s="282"/>
      <c r="D6" s="282"/>
      <c r="E6" s="282"/>
      <c r="F6" s="282"/>
      <c r="G6" s="282"/>
      <c r="H6" s="282"/>
      <c r="I6" s="284"/>
      <c r="J6" s="284"/>
      <c r="K6" s="279"/>
      <c r="L6" s="279"/>
      <c r="M6" s="279"/>
      <c r="N6" s="279"/>
      <c r="O6" s="279"/>
      <c r="P6" s="279"/>
      <c r="Q6" s="279"/>
      <c r="R6" s="279"/>
      <c r="S6" s="279"/>
      <c r="T6" s="279"/>
      <c r="U6" s="279"/>
      <c r="V6" s="279"/>
      <c r="W6" s="279"/>
      <c r="X6" s="279"/>
    </row>
    <row r="7" spans="1:24" s="219" customFormat="1" ht="75">
      <c r="A7" s="280"/>
      <c r="B7" s="283" t="s">
        <v>2543</v>
      </c>
      <c r="C7" s="286" t="s">
        <v>3536</v>
      </c>
      <c r="D7" s="286" t="s">
        <v>549</v>
      </c>
      <c r="E7" s="286" t="s">
        <v>550</v>
      </c>
      <c r="F7" s="286" t="s">
        <v>551</v>
      </c>
      <c r="G7" s="287" t="s">
        <v>552</v>
      </c>
      <c r="H7" s="286" t="s">
        <v>553</v>
      </c>
      <c r="I7" s="285"/>
      <c r="J7" s="285"/>
      <c r="K7" s="280"/>
      <c r="L7" s="280"/>
      <c r="M7" s="280"/>
      <c r="N7" s="280"/>
      <c r="O7" s="280"/>
      <c r="P7" s="280"/>
      <c r="Q7" s="280"/>
      <c r="R7" s="280"/>
      <c r="S7" s="280"/>
      <c r="T7" s="280"/>
      <c r="U7" s="280"/>
      <c r="V7" s="280"/>
      <c r="W7" s="280"/>
      <c r="X7" s="280"/>
    </row>
    <row r="8" spans="1:24" ht="18.75">
      <c r="A8" s="278"/>
      <c r="B8" s="288" t="s">
        <v>399</v>
      </c>
      <c r="C8" s="290">
        <v>352</v>
      </c>
      <c r="D8" s="289">
        <v>493.99999999999989</v>
      </c>
      <c r="E8" s="290">
        <v>8295440</v>
      </c>
      <c r="F8" s="290">
        <v>6767760.200000003</v>
      </c>
      <c r="G8" s="289">
        <v>16.792388663967618</v>
      </c>
      <c r="H8" s="289">
        <v>13.69991943319839</v>
      </c>
      <c r="I8" s="282"/>
      <c r="J8" s="282"/>
      <c r="K8" s="278"/>
      <c r="L8" s="278"/>
      <c r="M8" s="278"/>
      <c r="N8" s="278"/>
      <c r="O8" s="278"/>
      <c r="P8" s="278"/>
      <c r="Q8" s="278"/>
      <c r="R8" s="278"/>
      <c r="S8" s="278"/>
      <c r="T8" s="278"/>
      <c r="U8" s="278"/>
      <c r="V8" s="278"/>
      <c r="W8" s="278"/>
      <c r="X8" s="278"/>
    </row>
    <row r="9" spans="1:24" ht="18.75">
      <c r="A9" s="278"/>
      <c r="B9" s="318" t="s">
        <v>750</v>
      </c>
      <c r="C9" s="290">
        <v>23</v>
      </c>
      <c r="D9" s="289">
        <v>41.999999999999993</v>
      </c>
      <c r="E9" s="290">
        <v>519920</v>
      </c>
      <c r="F9" s="290">
        <v>431916.79999999999</v>
      </c>
      <c r="G9" s="289">
        <v>12.37904761904762</v>
      </c>
      <c r="H9" s="289">
        <v>10.283733333333334</v>
      </c>
      <c r="I9" s="282"/>
      <c r="J9" s="282"/>
      <c r="K9" s="278"/>
      <c r="L9" s="278"/>
      <c r="M9" s="278"/>
      <c r="N9" s="278"/>
      <c r="O9" s="278"/>
      <c r="P9" s="278"/>
      <c r="Q9" s="278"/>
      <c r="R9" s="278"/>
      <c r="S9" s="278"/>
      <c r="T9" s="278"/>
      <c r="U9" s="278"/>
      <c r="V9" s="278"/>
      <c r="W9" s="278"/>
      <c r="X9" s="278"/>
    </row>
    <row r="10" spans="1:24" ht="18.75">
      <c r="A10" s="278"/>
      <c r="B10" s="318" t="s">
        <v>397</v>
      </c>
      <c r="C10" s="290">
        <v>57</v>
      </c>
      <c r="D10" s="289">
        <v>77.999999999999972</v>
      </c>
      <c r="E10" s="290">
        <v>1303540</v>
      </c>
      <c r="F10" s="290">
        <v>858148.00000000023</v>
      </c>
      <c r="G10" s="289">
        <v>16.712051282051288</v>
      </c>
      <c r="H10" s="289">
        <v>11.001897435897444</v>
      </c>
      <c r="I10" s="282"/>
      <c r="J10" s="282"/>
      <c r="K10" s="278"/>
      <c r="L10" s="278"/>
      <c r="M10" s="278"/>
      <c r="N10" s="278"/>
      <c r="O10" s="278"/>
      <c r="P10" s="278"/>
      <c r="Q10" s="278"/>
      <c r="R10" s="278"/>
      <c r="S10" s="278"/>
      <c r="T10" s="278"/>
      <c r="U10" s="278"/>
      <c r="V10" s="278"/>
      <c r="W10" s="278"/>
      <c r="X10" s="278"/>
    </row>
    <row r="11" spans="1:24" ht="18.75">
      <c r="A11" s="278"/>
      <c r="B11" s="318" t="s">
        <v>856</v>
      </c>
      <c r="C11" s="290">
        <v>2</v>
      </c>
      <c r="D11" s="289">
        <v>2</v>
      </c>
      <c r="E11" s="290">
        <v>41930</v>
      </c>
      <c r="F11" s="290">
        <v>18895.5</v>
      </c>
      <c r="G11" s="289">
        <v>20.965</v>
      </c>
      <c r="H11" s="289">
        <v>9.4477499999999992</v>
      </c>
      <c r="I11" s="282"/>
      <c r="J11" s="282"/>
      <c r="K11" s="278"/>
      <c r="L11" s="278"/>
      <c r="M11" s="278"/>
      <c r="N11" s="278"/>
      <c r="O11" s="278"/>
      <c r="P11" s="278"/>
      <c r="Q11" s="278"/>
      <c r="R11" s="278"/>
      <c r="S11" s="278"/>
      <c r="T11" s="278"/>
      <c r="U11" s="278"/>
      <c r="V11" s="278"/>
      <c r="W11" s="278"/>
      <c r="X11" s="278"/>
    </row>
    <row r="12" spans="1:24" ht="18.75">
      <c r="A12" s="278"/>
      <c r="B12" s="318" t="s">
        <v>939</v>
      </c>
      <c r="C12" s="290">
        <v>56</v>
      </c>
      <c r="D12" s="289">
        <v>78.000000000000014</v>
      </c>
      <c r="E12" s="290">
        <v>1372620</v>
      </c>
      <c r="F12" s="290">
        <v>1109262.8999999999</v>
      </c>
      <c r="G12" s="289">
        <v>17.597692307692302</v>
      </c>
      <c r="H12" s="289">
        <v>14.221319230769227</v>
      </c>
      <c r="I12" s="282"/>
      <c r="J12" s="282"/>
      <c r="K12" s="278"/>
      <c r="L12" s="278"/>
      <c r="M12" s="278"/>
      <c r="N12" s="278"/>
      <c r="O12" s="278"/>
      <c r="P12" s="278"/>
      <c r="Q12" s="278"/>
      <c r="R12" s="278"/>
      <c r="S12" s="278"/>
      <c r="T12" s="278"/>
      <c r="U12" s="278"/>
      <c r="V12" s="278"/>
      <c r="W12" s="278"/>
      <c r="X12" s="278"/>
    </row>
    <row r="13" spans="1:24" ht="18.75">
      <c r="A13" s="278"/>
      <c r="B13" s="318" t="s">
        <v>942</v>
      </c>
      <c r="C13" s="290">
        <v>55</v>
      </c>
      <c r="D13" s="289">
        <v>78.000000000000028</v>
      </c>
      <c r="E13" s="290">
        <v>1294110</v>
      </c>
      <c r="F13" s="290">
        <v>1007483.8000000002</v>
      </c>
      <c r="G13" s="289">
        <v>16.591153846153841</v>
      </c>
      <c r="H13" s="289">
        <v>12.916458974358973</v>
      </c>
      <c r="I13" s="282"/>
      <c r="J13" s="282"/>
      <c r="K13" s="278"/>
      <c r="L13" s="278"/>
      <c r="M13" s="278"/>
      <c r="N13" s="278"/>
      <c r="O13" s="278"/>
      <c r="P13" s="278"/>
      <c r="Q13" s="278"/>
      <c r="R13" s="278"/>
      <c r="S13" s="278"/>
      <c r="T13" s="278"/>
      <c r="U13" s="278"/>
      <c r="V13" s="278"/>
      <c r="W13" s="278"/>
      <c r="X13" s="278"/>
    </row>
    <row r="14" spans="1:24" ht="18.75">
      <c r="A14" s="278"/>
      <c r="B14" s="318" t="s">
        <v>961</v>
      </c>
      <c r="C14" s="290">
        <v>26</v>
      </c>
      <c r="D14" s="289">
        <v>42.000000000000007</v>
      </c>
      <c r="E14" s="290">
        <v>586910</v>
      </c>
      <c r="F14" s="290">
        <v>520043.79999999993</v>
      </c>
      <c r="G14" s="289">
        <v>13.974047619047615</v>
      </c>
      <c r="H14" s="289">
        <v>12.381995238095234</v>
      </c>
      <c r="I14" s="282"/>
      <c r="J14" s="282"/>
      <c r="K14" s="278"/>
      <c r="L14" s="278"/>
      <c r="M14" s="278"/>
      <c r="N14" s="278"/>
      <c r="O14" s="278"/>
      <c r="P14" s="278"/>
      <c r="Q14" s="278"/>
      <c r="R14" s="278"/>
      <c r="S14" s="278"/>
      <c r="T14" s="278"/>
      <c r="U14" s="278"/>
      <c r="V14" s="278"/>
      <c r="W14" s="278"/>
      <c r="X14" s="278"/>
    </row>
    <row r="15" spans="1:24" ht="18.75">
      <c r="A15" s="278"/>
      <c r="B15" s="318" t="s">
        <v>964</v>
      </c>
      <c r="C15" s="290">
        <v>43</v>
      </c>
      <c r="D15" s="289">
        <v>55.999999999999993</v>
      </c>
      <c r="E15" s="290">
        <v>1028360</v>
      </c>
      <c r="F15" s="290">
        <v>948130</v>
      </c>
      <c r="G15" s="289">
        <v>18.363571428571429</v>
      </c>
      <c r="H15" s="289">
        <v>16.930892857142858</v>
      </c>
      <c r="I15" s="282"/>
      <c r="J15" s="282"/>
      <c r="K15" s="278"/>
      <c r="L15" s="278"/>
      <c r="M15" s="278"/>
      <c r="N15" s="278"/>
      <c r="O15" s="278"/>
      <c r="P15" s="278"/>
      <c r="Q15" s="278"/>
      <c r="R15" s="278"/>
      <c r="S15" s="278"/>
      <c r="T15" s="278"/>
      <c r="U15" s="278"/>
      <c r="V15" s="278"/>
      <c r="W15" s="278"/>
      <c r="X15" s="278"/>
    </row>
    <row r="16" spans="1:24" ht="18.75">
      <c r="A16" s="278"/>
      <c r="B16" s="318" t="s">
        <v>965</v>
      </c>
      <c r="C16" s="290">
        <v>90</v>
      </c>
      <c r="D16" s="289">
        <v>117.99999999999997</v>
      </c>
      <c r="E16" s="290">
        <v>2148050</v>
      </c>
      <c r="F16" s="290">
        <v>1873879.3999999992</v>
      </c>
      <c r="G16" s="289">
        <v>18.20381355932204</v>
      </c>
      <c r="H16" s="289">
        <v>15.88033389830508</v>
      </c>
      <c r="I16" s="282"/>
      <c r="J16" s="282"/>
      <c r="K16" s="278"/>
      <c r="L16" s="278"/>
      <c r="M16" s="278"/>
      <c r="N16" s="278"/>
      <c r="O16" s="278"/>
      <c r="P16" s="278"/>
      <c r="Q16" s="278"/>
      <c r="R16" s="278"/>
      <c r="S16" s="278"/>
      <c r="T16" s="278"/>
      <c r="U16" s="278"/>
      <c r="V16" s="278"/>
      <c r="W16" s="278"/>
      <c r="X16" s="278"/>
    </row>
    <row r="17" spans="1:24" ht="18.75">
      <c r="A17" s="278"/>
      <c r="B17" s="288" t="s">
        <v>379</v>
      </c>
      <c r="C17" s="290">
        <v>86</v>
      </c>
      <c r="D17" s="289">
        <v>156.00000000000003</v>
      </c>
      <c r="E17" s="290">
        <v>1812050</v>
      </c>
      <c r="F17" s="290">
        <v>1493867.0999999999</v>
      </c>
      <c r="G17" s="289">
        <v>11.615705128205127</v>
      </c>
      <c r="H17" s="289">
        <v>9.5760711538461525</v>
      </c>
      <c r="I17" s="282"/>
      <c r="J17" s="282"/>
      <c r="K17" s="278"/>
      <c r="L17" s="278"/>
      <c r="M17" s="278"/>
      <c r="N17" s="278"/>
      <c r="O17" s="278"/>
      <c r="P17" s="278"/>
      <c r="Q17" s="278"/>
      <c r="R17" s="278"/>
      <c r="S17" s="278"/>
      <c r="T17" s="278"/>
      <c r="U17" s="278"/>
      <c r="V17" s="278"/>
      <c r="W17" s="278"/>
      <c r="X17" s="278"/>
    </row>
    <row r="18" spans="1:24" ht="18.75">
      <c r="A18" s="278"/>
      <c r="B18" s="288" t="s">
        <v>1580</v>
      </c>
      <c r="C18" s="290">
        <v>220</v>
      </c>
      <c r="D18" s="289">
        <v>343.00000000000006</v>
      </c>
      <c r="E18" s="290">
        <v>5445720</v>
      </c>
      <c r="F18" s="290">
        <v>4842129.3000000017</v>
      </c>
      <c r="G18" s="289">
        <v>15.87673469387755</v>
      </c>
      <c r="H18" s="289">
        <v>14.11699504373178</v>
      </c>
      <c r="I18" s="282"/>
      <c r="J18" s="282"/>
      <c r="K18" s="278"/>
      <c r="L18" s="278"/>
      <c r="M18" s="278"/>
      <c r="N18" s="278"/>
      <c r="O18" s="278"/>
      <c r="P18" s="278"/>
      <c r="Q18" s="278"/>
      <c r="R18" s="278"/>
      <c r="S18" s="278"/>
      <c r="T18" s="278"/>
      <c r="U18" s="278"/>
      <c r="V18" s="278"/>
      <c r="W18" s="278"/>
      <c r="X18" s="278"/>
    </row>
    <row r="19" spans="1:24" ht="18.75">
      <c r="A19" s="278"/>
      <c r="B19" s="318" t="s">
        <v>947</v>
      </c>
      <c r="C19" s="290">
        <v>47</v>
      </c>
      <c r="D19" s="289">
        <v>72.000000000000028</v>
      </c>
      <c r="E19" s="290">
        <v>1185780</v>
      </c>
      <c r="F19" s="290">
        <v>1026464.5999999999</v>
      </c>
      <c r="G19" s="289">
        <v>16.469166666666659</v>
      </c>
      <c r="H19" s="289">
        <v>14.256452777777769</v>
      </c>
      <c r="I19" s="282"/>
      <c r="J19" s="282"/>
      <c r="K19" s="278"/>
      <c r="L19" s="278"/>
      <c r="M19" s="278"/>
      <c r="N19" s="278"/>
      <c r="O19" s="278"/>
      <c r="P19" s="278"/>
      <c r="Q19" s="278"/>
      <c r="R19" s="278"/>
      <c r="S19" s="278"/>
      <c r="T19" s="278"/>
      <c r="U19" s="278"/>
      <c r="V19" s="278"/>
      <c r="W19" s="278"/>
      <c r="X19" s="278"/>
    </row>
    <row r="20" spans="1:24" ht="18.75">
      <c r="A20" s="278"/>
      <c r="B20" s="318" t="s">
        <v>948</v>
      </c>
      <c r="C20" s="290">
        <v>43</v>
      </c>
      <c r="D20" s="289">
        <v>72.000000000000014</v>
      </c>
      <c r="E20" s="290">
        <v>1042760</v>
      </c>
      <c r="F20" s="290">
        <v>921863.7</v>
      </c>
      <c r="G20" s="289">
        <v>14.482777777777775</v>
      </c>
      <c r="H20" s="289">
        <v>12.803662499999998</v>
      </c>
      <c r="I20" s="282"/>
      <c r="J20" s="282"/>
      <c r="K20" s="278"/>
      <c r="L20" s="278"/>
      <c r="M20" s="278"/>
      <c r="N20" s="278"/>
      <c r="O20" s="278"/>
      <c r="P20" s="278"/>
      <c r="Q20" s="278"/>
      <c r="R20" s="278"/>
      <c r="S20" s="278"/>
      <c r="T20" s="278"/>
      <c r="U20" s="278"/>
      <c r="V20" s="278"/>
      <c r="W20" s="278"/>
      <c r="X20" s="278"/>
    </row>
    <row r="21" spans="1:24" ht="18.75">
      <c r="A21" s="278"/>
      <c r="B21" s="318" t="s">
        <v>950</v>
      </c>
      <c r="C21" s="290">
        <v>21</v>
      </c>
      <c r="D21" s="289">
        <v>36</v>
      </c>
      <c r="E21" s="290">
        <v>523480</v>
      </c>
      <c r="F21" s="290">
        <v>461425.60000000003</v>
      </c>
      <c r="G21" s="289">
        <v>14.541111111111112</v>
      </c>
      <c r="H21" s="289">
        <v>12.817377777777779</v>
      </c>
      <c r="I21" s="282"/>
      <c r="J21" s="282"/>
      <c r="K21" s="278"/>
      <c r="L21" s="278"/>
      <c r="M21" s="278"/>
      <c r="N21" s="278"/>
      <c r="O21" s="278"/>
      <c r="P21" s="278"/>
      <c r="Q21" s="278"/>
      <c r="R21" s="278"/>
      <c r="S21" s="278"/>
      <c r="T21" s="278"/>
      <c r="U21" s="278"/>
      <c r="V21" s="278"/>
      <c r="W21" s="278"/>
      <c r="X21" s="278"/>
    </row>
    <row r="22" spans="1:24" ht="18.75">
      <c r="A22" s="278"/>
      <c r="B22" s="318" t="s">
        <v>952</v>
      </c>
      <c r="C22" s="290">
        <v>23</v>
      </c>
      <c r="D22" s="289">
        <v>36</v>
      </c>
      <c r="E22" s="290">
        <v>588450</v>
      </c>
      <c r="F22" s="290">
        <v>544105.6</v>
      </c>
      <c r="G22" s="289">
        <v>16.345833333333335</v>
      </c>
      <c r="H22" s="289">
        <v>15.114044444444444</v>
      </c>
      <c r="I22" s="282"/>
      <c r="J22" s="282"/>
      <c r="K22" s="278"/>
      <c r="L22" s="278"/>
      <c r="M22" s="278"/>
      <c r="N22" s="278"/>
      <c r="O22" s="278"/>
      <c r="P22" s="278"/>
      <c r="Q22" s="278"/>
      <c r="R22" s="278"/>
      <c r="S22" s="278"/>
      <c r="T22" s="278"/>
      <c r="U22" s="278"/>
      <c r="V22" s="278"/>
      <c r="W22" s="278"/>
      <c r="X22" s="278"/>
    </row>
    <row r="23" spans="1:24" ht="18.75">
      <c r="A23" s="278"/>
      <c r="B23" s="318" t="s">
        <v>953</v>
      </c>
      <c r="C23" s="290">
        <v>20</v>
      </c>
      <c r="D23" s="289">
        <v>29</v>
      </c>
      <c r="E23" s="290">
        <v>470210</v>
      </c>
      <c r="F23" s="290">
        <v>415266.30000000005</v>
      </c>
      <c r="G23" s="289">
        <v>16.214137931034482</v>
      </c>
      <c r="H23" s="289">
        <v>14.319527586206899</v>
      </c>
      <c r="I23" s="282"/>
      <c r="J23" s="282"/>
      <c r="K23" s="278"/>
      <c r="L23" s="278"/>
      <c r="M23" s="278"/>
      <c r="N23" s="278"/>
      <c r="O23" s="278"/>
      <c r="P23" s="278"/>
      <c r="Q23" s="278"/>
      <c r="R23" s="278"/>
      <c r="S23" s="278"/>
      <c r="T23" s="278"/>
      <c r="U23" s="278"/>
      <c r="V23" s="278"/>
      <c r="W23" s="278"/>
      <c r="X23" s="278"/>
    </row>
    <row r="24" spans="1:24" ht="18.75">
      <c r="A24" s="278"/>
      <c r="B24" s="318" t="s">
        <v>954</v>
      </c>
      <c r="C24" s="290">
        <v>25</v>
      </c>
      <c r="D24" s="289">
        <v>36</v>
      </c>
      <c r="E24" s="290">
        <v>615440</v>
      </c>
      <c r="F24" s="290">
        <v>565109.59999999986</v>
      </c>
      <c r="G24" s="289">
        <v>17.095555555555556</v>
      </c>
      <c r="H24" s="289">
        <v>15.697488888888886</v>
      </c>
      <c r="I24" s="278"/>
      <c r="J24" s="278"/>
      <c r="K24" s="278"/>
      <c r="L24" s="278"/>
      <c r="M24" s="278"/>
      <c r="N24" s="278"/>
      <c r="O24" s="278"/>
      <c r="P24" s="278"/>
      <c r="Q24" s="278"/>
      <c r="R24" s="278"/>
      <c r="S24" s="278"/>
      <c r="T24" s="278"/>
      <c r="U24" s="278"/>
      <c r="V24" s="278"/>
      <c r="W24" s="278"/>
      <c r="X24" s="278"/>
    </row>
    <row r="25" spans="1:24" ht="18.75">
      <c r="A25" s="278"/>
      <c r="B25" s="318" t="s">
        <v>955</v>
      </c>
      <c r="C25" s="290">
        <v>26</v>
      </c>
      <c r="D25" s="289">
        <v>36</v>
      </c>
      <c r="E25" s="290">
        <v>666510</v>
      </c>
      <c r="F25" s="290">
        <v>603396.30000000005</v>
      </c>
      <c r="G25" s="289">
        <v>18.514166666666668</v>
      </c>
      <c r="H25" s="289">
        <v>16.761008333333333</v>
      </c>
      <c r="I25" s="278"/>
      <c r="J25" s="278"/>
      <c r="K25" s="278"/>
      <c r="L25" s="278"/>
      <c r="M25" s="278"/>
      <c r="N25" s="278"/>
      <c r="O25" s="278"/>
      <c r="P25" s="278"/>
      <c r="Q25" s="278"/>
      <c r="R25" s="278"/>
      <c r="S25" s="278"/>
      <c r="T25" s="278"/>
      <c r="U25" s="278"/>
      <c r="V25" s="278"/>
      <c r="W25" s="278"/>
      <c r="X25" s="278"/>
    </row>
    <row r="26" spans="1:24" ht="18.75">
      <c r="A26" s="278"/>
      <c r="B26" s="318" t="s">
        <v>961</v>
      </c>
      <c r="C26" s="290">
        <v>15</v>
      </c>
      <c r="D26" s="289">
        <v>26</v>
      </c>
      <c r="E26" s="290">
        <v>353090</v>
      </c>
      <c r="F26" s="290">
        <v>304497.59999999998</v>
      </c>
      <c r="G26" s="289">
        <v>13.580384615384615</v>
      </c>
      <c r="H26" s="289">
        <v>11.711446153846152</v>
      </c>
      <c r="I26" s="278"/>
      <c r="J26" s="278"/>
      <c r="K26" s="278"/>
      <c r="L26" s="278"/>
      <c r="M26" s="278"/>
      <c r="N26" s="278"/>
      <c r="O26" s="278"/>
      <c r="P26" s="278"/>
      <c r="Q26" s="278"/>
      <c r="R26" s="278"/>
      <c r="S26" s="278"/>
      <c r="T26" s="278"/>
      <c r="U26" s="278"/>
      <c r="V26" s="278"/>
      <c r="W26" s="278"/>
      <c r="X26" s="278"/>
    </row>
    <row r="27" spans="1:24" ht="18.75">
      <c r="A27" s="278"/>
      <c r="B27" s="288" t="s">
        <v>371</v>
      </c>
      <c r="C27" s="290">
        <v>34</v>
      </c>
      <c r="D27" s="289">
        <v>63.000000000000007</v>
      </c>
      <c r="E27" s="290">
        <v>550890</v>
      </c>
      <c r="F27" s="290">
        <v>423374</v>
      </c>
      <c r="G27" s="289">
        <v>8.7442857142857129</v>
      </c>
      <c r="H27" s="289">
        <v>6.7202222222222217</v>
      </c>
      <c r="I27" s="278"/>
      <c r="J27" s="278"/>
      <c r="K27" s="278"/>
      <c r="L27" s="278"/>
      <c r="M27" s="278"/>
      <c r="N27" s="278"/>
      <c r="O27" s="278"/>
      <c r="P27" s="278"/>
      <c r="Q27" s="278"/>
      <c r="R27" s="278"/>
      <c r="S27" s="278"/>
      <c r="T27" s="278"/>
      <c r="U27" s="278"/>
      <c r="V27" s="278"/>
      <c r="W27" s="278"/>
      <c r="X27" s="278"/>
    </row>
    <row r="28" spans="1:24" ht="18.75">
      <c r="A28" s="278"/>
      <c r="B28" s="288" t="s">
        <v>2153</v>
      </c>
      <c r="C28" s="290">
        <v>71</v>
      </c>
      <c r="D28" s="289">
        <v>125</v>
      </c>
      <c r="E28" s="290">
        <v>1860640</v>
      </c>
      <c r="F28" s="290">
        <v>1661071.5</v>
      </c>
      <c r="G28" s="289">
        <v>14.885120000000001</v>
      </c>
      <c r="H28" s="289">
        <v>13.288572</v>
      </c>
      <c r="I28" s="278"/>
      <c r="J28" s="278"/>
      <c r="K28" s="278"/>
      <c r="L28" s="278"/>
      <c r="M28" s="278"/>
      <c r="N28" s="278"/>
      <c r="O28" s="278"/>
      <c r="P28" s="278"/>
      <c r="Q28" s="278"/>
      <c r="R28" s="278"/>
      <c r="S28" s="278"/>
      <c r="T28" s="278"/>
      <c r="U28" s="278"/>
      <c r="V28" s="278"/>
      <c r="W28" s="278"/>
      <c r="X28" s="278"/>
    </row>
    <row r="29" spans="1:24" ht="18.75">
      <c r="A29" s="278"/>
      <c r="B29" s="288" t="s">
        <v>2465</v>
      </c>
      <c r="C29" s="290">
        <v>125</v>
      </c>
      <c r="D29" s="289">
        <v>267.99999999999983</v>
      </c>
      <c r="E29" s="290">
        <v>3223160</v>
      </c>
      <c r="F29" s="290">
        <v>2756232.399999999</v>
      </c>
      <c r="G29" s="289">
        <v>12.026716417910455</v>
      </c>
      <c r="H29" s="289">
        <v>10.284449253731346</v>
      </c>
      <c r="I29" s="278"/>
      <c r="J29" s="278"/>
      <c r="K29" s="278"/>
      <c r="L29" s="278"/>
      <c r="M29" s="278"/>
      <c r="N29" s="278"/>
      <c r="O29" s="278"/>
      <c r="P29" s="278"/>
      <c r="Q29" s="278"/>
      <c r="R29" s="278"/>
      <c r="S29" s="278"/>
      <c r="T29" s="278"/>
      <c r="U29" s="278"/>
      <c r="V29" s="278"/>
      <c r="W29" s="278"/>
      <c r="X29" s="278"/>
    </row>
    <row r="30" spans="1:24" ht="18.75">
      <c r="A30" s="278"/>
      <c r="B30" s="288" t="s">
        <v>2512</v>
      </c>
      <c r="C30" s="290">
        <v>176</v>
      </c>
      <c r="D30" s="289">
        <v>296.99999999999983</v>
      </c>
      <c r="E30" s="290">
        <v>4688030</v>
      </c>
      <c r="F30" s="290">
        <v>4154474.3000000017</v>
      </c>
      <c r="G30" s="289">
        <v>15.784612794612803</v>
      </c>
      <c r="H30" s="289">
        <v>13.988128956228969</v>
      </c>
      <c r="I30" s="278"/>
      <c r="J30" s="278"/>
      <c r="K30" s="278"/>
      <c r="L30" s="278"/>
      <c r="M30" s="278"/>
      <c r="N30" s="278"/>
      <c r="O30" s="278"/>
      <c r="P30" s="278"/>
      <c r="Q30" s="278"/>
      <c r="R30" s="278"/>
      <c r="S30" s="278"/>
      <c r="T30" s="278"/>
      <c r="U30" s="278"/>
      <c r="V30" s="278"/>
      <c r="W30" s="278"/>
      <c r="X30" s="278"/>
    </row>
    <row r="31" spans="1:24" ht="18.75">
      <c r="A31" s="278"/>
      <c r="B31" s="288" t="s">
        <v>2882</v>
      </c>
      <c r="C31" s="290">
        <v>348</v>
      </c>
      <c r="D31" s="289">
        <v>450.99999999999994</v>
      </c>
      <c r="E31" s="290">
        <v>9223720</v>
      </c>
      <c r="F31" s="290">
        <v>7971926.900000006</v>
      </c>
      <c r="G31" s="289">
        <v>20.451707317073172</v>
      </c>
      <c r="H31" s="289">
        <v>17.676112860310436</v>
      </c>
      <c r="I31" s="278"/>
      <c r="J31" s="278"/>
      <c r="K31" s="278"/>
      <c r="L31" s="278"/>
      <c r="M31" s="278"/>
      <c r="N31" s="278"/>
      <c r="O31" s="278"/>
      <c r="P31" s="278"/>
      <c r="Q31" s="278"/>
      <c r="R31" s="278"/>
      <c r="S31" s="278"/>
      <c r="T31" s="278"/>
      <c r="U31" s="278"/>
      <c r="V31" s="278"/>
      <c r="W31" s="278"/>
      <c r="X31" s="278"/>
    </row>
    <row r="32" spans="1:24" ht="18.75">
      <c r="A32" s="278"/>
      <c r="B32" s="288" t="s">
        <v>21</v>
      </c>
      <c r="C32" s="290">
        <v>1412</v>
      </c>
      <c r="D32" s="289">
        <v>2197.0000000000023</v>
      </c>
      <c r="E32" s="290">
        <v>35099650</v>
      </c>
      <c r="F32" s="290">
        <v>30070835.699999981</v>
      </c>
      <c r="G32" s="289">
        <v>15.976172052799257</v>
      </c>
      <c r="H32" s="289">
        <v>13.687226081019549</v>
      </c>
      <c r="I32" s="278"/>
      <c r="J32" s="278"/>
      <c r="K32" s="278"/>
      <c r="L32" s="278"/>
      <c r="M32" s="278"/>
      <c r="N32" s="278"/>
      <c r="O32" s="278"/>
      <c r="P32" s="278"/>
      <c r="Q32" s="278"/>
      <c r="R32" s="278"/>
      <c r="S32" s="278"/>
      <c r="T32" s="278"/>
      <c r="U32" s="278"/>
      <c r="V32" s="278"/>
      <c r="W32" s="278"/>
      <c r="X32" s="278"/>
    </row>
  </sheetData>
  <pageMargins left="0.7" right="0.7" top="0.75" bottom="0.75" header="0.3" footer="0.3"/>
  <pageSetup paperSize="9" scale="46" orientation="landscape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5FC3D-5259-4799-884F-DA2145428A51}">
  <dimension ref="A1:Q1466"/>
  <sheetViews>
    <sheetView showGridLines="0" zoomScale="80" zoomScaleNormal="80" workbookViewId="0">
      <pane ySplit="1" topLeftCell="A2" activePane="bottomLeft" state="frozen"/>
      <selection pane="bottomLeft" activeCell="I14" sqref="I14"/>
    </sheetView>
  </sheetViews>
  <sheetFormatPr defaultRowHeight="15"/>
  <cols>
    <col min="1" max="1" width="28.85546875" style="309" customWidth="1"/>
    <col min="2" max="2" width="15.85546875" style="309" customWidth="1"/>
    <col min="3" max="3" width="9.42578125" style="309" customWidth="1"/>
    <col min="4" max="4" width="14" style="309" customWidth="1"/>
    <col min="5" max="5" width="14.28515625" style="309" customWidth="1"/>
    <col min="6" max="7" width="14.42578125" style="309" customWidth="1"/>
    <col min="8" max="8" width="10.7109375" style="309" customWidth="1"/>
    <col min="9" max="9" width="15.42578125" style="309" customWidth="1"/>
    <col min="10" max="10" width="13" style="309" customWidth="1"/>
    <col min="11" max="11" width="11.7109375" style="309" customWidth="1"/>
    <col min="12" max="12" width="18.28515625" style="309" customWidth="1"/>
    <col min="13" max="13" width="14" style="308" customWidth="1"/>
    <col min="14" max="14" width="15.85546875" style="309" customWidth="1"/>
    <col min="15" max="15" width="13.28515625" customWidth="1"/>
    <col min="16" max="16" width="12.28515625" style="35" customWidth="1"/>
    <col min="17" max="17" width="11.7109375" style="246" customWidth="1"/>
    <col min="18" max="136" width="8" style="309" customWidth="1"/>
    <col min="137" max="137" width="1.5703125" style="309" customWidth="1"/>
    <col min="138" max="138" width="48.28515625" style="309" customWidth="1"/>
    <col min="139" max="139" width="13.28515625" style="309" customWidth="1"/>
    <col min="140" max="140" width="18.28515625" style="309" customWidth="1"/>
    <col min="141" max="141" width="18.5703125" style="309" customWidth="1"/>
    <col min="142" max="142" width="12.7109375" style="309" customWidth="1"/>
    <col min="143" max="143" width="10.85546875" style="309" customWidth="1"/>
    <col min="144" max="144" width="16.28515625" style="309" customWidth="1"/>
    <col min="145" max="145" width="8.140625" style="309" customWidth="1"/>
    <col min="146" max="150" width="11.7109375" style="309" customWidth="1"/>
    <col min="151" max="151" width="15.85546875" style="309" customWidth="1"/>
    <col min="152" max="392" width="8" style="309" customWidth="1"/>
    <col min="393" max="393" width="1.5703125" style="309" customWidth="1"/>
    <col min="394" max="394" width="48.28515625" style="309" customWidth="1"/>
    <col min="395" max="395" width="13.28515625" style="309" customWidth="1"/>
    <col min="396" max="396" width="18.28515625" style="309" customWidth="1"/>
    <col min="397" max="397" width="18.5703125" style="309" customWidth="1"/>
    <col min="398" max="398" width="12.7109375" style="309" customWidth="1"/>
    <col min="399" max="399" width="10.85546875" style="309" customWidth="1"/>
    <col min="400" max="400" width="16.28515625" style="309" customWidth="1"/>
    <col min="401" max="401" width="8.140625" style="309" customWidth="1"/>
    <col min="402" max="406" width="11.7109375" style="309" customWidth="1"/>
    <col min="407" max="407" width="15.85546875" style="309" customWidth="1"/>
    <col min="408" max="648" width="8" style="309" customWidth="1"/>
    <col min="649" max="649" width="1.5703125" style="309" customWidth="1"/>
    <col min="650" max="650" width="48.28515625" style="309" customWidth="1"/>
    <col min="651" max="651" width="13.28515625" style="309" customWidth="1"/>
    <col min="652" max="652" width="18.28515625" style="309" customWidth="1"/>
    <col min="653" max="653" width="18.5703125" style="309" customWidth="1"/>
    <col min="654" max="654" width="12.7109375" style="309" customWidth="1"/>
    <col min="655" max="655" width="10.85546875" style="309" customWidth="1"/>
    <col min="656" max="656" width="16.28515625" style="309" customWidth="1"/>
    <col min="657" max="657" width="8.140625" style="309" customWidth="1"/>
    <col min="658" max="662" width="11.7109375" style="309" customWidth="1"/>
    <col min="663" max="663" width="15.85546875" style="309" customWidth="1"/>
    <col min="664" max="904" width="8" style="309" customWidth="1"/>
    <col min="905" max="905" width="1.5703125" style="309" customWidth="1"/>
    <col min="906" max="906" width="48.28515625" style="309" customWidth="1"/>
    <col min="907" max="907" width="13.28515625" style="309" customWidth="1"/>
    <col min="908" max="908" width="18.28515625" style="309" customWidth="1"/>
    <col min="909" max="909" width="18.5703125" style="309" customWidth="1"/>
    <col min="910" max="910" width="12.7109375" style="309" customWidth="1"/>
    <col min="911" max="911" width="10.85546875" style="309" customWidth="1"/>
    <col min="912" max="912" width="16.28515625" style="309" customWidth="1"/>
    <col min="913" max="913" width="8.140625" style="309" customWidth="1"/>
    <col min="914" max="918" width="11.7109375" style="309" customWidth="1"/>
    <col min="919" max="919" width="15.85546875" style="309" customWidth="1"/>
    <col min="920" max="1160" width="8" style="309" customWidth="1"/>
    <col min="1161" max="1161" width="1.5703125" style="309" customWidth="1"/>
    <col min="1162" max="1162" width="48.28515625" style="309" customWidth="1"/>
    <col min="1163" max="1163" width="13.28515625" style="309" customWidth="1"/>
    <col min="1164" max="1164" width="18.28515625" style="309" customWidth="1"/>
    <col min="1165" max="1165" width="18.5703125" style="309" customWidth="1"/>
    <col min="1166" max="1166" width="12.7109375" style="309" customWidth="1"/>
    <col min="1167" max="1167" width="10.85546875" style="309" customWidth="1"/>
    <col min="1168" max="1168" width="16.28515625" style="309" customWidth="1"/>
    <col min="1169" max="1169" width="8.140625" style="309" customWidth="1"/>
    <col min="1170" max="1174" width="11.7109375" style="309" customWidth="1"/>
    <col min="1175" max="1175" width="15.85546875" style="309" customWidth="1"/>
    <col min="1176" max="1416" width="8" style="309" customWidth="1"/>
    <col min="1417" max="1417" width="1.5703125" style="309" customWidth="1"/>
    <col min="1418" max="1418" width="48.28515625" style="309" customWidth="1"/>
    <col min="1419" max="1419" width="13.28515625" style="309" customWidth="1"/>
    <col min="1420" max="1420" width="18.28515625" style="309" customWidth="1"/>
    <col min="1421" max="1421" width="18.5703125" style="309" customWidth="1"/>
    <col min="1422" max="1422" width="12.7109375" style="309" customWidth="1"/>
    <col min="1423" max="1423" width="10.85546875" style="309" customWidth="1"/>
    <col min="1424" max="1424" width="16.28515625" style="309" customWidth="1"/>
    <col min="1425" max="1425" width="8.140625" style="309" customWidth="1"/>
    <col min="1426" max="1430" width="11.7109375" style="309" customWidth="1"/>
    <col min="1431" max="1431" width="15.85546875" style="309" customWidth="1"/>
    <col min="1432" max="1672" width="8" style="309" customWidth="1"/>
    <col min="1673" max="1673" width="1.5703125" style="309" customWidth="1"/>
    <col min="1674" max="1674" width="48.28515625" style="309" customWidth="1"/>
    <col min="1675" max="1675" width="13.28515625" style="309" customWidth="1"/>
    <col min="1676" max="1676" width="18.28515625" style="309" customWidth="1"/>
    <col min="1677" max="1677" width="18.5703125" style="309" customWidth="1"/>
    <col min="1678" max="1678" width="12.7109375" style="309" customWidth="1"/>
    <col min="1679" max="1679" width="10.85546875" style="309" customWidth="1"/>
    <col min="1680" max="1680" width="16.28515625" style="309" customWidth="1"/>
    <col min="1681" max="1681" width="8.140625" style="309" customWidth="1"/>
    <col min="1682" max="1686" width="11.7109375" style="309" customWidth="1"/>
    <col min="1687" max="1687" width="15.85546875" style="309" customWidth="1"/>
    <col min="1688" max="1928" width="8" style="309" customWidth="1"/>
    <col min="1929" max="1929" width="1.5703125" style="309" customWidth="1"/>
    <col min="1930" max="1930" width="48.28515625" style="309" customWidth="1"/>
    <col min="1931" max="1931" width="13.28515625" style="309" customWidth="1"/>
    <col min="1932" max="1932" width="18.28515625" style="309" customWidth="1"/>
    <col min="1933" max="1933" width="18.5703125" style="309" customWidth="1"/>
    <col min="1934" max="1934" width="12.7109375" style="309" customWidth="1"/>
    <col min="1935" max="1935" width="10.85546875" style="309" customWidth="1"/>
    <col min="1936" max="1936" width="16.28515625" style="309" customWidth="1"/>
    <col min="1937" max="1937" width="8.140625" style="309" customWidth="1"/>
    <col min="1938" max="1942" width="11.7109375" style="309" customWidth="1"/>
    <col min="1943" max="1943" width="15.85546875" style="309" customWidth="1"/>
    <col min="1944" max="2184" width="8" style="309" customWidth="1"/>
    <col min="2185" max="2185" width="1.5703125" style="309" customWidth="1"/>
    <col min="2186" max="2186" width="48.28515625" style="309" customWidth="1"/>
    <col min="2187" max="2187" width="13.28515625" style="309" customWidth="1"/>
    <col min="2188" max="2188" width="18.28515625" style="309" customWidth="1"/>
    <col min="2189" max="2189" width="18.5703125" style="309" customWidth="1"/>
    <col min="2190" max="2190" width="12.7109375" style="309" customWidth="1"/>
    <col min="2191" max="2191" width="10.85546875" style="309" customWidth="1"/>
    <col min="2192" max="2192" width="16.28515625" style="309" customWidth="1"/>
    <col min="2193" max="2193" width="8.140625" style="309" customWidth="1"/>
    <col min="2194" max="2198" width="11.7109375" style="309" customWidth="1"/>
    <col min="2199" max="2199" width="15.85546875" style="309" customWidth="1"/>
    <col min="2200" max="2440" width="8" style="309" customWidth="1"/>
    <col min="2441" max="2441" width="1.5703125" style="309" customWidth="1"/>
    <col min="2442" max="2442" width="48.28515625" style="309" customWidth="1"/>
    <col min="2443" max="2443" width="13.28515625" style="309" customWidth="1"/>
    <col min="2444" max="2444" width="18.28515625" style="309" customWidth="1"/>
    <col min="2445" max="2445" width="18.5703125" style="309" customWidth="1"/>
    <col min="2446" max="2446" width="12.7109375" style="309" customWidth="1"/>
    <col min="2447" max="2447" width="10.85546875" style="309" customWidth="1"/>
    <col min="2448" max="2448" width="16.28515625" style="309" customWidth="1"/>
    <col min="2449" max="2449" width="8.140625" style="309" customWidth="1"/>
    <col min="2450" max="2454" width="11.7109375" style="309" customWidth="1"/>
    <col min="2455" max="2455" width="15.85546875" style="309" customWidth="1"/>
    <col min="2456" max="2696" width="8" style="309" customWidth="1"/>
    <col min="2697" max="2697" width="1.5703125" style="309" customWidth="1"/>
    <col min="2698" max="2698" width="48.28515625" style="309" customWidth="1"/>
    <col min="2699" max="2699" width="13.28515625" style="309" customWidth="1"/>
    <col min="2700" max="2700" width="18.28515625" style="309" customWidth="1"/>
    <col min="2701" max="2701" width="18.5703125" style="309" customWidth="1"/>
    <col min="2702" max="2702" width="12.7109375" style="309" customWidth="1"/>
    <col min="2703" max="2703" width="10.85546875" style="309" customWidth="1"/>
    <col min="2704" max="2704" width="16.28515625" style="309" customWidth="1"/>
    <col min="2705" max="2705" width="8.140625" style="309" customWidth="1"/>
    <col min="2706" max="2710" width="11.7109375" style="309" customWidth="1"/>
    <col min="2711" max="2711" width="15.85546875" style="309" customWidth="1"/>
    <col min="2712" max="2952" width="8" style="309" customWidth="1"/>
    <col min="2953" max="2953" width="1.5703125" style="309" customWidth="1"/>
    <col min="2954" max="2954" width="48.28515625" style="309" customWidth="1"/>
    <col min="2955" max="2955" width="13.28515625" style="309" customWidth="1"/>
    <col min="2956" max="2956" width="18.28515625" style="309" customWidth="1"/>
    <col min="2957" max="2957" width="18.5703125" style="309" customWidth="1"/>
    <col min="2958" max="2958" width="12.7109375" style="309" customWidth="1"/>
    <col min="2959" max="2959" width="10.85546875" style="309" customWidth="1"/>
    <col min="2960" max="2960" width="16.28515625" style="309" customWidth="1"/>
    <col min="2961" max="2961" width="8.140625" style="309" customWidth="1"/>
    <col min="2962" max="2966" width="11.7109375" style="309" customWidth="1"/>
    <col min="2967" max="2967" width="15.85546875" style="309" customWidth="1"/>
    <col min="2968" max="3208" width="8" style="309" customWidth="1"/>
    <col min="3209" max="3209" width="1.5703125" style="309" customWidth="1"/>
    <col min="3210" max="3210" width="48.28515625" style="309" customWidth="1"/>
    <col min="3211" max="3211" width="13.28515625" style="309" customWidth="1"/>
    <col min="3212" max="3212" width="18.28515625" style="309" customWidth="1"/>
    <col min="3213" max="3213" width="18.5703125" style="309" customWidth="1"/>
    <col min="3214" max="3214" width="12.7109375" style="309" customWidth="1"/>
    <col min="3215" max="3215" width="10.85546875" style="309" customWidth="1"/>
    <col min="3216" max="3216" width="16.28515625" style="309" customWidth="1"/>
    <col min="3217" max="3217" width="8.140625" style="309" customWidth="1"/>
    <col min="3218" max="3222" width="11.7109375" style="309" customWidth="1"/>
    <col min="3223" max="3223" width="15.85546875" style="309" customWidth="1"/>
    <col min="3224" max="3464" width="8" style="309" customWidth="1"/>
    <col min="3465" max="3465" width="1.5703125" style="309" customWidth="1"/>
    <col min="3466" max="3466" width="48.28515625" style="309" customWidth="1"/>
    <col min="3467" max="3467" width="13.28515625" style="309" customWidth="1"/>
    <col min="3468" max="3468" width="18.28515625" style="309" customWidth="1"/>
    <col min="3469" max="3469" width="18.5703125" style="309" customWidth="1"/>
    <col min="3470" max="3470" width="12.7109375" style="309" customWidth="1"/>
    <col min="3471" max="3471" width="10.85546875" style="309" customWidth="1"/>
    <col min="3472" max="3472" width="16.28515625" style="309" customWidth="1"/>
    <col min="3473" max="3473" width="8.140625" style="309" customWidth="1"/>
    <col min="3474" max="3478" width="11.7109375" style="309" customWidth="1"/>
    <col min="3479" max="3479" width="15.85546875" style="309" customWidth="1"/>
    <col min="3480" max="3720" width="8" style="309" customWidth="1"/>
    <col min="3721" max="3721" width="1.5703125" style="309" customWidth="1"/>
    <col min="3722" max="3722" width="48.28515625" style="309" customWidth="1"/>
    <col min="3723" max="3723" width="13.28515625" style="309" customWidth="1"/>
    <col min="3724" max="3724" width="18.28515625" style="309" customWidth="1"/>
    <col min="3725" max="3725" width="18.5703125" style="309" customWidth="1"/>
    <col min="3726" max="3726" width="12.7109375" style="309" customWidth="1"/>
    <col min="3727" max="3727" width="10.85546875" style="309" customWidth="1"/>
    <col min="3728" max="3728" width="16.28515625" style="309" customWidth="1"/>
    <col min="3729" max="3729" width="8.140625" style="309" customWidth="1"/>
    <col min="3730" max="3734" width="11.7109375" style="309" customWidth="1"/>
    <col min="3735" max="3735" width="15.85546875" style="309" customWidth="1"/>
    <col min="3736" max="3976" width="8" style="309" customWidth="1"/>
    <col min="3977" max="3977" width="1.5703125" style="309" customWidth="1"/>
    <col min="3978" max="3978" width="48.28515625" style="309" customWidth="1"/>
    <col min="3979" max="3979" width="13.28515625" style="309" customWidth="1"/>
    <col min="3980" max="3980" width="18.28515625" style="309" customWidth="1"/>
    <col min="3981" max="3981" width="18.5703125" style="309" customWidth="1"/>
    <col min="3982" max="3982" width="12.7109375" style="309" customWidth="1"/>
    <col min="3983" max="3983" width="10.85546875" style="309" customWidth="1"/>
    <col min="3984" max="3984" width="16.28515625" style="309" customWidth="1"/>
    <col min="3985" max="3985" width="8.140625" style="309" customWidth="1"/>
    <col min="3986" max="3990" width="11.7109375" style="309" customWidth="1"/>
    <col min="3991" max="3991" width="15.85546875" style="309" customWidth="1"/>
    <col min="3992" max="4232" width="8" style="309" customWidth="1"/>
    <col min="4233" max="4233" width="1.5703125" style="309" customWidth="1"/>
    <col min="4234" max="4234" width="48.28515625" style="309" customWidth="1"/>
    <col min="4235" max="4235" width="13.28515625" style="309" customWidth="1"/>
    <col min="4236" max="4236" width="18.28515625" style="309" customWidth="1"/>
    <col min="4237" max="4237" width="18.5703125" style="309" customWidth="1"/>
    <col min="4238" max="4238" width="12.7109375" style="309" customWidth="1"/>
    <col min="4239" max="4239" width="10.85546875" style="309" customWidth="1"/>
    <col min="4240" max="4240" width="16.28515625" style="309" customWidth="1"/>
    <col min="4241" max="4241" width="8.140625" style="309" customWidth="1"/>
    <col min="4242" max="4246" width="11.7109375" style="309" customWidth="1"/>
    <col min="4247" max="4247" width="15.85546875" style="309" customWidth="1"/>
    <col min="4248" max="4488" width="8" style="309" customWidth="1"/>
    <col min="4489" max="4489" width="1.5703125" style="309" customWidth="1"/>
    <col min="4490" max="4490" width="48.28515625" style="309" customWidth="1"/>
    <col min="4491" max="4491" width="13.28515625" style="309" customWidth="1"/>
    <col min="4492" max="4492" width="18.28515625" style="309" customWidth="1"/>
    <col min="4493" max="4493" width="18.5703125" style="309" customWidth="1"/>
    <col min="4494" max="4494" width="12.7109375" style="309" customWidth="1"/>
    <col min="4495" max="4495" width="10.85546875" style="309" customWidth="1"/>
    <col min="4496" max="4496" width="16.28515625" style="309" customWidth="1"/>
    <col min="4497" max="4497" width="8.140625" style="309" customWidth="1"/>
    <col min="4498" max="4502" width="11.7109375" style="309" customWidth="1"/>
    <col min="4503" max="4503" width="15.85546875" style="309" customWidth="1"/>
    <col min="4504" max="4744" width="8" style="309" customWidth="1"/>
    <col min="4745" max="4745" width="1.5703125" style="309" customWidth="1"/>
    <col min="4746" max="4746" width="48.28515625" style="309" customWidth="1"/>
    <col min="4747" max="4747" width="13.28515625" style="309" customWidth="1"/>
    <col min="4748" max="4748" width="18.28515625" style="309" customWidth="1"/>
    <col min="4749" max="4749" width="18.5703125" style="309" customWidth="1"/>
    <col min="4750" max="4750" width="12.7109375" style="309" customWidth="1"/>
    <col min="4751" max="4751" width="10.85546875" style="309" customWidth="1"/>
    <col min="4752" max="4752" width="16.28515625" style="309" customWidth="1"/>
    <col min="4753" max="4753" width="8.140625" style="309" customWidth="1"/>
    <col min="4754" max="4758" width="11.7109375" style="309" customWidth="1"/>
    <col min="4759" max="4759" width="15.85546875" style="309" customWidth="1"/>
    <col min="4760" max="5000" width="8" style="309" customWidth="1"/>
    <col min="5001" max="5001" width="1.5703125" style="309" customWidth="1"/>
    <col min="5002" max="5002" width="48.28515625" style="309" customWidth="1"/>
    <col min="5003" max="5003" width="13.28515625" style="309" customWidth="1"/>
    <col min="5004" max="5004" width="18.28515625" style="309" customWidth="1"/>
    <col min="5005" max="5005" width="18.5703125" style="309" customWidth="1"/>
    <col min="5006" max="5006" width="12.7109375" style="309" customWidth="1"/>
    <col min="5007" max="5007" width="10.85546875" style="309" customWidth="1"/>
    <col min="5008" max="5008" width="16.28515625" style="309" customWidth="1"/>
    <col min="5009" max="5009" width="8.140625" style="309" customWidth="1"/>
    <col min="5010" max="5014" width="11.7109375" style="309" customWidth="1"/>
    <col min="5015" max="5015" width="15.85546875" style="309" customWidth="1"/>
    <col min="5016" max="5256" width="8" style="309" customWidth="1"/>
    <col min="5257" max="5257" width="1.5703125" style="309" customWidth="1"/>
    <col min="5258" max="5258" width="48.28515625" style="309" customWidth="1"/>
    <col min="5259" max="5259" width="13.28515625" style="309" customWidth="1"/>
    <col min="5260" max="5260" width="18.28515625" style="309" customWidth="1"/>
    <col min="5261" max="5261" width="18.5703125" style="309" customWidth="1"/>
    <col min="5262" max="5262" width="12.7109375" style="309" customWidth="1"/>
    <col min="5263" max="5263" width="10.85546875" style="309" customWidth="1"/>
    <col min="5264" max="5264" width="16.28515625" style="309" customWidth="1"/>
    <col min="5265" max="5265" width="8.140625" style="309" customWidth="1"/>
    <col min="5266" max="5270" width="11.7109375" style="309" customWidth="1"/>
    <col min="5271" max="5271" width="15.85546875" style="309" customWidth="1"/>
    <col min="5272" max="5512" width="8" style="309" customWidth="1"/>
    <col min="5513" max="5513" width="1.5703125" style="309" customWidth="1"/>
    <col min="5514" max="5514" width="48.28515625" style="309" customWidth="1"/>
    <col min="5515" max="5515" width="13.28515625" style="309" customWidth="1"/>
    <col min="5516" max="5516" width="18.28515625" style="309" customWidth="1"/>
    <col min="5517" max="5517" width="18.5703125" style="309" customWidth="1"/>
    <col min="5518" max="5518" width="12.7109375" style="309" customWidth="1"/>
    <col min="5519" max="5519" width="10.85546875" style="309" customWidth="1"/>
    <col min="5520" max="5520" width="16.28515625" style="309" customWidth="1"/>
    <col min="5521" max="5521" width="8.140625" style="309" customWidth="1"/>
    <col min="5522" max="5526" width="11.7109375" style="309" customWidth="1"/>
    <col min="5527" max="5527" width="15.85546875" style="309" customWidth="1"/>
    <col min="5528" max="5768" width="8" style="309" customWidth="1"/>
    <col min="5769" max="5769" width="1.5703125" style="309" customWidth="1"/>
    <col min="5770" max="5770" width="48.28515625" style="309" customWidth="1"/>
    <col min="5771" max="5771" width="13.28515625" style="309" customWidth="1"/>
    <col min="5772" max="5772" width="18.28515625" style="309" customWidth="1"/>
    <col min="5773" max="5773" width="18.5703125" style="309" customWidth="1"/>
    <col min="5774" max="5774" width="12.7109375" style="309" customWidth="1"/>
    <col min="5775" max="5775" width="10.85546875" style="309" customWidth="1"/>
    <col min="5776" max="5776" width="16.28515625" style="309" customWidth="1"/>
    <col min="5777" max="5777" width="8.140625" style="309" customWidth="1"/>
    <col min="5778" max="5782" width="11.7109375" style="309" customWidth="1"/>
    <col min="5783" max="5783" width="15.85546875" style="309" customWidth="1"/>
    <col min="5784" max="6024" width="8" style="309" customWidth="1"/>
    <col min="6025" max="6025" width="1.5703125" style="309" customWidth="1"/>
    <col min="6026" max="6026" width="48.28515625" style="309" customWidth="1"/>
    <col min="6027" max="6027" width="13.28515625" style="309" customWidth="1"/>
    <col min="6028" max="6028" width="18.28515625" style="309" customWidth="1"/>
    <col min="6029" max="6029" width="18.5703125" style="309" customWidth="1"/>
    <col min="6030" max="6030" width="12.7109375" style="309" customWidth="1"/>
    <col min="6031" max="6031" width="10.85546875" style="309" customWidth="1"/>
    <col min="6032" max="6032" width="16.28515625" style="309" customWidth="1"/>
    <col min="6033" max="6033" width="8.140625" style="309" customWidth="1"/>
    <col min="6034" max="6038" width="11.7109375" style="309" customWidth="1"/>
    <col min="6039" max="6039" width="15.85546875" style="309" customWidth="1"/>
    <col min="6040" max="6280" width="8" style="309" customWidth="1"/>
    <col min="6281" max="6281" width="1.5703125" style="309" customWidth="1"/>
    <col min="6282" max="6282" width="48.28515625" style="309" customWidth="1"/>
    <col min="6283" max="6283" width="13.28515625" style="309" customWidth="1"/>
    <col min="6284" max="6284" width="18.28515625" style="309" customWidth="1"/>
    <col min="6285" max="6285" width="18.5703125" style="309" customWidth="1"/>
    <col min="6286" max="6286" width="12.7109375" style="309" customWidth="1"/>
    <col min="6287" max="6287" width="10.85546875" style="309" customWidth="1"/>
    <col min="6288" max="6288" width="16.28515625" style="309" customWidth="1"/>
    <col min="6289" max="6289" width="8.140625" style="309" customWidth="1"/>
    <col min="6290" max="6294" width="11.7109375" style="309" customWidth="1"/>
    <col min="6295" max="6295" width="15.85546875" style="309" customWidth="1"/>
    <col min="6296" max="6536" width="8" style="309" customWidth="1"/>
    <col min="6537" max="6537" width="1.5703125" style="309" customWidth="1"/>
    <col min="6538" max="6538" width="48.28515625" style="309" customWidth="1"/>
    <col min="6539" max="6539" width="13.28515625" style="309" customWidth="1"/>
    <col min="6540" max="6540" width="18.28515625" style="309" customWidth="1"/>
    <col min="6541" max="6541" width="18.5703125" style="309" customWidth="1"/>
    <col min="6542" max="6542" width="12.7109375" style="309" customWidth="1"/>
    <col min="6543" max="6543" width="10.85546875" style="309" customWidth="1"/>
    <col min="6544" max="6544" width="16.28515625" style="309" customWidth="1"/>
    <col min="6545" max="6545" width="8.140625" style="309" customWidth="1"/>
    <col min="6546" max="6550" width="11.7109375" style="309" customWidth="1"/>
    <col min="6551" max="6551" width="15.85546875" style="309" customWidth="1"/>
    <col min="6552" max="6792" width="8" style="309" customWidth="1"/>
    <col min="6793" max="6793" width="1.5703125" style="309" customWidth="1"/>
    <col min="6794" max="6794" width="48.28515625" style="309" customWidth="1"/>
    <col min="6795" max="6795" width="13.28515625" style="309" customWidth="1"/>
    <col min="6796" max="6796" width="18.28515625" style="309" customWidth="1"/>
    <col min="6797" max="6797" width="18.5703125" style="309" customWidth="1"/>
    <col min="6798" max="6798" width="12.7109375" style="309" customWidth="1"/>
    <col min="6799" max="6799" width="10.85546875" style="309" customWidth="1"/>
    <col min="6800" max="6800" width="16.28515625" style="309" customWidth="1"/>
    <col min="6801" max="6801" width="8.140625" style="309" customWidth="1"/>
    <col min="6802" max="6806" width="11.7109375" style="309" customWidth="1"/>
    <col min="6807" max="6807" width="15.85546875" style="309" customWidth="1"/>
    <col min="6808" max="7048" width="8" style="309" customWidth="1"/>
    <col min="7049" max="7049" width="1.5703125" style="309" customWidth="1"/>
    <col min="7050" max="7050" width="48.28515625" style="309" customWidth="1"/>
    <col min="7051" max="7051" width="13.28515625" style="309" customWidth="1"/>
    <col min="7052" max="7052" width="18.28515625" style="309" customWidth="1"/>
    <col min="7053" max="7053" width="18.5703125" style="309" customWidth="1"/>
    <col min="7054" max="7054" width="12.7109375" style="309" customWidth="1"/>
    <col min="7055" max="7055" width="10.85546875" style="309" customWidth="1"/>
    <col min="7056" max="7056" width="16.28515625" style="309" customWidth="1"/>
    <col min="7057" max="7057" width="8.140625" style="309" customWidth="1"/>
    <col min="7058" max="7062" width="11.7109375" style="309" customWidth="1"/>
    <col min="7063" max="7063" width="15.85546875" style="309" customWidth="1"/>
    <col min="7064" max="7304" width="8" style="309" customWidth="1"/>
    <col min="7305" max="7305" width="1.5703125" style="309" customWidth="1"/>
    <col min="7306" max="7306" width="48.28515625" style="309" customWidth="1"/>
    <col min="7307" max="7307" width="13.28515625" style="309" customWidth="1"/>
    <col min="7308" max="7308" width="18.28515625" style="309" customWidth="1"/>
    <col min="7309" max="7309" width="18.5703125" style="309" customWidth="1"/>
    <col min="7310" max="7310" width="12.7109375" style="309" customWidth="1"/>
    <col min="7311" max="7311" width="10.85546875" style="309" customWidth="1"/>
    <col min="7312" max="7312" width="16.28515625" style="309" customWidth="1"/>
    <col min="7313" max="7313" width="8.140625" style="309" customWidth="1"/>
    <col min="7314" max="7318" width="11.7109375" style="309" customWidth="1"/>
    <col min="7319" max="7319" width="15.85546875" style="309" customWidth="1"/>
    <col min="7320" max="7560" width="8" style="309" customWidth="1"/>
    <col min="7561" max="7561" width="1.5703125" style="309" customWidth="1"/>
    <col min="7562" max="7562" width="48.28515625" style="309" customWidth="1"/>
    <col min="7563" max="7563" width="13.28515625" style="309" customWidth="1"/>
    <col min="7564" max="7564" width="18.28515625" style="309" customWidth="1"/>
    <col min="7565" max="7565" width="18.5703125" style="309" customWidth="1"/>
    <col min="7566" max="7566" width="12.7109375" style="309" customWidth="1"/>
    <col min="7567" max="7567" width="10.85546875" style="309" customWidth="1"/>
    <col min="7568" max="7568" width="16.28515625" style="309" customWidth="1"/>
    <col min="7569" max="7569" width="8.140625" style="309" customWidth="1"/>
    <col min="7570" max="7574" width="11.7109375" style="309" customWidth="1"/>
    <col min="7575" max="7575" width="15.85546875" style="309" customWidth="1"/>
    <col min="7576" max="7816" width="8" style="309" customWidth="1"/>
    <col min="7817" max="7817" width="1.5703125" style="309" customWidth="1"/>
    <col min="7818" max="7818" width="48.28515625" style="309" customWidth="1"/>
    <col min="7819" max="7819" width="13.28515625" style="309" customWidth="1"/>
    <col min="7820" max="7820" width="18.28515625" style="309" customWidth="1"/>
    <col min="7821" max="7821" width="18.5703125" style="309" customWidth="1"/>
    <col min="7822" max="7822" width="12.7109375" style="309" customWidth="1"/>
    <col min="7823" max="7823" width="10.85546875" style="309" customWidth="1"/>
    <col min="7824" max="7824" width="16.28515625" style="309" customWidth="1"/>
    <col min="7825" max="7825" width="8.140625" style="309" customWidth="1"/>
    <col min="7826" max="7830" width="11.7109375" style="309" customWidth="1"/>
    <col min="7831" max="7831" width="15.85546875" style="309" customWidth="1"/>
    <col min="7832" max="8072" width="8" style="309" customWidth="1"/>
    <col min="8073" max="8073" width="1.5703125" style="309" customWidth="1"/>
    <col min="8074" max="8074" width="48.28515625" style="309" customWidth="1"/>
    <col min="8075" max="8075" width="13.28515625" style="309" customWidth="1"/>
    <col min="8076" max="8076" width="18.28515625" style="309" customWidth="1"/>
    <col min="8077" max="8077" width="18.5703125" style="309" customWidth="1"/>
    <col min="8078" max="8078" width="12.7109375" style="309" customWidth="1"/>
    <col min="8079" max="8079" width="10.85546875" style="309" customWidth="1"/>
    <col min="8080" max="8080" width="16.28515625" style="309" customWidth="1"/>
    <col min="8081" max="8081" width="8.140625" style="309" customWidth="1"/>
    <col min="8082" max="8086" width="11.7109375" style="309" customWidth="1"/>
    <col min="8087" max="8087" width="15.85546875" style="309" customWidth="1"/>
    <col min="8088" max="8328" width="8" style="309" customWidth="1"/>
    <col min="8329" max="8329" width="1.5703125" style="309" customWidth="1"/>
    <col min="8330" max="8330" width="48.28515625" style="309" customWidth="1"/>
    <col min="8331" max="8331" width="13.28515625" style="309" customWidth="1"/>
    <col min="8332" max="8332" width="18.28515625" style="309" customWidth="1"/>
    <col min="8333" max="8333" width="18.5703125" style="309" customWidth="1"/>
    <col min="8334" max="8334" width="12.7109375" style="309" customWidth="1"/>
    <col min="8335" max="8335" width="10.85546875" style="309" customWidth="1"/>
    <col min="8336" max="8336" width="16.28515625" style="309" customWidth="1"/>
    <col min="8337" max="8337" width="8.140625" style="309" customWidth="1"/>
    <col min="8338" max="8342" width="11.7109375" style="309" customWidth="1"/>
    <col min="8343" max="8343" width="15.85546875" style="309" customWidth="1"/>
    <col min="8344" max="8584" width="8" style="309" customWidth="1"/>
    <col min="8585" max="8585" width="1.5703125" style="309" customWidth="1"/>
    <col min="8586" max="8586" width="48.28515625" style="309" customWidth="1"/>
    <col min="8587" max="8587" width="13.28515625" style="309" customWidth="1"/>
    <col min="8588" max="8588" width="18.28515625" style="309" customWidth="1"/>
    <col min="8589" max="8589" width="18.5703125" style="309" customWidth="1"/>
    <col min="8590" max="8590" width="12.7109375" style="309" customWidth="1"/>
    <col min="8591" max="8591" width="10.85546875" style="309" customWidth="1"/>
    <col min="8592" max="8592" width="16.28515625" style="309" customWidth="1"/>
    <col min="8593" max="8593" width="8.140625" style="309" customWidth="1"/>
    <col min="8594" max="8598" width="11.7109375" style="309" customWidth="1"/>
    <col min="8599" max="8599" width="15.85546875" style="309" customWidth="1"/>
    <col min="8600" max="8840" width="8" style="309" customWidth="1"/>
    <col min="8841" max="8841" width="1.5703125" style="309" customWidth="1"/>
    <col min="8842" max="8842" width="48.28515625" style="309" customWidth="1"/>
    <col min="8843" max="8843" width="13.28515625" style="309" customWidth="1"/>
    <col min="8844" max="8844" width="18.28515625" style="309" customWidth="1"/>
    <col min="8845" max="8845" width="18.5703125" style="309" customWidth="1"/>
    <col min="8846" max="8846" width="12.7109375" style="309" customWidth="1"/>
    <col min="8847" max="8847" width="10.85546875" style="309" customWidth="1"/>
    <col min="8848" max="8848" width="16.28515625" style="309" customWidth="1"/>
    <col min="8849" max="8849" width="8.140625" style="309" customWidth="1"/>
    <col min="8850" max="8854" width="11.7109375" style="309" customWidth="1"/>
    <col min="8855" max="8855" width="15.85546875" style="309" customWidth="1"/>
    <col min="8856" max="9096" width="8" style="309" customWidth="1"/>
    <col min="9097" max="9097" width="1.5703125" style="309" customWidth="1"/>
    <col min="9098" max="9098" width="48.28515625" style="309" customWidth="1"/>
    <col min="9099" max="9099" width="13.28515625" style="309" customWidth="1"/>
    <col min="9100" max="9100" width="18.28515625" style="309" customWidth="1"/>
    <col min="9101" max="9101" width="18.5703125" style="309" customWidth="1"/>
    <col min="9102" max="9102" width="12.7109375" style="309" customWidth="1"/>
    <col min="9103" max="9103" width="10.85546875" style="309" customWidth="1"/>
    <col min="9104" max="9104" width="16.28515625" style="309" customWidth="1"/>
    <col min="9105" max="9105" width="8.140625" style="309" customWidth="1"/>
    <col min="9106" max="9110" width="11.7109375" style="309" customWidth="1"/>
    <col min="9111" max="9111" width="15.85546875" style="309" customWidth="1"/>
    <col min="9112" max="9352" width="8" style="309" customWidth="1"/>
    <col min="9353" max="9353" width="1.5703125" style="309" customWidth="1"/>
    <col min="9354" max="9354" width="48.28515625" style="309" customWidth="1"/>
    <col min="9355" max="9355" width="13.28515625" style="309" customWidth="1"/>
    <col min="9356" max="9356" width="18.28515625" style="309" customWidth="1"/>
    <col min="9357" max="9357" width="18.5703125" style="309" customWidth="1"/>
    <col min="9358" max="9358" width="12.7109375" style="309" customWidth="1"/>
    <col min="9359" max="9359" width="10.85546875" style="309" customWidth="1"/>
    <col min="9360" max="9360" width="16.28515625" style="309" customWidth="1"/>
    <col min="9361" max="9361" width="8.140625" style="309" customWidth="1"/>
    <col min="9362" max="9366" width="11.7109375" style="309" customWidth="1"/>
    <col min="9367" max="9367" width="15.85546875" style="309" customWidth="1"/>
    <col min="9368" max="9608" width="8" style="309" customWidth="1"/>
    <col min="9609" max="9609" width="1.5703125" style="309" customWidth="1"/>
    <col min="9610" max="9610" width="48.28515625" style="309" customWidth="1"/>
    <col min="9611" max="9611" width="13.28515625" style="309" customWidth="1"/>
    <col min="9612" max="9612" width="18.28515625" style="309" customWidth="1"/>
    <col min="9613" max="9613" width="18.5703125" style="309" customWidth="1"/>
    <col min="9614" max="9614" width="12.7109375" style="309" customWidth="1"/>
    <col min="9615" max="9615" width="10.85546875" style="309" customWidth="1"/>
    <col min="9616" max="9616" width="16.28515625" style="309" customWidth="1"/>
    <col min="9617" max="9617" width="8.140625" style="309" customWidth="1"/>
    <col min="9618" max="9622" width="11.7109375" style="309" customWidth="1"/>
    <col min="9623" max="9623" width="15.85546875" style="309" customWidth="1"/>
    <col min="9624" max="9864" width="8" style="309" customWidth="1"/>
    <col min="9865" max="9865" width="1.5703125" style="309" customWidth="1"/>
    <col min="9866" max="9866" width="48.28515625" style="309" customWidth="1"/>
    <col min="9867" max="9867" width="13.28515625" style="309" customWidth="1"/>
    <col min="9868" max="9868" width="18.28515625" style="309" customWidth="1"/>
    <col min="9869" max="9869" width="18.5703125" style="309" customWidth="1"/>
    <col min="9870" max="9870" width="12.7109375" style="309" customWidth="1"/>
    <col min="9871" max="9871" width="10.85546875" style="309" customWidth="1"/>
    <col min="9872" max="9872" width="16.28515625" style="309" customWidth="1"/>
    <col min="9873" max="9873" width="8.140625" style="309" customWidth="1"/>
    <col min="9874" max="9878" width="11.7109375" style="309" customWidth="1"/>
    <col min="9879" max="9879" width="15.85546875" style="309" customWidth="1"/>
    <col min="9880" max="10120" width="8" style="309" customWidth="1"/>
    <col min="10121" max="10121" width="1.5703125" style="309" customWidth="1"/>
    <col min="10122" max="10122" width="48.28515625" style="309" customWidth="1"/>
    <col min="10123" max="10123" width="13.28515625" style="309" customWidth="1"/>
    <col min="10124" max="10124" width="18.28515625" style="309" customWidth="1"/>
    <col min="10125" max="10125" width="18.5703125" style="309" customWidth="1"/>
    <col min="10126" max="10126" width="12.7109375" style="309" customWidth="1"/>
    <col min="10127" max="10127" width="10.85546875" style="309" customWidth="1"/>
    <col min="10128" max="10128" width="16.28515625" style="309" customWidth="1"/>
    <col min="10129" max="10129" width="8.140625" style="309" customWidth="1"/>
    <col min="10130" max="10134" width="11.7109375" style="309" customWidth="1"/>
    <col min="10135" max="10135" width="15.85546875" style="309" customWidth="1"/>
    <col min="10136" max="10376" width="8" style="309" customWidth="1"/>
    <col min="10377" max="10377" width="1.5703125" style="309" customWidth="1"/>
    <col min="10378" max="10378" width="48.28515625" style="309" customWidth="1"/>
    <col min="10379" max="10379" width="13.28515625" style="309" customWidth="1"/>
    <col min="10380" max="10380" width="18.28515625" style="309" customWidth="1"/>
    <col min="10381" max="10381" width="18.5703125" style="309" customWidth="1"/>
    <col min="10382" max="10382" width="12.7109375" style="309" customWidth="1"/>
    <col min="10383" max="10383" width="10.85546875" style="309" customWidth="1"/>
    <col min="10384" max="10384" width="16.28515625" style="309" customWidth="1"/>
    <col min="10385" max="10385" width="8.140625" style="309" customWidth="1"/>
    <col min="10386" max="10390" width="11.7109375" style="309" customWidth="1"/>
    <col min="10391" max="10391" width="15.85546875" style="309" customWidth="1"/>
    <col min="10392" max="10632" width="8" style="309" customWidth="1"/>
    <col min="10633" max="10633" width="1.5703125" style="309" customWidth="1"/>
    <col min="10634" max="10634" width="48.28515625" style="309" customWidth="1"/>
    <col min="10635" max="10635" width="13.28515625" style="309" customWidth="1"/>
    <col min="10636" max="10636" width="18.28515625" style="309" customWidth="1"/>
    <col min="10637" max="10637" width="18.5703125" style="309" customWidth="1"/>
    <col min="10638" max="10638" width="12.7109375" style="309" customWidth="1"/>
    <col min="10639" max="10639" width="10.85546875" style="309" customWidth="1"/>
    <col min="10640" max="10640" width="16.28515625" style="309" customWidth="1"/>
    <col min="10641" max="10641" width="8.140625" style="309" customWidth="1"/>
    <col min="10642" max="10646" width="11.7109375" style="309" customWidth="1"/>
    <col min="10647" max="10647" width="15.85546875" style="309" customWidth="1"/>
    <col min="10648" max="10888" width="8" style="309" customWidth="1"/>
    <col min="10889" max="10889" width="1.5703125" style="309" customWidth="1"/>
    <col min="10890" max="10890" width="48.28515625" style="309" customWidth="1"/>
    <col min="10891" max="10891" width="13.28515625" style="309" customWidth="1"/>
    <col min="10892" max="10892" width="18.28515625" style="309" customWidth="1"/>
    <col min="10893" max="10893" width="18.5703125" style="309" customWidth="1"/>
    <col min="10894" max="10894" width="12.7109375" style="309" customWidth="1"/>
    <col min="10895" max="10895" width="10.85546875" style="309" customWidth="1"/>
    <col min="10896" max="10896" width="16.28515625" style="309" customWidth="1"/>
    <col min="10897" max="10897" width="8.140625" style="309" customWidth="1"/>
    <col min="10898" max="10902" width="11.7109375" style="309" customWidth="1"/>
    <col min="10903" max="10903" width="15.85546875" style="309" customWidth="1"/>
    <col min="10904" max="11144" width="8" style="309" customWidth="1"/>
    <col min="11145" max="11145" width="1.5703125" style="309" customWidth="1"/>
    <col min="11146" max="11146" width="48.28515625" style="309" customWidth="1"/>
    <col min="11147" max="11147" width="13.28515625" style="309" customWidth="1"/>
    <col min="11148" max="11148" width="18.28515625" style="309" customWidth="1"/>
    <col min="11149" max="11149" width="18.5703125" style="309" customWidth="1"/>
    <col min="11150" max="11150" width="12.7109375" style="309" customWidth="1"/>
    <col min="11151" max="11151" width="10.85546875" style="309" customWidth="1"/>
    <col min="11152" max="11152" width="16.28515625" style="309" customWidth="1"/>
    <col min="11153" max="11153" width="8.140625" style="309" customWidth="1"/>
    <col min="11154" max="11158" width="11.7109375" style="309" customWidth="1"/>
    <col min="11159" max="11159" width="15.85546875" style="309" customWidth="1"/>
    <col min="11160" max="11400" width="8" style="309" customWidth="1"/>
    <col min="11401" max="11401" width="1.5703125" style="309" customWidth="1"/>
    <col min="11402" max="11402" width="48.28515625" style="309" customWidth="1"/>
    <col min="11403" max="11403" width="13.28515625" style="309" customWidth="1"/>
    <col min="11404" max="11404" width="18.28515625" style="309" customWidth="1"/>
    <col min="11405" max="11405" width="18.5703125" style="309" customWidth="1"/>
    <col min="11406" max="11406" width="12.7109375" style="309" customWidth="1"/>
    <col min="11407" max="11407" width="10.85546875" style="309" customWidth="1"/>
    <col min="11408" max="11408" width="16.28515625" style="309" customWidth="1"/>
    <col min="11409" max="11409" width="8.140625" style="309" customWidth="1"/>
    <col min="11410" max="11414" width="11.7109375" style="309" customWidth="1"/>
    <col min="11415" max="11415" width="15.85546875" style="309" customWidth="1"/>
    <col min="11416" max="11656" width="8" style="309" customWidth="1"/>
    <col min="11657" max="11657" width="1.5703125" style="309" customWidth="1"/>
    <col min="11658" max="11658" width="48.28515625" style="309" customWidth="1"/>
    <col min="11659" max="11659" width="13.28515625" style="309" customWidth="1"/>
    <col min="11660" max="11660" width="18.28515625" style="309" customWidth="1"/>
    <col min="11661" max="11661" width="18.5703125" style="309" customWidth="1"/>
    <col min="11662" max="11662" width="12.7109375" style="309" customWidth="1"/>
    <col min="11663" max="11663" width="10.85546875" style="309" customWidth="1"/>
    <col min="11664" max="11664" width="16.28515625" style="309" customWidth="1"/>
    <col min="11665" max="11665" width="8.140625" style="309" customWidth="1"/>
    <col min="11666" max="11670" width="11.7109375" style="309" customWidth="1"/>
    <col min="11671" max="11671" width="15.85546875" style="309" customWidth="1"/>
    <col min="11672" max="11912" width="8" style="309" customWidth="1"/>
    <col min="11913" max="11913" width="1.5703125" style="309" customWidth="1"/>
    <col min="11914" max="11914" width="48.28515625" style="309" customWidth="1"/>
    <col min="11915" max="11915" width="13.28515625" style="309" customWidth="1"/>
    <col min="11916" max="11916" width="18.28515625" style="309" customWidth="1"/>
    <col min="11917" max="11917" width="18.5703125" style="309" customWidth="1"/>
    <col min="11918" max="11918" width="12.7109375" style="309" customWidth="1"/>
    <col min="11919" max="11919" width="10.85546875" style="309" customWidth="1"/>
    <col min="11920" max="11920" width="16.28515625" style="309" customWidth="1"/>
    <col min="11921" max="11921" width="8.140625" style="309" customWidth="1"/>
    <col min="11922" max="11926" width="11.7109375" style="309" customWidth="1"/>
    <col min="11927" max="11927" width="15.85546875" style="309" customWidth="1"/>
    <col min="11928" max="12168" width="8" style="309" customWidth="1"/>
    <col min="12169" max="12169" width="1.5703125" style="309" customWidth="1"/>
    <col min="12170" max="12170" width="48.28515625" style="309" customWidth="1"/>
    <col min="12171" max="12171" width="13.28515625" style="309" customWidth="1"/>
    <col min="12172" max="12172" width="18.28515625" style="309" customWidth="1"/>
    <col min="12173" max="12173" width="18.5703125" style="309" customWidth="1"/>
    <col min="12174" max="12174" width="12.7109375" style="309" customWidth="1"/>
    <col min="12175" max="12175" width="10.85546875" style="309" customWidth="1"/>
    <col min="12176" max="12176" width="16.28515625" style="309" customWidth="1"/>
    <col min="12177" max="12177" width="8.140625" style="309" customWidth="1"/>
    <col min="12178" max="12182" width="11.7109375" style="309" customWidth="1"/>
    <col min="12183" max="12183" width="15.85546875" style="309" customWidth="1"/>
    <col min="12184" max="12424" width="8" style="309" customWidth="1"/>
    <col min="12425" max="12425" width="1.5703125" style="309" customWidth="1"/>
    <col min="12426" max="12426" width="48.28515625" style="309" customWidth="1"/>
    <col min="12427" max="12427" width="13.28515625" style="309" customWidth="1"/>
    <col min="12428" max="12428" width="18.28515625" style="309" customWidth="1"/>
    <col min="12429" max="12429" width="18.5703125" style="309" customWidth="1"/>
    <col min="12430" max="12430" width="12.7109375" style="309" customWidth="1"/>
    <col min="12431" max="12431" width="10.85546875" style="309" customWidth="1"/>
    <col min="12432" max="12432" width="16.28515625" style="309" customWidth="1"/>
    <col min="12433" max="12433" width="8.140625" style="309" customWidth="1"/>
    <col min="12434" max="12438" width="11.7109375" style="309" customWidth="1"/>
    <col min="12439" max="12439" width="15.85546875" style="309" customWidth="1"/>
    <col min="12440" max="12680" width="8" style="309" customWidth="1"/>
    <col min="12681" max="12681" width="1.5703125" style="309" customWidth="1"/>
    <col min="12682" max="12682" width="48.28515625" style="309" customWidth="1"/>
    <col min="12683" max="12683" width="13.28515625" style="309" customWidth="1"/>
    <col min="12684" max="12684" width="18.28515625" style="309" customWidth="1"/>
    <col min="12685" max="12685" width="18.5703125" style="309" customWidth="1"/>
    <col min="12686" max="12686" width="12.7109375" style="309" customWidth="1"/>
    <col min="12687" max="12687" width="10.85546875" style="309" customWidth="1"/>
    <col min="12688" max="12688" width="16.28515625" style="309" customWidth="1"/>
    <col min="12689" max="12689" width="8.140625" style="309" customWidth="1"/>
    <col min="12690" max="12694" width="11.7109375" style="309" customWidth="1"/>
    <col min="12695" max="12695" width="15.85546875" style="309" customWidth="1"/>
    <col min="12696" max="12936" width="8" style="309" customWidth="1"/>
    <col min="12937" max="12937" width="1.5703125" style="309" customWidth="1"/>
    <col min="12938" max="12938" width="48.28515625" style="309" customWidth="1"/>
    <col min="12939" max="12939" width="13.28515625" style="309" customWidth="1"/>
    <col min="12940" max="12940" width="18.28515625" style="309" customWidth="1"/>
    <col min="12941" max="12941" width="18.5703125" style="309" customWidth="1"/>
    <col min="12942" max="12942" width="12.7109375" style="309" customWidth="1"/>
    <col min="12943" max="12943" width="10.85546875" style="309" customWidth="1"/>
    <col min="12944" max="12944" width="16.28515625" style="309" customWidth="1"/>
    <col min="12945" max="12945" width="8.140625" style="309" customWidth="1"/>
    <col min="12946" max="12950" width="11.7109375" style="309" customWidth="1"/>
    <col min="12951" max="12951" width="15.85546875" style="309" customWidth="1"/>
    <col min="12952" max="13192" width="8" style="309" customWidth="1"/>
    <col min="13193" max="13193" width="1.5703125" style="309" customWidth="1"/>
    <col min="13194" max="13194" width="48.28515625" style="309" customWidth="1"/>
    <col min="13195" max="13195" width="13.28515625" style="309" customWidth="1"/>
    <col min="13196" max="13196" width="18.28515625" style="309" customWidth="1"/>
    <col min="13197" max="13197" width="18.5703125" style="309" customWidth="1"/>
    <col min="13198" max="13198" width="12.7109375" style="309" customWidth="1"/>
    <col min="13199" max="13199" width="10.85546875" style="309" customWidth="1"/>
    <col min="13200" max="13200" width="16.28515625" style="309" customWidth="1"/>
    <col min="13201" max="13201" width="8.140625" style="309" customWidth="1"/>
    <col min="13202" max="13206" width="11.7109375" style="309" customWidth="1"/>
    <col min="13207" max="13207" width="15.85546875" style="309" customWidth="1"/>
    <col min="13208" max="13448" width="8" style="309" customWidth="1"/>
    <col min="13449" max="13449" width="1.5703125" style="309" customWidth="1"/>
    <col min="13450" max="13450" width="48.28515625" style="309" customWidth="1"/>
    <col min="13451" max="13451" width="13.28515625" style="309" customWidth="1"/>
    <col min="13452" max="13452" width="18.28515625" style="309" customWidth="1"/>
    <col min="13453" max="13453" width="18.5703125" style="309" customWidth="1"/>
    <col min="13454" max="13454" width="12.7109375" style="309" customWidth="1"/>
    <col min="13455" max="13455" width="10.85546875" style="309" customWidth="1"/>
    <col min="13456" max="13456" width="16.28515625" style="309" customWidth="1"/>
    <col min="13457" max="13457" width="8.140625" style="309" customWidth="1"/>
    <col min="13458" max="13462" width="11.7109375" style="309" customWidth="1"/>
    <col min="13463" max="13463" width="15.85546875" style="309" customWidth="1"/>
    <col min="13464" max="13704" width="8" style="309" customWidth="1"/>
    <col min="13705" max="13705" width="1.5703125" style="309" customWidth="1"/>
    <col min="13706" max="13706" width="48.28515625" style="309" customWidth="1"/>
    <col min="13707" max="13707" width="13.28515625" style="309" customWidth="1"/>
    <col min="13708" max="13708" width="18.28515625" style="309" customWidth="1"/>
    <col min="13709" max="13709" width="18.5703125" style="309" customWidth="1"/>
    <col min="13710" max="13710" width="12.7109375" style="309" customWidth="1"/>
    <col min="13711" max="13711" width="10.85546875" style="309" customWidth="1"/>
    <col min="13712" max="13712" width="16.28515625" style="309" customWidth="1"/>
    <col min="13713" max="13713" width="8.140625" style="309" customWidth="1"/>
    <col min="13714" max="13718" width="11.7109375" style="309" customWidth="1"/>
    <col min="13719" max="13719" width="15.85546875" style="309" customWidth="1"/>
    <col min="13720" max="13960" width="8" style="309" customWidth="1"/>
    <col min="13961" max="13961" width="1.5703125" style="309" customWidth="1"/>
    <col min="13962" max="13962" width="48.28515625" style="309" customWidth="1"/>
    <col min="13963" max="13963" width="13.28515625" style="309" customWidth="1"/>
    <col min="13964" max="13964" width="18.28515625" style="309" customWidth="1"/>
    <col min="13965" max="13965" width="18.5703125" style="309" customWidth="1"/>
    <col min="13966" max="13966" width="12.7109375" style="309" customWidth="1"/>
    <col min="13967" max="13967" width="10.85546875" style="309" customWidth="1"/>
    <col min="13968" max="13968" width="16.28515625" style="309" customWidth="1"/>
    <col min="13969" max="13969" width="8.140625" style="309" customWidth="1"/>
    <col min="13970" max="13974" width="11.7109375" style="309" customWidth="1"/>
    <col min="13975" max="13975" width="15.85546875" style="309" customWidth="1"/>
    <col min="13976" max="14216" width="8" style="309" customWidth="1"/>
    <col min="14217" max="14217" width="1.5703125" style="309" customWidth="1"/>
    <col min="14218" max="14218" width="48.28515625" style="309" customWidth="1"/>
    <col min="14219" max="14219" width="13.28515625" style="309" customWidth="1"/>
    <col min="14220" max="14220" width="18.28515625" style="309" customWidth="1"/>
    <col min="14221" max="14221" width="18.5703125" style="309" customWidth="1"/>
    <col min="14222" max="14222" width="12.7109375" style="309" customWidth="1"/>
    <col min="14223" max="14223" width="10.85546875" style="309" customWidth="1"/>
    <col min="14224" max="14224" width="16.28515625" style="309" customWidth="1"/>
    <col min="14225" max="14225" width="8.140625" style="309" customWidth="1"/>
    <col min="14226" max="14230" width="11.7109375" style="309" customWidth="1"/>
    <col min="14231" max="14231" width="15.85546875" style="309" customWidth="1"/>
    <col min="14232" max="14472" width="8" style="309" customWidth="1"/>
    <col min="14473" max="14473" width="1.5703125" style="309" customWidth="1"/>
    <col min="14474" max="14474" width="48.28515625" style="309" customWidth="1"/>
    <col min="14475" max="14475" width="13.28515625" style="309" customWidth="1"/>
    <col min="14476" max="14476" width="18.28515625" style="309" customWidth="1"/>
    <col min="14477" max="14477" width="18.5703125" style="309" customWidth="1"/>
    <col min="14478" max="14478" width="12.7109375" style="309" customWidth="1"/>
    <col min="14479" max="14479" width="10.85546875" style="309" customWidth="1"/>
    <col min="14480" max="14480" width="16.28515625" style="309" customWidth="1"/>
    <col min="14481" max="14481" width="8.140625" style="309" customWidth="1"/>
    <col min="14482" max="14486" width="11.7109375" style="309" customWidth="1"/>
    <col min="14487" max="14487" width="15.85546875" style="309" customWidth="1"/>
    <col min="14488" max="14728" width="8" style="309" customWidth="1"/>
    <col min="14729" max="14729" width="1.5703125" style="309" customWidth="1"/>
    <col min="14730" max="14730" width="48.28515625" style="309" customWidth="1"/>
    <col min="14731" max="14731" width="13.28515625" style="309" customWidth="1"/>
    <col min="14732" max="14732" width="18.28515625" style="309" customWidth="1"/>
    <col min="14733" max="14733" width="18.5703125" style="309" customWidth="1"/>
    <col min="14734" max="14734" width="12.7109375" style="309" customWidth="1"/>
    <col min="14735" max="14735" width="10.85546875" style="309" customWidth="1"/>
    <col min="14736" max="14736" width="16.28515625" style="309" customWidth="1"/>
    <col min="14737" max="14737" width="8.140625" style="309" customWidth="1"/>
    <col min="14738" max="14742" width="11.7109375" style="309" customWidth="1"/>
    <col min="14743" max="14743" width="15.85546875" style="309" customWidth="1"/>
    <col min="14744" max="14984" width="8" style="309" customWidth="1"/>
    <col min="14985" max="14985" width="1.5703125" style="309" customWidth="1"/>
    <col min="14986" max="14986" width="48.28515625" style="309" customWidth="1"/>
    <col min="14987" max="14987" width="13.28515625" style="309" customWidth="1"/>
    <col min="14988" max="14988" width="18.28515625" style="309" customWidth="1"/>
    <col min="14989" max="14989" width="18.5703125" style="309" customWidth="1"/>
    <col min="14990" max="14990" width="12.7109375" style="309" customWidth="1"/>
    <col min="14991" max="14991" width="10.85546875" style="309" customWidth="1"/>
    <col min="14992" max="14992" width="16.28515625" style="309" customWidth="1"/>
    <col min="14993" max="14993" width="8.140625" style="309" customWidth="1"/>
    <col min="14994" max="14998" width="11.7109375" style="309" customWidth="1"/>
    <col min="14999" max="14999" width="15.85546875" style="309" customWidth="1"/>
    <col min="15000" max="15240" width="8" style="309" customWidth="1"/>
    <col min="15241" max="15241" width="1.5703125" style="309" customWidth="1"/>
    <col min="15242" max="15242" width="48.28515625" style="309" customWidth="1"/>
    <col min="15243" max="15243" width="13.28515625" style="309" customWidth="1"/>
    <col min="15244" max="15244" width="18.28515625" style="309" customWidth="1"/>
    <col min="15245" max="15245" width="18.5703125" style="309" customWidth="1"/>
    <col min="15246" max="15246" width="12.7109375" style="309" customWidth="1"/>
    <col min="15247" max="15247" width="10.85546875" style="309" customWidth="1"/>
    <col min="15248" max="15248" width="16.28515625" style="309" customWidth="1"/>
    <col min="15249" max="15249" width="8.140625" style="309" customWidth="1"/>
    <col min="15250" max="15254" width="11.7109375" style="309" customWidth="1"/>
    <col min="15255" max="15255" width="15.85546875" style="309" customWidth="1"/>
    <col min="15256" max="15496" width="8" style="309" customWidth="1"/>
    <col min="15497" max="15497" width="1.5703125" style="309" customWidth="1"/>
    <col min="15498" max="15498" width="48.28515625" style="309" customWidth="1"/>
    <col min="15499" max="15499" width="13.28515625" style="309" customWidth="1"/>
    <col min="15500" max="15500" width="18.28515625" style="309" customWidth="1"/>
    <col min="15501" max="15501" width="18.5703125" style="309" customWidth="1"/>
    <col min="15502" max="15502" width="12.7109375" style="309" customWidth="1"/>
    <col min="15503" max="15503" width="10.85546875" style="309" customWidth="1"/>
    <col min="15504" max="15504" width="16.28515625" style="309" customWidth="1"/>
    <col min="15505" max="15505" width="8.140625" style="309" customWidth="1"/>
    <col min="15506" max="15510" width="11.7109375" style="309" customWidth="1"/>
    <col min="15511" max="15511" width="15.85546875" style="309" customWidth="1"/>
    <col min="15512" max="15752" width="8" style="309" customWidth="1"/>
    <col min="15753" max="15753" width="1.5703125" style="309" customWidth="1"/>
    <col min="15754" max="15754" width="48.28515625" style="309" customWidth="1"/>
    <col min="15755" max="15755" width="13.28515625" style="309" customWidth="1"/>
    <col min="15756" max="15756" width="18.28515625" style="309" customWidth="1"/>
    <col min="15757" max="15757" width="18.5703125" style="309" customWidth="1"/>
    <col min="15758" max="15758" width="12.7109375" style="309" customWidth="1"/>
    <col min="15759" max="15759" width="10.85546875" style="309" customWidth="1"/>
    <col min="15760" max="15760" width="16.28515625" style="309" customWidth="1"/>
    <col min="15761" max="15761" width="8.140625" style="309" customWidth="1"/>
    <col min="15762" max="15766" width="11.7109375" style="309" customWidth="1"/>
    <col min="15767" max="15767" width="15.85546875" style="309" customWidth="1"/>
    <col min="15768" max="16384" width="8" style="309" customWidth="1"/>
  </cols>
  <sheetData>
    <row r="1" spans="1:17" s="307" customFormat="1" ht="29.45" customHeight="1">
      <c r="A1" s="305" t="s">
        <v>354</v>
      </c>
      <c r="B1" s="305" t="s">
        <v>355</v>
      </c>
      <c r="C1" s="305" t="s">
        <v>356</v>
      </c>
      <c r="D1" s="305" t="s">
        <v>27</v>
      </c>
      <c r="E1" s="305" t="s">
        <v>357</v>
      </c>
      <c r="F1" s="305" t="s">
        <v>358</v>
      </c>
      <c r="G1" s="305" t="s">
        <v>359</v>
      </c>
      <c r="H1" s="305" t="s">
        <v>360</v>
      </c>
      <c r="I1" s="305" t="s">
        <v>361</v>
      </c>
      <c r="J1" s="305" t="s">
        <v>362</v>
      </c>
      <c r="K1" s="305" t="s">
        <v>363</v>
      </c>
      <c r="L1" s="305" t="s">
        <v>364</v>
      </c>
      <c r="M1" s="306" t="s">
        <v>365</v>
      </c>
      <c r="N1" s="305" t="s">
        <v>366</v>
      </c>
      <c r="O1" s="232" t="s">
        <v>543</v>
      </c>
      <c r="P1" s="237" t="s">
        <v>544</v>
      </c>
      <c r="Q1" s="238" t="s">
        <v>545</v>
      </c>
    </row>
    <row r="2" spans="1:17" ht="30.6" customHeight="1">
      <c r="A2" s="239" t="s">
        <v>367</v>
      </c>
      <c r="B2" s="240">
        <v>819</v>
      </c>
      <c r="C2" s="241">
        <v>15</v>
      </c>
      <c r="D2" s="239" t="s">
        <v>368</v>
      </c>
      <c r="E2" s="239" t="s">
        <v>369</v>
      </c>
      <c r="F2" s="239" t="s">
        <v>370</v>
      </c>
      <c r="G2" s="239"/>
      <c r="H2" s="239" t="s">
        <v>46</v>
      </c>
      <c r="I2" s="239" t="s">
        <v>371</v>
      </c>
      <c r="J2" s="234">
        <v>36230</v>
      </c>
      <c r="K2" s="234">
        <v>15040</v>
      </c>
      <c r="L2" s="242">
        <v>5</v>
      </c>
      <c r="M2" s="308">
        <v>21190</v>
      </c>
      <c r="N2" s="234">
        <v>20130.5</v>
      </c>
      <c r="O2" s="243" t="s">
        <v>491</v>
      </c>
      <c r="P2" s="236">
        <v>45873</v>
      </c>
      <c r="Q2" s="244">
        <v>0.92972222222222223</v>
      </c>
    </row>
    <row r="3" spans="1:17" ht="30.6" customHeight="1">
      <c r="A3" s="239" t="s">
        <v>1891</v>
      </c>
      <c r="B3" s="240">
        <v>820</v>
      </c>
      <c r="C3" s="241">
        <v>14</v>
      </c>
      <c r="D3" s="239" t="s">
        <v>368</v>
      </c>
      <c r="E3" s="239" t="s">
        <v>372</v>
      </c>
      <c r="F3" s="239" t="s">
        <v>373</v>
      </c>
      <c r="G3" s="239"/>
      <c r="H3" s="239" t="s">
        <v>46</v>
      </c>
      <c r="I3" s="239" t="s">
        <v>371</v>
      </c>
      <c r="J3" s="234">
        <v>37090</v>
      </c>
      <c r="K3" s="234">
        <v>14910</v>
      </c>
      <c r="L3" s="242">
        <v>7</v>
      </c>
      <c r="M3" s="308">
        <v>22180</v>
      </c>
      <c r="N3" s="234">
        <v>20627.400000000001</v>
      </c>
      <c r="O3" s="243" t="s">
        <v>1932</v>
      </c>
      <c r="P3" s="236">
        <v>45873</v>
      </c>
      <c r="Q3" s="244">
        <v>0.93609953703703708</v>
      </c>
    </row>
    <row r="4" spans="1:17" ht="30.6" customHeight="1">
      <c r="A4" s="239" t="s">
        <v>1892</v>
      </c>
      <c r="B4" s="240">
        <v>823</v>
      </c>
      <c r="C4" s="241">
        <v>29</v>
      </c>
      <c r="D4" s="239" t="s">
        <v>368</v>
      </c>
      <c r="E4" s="239" t="s">
        <v>369</v>
      </c>
      <c r="F4" s="239" t="s">
        <v>370</v>
      </c>
      <c r="G4" s="239"/>
      <c r="H4" s="239" t="s">
        <v>46</v>
      </c>
      <c r="I4" s="239" t="s">
        <v>371</v>
      </c>
      <c r="J4" s="234">
        <v>37890</v>
      </c>
      <c r="K4" s="234">
        <v>15090</v>
      </c>
      <c r="L4" s="242">
        <v>5</v>
      </c>
      <c r="M4" s="308">
        <v>22800</v>
      </c>
      <c r="N4" s="234">
        <v>21660</v>
      </c>
      <c r="O4" s="243" t="s">
        <v>1933</v>
      </c>
      <c r="P4" s="236">
        <v>45875</v>
      </c>
      <c r="Q4" s="244">
        <v>0.2927777777777778</v>
      </c>
    </row>
    <row r="5" spans="1:17" ht="30.6" customHeight="1">
      <c r="A5" s="239" t="s">
        <v>1893</v>
      </c>
      <c r="B5" s="240">
        <v>824</v>
      </c>
      <c r="C5" s="241">
        <v>30</v>
      </c>
      <c r="D5" s="239" t="s">
        <v>368</v>
      </c>
      <c r="E5" s="239" t="s">
        <v>374</v>
      </c>
      <c r="F5" s="239" t="s">
        <v>375</v>
      </c>
      <c r="G5" s="239"/>
      <c r="H5" s="239" t="s">
        <v>46</v>
      </c>
      <c r="I5" s="239" t="s">
        <v>371</v>
      </c>
      <c r="J5" s="234">
        <v>37200</v>
      </c>
      <c r="K5" s="234">
        <v>15430</v>
      </c>
      <c r="L5" s="242">
        <v>6</v>
      </c>
      <c r="M5" s="308">
        <v>21770</v>
      </c>
      <c r="N5" s="234">
        <v>20463.8</v>
      </c>
      <c r="O5" s="243" t="s">
        <v>1934</v>
      </c>
      <c r="P5" s="236">
        <v>45875</v>
      </c>
      <c r="Q5" s="244">
        <v>0.33869212962962963</v>
      </c>
    </row>
    <row r="6" spans="1:17" ht="30.6" customHeight="1">
      <c r="A6" s="239" t="s">
        <v>1894</v>
      </c>
      <c r="B6" s="240">
        <v>829</v>
      </c>
      <c r="C6" s="241">
        <v>83</v>
      </c>
      <c r="D6" s="239" t="s">
        <v>376</v>
      </c>
      <c r="E6" s="239" t="s">
        <v>377</v>
      </c>
      <c r="F6" s="239" t="s">
        <v>378</v>
      </c>
      <c r="G6" s="239"/>
      <c r="H6" s="239" t="s">
        <v>51</v>
      </c>
      <c r="I6" s="239" t="s">
        <v>379</v>
      </c>
      <c r="J6" s="234">
        <v>41870</v>
      </c>
      <c r="K6" s="234">
        <v>15090</v>
      </c>
      <c r="L6" s="242">
        <v>8</v>
      </c>
      <c r="M6" s="308">
        <v>26780</v>
      </c>
      <c r="N6" s="234">
        <v>24637.599999999999</v>
      </c>
      <c r="O6" s="243" t="s">
        <v>1935</v>
      </c>
      <c r="P6" s="236">
        <v>45875</v>
      </c>
      <c r="Q6" s="244">
        <v>0.8495138888888889</v>
      </c>
    </row>
    <row r="7" spans="1:17" ht="30.6" customHeight="1">
      <c r="A7" s="239" t="s">
        <v>1895</v>
      </c>
      <c r="B7" s="240">
        <v>834</v>
      </c>
      <c r="C7" s="241">
        <v>84</v>
      </c>
      <c r="D7" s="239" t="s">
        <v>376</v>
      </c>
      <c r="E7" s="239" t="s">
        <v>380</v>
      </c>
      <c r="F7" s="239" t="s">
        <v>381</v>
      </c>
      <c r="G7" s="239"/>
      <c r="H7" s="239" t="s">
        <v>51</v>
      </c>
      <c r="I7" s="239" t="s">
        <v>379</v>
      </c>
      <c r="J7" s="234">
        <v>37590</v>
      </c>
      <c r="K7" s="234">
        <v>15090</v>
      </c>
      <c r="L7" s="242">
        <v>7</v>
      </c>
      <c r="M7" s="308">
        <v>22500</v>
      </c>
      <c r="N7" s="234">
        <v>20925</v>
      </c>
      <c r="O7" s="243" t="s">
        <v>1936</v>
      </c>
      <c r="P7" s="236">
        <v>45875</v>
      </c>
      <c r="Q7" s="244">
        <v>0.90479166666666666</v>
      </c>
    </row>
    <row r="8" spans="1:17" ht="30.6" customHeight="1">
      <c r="A8" s="239" t="s">
        <v>1896</v>
      </c>
      <c r="B8" s="240">
        <v>836</v>
      </c>
      <c r="C8" s="241">
        <v>85</v>
      </c>
      <c r="D8" s="239" t="s">
        <v>376</v>
      </c>
      <c r="E8" s="239" t="s">
        <v>372</v>
      </c>
      <c r="F8" s="239" t="s">
        <v>373</v>
      </c>
      <c r="G8" s="239"/>
      <c r="H8" s="239" t="s">
        <v>51</v>
      </c>
      <c r="I8" s="239" t="s">
        <v>379</v>
      </c>
      <c r="J8" s="234">
        <v>38810</v>
      </c>
      <c r="K8" s="234">
        <v>14990</v>
      </c>
      <c r="L8" s="242">
        <v>5</v>
      </c>
      <c r="M8" s="308">
        <v>23820</v>
      </c>
      <c r="N8" s="234">
        <v>22629</v>
      </c>
      <c r="O8" s="243" t="s">
        <v>1937</v>
      </c>
      <c r="P8" s="236">
        <v>45875</v>
      </c>
      <c r="Q8" s="244">
        <v>0.95736111111111111</v>
      </c>
    </row>
    <row r="9" spans="1:17" ht="30.6" customHeight="1">
      <c r="A9" s="239" t="s">
        <v>1897</v>
      </c>
      <c r="B9" s="240">
        <v>837</v>
      </c>
      <c r="C9" s="241">
        <v>86</v>
      </c>
      <c r="D9" s="239" t="s">
        <v>376</v>
      </c>
      <c r="E9" s="239" t="s">
        <v>382</v>
      </c>
      <c r="F9" s="239" t="s">
        <v>383</v>
      </c>
      <c r="G9" s="239"/>
      <c r="H9" s="239" t="s">
        <v>51</v>
      </c>
      <c r="I9" s="239" t="s">
        <v>379</v>
      </c>
      <c r="J9" s="234">
        <v>37320</v>
      </c>
      <c r="K9" s="234">
        <v>14630</v>
      </c>
      <c r="L9" s="242">
        <v>6</v>
      </c>
      <c r="M9" s="308">
        <v>22690</v>
      </c>
      <c r="N9" s="234">
        <v>21328.6</v>
      </c>
      <c r="O9" s="243" t="s">
        <v>1938</v>
      </c>
      <c r="P9" s="236">
        <v>45875</v>
      </c>
      <c r="Q9" s="244">
        <v>0.99910879629629634</v>
      </c>
    </row>
    <row r="10" spans="1:17" ht="30.6" customHeight="1">
      <c r="A10" s="239" t="s">
        <v>1898</v>
      </c>
      <c r="B10" s="240">
        <v>838</v>
      </c>
      <c r="C10" s="241">
        <v>39</v>
      </c>
      <c r="D10" s="239" t="s">
        <v>368</v>
      </c>
      <c r="E10" s="239" t="s">
        <v>384</v>
      </c>
      <c r="F10" s="239" t="s">
        <v>385</v>
      </c>
      <c r="G10" s="239"/>
      <c r="H10" s="239" t="s">
        <v>46</v>
      </c>
      <c r="I10" s="239" t="s">
        <v>371</v>
      </c>
      <c r="J10" s="234">
        <v>37560</v>
      </c>
      <c r="K10" s="234">
        <v>13900</v>
      </c>
      <c r="L10" s="242">
        <v>7</v>
      </c>
      <c r="M10" s="308">
        <v>23660</v>
      </c>
      <c r="N10" s="234">
        <v>22003.8</v>
      </c>
      <c r="O10" s="243" t="s">
        <v>1939</v>
      </c>
      <c r="P10" s="236">
        <v>45876</v>
      </c>
      <c r="Q10" s="244">
        <v>5.828703703703704E-2</v>
      </c>
    </row>
    <row r="11" spans="1:17" ht="30.6" customHeight="1">
      <c r="A11" s="239" t="s">
        <v>1899</v>
      </c>
      <c r="B11" s="240">
        <v>839</v>
      </c>
      <c r="C11" s="241">
        <v>41</v>
      </c>
      <c r="D11" s="239" t="s">
        <v>368</v>
      </c>
      <c r="E11" s="239" t="s">
        <v>386</v>
      </c>
      <c r="F11" s="239" t="s">
        <v>387</v>
      </c>
      <c r="G11" s="239"/>
      <c r="H11" s="239" t="s">
        <v>46</v>
      </c>
      <c r="I11" s="239" t="s">
        <v>371</v>
      </c>
      <c r="J11" s="234">
        <v>41540</v>
      </c>
      <c r="K11" s="234">
        <v>15320</v>
      </c>
      <c r="L11" s="242">
        <v>7</v>
      </c>
      <c r="M11" s="308">
        <v>26220</v>
      </c>
      <c r="N11" s="234">
        <v>24384.6</v>
      </c>
      <c r="O11" s="243" t="s">
        <v>1940</v>
      </c>
      <c r="P11" s="236">
        <v>45876</v>
      </c>
      <c r="Q11" s="244">
        <v>7.8668981481481479E-2</v>
      </c>
    </row>
    <row r="12" spans="1:17" ht="30.6" customHeight="1">
      <c r="A12" s="239" t="s">
        <v>1900</v>
      </c>
      <c r="B12" s="240">
        <v>847</v>
      </c>
      <c r="C12" s="241">
        <v>89</v>
      </c>
      <c r="D12" s="239" t="s">
        <v>376</v>
      </c>
      <c r="E12" s="239" t="s">
        <v>388</v>
      </c>
      <c r="F12" s="239" t="s">
        <v>389</v>
      </c>
      <c r="G12" s="239"/>
      <c r="H12" s="239" t="s">
        <v>51</v>
      </c>
      <c r="I12" s="239" t="s">
        <v>379</v>
      </c>
      <c r="J12" s="234">
        <v>56030</v>
      </c>
      <c r="K12" s="234">
        <v>20980</v>
      </c>
      <c r="L12" s="242">
        <v>6</v>
      </c>
      <c r="M12" s="308">
        <v>35050</v>
      </c>
      <c r="N12" s="234">
        <v>32947</v>
      </c>
      <c r="O12" s="243" t="s">
        <v>1941</v>
      </c>
      <c r="P12" s="236">
        <v>45876</v>
      </c>
      <c r="Q12" s="244">
        <v>0.36792824074074076</v>
      </c>
    </row>
    <row r="13" spans="1:17" ht="30.6" customHeight="1">
      <c r="A13" s="239" t="s">
        <v>1901</v>
      </c>
      <c r="B13" s="240">
        <v>848</v>
      </c>
      <c r="C13" s="241">
        <v>90</v>
      </c>
      <c r="D13" s="239" t="s">
        <v>376</v>
      </c>
      <c r="E13" s="239" t="s">
        <v>390</v>
      </c>
      <c r="F13" s="239" t="s">
        <v>391</v>
      </c>
      <c r="G13" s="239"/>
      <c r="H13" s="239" t="s">
        <v>51</v>
      </c>
      <c r="I13" s="239" t="s">
        <v>379</v>
      </c>
      <c r="J13" s="234">
        <v>39360</v>
      </c>
      <c r="K13" s="234">
        <v>14980</v>
      </c>
      <c r="L13" s="242">
        <v>10</v>
      </c>
      <c r="M13" s="308">
        <v>24380</v>
      </c>
      <c r="N13" s="234">
        <v>21942</v>
      </c>
      <c r="O13" s="243" t="s">
        <v>1942</v>
      </c>
      <c r="P13" s="236">
        <v>45876</v>
      </c>
      <c r="Q13" s="244">
        <v>0.48390046296296296</v>
      </c>
    </row>
    <row r="14" spans="1:17" ht="30.6" customHeight="1">
      <c r="A14" s="239" t="s">
        <v>1902</v>
      </c>
      <c r="B14" s="240">
        <v>849</v>
      </c>
      <c r="C14" s="241">
        <v>88</v>
      </c>
      <c r="D14" s="239" t="s">
        <v>376</v>
      </c>
      <c r="E14" s="239" t="s">
        <v>392</v>
      </c>
      <c r="F14" s="239" t="s">
        <v>393</v>
      </c>
      <c r="G14" s="239"/>
      <c r="H14" s="239" t="s">
        <v>51</v>
      </c>
      <c r="I14" s="239" t="s">
        <v>379</v>
      </c>
      <c r="J14" s="234">
        <v>66280</v>
      </c>
      <c r="K14" s="234">
        <v>24090</v>
      </c>
      <c r="L14" s="242">
        <v>14</v>
      </c>
      <c r="M14" s="308">
        <v>42190</v>
      </c>
      <c r="N14" s="234">
        <v>36283.4</v>
      </c>
      <c r="O14" s="243" t="s">
        <v>1943</v>
      </c>
      <c r="P14" s="236">
        <v>45876</v>
      </c>
      <c r="Q14" s="244">
        <v>0.48891203703703706</v>
      </c>
    </row>
    <row r="15" spans="1:17" ht="30.6" customHeight="1">
      <c r="A15" s="239" t="s">
        <v>1903</v>
      </c>
      <c r="B15" s="240">
        <v>850</v>
      </c>
      <c r="C15" s="241">
        <v>91</v>
      </c>
      <c r="D15" s="239" t="s">
        <v>376</v>
      </c>
      <c r="E15" s="239" t="s">
        <v>377</v>
      </c>
      <c r="F15" s="239" t="s">
        <v>378</v>
      </c>
      <c r="G15" s="239"/>
      <c r="H15" s="239" t="s">
        <v>51</v>
      </c>
      <c r="I15" s="239" t="s">
        <v>379</v>
      </c>
      <c r="J15" s="234">
        <v>42400</v>
      </c>
      <c r="K15" s="234">
        <v>15110</v>
      </c>
      <c r="L15" s="242">
        <v>11</v>
      </c>
      <c r="M15" s="308">
        <v>27290</v>
      </c>
      <c r="N15" s="234">
        <v>24288.1</v>
      </c>
      <c r="O15" s="243" t="s">
        <v>1944</v>
      </c>
      <c r="P15" s="236">
        <v>45876</v>
      </c>
      <c r="Q15" s="244">
        <v>0.50291666666666668</v>
      </c>
    </row>
    <row r="16" spans="1:17" ht="30.6" customHeight="1">
      <c r="A16" s="239" t="s">
        <v>1904</v>
      </c>
      <c r="B16" s="240">
        <v>851</v>
      </c>
      <c r="C16" s="241">
        <v>45</v>
      </c>
      <c r="D16" s="239" t="s">
        <v>368</v>
      </c>
      <c r="E16" s="239" t="s">
        <v>369</v>
      </c>
      <c r="F16" s="239" t="s">
        <v>370</v>
      </c>
      <c r="G16" s="239"/>
      <c r="H16" s="239" t="s">
        <v>46</v>
      </c>
      <c r="I16" s="239" t="s">
        <v>371</v>
      </c>
      <c r="J16" s="234">
        <v>38060</v>
      </c>
      <c r="K16" s="234">
        <v>15070</v>
      </c>
      <c r="L16" s="242">
        <v>5</v>
      </c>
      <c r="M16" s="308">
        <v>22990</v>
      </c>
      <c r="N16" s="234">
        <v>21840.5</v>
      </c>
      <c r="O16" s="243" t="s">
        <v>1945</v>
      </c>
      <c r="P16" s="236">
        <v>45876</v>
      </c>
      <c r="Q16" s="244">
        <v>0.58089120370370373</v>
      </c>
    </row>
    <row r="17" spans="1:17" ht="30.6" customHeight="1">
      <c r="A17" s="239" t="s">
        <v>1905</v>
      </c>
      <c r="B17" s="240">
        <v>853</v>
      </c>
      <c r="C17" s="241">
        <v>92</v>
      </c>
      <c r="D17" s="239" t="s">
        <v>376</v>
      </c>
      <c r="E17" s="239" t="s">
        <v>380</v>
      </c>
      <c r="F17" s="239" t="s">
        <v>381</v>
      </c>
      <c r="G17" s="239"/>
      <c r="H17" s="239" t="s">
        <v>394</v>
      </c>
      <c r="I17" s="239" t="s">
        <v>379</v>
      </c>
      <c r="J17" s="234">
        <v>38360</v>
      </c>
      <c r="K17" s="234">
        <v>15080</v>
      </c>
      <c r="L17" s="242">
        <v>6</v>
      </c>
      <c r="M17" s="308">
        <v>23280</v>
      </c>
      <c r="N17" s="234">
        <v>21883.200000000001</v>
      </c>
      <c r="O17" s="243" t="s">
        <v>1946</v>
      </c>
      <c r="P17" s="236">
        <v>45876</v>
      </c>
      <c r="Q17" s="244">
        <v>0.65589120370370368</v>
      </c>
    </row>
    <row r="18" spans="1:17" ht="30.6" customHeight="1">
      <c r="A18" s="239" t="s">
        <v>1906</v>
      </c>
      <c r="B18" s="240">
        <v>854</v>
      </c>
      <c r="C18" s="241">
        <v>44</v>
      </c>
      <c r="D18" s="239" t="s">
        <v>368</v>
      </c>
      <c r="E18" s="239" t="s">
        <v>374</v>
      </c>
      <c r="F18" s="239" t="s">
        <v>375</v>
      </c>
      <c r="G18" s="239"/>
      <c r="H18" s="239" t="s">
        <v>46</v>
      </c>
      <c r="I18" s="239" t="s">
        <v>371</v>
      </c>
      <c r="J18" s="234">
        <v>37360</v>
      </c>
      <c r="K18" s="234">
        <v>15460</v>
      </c>
      <c r="L18" s="242">
        <v>12</v>
      </c>
      <c r="M18" s="308">
        <v>21900</v>
      </c>
      <c r="N18" s="234">
        <v>19272</v>
      </c>
      <c r="O18" s="243" t="s">
        <v>1947</v>
      </c>
      <c r="P18" s="236">
        <v>45876</v>
      </c>
      <c r="Q18" s="244">
        <v>0.66480324074074071</v>
      </c>
    </row>
    <row r="19" spans="1:17" ht="30.6" customHeight="1">
      <c r="A19" s="239" t="s">
        <v>1907</v>
      </c>
      <c r="B19" s="240">
        <v>855</v>
      </c>
      <c r="C19" s="241">
        <v>93</v>
      </c>
      <c r="D19" s="239" t="s">
        <v>376</v>
      </c>
      <c r="E19" s="239" t="s">
        <v>372</v>
      </c>
      <c r="F19" s="239" t="s">
        <v>373</v>
      </c>
      <c r="G19" s="239"/>
      <c r="H19" s="239" t="s">
        <v>394</v>
      </c>
      <c r="I19" s="239" t="s">
        <v>379</v>
      </c>
      <c r="J19" s="234">
        <v>39290</v>
      </c>
      <c r="K19" s="234">
        <v>15120</v>
      </c>
      <c r="L19" s="242">
        <v>8</v>
      </c>
      <c r="M19" s="308">
        <v>24170</v>
      </c>
      <c r="N19" s="234">
        <v>22236.400000000001</v>
      </c>
      <c r="O19" s="243" t="s">
        <v>1948</v>
      </c>
      <c r="P19" s="236">
        <v>45876</v>
      </c>
      <c r="Q19" s="244">
        <v>0.73932870370370374</v>
      </c>
    </row>
    <row r="20" spans="1:17" ht="30.6" customHeight="1">
      <c r="A20" s="239" t="s">
        <v>1908</v>
      </c>
      <c r="B20" s="240">
        <v>856</v>
      </c>
      <c r="C20" s="241">
        <v>95</v>
      </c>
      <c r="D20" s="239" t="s">
        <v>376</v>
      </c>
      <c r="E20" s="239" t="s">
        <v>395</v>
      </c>
      <c r="F20" s="239" t="s">
        <v>383</v>
      </c>
      <c r="G20" s="239"/>
      <c r="H20" s="239" t="s">
        <v>394</v>
      </c>
      <c r="I20" s="239" t="s">
        <v>379</v>
      </c>
      <c r="J20" s="234">
        <v>38920</v>
      </c>
      <c r="K20" s="234">
        <v>14650</v>
      </c>
      <c r="L20" s="242">
        <v>7</v>
      </c>
      <c r="M20" s="308">
        <v>24270</v>
      </c>
      <c r="N20" s="234">
        <v>22571.1</v>
      </c>
      <c r="O20" s="243" t="s">
        <v>1949</v>
      </c>
      <c r="P20" s="236">
        <v>45876</v>
      </c>
      <c r="Q20" s="244">
        <v>0.77954861111111107</v>
      </c>
    </row>
    <row r="21" spans="1:17" ht="30.6" customHeight="1">
      <c r="A21" s="239" t="s">
        <v>1909</v>
      </c>
      <c r="B21" s="240">
        <v>861</v>
      </c>
      <c r="C21" s="241">
        <v>9456</v>
      </c>
      <c r="D21" s="239" t="s">
        <v>396</v>
      </c>
      <c r="E21" s="239" t="s">
        <v>384</v>
      </c>
      <c r="F21" s="239" t="s">
        <v>385</v>
      </c>
      <c r="G21" s="239" t="s">
        <v>397</v>
      </c>
      <c r="H21" s="239" t="s">
        <v>398</v>
      </c>
      <c r="I21" s="239" t="s">
        <v>399</v>
      </c>
      <c r="J21" s="234">
        <v>34410</v>
      </c>
      <c r="K21" s="234">
        <v>13910</v>
      </c>
      <c r="L21" s="242">
        <v>34</v>
      </c>
      <c r="M21" s="308">
        <v>20500</v>
      </c>
      <c r="N21" s="234">
        <v>13530</v>
      </c>
      <c r="O21" s="243" t="s">
        <v>1950</v>
      </c>
      <c r="P21" s="236">
        <v>45878</v>
      </c>
      <c r="Q21" s="244">
        <v>0.11569444444444445</v>
      </c>
    </row>
    <row r="22" spans="1:17" ht="30.6" customHeight="1">
      <c r="A22" s="239" t="s">
        <v>1910</v>
      </c>
      <c r="B22" s="240">
        <v>862</v>
      </c>
      <c r="C22" s="241">
        <v>9458</v>
      </c>
      <c r="D22" s="239" t="s">
        <v>396</v>
      </c>
      <c r="E22" s="239" t="s">
        <v>377</v>
      </c>
      <c r="F22" s="239" t="s">
        <v>378</v>
      </c>
      <c r="G22" s="239" t="s">
        <v>397</v>
      </c>
      <c r="H22" s="239" t="s">
        <v>398</v>
      </c>
      <c r="I22" s="239" t="s">
        <v>399</v>
      </c>
      <c r="J22" s="234">
        <v>36660</v>
      </c>
      <c r="K22" s="234">
        <v>15050</v>
      </c>
      <c r="L22" s="242">
        <v>26</v>
      </c>
      <c r="M22" s="308">
        <v>21610</v>
      </c>
      <c r="N22" s="234">
        <v>15991.4</v>
      </c>
      <c r="O22" s="243" t="s">
        <v>1951</v>
      </c>
      <c r="P22" s="236">
        <v>45878</v>
      </c>
      <c r="Q22" s="244">
        <v>0.13547453703703705</v>
      </c>
    </row>
    <row r="23" spans="1:17" ht="30.6" customHeight="1">
      <c r="A23" s="239" t="s">
        <v>1911</v>
      </c>
      <c r="B23" s="240">
        <v>863</v>
      </c>
      <c r="C23" s="241">
        <v>9460</v>
      </c>
      <c r="D23" s="239" t="s">
        <v>396</v>
      </c>
      <c r="E23" s="239" t="s">
        <v>400</v>
      </c>
      <c r="F23" s="239" t="s">
        <v>401</v>
      </c>
      <c r="G23" s="239" t="s">
        <v>397</v>
      </c>
      <c r="H23" s="239" t="s">
        <v>398</v>
      </c>
      <c r="I23" s="239" t="s">
        <v>399</v>
      </c>
      <c r="J23" s="234">
        <v>36320</v>
      </c>
      <c r="K23" s="234">
        <v>14710</v>
      </c>
      <c r="L23" s="242">
        <v>28</v>
      </c>
      <c r="M23" s="308">
        <v>21610</v>
      </c>
      <c r="N23" s="234">
        <v>15559.2</v>
      </c>
      <c r="O23" s="243" t="s">
        <v>1952</v>
      </c>
      <c r="P23" s="236">
        <v>45878</v>
      </c>
      <c r="Q23" s="244">
        <v>0.21252314814814816</v>
      </c>
    </row>
    <row r="24" spans="1:17" ht="30.6" customHeight="1">
      <c r="A24" s="239" t="s">
        <v>402</v>
      </c>
      <c r="B24" s="240">
        <v>864</v>
      </c>
      <c r="C24" s="241">
        <v>9462</v>
      </c>
      <c r="D24" s="239" t="s">
        <v>396</v>
      </c>
      <c r="E24" s="239" t="s">
        <v>403</v>
      </c>
      <c r="F24" s="239" t="s">
        <v>404</v>
      </c>
      <c r="G24" s="239" t="s">
        <v>397</v>
      </c>
      <c r="H24" s="239" t="s">
        <v>398</v>
      </c>
      <c r="I24" s="239" t="s">
        <v>399</v>
      </c>
      <c r="J24" s="234">
        <v>33220</v>
      </c>
      <c r="K24" s="234">
        <v>14490</v>
      </c>
      <c r="L24" s="242">
        <v>38</v>
      </c>
      <c r="M24" s="308">
        <v>18730</v>
      </c>
      <c r="N24" s="234">
        <v>11612.6</v>
      </c>
      <c r="O24" s="243" t="s">
        <v>492</v>
      </c>
      <c r="P24" s="236">
        <v>45878</v>
      </c>
      <c r="Q24" s="244">
        <v>0.21700231481481483</v>
      </c>
    </row>
    <row r="25" spans="1:17" ht="30.6" customHeight="1">
      <c r="A25" s="239" t="s">
        <v>405</v>
      </c>
      <c r="B25" s="240">
        <v>865</v>
      </c>
      <c r="C25" s="241">
        <v>9464</v>
      </c>
      <c r="D25" s="239" t="s">
        <v>396</v>
      </c>
      <c r="E25" s="239" t="s">
        <v>406</v>
      </c>
      <c r="F25" s="239" t="s">
        <v>407</v>
      </c>
      <c r="G25" s="239" t="s">
        <v>397</v>
      </c>
      <c r="H25" s="239" t="s">
        <v>398</v>
      </c>
      <c r="I25" s="239" t="s">
        <v>399</v>
      </c>
      <c r="J25" s="234">
        <v>36050</v>
      </c>
      <c r="K25" s="234">
        <v>15040</v>
      </c>
      <c r="L25" s="242">
        <v>35</v>
      </c>
      <c r="M25" s="308">
        <v>21010</v>
      </c>
      <c r="N25" s="234">
        <v>13656.5</v>
      </c>
      <c r="O25" s="243" t="s">
        <v>493</v>
      </c>
      <c r="P25" s="236">
        <v>45878</v>
      </c>
      <c r="Q25" s="244">
        <v>0.25212962962962965</v>
      </c>
    </row>
    <row r="26" spans="1:17" ht="30.6" customHeight="1">
      <c r="A26" s="239" t="s">
        <v>408</v>
      </c>
      <c r="B26" s="240">
        <v>866</v>
      </c>
      <c r="C26" s="241">
        <v>9466</v>
      </c>
      <c r="D26" s="239" t="s">
        <v>396</v>
      </c>
      <c r="E26" s="239" t="s">
        <v>380</v>
      </c>
      <c r="F26" s="239" t="s">
        <v>381</v>
      </c>
      <c r="G26" s="239" t="s">
        <v>397</v>
      </c>
      <c r="H26" s="239" t="s">
        <v>398</v>
      </c>
      <c r="I26" s="239" t="s">
        <v>399</v>
      </c>
      <c r="J26" s="234">
        <v>36350</v>
      </c>
      <c r="K26" s="234">
        <v>15040</v>
      </c>
      <c r="L26" s="242">
        <v>22</v>
      </c>
      <c r="M26" s="308">
        <v>21310</v>
      </c>
      <c r="N26" s="234">
        <v>16621.8</v>
      </c>
      <c r="O26" s="243" t="s">
        <v>494</v>
      </c>
      <c r="P26" s="236">
        <v>45878</v>
      </c>
      <c r="Q26" s="244">
        <v>0.3237962962962963</v>
      </c>
    </row>
    <row r="27" spans="1:17" ht="30.6" customHeight="1">
      <c r="A27" s="239" t="s">
        <v>409</v>
      </c>
      <c r="B27" s="240">
        <v>867</v>
      </c>
      <c r="C27" s="241">
        <v>9468</v>
      </c>
      <c r="D27" s="239" t="s">
        <v>396</v>
      </c>
      <c r="E27" s="239" t="s">
        <v>410</v>
      </c>
      <c r="F27" s="239" t="s">
        <v>411</v>
      </c>
      <c r="G27" s="239" t="s">
        <v>397</v>
      </c>
      <c r="H27" s="239" t="s">
        <v>398</v>
      </c>
      <c r="I27" s="239" t="s">
        <v>399</v>
      </c>
      <c r="J27" s="234">
        <v>33750</v>
      </c>
      <c r="K27" s="234">
        <v>15000</v>
      </c>
      <c r="L27" s="242">
        <v>30</v>
      </c>
      <c r="M27" s="308">
        <v>18750</v>
      </c>
      <c r="N27" s="234">
        <v>13125</v>
      </c>
      <c r="O27" s="243" t="s">
        <v>495</v>
      </c>
      <c r="P27" s="236">
        <v>45878</v>
      </c>
      <c r="Q27" s="244">
        <v>0.40295138888888887</v>
      </c>
    </row>
    <row r="28" spans="1:17" ht="30.6" customHeight="1">
      <c r="A28" s="239" t="s">
        <v>412</v>
      </c>
      <c r="B28" s="240">
        <v>868</v>
      </c>
      <c r="C28" s="241">
        <v>9470</v>
      </c>
      <c r="D28" s="239" t="s">
        <v>396</v>
      </c>
      <c r="E28" s="239" t="s">
        <v>413</v>
      </c>
      <c r="F28" s="239" t="s">
        <v>414</v>
      </c>
      <c r="G28" s="239" t="s">
        <v>397</v>
      </c>
      <c r="H28" s="239" t="s">
        <v>398</v>
      </c>
      <c r="I28" s="239" t="s">
        <v>399</v>
      </c>
      <c r="J28" s="234">
        <v>34870</v>
      </c>
      <c r="K28" s="234">
        <v>14920</v>
      </c>
      <c r="L28" s="242">
        <v>39</v>
      </c>
      <c r="M28" s="308">
        <v>19950</v>
      </c>
      <c r="N28" s="234">
        <v>12169.5</v>
      </c>
      <c r="O28" s="243" t="s">
        <v>496</v>
      </c>
      <c r="P28" s="236">
        <v>45878</v>
      </c>
      <c r="Q28" s="244">
        <v>0.50344907407407402</v>
      </c>
    </row>
    <row r="29" spans="1:17" ht="30.6" customHeight="1">
      <c r="A29" s="239" t="s">
        <v>415</v>
      </c>
      <c r="B29" s="240">
        <v>869</v>
      </c>
      <c r="C29" s="241">
        <v>9472</v>
      </c>
      <c r="D29" s="239" t="s">
        <v>396</v>
      </c>
      <c r="E29" s="239" t="s">
        <v>416</v>
      </c>
      <c r="F29" s="239" t="s">
        <v>417</v>
      </c>
      <c r="G29" s="239" t="s">
        <v>397</v>
      </c>
      <c r="H29" s="239" t="s">
        <v>398</v>
      </c>
      <c r="I29" s="239" t="s">
        <v>399</v>
      </c>
      <c r="J29" s="234">
        <v>35140</v>
      </c>
      <c r="K29" s="234">
        <v>14710</v>
      </c>
      <c r="L29" s="242">
        <v>26</v>
      </c>
      <c r="M29" s="308">
        <v>20430</v>
      </c>
      <c r="N29" s="234">
        <v>15118.2</v>
      </c>
      <c r="O29" s="243" t="s">
        <v>497</v>
      </c>
      <c r="P29" s="236">
        <v>45878</v>
      </c>
      <c r="Q29" s="244">
        <v>0.50703703703703706</v>
      </c>
    </row>
    <row r="30" spans="1:17" ht="30.6" customHeight="1">
      <c r="A30" s="239" t="s">
        <v>418</v>
      </c>
      <c r="B30" s="240">
        <v>870</v>
      </c>
      <c r="C30" s="239" t="s">
        <v>419</v>
      </c>
      <c r="D30" s="239" t="s">
        <v>396</v>
      </c>
      <c r="E30" s="239" t="s">
        <v>420</v>
      </c>
      <c r="F30" s="239" t="s">
        <v>421</v>
      </c>
      <c r="G30" s="239" t="s">
        <v>397</v>
      </c>
      <c r="H30" s="239" t="s">
        <v>398</v>
      </c>
      <c r="I30" s="239" t="s">
        <v>399</v>
      </c>
      <c r="J30" s="234">
        <v>33680</v>
      </c>
      <c r="K30" s="234">
        <v>14870</v>
      </c>
      <c r="L30" s="242">
        <v>43</v>
      </c>
      <c r="M30" s="308">
        <v>18810</v>
      </c>
      <c r="N30" s="234">
        <v>10721.7</v>
      </c>
      <c r="O30" s="243" t="s">
        <v>498</v>
      </c>
      <c r="P30" s="236">
        <v>45878</v>
      </c>
      <c r="Q30" s="244">
        <v>0.95747685185185183</v>
      </c>
    </row>
    <row r="31" spans="1:17" ht="30.6" customHeight="1">
      <c r="A31" s="239" t="s">
        <v>422</v>
      </c>
      <c r="B31" s="240">
        <v>872</v>
      </c>
      <c r="C31" s="241">
        <v>9478</v>
      </c>
      <c r="D31" s="239" t="s">
        <v>396</v>
      </c>
      <c r="E31" s="239" t="s">
        <v>390</v>
      </c>
      <c r="F31" s="239" t="s">
        <v>391</v>
      </c>
      <c r="G31" s="239" t="s">
        <v>397</v>
      </c>
      <c r="H31" s="239" t="s">
        <v>398</v>
      </c>
      <c r="I31" s="239" t="s">
        <v>399</v>
      </c>
      <c r="J31" s="234">
        <v>36760</v>
      </c>
      <c r="K31" s="234">
        <v>14950</v>
      </c>
      <c r="L31" s="242">
        <v>44</v>
      </c>
      <c r="M31" s="308">
        <v>21810</v>
      </c>
      <c r="N31" s="234">
        <v>12213.6</v>
      </c>
      <c r="O31" s="243" t="s">
        <v>499</v>
      </c>
      <c r="P31" s="236">
        <v>45879</v>
      </c>
      <c r="Q31" s="244">
        <v>2.9259259259259259E-2</v>
      </c>
    </row>
    <row r="32" spans="1:17" ht="30.6" customHeight="1">
      <c r="A32" s="239" t="s">
        <v>423</v>
      </c>
      <c r="B32" s="240">
        <v>874</v>
      </c>
      <c r="C32" s="241">
        <v>9476</v>
      </c>
      <c r="D32" s="239" t="s">
        <v>396</v>
      </c>
      <c r="E32" s="239" t="s">
        <v>388</v>
      </c>
      <c r="F32" s="239" t="s">
        <v>389</v>
      </c>
      <c r="G32" s="239" t="s">
        <v>397</v>
      </c>
      <c r="H32" s="239" t="s">
        <v>398</v>
      </c>
      <c r="I32" s="239" t="s">
        <v>399</v>
      </c>
      <c r="J32" s="234">
        <v>46180</v>
      </c>
      <c r="K32" s="234">
        <v>20940</v>
      </c>
      <c r="L32" s="242">
        <v>21</v>
      </c>
      <c r="M32" s="308">
        <v>25240</v>
      </c>
      <c r="N32" s="234">
        <v>19939.599999999999</v>
      </c>
      <c r="O32" s="243" t="s">
        <v>500</v>
      </c>
      <c r="P32" s="236">
        <v>45879</v>
      </c>
      <c r="Q32" s="244">
        <v>5.2407407407407409E-2</v>
      </c>
    </row>
    <row r="33" spans="1:17" ht="30.6" customHeight="1">
      <c r="A33" s="239" t="s">
        <v>424</v>
      </c>
      <c r="B33" s="240">
        <v>875</v>
      </c>
      <c r="C33" s="241">
        <v>9480</v>
      </c>
      <c r="D33" s="239" t="s">
        <v>396</v>
      </c>
      <c r="E33" s="239" t="s">
        <v>425</v>
      </c>
      <c r="F33" s="239" t="s">
        <v>426</v>
      </c>
      <c r="G33" s="239" t="s">
        <v>397</v>
      </c>
      <c r="H33" s="239" t="s">
        <v>398</v>
      </c>
      <c r="I33" s="239" t="s">
        <v>399</v>
      </c>
      <c r="J33" s="234">
        <v>45100</v>
      </c>
      <c r="K33" s="234">
        <v>18610</v>
      </c>
      <c r="L33" s="242">
        <v>24</v>
      </c>
      <c r="M33" s="308">
        <v>26490</v>
      </c>
      <c r="N33" s="234">
        <v>20132.400000000001</v>
      </c>
      <c r="O33" s="243" t="s">
        <v>501</v>
      </c>
      <c r="P33" s="236">
        <v>45879</v>
      </c>
      <c r="Q33" s="244">
        <v>7.5023148148148144E-2</v>
      </c>
    </row>
    <row r="34" spans="1:17" ht="30.6" customHeight="1">
      <c r="A34" s="239" t="s">
        <v>427</v>
      </c>
      <c r="B34" s="240">
        <v>876</v>
      </c>
      <c r="C34" s="241">
        <v>9482</v>
      </c>
      <c r="D34" s="239" t="s">
        <v>396</v>
      </c>
      <c r="E34" s="239" t="s">
        <v>382</v>
      </c>
      <c r="F34" s="239" t="s">
        <v>383</v>
      </c>
      <c r="G34" s="239" t="s">
        <v>397</v>
      </c>
      <c r="H34" s="239" t="s">
        <v>398</v>
      </c>
      <c r="I34" s="239" t="s">
        <v>399</v>
      </c>
      <c r="J34" s="234">
        <v>33760</v>
      </c>
      <c r="K34" s="234">
        <v>14600</v>
      </c>
      <c r="L34" s="242">
        <v>17</v>
      </c>
      <c r="M34" s="308">
        <v>19160</v>
      </c>
      <c r="N34" s="234">
        <v>15902.8</v>
      </c>
      <c r="O34" s="243" t="s">
        <v>502</v>
      </c>
      <c r="P34" s="236">
        <v>45879</v>
      </c>
      <c r="Q34" s="244">
        <v>0.1089699074074074</v>
      </c>
    </row>
    <row r="35" spans="1:17" ht="30.6" customHeight="1">
      <c r="A35" s="239" t="s">
        <v>428</v>
      </c>
      <c r="B35" s="240">
        <v>877</v>
      </c>
      <c r="C35" s="241">
        <v>9484</v>
      </c>
      <c r="D35" s="239" t="s">
        <v>396</v>
      </c>
      <c r="E35" s="239" t="s">
        <v>429</v>
      </c>
      <c r="F35" s="239" t="s">
        <v>430</v>
      </c>
      <c r="G35" s="239" t="s">
        <v>397</v>
      </c>
      <c r="H35" s="239" t="s">
        <v>398</v>
      </c>
      <c r="I35" s="239" t="s">
        <v>399</v>
      </c>
      <c r="J35" s="234">
        <v>36930</v>
      </c>
      <c r="K35" s="234">
        <v>14240</v>
      </c>
      <c r="L35" s="242">
        <v>40</v>
      </c>
      <c r="M35" s="308">
        <v>22690</v>
      </c>
      <c r="N35" s="234">
        <v>13614</v>
      </c>
      <c r="O35" s="243" t="s">
        <v>503</v>
      </c>
      <c r="P35" s="236">
        <v>45879</v>
      </c>
      <c r="Q35" s="244">
        <v>0.12802083333333333</v>
      </c>
    </row>
    <row r="36" spans="1:17" ht="30.6" customHeight="1">
      <c r="A36" s="239" t="s">
        <v>431</v>
      </c>
      <c r="B36" s="240">
        <v>878</v>
      </c>
      <c r="C36" s="241">
        <v>9486</v>
      </c>
      <c r="D36" s="239" t="s">
        <v>396</v>
      </c>
      <c r="E36" s="239" t="s">
        <v>432</v>
      </c>
      <c r="F36" s="239" t="s">
        <v>433</v>
      </c>
      <c r="G36" s="239" t="s">
        <v>397</v>
      </c>
      <c r="H36" s="239" t="s">
        <v>398</v>
      </c>
      <c r="I36" s="239" t="s">
        <v>399</v>
      </c>
      <c r="J36" s="234">
        <v>38770</v>
      </c>
      <c r="K36" s="234">
        <v>15600</v>
      </c>
      <c r="L36" s="242">
        <v>31</v>
      </c>
      <c r="M36" s="308">
        <v>23170</v>
      </c>
      <c r="N36" s="234">
        <v>15987.3</v>
      </c>
      <c r="O36" s="243" t="s">
        <v>504</v>
      </c>
      <c r="P36" s="236">
        <v>45879</v>
      </c>
      <c r="Q36" s="244">
        <v>0.19822916666666668</v>
      </c>
    </row>
    <row r="37" spans="1:17" ht="30.6" customHeight="1">
      <c r="A37" s="239" t="s">
        <v>434</v>
      </c>
      <c r="B37" s="240">
        <v>879</v>
      </c>
      <c r="C37" s="241">
        <v>9492</v>
      </c>
      <c r="D37" s="239" t="s">
        <v>396</v>
      </c>
      <c r="E37" s="239" t="s">
        <v>377</v>
      </c>
      <c r="F37" s="239" t="s">
        <v>378</v>
      </c>
      <c r="G37" s="239" t="s">
        <v>397</v>
      </c>
      <c r="H37" s="239" t="s">
        <v>398</v>
      </c>
      <c r="I37" s="239" t="s">
        <v>399</v>
      </c>
      <c r="J37" s="234">
        <v>37280</v>
      </c>
      <c r="K37" s="234">
        <v>15070</v>
      </c>
      <c r="L37" s="242">
        <v>49</v>
      </c>
      <c r="M37" s="308">
        <v>22210</v>
      </c>
      <c r="N37" s="234">
        <v>11327.1</v>
      </c>
      <c r="O37" s="243" t="s">
        <v>505</v>
      </c>
      <c r="P37" s="236">
        <v>45879</v>
      </c>
      <c r="Q37" s="244">
        <v>0.3074189814814815</v>
      </c>
    </row>
    <row r="38" spans="1:17" ht="30.6" customHeight="1">
      <c r="A38" s="239" t="s">
        <v>435</v>
      </c>
      <c r="B38" s="240">
        <v>880</v>
      </c>
      <c r="C38" s="241">
        <v>9488</v>
      </c>
      <c r="D38" s="239" t="s">
        <v>396</v>
      </c>
      <c r="E38" s="239" t="s">
        <v>1410</v>
      </c>
      <c r="F38" s="239" t="s">
        <v>437</v>
      </c>
      <c r="G38" s="239" t="s">
        <v>397</v>
      </c>
      <c r="H38" s="239" t="s">
        <v>398</v>
      </c>
      <c r="I38" s="239" t="s">
        <v>399</v>
      </c>
      <c r="J38" s="234">
        <v>37960</v>
      </c>
      <c r="K38" s="234">
        <v>14900</v>
      </c>
      <c r="L38" s="242">
        <v>48</v>
      </c>
      <c r="M38" s="308">
        <v>23060</v>
      </c>
      <c r="N38" s="234">
        <v>11991.2</v>
      </c>
      <c r="O38" s="243" t="s">
        <v>506</v>
      </c>
      <c r="P38" s="236">
        <v>45879</v>
      </c>
      <c r="Q38" s="244">
        <v>0.34336805555555555</v>
      </c>
    </row>
    <row r="39" spans="1:17" ht="30.6" customHeight="1">
      <c r="A39" s="239" t="s">
        <v>438</v>
      </c>
      <c r="B39" s="240">
        <v>881</v>
      </c>
      <c r="C39" s="241">
        <v>9490</v>
      </c>
      <c r="D39" s="239" t="s">
        <v>396</v>
      </c>
      <c r="E39" s="239" t="s">
        <v>439</v>
      </c>
      <c r="F39" s="239" t="s">
        <v>440</v>
      </c>
      <c r="G39" s="239" t="s">
        <v>397</v>
      </c>
      <c r="H39" s="239" t="s">
        <v>398</v>
      </c>
      <c r="I39" s="239" t="s">
        <v>399</v>
      </c>
      <c r="J39" s="234">
        <v>36110</v>
      </c>
      <c r="K39" s="234">
        <v>14930</v>
      </c>
      <c r="L39" s="242">
        <v>49</v>
      </c>
      <c r="M39" s="308">
        <v>21180</v>
      </c>
      <c r="N39" s="234">
        <v>10801.8</v>
      </c>
      <c r="O39" s="243" t="s">
        <v>507</v>
      </c>
      <c r="P39" s="236">
        <v>45879</v>
      </c>
      <c r="Q39" s="244">
        <v>0.34957175925925926</v>
      </c>
    </row>
    <row r="40" spans="1:17" ht="30.6" customHeight="1">
      <c r="A40" s="239" t="s">
        <v>441</v>
      </c>
      <c r="B40" s="240">
        <v>883</v>
      </c>
      <c r="C40" s="241">
        <v>9494</v>
      </c>
      <c r="D40" s="239" t="s">
        <v>396</v>
      </c>
      <c r="E40" s="239" t="s">
        <v>442</v>
      </c>
      <c r="F40" s="239" t="s">
        <v>443</v>
      </c>
      <c r="G40" s="239" t="s">
        <v>397</v>
      </c>
      <c r="H40" s="239" t="s">
        <v>398</v>
      </c>
      <c r="I40" s="239" t="s">
        <v>399</v>
      </c>
      <c r="J40" s="234">
        <v>32690</v>
      </c>
      <c r="K40" s="234">
        <v>14460</v>
      </c>
      <c r="L40" s="242">
        <v>46</v>
      </c>
      <c r="M40" s="308">
        <v>18230</v>
      </c>
      <c r="N40" s="234">
        <v>9844.2000000000007</v>
      </c>
      <c r="O40" s="243" t="s">
        <v>508</v>
      </c>
      <c r="P40" s="236">
        <v>45879</v>
      </c>
      <c r="Q40" s="244">
        <v>0.40064814814814814</v>
      </c>
    </row>
    <row r="41" spans="1:17" ht="30.6" customHeight="1">
      <c r="A41" s="239" t="s">
        <v>444</v>
      </c>
      <c r="B41" s="240">
        <v>884</v>
      </c>
      <c r="C41" s="241">
        <v>9498</v>
      </c>
      <c r="D41" s="239" t="s">
        <v>396</v>
      </c>
      <c r="E41" s="239" t="s">
        <v>380</v>
      </c>
      <c r="F41" s="239" t="s">
        <v>381</v>
      </c>
      <c r="G41" s="239" t="s">
        <v>397</v>
      </c>
      <c r="H41" s="239" t="s">
        <v>398</v>
      </c>
      <c r="I41" s="239" t="s">
        <v>399</v>
      </c>
      <c r="J41" s="234">
        <v>34460</v>
      </c>
      <c r="K41" s="234">
        <v>15060</v>
      </c>
      <c r="L41" s="242">
        <v>45</v>
      </c>
      <c r="M41" s="308">
        <v>19400</v>
      </c>
      <c r="N41" s="234">
        <v>10670</v>
      </c>
      <c r="O41" s="243" t="s">
        <v>509</v>
      </c>
      <c r="P41" s="236">
        <v>45879</v>
      </c>
      <c r="Q41" s="244">
        <v>0.43353009259259262</v>
      </c>
    </row>
    <row r="42" spans="1:17" ht="30.6" customHeight="1">
      <c r="A42" s="239" t="s">
        <v>445</v>
      </c>
      <c r="B42" s="240">
        <v>885</v>
      </c>
      <c r="C42" s="241">
        <v>9500</v>
      </c>
      <c r="D42" s="239" t="s">
        <v>396</v>
      </c>
      <c r="E42" s="239" t="s">
        <v>410</v>
      </c>
      <c r="F42" s="239" t="s">
        <v>411</v>
      </c>
      <c r="G42" s="239" t="s">
        <v>397</v>
      </c>
      <c r="H42" s="239" t="s">
        <v>398</v>
      </c>
      <c r="I42" s="239" t="s">
        <v>399</v>
      </c>
      <c r="J42" s="234">
        <v>34010</v>
      </c>
      <c r="K42" s="234">
        <v>14840</v>
      </c>
      <c r="L42" s="242">
        <v>37</v>
      </c>
      <c r="M42" s="308">
        <v>19170</v>
      </c>
      <c r="N42" s="234">
        <v>12077.1</v>
      </c>
      <c r="O42" s="243" t="s">
        <v>510</v>
      </c>
      <c r="P42" s="236">
        <v>45879</v>
      </c>
      <c r="Q42" s="244">
        <v>0.46785879629629629</v>
      </c>
    </row>
    <row r="43" spans="1:17" ht="30.6" customHeight="1">
      <c r="A43" s="239" t="s">
        <v>446</v>
      </c>
      <c r="B43" s="240">
        <v>887</v>
      </c>
      <c r="C43" s="241">
        <v>9502</v>
      </c>
      <c r="D43" s="239" t="s">
        <v>396</v>
      </c>
      <c r="E43" s="239" t="s">
        <v>447</v>
      </c>
      <c r="F43" s="239" t="s">
        <v>448</v>
      </c>
      <c r="G43" s="239" t="s">
        <v>397</v>
      </c>
      <c r="H43" s="239" t="s">
        <v>398</v>
      </c>
      <c r="I43" s="239" t="s">
        <v>399</v>
      </c>
      <c r="J43" s="234">
        <v>37300</v>
      </c>
      <c r="K43" s="234">
        <v>15680</v>
      </c>
      <c r="L43" s="242">
        <v>45</v>
      </c>
      <c r="M43" s="308">
        <v>21620</v>
      </c>
      <c r="N43" s="234">
        <v>11891</v>
      </c>
      <c r="O43" s="243" t="s">
        <v>511</v>
      </c>
      <c r="P43" s="236">
        <v>45879</v>
      </c>
      <c r="Q43" s="244">
        <v>0.61414351851851856</v>
      </c>
    </row>
    <row r="44" spans="1:17" ht="30.6" customHeight="1">
      <c r="A44" s="239" t="s">
        <v>449</v>
      </c>
      <c r="B44" s="240">
        <v>888</v>
      </c>
      <c r="C44" s="241">
        <v>9496</v>
      </c>
      <c r="D44" s="239" t="s">
        <v>396</v>
      </c>
      <c r="E44" s="239" t="s">
        <v>392</v>
      </c>
      <c r="F44" s="239" t="s">
        <v>393</v>
      </c>
      <c r="G44" s="239" t="s">
        <v>397</v>
      </c>
      <c r="H44" s="239" t="s">
        <v>398</v>
      </c>
      <c r="I44" s="239" t="s">
        <v>399</v>
      </c>
      <c r="J44" s="234">
        <v>59720</v>
      </c>
      <c r="K44" s="234">
        <v>24020</v>
      </c>
      <c r="L44" s="242">
        <v>44</v>
      </c>
      <c r="M44" s="308">
        <v>35700</v>
      </c>
      <c r="N44" s="234">
        <v>19992</v>
      </c>
      <c r="O44" s="243" t="s">
        <v>512</v>
      </c>
      <c r="P44" s="236">
        <v>45879</v>
      </c>
      <c r="Q44" s="244">
        <v>0.64670138888888884</v>
      </c>
    </row>
    <row r="45" spans="1:17" ht="30.6" customHeight="1">
      <c r="A45" s="239" t="s">
        <v>450</v>
      </c>
      <c r="B45" s="240">
        <v>889</v>
      </c>
      <c r="C45" s="241">
        <v>9504</v>
      </c>
      <c r="D45" s="239" t="s">
        <v>396</v>
      </c>
      <c r="E45" s="239" t="s">
        <v>413</v>
      </c>
      <c r="F45" s="239" t="s">
        <v>414</v>
      </c>
      <c r="G45" s="239" t="s">
        <v>397</v>
      </c>
      <c r="H45" s="239" t="s">
        <v>398</v>
      </c>
      <c r="I45" s="239" t="s">
        <v>399</v>
      </c>
      <c r="J45" s="234">
        <v>40070</v>
      </c>
      <c r="K45" s="234">
        <v>14930</v>
      </c>
      <c r="L45" s="242">
        <v>42</v>
      </c>
      <c r="M45" s="308">
        <v>25140</v>
      </c>
      <c r="N45" s="234">
        <v>14581.2</v>
      </c>
      <c r="O45" s="243" t="s">
        <v>513</v>
      </c>
      <c r="P45" s="236">
        <v>45879</v>
      </c>
      <c r="Q45" s="244">
        <v>0.80543981481481486</v>
      </c>
    </row>
    <row r="46" spans="1:17" ht="30.6" customHeight="1">
      <c r="A46" s="239" t="s">
        <v>451</v>
      </c>
      <c r="B46" s="240">
        <v>890</v>
      </c>
      <c r="C46" s="241">
        <v>9506</v>
      </c>
      <c r="D46" s="239" t="s">
        <v>396</v>
      </c>
      <c r="E46" s="239" t="s">
        <v>416</v>
      </c>
      <c r="F46" s="239" t="s">
        <v>417</v>
      </c>
      <c r="G46" s="239" t="s">
        <v>397</v>
      </c>
      <c r="H46" s="239" t="s">
        <v>398</v>
      </c>
      <c r="I46" s="239" t="s">
        <v>399</v>
      </c>
      <c r="J46" s="234">
        <v>37670</v>
      </c>
      <c r="K46" s="234">
        <v>14710</v>
      </c>
      <c r="L46" s="242">
        <v>46</v>
      </c>
      <c r="M46" s="308">
        <v>22960</v>
      </c>
      <c r="N46" s="234">
        <v>12398.4</v>
      </c>
      <c r="O46" s="243" t="s">
        <v>514</v>
      </c>
      <c r="P46" s="236">
        <v>45879</v>
      </c>
      <c r="Q46" s="244">
        <v>0.81090277777777775</v>
      </c>
    </row>
    <row r="47" spans="1:17" ht="30.6" customHeight="1">
      <c r="A47" s="239" t="s">
        <v>452</v>
      </c>
      <c r="B47" s="240">
        <v>891</v>
      </c>
      <c r="C47" s="241">
        <v>9508</v>
      </c>
      <c r="D47" s="239" t="s">
        <v>396</v>
      </c>
      <c r="E47" s="239" t="s">
        <v>453</v>
      </c>
      <c r="F47" s="239" t="s">
        <v>454</v>
      </c>
      <c r="G47" s="239" t="s">
        <v>397</v>
      </c>
      <c r="H47" s="239" t="s">
        <v>398</v>
      </c>
      <c r="I47" s="239" t="s">
        <v>399</v>
      </c>
      <c r="J47" s="234">
        <v>49720</v>
      </c>
      <c r="K47" s="234">
        <v>23560</v>
      </c>
      <c r="L47" s="242">
        <v>46</v>
      </c>
      <c r="M47" s="308">
        <v>26160</v>
      </c>
      <c r="N47" s="234">
        <v>14126.4</v>
      </c>
      <c r="O47" s="243" t="s">
        <v>515</v>
      </c>
      <c r="P47" s="236">
        <v>45879</v>
      </c>
      <c r="Q47" s="244">
        <v>0.89446759259259256</v>
      </c>
    </row>
    <row r="48" spans="1:17" ht="30.6" customHeight="1">
      <c r="A48" s="239" t="s">
        <v>455</v>
      </c>
      <c r="B48" s="240">
        <v>892</v>
      </c>
      <c r="C48" s="241">
        <v>9510</v>
      </c>
      <c r="D48" s="239" t="s">
        <v>396</v>
      </c>
      <c r="E48" s="239" t="s">
        <v>456</v>
      </c>
      <c r="F48" s="239" t="s">
        <v>457</v>
      </c>
      <c r="G48" s="239" t="s">
        <v>397</v>
      </c>
      <c r="H48" s="239" t="s">
        <v>398</v>
      </c>
      <c r="I48" s="239" t="s">
        <v>399</v>
      </c>
      <c r="J48" s="234">
        <v>40530</v>
      </c>
      <c r="K48" s="234">
        <v>15550</v>
      </c>
      <c r="L48" s="242">
        <v>47</v>
      </c>
      <c r="M48" s="308">
        <v>24980</v>
      </c>
      <c r="N48" s="234">
        <v>13239.4</v>
      </c>
      <c r="O48" s="243" t="s">
        <v>516</v>
      </c>
      <c r="P48" s="236">
        <v>45879</v>
      </c>
      <c r="Q48" s="244">
        <v>0.89731481481481479</v>
      </c>
    </row>
    <row r="49" spans="1:17" ht="30.6" customHeight="1">
      <c r="A49" s="239" t="s">
        <v>458</v>
      </c>
      <c r="B49" s="240">
        <v>893</v>
      </c>
      <c r="C49" s="241">
        <v>9512</v>
      </c>
      <c r="D49" s="239" t="s">
        <v>396</v>
      </c>
      <c r="E49" s="239" t="s">
        <v>420</v>
      </c>
      <c r="F49" s="239" t="s">
        <v>421</v>
      </c>
      <c r="G49" s="239" t="s">
        <v>397</v>
      </c>
      <c r="H49" s="239" t="s">
        <v>398</v>
      </c>
      <c r="I49" s="239" t="s">
        <v>399</v>
      </c>
      <c r="J49" s="234">
        <v>35910</v>
      </c>
      <c r="K49" s="234">
        <v>14880</v>
      </c>
      <c r="L49" s="242">
        <v>11</v>
      </c>
      <c r="M49" s="308">
        <v>21030</v>
      </c>
      <c r="N49" s="234">
        <v>18716.7</v>
      </c>
      <c r="O49" s="243" t="s">
        <v>517</v>
      </c>
      <c r="P49" s="236">
        <v>45879</v>
      </c>
      <c r="Q49" s="244">
        <v>0.9302083333333333</v>
      </c>
    </row>
    <row r="50" spans="1:17" ht="30.6" customHeight="1">
      <c r="A50" s="239" t="s">
        <v>459</v>
      </c>
      <c r="B50" s="240">
        <v>894</v>
      </c>
      <c r="C50" s="241">
        <v>9514</v>
      </c>
      <c r="D50" s="239" t="s">
        <v>396</v>
      </c>
      <c r="E50" s="239" t="s">
        <v>372</v>
      </c>
      <c r="F50" s="239" t="s">
        <v>373</v>
      </c>
      <c r="G50" s="239" t="s">
        <v>397</v>
      </c>
      <c r="H50" s="239" t="s">
        <v>398</v>
      </c>
      <c r="I50" s="239" t="s">
        <v>399</v>
      </c>
      <c r="J50" s="234">
        <v>38150</v>
      </c>
      <c r="K50" s="234">
        <v>14910</v>
      </c>
      <c r="L50" s="242">
        <v>43</v>
      </c>
      <c r="M50" s="308">
        <v>23240</v>
      </c>
      <c r="N50" s="234">
        <v>13246.8</v>
      </c>
      <c r="O50" s="243" t="s">
        <v>518</v>
      </c>
      <c r="P50" s="236">
        <v>45879</v>
      </c>
      <c r="Q50" s="244">
        <v>0.99981481481481482</v>
      </c>
    </row>
    <row r="51" spans="1:17" ht="30.6" customHeight="1">
      <c r="A51" s="239" t="s">
        <v>460</v>
      </c>
      <c r="B51" s="240">
        <v>895</v>
      </c>
      <c r="C51" s="241">
        <v>9516</v>
      </c>
      <c r="D51" s="239" t="s">
        <v>396</v>
      </c>
      <c r="E51" s="239" t="s">
        <v>386</v>
      </c>
      <c r="F51" s="239" t="s">
        <v>387</v>
      </c>
      <c r="G51" s="239" t="s">
        <v>397</v>
      </c>
      <c r="H51" s="239" t="s">
        <v>398</v>
      </c>
      <c r="I51" s="239" t="s">
        <v>399</v>
      </c>
      <c r="J51" s="234">
        <v>39770</v>
      </c>
      <c r="K51" s="234">
        <v>15410</v>
      </c>
      <c r="L51" s="242">
        <v>26</v>
      </c>
      <c r="M51" s="308">
        <v>24360</v>
      </c>
      <c r="N51" s="234">
        <v>18026.400000000001</v>
      </c>
      <c r="O51" s="243" t="s">
        <v>519</v>
      </c>
      <c r="P51" s="236">
        <v>45880</v>
      </c>
      <c r="Q51" s="244">
        <v>3.7499999999999999E-3</v>
      </c>
    </row>
    <row r="52" spans="1:17" ht="30.6" customHeight="1">
      <c r="A52" s="239" t="s">
        <v>467</v>
      </c>
      <c r="B52" s="240">
        <v>896</v>
      </c>
      <c r="C52" s="241">
        <v>9518</v>
      </c>
      <c r="D52" s="239" t="s">
        <v>396</v>
      </c>
      <c r="E52" s="239" t="s">
        <v>369</v>
      </c>
      <c r="F52" s="239" t="s">
        <v>370</v>
      </c>
      <c r="G52" s="239" t="s">
        <v>397</v>
      </c>
      <c r="H52" s="239" t="s">
        <v>398</v>
      </c>
      <c r="I52" s="239" t="s">
        <v>399</v>
      </c>
      <c r="J52" s="234">
        <v>37270</v>
      </c>
      <c r="K52" s="234">
        <v>15080</v>
      </c>
      <c r="L52" s="242">
        <v>31</v>
      </c>
      <c r="M52" s="308">
        <v>22190</v>
      </c>
      <c r="N52" s="234">
        <v>15311.1</v>
      </c>
      <c r="O52" s="243" t="s">
        <v>524</v>
      </c>
      <c r="P52" s="236">
        <v>45880</v>
      </c>
      <c r="Q52" s="244">
        <v>0.57408564814814811</v>
      </c>
    </row>
    <row r="53" spans="1:17" ht="30.6" customHeight="1">
      <c r="A53" s="239" t="s">
        <v>468</v>
      </c>
      <c r="B53" s="240">
        <v>897</v>
      </c>
      <c r="C53" s="241">
        <v>9520</v>
      </c>
      <c r="D53" s="239" t="s">
        <v>396</v>
      </c>
      <c r="E53" s="239" t="s">
        <v>403</v>
      </c>
      <c r="F53" s="239" t="s">
        <v>404</v>
      </c>
      <c r="G53" s="239" t="s">
        <v>397</v>
      </c>
      <c r="H53" s="239" t="s">
        <v>398</v>
      </c>
      <c r="I53" s="239" t="s">
        <v>399</v>
      </c>
      <c r="J53" s="234">
        <v>37590</v>
      </c>
      <c r="K53" s="234">
        <v>14500</v>
      </c>
      <c r="L53" s="242">
        <v>47</v>
      </c>
      <c r="M53" s="308">
        <v>23090</v>
      </c>
      <c r="N53" s="234">
        <v>12237.7</v>
      </c>
      <c r="O53" s="243" t="s">
        <v>525</v>
      </c>
      <c r="P53" s="236">
        <v>45880</v>
      </c>
      <c r="Q53" s="244">
        <v>0.625</v>
      </c>
    </row>
    <row r="54" spans="1:17" ht="30.6" customHeight="1">
      <c r="A54" s="239" t="s">
        <v>469</v>
      </c>
      <c r="B54" s="240">
        <v>898</v>
      </c>
      <c r="C54" s="241">
        <v>9522</v>
      </c>
      <c r="D54" s="239" t="s">
        <v>396</v>
      </c>
      <c r="E54" s="239" t="s">
        <v>406</v>
      </c>
      <c r="F54" s="239" t="s">
        <v>407</v>
      </c>
      <c r="G54" s="239" t="s">
        <v>397</v>
      </c>
      <c r="H54" s="239" t="s">
        <v>398</v>
      </c>
      <c r="I54" s="239" t="s">
        <v>399</v>
      </c>
      <c r="J54" s="234">
        <v>37450</v>
      </c>
      <c r="K54" s="234">
        <v>15050</v>
      </c>
      <c r="L54" s="242">
        <v>32</v>
      </c>
      <c r="M54" s="308">
        <v>22400</v>
      </c>
      <c r="N54" s="234">
        <v>15232</v>
      </c>
      <c r="O54" s="243" t="s">
        <v>526</v>
      </c>
      <c r="P54" s="236">
        <v>45880</v>
      </c>
      <c r="Q54" s="244">
        <v>0.69826388888888891</v>
      </c>
    </row>
    <row r="55" spans="1:17" ht="30.6" customHeight="1">
      <c r="A55" s="239" t="s">
        <v>470</v>
      </c>
      <c r="B55" s="240">
        <v>899</v>
      </c>
      <c r="C55" s="241">
        <v>9524</v>
      </c>
      <c r="D55" s="239" t="s">
        <v>396</v>
      </c>
      <c r="E55" s="239" t="s">
        <v>400</v>
      </c>
      <c r="F55" s="239" t="s">
        <v>401</v>
      </c>
      <c r="G55" s="239" t="s">
        <v>397</v>
      </c>
      <c r="H55" s="239" t="s">
        <v>398</v>
      </c>
      <c r="I55" s="239" t="s">
        <v>399</v>
      </c>
      <c r="J55" s="234">
        <v>37010</v>
      </c>
      <c r="K55" s="234">
        <v>14660</v>
      </c>
      <c r="L55" s="242">
        <v>28</v>
      </c>
      <c r="M55" s="308">
        <v>22350</v>
      </c>
      <c r="N55" s="234">
        <v>16092</v>
      </c>
      <c r="O55" s="243" t="s">
        <v>527</v>
      </c>
      <c r="P55" s="236">
        <v>45880</v>
      </c>
      <c r="Q55" s="244">
        <v>0.72267361111111106</v>
      </c>
    </row>
    <row r="56" spans="1:17" ht="30.6" customHeight="1">
      <c r="A56" s="239" t="s">
        <v>471</v>
      </c>
      <c r="B56" s="240">
        <v>900</v>
      </c>
      <c r="C56" s="241">
        <v>9526</v>
      </c>
      <c r="D56" s="239" t="s">
        <v>396</v>
      </c>
      <c r="E56" s="239" t="s">
        <v>472</v>
      </c>
      <c r="F56" s="239" t="s">
        <v>473</v>
      </c>
      <c r="G56" s="239" t="s">
        <v>397</v>
      </c>
      <c r="H56" s="239" t="s">
        <v>398</v>
      </c>
      <c r="I56" s="239" t="s">
        <v>399</v>
      </c>
      <c r="J56" s="234">
        <v>39320</v>
      </c>
      <c r="K56" s="234">
        <v>16640</v>
      </c>
      <c r="L56" s="242">
        <v>34</v>
      </c>
      <c r="M56" s="308">
        <v>22680</v>
      </c>
      <c r="N56" s="234">
        <v>14968.8</v>
      </c>
      <c r="O56" s="243" t="s">
        <v>528</v>
      </c>
      <c r="P56" s="236">
        <v>45880</v>
      </c>
      <c r="Q56" s="244">
        <v>0.90410879629629626</v>
      </c>
    </row>
    <row r="57" spans="1:17" ht="30.6" customHeight="1">
      <c r="A57" s="239" t="s">
        <v>474</v>
      </c>
      <c r="B57" s="240">
        <v>901</v>
      </c>
      <c r="C57" s="241">
        <v>9528</v>
      </c>
      <c r="D57" s="239" t="s">
        <v>396</v>
      </c>
      <c r="E57" s="239" t="s">
        <v>475</v>
      </c>
      <c r="F57" s="239" t="s">
        <v>476</v>
      </c>
      <c r="G57" s="239" t="s">
        <v>397</v>
      </c>
      <c r="H57" s="239" t="s">
        <v>398</v>
      </c>
      <c r="I57" s="239" t="s">
        <v>399</v>
      </c>
      <c r="J57" s="234">
        <v>37420</v>
      </c>
      <c r="K57" s="234">
        <v>16330</v>
      </c>
      <c r="L57" s="242">
        <v>35</v>
      </c>
      <c r="M57" s="308">
        <v>21090</v>
      </c>
      <c r="N57" s="234">
        <v>13708.5</v>
      </c>
      <c r="O57" s="243" t="s">
        <v>529</v>
      </c>
      <c r="P57" s="236">
        <v>45880</v>
      </c>
      <c r="Q57" s="244">
        <v>0.90468749999999998</v>
      </c>
    </row>
    <row r="58" spans="1:17" ht="30.6" customHeight="1">
      <c r="A58" s="239" t="s">
        <v>461</v>
      </c>
      <c r="B58" s="240">
        <v>903</v>
      </c>
      <c r="C58" s="241">
        <v>9530</v>
      </c>
      <c r="D58" s="239" t="s">
        <v>396</v>
      </c>
      <c r="E58" s="239" t="s">
        <v>462</v>
      </c>
      <c r="F58" s="239" t="s">
        <v>463</v>
      </c>
      <c r="G58" s="239" t="s">
        <v>397</v>
      </c>
      <c r="H58" s="239" t="s">
        <v>398</v>
      </c>
      <c r="I58" s="239" t="s">
        <v>399</v>
      </c>
      <c r="J58" s="234">
        <v>37790</v>
      </c>
      <c r="K58" s="234">
        <v>16490</v>
      </c>
      <c r="L58" s="242">
        <v>37</v>
      </c>
      <c r="M58" s="308">
        <v>21300</v>
      </c>
      <c r="N58" s="234">
        <v>13419</v>
      </c>
      <c r="O58" s="243" t="s">
        <v>520</v>
      </c>
      <c r="P58" s="236">
        <v>45880</v>
      </c>
      <c r="Q58" s="244">
        <v>0.27747685185185184</v>
      </c>
    </row>
    <row r="59" spans="1:17" ht="30.6" customHeight="1">
      <c r="A59" s="239" t="s">
        <v>464</v>
      </c>
      <c r="B59" s="240">
        <v>904</v>
      </c>
      <c r="C59" s="241">
        <v>9532</v>
      </c>
      <c r="D59" s="239" t="s">
        <v>396</v>
      </c>
      <c r="E59" s="239" t="s">
        <v>377</v>
      </c>
      <c r="F59" s="239" t="s">
        <v>378</v>
      </c>
      <c r="G59" s="239" t="s">
        <v>397</v>
      </c>
      <c r="H59" s="239" t="s">
        <v>398</v>
      </c>
      <c r="I59" s="239" t="s">
        <v>399</v>
      </c>
      <c r="J59" s="234">
        <v>39060</v>
      </c>
      <c r="K59" s="234">
        <v>15080</v>
      </c>
      <c r="L59" s="242">
        <v>29</v>
      </c>
      <c r="M59" s="308">
        <v>23980</v>
      </c>
      <c r="N59" s="234">
        <v>17025.8</v>
      </c>
      <c r="O59" s="243" t="s">
        <v>521</v>
      </c>
      <c r="P59" s="236">
        <v>45880</v>
      </c>
      <c r="Q59" s="244">
        <v>0.38798611111111109</v>
      </c>
    </row>
    <row r="60" spans="1:17" ht="30.6" customHeight="1">
      <c r="A60" s="239" t="s">
        <v>465</v>
      </c>
      <c r="B60" s="240">
        <v>905</v>
      </c>
      <c r="C60" s="241">
        <v>9534</v>
      </c>
      <c r="D60" s="239" t="s">
        <v>396</v>
      </c>
      <c r="E60" s="239" t="s">
        <v>425</v>
      </c>
      <c r="F60" s="239" t="s">
        <v>426</v>
      </c>
      <c r="G60" s="239" t="s">
        <v>397</v>
      </c>
      <c r="H60" s="239" t="s">
        <v>398</v>
      </c>
      <c r="I60" s="239" t="s">
        <v>399</v>
      </c>
      <c r="J60" s="234">
        <v>44540</v>
      </c>
      <c r="K60" s="234">
        <v>18590</v>
      </c>
      <c r="L60" s="242">
        <v>37</v>
      </c>
      <c r="M60" s="308">
        <v>25950</v>
      </c>
      <c r="N60" s="234">
        <v>16348.5</v>
      </c>
      <c r="O60" s="243" t="s">
        <v>522</v>
      </c>
      <c r="P60" s="236">
        <v>45880</v>
      </c>
      <c r="Q60" s="244">
        <v>0.40188657407407408</v>
      </c>
    </row>
    <row r="61" spans="1:17" ht="30.6" customHeight="1">
      <c r="A61" s="239" t="s">
        <v>466</v>
      </c>
      <c r="B61" s="240">
        <v>906</v>
      </c>
      <c r="C61" s="241">
        <v>9536</v>
      </c>
      <c r="D61" s="239" t="s">
        <v>396</v>
      </c>
      <c r="E61" s="239" t="s">
        <v>388</v>
      </c>
      <c r="F61" s="239" t="s">
        <v>389</v>
      </c>
      <c r="G61" s="239" t="s">
        <v>397</v>
      </c>
      <c r="H61" s="239" t="s">
        <v>398</v>
      </c>
      <c r="I61" s="239" t="s">
        <v>399</v>
      </c>
      <c r="J61" s="234">
        <v>51520</v>
      </c>
      <c r="K61" s="234">
        <v>20900</v>
      </c>
      <c r="L61" s="242">
        <v>40</v>
      </c>
      <c r="M61" s="308">
        <v>30620</v>
      </c>
      <c r="N61" s="234">
        <v>18372</v>
      </c>
      <c r="O61" s="243" t="s">
        <v>523</v>
      </c>
      <c r="P61" s="236">
        <v>45880</v>
      </c>
      <c r="Q61" s="244">
        <v>0.5013657407407407</v>
      </c>
    </row>
    <row r="62" spans="1:17" ht="30.6" customHeight="1">
      <c r="A62" s="239" t="s">
        <v>477</v>
      </c>
      <c r="B62" s="240">
        <v>909</v>
      </c>
      <c r="C62" s="241">
        <v>9540</v>
      </c>
      <c r="D62" s="239" t="s">
        <v>396</v>
      </c>
      <c r="E62" s="239" t="s">
        <v>384</v>
      </c>
      <c r="F62" s="239" t="s">
        <v>385</v>
      </c>
      <c r="G62" s="239" t="s">
        <v>397</v>
      </c>
      <c r="H62" s="239" t="s">
        <v>398</v>
      </c>
      <c r="I62" s="239" t="s">
        <v>399</v>
      </c>
      <c r="J62" s="234">
        <v>36720</v>
      </c>
      <c r="K62" s="234">
        <v>13890</v>
      </c>
      <c r="L62" s="242">
        <v>30</v>
      </c>
      <c r="M62" s="308">
        <v>22830</v>
      </c>
      <c r="N62" s="234">
        <v>15981</v>
      </c>
      <c r="O62" s="243" t="s">
        <v>530</v>
      </c>
      <c r="P62" s="236">
        <v>45880</v>
      </c>
      <c r="Q62" s="244">
        <v>0.92548611111111112</v>
      </c>
    </row>
    <row r="63" spans="1:17" ht="30.6" customHeight="1">
      <c r="A63" s="239" t="s">
        <v>478</v>
      </c>
      <c r="B63" s="240">
        <v>910</v>
      </c>
      <c r="C63" s="241">
        <v>9538</v>
      </c>
      <c r="D63" s="239" t="s">
        <v>396</v>
      </c>
      <c r="E63" s="239" t="s">
        <v>432</v>
      </c>
      <c r="F63" s="239" t="s">
        <v>433</v>
      </c>
      <c r="G63" s="239" t="s">
        <v>397</v>
      </c>
      <c r="H63" s="239" t="s">
        <v>398</v>
      </c>
      <c r="I63" s="239" t="s">
        <v>399</v>
      </c>
      <c r="J63" s="234">
        <v>39340</v>
      </c>
      <c r="K63" s="234">
        <v>15570</v>
      </c>
      <c r="L63" s="242">
        <v>21</v>
      </c>
      <c r="M63" s="308">
        <v>23770</v>
      </c>
      <c r="N63" s="234">
        <v>18778.3</v>
      </c>
      <c r="O63" s="243" t="s">
        <v>531</v>
      </c>
      <c r="P63" s="236">
        <v>45880</v>
      </c>
      <c r="Q63" s="244">
        <v>0.93171296296296291</v>
      </c>
    </row>
    <row r="64" spans="1:17" ht="30.6" customHeight="1">
      <c r="A64" s="239" t="s">
        <v>479</v>
      </c>
      <c r="B64" s="240">
        <v>911</v>
      </c>
      <c r="C64" s="241">
        <v>9542</v>
      </c>
      <c r="D64" s="239" t="s">
        <v>396</v>
      </c>
      <c r="E64" s="239" t="s">
        <v>447</v>
      </c>
      <c r="F64" s="239" t="s">
        <v>448</v>
      </c>
      <c r="G64" s="239" t="s">
        <v>397</v>
      </c>
      <c r="H64" s="239" t="s">
        <v>398</v>
      </c>
      <c r="I64" s="239" t="s">
        <v>399</v>
      </c>
      <c r="J64" s="234">
        <v>37550</v>
      </c>
      <c r="K64" s="234">
        <v>15560</v>
      </c>
      <c r="L64" s="242">
        <v>21</v>
      </c>
      <c r="M64" s="308">
        <v>21990</v>
      </c>
      <c r="N64" s="234">
        <v>17372.099999999999</v>
      </c>
      <c r="O64" s="243" t="s">
        <v>532</v>
      </c>
      <c r="P64" s="236">
        <v>45880</v>
      </c>
      <c r="Q64" s="244">
        <v>0.98481481481481481</v>
      </c>
    </row>
    <row r="65" spans="1:17" ht="30.6" customHeight="1">
      <c r="A65" s="239" t="s">
        <v>480</v>
      </c>
      <c r="B65" s="240">
        <v>912</v>
      </c>
      <c r="C65" s="241">
        <v>29985</v>
      </c>
      <c r="D65" s="239" t="s">
        <v>396</v>
      </c>
      <c r="E65" s="239" t="s">
        <v>392</v>
      </c>
      <c r="F65" s="239" t="s">
        <v>393</v>
      </c>
      <c r="G65" s="239" t="s">
        <v>397</v>
      </c>
      <c r="H65" s="239" t="s">
        <v>398</v>
      </c>
      <c r="I65" s="239" t="s">
        <v>399</v>
      </c>
      <c r="J65" s="234">
        <v>48510</v>
      </c>
      <c r="K65" s="234">
        <v>23920</v>
      </c>
      <c r="L65" s="242">
        <v>31</v>
      </c>
      <c r="M65" s="308">
        <v>24590</v>
      </c>
      <c r="N65" s="234">
        <v>16967.099999999999</v>
      </c>
      <c r="O65" s="243" t="s">
        <v>533</v>
      </c>
      <c r="P65" s="236">
        <v>45881</v>
      </c>
      <c r="Q65" s="244">
        <v>0.33434027777777775</v>
      </c>
    </row>
    <row r="66" spans="1:17" ht="30.6" customHeight="1">
      <c r="A66" s="239" t="s">
        <v>481</v>
      </c>
      <c r="B66" s="240">
        <v>913</v>
      </c>
      <c r="C66" s="241">
        <v>29987</v>
      </c>
      <c r="D66" s="239" t="s">
        <v>396</v>
      </c>
      <c r="E66" s="239" t="s">
        <v>390</v>
      </c>
      <c r="F66" s="239" t="s">
        <v>391</v>
      </c>
      <c r="G66" s="239" t="s">
        <v>397</v>
      </c>
      <c r="H66" s="239" t="s">
        <v>398</v>
      </c>
      <c r="I66" s="239" t="s">
        <v>399</v>
      </c>
      <c r="J66" s="234">
        <v>36020</v>
      </c>
      <c r="K66" s="234">
        <v>14870</v>
      </c>
      <c r="L66" s="242">
        <v>23</v>
      </c>
      <c r="M66" s="308">
        <v>21150</v>
      </c>
      <c r="N66" s="234">
        <v>16285.5</v>
      </c>
      <c r="O66" s="243" t="s">
        <v>534</v>
      </c>
      <c r="P66" s="236">
        <v>45881</v>
      </c>
      <c r="Q66" s="244">
        <v>0.36873842592592593</v>
      </c>
    </row>
    <row r="67" spans="1:17" ht="30.6" customHeight="1">
      <c r="A67" s="239" t="s">
        <v>482</v>
      </c>
      <c r="B67" s="240">
        <v>914</v>
      </c>
      <c r="C67" s="241">
        <v>29991</v>
      </c>
      <c r="D67" s="239" t="s">
        <v>396</v>
      </c>
      <c r="E67" s="239" t="s">
        <v>413</v>
      </c>
      <c r="F67" s="239" t="s">
        <v>414</v>
      </c>
      <c r="G67" s="239" t="s">
        <v>397</v>
      </c>
      <c r="H67" s="239" t="s">
        <v>398</v>
      </c>
      <c r="I67" s="239" t="s">
        <v>399</v>
      </c>
      <c r="J67" s="234">
        <v>40380</v>
      </c>
      <c r="K67" s="234">
        <v>14930</v>
      </c>
      <c r="L67" s="242">
        <v>31</v>
      </c>
      <c r="M67" s="308">
        <v>25450</v>
      </c>
      <c r="N67" s="234">
        <v>17560.5</v>
      </c>
      <c r="O67" s="243" t="s">
        <v>535</v>
      </c>
      <c r="P67" s="236">
        <v>45881</v>
      </c>
      <c r="Q67" s="244">
        <v>0.43733796296296296</v>
      </c>
    </row>
    <row r="68" spans="1:17" ht="30.6" customHeight="1">
      <c r="A68" s="239" t="s">
        <v>483</v>
      </c>
      <c r="B68" s="240">
        <v>915</v>
      </c>
      <c r="C68" s="241">
        <v>29993</v>
      </c>
      <c r="D68" s="239" t="s">
        <v>396</v>
      </c>
      <c r="E68" s="239" t="s">
        <v>416</v>
      </c>
      <c r="F68" s="239" t="s">
        <v>417</v>
      </c>
      <c r="G68" s="239" t="s">
        <v>397</v>
      </c>
      <c r="H68" s="239" t="s">
        <v>398</v>
      </c>
      <c r="I68" s="239" t="s">
        <v>399</v>
      </c>
      <c r="J68" s="234">
        <v>37570</v>
      </c>
      <c r="K68" s="234">
        <v>14680</v>
      </c>
      <c r="L68" s="242">
        <v>32</v>
      </c>
      <c r="M68" s="308">
        <v>22890</v>
      </c>
      <c r="N68" s="234">
        <v>15565.2</v>
      </c>
      <c r="O68" s="243" t="s">
        <v>536</v>
      </c>
      <c r="P68" s="236">
        <v>45881</v>
      </c>
      <c r="Q68" s="244">
        <v>0.56695601851851851</v>
      </c>
    </row>
    <row r="69" spans="1:17" ht="30.6" customHeight="1">
      <c r="A69" s="239" t="s">
        <v>484</v>
      </c>
      <c r="B69" s="240">
        <v>916</v>
      </c>
      <c r="C69" s="241">
        <v>29997</v>
      </c>
      <c r="D69" s="239" t="s">
        <v>396</v>
      </c>
      <c r="E69" s="239" t="s">
        <v>456</v>
      </c>
      <c r="F69" s="239" t="s">
        <v>457</v>
      </c>
      <c r="G69" s="239" t="s">
        <v>397</v>
      </c>
      <c r="H69" s="239" t="s">
        <v>398</v>
      </c>
      <c r="I69" s="239" t="s">
        <v>399</v>
      </c>
      <c r="J69" s="234">
        <v>41630</v>
      </c>
      <c r="K69" s="234">
        <v>15440</v>
      </c>
      <c r="L69" s="242">
        <v>40</v>
      </c>
      <c r="M69" s="308">
        <v>26190</v>
      </c>
      <c r="N69" s="234">
        <v>15714</v>
      </c>
      <c r="O69" s="243" t="s">
        <v>537</v>
      </c>
      <c r="P69" s="236">
        <v>45881</v>
      </c>
      <c r="Q69" s="244">
        <v>0.6388194444444445</v>
      </c>
    </row>
    <row r="70" spans="1:17" ht="30.6" customHeight="1">
      <c r="A70" s="239" t="s">
        <v>485</v>
      </c>
      <c r="B70" s="240">
        <v>917</v>
      </c>
      <c r="C70" s="241">
        <v>29995</v>
      </c>
      <c r="D70" s="239" t="s">
        <v>396</v>
      </c>
      <c r="E70" s="239" t="s">
        <v>453</v>
      </c>
      <c r="F70" s="239" t="s">
        <v>454</v>
      </c>
      <c r="G70" s="239" t="s">
        <v>397</v>
      </c>
      <c r="H70" s="239" t="s">
        <v>398</v>
      </c>
      <c r="I70" s="239" t="s">
        <v>399</v>
      </c>
      <c r="J70" s="234">
        <v>48220</v>
      </c>
      <c r="K70" s="234">
        <v>23430</v>
      </c>
      <c r="L70" s="242">
        <v>34</v>
      </c>
      <c r="M70" s="308">
        <v>24790</v>
      </c>
      <c r="N70" s="234">
        <v>16361.4</v>
      </c>
      <c r="O70" s="243" t="s">
        <v>538</v>
      </c>
      <c r="P70" s="236">
        <v>45881</v>
      </c>
      <c r="Q70" s="244">
        <v>0.64480324074074069</v>
      </c>
    </row>
    <row r="71" spans="1:17" ht="30.6" customHeight="1">
      <c r="A71" s="239" t="s">
        <v>486</v>
      </c>
      <c r="B71" s="240">
        <v>920</v>
      </c>
      <c r="C71" s="241">
        <v>29999</v>
      </c>
      <c r="D71" s="239" t="s">
        <v>396</v>
      </c>
      <c r="E71" s="239" t="s">
        <v>1410</v>
      </c>
      <c r="F71" s="239" t="s">
        <v>437</v>
      </c>
      <c r="G71" s="239" t="s">
        <v>397</v>
      </c>
      <c r="H71" s="239" t="s">
        <v>398</v>
      </c>
      <c r="I71" s="239" t="s">
        <v>399</v>
      </c>
      <c r="J71" s="234">
        <v>38530</v>
      </c>
      <c r="K71" s="234">
        <v>14860</v>
      </c>
      <c r="L71" s="242">
        <v>31</v>
      </c>
      <c r="M71" s="308">
        <v>23670</v>
      </c>
      <c r="N71" s="234">
        <v>16332.3</v>
      </c>
      <c r="O71" s="243" t="s">
        <v>539</v>
      </c>
      <c r="P71" s="236">
        <v>45881</v>
      </c>
      <c r="Q71" s="244">
        <v>0.71603009259259254</v>
      </c>
    </row>
    <row r="72" spans="1:17" ht="30.6" customHeight="1">
      <c r="A72" s="239" t="s">
        <v>487</v>
      </c>
      <c r="B72" s="240">
        <v>921</v>
      </c>
      <c r="C72" s="245">
        <v>30001</v>
      </c>
      <c r="D72" s="239" t="s">
        <v>396</v>
      </c>
      <c r="E72" s="239" t="s">
        <v>439</v>
      </c>
      <c r="F72" s="239" t="s">
        <v>440</v>
      </c>
      <c r="G72" s="239" t="s">
        <v>397</v>
      </c>
      <c r="H72" s="239" t="s">
        <v>398</v>
      </c>
      <c r="I72" s="239" t="s">
        <v>399</v>
      </c>
      <c r="J72" s="234">
        <v>36940</v>
      </c>
      <c r="K72" s="234">
        <v>15010</v>
      </c>
      <c r="L72" s="242">
        <v>29</v>
      </c>
      <c r="M72" s="308">
        <v>21930</v>
      </c>
      <c r="N72" s="234">
        <v>15570.3</v>
      </c>
      <c r="O72" s="243" t="s">
        <v>540</v>
      </c>
      <c r="P72" s="236">
        <v>45881</v>
      </c>
      <c r="Q72" s="244">
        <v>0.72494212962962967</v>
      </c>
    </row>
    <row r="73" spans="1:17" ht="30.6" customHeight="1">
      <c r="A73" s="239" t="s">
        <v>488</v>
      </c>
      <c r="B73" s="240">
        <v>924</v>
      </c>
      <c r="C73" s="241">
        <v>110</v>
      </c>
      <c r="D73" s="239" t="s">
        <v>376</v>
      </c>
      <c r="E73" s="239" t="s">
        <v>372</v>
      </c>
      <c r="F73" s="239" t="s">
        <v>373</v>
      </c>
      <c r="G73" s="239"/>
      <c r="H73" s="239" t="s">
        <v>728</v>
      </c>
      <c r="I73" s="239" t="s">
        <v>371</v>
      </c>
      <c r="J73" s="234">
        <v>40080</v>
      </c>
      <c r="K73" s="234">
        <v>15110</v>
      </c>
      <c r="L73" s="242">
        <v>20</v>
      </c>
      <c r="M73" s="308">
        <v>24970</v>
      </c>
      <c r="N73" s="234">
        <v>19976</v>
      </c>
      <c r="O73" s="243" t="s">
        <v>541</v>
      </c>
      <c r="P73" s="236">
        <v>45881</v>
      </c>
      <c r="Q73" s="244">
        <v>0.82164351851851847</v>
      </c>
    </row>
    <row r="74" spans="1:17" ht="30.6" customHeight="1">
      <c r="A74" s="239" t="s">
        <v>489</v>
      </c>
      <c r="B74" s="240">
        <v>925</v>
      </c>
      <c r="C74" s="241">
        <v>111</v>
      </c>
      <c r="D74" s="239" t="s">
        <v>376</v>
      </c>
      <c r="E74" s="239" t="s">
        <v>369</v>
      </c>
      <c r="F74" s="239" t="s">
        <v>370</v>
      </c>
      <c r="G74" s="239"/>
      <c r="H74" s="239" t="s">
        <v>728</v>
      </c>
      <c r="I74" s="239" t="s">
        <v>371</v>
      </c>
      <c r="J74" s="234">
        <v>39940</v>
      </c>
      <c r="K74" s="234">
        <v>15110</v>
      </c>
      <c r="L74" s="242">
        <v>4</v>
      </c>
      <c r="M74" s="308">
        <v>24830</v>
      </c>
      <c r="N74" s="234">
        <v>23836.799999999999</v>
      </c>
      <c r="O74" s="243" t="s">
        <v>542</v>
      </c>
      <c r="P74" s="236">
        <v>45881</v>
      </c>
      <c r="Q74" s="244">
        <v>0.87946759259259255</v>
      </c>
    </row>
    <row r="75" spans="1:17" ht="30.6" customHeight="1">
      <c r="A75" s="239" t="s">
        <v>727</v>
      </c>
      <c r="B75" s="240">
        <v>926</v>
      </c>
      <c r="C75" s="241">
        <v>112</v>
      </c>
      <c r="D75" s="239" t="s">
        <v>376</v>
      </c>
      <c r="E75" s="239" t="s">
        <v>403</v>
      </c>
      <c r="F75" s="239" t="s">
        <v>404</v>
      </c>
      <c r="G75" s="239"/>
      <c r="H75" s="239" t="s">
        <v>728</v>
      </c>
      <c r="I75" s="239" t="s">
        <v>371</v>
      </c>
      <c r="J75" s="234">
        <v>42080</v>
      </c>
      <c r="K75" s="234">
        <v>14540</v>
      </c>
      <c r="L75" s="242">
        <v>4</v>
      </c>
      <c r="M75" s="308">
        <v>27540</v>
      </c>
      <c r="N75" s="234">
        <v>26438.400000000001</v>
      </c>
      <c r="O75" s="243" t="s">
        <v>752</v>
      </c>
      <c r="P75" s="236">
        <v>45881</v>
      </c>
      <c r="Q75" s="244">
        <v>0.76854166666666668</v>
      </c>
    </row>
    <row r="76" spans="1:17" ht="30.6" customHeight="1">
      <c r="A76" s="239" t="s">
        <v>729</v>
      </c>
      <c r="B76" s="240">
        <v>927</v>
      </c>
      <c r="C76" s="241">
        <v>113</v>
      </c>
      <c r="D76" s="239" t="s">
        <v>376</v>
      </c>
      <c r="E76" s="239" t="s">
        <v>406</v>
      </c>
      <c r="F76" s="239" t="s">
        <v>407</v>
      </c>
      <c r="G76" s="239"/>
      <c r="H76" s="239" t="s">
        <v>728</v>
      </c>
      <c r="I76" s="239" t="s">
        <v>371</v>
      </c>
      <c r="J76" s="234">
        <v>41830</v>
      </c>
      <c r="K76" s="234">
        <v>15090</v>
      </c>
      <c r="L76" s="242">
        <v>3</v>
      </c>
      <c r="M76" s="308">
        <v>26740</v>
      </c>
      <c r="N76" s="234">
        <v>25937.8</v>
      </c>
      <c r="O76" s="243" t="s">
        <v>753</v>
      </c>
      <c r="P76" s="236">
        <v>45881</v>
      </c>
      <c r="Q76" s="244">
        <v>0.77414351851851848</v>
      </c>
    </row>
    <row r="77" spans="1:17" ht="30.6" customHeight="1">
      <c r="A77" s="239" t="s">
        <v>730</v>
      </c>
      <c r="B77" s="240">
        <v>930</v>
      </c>
      <c r="C77" s="241">
        <v>114</v>
      </c>
      <c r="D77" s="239" t="s">
        <v>376</v>
      </c>
      <c r="E77" s="239" t="s">
        <v>377</v>
      </c>
      <c r="F77" s="239" t="s">
        <v>378</v>
      </c>
      <c r="G77" s="239"/>
      <c r="H77" s="239" t="s">
        <v>728</v>
      </c>
      <c r="I77" s="239" t="s">
        <v>371</v>
      </c>
      <c r="J77" s="234">
        <v>43510</v>
      </c>
      <c r="K77" s="234">
        <v>15130</v>
      </c>
      <c r="L77" s="242">
        <v>22</v>
      </c>
      <c r="M77" s="308">
        <v>28380</v>
      </c>
      <c r="N77" s="234">
        <v>22136.400000000001</v>
      </c>
      <c r="O77" s="243" t="s">
        <v>754</v>
      </c>
      <c r="P77" s="236">
        <v>45881</v>
      </c>
      <c r="Q77" s="244">
        <v>0.9261342592592593</v>
      </c>
    </row>
    <row r="78" spans="1:17" ht="30.6" customHeight="1">
      <c r="A78" s="239" t="s">
        <v>731</v>
      </c>
      <c r="B78" s="240">
        <v>931</v>
      </c>
      <c r="C78" s="241">
        <v>115</v>
      </c>
      <c r="D78" s="239" t="s">
        <v>376</v>
      </c>
      <c r="E78" s="239" t="s">
        <v>425</v>
      </c>
      <c r="F78" s="239" t="s">
        <v>426</v>
      </c>
      <c r="G78" s="239"/>
      <c r="H78" s="239" t="s">
        <v>728</v>
      </c>
      <c r="I78" s="239" t="s">
        <v>371</v>
      </c>
      <c r="J78" s="234">
        <v>49870</v>
      </c>
      <c r="K78" s="234">
        <v>18700</v>
      </c>
      <c r="L78" s="242">
        <v>32</v>
      </c>
      <c r="M78" s="308">
        <v>31170</v>
      </c>
      <c r="N78" s="234">
        <v>21195.599999999999</v>
      </c>
      <c r="O78" s="243" t="s">
        <v>755</v>
      </c>
      <c r="P78" s="236">
        <v>45881</v>
      </c>
      <c r="Q78" s="244">
        <v>0.92986111111111114</v>
      </c>
    </row>
    <row r="79" spans="1:17" ht="30.6" customHeight="1">
      <c r="A79" s="239" t="s">
        <v>734</v>
      </c>
      <c r="B79" s="240">
        <v>932</v>
      </c>
      <c r="C79" s="241">
        <v>116</v>
      </c>
      <c r="D79" s="239" t="s">
        <v>376</v>
      </c>
      <c r="E79" s="239" t="s">
        <v>432</v>
      </c>
      <c r="F79" s="239" t="s">
        <v>433</v>
      </c>
      <c r="G79" s="239"/>
      <c r="H79" s="239" t="s">
        <v>728</v>
      </c>
      <c r="I79" s="239" t="s">
        <v>371</v>
      </c>
      <c r="J79" s="234">
        <v>44940</v>
      </c>
      <c r="K79" s="234">
        <v>15670</v>
      </c>
      <c r="L79" s="242">
        <v>20</v>
      </c>
      <c r="M79" s="308">
        <v>29270</v>
      </c>
      <c r="N79" s="234">
        <v>23416</v>
      </c>
      <c r="O79" s="243" t="s">
        <v>758</v>
      </c>
      <c r="P79" s="236">
        <v>45882</v>
      </c>
      <c r="Q79" s="244">
        <v>0.40254629629629629</v>
      </c>
    </row>
    <row r="80" spans="1:17" ht="30.6" customHeight="1">
      <c r="A80" s="239" t="s">
        <v>733</v>
      </c>
      <c r="B80" s="240">
        <v>933</v>
      </c>
      <c r="C80" s="241">
        <v>117</v>
      </c>
      <c r="D80" s="239" t="s">
        <v>376</v>
      </c>
      <c r="E80" s="239" t="s">
        <v>413</v>
      </c>
      <c r="F80" s="239" t="s">
        <v>414</v>
      </c>
      <c r="G80" s="239"/>
      <c r="H80" s="239" t="s">
        <v>728</v>
      </c>
      <c r="I80" s="239" t="s">
        <v>371</v>
      </c>
      <c r="J80" s="234">
        <v>42950</v>
      </c>
      <c r="K80" s="234">
        <v>15010</v>
      </c>
      <c r="L80" s="242">
        <v>22</v>
      </c>
      <c r="M80" s="308">
        <v>27940</v>
      </c>
      <c r="N80" s="234">
        <v>21793.200000000001</v>
      </c>
      <c r="O80" s="243" t="s">
        <v>757</v>
      </c>
      <c r="P80" s="236">
        <v>45882</v>
      </c>
      <c r="Q80" s="244">
        <v>0.39966435185185184</v>
      </c>
    </row>
    <row r="81" spans="1:17" ht="30.6" customHeight="1">
      <c r="A81" s="239" t="s">
        <v>735</v>
      </c>
      <c r="B81" s="240">
        <v>934</v>
      </c>
      <c r="C81" s="241">
        <v>118</v>
      </c>
      <c r="D81" s="239" t="s">
        <v>376</v>
      </c>
      <c r="E81" s="239" t="s">
        <v>400</v>
      </c>
      <c r="F81" s="239" t="s">
        <v>401</v>
      </c>
      <c r="G81" s="239"/>
      <c r="H81" s="239" t="s">
        <v>728</v>
      </c>
      <c r="I81" s="239" t="s">
        <v>371</v>
      </c>
      <c r="J81" s="234">
        <v>40290</v>
      </c>
      <c r="K81" s="234">
        <v>14760</v>
      </c>
      <c r="L81" s="242">
        <v>34</v>
      </c>
      <c r="M81" s="308">
        <v>25530</v>
      </c>
      <c r="N81" s="234">
        <v>16849.8</v>
      </c>
      <c r="O81" s="243" t="s">
        <v>759</v>
      </c>
      <c r="P81" s="236">
        <v>45882</v>
      </c>
      <c r="Q81" s="244">
        <v>0.40303240740740742</v>
      </c>
    </row>
    <row r="82" spans="1:17" ht="30.6" customHeight="1">
      <c r="A82" s="239" t="s">
        <v>732</v>
      </c>
      <c r="B82" s="240">
        <v>935</v>
      </c>
      <c r="C82" s="241">
        <v>119</v>
      </c>
      <c r="D82" s="239" t="s">
        <v>376</v>
      </c>
      <c r="E82" s="239" t="s">
        <v>388</v>
      </c>
      <c r="F82" s="239" t="s">
        <v>389</v>
      </c>
      <c r="G82" s="239"/>
      <c r="H82" s="239" t="s">
        <v>728</v>
      </c>
      <c r="I82" s="239" t="s">
        <v>371</v>
      </c>
      <c r="J82" s="234">
        <v>56270</v>
      </c>
      <c r="K82" s="234">
        <v>20960</v>
      </c>
      <c r="L82" s="242">
        <v>19</v>
      </c>
      <c r="M82" s="308">
        <v>35310</v>
      </c>
      <c r="N82" s="234">
        <v>28601.1</v>
      </c>
      <c r="O82" s="243" t="s">
        <v>756</v>
      </c>
      <c r="P82" s="236">
        <v>45882</v>
      </c>
      <c r="Q82" s="244">
        <v>0.39358796296296295</v>
      </c>
    </row>
    <row r="83" spans="1:17" ht="30.6" customHeight="1">
      <c r="A83" s="239" t="s">
        <v>739</v>
      </c>
      <c r="B83" s="240">
        <v>936</v>
      </c>
      <c r="C83" s="241">
        <v>121</v>
      </c>
      <c r="D83" s="239" t="s">
        <v>376</v>
      </c>
      <c r="E83" s="239" t="s">
        <v>392</v>
      </c>
      <c r="F83" s="239" t="s">
        <v>393</v>
      </c>
      <c r="G83" s="239"/>
      <c r="H83" s="239" t="s">
        <v>728</v>
      </c>
      <c r="I83" s="239" t="s">
        <v>371</v>
      </c>
      <c r="J83" s="234">
        <v>63600</v>
      </c>
      <c r="K83" s="234">
        <v>24160</v>
      </c>
      <c r="L83" s="242">
        <v>10</v>
      </c>
      <c r="M83" s="308">
        <v>39440</v>
      </c>
      <c r="N83" s="234">
        <v>35496</v>
      </c>
      <c r="O83" s="243" t="s">
        <v>763</v>
      </c>
      <c r="P83" s="236">
        <v>45882</v>
      </c>
      <c r="Q83" s="244">
        <v>0.66552083333333334</v>
      </c>
    </row>
    <row r="84" spans="1:17" ht="30.6" customHeight="1">
      <c r="A84" s="239" t="s">
        <v>736</v>
      </c>
      <c r="B84" s="240">
        <v>937</v>
      </c>
      <c r="C84" s="241">
        <v>120</v>
      </c>
      <c r="D84" s="239" t="s">
        <v>376</v>
      </c>
      <c r="E84" s="239" t="s">
        <v>390</v>
      </c>
      <c r="F84" s="239" t="s">
        <v>391</v>
      </c>
      <c r="G84" s="239"/>
      <c r="H84" s="239" t="s">
        <v>728</v>
      </c>
      <c r="I84" s="239" t="s">
        <v>371</v>
      </c>
      <c r="J84" s="234">
        <v>39300</v>
      </c>
      <c r="K84" s="234">
        <v>14950</v>
      </c>
      <c r="L84" s="242">
        <v>13</v>
      </c>
      <c r="M84" s="308">
        <v>24350</v>
      </c>
      <c r="N84" s="234">
        <v>21184.5</v>
      </c>
      <c r="O84" s="243" t="s">
        <v>760</v>
      </c>
      <c r="P84" s="236">
        <v>45882</v>
      </c>
      <c r="Q84" s="244">
        <v>0.5621990740740741</v>
      </c>
    </row>
    <row r="85" spans="1:17" ht="30.6" customHeight="1">
      <c r="A85" s="239" t="s">
        <v>737</v>
      </c>
      <c r="B85" s="240">
        <v>939</v>
      </c>
      <c r="C85" s="241">
        <v>122</v>
      </c>
      <c r="D85" s="239" t="s">
        <v>376</v>
      </c>
      <c r="E85" s="239" t="s">
        <v>453</v>
      </c>
      <c r="F85" s="239" t="s">
        <v>454</v>
      </c>
      <c r="G85" s="239"/>
      <c r="H85" s="239" t="s">
        <v>728</v>
      </c>
      <c r="I85" s="239" t="s">
        <v>371</v>
      </c>
      <c r="J85" s="234">
        <v>52350</v>
      </c>
      <c r="K85" s="234">
        <v>23450</v>
      </c>
      <c r="L85" s="242">
        <v>10</v>
      </c>
      <c r="M85" s="308">
        <v>28900</v>
      </c>
      <c r="N85" s="234">
        <v>26010</v>
      </c>
      <c r="O85" s="243" t="s">
        <v>761</v>
      </c>
      <c r="P85" s="236">
        <v>45882</v>
      </c>
      <c r="Q85" s="244">
        <v>0.62261574074074078</v>
      </c>
    </row>
    <row r="86" spans="1:17" ht="30.6" customHeight="1">
      <c r="A86" s="239" t="s">
        <v>738</v>
      </c>
      <c r="B86" s="240">
        <v>940</v>
      </c>
      <c r="C86" s="241">
        <v>123</v>
      </c>
      <c r="D86" s="239" t="s">
        <v>376</v>
      </c>
      <c r="E86" s="239" t="s">
        <v>456</v>
      </c>
      <c r="F86" s="239" t="s">
        <v>457</v>
      </c>
      <c r="G86" s="239"/>
      <c r="H86" s="239" t="s">
        <v>728</v>
      </c>
      <c r="I86" s="239" t="s">
        <v>371</v>
      </c>
      <c r="J86" s="234">
        <v>43100</v>
      </c>
      <c r="K86" s="234">
        <v>15640</v>
      </c>
      <c r="L86" s="242">
        <v>15</v>
      </c>
      <c r="M86" s="308">
        <v>27460</v>
      </c>
      <c r="N86" s="234">
        <v>23341</v>
      </c>
      <c r="O86" s="243" t="s">
        <v>762</v>
      </c>
      <c r="P86" s="236">
        <v>45882</v>
      </c>
      <c r="Q86" s="244">
        <v>0.65469907407407413</v>
      </c>
    </row>
    <row r="87" spans="1:17" ht="30.6" customHeight="1">
      <c r="A87" s="239" t="s">
        <v>740</v>
      </c>
      <c r="B87" s="240">
        <v>941</v>
      </c>
      <c r="C87" s="241">
        <v>124</v>
      </c>
      <c r="D87" s="239" t="s">
        <v>376</v>
      </c>
      <c r="E87" s="239" t="s">
        <v>1410</v>
      </c>
      <c r="F87" s="239" t="s">
        <v>437</v>
      </c>
      <c r="G87" s="239"/>
      <c r="H87" s="239" t="s">
        <v>728</v>
      </c>
      <c r="I87" s="239" t="s">
        <v>371</v>
      </c>
      <c r="J87" s="234">
        <v>41440</v>
      </c>
      <c r="K87" s="234">
        <v>14910</v>
      </c>
      <c r="L87" s="242">
        <v>9</v>
      </c>
      <c r="M87" s="308">
        <v>26530</v>
      </c>
      <c r="N87" s="234">
        <v>24142.3</v>
      </c>
      <c r="O87" s="243" t="s">
        <v>764</v>
      </c>
      <c r="P87" s="236">
        <v>45882</v>
      </c>
      <c r="Q87" s="244">
        <v>0.67547453703703708</v>
      </c>
    </row>
    <row r="88" spans="1:17" ht="30.6" customHeight="1">
      <c r="A88" s="239" t="s">
        <v>741</v>
      </c>
      <c r="B88" s="240">
        <v>942</v>
      </c>
      <c r="C88" s="241">
        <v>125</v>
      </c>
      <c r="D88" s="239" t="s">
        <v>376</v>
      </c>
      <c r="E88" s="239" t="s">
        <v>439</v>
      </c>
      <c r="F88" s="239" t="s">
        <v>440</v>
      </c>
      <c r="G88" s="239"/>
      <c r="H88" s="239" t="s">
        <v>728</v>
      </c>
      <c r="I88" s="239" t="s">
        <v>371</v>
      </c>
      <c r="J88" s="234">
        <v>40150</v>
      </c>
      <c r="K88" s="234">
        <v>15130</v>
      </c>
      <c r="L88" s="242">
        <v>9</v>
      </c>
      <c r="M88" s="308">
        <v>25020</v>
      </c>
      <c r="N88" s="234">
        <v>22768.2</v>
      </c>
      <c r="O88" s="243" t="s">
        <v>765</v>
      </c>
      <c r="P88" s="236">
        <v>45882</v>
      </c>
      <c r="Q88" s="244">
        <v>0.68517361111111108</v>
      </c>
    </row>
    <row r="89" spans="1:17" ht="30.6" customHeight="1">
      <c r="A89" s="239" t="s">
        <v>742</v>
      </c>
      <c r="B89" s="240">
        <v>944</v>
      </c>
      <c r="C89" s="241">
        <v>127</v>
      </c>
      <c r="D89" s="239" t="s">
        <v>376</v>
      </c>
      <c r="E89" s="239" t="s">
        <v>382</v>
      </c>
      <c r="F89" s="239" t="s">
        <v>383</v>
      </c>
      <c r="G89" s="239"/>
      <c r="H89" s="239" t="s">
        <v>728</v>
      </c>
      <c r="I89" s="239" t="s">
        <v>371</v>
      </c>
      <c r="J89" s="234">
        <v>39350</v>
      </c>
      <c r="K89" s="234">
        <v>14580</v>
      </c>
      <c r="L89" s="242">
        <v>13</v>
      </c>
      <c r="M89" s="308">
        <v>24770</v>
      </c>
      <c r="N89" s="234">
        <v>21549.9</v>
      </c>
      <c r="O89" s="243" t="s">
        <v>766</v>
      </c>
      <c r="P89" s="236">
        <v>45882</v>
      </c>
      <c r="Q89" s="244">
        <v>0.72057870370370369</v>
      </c>
    </row>
    <row r="90" spans="1:17" ht="30.6" customHeight="1">
      <c r="A90" s="239" t="s">
        <v>743</v>
      </c>
      <c r="B90" s="240">
        <v>945</v>
      </c>
      <c r="C90" s="241">
        <v>126</v>
      </c>
      <c r="D90" s="239" t="s">
        <v>376</v>
      </c>
      <c r="E90" s="239" t="s">
        <v>447</v>
      </c>
      <c r="F90" s="239" t="s">
        <v>448</v>
      </c>
      <c r="G90" s="239"/>
      <c r="H90" s="239" t="s">
        <v>728</v>
      </c>
      <c r="I90" s="239" t="s">
        <v>371</v>
      </c>
      <c r="J90" s="234">
        <v>51680</v>
      </c>
      <c r="K90" s="234">
        <v>19490</v>
      </c>
      <c r="L90" s="242">
        <v>4</v>
      </c>
      <c r="M90" s="308">
        <v>32190</v>
      </c>
      <c r="N90" s="234">
        <v>30902.400000000001</v>
      </c>
      <c r="O90" s="243" t="s">
        <v>767</v>
      </c>
      <c r="P90" s="236">
        <v>45882</v>
      </c>
      <c r="Q90" s="244">
        <v>0.7724537037037037</v>
      </c>
    </row>
    <row r="91" spans="1:17" ht="30.6" customHeight="1">
      <c r="A91" s="239" t="s">
        <v>744</v>
      </c>
      <c r="B91" s="240">
        <v>946</v>
      </c>
      <c r="C91" s="241">
        <v>129</v>
      </c>
      <c r="D91" s="239" t="s">
        <v>376</v>
      </c>
      <c r="E91" s="239" t="s">
        <v>384</v>
      </c>
      <c r="F91" s="239" t="s">
        <v>385</v>
      </c>
      <c r="G91" s="239"/>
      <c r="H91" s="239" t="s">
        <v>728</v>
      </c>
      <c r="I91" s="239" t="s">
        <v>371</v>
      </c>
      <c r="J91" s="234">
        <v>38460</v>
      </c>
      <c r="K91" s="234">
        <v>13980</v>
      </c>
      <c r="L91" s="242">
        <v>5</v>
      </c>
      <c r="M91" s="308">
        <v>24480</v>
      </c>
      <c r="N91" s="234">
        <v>23256</v>
      </c>
      <c r="O91" s="243" t="s">
        <v>768</v>
      </c>
      <c r="P91" s="236">
        <v>45882</v>
      </c>
      <c r="Q91" s="244">
        <v>0.79223379629629631</v>
      </c>
    </row>
    <row r="92" spans="1:17" ht="30.6" customHeight="1">
      <c r="A92" s="239" t="s">
        <v>746</v>
      </c>
      <c r="B92" s="240">
        <v>947</v>
      </c>
      <c r="C92" s="241">
        <v>131</v>
      </c>
      <c r="D92" s="239" t="s">
        <v>376</v>
      </c>
      <c r="E92" s="239" t="s">
        <v>386</v>
      </c>
      <c r="F92" s="239" t="s">
        <v>387</v>
      </c>
      <c r="G92" s="239"/>
      <c r="H92" s="239" t="s">
        <v>728</v>
      </c>
      <c r="I92" s="239" t="s">
        <v>371</v>
      </c>
      <c r="J92" s="234">
        <v>43230</v>
      </c>
      <c r="K92" s="234">
        <v>15390</v>
      </c>
      <c r="L92" s="242">
        <v>4</v>
      </c>
      <c r="M92" s="308">
        <v>27840</v>
      </c>
      <c r="N92" s="234">
        <v>26726.400000000001</v>
      </c>
      <c r="O92" s="243" t="s">
        <v>770</v>
      </c>
      <c r="P92" s="236">
        <v>45882</v>
      </c>
      <c r="Q92" s="244">
        <v>0.88405092592592593</v>
      </c>
    </row>
    <row r="93" spans="1:17" ht="30.6" customHeight="1">
      <c r="A93" s="239" t="s">
        <v>747</v>
      </c>
      <c r="B93" s="240">
        <v>948</v>
      </c>
      <c r="C93" s="241">
        <v>110</v>
      </c>
      <c r="D93" s="239" t="s">
        <v>376</v>
      </c>
      <c r="E93" s="239" t="s">
        <v>372</v>
      </c>
      <c r="F93" s="239" t="s">
        <v>373</v>
      </c>
      <c r="G93" s="239"/>
      <c r="H93" s="239" t="s">
        <v>728</v>
      </c>
      <c r="I93" s="239" t="s">
        <v>371</v>
      </c>
      <c r="J93" s="234">
        <v>41550</v>
      </c>
      <c r="K93" s="234">
        <v>15130</v>
      </c>
      <c r="L93" s="242">
        <v>10</v>
      </c>
      <c r="M93" s="308">
        <v>26420</v>
      </c>
      <c r="N93" s="234">
        <v>23778</v>
      </c>
      <c r="O93" s="243" t="s">
        <v>771</v>
      </c>
      <c r="P93" s="236">
        <v>45882</v>
      </c>
      <c r="Q93" s="244">
        <v>0.89945601851851853</v>
      </c>
    </row>
    <row r="94" spans="1:17" ht="30.6" customHeight="1">
      <c r="A94" s="239" t="s">
        <v>745</v>
      </c>
      <c r="B94" s="240">
        <v>949</v>
      </c>
      <c r="C94" s="241">
        <v>132</v>
      </c>
      <c r="D94" s="239" t="s">
        <v>376</v>
      </c>
      <c r="E94" s="239" t="s">
        <v>377</v>
      </c>
      <c r="F94" s="239" t="s">
        <v>378</v>
      </c>
      <c r="G94" s="239"/>
      <c r="H94" s="239" t="s">
        <v>728</v>
      </c>
      <c r="I94" s="239" t="s">
        <v>371</v>
      </c>
      <c r="J94" s="234">
        <v>41190</v>
      </c>
      <c r="K94" s="234">
        <v>15150</v>
      </c>
      <c r="L94" s="242">
        <v>18</v>
      </c>
      <c r="M94" s="308">
        <v>26040</v>
      </c>
      <c r="N94" s="234">
        <v>21352.799999999999</v>
      </c>
      <c r="O94" s="243" t="s">
        <v>769</v>
      </c>
      <c r="P94" s="236">
        <v>45882</v>
      </c>
      <c r="Q94" s="244">
        <v>0.81048611111111113</v>
      </c>
    </row>
    <row r="95" spans="1:17" ht="30.6" customHeight="1">
      <c r="A95" s="239" t="s">
        <v>748</v>
      </c>
      <c r="B95" s="240">
        <v>950</v>
      </c>
      <c r="C95" s="241">
        <v>135</v>
      </c>
      <c r="D95" s="239" t="s">
        <v>376</v>
      </c>
      <c r="E95" s="239" t="s">
        <v>403</v>
      </c>
      <c r="F95" s="239" t="s">
        <v>404</v>
      </c>
      <c r="G95" s="239"/>
      <c r="H95" s="239" t="s">
        <v>728</v>
      </c>
      <c r="I95" s="239" t="s">
        <v>371</v>
      </c>
      <c r="J95" s="234">
        <v>43580</v>
      </c>
      <c r="K95" s="234">
        <v>14520</v>
      </c>
      <c r="L95" s="242">
        <v>17</v>
      </c>
      <c r="M95" s="308">
        <v>29060</v>
      </c>
      <c r="N95" s="234">
        <v>24119.8</v>
      </c>
      <c r="O95" s="243" t="s">
        <v>772</v>
      </c>
      <c r="P95" s="236">
        <v>45883</v>
      </c>
      <c r="Q95" s="244">
        <v>1.2847222222222222E-2</v>
      </c>
    </row>
    <row r="96" spans="1:17" ht="30.6" customHeight="1">
      <c r="A96" s="239" t="s">
        <v>749</v>
      </c>
      <c r="B96" s="240">
        <v>951</v>
      </c>
      <c r="C96" s="241">
        <v>136</v>
      </c>
      <c r="D96" s="239" t="s">
        <v>376</v>
      </c>
      <c r="E96" s="239" t="s">
        <v>406</v>
      </c>
      <c r="F96" s="239" t="s">
        <v>407</v>
      </c>
      <c r="G96" s="239"/>
      <c r="H96" s="239" t="s">
        <v>728</v>
      </c>
      <c r="I96" s="239" t="s">
        <v>371</v>
      </c>
      <c r="J96" s="234">
        <v>42250</v>
      </c>
      <c r="K96" s="234">
        <v>15130</v>
      </c>
      <c r="L96" s="242">
        <v>4</v>
      </c>
      <c r="M96" s="308">
        <v>27120</v>
      </c>
      <c r="N96" s="234">
        <v>26035.200000000001</v>
      </c>
      <c r="O96" s="243" t="s">
        <v>773</v>
      </c>
      <c r="P96" s="236">
        <v>45883</v>
      </c>
      <c r="Q96" s="244">
        <v>1.8032407407407407E-2</v>
      </c>
    </row>
    <row r="97" spans="1:17" ht="30.6" customHeight="1">
      <c r="A97" s="239" t="s">
        <v>788</v>
      </c>
      <c r="B97" s="240">
        <v>952</v>
      </c>
      <c r="C97" s="241">
        <v>30004</v>
      </c>
      <c r="D97" s="239" t="s">
        <v>396</v>
      </c>
      <c r="E97" s="239" t="s">
        <v>380</v>
      </c>
      <c r="F97" s="239" t="s">
        <v>381</v>
      </c>
      <c r="G97" s="239" t="s">
        <v>750</v>
      </c>
      <c r="H97" s="239" t="s">
        <v>777</v>
      </c>
      <c r="I97" s="239" t="s">
        <v>399</v>
      </c>
      <c r="J97" s="234">
        <v>35530</v>
      </c>
      <c r="K97" s="234">
        <v>15060</v>
      </c>
      <c r="L97" s="242">
        <v>6</v>
      </c>
      <c r="M97" s="308">
        <v>20470</v>
      </c>
      <c r="N97" s="234">
        <v>19241.8</v>
      </c>
      <c r="O97" s="243" t="s">
        <v>774</v>
      </c>
      <c r="P97" s="236">
        <v>45883</v>
      </c>
      <c r="Q97" s="244">
        <v>0.38261574074074073</v>
      </c>
    </row>
    <row r="98" spans="1:17" ht="30.6" customHeight="1">
      <c r="A98" s="239" t="s">
        <v>789</v>
      </c>
      <c r="B98" s="240">
        <v>953</v>
      </c>
      <c r="C98" s="241">
        <v>30006</v>
      </c>
      <c r="D98" s="239" t="s">
        <v>396</v>
      </c>
      <c r="E98" s="239" t="s">
        <v>410</v>
      </c>
      <c r="F98" s="239" t="s">
        <v>411</v>
      </c>
      <c r="G98" s="239" t="s">
        <v>750</v>
      </c>
      <c r="H98" s="239" t="s">
        <v>777</v>
      </c>
      <c r="I98" s="239" t="s">
        <v>399</v>
      </c>
      <c r="J98" s="234">
        <v>36240</v>
      </c>
      <c r="K98" s="234">
        <v>14980</v>
      </c>
      <c r="L98" s="242">
        <v>16</v>
      </c>
      <c r="M98" s="308">
        <v>21260</v>
      </c>
      <c r="N98" s="234">
        <v>17858.400000000001</v>
      </c>
      <c r="O98" s="243" t="s">
        <v>775</v>
      </c>
      <c r="P98" s="236">
        <v>45883</v>
      </c>
      <c r="Q98" s="244">
        <v>0.38701388888888888</v>
      </c>
    </row>
    <row r="99" spans="1:17" ht="30.6" customHeight="1">
      <c r="A99" s="239" t="s">
        <v>751</v>
      </c>
      <c r="B99" s="240">
        <v>954</v>
      </c>
      <c r="C99" s="241">
        <v>30017</v>
      </c>
      <c r="D99" s="239" t="s">
        <v>396</v>
      </c>
      <c r="E99" s="239" t="s">
        <v>420</v>
      </c>
      <c r="F99" s="239" t="s">
        <v>421</v>
      </c>
      <c r="G99" s="239" t="s">
        <v>750</v>
      </c>
      <c r="H99" s="239" t="s">
        <v>777</v>
      </c>
      <c r="I99" s="239" t="s">
        <v>399</v>
      </c>
      <c r="J99" s="234">
        <v>34280</v>
      </c>
      <c r="K99" s="234">
        <v>14870</v>
      </c>
      <c r="L99" s="242">
        <v>16</v>
      </c>
      <c r="M99" s="308">
        <v>19410</v>
      </c>
      <c r="N99" s="234">
        <v>16304.4</v>
      </c>
      <c r="O99" s="243" t="s">
        <v>776</v>
      </c>
      <c r="P99" s="236">
        <v>45883</v>
      </c>
      <c r="Q99" s="244">
        <v>0.31100694444444443</v>
      </c>
    </row>
    <row r="100" spans="1:17" ht="63.75">
      <c r="A100" s="239" t="s">
        <v>778</v>
      </c>
      <c r="B100" s="240">
        <v>955</v>
      </c>
      <c r="C100" s="241">
        <v>30043</v>
      </c>
      <c r="D100" s="239" t="s">
        <v>396</v>
      </c>
      <c r="E100" s="239" t="s">
        <v>442</v>
      </c>
      <c r="F100" s="239" t="s">
        <v>443</v>
      </c>
      <c r="G100" s="239" t="s">
        <v>750</v>
      </c>
      <c r="H100" s="239" t="s">
        <v>777</v>
      </c>
      <c r="I100" s="239" t="s">
        <v>399</v>
      </c>
      <c r="J100" s="234">
        <v>33340</v>
      </c>
      <c r="K100" s="234">
        <v>14470</v>
      </c>
      <c r="L100" s="242">
        <v>29</v>
      </c>
      <c r="M100" s="308">
        <v>18870</v>
      </c>
      <c r="N100" s="234">
        <v>13397.7</v>
      </c>
      <c r="O100" s="243" t="s">
        <v>796</v>
      </c>
      <c r="P100" s="236">
        <v>45883</v>
      </c>
      <c r="Q100" s="244">
        <v>0.33280092592592592</v>
      </c>
    </row>
    <row r="101" spans="1:17" ht="63.75">
      <c r="A101" s="239" t="s">
        <v>779</v>
      </c>
      <c r="B101" s="240">
        <v>956</v>
      </c>
      <c r="C101" s="241">
        <v>30045</v>
      </c>
      <c r="D101" s="239" t="s">
        <v>396</v>
      </c>
      <c r="E101" s="239" t="s">
        <v>780</v>
      </c>
      <c r="F101" s="239" t="s">
        <v>781</v>
      </c>
      <c r="G101" s="239" t="s">
        <v>750</v>
      </c>
      <c r="H101" s="239" t="s">
        <v>777</v>
      </c>
      <c r="I101" s="239" t="s">
        <v>399</v>
      </c>
      <c r="J101" s="234">
        <v>33680</v>
      </c>
      <c r="K101" s="234">
        <v>14890</v>
      </c>
      <c r="L101" s="242">
        <v>12</v>
      </c>
      <c r="M101" s="308">
        <v>18790</v>
      </c>
      <c r="N101" s="234">
        <v>16535.2</v>
      </c>
      <c r="O101" s="243" t="s">
        <v>797</v>
      </c>
      <c r="P101" s="236">
        <v>45883</v>
      </c>
      <c r="Q101" s="244">
        <v>0.33578703703703705</v>
      </c>
    </row>
    <row r="102" spans="1:17" ht="63.75">
      <c r="A102" s="239" t="s">
        <v>782</v>
      </c>
      <c r="B102" s="240">
        <v>958</v>
      </c>
      <c r="C102" s="241">
        <v>30091</v>
      </c>
      <c r="D102" s="239" t="s">
        <v>396</v>
      </c>
      <c r="E102" s="239" t="s">
        <v>783</v>
      </c>
      <c r="F102" s="239" t="s">
        <v>784</v>
      </c>
      <c r="G102" s="239" t="s">
        <v>750</v>
      </c>
      <c r="H102" s="239" t="s">
        <v>777</v>
      </c>
      <c r="I102" s="239" t="s">
        <v>399</v>
      </c>
      <c r="J102" s="234">
        <v>37090</v>
      </c>
      <c r="K102" s="234">
        <v>14660</v>
      </c>
      <c r="L102" s="242">
        <v>20</v>
      </c>
      <c r="M102" s="308">
        <v>22430</v>
      </c>
      <c r="N102" s="234">
        <v>17944</v>
      </c>
      <c r="O102" s="243" t="s">
        <v>798</v>
      </c>
      <c r="P102" s="236">
        <v>45883</v>
      </c>
      <c r="Q102" s="244">
        <v>0.35300925925925924</v>
      </c>
    </row>
    <row r="103" spans="1:17" ht="63.75">
      <c r="A103" s="239" t="s">
        <v>785</v>
      </c>
      <c r="B103" s="240">
        <v>959</v>
      </c>
      <c r="C103" s="241">
        <v>30089</v>
      </c>
      <c r="D103" s="239" t="s">
        <v>396</v>
      </c>
      <c r="E103" s="239" t="s">
        <v>786</v>
      </c>
      <c r="F103" s="239" t="s">
        <v>787</v>
      </c>
      <c r="G103" s="239" t="s">
        <v>750</v>
      </c>
      <c r="H103" s="239" t="s">
        <v>777</v>
      </c>
      <c r="I103" s="239" t="s">
        <v>399</v>
      </c>
      <c r="J103" s="234">
        <v>33150</v>
      </c>
      <c r="K103" s="234">
        <v>14010</v>
      </c>
      <c r="L103" s="242">
        <v>20</v>
      </c>
      <c r="M103" s="308">
        <v>19140</v>
      </c>
      <c r="N103" s="234">
        <v>15312</v>
      </c>
      <c r="O103" s="243" t="s">
        <v>799</v>
      </c>
      <c r="P103" s="236">
        <v>45883</v>
      </c>
      <c r="Q103" s="244">
        <v>0.36156250000000001</v>
      </c>
    </row>
    <row r="104" spans="1:17" ht="63.75">
      <c r="A104" s="239" t="s">
        <v>790</v>
      </c>
      <c r="B104" s="240">
        <v>961</v>
      </c>
      <c r="C104" s="241">
        <v>30093</v>
      </c>
      <c r="D104" s="239" t="s">
        <v>396</v>
      </c>
      <c r="E104" s="239" t="s">
        <v>791</v>
      </c>
      <c r="F104" s="239" t="s">
        <v>792</v>
      </c>
      <c r="G104" s="239" t="s">
        <v>750</v>
      </c>
      <c r="H104" s="239" t="s">
        <v>777</v>
      </c>
      <c r="I104" s="239" t="s">
        <v>399</v>
      </c>
      <c r="J104" s="234">
        <v>36520</v>
      </c>
      <c r="K104" s="234">
        <v>14980</v>
      </c>
      <c r="L104" s="242">
        <v>21</v>
      </c>
      <c r="M104" s="308">
        <v>21540</v>
      </c>
      <c r="N104" s="234">
        <v>17016.599999999999</v>
      </c>
      <c r="O104" s="243" t="s">
        <v>800</v>
      </c>
      <c r="P104" s="236">
        <v>45883</v>
      </c>
      <c r="Q104" s="244">
        <v>0.41915509259259259</v>
      </c>
    </row>
    <row r="105" spans="1:17" ht="63.75">
      <c r="A105" s="239" t="s">
        <v>793</v>
      </c>
      <c r="B105" s="240">
        <v>962</v>
      </c>
      <c r="C105" s="241">
        <v>30095</v>
      </c>
      <c r="D105" s="239" t="s">
        <v>396</v>
      </c>
      <c r="E105" s="239" t="s">
        <v>794</v>
      </c>
      <c r="F105" s="239" t="s">
        <v>795</v>
      </c>
      <c r="G105" s="239" t="s">
        <v>750</v>
      </c>
      <c r="H105" s="239" t="s">
        <v>777</v>
      </c>
      <c r="I105" s="239" t="s">
        <v>399</v>
      </c>
      <c r="J105" s="234">
        <v>39640</v>
      </c>
      <c r="K105" s="234">
        <v>16100</v>
      </c>
      <c r="L105" s="242">
        <v>13</v>
      </c>
      <c r="M105" s="308">
        <v>23540</v>
      </c>
      <c r="N105" s="234">
        <v>20479.8</v>
      </c>
      <c r="O105" s="243" t="s">
        <v>801</v>
      </c>
      <c r="P105" s="236">
        <v>45883</v>
      </c>
      <c r="Q105" s="244">
        <v>0.46710648148148148</v>
      </c>
    </row>
    <row r="106" spans="1:17" ht="63.75">
      <c r="A106" s="239" t="s">
        <v>844</v>
      </c>
      <c r="B106" s="240">
        <v>964</v>
      </c>
      <c r="C106" s="241">
        <v>30097</v>
      </c>
      <c r="D106" s="239" t="s">
        <v>396</v>
      </c>
      <c r="E106" s="239" t="s">
        <v>841</v>
      </c>
      <c r="F106" s="239" t="s">
        <v>845</v>
      </c>
      <c r="G106" s="239" t="s">
        <v>750</v>
      </c>
      <c r="H106" s="239" t="s">
        <v>777</v>
      </c>
      <c r="I106" s="239" t="s">
        <v>399</v>
      </c>
      <c r="J106" s="234">
        <v>39460</v>
      </c>
      <c r="K106" s="234">
        <v>15920</v>
      </c>
      <c r="L106" s="242">
        <v>12</v>
      </c>
      <c r="M106" s="308">
        <v>23540</v>
      </c>
      <c r="N106" s="234">
        <v>20715.2</v>
      </c>
      <c r="O106" s="243" t="s">
        <v>876</v>
      </c>
      <c r="P106" s="236">
        <v>45883</v>
      </c>
      <c r="Q106" s="244">
        <v>0.51106481481481481</v>
      </c>
    </row>
    <row r="107" spans="1:17" ht="63.75">
      <c r="A107" s="239" t="s">
        <v>846</v>
      </c>
      <c r="B107" s="240">
        <v>967</v>
      </c>
      <c r="C107" s="241">
        <v>30099</v>
      </c>
      <c r="D107" s="239" t="s">
        <v>396</v>
      </c>
      <c r="E107" s="239" t="s">
        <v>413</v>
      </c>
      <c r="F107" s="239" t="s">
        <v>414</v>
      </c>
      <c r="G107" s="239" t="s">
        <v>750</v>
      </c>
      <c r="H107" s="239" t="s">
        <v>777</v>
      </c>
      <c r="I107" s="239" t="s">
        <v>399</v>
      </c>
      <c r="J107" s="234">
        <v>40140</v>
      </c>
      <c r="K107" s="234">
        <v>14920</v>
      </c>
      <c r="L107" s="242">
        <v>37</v>
      </c>
      <c r="M107" s="308">
        <v>25220</v>
      </c>
      <c r="N107" s="234">
        <v>15888.6</v>
      </c>
      <c r="O107" s="243" t="s">
        <v>877</v>
      </c>
      <c r="P107" s="236">
        <v>45883</v>
      </c>
      <c r="Q107" s="244">
        <v>0.65939814814814812</v>
      </c>
    </row>
    <row r="108" spans="1:17" ht="63.75">
      <c r="A108" s="239" t="s">
        <v>847</v>
      </c>
      <c r="B108" s="240">
        <v>968</v>
      </c>
      <c r="C108" s="241">
        <v>30101</v>
      </c>
      <c r="D108" s="239" t="s">
        <v>396</v>
      </c>
      <c r="E108" s="239" t="s">
        <v>432</v>
      </c>
      <c r="F108" s="239" t="s">
        <v>433</v>
      </c>
      <c r="G108" s="239" t="s">
        <v>750</v>
      </c>
      <c r="H108" s="239" t="s">
        <v>777</v>
      </c>
      <c r="I108" s="239" t="s">
        <v>399</v>
      </c>
      <c r="J108" s="234">
        <v>41240</v>
      </c>
      <c r="K108" s="234">
        <v>15590</v>
      </c>
      <c r="L108" s="242">
        <v>19</v>
      </c>
      <c r="M108" s="308">
        <v>25650</v>
      </c>
      <c r="N108" s="234">
        <v>20776.5</v>
      </c>
      <c r="O108" s="243" t="s">
        <v>878</v>
      </c>
      <c r="P108" s="236">
        <v>45883</v>
      </c>
      <c r="Q108" s="244">
        <v>0.66418981481481476</v>
      </c>
    </row>
    <row r="109" spans="1:17" ht="63.75">
      <c r="A109" s="239" t="s">
        <v>848</v>
      </c>
      <c r="B109" s="240">
        <v>969</v>
      </c>
      <c r="C109" s="241">
        <v>30103</v>
      </c>
      <c r="D109" s="239" t="s">
        <v>396</v>
      </c>
      <c r="E109" s="239" t="s">
        <v>462</v>
      </c>
      <c r="F109" s="239" t="s">
        <v>463</v>
      </c>
      <c r="G109" s="239" t="s">
        <v>750</v>
      </c>
      <c r="H109" s="239" t="s">
        <v>777</v>
      </c>
      <c r="I109" s="239" t="s">
        <v>399</v>
      </c>
      <c r="J109" s="234">
        <v>38470</v>
      </c>
      <c r="K109" s="234">
        <v>16400</v>
      </c>
      <c r="L109" s="242">
        <v>6</v>
      </c>
      <c r="M109" s="308">
        <v>22070</v>
      </c>
      <c r="N109" s="234">
        <v>20745.8</v>
      </c>
      <c r="O109" s="243" t="s">
        <v>879</v>
      </c>
      <c r="P109" s="236">
        <v>45883</v>
      </c>
      <c r="Q109" s="244">
        <v>0.70145833333333329</v>
      </c>
    </row>
    <row r="110" spans="1:17" ht="63.75">
      <c r="A110" s="239" t="s">
        <v>849</v>
      </c>
      <c r="B110" s="240">
        <v>970</v>
      </c>
      <c r="C110" s="241">
        <v>30105</v>
      </c>
      <c r="D110" s="239" t="s">
        <v>396</v>
      </c>
      <c r="E110" s="239" t="s">
        <v>447</v>
      </c>
      <c r="F110" s="239" t="s">
        <v>448</v>
      </c>
      <c r="G110" s="239" t="s">
        <v>750</v>
      </c>
      <c r="H110" s="239" t="s">
        <v>777</v>
      </c>
      <c r="I110" s="239" t="s">
        <v>399</v>
      </c>
      <c r="J110" s="234">
        <v>43920</v>
      </c>
      <c r="K110" s="234">
        <v>19310</v>
      </c>
      <c r="L110" s="242">
        <v>19</v>
      </c>
      <c r="M110" s="308">
        <v>24610</v>
      </c>
      <c r="N110" s="234">
        <v>19934.099999999999</v>
      </c>
      <c r="O110" s="243" t="s">
        <v>880</v>
      </c>
      <c r="P110" s="236">
        <v>45883</v>
      </c>
      <c r="Q110" s="244">
        <v>0.86373842592592598</v>
      </c>
    </row>
    <row r="111" spans="1:17" ht="63.75">
      <c r="A111" s="239" t="s">
        <v>851</v>
      </c>
      <c r="B111" s="240">
        <v>971</v>
      </c>
      <c r="C111" s="241">
        <v>30115</v>
      </c>
      <c r="D111" s="239" t="s">
        <v>396</v>
      </c>
      <c r="E111" s="239" t="s">
        <v>456</v>
      </c>
      <c r="F111" s="239" t="s">
        <v>457</v>
      </c>
      <c r="G111" s="239" t="s">
        <v>750</v>
      </c>
      <c r="H111" s="239" t="s">
        <v>777</v>
      </c>
      <c r="I111" s="239" t="s">
        <v>399</v>
      </c>
      <c r="J111" s="234">
        <v>41820</v>
      </c>
      <c r="K111" s="234">
        <v>15540</v>
      </c>
      <c r="L111" s="242">
        <v>10</v>
      </c>
      <c r="M111" s="308">
        <v>26280</v>
      </c>
      <c r="N111" s="234">
        <v>23652</v>
      </c>
      <c r="O111" s="243" t="s">
        <v>882</v>
      </c>
      <c r="P111" s="236">
        <v>45883</v>
      </c>
      <c r="Q111" s="244">
        <v>0.98109953703703701</v>
      </c>
    </row>
    <row r="112" spans="1:17" ht="63.75">
      <c r="A112" s="239" t="s">
        <v>850</v>
      </c>
      <c r="B112" s="240">
        <v>972</v>
      </c>
      <c r="C112" s="241">
        <v>30113</v>
      </c>
      <c r="D112" s="239" t="s">
        <v>396</v>
      </c>
      <c r="E112" s="239" t="s">
        <v>453</v>
      </c>
      <c r="F112" s="239" t="s">
        <v>454</v>
      </c>
      <c r="G112" s="239" t="s">
        <v>750</v>
      </c>
      <c r="H112" s="239" t="s">
        <v>777</v>
      </c>
      <c r="I112" s="239" t="s">
        <v>399</v>
      </c>
      <c r="J112" s="234">
        <v>50440</v>
      </c>
      <c r="K112" s="234">
        <v>24130</v>
      </c>
      <c r="L112" s="242">
        <v>15</v>
      </c>
      <c r="M112" s="308">
        <v>26310</v>
      </c>
      <c r="N112" s="234">
        <v>22363.5</v>
      </c>
      <c r="O112" s="243" t="s">
        <v>881</v>
      </c>
      <c r="P112" s="236">
        <v>45883</v>
      </c>
      <c r="Q112" s="244">
        <v>0.91855324074074074</v>
      </c>
    </row>
    <row r="113" spans="1:17" ht="63.75">
      <c r="A113" s="239" t="s">
        <v>852</v>
      </c>
      <c r="B113" s="240">
        <v>973</v>
      </c>
      <c r="C113" s="241">
        <v>30107</v>
      </c>
      <c r="D113" s="239" t="s">
        <v>396</v>
      </c>
      <c r="E113" s="239" t="s">
        <v>392</v>
      </c>
      <c r="F113" s="239" t="s">
        <v>393</v>
      </c>
      <c r="G113" s="239" t="s">
        <v>750</v>
      </c>
      <c r="H113" s="239" t="s">
        <v>777</v>
      </c>
      <c r="I113" s="239" t="s">
        <v>399</v>
      </c>
      <c r="J113" s="234">
        <v>47570</v>
      </c>
      <c r="K113" s="234">
        <v>24050</v>
      </c>
      <c r="L113" s="242">
        <v>23</v>
      </c>
      <c r="M113" s="308">
        <v>23520</v>
      </c>
      <c r="N113" s="234">
        <v>18110.400000000001</v>
      </c>
      <c r="O113" s="243" t="s">
        <v>883</v>
      </c>
      <c r="P113" s="236">
        <v>45884</v>
      </c>
      <c r="Q113" s="244">
        <v>6.0694444444444447E-2</v>
      </c>
    </row>
    <row r="114" spans="1:17" ht="63.75">
      <c r="A114" s="239" t="s">
        <v>853</v>
      </c>
      <c r="B114" s="240">
        <v>974</v>
      </c>
      <c r="C114" s="241">
        <v>30109</v>
      </c>
      <c r="D114" s="239" t="s">
        <v>396</v>
      </c>
      <c r="E114" s="239" t="s">
        <v>390</v>
      </c>
      <c r="F114" s="239" t="s">
        <v>391</v>
      </c>
      <c r="G114" s="239" t="s">
        <v>750</v>
      </c>
      <c r="H114" s="239" t="s">
        <v>777</v>
      </c>
      <c r="I114" s="239" t="s">
        <v>399</v>
      </c>
      <c r="J114" s="234">
        <v>36940</v>
      </c>
      <c r="K114" s="234">
        <v>14830</v>
      </c>
      <c r="L114" s="242">
        <v>15</v>
      </c>
      <c r="M114" s="308">
        <v>22110</v>
      </c>
      <c r="N114" s="234">
        <v>18793.5</v>
      </c>
      <c r="O114" s="243" t="s">
        <v>884</v>
      </c>
      <c r="P114" s="236">
        <v>45884</v>
      </c>
      <c r="Q114" s="244">
        <v>0.18872685185185184</v>
      </c>
    </row>
    <row r="115" spans="1:17" ht="63.75">
      <c r="A115" s="239" t="s">
        <v>854</v>
      </c>
      <c r="B115" s="240">
        <v>975</v>
      </c>
      <c r="C115" s="241">
        <v>30111</v>
      </c>
      <c r="D115" s="239" t="s">
        <v>396</v>
      </c>
      <c r="E115" s="239" t="s">
        <v>388</v>
      </c>
      <c r="F115" s="239" t="s">
        <v>389</v>
      </c>
      <c r="G115" s="239" t="s">
        <v>750</v>
      </c>
      <c r="H115" s="239" t="s">
        <v>777</v>
      </c>
      <c r="I115" s="239" t="s">
        <v>399</v>
      </c>
      <c r="J115" s="234">
        <v>48340</v>
      </c>
      <c r="K115" s="234">
        <v>20890</v>
      </c>
      <c r="L115" s="242">
        <v>19</v>
      </c>
      <c r="M115" s="308">
        <v>27450</v>
      </c>
      <c r="N115" s="234">
        <v>22234.5</v>
      </c>
      <c r="O115" s="243" t="s">
        <v>885</v>
      </c>
      <c r="P115" s="236">
        <v>45884</v>
      </c>
      <c r="Q115" s="244">
        <v>0.22113425925925925</v>
      </c>
    </row>
    <row r="116" spans="1:17" ht="63.75">
      <c r="A116" s="239" t="s">
        <v>863</v>
      </c>
      <c r="B116" s="240">
        <v>976</v>
      </c>
      <c r="C116" s="241">
        <v>30121</v>
      </c>
      <c r="D116" s="239" t="s">
        <v>396</v>
      </c>
      <c r="E116" s="239" t="s">
        <v>1410</v>
      </c>
      <c r="F116" s="239" t="s">
        <v>437</v>
      </c>
      <c r="G116" s="239" t="s">
        <v>750</v>
      </c>
      <c r="H116" s="239" t="s">
        <v>260</v>
      </c>
      <c r="I116" s="239" t="s">
        <v>399</v>
      </c>
      <c r="J116" s="234">
        <v>38190</v>
      </c>
      <c r="K116" s="234">
        <v>14870</v>
      </c>
      <c r="L116" s="242">
        <v>17</v>
      </c>
      <c r="M116" s="308">
        <v>23320</v>
      </c>
      <c r="N116" s="234">
        <v>19355.599999999999</v>
      </c>
      <c r="O116" s="243" t="s">
        <v>891</v>
      </c>
      <c r="P116" s="236">
        <v>45884</v>
      </c>
      <c r="Q116" s="244">
        <v>0.57010416666666663</v>
      </c>
    </row>
    <row r="117" spans="1:17" ht="63.75">
      <c r="A117" s="239" t="s">
        <v>864</v>
      </c>
      <c r="B117" s="240">
        <v>977</v>
      </c>
      <c r="C117" s="241">
        <v>30123</v>
      </c>
      <c r="D117" s="239" t="s">
        <v>396</v>
      </c>
      <c r="E117" s="239" t="s">
        <v>439</v>
      </c>
      <c r="F117" s="239" t="s">
        <v>440</v>
      </c>
      <c r="G117" s="239" t="s">
        <v>750</v>
      </c>
      <c r="H117" s="239" t="s">
        <v>260</v>
      </c>
      <c r="I117" s="239" t="s">
        <v>399</v>
      </c>
      <c r="J117" s="234">
        <v>37190</v>
      </c>
      <c r="K117" s="234">
        <v>14880</v>
      </c>
      <c r="L117" s="242">
        <v>8</v>
      </c>
      <c r="M117" s="308">
        <v>22310</v>
      </c>
      <c r="N117" s="234">
        <v>20525.2</v>
      </c>
      <c r="O117" s="243" t="s">
        <v>892</v>
      </c>
      <c r="P117" s="236">
        <v>45884</v>
      </c>
      <c r="Q117" s="244">
        <v>0.58177083333333335</v>
      </c>
    </row>
    <row r="118" spans="1:17" ht="63.75">
      <c r="A118" s="239" t="s">
        <v>865</v>
      </c>
      <c r="B118" s="240">
        <v>978</v>
      </c>
      <c r="C118" s="241">
        <v>30119</v>
      </c>
      <c r="D118" s="239" t="s">
        <v>396</v>
      </c>
      <c r="E118" s="239" t="s">
        <v>866</v>
      </c>
      <c r="F118" s="239" t="s">
        <v>867</v>
      </c>
      <c r="G118" s="239" t="s">
        <v>750</v>
      </c>
      <c r="H118" s="239" t="s">
        <v>260</v>
      </c>
      <c r="I118" s="239" t="s">
        <v>399</v>
      </c>
      <c r="J118" s="234">
        <v>37120</v>
      </c>
      <c r="K118" s="234">
        <v>14460</v>
      </c>
      <c r="L118" s="242">
        <v>23</v>
      </c>
      <c r="M118" s="308">
        <v>22660</v>
      </c>
      <c r="N118" s="234">
        <v>17448.2</v>
      </c>
      <c r="O118" s="243" t="s">
        <v>893</v>
      </c>
      <c r="P118" s="236">
        <v>45884</v>
      </c>
      <c r="Q118" s="244">
        <v>0.5897337962962963</v>
      </c>
    </row>
    <row r="119" spans="1:17" ht="63.75">
      <c r="A119" s="239" t="s">
        <v>855</v>
      </c>
      <c r="B119" s="240">
        <v>979</v>
      </c>
      <c r="C119" s="241">
        <v>30131</v>
      </c>
      <c r="D119" s="239" t="s">
        <v>396</v>
      </c>
      <c r="E119" s="239" t="s">
        <v>400</v>
      </c>
      <c r="F119" s="239" t="s">
        <v>401</v>
      </c>
      <c r="G119" s="239" t="s">
        <v>856</v>
      </c>
      <c r="H119" s="239" t="s">
        <v>398</v>
      </c>
      <c r="I119" s="239" t="s">
        <v>399</v>
      </c>
      <c r="J119" s="234">
        <v>36340</v>
      </c>
      <c r="K119" s="234">
        <v>14700</v>
      </c>
      <c r="L119" s="242">
        <v>53</v>
      </c>
      <c r="M119" s="308">
        <v>21640</v>
      </c>
      <c r="N119" s="234">
        <v>10170.799999999999</v>
      </c>
      <c r="O119" s="243" t="s">
        <v>886</v>
      </c>
      <c r="P119" s="236">
        <v>45884</v>
      </c>
      <c r="Q119" s="244">
        <v>0.25924768518518521</v>
      </c>
    </row>
    <row r="120" spans="1:17" ht="63.75">
      <c r="A120" s="239" t="s">
        <v>857</v>
      </c>
      <c r="B120" s="240">
        <v>980</v>
      </c>
      <c r="C120" s="241">
        <v>30129</v>
      </c>
      <c r="D120" s="239" t="s">
        <v>396</v>
      </c>
      <c r="E120" s="239" t="s">
        <v>858</v>
      </c>
      <c r="F120" s="239" t="s">
        <v>859</v>
      </c>
      <c r="G120" s="239" t="s">
        <v>750</v>
      </c>
      <c r="H120" s="239" t="s">
        <v>260</v>
      </c>
      <c r="I120" s="239" t="s">
        <v>399</v>
      </c>
      <c r="J120" s="234">
        <v>34000</v>
      </c>
      <c r="K120" s="234">
        <v>14580</v>
      </c>
      <c r="L120" s="242">
        <v>11</v>
      </c>
      <c r="M120" s="308">
        <v>19420</v>
      </c>
      <c r="N120" s="234">
        <v>17283.8</v>
      </c>
      <c r="O120" s="243" t="s">
        <v>887</v>
      </c>
      <c r="P120" s="236">
        <v>45884</v>
      </c>
      <c r="Q120" s="244">
        <v>0.26913194444444444</v>
      </c>
    </row>
    <row r="121" spans="1:17" ht="63.75">
      <c r="A121" s="239" t="s">
        <v>868</v>
      </c>
      <c r="B121" s="240">
        <v>981</v>
      </c>
      <c r="C121" s="241">
        <v>30125</v>
      </c>
      <c r="D121" s="239" t="s">
        <v>396</v>
      </c>
      <c r="E121" s="239" t="s">
        <v>372</v>
      </c>
      <c r="F121" s="239" t="s">
        <v>373</v>
      </c>
      <c r="G121" s="239" t="s">
        <v>856</v>
      </c>
      <c r="H121" s="239" t="s">
        <v>869</v>
      </c>
      <c r="I121" s="239" t="s">
        <v>399</v>
      </c>
      <c r="J121" s="234">
        <v>35220</v>
      </c>
      <c r="K121" s="234">
        <v>14930</v>
      </c>
      <c r="L121" s="242">
        <v>57</v>
      </c>
      <c r="M121" s="308">
        <v>20290</v>
      </c>
      <c r="N121" s="234">
        <v>8724.7000000000007</v>
      </c>
      <c r="O121" s="243" t="s">
        <v>894</v>
      </c>
      <c r="P121" s="236">
        <v>45884</v>
      </c>
      <c r="Q121" s="244">
        <v>0.72373842592592597</v>
      </c>
    </row>
    <row r="122" spans="1:17" ht="63.75">
      <c r="A122" s="239" t="s">
        <v>860</v>
      </c>
      <c r="B122" s="240">
        <v>982</v>
      </c>
      <c r="C122" s="241">
        <v>30127</v>
      </c>
      <c r="D122" s="239" t="s">
        <v>396</v>
      </c>
      <c r="E122" s="239" t="s">
        <v>369</v>
      </c>
      <c r="F122" s="239" t="s">
        <v>370</v>
      </c>
      <c r="G122" s="239" t="s">
        <v>397</v>
      </c>
      <c r="H122" s="239" t="s">
        <v>260</v>
      </c>
      <c r="I122" s="239" t="s">
        <v>399</v>
      </c>
      <c r="J122" s="234">
        <v>37560</v>
      </c>
      <c r="K122" s="234">
        <v>15090</v>
      </c>
      <c r="L122" s="242">
        <v>10</v>
      </c>
      <c r="M122" s="308">
        <v>22470</v>
      </c>
      <c r="N122" s="234">
        <v>20223</v>
      </c>
      <c r="O122" s="243" t="s">
        <v>888</v>
      </c>
      <c r="P122" s="236">
        <v>45884</v>
      </c>
      <c r="Q122" s="244">
        <v>0.30818287037037034</v>
      </c>
    </row>
    <row r="123" spans="1:17" ht="63.75">
      <c r="A123" s="239" t="s">
        <v>861</v>
      </c>
      <c r="B123" s="240">
        <v>983</v>
      </c>
      <c r="C123" s="241">
        <v>30133</v>
      </c>
      <c r="D123" s="239" t="s">
        <v>396</v>
      </c>
      <c r="E123" s="239" t="s">
        <v>377</v>
      </c>
      <c r="F123" s="239" t="s">
        <v>378</v>
      </c>
      <c r="G123" s="239" t="s">
        <v>397</v>
      </c>
      <c r="H123" s="239" t="s">
        <v>260</v>
      </c>
      <c r="I123" s="239" t="s">
        <v>399</v>
      </c>
      <c r="J123" s="234">
        <v>37490</v>
      </c>
      <c r="K123" s="234">
        <v>15070</v>
      </c>
      <c r="L123" s="242">
        <v>25</v>
      </c>
      <c r="M123" s="308">
        <v>22420</v>
      </c>
      <c r="N123" s="234">
        <v>16815</v>
      </c>
      <c r="O123" s="243" t="s">
        <v>889</v>
      </c>
      <c r="P123" s="236">
        <v>45884</v>
      </c>
      <c r="Q123" s="244">
        <v>0.31743055555555555</v>
      </c>
    </row>
    <row r="124" spans="1:17" ht="63.75">
      <c r="A124" s="239" t="s">
        <v>862</v>
      </c>
      <c r="B124" s="240">
        <v>984</v>
      </c>
      <c r="C124" s="241">
        <v>30103</v>
      </c>
      <c r="D124" s="239" t="s">
        <v>396</v>
      </c>
      <c r="E124" s="239" t="s">
        <v>462</v>
      </c>
      <c r="F124" s="239" t="s">
        <v>463</v>
      </c>
      <c r="G124" s="239" t="s">
        <v>397</v>
      </c>
      <c r="H124" s="239" t="s">
        <v>260</v>
      </c>
      <c r="I124" s="239" t="s">
        <v>399</v>
      </c>
      <c r="J124" s="234">
        <v>39300</v>
      </c>
      <c r="K124" s="234">
        <v>16400</v>
      </c>
      <c r="L124" s="242">
        <v>35</v>
      </c>
      <c r="M124" s="308">
        <v>22900</v>
      </c>
      <c r="N124" s="234">
        <v>14885</v>
      </c>
      <c r="O124" s="243" t="s">
        <v>890</v>
      </c>
      <c r="P124" s="236">
        <v>45884</v>
      </c>
      <c r="Q124" s="244">
        <v>0.32303240740740741</v>
      </c>
    </row>
    <row r="125" spans="1:17" ht="63.75">
      <c r="A125" s="239" t="s">
        <v>870</v>
      </c>
      <c r="B125" s="240">
        <v>990</v>
      </c>
      <c r="C125" s="241">
        <v>30137</v>
      </c>
      <c r="D125" s="239" t="s">
        <v>396</v>
      </c>
      <c r="E125" s="239" t="s">
        <v>794</v>
      </c>
      <c r="F125" s="239" t="s">
        <v>795</v>
      </c>
      <c r="G125" s="239" t="s">
        <v>397</v>
      </c>
      <c r="H125" s="239" t="s">
        <v>260</v>
      </c>
      <c r="I125" s="239" t="s">
        <v>399</v>
      </c>
      <c r="J125" s="234">
        <v>41480</v>
      </c>
      <c r="K125" s="234">
        <v>16090</v>
      </c>
      <c r="L125" s="242">
        <v>31</v>
      </c>
      <c r="M125" s="308">
        <v>25390</v>
      </c>
      <c r="N125" s="234">
        <v>17519.099999999999</v>
      </c>
      <c r="O125" s="243" t="s">
        <v>895</v>
      </c>
      <c r="P125" s="236">
        <v>45884</v>
      </c>
      <c r="Q125" s="244">
        <v>0.73144675925925928</v>
      </c>
    </row>
    <row r="126" spans="1:17" ht="51">
      <c r="A126" s="239" t="s">
        <v>871</v>
      </c>
      <c r="B126" s="240">
        <v>991</v>
      </c>
      <c r="C126" s="241">
        <v>128</v>
      </c>
      <c r="D126" s="239" t="s">
        <v>368</v>
      </c>
      <c r="E126" s="239" t="s">
        <v>403</v>
      </c>
      <c r="F126" s="239" t="s">
        <v>404</v>
      </c>
      <c r="G126" s="239"/>
      <c r="H126" s="239" t="s">
        <v>46</v>
      </c>
      <c r="I126" s="239" t="s">
        <v>371</v>
      </c>
      <c r="J126" s="234">
        <v>36890</v>
      </c>
      <c r="K126" s="234">
        <v>14500</v>
      </c>
      <c r="L126" s="242">
        <v>8</v>
      </c>
      <c r="M126" s="308">
        <v>22390</v>
      </c>
      <c r="N126" s="234">
        <v>20598.8</v>
      </c>
      <c r="O126" s="243" t="s">
        <v>896</v>
      </c>
      <c r="P126" s="236">
        <v>45884</v>
      </c>
      <c r="Q126" s="244">
        <v>0.74695601851851856</v>
      </c>
    </row>
    <row r="127" spans="1:17" ht="51">
      <c r="A127" s="239" t="s">
        <v>872</v>
      </c>
      <c r="B127" s="240">
        <v>992</v>
      </c>
      <c r="C127" s="241">
        <v>129</v>
      </c>
      <c r="D127" s="239" t="s">
        <v>368</v>
      </c>
      <c r="E127" s="239" t="s">
        <v>406</v>
      </c>
      <c r="F127" s="239" t="s">
        <v>407</v>
      </c>
      <c r="G127" s="239"/>
      <c r="H127" s="239" t="s">
        <v>46</v>
      </c>
      <c r="I127" s="239" t="s">
        <v>371</v>
      </c>
      <c r="J127" s="234">
        <v>38030</v>
      </c>
      <c r="K127" s="234">
        <v>15080</v>
      </c>
      <c r="L127" s="242">
        <v>5</v>
      </c>
      <c r="M127" s="308">
        <v>22950</v>
      </c>
      <c r="N127" s="234">
        <v>21802.5</v>
      </c>
      <c r="O127" s="243" t="s">
        <v>897</v>
      </c>
      <c r="P127" s="236">
        <v>45884</v>
      </c>
      <c r="Q127" s="244">
        <v>0.75078703703703709</v>
      </c>
    </row>
    <row r="128" spans="1:17" ht="63.75">
      <c r="A128" s="239" t="s">
        <v>873</v>
      </c>
      <c r="B128" s="240">
        <v>993</v>
      </c>
      <c r="C128" s="241">
        <v>30142</v>
      </c>
      <c r="D128" s="239" t="s">
        <v>396</v>
      </c>
      <c r="E128" s="239" t="s">
        <v>841</v>
      </c>
      <c r="F128" s="239" t="s">
        <v>845</v>
      </c>
      <c r="G128" s="239" t="s">
        <v>397</v>
      </c>
      <c r="H128" s="239" t="s">
        <v>260</v>
      </c>
      <c r="I128" s="239" t="s">
        <v>399</v>
      </c>
      <c r="J128" s="234">
        <v>41680</v>
      </c>
      <c r="K128" s="234">
        <v>15930</v>
      </c>
      <c r="L128" s="242">
        <v>43</v>
      </c>
      <c r="M128" s="308">
        <v>25750</v>
      </c>
      <c r="N128" s="234">
        <v>14677.5</v>
      </c>
      <c r="O128" s="243" t="s">
        <v>898</v>
      </c>
      <c r="P128" s="236">
        <v>45884</v>
      </c>
      <c r="Q128" s="244">
        <v>0.75394675925925925</v>
      </c>
    </row>
    <row r="129" spans="1:17" ht="51">
      <c r="A129" s="239" t="s">
        <v>874</v>
      </c>
      <c r="B129" s="240">
        <v>995</v>
      </c>
      <c r="C129" s="241">
        <v>132</v>
      </c>
      <c r="D129" s="239" t="s">
        <v>368</v>
      </c>
      <c r="E129" s="239" t="s">
        <v>380</v>
      </c>
      <c r="F129" s="239" t="s">
        <v>381</v>
      </c>
      <c r="G129" s="239"/>
      <c r="H129" s="239" t="s">
        <v>46</v>
      </c>
      <c r="I129" s="239" t="s">
        <v>371</v>
      </c>
      <c r="J129" s="234">
        <v>39230</v>
      </c>
      <c r="K129" s="234">
        <v>15040</v>
      </c>
      <c r="L129" s="242">
        <v>11</v>
      </c>
      <c r="M129" s="308">
        <v>24190</v>
      </c>
      <c r="N129" s="234">
        <v>21529.1</v>
      </c>
      <c r="O129" s="243" t="s">
        <v>899</v>
      </c>
      <c r="P129" s="236">
        <v>45884</v>
      </c>
      <c r="Q129" s="244">
        <v>0.85546296296296298</v>
      </c>
    </row>
    <row r="130" spans="1:17" ht="51">
      <c r="A130" s="239" t="s">
        <v>875</v>
      </c>
      <c r="B130" s="240">
        <v>996</v>
      </c>
      <c r="C130" s="241">
        <v>133</v>
      </c>
      <c r="D130" s="239" t="s">
        <v>368</v>
      </c>
      <c r="E130" s="239" t="s">
        <v>386</v>
      </c>
      <c r="F130" s="239" t="s">
        <v>387</v>
      </c>
      <c r="G130" s="239"/>
      <c r="H130" s="239" t="s">
        <v>46</v>
      </c>
      <c r="I130" s="239" t="s">
        <v>371</v>
      </c>
      <c r="J130" s="234">
        <v>38110</v>
      </c>
      <c r="K130" s="234">
        <v>15540</v>
      </c>
      <c r="L130" s="242">
        <v>11</v>
      </c>
      <c r="M130" s="308">
        <v>22570</v>
      </c>
      <c r="N130" s="234">
        <v>20087.3</v>
      </c>
      <c r="O130" s="243" t="s">
        <v>900</v>
      </c>
      <c r="P130" s="236">
        <v>45884</v>
      </c>
      <c r="Q130" s="244">
        <v>0.93332175925925931</v>
      </c>
    </row>
    <row r="131" spans="1:17" ht="63.75">
      <c r="A131" s="239" t="s">
        <v>1003</v>
      </c>
      <c r="B131" s="240">
        <v>999</v>
      </c>
      <c r="C131" s="241">
        <v>300194</v>
      </c>
      <c r="D131" s="239" t="s">
        <v>396</v>
      </c>
      <c r="E131" s="239" t="s">
        <v>783</v>
      </c>
      <c r="F131" s="239" t="s">
        <v>784</v>
      </c>
      <c r="G131" s="239" t="s">
        <v>939</v>
      </c>
      <c r="H131" s="239" t="s">
        <v>974</v>
      </c>
      <c r="I131" s="239" t="s">
        <v>399</v>
      </c>
      <c r="J131" s="234">
        <v>40930</v>
      </c>
      <c r="K131" s="234">
        <v>14640</v>
      </c>
      <c r="L131" s="242">
        <v>25</v>
      </c>
      <c r="M131" s="308">
        <v>26290</v>
      </c>
      <c r="N131" s="234">
        <v>19717.5</v>
      </c>
      <c r="O131" s="243" t="s">
        <v>1005</v>
      </c>
      <c r="P131" s="236">
        <v>45887</v>
      </c>
      <c r="Q131" s="244">
        <v>0.37745370370370368</v>
      </c>
    </row>
    <row r="132" spans="1:17" ht="63.75">
      <c r="A132" s="239" t="s">
        <v>1004</v>
      </c>
      <c r="B132" s="240">
        <v>1000</v>
      </c>
      <c r="C132" s="241">
        <v>30196</v>
      </c>
      <c r="D132" s="239" t="s">
        <v>396</v>
      </c>
      <c r="E132" s="239" t="s">
        <v>786</v>
      </c>
      <c r="F132" s="239" t="s">
        <v>787</v>
      </c>
      <c r="G132" s="239" t="s">
        <v>939</v>
      </c>
      <c r="H132" s="239" t="s">
        <v>974</v>
      </c>
      <c r="I132" s="239" t="s">
        <v>399</v>
      </c>
      <c r="J132" s="234">
        <v>35510</v>
      </c>
      <c r="K132" s="234">
        <v>14020</v>
      </c>
      <c r="L132" s="242">
        <v>16</v>
      </c>
      <c r="M132" s="308">
        <v>21490</v>
      </c>
      <c r="N132" s="234">
        <v>18051.599999999999</v>
      </c>
      <c r="O132" s="243" t="s">
        <v>1006</v>
      </c>
      <c r="P132" s="236">
        <v>45887</v>
      </c>
      <c r="Q132" s="244">
        <v>0.47054398148148147</v>
      </c>
    </row>
    <row r="133" spans="1:17" ht="63.75">
      <c r="A133" s="239" t="s">
        <v>1014</v>
      </c>
      <c r="B133" s="240">
        <v>1001</v>
      </c>
      <c r="C133" s="241">
        <v>30200</v>
      </c>
      <c r="D133" s="239" t="s">
        <v>396</v>
      </c>
      <c r="E133" s="239" t="s">
        <v>841</v>
      </c>
      <c r="F133" s="239" t="s">
        <v>845</v>
      </c>
      <c r="G133" s="239" t="s">
        <v>939</v>
      </c>
      <c r="H133" s="239" t="s">
        <v>974</v>
      </c>
      <c r="I133" s="239" t="s">
        <v>399</v>
      </c>
      <c r="J133" s="234">
        <v>41280</v>
      </c>
      <c r="K133" s="234">
        <v>15930</v>
      </c>
      <c r="L133" s="242">
        <v>30</v>
      </c>
      <c r="M133" s="308">
        <v>25350</v>
      </c>
      <c r="N133" s="234">
        <v>17745</v>
      </c>
      <c r="O133" s="243" t="s">
        <v>1024</v>
      </c>
      <c r="P133" s="236">
        <v>45887</v>
      </c>
      <c r="Q133" s="244">
        <v>0.66309027777777774</v>
      </c>
    </row>
    <row r="134" spans="1:17" ht="63.75">
      <c r="A134" s="239" t="s">
        <v>1011</v>
      </c>
      <c r="B134" s="240">
        <v>1002</v>
      </c>
      <c r="C134" s="241">
        <v>30202</v>
      </c>
      <c r="D134" s="239" t="s">
        <v>396</v>
      </c>
      <c r="E134" s="239" t="s">
        <v>794</v>
      </c>
      <c r="F134" s="239" t="s">
        <v>795</v>
      </c>
      <c r="G134" s="239" t="s">
        <v>939</v>
      </c>
      <c r="H134" s="239" t="s">
        <v>974</v>
      </c>
      <c r="I134" s="239" t="s">
        <v>399</v>
      </c>
      <c r="J134" s="234">
        <v>41350</v>
      </c>
      <c r="K134" s="234">
        <v>16110</v>
      </c>
      <c r="L134" s="242">
        <v>24</v>
      </c>
      <c r="M134" s="308">
        <v>25240</v>
      </c>
      <c r="N134" s="234">
        <v>19182.400000000001</v>
      </c>
      <c r="O134" s="243" t="s">
        <v>1021</v>
      </c>
      <c r="P134" s="236">
        <v>45887</v>
      </c>
      <c r="Q134" s="244">
        <v>0.56399305555555557</v>
      </c>
    </row>
    <row r="135" spans="1:17" ht="63.75">
      <c r="A135" s="239" t="s">
        <v>1012</v>
      </c>
      <c r="B135" s="240">
        <v>1006</v>
      </c>
      <c r="C135" s="241">
        <v>30204</v>
      </c>
      <c r="D135" s="239" t="s">
        <v>396</v>
      </c>
      <c r="E135" s="239" t="s">
        <v>377</v>
      </c>
      <c r="F135" s="239" t="s">
        <v>378</v>
      </c>
      <c r="G135" s="239" t="s">
        <v>939</v>
      </c>
      <c r="H135" s="239" t="s">
        <v>974</v>
      </c>
      <c r="I135" s="239" t="s">
        <v>399</v>
      </c>
      <c r="J135" s="234">
        <v>41020</v>
      </c>
      <c r="K135" s="234">
        <v>15090</v>
      </c>
      <c r="L135" s="242">
        <v>24</v>
      </c>
      <c r="M135" s="308">
        <v>25930</v>
      </c>
      <c r="N135" s="234">
        <v>19706.8</v>
      </c>
      <c r="O135" s="243" t="s">
        <v>1022</v>
      </c>
      <c r="P135" s="236">
        <v>45887</v>
      </c>
      <c r="Q135" s="244">
        <v>0.60630787037037037</v>
      </c>
    </row>
    <row r="136" spans="1:17" ht="63.75">
      <c r="A136" s="239" t="s">
        <v>1013</v>
      </c>
      <c r="B136" s="240">
        <v>1008</v>
      </c>
      <c r="C136" s="241">
        <v>30206</v>
      </c>
      <c r="D136" s="239" t="s">
        <v>396</v>
      </c>
      <c r="E136" s="239" t="s">
        <v>462</v>
      </c>
      <c r="F136" s="239" t="s">
        <v>463</v>
      </c>
      <c r="G136" s="239" t="s">
        <v>939</v>
      </c>
      <c r="H136" s="239" t="s">
        <v>974</v>
      </c>
      <c r="I136" s="239" t="s">
        <v>399</v>
      </c>
      <c r="J136" s="234">
        <v>39670</v>
      </c>
      <c r="K136" s="234">
        <v>16400</v>
      </c>
      <c r="L136" s="242">
        <v>42</v>
      </c>
      <c r="M136" s="308">
        <v>23270</v>
      </c>
      <c r="N136" s="234">
        <v>13496.6</v>
      </c>
      <c r="O136" s="243" t="s">
        <v>1023</v>
      </c>
      <c r="P136" s="236">
        <v>45887</v>
      </c>
      <c r="Q136" s="244">
        <v>0.65516203703703701</v>
      </c>
    </row>
    <row r="137" spans="1:17" ht="63.75">
      <c r="A137" s="239" t="s">
        <v>1015</v>
      </c>
      <c r="B137" s="240">
        <v>1009</v>
      </c>
      <c r="C137" s="241">
        <v>30208</v>
      </c>
      <c r="D137" s="239" t="s">
        <v>396</v>
      </c>
      <c r="E137" s="239" t="s">
        <v>472</v>
      </c>
      <c r="F137" s="239" t="s">
        <v>473</v>
      </c>
      <c r="G137" s="239" t="s">
        <v>939</v>
      </c>
      <c r="H137" s="239" t="s">
        <v>974</v>
      </c>
      <c r="I137" s="239" t="s">
        <v>399</v>
      </c>
      <c r="J137" s="234">
        <v>38520</v>
      </c>
      <c r="K137" s="234">
        <v>16630</v>
      </c>
      <c r="L137" s="242">
        <v>28</v>
      </c>
      <c r="M137" s="308">
        <v>21890</v>
      </c>
      <c r="N137" s="234">
        <v>15760.8</v>
      </c>
      <c r="O137" s="243" t="s">
        <v>1025</v>
      </c>
      <c r="P137" s="236">
        <v>45887</v>
      </c>
      <c r="Q137" s="244">
        <v>0.73099537037037032</v>
      </c>
    </row>
    <row r="138" spans="1:17" ht="63.75">
      <c r="A138" s="239" t="s">
        <v>1016</v>
      </c>
      <c r="B138" s="240">
        <v>1011</v>
      </c>
      <c r="C138" s="241">
        <v>30198</v>
      </c>
      <c r="D138" s="239" t="s">
        <v>396</v>
      </c>
      <c r="E138" s="239" t="s">
        <v>791</v>
      </c>
      <c r="F138" s="239" t="s">
        <v>792</v>
      </c>
      <c r="G138" s="239" t="s">
        <v>939</v>
      </c>
      <c r="H138" s="239" t="s">
        <v>974</v>
      </c>
      <c r="I138" s="239" t="s">
        <v>399</v>
      </c>
      <c r="J138" s="234">
        <v>40460</v>
      </c>
      <c r="K138" s="234">
        <v>14970</v>
      </c>
      <c r="L138" s="242">
        <v>28</v>
      </c>
      <c r="M138" s="308">
        <v>25490</v>
      </c>
      <c r="N138" s="234">
        <v>18352.8</v>
      </c>
      <c r="O138" s="243" t="s">
        <v>1026</v>
      </c>
      <c r="P138" s="236">
        <v>45887</v>
      </c>
      <c r="Q138" s="244">
        <v>0.74053240740740744</v>
      </c>
    </row>
    <row r="139" spans="1:17" ht="63.75">
      <c r="A139" s="239" t="s">
        <v>1017</v>
      </c>
      <c r="B139" s="240">
        <v>1012</v>
      </c>
      <c r="C139" s="241">
        <v>30210</v>
      </c>
      <c r="D139" s="239" t="s">
        <v>396</v>
      </c>
      <c r="E139" s="239" t="s">
        <v>475</v>
      </c>
      <c r="F139" s="239" t="s">
        <v>476</v>
      </c>
      <c r="G139" s="239" t="s">
        <v>942</v>
      </c>
      <c r="H139" s="239" t="s">
        <v>869</v>
      </c>
      <c r="I139" s="239" t="s">
        <v>399</v>
      </c>
      <c r="J139" s="234">
        <v>39420</v>
      </c>
      <c r="K139" s="234">
        <v>16570</v>
      </c>
      <c r="L139" s="242">
        <v>25</v>
      </c>
      <c r="M139" s="308">
        <v>22850</v>
      </c>
      <c r="N139" s="234">
        <v>17137.5</v>
      </c>
      <c r="O139" s="243" t="s">
        <v>1027</v>
      </c>
      <c r="P139" s="236">
        <v>45887</v>
      </c>
      <c r="Q139" s="244">
        <v>0.78907407407407404</v>
      </c>
    </row>
    <row r="140" spans="1:17" ht="63.75">
      <c r="A140" s="239" t="s">
        <v>1018</v>
      </c>
      <c r="B140" s="240">
        <v>1013</v>
      </c>
      <c r="C140" s="241">
        <v>30212</v>
      </c>
      <c r="D140" s="239" t="s">
        <v>396</v>
      </c>
      <c r="E140" s="239" t="s">
        <v>413</v>
      </c>
      <c r="F140" s="239" t="s">
        <v>414</v>
      </c>
      <c r="G140" s="239" t="s">
        <v>942</v>
      </c>
      <c r="H140" s="239" t="s">
        <v>973</v>
      </c>
      <c r="I140" s="239" t="s">
        <v>399</v>
      </c>
      <c r="J140" s="234">
        <v>41950</v>
      </c>
      <c r="K140" s="234">
        <v>14980</v>
      </c>
      <c r="L140" s="242">
        <v>17</v>
      </c>
      <c r="M140" s="308">
        <v>26970</v>
      </c>
      <c r="N140" s="234">
        <v>22385.1</v>
      </c>
      <c r="O140" s="243" t="s">
        <v>1028</v>
      </c>
      <c r="P140" s="236">
        <v>45887</v>
      </c>
      <c r="Q140" s="244">
        <v>0.80159722222222218</v>
      </c>
    </row>
    <row r="141" spans="1:17" ht="63.75">
      <c r="A141" s="239" t="s">
        <v>1045</v>
      </c>
      <c r="B141" s="240">
        <v>1016</v>
      </c>
      <c r="C141" s="241">
        <v>30220</v>
      </c>
      <c r="D141" s="239" t="s">
        <v>396</v>
      </c>
      <c r="E141" s="239" t="s">
        <v>447</v>
      </c>
      <c r="F141" s="239" t="s">
        <v>448</v>
      </c>
      <c r="G141" s="239" t="s">
        <v>939</v>
      </c>
      <c r="H141" s="239" t="s">
        <v>973</v>
      </c>
      <c r="I141" s="239" t="s">
        <v>399</v>
      </c>
      <c r="J141" s="234">
        <v>46680</v>
      </c>
      <c r="K141" s="234">
        <v>19370</v>
      </c>
      <c r="L141" s="242">
        <v>19</v>
      </c>
      <c r="M141" s="308">
        <v>27310</v>
      </c>
      <c r="N141" s="234">
        <v>22121.1</v>
      </c>
      <c r="O141" s="243" t="s">
        <v>1029</v>
      </c>
      <c r="P141" s="236">
        <v>45888</v>
      </c>
      <c r="Q141" s="244">
        <v>0.69710648148148147</v>
      </c>
    </row>
    <row r="142" spans="1:17" ht="63.75">
      <c r="A142" s="239" t="s">
        <v>1019</v>
      </c>
      <c r="B142" s="240">
        <v>1017</v>
      </c>
      <c r="C142" s="241">
        <v>30222</v>
      </c>
      <c r="D142" s="239" t="s">
        <v>396</v>
      </c>
      <c r="E142" s="239" t="s">
        <v>453</v>
      </c>
      <c r="F142" s="239" t="s">
        <v>454</v>
      </c>
      <c r="G142" s="239" t="s">
        <v>939</v>
      </c>
      <c r="H142" s="239" t="s">
        <v>973</v>
      </c>
      <c r="I142" s="239" t="s">
        <v>399</v>
      </c>
      <c r="J142" s="234">
        <v>46150</v>
      </c>
      <c r="K142" s="234">
        <v>24180</v>
      </c>
      <c r="L142" s="242">
        <v>24</v>
      </c>
      <c r="M142" s="308">
        <v>21970</v>
      </c>
      <c r="N142" s="234">
        <v>16697.2</v>
      </c>
      <c r="O142" s="243" t="s">
        <v>1030</v>
      </c>
      <c r="P142" s="236">
        <v>45888</v>
      </c>
      <c r="Q142" s="244">
        <v>0.42927083333333332</v>
      </c>
    </row>
    <row r="143" spans="1:17" ht="63.75">
      <c r="A143" s="239" t="s">
        <v>1020</v>
      </c>
      <c r="B143" s="240">
        <v>1018</v>
      </c>
      <c r="C143" s="241">
        <v>30224</v>
      </c>
      <c r="D143" s="239" t="s">
        <v>396</v>
      </c>
      <c r="E143" s="239" t="s">
        <v>456</v>
      </c>
      <c r="F143" s="239" t="s">
        <v>457</v>
      </c>
      <c r="G143" s="239" t="s">
        <v>939</v>
      </c>
      <c r="H143" s="239" t="s">
        <v>973</v>
      </c>
      <c r="I143" s="239" t="s">
        <v>399</v>
      </c>
      <c r="J143" s="234">
        <v>42960</v>
      </c>
      <c r="K143" s="234">
        <v>15580</v>
      </c>
      <c r="L143" s="242">
        <v>26</v>
      </c>
      <c r="M143" s="308">
        <v>27380</v>
      </c>
      <c r="N143" s="234">
        <v>20261.2</v>
      </c>
      <c r="O143" s="243" t="s">
        <v>1031</v>
      </c>
      <c r="P143" s="236">
        <v>45888</v>
      </c>
      <c r="Q143" s="244">
        <v>0.47997685185185185</v>
      </c>
    </row>
    <row r="144" spans="1:17" ht="63.75">
      <c r="A144" s="239" t="s">
        <v>1046</v>
      </c>
      <c r="B144" s="240">
        <v>1019</v>
      </c>
      <c r="C144" s="241">
        <v>30216</v>
      </c>
      <c r="D144" s="239" t="s">
        <v>396</v>
      </c>
      <c r="E144" s="239" t="s">
        <v>416</v>
      </c>
      <c r="F144" s="239" t="s">
        <v>417</v>
      </c>
      <c r="G144" s="239" t="s">
        <v>939</v>
      </c>
      <c r="H144" s="239" t="s">
        <v>973</v>
      </c>
      <c r="I144" s="239" t="s">
        <v>399</v>
      </c>
      <c r="J144" s="234">
        <v>39190</v>
      </c>
      <c r="K144" s="234">
        <v>14720</v>
      </c>
      <c r="L144" s="242">
        <v>15</v>
      </c>
      <c r="M144" s="308">
        <v>24470</v>
      </c>
      <c r="N144" s="234">
        <v>20799.5</v>
      </c>
      <c r="O144" s="243" t="s">
        <v>1047</v>
      </c>
      <c r="P144" s="236">
        <v>45888</v>
      </c>
      <c r="Q144" s="244">
        <v>0.69876157407407402</v>
      </c>
    </row>
    <row r="145" spans="1:17" ht="63.75">
      <c r="A145" s="239" t="s">
        <v>1048</v>
      </c>
      <c r="B145" s="240">
        <v>1020</v>
      </c>
      <c r="C145" s="241">
        <v>30214</v>
      </c>
      <c r="D145" s="239" t="s">
        <v>396</v>
      </c>
      <c r="E145" s="239" t="s">
        <v>420</v>
      </c>
      <c r="F145" s="239" t="s">
        <v>421</v>
      </c>
      <c r="G145" s="239" t="s">
        <v>939</v>
      </c>
      <c r="H145" s="239" t="s">
        <v>973</v>
      </c>
      <c r="I145" s="239" t="s">
        <v>399</v>
      </c>
      <c r="J145" s="234">
        <v>36580</v>
      </c>
      <c r="K145" s="234">
        <v>14790</v>
      </c>
      <c r="L145" s="242">
        <v>23</v>
      </c>
      <c r="M145" s="308">
        <v>21790</v>
      </c>
      <c r="N145" s="234">
        <v>16778.3</v>
      </c>
      <c r="O145" s="243" t="s">
        <v>1049</v>
      </c>
      <c r="P145" s="236">
        <v>45888</v>
      </c>
      <c r="Q145" s="244">
        <v>0.69898148148148154</v>
      </c>
    </row>
    <row r="146" spans="1:17" ht="63.75">
      <c r="A146" s="239" t="s">
        <v>1050</v>
      </c>
      <c r="B146" s="240">
        <v>1023</v>
      </c>
      <c r="C146" s="241">
        <v>30218</v>
      </c>
      <c r="D146" s="239" t="s">
        <v>396</v>
      </c>
      <c r="E146" s="239" t="s">
        <v>432</v>
      </c>
      <c r="F146" s="239" t="s">
        <v>433</v>
      </c>
      <c r="G146" s="239" t="s">
        <v>939</v>
      </c>
      <c r="H146" s="239" t="s">
        <v>973</v>
      </c>
      <c r="I146" s="239" t="s">
        <v>399</v>
      </c>
      <c r="J146" s="234">
        <v>42140</v>
      </c>
      <c r="K146" s="234">
        <v>15570</v>
      </c>
      <c r="L146" s="242">
        <v>22</v>
      </c>
      <c r="M146" s="308">
        <v>26570</v>
      </c>
      <c r="N146" s="234">
        <v>20724.599999999999</v>
      </c>
      <c r="O146" s="243" t="s">
        <v>1051</v>
      </c>
      <c r="P146" s="236">
        <v>45888</v>
      </c>
      <c r="Q146" s="244">
        <v>0.69929398148148147</v>
      </c>
    </row>
    <row r="147" spans="1:17" ht="63.75">
      <c r="A147" s="239" t="s">
        <v>1052</v>
      </c>
      <c r="B147" s="240">
        <v>1028</v>
      </c>
      <c r="C147" s="241">
        <v>30238</v>
      </c>
      <c r="D147" s="239" t="s">
        <v>396</v>
      </c>
      <c r="E147" s="239" t="s">
        <v>866</v>
      </c>
      <c r="F147" s="239" t="s">
        <v>867</v>
      </c>
      <c r="G147" s="239" t="s">
        <v>939</v>
      </c>
      <c r="H147" s="239" t="s">
        <v>973</v>
      </c>
      <c r="I147" s="239" t="s">
        <v>399</v>
      </c>
      <c r="J147" s="234">
        <v>38420</v>
      </c>
      <c r="K147" s="234">
        <v>14410</v>
      </c>
      <c r="L147" s="242">
        <v>11</v>
      </c>
      <c r="M147" s="308">
        <v>24010</v>
      </c>
      <c r="N147" s="234">
        <v>21368.9</v>
      </c>
      <c r="O147" s="243" t="s">
        <v>1053</v>
      </c>
      <c r="P147" s="236">
        <v>45888</v>
      </c>
      <c r="Q147" s="244">
        <v>0.70204861111111116</v>
      </c>
    </row>
    <row r="148" spans="1:17" ht="63.75">
      <c r="A148" s="239" t="s">
        <v>1056</v>
      </c>
      <c r="B148" s="240">
        <v>1029</v>
      </c>
      <c r="C148" s="241">
        <v>30226</v>
      </c>
      <c r="D148" s="239" t="s">
        <v>396</v>
      </c>
      <c r="E148" s="239" t="s">
        <v>1410</v>
      </c>
      <c r="F148" s="239" t="s">
        <v>437</v>
      </c>
      <c r="G148" s="239" t="s">
        <v>939</v>
      </c>
      <c r="H148" s="239" t="s">
        <v>973</v>
      </c>
      <c r="I148" s="239" t="s">
        <v>399</v>
      </c>
      <c r="J148" s="234">
        <v>39390</v>
      </c>
      <c r="K148" s="234">
        <v>14830</v>
      </c>
      <c r="L148" s="242">
        <v>13</v>
      </c>
      <c r="M148" s="308">
        <v>24560</v>
      </c>
      <c r="N148" s="234">
        <v>21367.200000000001</v>
      </c>
      <c r="O148" s="243" t="s">
        <v>1057</v>
      </c>
      <c r="P148" s="236">
        <v>45888</v>
      </c>
      <c r="Q148" s="244">
        <v>0.82085648148148149</v>
      </c>
    </row>
    <row r="149" spans="1:17" ht="63.75">
      <c r="A149" s="239" t="s">
        <v>1054</v>
      </c>
      <c r="B149" s="240">
        <v>1030</v>
      </c>
      <c r="C149" s="241">
        <v>30228</v>
      </c>
      <c r="D149" s="239" t="s">
        <v>396</v>
      </c>
      <c r="E149" s="239" t="s">
        <v>439</v>
      </c>
      <c r="F149" s="239" t="s">
        <v>440</v>
      </c>
      <c r="G149" s="239" t="s">
        <v>939</v>
      </c>
      <c r="H149" s="239" t="s">
        <v>973</v>
      </c>
      <c r="I149" s="239" t="s">
        <v>399</v>
      </c>
      <c r="J149" s="234">
        <v>40310</v>
      </c>
      <c r="K149" s="234">
        <v>14970</v>
      </c>
      <c r="L149" s="242">
        <v>18</v>
      </c>
      <c r="M149" s="308">
        <v>25340</v>
      </c>
      <c r="N149" s="234">
        <v>20778.8</v>
      </c>
      <c r="O149" s="243" t="s">
        <v>1055</v>
      </c>
      <c r="P149" s="236">
        <v>45888</v>
      </c>
      <c r="Q149" s="244">
        <v>0.75395833333333329</v>
      </c>
    </row>
    <row r="150" spans="1:17" ht="63.75">
      <c r="A150" s="239" t="s">
        <v>1058</v>
      </c>
      <c r="B150" s="240">
        <v>1031</v>
      </c>
      <c r="C150" s="241">
        <v>30232</v>
      </c>
      <c r="D150" s="239" t="s">
        <v>396</v>
      </c>
      <c r="E150" s="239" t="s">
        <v>369</v>
      </c>
      <c r="F150" s="239" t="s">
        <v>370</v>
      </c>
      <c r="G150" s="239" t="s">
        <v>939</v>
      </c>
      <c r="H150" s="239" t="s">
        <v>973</v>
      </c>
      <c r="I150" s="239" t="s">
        <v>399</v>
      </c>
      <c r="J150" s="234">
        <v>38060</v>
      </c>
      <c r="K150" s="234">
        <v>15060</v>
      </c>
      <c r="L150" s="242">
        <v>18</v>
      </c>
      <c r="M150" s="308">
        <v>23000</v>
      </c>
      <c r="N150" s="234">
        <v>18860</v>
      </c>
      <c r="O150" s="243" t="s">
        <v>1059</v>
      </c>
      <c r="P150" s="236">
        <v>45888</v>
      </c>
      <c r="Q150" s="244">
        <v>0.82774305555555561</v>
      </c>
    </row>
    <row r="151" spans="1:17" ht="63.75">
      <c r="A151" s="239" t="s">
        <v>1060</v>
      </c>
      <c r="B151" s="240">
        <v>1032</v>
      </c>
      <c r="C151" s="241">
        <v>30230</v>
      </c>
      <c r="D151" s="239" t="s">
        <v>396</v>
      </c>
      <c r="E151" s="239" t="s">
        <v>372</v>
      </c>
      <c r="F151" s="239" t="s">
        <v>373</v>
      </c>
      <c r="G151" s="239" t="s">
        <v>942</v>
      </c>
      <c r="H151" s="239" t="s">
        <v>869</v>
      </c>
      <c r="I151" s="239" t="s">
        <v>399</v>
      </c>
      <c r="J151" s="234">
        <v>38010</v>
      </c>
      <c r="K151" s="234">
        <v>14900</v>
      </c>
      <c r="L151" s="242">
        <v>13</v>
      </c>
      <c r="M151" s="308">
        <v>23110</v>
      </c>
      <c r="N151" s="234">
        <v>20105.7</v>
      </c>
      <c r="O151" s="243" t="s">
        <v>1061</v>
      </c>
      <c r="P151" s="236">
        <v>45888</v>
      </c>
      <c r="Q151" s="244">
        <v>0.87614583333333329</v>
      </c>
    </row>
    <row r="152" spans="1:17" ht="63.75">
      <c r="A152" s="239" t="s">
        <v>1066</v>
      </c>
      <c r="B152" s="240">
        <v>1033</v>
      </c>
      <c r="C152" s="241">
        <v>30234</v>
      </c>
      <c r="D152" s="239" t="s">
        <v>396</v>
      </c>
      <c r="E152" s="239" t="s">
        <v>374</v>
      </c>
      <c r="F152" s="239" t="s">
        <v>375</v>
      </c>
      <c r="G152" s="239" t="s">
        <v>942</v>
      </c>
      <c r="H152" s="239" t="s">
        <v>869</v>
      </c>
      <c r="I152" s="239" t="s">
        <v>399</v>
      </c>
      <c r="J152" s="234">
        <v>37880</v>
      </c>
      <c r="K152" s="234">
        <v>15550</v>
      </c>
      <c r="L152" s="242">
        <v>11</v>
      </c>
      <c r="M152" s="308">
        <v>22330</v>
      </c>
      <c r="N152" s="234">
        <v>19873.7</v>
      </c>
      <c r="O152" s="243" t="s">
        <v>1067</v>
      </c>
      <c r="P152" s="236">
        <v>45888</v>
      </c>
      <c r="Q152" s="244">
        <v>0.92297453703703702</v>
      </c>
    </row>
    <row r="153" spans="1:17" ht="63.75">
      <c r="A153" s="239" t="s">
        <v>1072</v>
      </c>
      <c r="B153" s="240">
        <v>1034</v>
      </c>
      <c r="C153" s="241">
        <v>30240</v>
      </c>
      <c r="D153" s="239" t="s">
        <v>396</v>
      </c>
      <c r="E153" s="239" t="s">
        <v>858</v>
      </c>
      <c r="F153" s="239" t="s">
        <v>859</v>
      </c>
      <c r="G153" s="239" t="s">
        <v>942</v>
      </c>
      <c r="H153" s="239" t="s">
        <v>869</v>
      </c>
      <c r="I153" s="239" t="s">
        <v>399</v>
      </c>
      <c r="J153" s="234">
        <v>38060</v>
      </c>
      <c r="K153" s="234">
        <v>14680</v>
      </c>
      <c r="L153" s="242">
        <v>4</v>
      </c>
      <c r="M153" s="308">
        <v>23380</v>
      </c>
      <c r="N153" s="234">
        <v>22444.799999999999</v>
      </c>
      <c r="O153" s="243" t="s">
        <v>1073</v>
      </c>
      <c r="P153" s="236">
        <v>45888</v>
      </c>
      <c r="Q153" s="244">
        <v>0.96182870370370366</v>
      </c>
    </row>
    <row r="154" spans="1:17" ht="63.75">
      <c r="A154" s="239" t="s">
        <v>1074</v>
      </c>
      <c r="B154" s="240">
        <v>1035</v>
      </c>
      <c r="C154" s="241">
        <v>30252</v>
      </c>
      <c r="D154" s="239" t="s">
        <v>396</v>
      </c>
      <c r="E154" s="239" t="s">
        <v>403</v>
      </c>
      <c r="F154" s="239" t="s">
        <v>404</v>
      </c>
      <c r="G154" s="239" t="s">
        <v>942</v>
      </c>
      <c r="H154" s="239" t="s">
        <v>869</v>
      </c>
      <c r="I154" s="239" t="s">
        <v>399</v>
      </c>
      <c r="J154" s="234">
        <v>37270</v>
      </c>
      <c r="K154" s="234">
        <v>14440</v>
      </c>
      <c r="L154" s="242">
        <v>28</v>
      </c>
      <c r="M154" s="308">
        <v>22830</v>
      </c>
      <c r="N154" s="234">
        <v>16437.599999999999</v>
      </c>
      <c r="O154" s="243" t="s">
        <v>1075</v>
      </c>
      <c r="P154" s="236">
        <v>45888</v>
      </c>
      <c r="Q154" s="244">
        <v>0.96510416666666665</v>
      </c>
    </row>
    <row r="155" spans="1:17" ht="63.75">
      <c r="A155" s="239" t="s">
        <v>1076</v>
      </c>
      <c r="B155" s="240">
        <v>1036</v>
      </c>
      <c r="C155" s="241">
        <v>30254</v>
      </c>
      <c r="D155" s="239" t="s">
        <v>396</v>
      </c>
      <c r="E155" s="239" t="s">
        <v>406</v>
      </c>
      <c r="F155" s="239" t="s">
        <v>407</v>
      </c>
      <c r="G155" s="239" t="s">
        <v>942</v>
      </c>
      <c r="H155" s="239" t="s">
        <v>869</v>
      </c>
      <c r="I155" s="239" t="s">
        <v>399</v>
      </c>
      <c r="J155" s="234">
        <v>38360</v>
      </c>
      <c r="K155" s="234">
        <v>15030</v>
      </c>
      <c r="L155" s="242">
        <v>24</v>
      </c>
      <c r="M155" s="308">
        <v>23330</v>
      </c>
      <c r="N155" s="234">
        <v>17730.8</v>
      </c>
      <c r="O155" s="243" t="s">
        <v>1077</v>
      </c>
      <c r="P155" s="236">
        <v>45888</v>
      </c>
      <c r="Q155" s="244">
        <v>0.99534722222222227</v>
      </c>
    </row>
    <row r="156" spans="1:17" ht="63.75">
      <c r="A156" s="239" t="s">
        <v>1062</v>
      </c>
      <c r="B156" s="240">
        <v>1037</v>
      </c>
      <c r="C156" s="241">
        <v>30268</v>
      </c>
      <c r="D156" s="239" t="s">
        <v>396</v>
      </c>
      <c r="E156" s="239" t="s">
        <v>841</v>
      </c>
      <c r="F156" s="239" t="s">
        <v>845</v>
      </c>
      <c r="G156" s="239" t="s">
        <v>942</v>
      </c>
      <c r="H156" s="239" t="s">
        <v>869</v>
      </c>
      <c r="I156" s="239" t="s">
        <v>399</v>
      </c>
      <c r="J156" s="234">
        <v>42150</v>
      </c>
      <c r="K156" s="234">
        <v>15710</v>
      </c>
      <c r="L156" s="242">
        <v>18</v>
      </c>
      <c r="M156" s="308">
        <v>26440</v>
      </c>
      <c r="N156" s="234">
        <v>21680.799999999999</v>
      </c>
      <c r="O156" s="243" t="s">
        <v>1063</v>
      </c>
      <c r="P156" s="236">
        <v>45888</v>
      </c>
      <c r="Q156" s="244">
        <v>0.89701388888888889</v>
      </c>
    </row>
    <row r="157" spans="1:17" ht="63.75">
      <c r="A157" s="239" t="s">
        <v>1064</v>
      </c>
      <c r="B157" s="240">
        <v>1038</v>
      </c>
      <c r="C157" s="241">
        <v>30288</v>
      </c>
      <c r="D157" s="239" t="s">
        <v>396</v>
      </c>
      <c r="E157" s="239" t="s">
        <v>794</v>
      </c>
      <c r="F157" s="239" t="s">
        <v>795</v>
      </c>
      <c r="G157" s="239" t="s">
        <v>942</v>
      </c>
      <c r="H157" s="239" t="s">
        <v>869</v>
      </c>
      <c r="I157" s="239" t="s">
        <v>399</v>
      </c>
      <c r="J157" s="234">
        <v>42350</v>
      </c>
      <c r="K157" s="234">
        <v>16110</v>
      </c>
      <c r="L157" s="242">
        <v>21</v>
      </c>
      <c r="M157" s="308">
        <v>26240</v>
      </c>
      <c r="N157" s="234">
        <v>20729.599999999999</v>
      </c>
      <c r="O157" s="243" t="s">
        <v>1065</v>
      </c>
      <c r="P157" s="236">
        <v>45888</v>
      </c>
      <c r="Q157" s="244">
        <v>0.90053240740740736</v>
      </c>
    </row>
    <row r="158" spans="1:17" ht="63.75">
      <c r="A158" s="239" t="s">
        <v>1068</v>
      </c>
      <c r="B158" s="240">
        <v>1039</v>
      </c>
      <c r="C158" s="241">
        <v>30290</v>
      </c>
      <c r="D158" s="239" t="s">
        <v>396</v>
      </c>
      <c r="E158" s="239" t="s">
        <v>783</v>
      </c>
      <c r="F158" s="239" t="s">
        <v>784</v>
      </c>
      <c r="G158" s="239" t="s">
        <v>942</v>
      </c>
      <c r="H158" s="239" t="s">
        <v>869</v>
      </c>
      <c r="I158" s="239" t="s">
        <v>399</v>
      </c>
      <c r="J158" s="234">
        <v>39940</v>
      </c>
      <c r="K158" s="234">
        <v>14660</v>
      </c>
      <c r="L158" s="242">
        <v>32</v>
      </c>
      <c r="M158" s="308">
        <v>25280</v>
      </c>
      <c r="N158" s="234">
        <v>17190.400000000001</v>
      </c>
      <c r="O158" s="243" t="s">
        <v>1069</v>
      </c>
      <c r="P158" s="236">
        <v>45888</v>
      </c>
      <c r="Q158" s="244">
        <v>0.93644675925925924</v>
      </c>
    </row>
    <row r="159" spans="1:17" ht="63.75">
      <c r="A159" s="239" t="s">
        <v>1070</v>
      </c>
      <c r="B159" s="240">
        <v>1040</v>
      </c>
      <c r="C159" s="241">
        <v>30293</v>
      </c>
      <c r="D159" s="239" t="s">
        <v>396</v>
      </c>
      <c r="E159" s="239" t="s">
        <v>791</v>
      </c>
      <c r="F159" s="239" t="s">
        <v>792</v>
      </c>
      <c r="G159" s="239" t="s">
        <v>942</v>
      </c>
      <c r="H159" s="239" t="s">
        <v>869</v>
      </c>
      <c r="I159" s="239" t="s">
        <v>399</v>
      </c>
      <c r="J159" s="234">
        <v>40180</v>
      </c>
      <c r="K159" s="234">
        <v>14980</v>
      </c>
      <c r="L159" s="242">
        <v>31</v>
      </c>
      <c r="M159" s="308">
        <v>25200</v>
      </c>
      <c r="N159" s="234">
        <v>17388</v>
      </c>
      <c r="O159" s="243" t="s">
        <v>1071</v>
      </c>
      <c r="P159" s="236">
        <v>45888</v>
      </c>
      <c r="Q159" s="244">
        <v>0.93960648148148151</v>
      </c>
    </row>
    <row r="160" spans="1:17" ht="63.75">
      <c r="A160" s="239" t="s">
        <v>1078</v>
      </c>
      <c r="B160" s="240">
        <v>1041</v>
      </c>
      <c r="C160" s="241">
        <v>30300</v>
      </c>
      <c r="D160" s="239" t="s">
        <v>396</v>
      </c>
      <c r="E160" s="239" t="s">
        <v>475</v>
      </c>
      <c r="F160" s="239" t="s">
        <v>476</v>
      </c>
      <c r="G160" s="239" t="s">
        <v>942</v>
      </c>
      <c r="H160" s="239" t="s">
        <v>869</v>
      </c>
      <c r="I160" s="239" t="s">
        <v>399</v>
      </c>
      <c r="J160" s="234">
        <v>38660</v>
      </c>
      <c r="K160" s="234">
        <v>16320</v>
      </c>
      <c r="L160" s="242">
        <v>15</v>
      </c>
      <c r="M160" s="308">
        <v>22340</v>
      </c>
      <c r="N160" s="234">
        <v>18989</v>
      </c>
      <c r="O160" s="243" t="s">
        <v>1079</v>
      </c>
      <c r="P160" s="236">
        <v>45889</v>
      </c>
      <c r="Q160" s="244">
        <v>0.25137731481481479</v>
      </c>
    </row>
    <row r="161" spans="1:17" ht="63.75">
      <c r="A161" s="239" t="s">
        <v>1080</v>
      </c>
      <c r="B161" s="240">
        <v>1042</v>
      </c>
      <c r="C161" s="241">
        <v>30302</v>
      </c>
      <c r="D161" s="239" t="s">
        <v>396</v>
      </c>
      <c r="E161" s="239" t="s">
        <v>472</v>
      </c>
      <c r="F161" s="239" t="s">
        <v>473</v>
      </c>
      <c r="G161" s="239" t="s">
        <v>942</v>
      </c>
      <c r="H161" s="239" t="s">
        <v>869</v>
      </c>
      <c r="I161" s="239" t="s">
        <v>399</v>
      </c>
      <c r="J161" s="234">
        <v>39010</v>
      </c>
      <c r="K161" s="234">
        <v>16650</v>
      </c>
      <c r="L161" s="242">
        <v>22</v>
      </c>
      <c r="M161" s="308">
        <v>22360</v>
      </c>
      <c r="N161" s="234">
        <v>17440.8</v>
      </c>
      <c r="O161" s="243" t="s">
        <v>1081</v>
      </c>
      <c r="P161" s="236">
        <v>45889</v>
      </c>
      <c r="Q161" s="244">
        <v>0.33103009259259258</v>
      </c>
    </row>
    <row r="162" spans="1:17" ht="63.75">
      <c r="A162" s="239" t="s">
        <v>1082</v>
      </c>
      <c r="B162" s="240">
        <v>1043</v>
      </c>
      <c r="C162" s="241">
        <v>30304</v>
      </c>
      <c r="D162" s="239" t="s">
        <v>396</v>
      </c>
      <c r="E162" s="239" t="s">
        <v>462</v>
      </c>
      <c r="F162" s="239" t="s">
        <v>463</v>
      </c>
      <c r="G162" s="239" t="s">
        <v>942</v>
      </c>
      <c r="H162" s="239" t="s">
        <v>869</v>
      </c>
      <c r="I162" s="239" t="s">
        <v>399</v>
      </c>
      <c r="J162" s="234">
        <v>38980</v>
      </c>
      <c r="K162" s="234">
        <v>16370</v>
      </c>
      <c r="L162" s="242">
        <v>18</v>
      </c>
      <c r="M162" s="308">
        <v>22610</v>
      </c>
      <c r="N162" s="234">
        <v>18540.2</v>
      </c>
      <c r="O162" s="243" t="s">
        <v>1083</v>
      </c>
      <c r="P162" s="236">
        <v>45889</v>
      </c>
      <c r="Q162" s="244">
        <v>0.38533564814814814</v>
      </c>
    </row>
    <row r="163" spans="1:17" ht="63.75">
      <c r="A163" s="239" t="s">
        <v>1084</v>
      </c>
      <c r="B163" s="240">
        <v>1044</v>
      </c>
      <c r="C163" s="241">
        <v>30306</v>
      </c>
      <c r="D163" s="239" t="s">
        <v>396</v>
      </c>
      <c r="E163" s="239" t="s">
        <v>786</v>
      </c>
      <c r="F163" s="239" t="s">
        <v>787</v>
      </c>
      <c r="G163" s="239" t="s">
        <v>942</v>
      </c>
      <c r="H163" s="239" t="s">
        <v>869</v>
      </c>
      <c r="I163" s="239" t="s">
        <v>399</v>
      </c>
      <c r="J163" s="234">
        <v>35740</v>
      </c>
      <c r="K163" s="234">
        <v>14020</v>
      </c>
      <c r="L163" s="242">
        <v>26</v>
      </c>
      <c r="M163" s="308">
        <v>21720</v>
      </c>
      <c r="N163" s="234">
        <v>16072.8</v>
      </c>
      <c r="O163" s="243" t="s">
        <v>1085</v>
      </c>
      <c r="P163" s="236">
        <v>45889</v>
      </c>
      <c r="Q163" s="244">
        <v>0.51440972222222225</v>
      </c>
    </row>
    <row r="164" spans="1:17" ht="63.75">
      <c r="A164" s="239" t="s">
        <v>1086</v>
      </c>
      <c r="B164" s="240">
        <v>1045</v>
      </c>
      <c r="C164" s="241">
        <v>30314</v>
      </c>
      <c r="D164" s="239" t="s">
        <v>396</v>
      </c>
      <c r="E164" s="239" t="s">
        <v>380</v>
      </c>
      <c r="F164" s="239" t="s">
        <v>381</v>
      </c>
      <c r="G164" s="239" t="s">
        <v>942</v>
      </c>
      <c r="H164" s="239" t="s">
        <v>869</v>
      </c>
      <c r="I164" s="239" t="s">
        <v>399</v>
      </c>
      <c r="J164" s="234">
        <v>37570</v>
      </c>
      <c r="K164" s="234">
        <v>15030</v>
      </c>
      <c r="L164" s="242">
        <v>18</v>
      </c>
      <c r="M164" s="308">
        <v>22540</v>
      </c>
      <c r="N164" s="234">
        <v>18482.8</v>
      </c>
      <c r="O164" s="243" t="s">
        <v>1087</v>
      </c>
      <c r="P164" s="236">
        <v>45889</v>
      </c>
      <c r="Q164" s="244">
        <v>0.52462962962962967</v>
      </c>
    </row>
    <row r="165" spans="1:17" ht="63.75">
      <c r="A165" s="239" t="s">
        <v>1088</v>
      </c>
      <c r="B165" s="240">
        <v>1046</v>
      </c>
      <c r="C165" s="241">
        <v>30320</v>
      </c>
      <c r="D165" s="239" t="s">
        <v>396</v>
      </c>
      <c r="E165" s="239" t="s">
        <v>384</v>
      </c>
      <c r="F165" s="239" t="s">
        <v>385</v>
      </c>
      <c r="G165" s="239" t="s">
        <v>942</v>
      </c>
      <c r="H165" s="239" t="s">
        <v>869</v>
      </c>
      <c r="I165" s="239" t="s">
        <v>399</v>
      </c>
      <c r="J165" s="234">
        <v>35480</v>
      </c>
      <c r="K165" s="234">
        <v>13900</v>
      </c>
      <c r="L165" s="242">
        <v>30</v>
      </c>
      <c r="M165" s="308">
        <v>21580</v>
      </c>
      <c r="N165" s="234">
        <v>15106</v>
      </c>
      <c r="O165" s="243" t="s">
        <v>1089</v>
      </c>
      <c r="P165" s="236">
        <v>45889</v>
      </c>
      <c r="Q165" s="244">
        <v>0.53246527777777775</v>
      </c>
    </row>
    <row r="166" spans="1:17" ht="63.75">
      <c r="A166" s="239" t="s">
        <v>1090</v>
      </c>
      <c r="B166" s="240">
        <v>1047</v>
      </c>
      <c r="C166" s="241">
        <v>30322</v>
      </c>
      <c r="D166" s="239" t="s">
        <v>396</v>
      </c>
      <c r="E166" s="239" t="s">
        <v>400</v>
      </c>
      <c r="F166" s="239" t="s">
        <v>401</v>
      </c>
      <c r="G166" s="239" t="s">
        <v>942</v>
      </c>
      <c r="H166" s="239" t="s">
        <v>869</v>
      </c>
      <c r="I166" s="239" t="s">
        <v>399</v>
      </c>
      <c r="J166" s="234">
        <v>37680</v>
      </c>
      <c r="K166" s="234">
        <v>14670</v>
      </c>
      <c r="L166" s="242">
        <v>27</v>
      </c>
      <c r="M166" s="308">
        <v>23010</v>
      </c>
      <c r="N166" s="234">
        <v>16797.3</v>
      </c>
      <c r="O166" s="243" t="s">
        <v>1091</v>
      </c>
      <c r="P166" s="236">
        <v>45889</v>
      </c>
      <c r="Q166" s="244">
        <v>0.54021990740740744</v>
      </c>
    </row>
    <row r="167" spans="1:17" ht="63.75">
      <c r="A167" s="239" t="s">
        <v>1092</v>
      </c>
      <c r="B167" s="240">
        <v>1048</v>
      </c>
      <c r="C167" s="241">
        <v>30324</v>
      </c>
      <c r="D167" s="239" t="s">
        <v>396</v>
      </c>
      <c r="E167" s="239" t="s">
        <v>377</v>
      </c>
      <c r="F167" s="239" t="s">
        <v>378</v>
      </c>
      <c r="G167" s="239" t="s">
        <v>942</v>
      </c>
      <c r="H167" s="239" t="s">
        <v>869</v>
      </c>
      <c r="I167" s="239" t="s">
        <v>399</v>
      </c>
      <c r="J167" s="234">
        <v>39070</v>
      </c>
      <c r="K167" s="234">
        <v>15060</v>
      </c>
      <c r="L167" s="242">
        <v>23</v>
      </c>
      <c r="M167" s="308">
        <v>24010</v>
      </c>
      <c r="N167" s="234">
        <v>18487.7</v>
      </c>
      <c r="O167" s="243" t="s">
        <v>1093</v>
      </c>
      <c r="P167" s="236">
        <v>45889</v>
      </c>
      <c r="Q167" s="244">
        <v>0.61686342592592591</v>
      </c>
    </row>
    <row r="168" spans="1:17" ht="63.75">
      <c r="A168" s="239" t="s">
        <v>1094</v>
      </c>
      <c r="B168" s="240">
        <v>1049</v>
      </c>
      <c r="C168" s="241">
        <v>30334</v>
      </c>
      <c r="D168" s="239" t="s">
        <v>396</v>
      </c>
      <c r="E168" s="239" t="s">
        <v>780</v>
      </c>
      <c r="F168" s="239" t="s">
        <v>781</v>
      </c>
      <c r="G168" s="239" t="s">
        <v>942</v>
      </c>
      <c r="H168" s="239" t="s">
        <v>869</v>
      </c>
      <c r="I168" s="239" t="s">
        <v>399</v>
      </c>
      <c r="J168" s="234">
        <v>35760</v>
      </c>
      <c r="K168" s="234">
        <v>14840</v>
      </c>
      <c r="L168" s="242">
        <v>18</v>
      </c>
      <c r="M168" s="308">
        <v>20920</v>
      </c>
      <c r="N168" s="234">
        <v>17154.400000000001</v>
      </c>
      <c r="O168" s="243" t="s">
        <v>1095</v>
      </c>
      <c r="P168" s="236">
        <v>45889</v>
      </c>
      <c r="Q168" s="244">
        <v>0.62690972222222219</v>
      </c>
    </row>
    <row r="169" spans="1:17" ht="63.75">
      <c r="A169" s="239" t="s">
        <v>1096</v>
      </c>
      <c r="B169" s="240">
        <v>1050</v>
      </c>
      <c r="C169" s="241">
        <v>30336</v>
      </c>
      <c r="D169" s="239" t="s">
        <v>396</v>
      </c>
      <c r="E169" s="239" t="s">
        <v>442</v>
      </c>
      <c r="F169" s="239" t="s">
        <v>443</v>
      </c>
      <c r="G169" s="239" t="s">
        <v>942</v>
      </c>
      <c r="H169" s="239" t="s">
        <v>869</v>
      </c>
      <c r="I169" s="239" t="s">
        <v>399</v>
      </c>
      <c r="J169" s="234">
        <v>35020</v>
      </c>
      <c r="K169" s="234">
        <v>14490</v>
      </c>
      <c r="L169" s="242">
        <v>32</v>
      </c>
      <c r="M169" s="308">
        <v>20530</v>
      </c>
      <c r="N169" s="234">
        <v>13960.4</v>
      </c>
      <c r="O169" s="243" t="s">
        <v>1097</v>
      </c>
      <c r="P169" s="236">
        <v>45889</v>
      </c>
      <c r="Q169" s="244">
        <v>0.63763888888888887</v>
      </c>
    </row>
    <row r="170" spans="1:17" ht="63.75">
      <c r="A170" s="239" t="s">
        <v>1098</v>
      </c>
      <c r="B170" s="240">
        <v>1051</v>
      </c>
      <c r="C170" s="241">
        <v>30342</v>
      </c>
      <c r="D170" s="239" t="s">
        <v>396</v>
      </c>
      <c r="E170" s="239" t="s">
        <v>429</v>
      </c>
      <c r="F170" s="239" t="s">
        <v>430</v>
      </c>
      <c r="G170" s="239" t="s">
        <v>942</v>
      </c>
      <c r="H170" s="239" t="s">
        <v>869</v>
      </c>
      <c r="I170" s="239" t="s">
        <v>399</v>
      </c>
      <c r="J170" s="234">
        <v>35250</v>
      </c>
      <c r="K170" s="234">
        <v>14220</v>
      </c>
      <c r="L170" s="242">
        <v>9</v>
      </c>
      <c r="M170" s="308">
        <v>21030</v>
      </c>
      <c r="N170" s="234">
        <v>19137.3</v>
      </c>
      <c r="O170" s="243" t="s">
        <v>1099</v>
      </c>
      <c r="P170" s="236">
        <v>45889</v>
      </c>
      <c r="Q170" s="244">
        <v>0.6766550925925926</v>
      </c>
    </row>
    <row r="171" spans="1:17" ht="63.75">
      <c r="A171" s="239" t="s">
        <v>1100</v>
      </c>
      <c r="B171" s="240">
        <v>1053</v>
      </c>
      <c r="C171" s="241">
        <v>30339</v>
      </c>
      <c r="D171" s="239" t="s">
        <v>396</v>
      </c>
      <c r="E171" s="239" t="s">
        <v>382</v>
      </c>
      <c r="F171" s="239" t="s">
        <v>383</v>
      </c>
      <c r="G171" s="239" t="s">
        <v>942</v>
      </c>
      <c r="H171" s="239" t="s">
        <v>869</v>
      </c>
      <c r="I171" s="239" t="s">
        <v>399</v>
      </c>
      <c r="J171" s="234">
        <v>36080</v>
      </c>
      <c r="K171" s="234">
        <v>14530</v>
      </c>
      <c r="L171" s="242">
        <v>31</v>
      </c>
      <c r="M171" s="308">
        <v>21550</v>
      </c>
      <c r="N171" s="234">
        <v>14869.5</v>
      </c>
      <c r="O171" s="243" t="s">
        <v>1101</v>
      </c>
      <c r="P171" s="236">
        <v>45889</v>
      </c>
      <c r="Q171" s="244">
        <v>0.78209490740740739</v>
      </c>
    </row>
    <row r="172" spans="1:17" ht="63.75">
      <c r="A172" s="239" t="s">
        <v>1102</v>
      </c>
      <c r="B172" s="240">
        <v>1054</v>
      </c>
      <c r="C172" s="241">
        <v>30344</v>
      </c>
      <c r="D172" s="239" t="s">
        <v>396</v>
      </c>
      <c r="E172" s="239" t="s">
        <v>416</v>
      </c>
      <c r="F172" s="239" t="s">
        <v>417</v>
      </c>
      <c r="G172" s="239" t="s">
        <v>942</v>
      </c>
      <c r="H172" s="239" t="s">
        <v>869</v>
      </c>
      <c r="I172" s="239" t="s">
        <v>399</v>
      </c>
      <c r="J172" s="234">
        <v>37510</v>
      </c>
      <c r="K172" s="234">
        <v>14760</v>
      </c>
      <c r="L172" s="242">
        <v>21</v>
      </c>
      <c r="M172" s="308">
        <v>22750</v>
      </c>
      <c r="N172" s="234">
        <v>17972.5</v>
      </c>
      <c r="O172" s="243" t="s">
        <v>1103</v>
      </c>
      <c r="P172" s="236">
        <v>45889</v>
      </c>
      <c r="Q172" s="244">
        <v>0.78923611111111114</v>
      </c>
    </row>
    <row r="173" spans="1:17" ht="63.75">
      <c r="A173" s="239" t="s">
        <v>1106</v>
      </c>
      <c r="B173" s="240">
        <v>1055</v>
      </c>
      <c r="C173" s="241">
        <v>30346</v>
      </c>
      <c r="D173" s="239" t="s">
        <v>396</v>
      </c>
      <c r="E173" s="239" t="s">
        <v>420</v>
      </c>
      <c r="F173" s="239" t="s">
        <v>421</v>
      </c>
      <c r="G173" s="239" t="s">
        <v>942</v>
      </c>
      <c r="H173" s="239" t="s">
        <v>869</v>
      </c>
      <c r="I173" s="239" t="s">
        <v>399</v>
      </c>
      <c r="J173" s="234">
        <v>35760</v>
      </c>
      <c r="K173" s="234">
        <v>14860</v>
      </c>
      <c r="L173" s="242">
        <v>24</v>
      </c>
      <c r="M173" s="308">
        <v>20900</v>
      </c>
      <c r="N173" s="234">
        <v>15884</v>
      </c>
      <c r="O173" s="243" t="s">
        <v>1107</v>
      </c>
      <c r="P173" s="236">
        <v>45889</v>
      </c>
      <c r="Q173" s="244">
        <v>0.8541319444444444</v>
      </c>
    </row>
    <row r="174" spans="1:17" ht="63.75">
      <c r="A174" s="239" t="s">
        <v>1108</v>
      </c>
      <c r="B174" s="240">
        <v>1059</v>
      </c>
      <c r="C174" s="241">
        <v>30111</v>
      </c>
      <c r="D174" s="239" t="s">
        <v>396</v>
      </c>
      <c r="E174" s="239" t="s">
        <v>388</v>
      </c>
      <c r="F174" s="239" t="s">
        <v>389</v>
      </c>
      <c r="G174" s="239" t="s">
        <v>942</v>
      </c>
      <c r="H174" s="239" t="s">
        <v>973</v>
      </c>
      <c r="I174" s="239" t="s">
        <v>399</v>
      </c>
      <c r="J174" s="234">
        <v>40000</v>
      </c>
      <c r="K174" s="234">
        <v>20920</v>
      </c>
      <c r="L174" s="242">
        <v>36</v>
      </c>
      <c r="M174" s="308">
        <v>19080</v>
      </c>
      <c r="N174" s="234">
        <v>12211.2</v>
      </c>
      <c r="O174" s="243" t="s">
        <v>1109</v>
      </c>
      <c r="P174" s="236">
        <v>45889</v>
      </c>
      <c r="Q174" s="244">
        <v>0.87865740740740739</v>
      </c>
    </row>
    <row r="175" spans="1:17" ht="63.75">
      <c r="A175" s="239" t="s">
        <v>1114</v>
      </c>
      <c r="B175" s="240">
        <v>1060</v>
      </c>
      <c r="C175" s="241">
        <v>30348</v>
      </c>
      <c r="D175" s="239" t="s">
        <v>396</v>
      </c>
      <c r="E175" s="239" t="s">
        <v>432</v>
      </c>
      <c r="F175" s="239" t="s">
        <v>433</v>
      </c>
      <c r="G175" s="239" t="s">
        <v>942</v>
      </c>
      <c r="H175" s="239" t="s">
        <v>869</v>
      </c>
      <c r="I175" s="239" t="s">
        <v>399</v>
      </c>
      <c r="J175" s="234">
        <v>40560</v>
      </c>
      <c r="K175" s="234">
        <v>15670</v>
      </c>
      <c r="L175" s="242"/>
      <c r="M175" s="308">
        <v>24890</v>
      </c>
      <c r="N175" s="234">
        <v>24890</v>
      </c>
      <c r="O175" s="243" t="s">
        <v>1115</v>
      </c>
      <c r="P175" s="236">
        <v>45889</v>
      </c>
      <c r="Q175" s="244">
        <v>0.93834490740740739</v>
      </c>
    </row>
    <row r="176" spans="1:17" ht="63.75">
      <c r="A176" s="239" t="s">
        <v>1118</v>
      </c>
      <c r="B176" s="240">
        <v>1062</v>
      </c>
      <c r="C176" s="241">
        <v>30350</v>
      </c>
      <c r="D176" s="239" t="s">
        <v>396</v>
      </c>
      <c r="E176" s="239" t="s">
        <v>392</v>
      </c>
      <c r="F176" s="239" t="s">
        <v>393</v>
      </c>
      <c r="G176" s="239" t="s">
        <v>942</v>
      </c>
      <c r="H176" s="239" t="s">
        <v>869</v>
      </c>
      <c r="I176" s="239" t="s">
        <v>399</v>
      </c>
      <c r="J176" s="234">
        <v>45250</v>
      </c>
      <c r="K176" s="234">
        <v>24040</v>
      </c>
      <c r="L176" s="242">
        <v>17</v>
      </c>
      <c r="M176" s="308">
        <v>21210</v>
      </c>
      <c r="N176" s="234">
        <v>17604.3</v>
      </c>
      <c r="O176" s="243" t="s">
        <v>1119</v>
      </c>
      <c r="P176" s="236">
        <v>45889</v>
      </c>
      <c r="Q176" s="244">
        <v>0.99400462962962965</v>
      </c>
    </row>
    <row r="177" spans="1:17" ht="63.75">
      <c r="A177" s="239" t="s">
        <v>1104</v>
      </c>
      <c r="B177" s="240">
        <v>1063</v>
      </c>
      <c r="C177" s="241">
        <v>30352</v>
      </c>
      <c r="D177" s="239" t="s">
        <v>396</v>
      </c>
      <c r="E177" s="239" t="s">
        <v>390</v>
      </c>
      <c r="F177" s="239" t="s">
        <v>391</v>
      </c>
      <c r="G177" s="239" t="s">
        <v>942</v>
      </c>
      <c r="H177" s="239" t="s">
        <v>973</v>
      </c>
      <c r="I177" s="239" t="s">
        <v>399</v>
      </c>
      <c r="J177" s="234">
        <v>37750</v>
      </c>
      <c r="K177" s="234">
        <v>14850</v>
      </c>
      <c r="L177" s="242">
        <v>14</v>
      </c>
      <c r="M177" s="308">
        <v>22900</v>
      </c>
      <c r="N177" s="234">
        <v>19694</v>
      </c>
      <c r="O177" s="243" t="s">
        <v>1105</v>
      </c>
      <c r="P177" s="236">
        <v>45889</v>
      </c>
      <c r="Q177" s="244">
        <v>0.80378472222222219</v>
      </c>
    </row>
    <row r="178" spans="1:17" ht="63.75">
      <c r="A178" s="239" t="s">
        <v>1110</v>
      </c>
      <c r="B178" s="240">
        <v>1064</v>
      </c>
      <c r="C178" s="241">
        <v>30356</v>
      </c>
      <c r="D178" s="239" t="s">
        <v>396</v>
      </c>
      <c r="E178" s="239" t="s">
        <v>1410</v>
      </c>
      <c r="F178" s="239" t="s">
        <v>437</v>
      </c>
      <c r="G178" s="239" t="s">
        <v>942</v>
      </c>
      <c r="H178" s="239" t="s">
        <v>973</v>
      </c>
      <c r="I178" s="239" t="s">
        <v>399</v>
      </c>
      <c r="J178" s="234">
        <v>39150</v>
      </c>
      <c r="K178" s="234">
        <v>14840</v>
      </c>
      <c r="L178" s="242">
        <v>22</v>
      </c>
      <c r="M178" s="308">
        <v>24310</v>
      </c>
      <c r="N178" s="234">
        <v>18961.8</v>
      </c>
      <c r="O178" s="243" t="s">
        <v>1111</v>
      </c>
      <c r="P178" s="236">
        <v>45889</v>
      </c>
      <c r="Q178" s="244">
        <v>0.91562500000000002</v>
      </c>
    </row>
    <row r="179" spans="1:17" ht="63.75">
      <c r="A179" s="239" t="s">
        <v>1112</v>
      </c>
      <c r="B179" s="240">
        <v>1065</v>
      </c>
      <c r="C179" s="241">
        <v>30358</v>
      </c>
      <c r="D179" s="239" t="s">
        <v>396</v>
      </c>
      <c r="E179" s="239" t="s">
        <v>439</v>
      </c>
      <c r="F179" s="239" t="s">
        <v>440</v>
      </c>
      <c r="G179" s="239" t="s">
        <v>942</v>
      </c>
      <c r="H179" s="239" t="s">
        <v>973</v>
      </c>
      <c r="I179" s="239" t="s">
        <v>399</v>
      </c>
      <c r="J179" s="234">
        <v>40680</v>
      </c>
      <c r="K179" s="234">
        <v>14900</v>
      </c>
      <c r="L179" s="242">
        <v>21</v>
      </c>
      <c r="M179" s="308">
        <v>25780</v>
      </c>
      <c r="N179" s="234">
        <v>20366.2</v>
      </c>
      <c r="O179" s="243" t="s">
        <v>1113</v>
      </c>
      <c r="P179" s="236">
        <v>45889</v>
      </c>
      <c r="Q179" s="244">
        <v>0.92093749999999996</v>
      </c>
    </row>
    <row r="180" spans="1:17" ht="63.75">
      <c r="A180" s="239" t="s">
        <v>1116</v>
      </c>
      <c r="B180" s="240">
        <v>1066</v>
      </c>
      <c r="C180" s="241">
        <v>30360</v>
      </c>
      <c r="D180" s="239" t="s">
        <v>396</v>
      </c>
      <c r="E180" s="239" t="s">
        <v>447</v>
      </c>
      <c r="F180" s="239" t="s">
        <v>448</v>
      </c>
      <c r="G180" s="239" t="s">
        <v>942</v>
      </c>
      <c r="H180" s="239" t="s">
        <v>973</v>
      </c>
      <c r="I180" s="239" t="s">
        <v>399</v>
      </c>
      <c r="J180" s="234">
        <v>45370</v>
      </c>
      <c r="K180" s="234">
        <v>19350</v>
      </c>
      <c r="L180" s="242">
        <v>32</v>
      </c>
      <c r="M180" s="308">
        <v>26020</v>
      </c>
      <c r="N180" s="234">
        <v>17693.599999999999</v>
      </c>
      <c r="O180" s="243" t="s">
        <v>1117</v>
      </c>
      <c r="P180" s="236">
        <v>45889</v>
      </c>
      <c r="Q180" s="244">
        <v>0.94116898148148154</v>
      </c>
    </row>
    <row r="181" spans="1:17" ht="63.75">
      <c r="A181" s="239" t="s">
        <v>1120</v>
      </c>
      <c r="B181" s="240">
        <v>1067</v>
      </c>
      <c r="C181" s="241">
        <v>30362</v>
      </c>
      <c r="D181" s="239" t="s">
        <v>396</v>
      </c>
      <c r="E181" s="239" t="s">
        <v>403</v>
      </c>
      <c r="F181" s="239" t="s">
        <v>404</v>
      </c>
      <c r="G181" s="239" t="s">
        <v>942</v>
      </c>
      <c r="H181" s="239" t="s">
        <v>973</v>
      </c>
      <c r="I181" s="239" t="s">
        <v>399</v>
      </c>
      <c r="J181" s="234">
        <v>38240</v>
      </c>
      <c r="K181" s="234">
        <v>14490</v>
      </c>
      <c r="L181" s="242">
        <v>42</v>
      </c>
      <c r="M181" s="308">
        <v>23750</v>
      </c>
      <c r="N181" s="234">
        <v>13775</v>
      </c>
      <c r="O181" s="243" t="s">
        <v>1121</v>
      </c>
      <c r="P181" s="236">
        <v>45890</v>
      </c>
      <c r="Q181" s="244">
        <v>0.21462962962962964</v>
      </c>
    </row>
    <row r="182" spans="1:17" ht="63.75">
      <c r="A182" s="239" t="s">
        <v>1122</v>
      </c>
      <c r="B182" s="240">
        <v>1068</v>
      </c>
      <c r="C182" s="241">
        <v>30364</v>
      </c>
      <c r="D182" s="239" t="s">
        <v>396</v>
      </c>
      <c r="E182" s="239" t="s">
        <v>406</v>
      </c>
      <c r="F182" s="239" t="s">
        <v>407</v>
      </c>
      <c r="G182" s="239" t="s">
        <v>942</v>
      </c>
      <c r="H182" s="239" t="s">
        <v>973</v>
      </c>
      <c r="I182" s="239" t="s">
        <v>399</v>
      </c>
      <c r="J182" s="234">
        <v>38700</v>
      </c>
      <c r="K182" s="234">
        <v>15070</v>
      </c>
      <c r="L182" s="242">
        <v>21</v>
      </c>
      <c r="M182" s="308">
        <v>23630</v>
      </c>
      <c r="N182" s="234">
        <v>18667.7</v>
      </c>
      <c r="O182" s="243" t="s">
        <v>1123</v>
      </c>
      <c r="P182" s="236">
        <v>45890</v>
      </c>
      <c r="Q182" s="244">
        <v>0.23901620370370372</v>
      </c>
    </row>
    <row r="183" spans="1:17" ht="63.75">
      <c r="A183" s="239" t="s">
        <v>1124</v>
      </c>
      <c r="B183" s="240">
        <v>1069</v>
      </c>
      <c r="C183" s="241">
        <v>30368</v>
      </c>
      <c r="D183" s="239" t="s">
        <v>396</v>
      </c>
      <c r="E183" s="239" t="s">
        <v>453</v>
      </c>
      <c r="F183" s="239" t="s">
        <v>454</v>
      </c>
      <c r="G183" s="239" t="s">
        <v>942</v>
      </c>
      <c r="H183" s="239" t="s">
        <v>973</v>
      </c>
      <c r="I183" s="239" t="s">
        <v>399</v>
      </c>
      <c r="J183" s="234">
        <v>46560</v>
      </c>
      <c r="K183" s="234">
        <v>24080</v>
      </c>
      <c r="L183" s="242">
        <v>29</v>
      </c>
      <c r="M183" s="308">
        <v>22480</v>
      </c>
      <c r="N183" s="234">
        <v>15960.8</v>
      </c>
      <c r="O183" s="243" t="s">
        <v>1125</v>
      </c>
      <c r="P183" s="236">
        <v>45890</v>
      </c>
      <c r="Q183" s="244">
        <v>0.34938657407407409</v>
      </c>
    </row>
    <row r="184" spans="1:17" ht="63.75">
      <c r="A184" s="239" t="s">
        <v>1126</v>
      </c>
      <c r="B184" s="240">
        <v>1070</v>
      </c>
      <c r="C184" s="241">
        <v>30366</v>
      </c>
      <c r="D184" s="239" t="s">
        <v>396</v>
      </c>
      <c r="E184" s="239" t="s">
        <v>456</v>
      </c>
      <c r="F184" s="239" t="s">
        <v>457</v>
      </c>
      <c r="G184" s="239" t="s">
        <v>942</v>
      </c>
      <c r="H184" s="239" t="s">
        <v>973</v>
      </c>
      <c r="I184" s="239" t="s">
        <v>399</v>
      </c>
      <c r="J184" s="234">
        <v>40610</v>
      </c>
      <c r="K184" s="234">
        <v>15510</v>
      </c>
      <c r="L184" s="242">
        <v>22</v>
      </c>
      <c r="M184" s="308">
        <v>25100</v>
      </c>
      <c r="N184" s="234">
        <v>19578</v>
      </c>
      <c r="O184" s="243" t="s">
        <v>1127</v>
      </c>
      <c r="P184" s="236">
        <v>45890</v>
      </c>
      <c r="Q184" s="244">
        <v>0.45318287037037036</v>
      </c>
    </row>
    <row r="185" spans="1:17" ht="63.75">
      <c r="A185" s="239" t="s">
        <v>1128</v>
      </c>
      <c r="B185" s="240">
        <v>1071</v>
      </c>
      <c r="C185" s="241">
        <v>30371</v>
      </c>
      <c r="D185" s="239" t="s">
        <v>396</v>
      </c>
      <c r="E185" s="239" t="s">
        <v>372</v>
      </c>
      <c r="F185" s="239" t="s">
        <v>373</v>
      </c>
      <c r="G185" s="239" t="s">
        <v>942</v>
      </c>
      <c r="H185" s="239" t="s">
        <v>973</v>
      </c>
      <c r="I185" s="239" t="s">
        <v>399</v>
      </c>
      <c r="J185" s="234">
        <v>39330</v>
      </c>
      <c r="K185" s="234">
        <v>14940</v>
      </c>
      <c r="L185" s="242">
        <v>48</v>
      </c>
      <c r="M185" s="308">
        <v>24390</v>
      </c>
      <c r="N185" s="234">
        <v>12682.8</v>
      </c>
      <c r="O185" s="243" t="s">
        <v>1129</v>
      </c>
      <c r="P185" s="236">
        <v>45890</v>
      </c>
      <c r="Q185" s="244">
        <v>0.46141203703703704</v>
      </c>
    </row>
    <row r="186" spans="1:17" ht="63.75">
      <c r="A186" s="239" t="s">
        <v>1130</v>
      </c>
      <c r="B186" s="240">
        <v>1072</v>
      </c>
      <c r="C186" s="241">
        <v>30373</v>
      </c>
      <c r="D186" s="239" t="s">
        <v>396</v>
      </c>
      <c r="E186" s="239" t="s">
        <v>369</v>
      </c>
      <c r="F186" s="239" t="s">
        <v>370</v>
      </c>
      <c r="G186" s="239" t="s">
        <v>942</v>
      </c>
      <c r="H186" s="239" t="s">
        <v>973</v>
      </c>
      <c r="I186" s="239" t="s">
        <v>399</v>
      </c>
      <c r="J186" s="234">
        <v>38070</v>
      </c>
      <c r="K186" s="234">
        <v>15070</v>
      </c>
      <c r="L186" s="242">
        <v>24</v>
      </c>
      <c r="M186" s="308">
        <v>23000</v>
      </c>
      <c r="N186" s="234">
        <v>17480</v>
      </c>
      <c r="O186" s="243" t="s">
        <v>1131</v>
      </c>
      <c r="P186" s="236">
        <v>45890</v>
      </c>
      <c r="Q186" s="244">
        <v>0.47001157407407407</v>
      </c>
    </row>
    <row r="187" spans="1:17" ht="63.75">
      <c r="A187" s="239" t="s">
        <v>1132</v>
      </c>
      <c r="B187" s="240">
        <v>1073</v>
      </c>
      <c r="C187" s="241">
        <v>30387</v>
      </c>
      <c r="D187" s="239" t="s">
        <v>396</v>
      </c>
      <c r="E187" s="239" t="s">
        <v>783</v>
      </c>
      <c r="F187" s="239" t="s">
        <v>784</v>
      </c>
      <c r="G187" s="239" t="s">
        <v>942</v>
      </c>
      <c r="H187" s="239" t="s">
        <v>973</v>
      </c>
      <c r="I187" s="239" t="s">
        <v>399</v>
      </c>
      <c r="J187" s="234">
        <v>40100</v>
      </c>
      <c r="K187" s="234">
        <v>14700</v>
      </c>
      <c r="L187" s="242">
        <v>14</v>
      </c>
      <c r="M187" s="308">
        <v>25400</v>
      </c>
      <c r="N187" s="234">
        <v>21844</v>
      </c>
      <c r="O187" s="243" t="s">
        <v>1133</v>
      </c>
      <c r="P187" s="236">
        <v>45890</v>
      </c>
      <c r="Q187" s="244">
        <v>0.49239583333333331</v>
      </c>
    </row>
    <row r="188" spans="1:17" ht="63.75">
      <c r="A188" s="239" t="s">
        <v>1134</v>
      </c>
      <c r="B188" s="240">
        <v>1074</v>
      </c>
      <c r="C188" s="241">
        <v>30381</v>
      </c>
      <c r="D188" s="239" t="s">
        <v>396</v>
      </c>
      <c r="E188" s="239" t="s">
        <v>374</v>
      </c>
      <c r="F188" s="239" t="s">
        <v>375</v>
      </c>
      <c r="G188" s="239" t="s">
        <v>942</v>
      </c>
      <c r="H188" s="239" t="s">
        <v>973</v>
      </c>
      <c r="I188" s="239" t="s">
        <v>399</v>
      </c>
      <c r="J188" s="234">
        <v>39280</v>
      </c>
      <c r="K188" s="234">
        <v>15600</v>
      </c>
      <c r="L188" s="242">
        <v>26</v>
      </c>
      <c r="M188" s="308">
        <v>23680</v>
      </c>
      <c r="N188" s="234">
        <v>17523.2</v>
      </c>
      <c r="O188" s="243" t="s">
        <v>1135</v>
      </c>
      <c r="P188" s="236">
        <v>45890</v>
      </c>
      <c r="Q188" s="244">
        <v>0.52164351851851853</v>
      </c>
    </row>
    <row r="189" spans="1:17" ht="63.75">
      <c r="A189" s="239" t="s">
        <v>1136</v>
      </c>
      <c r="B189" s="240">
        <v>1075</v>
      </c>
      <c r="C189" s="241">
        <v>30402</v>
      </c>
      <c r="D189" s="239" t="s">
        <v>396</v>
      </c>
      <c r="E189" s="239" t="s">
        <v>462</v>
      </c>
      <c r="F189" s="239" t="s">
        <v>463</v>
      </c>
      <c r="G189" s="239" t="s">
        <v>942</v>
      </c>
      <c r="H189" s="239" t="s">
        <v>973</v>
      </c>
      <c r="I189" s="239" t="s">
        <v>399</v>
      </c>
      <c r="J189" s="234">
        <v>41400</v>
      </c>
      <c r="K189" s="234">
        <v>16410</v>
      </c>
      <c r="L189" s="242">
        <v>18</v>
      </c>
      <c r="M189" s="308">
        <v>24990</v>
      </c>
      <c r="N189" s="234">
        <v>20491.8</v>
      </c>
      <c r="O189" s="243" t="s">
        <v>1137</v>
      </c>
      <c r="P189" s="236">
        <v>45890</v>
      </c>
      <c r="Q189" s="244">
        <v>0.55285879629629631</v>
      </c>
    </row>
    <row r="190" spans="1:17" ht="63.75">
      <c r="A190" s="239" t="s">
        <v>1138</v>
      </c>
      <c r="B190" s="240">
        <v>1076</v>
      </c>
      <c r="C190" s="241">
        <v>30395</v>
      </c>
      <c r="D190" s="239" t="s">
        <v>396</v>
      </c>
      <c r="E190" s="239" t="s">
        <v>475</v>
      </c>
      <c r="F190" s="239" t="s">
        <v>476</v>
      </c>
      <c r="G190" s="239" t="s">
        <v>942</v>
      </c>
      <c r="H190" s="239" t="s">
        <v>973</v>
      </c>
      <c r="I190" s="239" t="s">
        <v>399</v>
      </c>
      <c r="J190" s="234">
        <v>39500</v>
      </c>
      <c r="K190" s="234">
        <v>16470</v>
      </c>
      <c r="L190" s="242">
        <v>17</v>
      </c>
      <c r="M190" s="308">
        <v>23030</v>
      </c>
      <c r="N190" s="234">
        <v>19114.900000000001</v>
      </c>
      <c r="O190" s="243" t="s">
        <v>1139</v>
      </c>
      <c r="P190" s="236">
        <v>45890</v>
      </c>
      <c r="Q190" s="244">
        <v>0.58652777777777776</v>
      </c>
    </row>
    <row r="191" spans="1:17" ht="63.75">
      <c r="A191" s="239" t="s">
        <v>1140</v>
      </c>
      <c r="B191" s="240">
        <v>1077</v>
      </c>
      <c r="C191" s="241">
        <v>30397</v>
      </c>
      <c r="D191" s="239" t="s">
        <v>396</v>
      </c>
      <c r="E191" s="239" t="s">
        <v>472</v>
      </c>
      <c r="F191" s="239" t="s">
        <v>473</v>
      </c>
      <c r="G191" s="239" t="s">
        <v>942</v>
      </c>
      <c r="H191" s="239" t="s">
        <v>973</v>
      </c>
      <c r="I191" s="239" t="s">
        <v>399</v>
      </c>
      <c r="J191" s="234">
        <v>39010</v>
      </c>
      <c r="K191" s="234">
        <v>16550</v>
      </c>
      <c r="L191" s="242">
        <v>13</v>
      </c>
      <c r="M191" s="308">
        <v>22460</v>
      </c>
      <c r="N191" s="234">
        <v>19540.2</v>
      </c>
      <c r="O191" s="243" t="s">
        <v>1141</v>
      </c>
      <c r="P191" s="236">
        <v>45890</v>
      </c>
      <c r="Q191" s="244">
        <v>0.64236111111111116</v>
      </c>
    </row>
    <row r="192" spans="1:17" ht="63.75">
      <c r="A192" s="239" t="s">
        <v>1142</v>
      </c>
      <c r="B192" s="240">
        <v>1078</v>
      </c>
      <c r="C192" s="241">
        <v>30393</v>
      </c>
      <c r="D192" s="239" t="s">
        <v>396</v>
      </c>
      <c r="E192" s="239" t="s">
        <v>794</v>
      </c>
      <c r="F192" s="239" t="s">
        <v>795</v>
      </c>
      <c r="G192" s="239" t="s">
        <v>942</v>
      </c>
      <c r="H192" s="239" t="s">
        <v>973</v>
      </c>
      <c r="I192" s="239" t="s">
        <v>399</v>
      </c>
      <c r="J192" s="234">
        <v>43490</v>
      </c>
      <c r="K192" s="234">
        <v>16120</v>
      </c>
      <c r="L192" s="242">
        <v>20</v>
      </c>
      <c r="M192" s="308">
        <v>27370</v>
      </c>
      <c r="N192" s="234">
        <v>21896</v>
      </c>
      <c r="O192" s="234" t="s">
        <v>1150</v>
      </c>
      <c r="P192" s="236">
        <v>45890</v>
      </c>
      <c r="Q192" s="244">
        <v>0.66275462962962961</v>
      </c>
    </row>
    <row r="193" spans="1:17" ht="63.75">
      <c r="A193" s="239" t="s">
        <v>1143</v>
      </c>
      <c r="B193" s="240">
        <v>1080</v>
      </c>
      <c r="C193" s="241">
        <v>30404</v>
      </c>
      <c r="D193" s="239" t="s">
        <v>396</v>
      </c>
      <c r="E193" s="239" t="s">
        <v>841</v>
      </c>
      <c r="F193" s="239" t="s">
        <v>845</v>
      </c>
      <c r="G193" s="239" t="s">
        <v>942</v>
      </c>
      <c r="H193" s="239" t="s">
        <v>973</v>
      </c>
      <c r="I193" s="239" t="s">
        <v>399</v>
      </c>
      <c r="J193" s="234">
        <v>41080</v>
      </c>
      <c r="K193" s="234">
        <v>15960</v>
      </c>
      <c r="L193" s="242">
        <v>28</v>
      </c>
      <c r="M193" s="308">
        <v>25120</v>
      </c>
      <c r="N193" s="234">
        <v>18086.400000000001</v>
      </c>
      <c r="O193" s="234" t="s">
        <v>1151</v>
      </c>
      <c r="P193" s="236">
        <v>45890</v>
      </c>
      <c r="Q193" s="244">
        <v>0.71269675925925924</v>
      </c>
    </row>
    <row r="194" spans="1:17" ht="63.75">
      <c r="A194" s="239" t="s">
        <v>1144</v>
      </c>
      <c r="B194" s="240">
        <v>1081</v>
      </c>
      <c r="C194" s="241">
        <v>30406</v>
      </c>
      <c r="D194" s="239" t="s">
        <v>396</v>
      </c>
      <c r="E194" s="239" t="s">
        <v>791</v>
      </c>
      <c r="F194" s="239" t="s">
        <v>792</v>
      </c>
      <c r="G194" s="239" t="s">
        <v>942</v>
      </c>
      <c r="H194" s="239" t="s">
        <v>973</v>
      </c>
      <c r="I194" s="239" t="s">
        <v>399</v>
      </c>
      <c r="J194" s="234">
        <v>41280</v>
      </c>
      <c r="K194" s="234">
        <v>15000</v>
      </c>
      <c r="L194" s="242">
        <v>19</v>
      </c>
      <c r="M194" s="308">
        <v>26280</v>
      </c>
      <c r="N194" s="234">
        <v>21286.799999999999</v>
      </c>
      <c r="O194" s="234" t="s">
        <v>1152</v>
      </c>
      <c r="P194" s="236">
        <v>45890</v>
      </c>
      <c r="Q194" s="244">
        <v>0.74420138888888887</v>
      </c>
    </row>
    <row r="195" spans="1:17" ht="63.75">
      <c r="A195" s="239" t="s">
        <v>1145</v>
      </c>
      <c r="B195" s="240">
        <v>1083</v>
      </c>
      <c r="C195" s="241">
        <v>30410</v>
      </c>
      <c r="D195" s="239" t="s">
        <v>396</v>
      </c>
      <c r="E195" s="239" t="s">
        <v>380</v>
      </c>
      <c r="F195" s="239" t="s">
        <v>381</v>
      </c>
      <c r="G195" s="239" t="s">
        <v>942</v>
      </c>
      <c r="H195" s="239" t="s">
        <v>973</v>
      </c>
      <c r="I195" s="239" t="s">
        <v>399</v>
      </c>
      <c r="J195" s="234">
        <v>38850</v>
      </c>
      <c r="K195" s="234">
        <v>15040</v>
      </c>
      <c r="L195" s="242">
        <v>16</v>
      </c>
      <c r="M195" s="308">
        <v>23810</v>
      </c>
      <c r="N195" s="234">
        <v>20000.400000000001</v>
      </c>
      <c r="O195" s="234" t="s">
        <v>1153</v>
      </c>
      <c r="P195" s="236">
        <v>45890</v>
      </c>
      <c r="Q195" s="244">
        <v>0.77945601851851853</v>
      </c>
    </row>
    <row r="196" spans="1:17" ht="63.75">
      <c r="A196" s="239" t="s">
        <v>1146</v>
      </c>
      <c r="B196" s="240">
        <v>1084</v>
      </c>
      <c r="C196" s="241">
        <v>30408</v>
      </c>
      <c r="D196" s="239" t="s">
        <v>396</v>
      </c>
      <c r="E196" s="239" t="s">
        <v>786</v>
      </c>
      <c r="F196" s="239" t="s">
        <v>787</v>
      </c>
      <c r="G196" s="239" t="s">
        <v>942</v>
      </c>
      <c r="H196" s="239" t="s">
        <v>973</v>
      </c>
      <c r="I196" s="239" t="s">
        <v>399</v>
      </c>
      <c r="J196" s="234">
        <v>35950</v>
      </c>
      <c r="K196" s="234">
        <v>13990</v>
      </c>
      <c r="L196" s="242">
        <v>29</v>
      </c>
      <c r="M196" s="308">
        <v>21960</v>
      </c>
      <c r="N196" s="234">
        <v>15591.6</v>
      </c>
      <c r="O196" s="234" t="s">
        <v>1154</v>
      </c>
      <c r="P196" s="236">
        <v>45890</v>
      </c>
      <c r="Q196" s="244">
        <v>0.9114930555555556</v>
      </c>
    </row>
    <row r="197" spans="1:17" ht="63.75">
      <c r="A197" s="239" t="s">
        <v>1147</v>
      </c>
      <c r="B197" s="240">
        <v>1086</v>
      </c>
      <c r="C197" s="241">
        <v>30414</v>
      </c>
      <c r="D197" s="239" t="s">
        <v>396</v>
      </c>
      <c r="E197" s="239" t="s">
        <v>413</v>
      </c>
      <c r="F197" s="239" t="s">
        <v>414</v>
      </c>
      <c r="G197" s="239" t="s">
        <v>942</v>
      </c>
      <c r="H197" s="239" t="s">
        <v>973</v>
      </c>
      <c r="I197" s="239" t="s">
        <v>399</v>
      </c>
      <c r="J197" s="234">
        <v>38680</v>
      </c>
      <c r="K197" s="234">
        <v>14950</v>
      </c>
      <c r="L197" s="242">
        <v>13</v>
      </c>
      <c r="M197" s="308">
        <v>23730</v>
      </c>
      <c r="N197" s="234">
        <v>20645.099999999999</v>
      </c>
      <c r="O197" s="234" t="s">
        <v>1155</v>
      </c>
      <c r="P197" s="236">
        <v>45890</v>
      </c>
      <c r="Q197" s="244">
        <v>0.92406250000000001</v>
      </c>
    </row>
    <row r="198" spans="1:17" ht="63.75">
      <c r="A198" s="239" t="s">
        <v>1148</v>
      </c>
      <c r="B198" s="240">
        <v>1089</v>
      </c>
      <c r="C198" s="241">
        <v>30412</v>
      </c>
      <c r="D198" s="239" t="s">
        <v>396</v>
      </c>
      <c r="E198" s="239" t="s">
        <v>377</v>
      </c>
      <c r="F198" s="239" t="s">
        <v>378</v>
      </c>
      <c r="G198" s="239" t="s">
        <v>942</v>
      </c>
      <c r="H198" s="239" t="s">
        <v>973</v>
      </c>
      <c r="I198" s="239" t="s">
        <v>399</v>
      </c>
      <c r="J198" s="234">
        <v>41370</v>
      </c>
      <c r="K198" s="234">
        <v>15200</v>
      </c>
      <c r="L198" s="242">
        <v>21</v>
      </c>
      <c r="M198" s="308">
        <v>26170</v>
      </c>
      <c r="N198" s="234">
        <v>20674.3</v>
      </c>
      <c r="O198" s="234" t="s">
        <v>1156</v>
      </c>
      <c r="P198" s="236">
        <v>45890</v>
      </c>
      <c r="Q198" s="244">
        <v>0.93193287037037043</v>
      </c>
    </row>
    <row r="199" spans="1:17" ht="63.75">
      <c r="A199" s="239" t="s">
        <v>1149</v>
      </c>
      <c r="B199" s="240">
        <v>1090</v>
      </c>
      <c r="C199" s="241">
        <v>30416</v>
      </c>
      <c r="D199" s="239" t="s">
        <v>396</v>
      </c>
      <c r="E199" s="239" t="s">
        <v>410</v>
      </c>
      <c r="F199" s="239" t="s">
        <v>411</v>
      </c>
      <c r="G199" s="239" t="s">
        <v>942</v>
      </c>
      <c r="H199" s="239" t="s">
        <v>973</v>
      </c>
      <c r="I199" s="239" t="s">
        <v>399</v>
      </c>
      <c r="J199" s="234">
        <v>37510</v>
      </c>
      <c r="K199" s="234">
        <v>15090</v>
      </c>
      <c r="L199" s="242">
        <v>15</v>
      </c>
      <c r="M199" s="308">
        <v>22420</v>
      </c>
      <c r="N199" s="234">
        <v>19057</v>
      </c>
      <c r="O199" s="234" t="s">
        <v>1157</v>
      </c>
      <c r="P199" s="236">
        <v>45890</v>
      </c>
      <c r="Q199" s="244">
        <v>0.93943287037037038</v>
      </c>
    </row>
    <row r="200" spans="1:17" ht="63.75">
      <c r="A200" s="239" t="s">
        <v>1158</v>
      </c>
      <c r="B200" s="240">
        <v>1093</v>
      </c>
      <c r="C200" s="241">
        <v>30418</v>
      </c>
      <c r="D200" s="239" t="s">
        <v>396</v>
      </c>
      <c r="E200" s="239" t="s">
        <v>384</v>
      </c>
      <c r="F200" s="239" t="s">
        <v>385</v>
      </c>
      <c r="G200" s="239" t="s">
        <v>942</v>
      </c>
      <c r="H200" s="239" t="s">
        <v>973</v>
      </c>
      <c r="I200" s="239" t="s">
        <v>399</v>
      </c>
      <c r="J200" s="234">
        <v>37500</v>
      </c>
      <c r="K200" s="234">
        <v>13900</v>
      </c>
      <c r="L200" s="242">
        <v>28</v>
      </c>
      <c r="M200" s="308">
        <v>23600</v>
      </c>
      <c r="N200" s="234">
        <v>16992</v>
      </c>
      <c r="O200" s="234" t="s">
        <v>1227</v>
      </c>
      <c r="P200" s="236">
        <v>45891</v>
      </c>
      <c r="Q200" s="244">
        <v>0.88358796296296294</v>
      </c>
    </row>
    <row r="201" spans="1:17" ht="63.75">
      <c r="A201" s="239" t="s">
        <v>1159</v>
      </c>
      <c r="B201" s="240">
        <v>1094</v>
      </c>
      <c r="C201" s="241">
        <v>30420</v>
      </c>
      <c r="D201" s="239" t="s">
        <v>396</v>
      </c>
      <c r="E201" s="239" t="s">
        <v>400</v>
      </c>
      <c r="F201" s="239" t="s">
        <v>401</v>
      </c>
      <c r="G201" s="239" t="s">
        <v>942</v>
      </c>
      <c r="H201" s="239" t="s">
        <v>973</v>
      </c>
      <c r="I201" s="239" t="s">
        <v>399</v>
      </c>
      <c r="J201" s="234">
        <v>38700</v>
      </c>
      <c r="K201" s="234">
        <v>14690</v>
      </c>
      <c r="L201" s="242">
        <v>26</v>
      </c>
      <c r="M201" s="308">
        <v>24010</v>
      </c>
      <c r="N201" s="234">
        <v>17767.400000000001</v>
      </c>
      <c r="O201" s="234" t="s">
        <v>1228</v>
      </c>
      <c r="P201" s="236">
        <v>45891</v>
      </c>
      <c r="Q201" s="244">
        <v>0.89517361111111116</v>
      </c>
    </row>
    <row r="202" spans="1:17" ht="63.75">
      <c r="A202" s="239" t="s">
        <v>1162</v>
      </c>
      <c r="B202" s="240">
        <v>1095</v>
      </c>
      <c r="C202" s="241">
        <v>30424</v>
      </c>
      <c r="D202" s="239" t="s">
        <v>396</v>
      </c>
      <c r="E202" s="239" t="s">
        <v>858</v>
      </c>
      <c r="F202" s="239" t="s">
        <v>859</v>
      </c>
      <c r="G202" s="239" t="s">
        <v>942</v>
      </c>
      <c r="H202" s="239" t="s">
        <v>973</v>
      </c>
      <c r="I202" s="239" t="s">
        <v>399</v>
      </c>
      <c r="J202" s="234">
        <v>38520</v>
      </c>
      <c r="K202" s="234">
        <v>14700</v>
      </c>
      <c r="L202" s="242">
        <v>11</v>
      </c>
      <c r="M202" s="308">
        <v>23820</v>
      </c>
      <c r="N202" s="234">
        <v>21199.8</v>
      </c>
      <c r="O202" s="234" t="s">
        <v>1231</v>
      </c>
      <c r="P202" s="236">
        <v>45891</v>
      </c>
      <c r="Q202" s="244">
        <v>0.95983796296296298</v>
      </c>
    </row>
    <row r="203" spans="1:17" ht="63.75">
      <c r="A203" s="239" t="s">
        <v>1163</v>
      </c>
      <c r="B203" s="240">
        <v>1096</v>
      </c>
      <c r="C203" s="241">
        <v>30422</v>
      </c>
      <c r="D203" s="239" t="s">
        <v>396</v>
      </c>
      <c r="E203" s="239" t="s">
        <v>429</v>
      </c>
      <c r="F203" s="239" t="s">
        <v>430</v>
      </c>
      <c r="G203" s="239" t="s">
        <v>942</v>
      </c>
      <c r="H203" s="239" t="s">
        <v>973</v>
      </c>
      <c r="I203" s="239" t="s">
        <v>399</v>
      </c>
      <c r="J203" s="234">
        <v>38090</v>
      </c>
      <c r="K203" s="234">
        <v>14180</v>
      </c>
      <c r="L203" s="242">
        <v>26</v>
      </c>
      <c r="M203" s="308">
        <v>23910</v>
      </c>
      <c r="N203" s="234">
        <v>17693.400000000001</v>
      </c>
      <c r="O203" s="234" t="s">
        <v>1232</v>
      </c>
      <c r="P203" s="236">
        <v>45891</v>
      </c>
      <c r="Q203" s="244">
        <v>0.96188657407407407</v>
      </c>
    </row>
    <row r="204" spans="1:17" ht="63.75">
      <c r="A204" s="239" t="s">
        <v>1164</v>
      </c>
      <c r="B204" s="240">
        <v>1100</v>
      </c>
      <c r="C204" s="241">
        <v>30435</v>
      </c>
      <c r="D204" s="239" t="s">
        <v>396</v>
      </c>
      <c r="E204" s="239" t="s">
        <v>369</v>
      </c>
      <c r="F204" s="239" t="s">
        <v>370</v>
      </c>
      <c r="G204" s="239" t="s">
        <v>939</v>
      </c>
      <c r="H204" s="239" t="s">
        <v>974</v>
      </c>
      <c r="I204" s="239" t="s">
        <v>399</v>
      </c>
      <c r="J204" s="234">
        <v>38690</v>
      </c>
      <c r="K204" s="234">
        <v>15060</v>
      </c>
      <c r="L204" s="242">
        <v>5</v>
      </c>
      <c r="M204" s="308">
        <v>23630</v>
      </c>
      <c r="N204" s="234">
        <v>22448.5</v>
      </c>
      <c r="O204" s="234" t="s">
        <v>1233</v>
      </c>
      <c r="P204" s="236">
        <v>45891</v>
      </c>
      <c r="Q204" s="244">
        <v>0.98494212962962968</v>
      </c>
    </row>
    <row r="205" spans="1:17" ht="63.75">
      <c r="A205" s="239" t="s">
        <v>1160</v>
      </c>
      <c r="B205" s="240">
        <v>1101</v>
      </c>
      <c r="C205" s="241">
        <v>30437</v>
      </c>
      <c r="D205" s="239" t="s">
        <v>396</v>
      </c>
      <c r="E205" s="239" t="s">
        <v>374</v>
      </c>
      <c r="F205" s="239" t="s">
        <v>375</v>
      </c>
      <c r="G205" s="239" t="s">
        <v>939</v>
      </c>
      <c r="H205" s="239" t="s">
        <v>974</v>
      </c>
      <c r="I205" s="239" t="s">
        <v>399</v>
      </c>
      <c r="J205" s="234">
        <v>39190</v>
      </c>
      <c r="K205" s="234">
        <v>15620</v>
      </c>
      <c r="L205" s="242">
        <v>19</v>
      </c>
      <c r="M205" s="308">
        <v>23570</v>
      </c>
      <c r="N205" s="234">
        <v>19091.7</v>
      </c>
      <c r="O205" s="234" t="s">
        <v>1229</v>
      </c>
      <c r="P205" s="236">
        <v>45891</v>
      </c>
      <c r="Q205" s="244">
        <v>0.92571759259259256</v>
      </c>
    </row>
    <row r="206" spans="1:17" ht="63.75">
      <c r="A206" s="239" t="s">
        <v>1161</v>
      </c>
      <c r="B206" s="240">
        <v>1102</v>
      </c>
      <c r="C206" s="241">
        <v>30439</v>
      </c>
      <c r="D206" s="239" t="s">
        <v>396</v>
      </c>
      <c r="E206" s="239" t="s">
        <v>386</v>
      </c>
      <c r="F206" s="239" t="s">
        <v>387</v>
      </c>
      <c r="G206" s="239" t="s">
        <v>939</v>
      </c>
      <c r="H206" s="239" t="s">
        <v>974</v>
      </c>
      <c r="I206" s="239" t="s">
        <v>399</v>
      </c>
      <c r="J206" s="234">
        <v>38090</v>
      </c>
      <c r="K206" s="234">
        <v>15410</v>
      </c>
      <c r="L206" s="242">
        <v>11</v>
      </c>
      <c r="M206" s="308">
        <v>22680</v>
      </c>
      <c r="N206" s="234">
        <v>20185.2</v>
      </c>
      <c r="O206" s="234" t="s">
        <v>1230</v>
      </c>
      <c r="P206" s="236">
        <v>45891</v>
      </c>
      <c r="Q206" s="244">
        <v>0.92866898148148147</v>
      </c>
    </row>
    <row r="207" spans="1:17" ht="63.75">
      <c r="A207" s="239" t="s">
        <v>1165</v>
      </c>
      <c r="B207" s="240">
        <v>1103</v>
      </c>
      <c r="C207" s="241">
        <v>30445</v>
      </c>
      <c r="D207" s="239" t="s">
        <v>396</v>
      </c>
      <c r="E207" s="239" t="s">
        <v>783</v>
      </c>
      <c r="F207" s="239" t="s">
        <v>784</v>
      </c>
      <c r="G207" s="239" t="s">
        <v>939</v>
      </c>
      <c r="H207" s="239" t="s">
        <v>974</v>
      </c>
      <c r="I207" s="239" t="s">
        <v>399</v>
      </c>
      <c r="J207" s="234">
        <v>41220</v>
      </c>
      <c r="K207" s="234">
        <v>14700</v>
      </c>
      <c r="L207" s="242">
        <v>34</v>
      </c>
      <c r="M207" s="308">
        <v>26520</v>
      </c>
      <c r="N207" s="234">
        <v>17503.2</v>
      </c>
      <c r="O207" s="234" t="s">
        <v>1234</v>
      </c>
      <c r="P207" s="236">
        <v>45892</v>
      </c>
      <c r="Q207" s="244">
        <v>9.4490740740740736E-2</v>
      </c>
    </row>
    <row r="208" spans="1:17" ht="63.75">
      <c r="A208" s="239" t="s">
        <v>1168</v>
      </c>
      <c r="B208" s="240">
        <v>1104</v>
      </c>
      <c r="C208" s="241">
        <v>30450</v>
      </c>
      <c r="D208" s="239" t="s">
        <v>396</v>
      </c>
      <c r="E208" s="239" t="s">
        <v>841</v>
      </c>
      <c r="F208" s="239" t="s">
        <v>845</v>
      </c>
      <c r="G208" s="239" t="s">
        <v>939</v>
      </c>
      <c r="H208" s="239" t="s">
        <v>974</v>
      </c>
      <c r="I208" s="239" t="s">
        <v>399</v>
      </c>
      <c r="J208" s="234">
        <v>42500</v>
      </c>
      <c r="K208" s="234">
        <v>15930</v>
      </c>
      <c r="L208" s="242">
        <v>10</v>
      </c>
      <c r="M208" s="308">
        <v>26570</v>
      </c>
      <c r="N208" s="234">
        <v>23913</v>
      </c>
      <c r="O208" s="234" t="s">
        <v>1237</v>
      </c>
      <c r="P208" s="236">
        <v>45892</v>
      </c>
      <c r="Q208" s="244">
        <v>0.23075231481481481</v>
      </c>
    </row>
    <row r="209" spans="1:17" ht="63.75">
      <c r="A209" s="239" t="s">
        <v>1166</v>
      </c>
      <c r="B209" s="240">
        <v>1105</v>
      </c>
      <c r="C209" s="241">
        <v>30452</v>
      </c>
      <c r="D209" s="239" t="s">
        <v>396</v>
      </c>
      <c r="E209" s="239" t="s">
        <v>786</v>
      </c>
      <c r="F209" s="239" t="s">
        <v>787</v>
      </c>
      <c r="G209" s="239" t="s">
        <v>939</v>
      </c>
      <c r="H209" s="239" t="s">
        <v>974</v>
      </c>
      <c r="I209" s="239" t="s">
        <v>399</v>
      </c>
      <c r="J209" s="234">
        <v>36340</v>
      </c>
      <c r="K209" s="234">
        <v>13930</v>
      </c>
      <c r="L209" s="242">
        <v>8</v>
      </c>
      <c r="M209" s="308">
        <v>22410</v>
      </c>
      <c r="N209" s="234">
        <v>20617.2</v>
      </c>
      <c r="O209" s="234" t="s">
        <v>1235</v>
      </c>
      <c r="P209" s="236">
        <v>45892</v>
      </c>
      <c r="Q209" s="244">
        <v>0.12493055555555556</v>
      </c>
    </row>
    <row r="210" spans="1:17" ht="63.75">
      <c r="A210" s="239" t="s">
        <v>1167</v>
      </c>
      <c r="B210" s="240">
        <v>1106</v>
      </c>
      <c r="C210" s="241">
        <v>30447</v>
      </c>
      <c r="D210" s="239" t="s">
        <v>396</v>
      </c>
      <c r="E210" s="239" t="s">
        <v>791</v>
      </c>
      <c r="F210" s="239" t="s">
        <v>792</v>
      </c>
      <c r="G210" s="239" t="s">
        <v>939</v>
      </c>
      <c r="H210" s="239" t="s">
        <v>974</v>
      </c>
      <c r="I210" s="239" t="s">
        <v>399</v>
      </c>
      <c r="J210" s="234">
        <v>40950</v>
      </c>
      <c r="K210" s="234">
        <v>14980</v>
      </c>
      <c r="L210" s="242">
        <v>12</v>
      </c>
      <c r="M210" s="308">
        <v>25970</v>
      </c>
      <c r="N210" s="234">
        <v>22853.599999999999</v>
      </c>
      <c r="O210" s="234" t="s">
        <v>1236</v>
      </c>
      <c r="P210" s="236">
        <v>45892</v>
      </c>
      <c r="Q210" s="244">
        <v>0.16116898148148148</v>
      </c>
    </row>
    <row r="211" spans="1:17" ht="63.75">
      <c r="A211" s="239" t="s">
        <v>1169</v>
      </c>
      <c r="B211" s="240">
        <v>1107</v>
      </c>
      <c r="C211" s="241">
        <v>30454</v>
      </c>
      <c r="D211" s="239" t="s">
        <v>396</v>
      </c>
      <c r="E211" s="239" t="s">
        <v>794</v>
      </c>
      <c r="F211" s="239" t="s">
        <v>795</v>
      </c>
      <c r="G211" s="239" t="s">
        <v>939</v>
      </c>
      <c r="H211" s="239" t="s">
        <v>974</v>
      </c>
      <c r="I211" s="239" t="s">
        <v>399</v>
      </c>
      <c r="J211" s="234">
        <v>42720</v>
      </c>
      <c r="K211" s="234">
        <v>16100</v>
      </c>
      <c r="L211" s="242">
        <v>8</v>
      </c>
      <c r="M211" s="308">
        <v>26620</v>
      </c>
      <c r="N211" s="234">
        <v>24490.400000000001</v>
      </c>
      <c r="O211" s="234" t="s">
        <v>1238</v>
      </c>
      <c r="P211" s="236">
        <v>45892</v>
      </c>
      <c r="Q211" s="244">
        <v>0.23284722222222223</v>
      </c>
    </row>
    <row r="212" spans="1:17" ht="63.75">
      <c r="A212" s="239" t="s">
        <v>1170</v>
      </c>
      <c r="B212" s="240">
        <v>1108</v>
      </c>
      <c r="C212" s="241">
        <v>30456</v>
      </c>
      <c r="D212" s="239" t="s">
        <v>396</v>
      </c>
      <c r="E212" s="239" t="s">
        <v>380</v>
      </c>
      <c r="F212" s="239" t="s">
        <v>381</v>
      </c>
      <c r="G212" s="239" t="s">
        <v>939</v>
      </c>
      <c r="H212" s="239" t="s">
        <v>974</v>
      </c>
      <c r="I212" s="239" t="s">
        <v>399</v>
      </c>
      <c r="J212" s="234">
        <v>39680</v>
      </c>
      <c r="K212" s="234">
        <v>15040</v>
      </c>
      <c r="L212" s="242">
        <v>31</v>
      </c>
      <c r="M212" s="308">
        <v>24640</v>
      </c>
      <c r="N212" s="234">
        <v>17001.599999999999</v>
      </c>
      <c r="O212" s="234" t="s">
        <v>1239</v>
      </c>
      <c r="P212" s="236">
        <v>45892</v>
      </c>
      <c r="Q212" s="244">
        <v>0.25885416666666666</v>
      </c>
    </row>
    <row r="213" spans="1:17" ht="63.75">
      <c r="A213" s="239" t="s">
        <v>1171</v>
      </c>
      <c r="B213" s="240">
        <v>1109</v>
      </c>
      <c r="C213" s="241">
        <v>30458</v>
      </c>
      <c r="D213" s="239" t="s">
        <v>396</v>
      </c>
      <c r="E213" s="239" t="s">
        <v>413</v>
      </c>
      <c r="F213" s="239" t="s">
        <v>414</v>
      </c>
      <c r="G213" s="239" t="s">
        <v>939</v>
      </c>
      <c r="H213" s="239" t="s">
        <v>974</v>
      </c>
      <c r="I213" s="239" t="s">
        <v>399</v>
      </c>
      <c r="J213" s="234">
        <v>42860</v>
      </c>
      <c r="K213" s="234">
        <v>14940</v>
      </c>
      <c r="L213" s="242">
        <v>15</v>
      </c>
      <c r="M213" s="308">
        <v>27920</v>
      </c>
      <c r="N213" s="234">
        <v>23732</v>
      </c>
      <c r="O213" s="234" t="s">
        <v>1240</v>
      </c>
      <c r="P213" s="236">
        <v>45892</v>
      </c>
      <c r="Q213" s="244">
        <v>0.39945601851851853</v>
      </c>
    </row>
    <row r="214" spans="1:17" ht="63.75">
      <c r="A214" s="239" t="s">
        <v>1172</v>
      </c>
      <c r="B214" s="240">
        <v>1110</v>
      </c>
      <c r="C214" s="241">
        <v>30460</v>
      </c>
      <c r="D214" s="239" t="s">
        <v>396</v>
      </c>
      <c r="E214" s="239" t="s">
        <v>432</v>
      </c>
      <c r="F214" s="239" t="s">
        <v>433</v>
      </c>
      <c r="G214" s="239" t="s">
        <v>939</v>
      </c>
      <c r="H214" s="239" t="s">
        <v>974</v>
      </c>
      <c r="I214" s="239" t="s">
        <v>399</v>
      </c>
      <c r="J214" s="234">
        <v>41830</v>
      </c>
      <c r="K214" s="234">
        <v>15570</v>
      </c>
      <c r="L214" s="242">
        <v>8</v>
      </c>
      <c r="M214" s="308">
        <v>26260</v>
      </c>
      <c r="N214" s="234">
        <v>24159.200000000001</v>
      </c>
      <c r="O214" s="234" t="s">
        <v>1241</v>
      </c>
      <c r="P214" s="236">
        <v>45892</v>
      </c>
      <c r="Q214" s="244">
        <v>0.47660879629629632</v>
      </c>
    </row>
    <row r="215" spans="1:17" ht="63.75">
      <c r="A215" s="239" t="s">
        <v>1173</v>
      </c>
      <c r="B215" s="240">
        <v>1111</v>
      </c>
      <c r="C215" s="241">
        <v>30463</v>
      </c>
      <c r="D215" s="239" t="s">
        <v>396</v>
      </c>
      <c r="E215" s="239" t="s">
        <v>447</v>
      </c>
      <c r="F215" s="239" t="s">
        <v>448</v>
      </c>
      <c r="G215" s="239" t="s">
        <v>939</v>
      </c>
      <c r="H215" s="239" t="s">
        <v>974</v>
      </c>
      <c r="I215" s="239" t="s">
        <v>399</v>
      </c>
      <c r="J215" s="234">
        <v>45680</v>
      </c>
      <c r="K215" s="234">
        <v>19410</v>
      </c>
      <c r="L215" s="242">
        <v>13</v>
      </c>
      <c r="M215" s="308">
        <v>26270</v>
      </c>
      <c r="N215" s="234">
        <v>22854.9</v>
      </c>
      <c r="O215" s="234" t="s">
        <v>1242</v>
      </c>
      <c r="P215" s="236">
        <v>45892</v>
      </c>
      <c r="Q215" s="244">
        <v>0.5652314814814815</v>
      </c>
    </row>
    <row r="216" spans="1:17" ht="63.75">
      <c r="A216" s="239" t="s">
        <v>1174</v>
      </c>
      <c r="B216" s="240">
        <v>1113</v>
      </c>
      <c r="C216" s="241">
        <v>30466</v>
      </c>
      <c r="D216" s="239" t="s">
        <v>396</v>
      </c>
      <c r="E216" s="239" t="s">
        <v>442</v>
      </c>
      <c r="F216" s="239" t="s">
        <v>443</v>
      </c>
      <c r="G216" s="239" t="s">
        <v>939</v>
      </c>
      <c r="H216" s="239" t="s">
        <v>974</v>
      </c>
      <c r="I216" s="239" t="s">
        <v>399</v>
      </c>
      <c r="J216" s="234">
        <v>35190</v>
      </c>
      <c r="K216" s="234">
        <v>14480</v>
      </c>
      <c r="L216" s="242">
        <v>16</v>
      </c>
      <c r="M216" s="308">
        <v>20710</v>
      </c>
      <c r="N216" s="234">
        <v>17396.400000000001</v>
      </c>
      <c r="O216" s="234" t="s">
        <v>1243</v>
      </c>
      <c r="P216" s="236">
        <v>45892</v>
      </c>
      <c r="Q216" s="244">
        <v>0.58053240740740741</v>
      </c>
    </row>
    <row r="217" spans="1:17" ht="63.75">
      <c r="A217" s="239" t="s">
        <v>1175</v>
      </c>
      <c r="B217" s="240">
        <v>1114</v>
      </c>
      <c r="C217" s="241">
        <v>30468</v>
      </c>
      <c r="D217" s="239" t="s">
        <v>396</v>
      </c>
      <c r="E217" s="239" t="s">
        <v>780</v>
      </c>
      <c r="F217" s="239" t="s">
        <v>781</v>
      </c>
      <c r="G217" s="239" t="s">
        <v>939</v>
      </c>
      <c r="H217" s="239" t="s">
        <v>974</v>
      </c>
      <c r="I217" s="239" t="s">
        <v>399</v>
      </c>
      <c r="J217" s="234">
        <v>35870</v>
      </c>
      <c r="K217" s="234">
        <v>14810</v>
      </c>
      <c r="L217" s="242">
        <v>12</v>
      </c>
      <c r="M217" s="308">
        <v>21060</v>
      </c>
      <c r="N217" s="234">
        <v>18532.8</v>
      </c>
      <c r="O217" s="234" t="s">
        <v>1244</v>
      </c>
      <c r="P217" s="236">
        <v>45892</v>
      </c>
      <c r="Q217" s="244">
        <v>0.58687500000000004</v>
      </c>
    </row>
    <row r="218" spans="1:17" ht="63.75">
      <c r="A218" s="239" t="s">
        <v>1176</v>
      </c>
      <c r="B218" s="240">
        <v>1115</v>
      </c>
      <c r="C218" s="241">
        <v>30470</v>
      </c>
      <c r="D218" s="239" t="s">
        <v>396</v>
      </c>
      <c r="E218" s="239" t="s">
        <v>416</v>
      </c>
      <c r="F218" s="239" t="s">
        <v>417</v>
      </c>
      <c r="G218" s="239" t="s">
        <v>939</v>
      </c>
      <c r="H218" s="239" t="s">
        <v>974</v>
      </c>
      <c r="I218" s="239" t="s">
        <v>399</v>
      </c>
      <c r="J218" s="234">
        <v>39240</v>
      </c>
      <c r="K218" s="234">
        <v>14740</v>
      </c>
      <c r="L218" s="242">
        <v>12</v>
      </c>
      <c r="M218" s="308">
        <v>24500</v>
      </c>
      <c r="N218" s="234">
        <v>21560</v>
      </c>
      <c r="O218" s="234" t="s">
        <v>1246</v>
      </c>
      <c r="P218" s="236">
        <v>45892</v>
      </c>
      <c r="Q218" s="244">
        <v>0.68054398148148143</v>
      </c>
    </row>
    <row r="219" spans="1:17" ht="63.75">
      <c r="A219" s="239" t="s">
        <v>1177</v>
      </c>
      <c r="B219" s="240">
        <v>1116</v>
      </c>
      <c r="C219" s="241">
        <v>30472</v>
      </c>
      <c r="D219" s="239" t="s">
        <v>396</v>
      </c>
      <c r="E219" s="239" t="s">
        <v>420</v>
      </c>
      <c r="F219" s="239" t="s">
        <v>421</v>
      </c>
      <c r="G219" s="239" t="s">
        <v>939</v>
      </c>
      <c r="H219" s="239" t="s">
        <v>974</v>
      </c>
      <c r="I219" s="239" t="s">
        <v>399</v>
      </c>
      <c r="J219" s="234">
        <v>37010</v>
      </c>
      <c r="K219" s="234">
        <v>14880</v>
      </c>
      <c r="L219" s="242">
        <v>16</v>
      </c>
      <c r="M219" s="308">
        <v>22130</v>
      </c>
      <c r="N219" s="234">
        <v>18589.2</v>
      </c>
      <c r="O219" s="234" t="s">
        <v>1247</v>
      </c>
      <c r="P219" s="236">
        <v>45892</v>
      </c>
      <c r="Q219" s="244">
        <v>0.70265046296296296</v>
      </c>
    </row>
    <row r="220" spans="1:17" ht="63.75">
      <c r="A220" s="239" t="s">
        <v>1178</v>
      </c>
      <c r="B220" s="240">
        <v>1117</v>
      </c>
      <c r="C220" s="241">
        <v>30474</v>
      </c>
      <c r="D220" s="239" t="s">
        <v>396</v>
      </c>
      <c r="E220" s="239" t="s">
        <v>377</v>
      </c>
      <c r="F220" s="239" t="s">
        <v>378</v>
      </c>
      <c r="G220" s="239" t="s">
        <v>939</v>
      </c>
      <c r="H220" s="239" t="s">
        <v>974</v>
      </c>
      <c r="I220" s="239" t="s">
        <v>399</v>
      </c>
      <c r="J220" s="234">
        <v>40460</v>
      </c>
      <c r="K220" s="234">
        <v>15160</v>
      </c>
      <c r="L220" s="242">
        <v>10</v>
      </c>
      <c r="M220" s="308">
        <v>25300</v>
      </c>
      <c r="N220" s="234">
        <v>22770</v>
      </c>
      <c r="O220" s="234" t="s">
        <v>1248</v>
      </c>
      <c r="P220" s="236">
        <v>45892</v>
      </c>
      <c r="Q220" s="244">
        <v>0.72737268518518516</v>
      </c>
    </row>
    <row r="221" spans="1:17" ht="63.75">
      <c r="A221" s="239" t="s">
        <v>1184</v>
      </c>
      <c r="B221" s="240">
        <v>1119</v>
      </c>
      <c r="C221" s="241">
        <v>30476</v>
      </c>
      <c r="D221" s="239" t="s">
        <v>396</v>
      </c>
      <c r="E221" s="239" t="s">
        <v>403</v>
      </c>
      <c r="F221" s="239" t="s">
        <v>404</v>
      </c>
      <c r="G221" s="239" t="s">
        <v>939</v>
      </c>
      <c r="H221" s="239" t="s">
        <v>974</v>
      </c>
      <c r="I221" s="239" t="s">
        <v>399</v>
      </c>
      <c r="J221" s="234">
        <v>39090</v>
      </c>
      <c r="K221" s="234">
        <v>14470</v>
      </c>
      <c r="L221" s="242">
        <v>21</v>
      </c>
      <c r="M221" s="308">
        <v>24620</v>
      </c>
      <c r="N221" s="234">
        <v>19449.8</v>
      </c>
      <c r="O221" s="234" t="s">
        <v>1253</v>
      </c>
      <c r="P221" s="236">
        <v>45892</v>
      </c>
      <c r="Q221" s="244">
        <v>0.81668981481481484</v>
      </c>
    </row>
    <row r="222" spans="1:17" ht="63.75">
      <c r="A222" s="239" t="s">
        <v>1179</v>
      </c>
      <c r="B222" s="240">
        <v>1120</v>
      </c>
      <c r="C222" s="241">
        <v>30478</v>
      </c>
      <c r="D222" s="239" t="s">
        <v>396</v>
      </c>
      <c r="E222" s="239" t="s">
        <v>406</v>
      </c>
      <c r="F222" s="239" t="s">
        <v>407</v>
      </c>
      <c r="G222" s="239" t="s">
        <v>939</v>
      </c>
      <c r="H222" s="239" t="s">
        <v>974</v>
      </c>
      <c r="I222" s="239" t="s">
        <v>399</v>
      </c>
      <c r="J222" s="234">
        <v>39520</v>
      </c>
      <c r="K222" s="234">
        <v>15010</v>
      </c>
      <c r="L222" s="242">
        <v>23</v>
      </c>
      <c r="M222" s="308">
        <v>24510</v>
      </c>
      <c r="N222" s="234">
        <v>18872.7</v>
      </c>
      <c r="O222" s="234" t="s">
        <v>1245</v>
      </c>
      <c r="P222" s="236">
        <v>45892</v>
      </c>
      <c r="Q222" s="244">
        <v>0.65293981481481478</v>
      </c>
    </row>
    <row r="223" spans="1:17" ht="63.75">
      <c r="A223" s="239" t="s">
        <v>1190</v>
      </c>
      <c r="B223" s="240">
        <v>1121</v>
      </c>
      <c r="C223" s="241">
        <v>30493</v>
      </c>
      <c r="D223" s="239" t="s">
        <v>396</v>
      </c>
      <c r="E223" s="239" t="s">
        <v>382</v>
      </c>
      <c r="F223" s="239" t="s">
        <v>383</v>
      </c>
      <c r="G223" s="239" t="s">
        <v>939</v>
      </c>
      <c r="H223" s="239" t="s">
        <v>974</v>
      </c>
      <c r="I223" s="239" t="s">
        <v>399</v>
      </c>
      <c r="J223" s="234">
        <v>38880</v>
      </c>
      <c r="K223" s="234">
        <v>14540</v>
      </c>
      <c r="L223" s="242">
        <v>13</v>
      </c>
      <c r="M223" s="308">
        <v>24340</v>
      </c>
      <c r="N223" s="234">
        <v>21175.8</v>
      </c>
      <c r="O223" s="234" t="s">
        <v>1259</v>
      </c>
      <c r="P223" s="236">
        <v>45892</v>
      </c>
      <c r="Q223" s="244">
        <v>0.99362268518518515</v>
      </c>
    </row>
    <row r="224" spans="1:17" ht="63.75">
      <c r="A224" s="239" t="s">
        <v>1180</v>
      </c>
      <c r="B224" s="240">
        <v>1122</v>
      </c>
      <c r="C224" s="241">
        <v>30482</v>
      </c>
      <c r="D224" s="239" t="s">
        <v>396</v>
      </c>
      <c r="E224" s="239" t="s">
        <v>453</v>
      </c>
      <c r="F224" s="239" t="s">
        <v>454</v>
      </c>
      <c r="G224" s="239" t="s">
        <v>939</v>
      </c>
      <c r="H224" s="239" t="s">
        <v>974</v>
      </c>
      <c r="I224" s="239" t="s">
        <v>399</v>
      </c>
      <c r="J224" s="234">
        <v>46960</v>
      </c>
      <c r="K224" s="234">
        <v>24190</v>
      </c>
      <c r="L224" s="242">
        <v>16</v>
      </c>
      <c r="M224" s="308">
        <v>22770</v>
      </c>
      <c r="N224" s="234">
        <v>19126.8</v>
      </c>
      <c r="O224" s="234" t="s">
        <v>1249</v>
      </c>
      <c r="P224" s="236">
        <v>45892</v>
      </c>
      <c r="Q224" s="244">
        <v>0.78488425925925931</v>
      </c>
    </row>
    <row r="225" spans="1:17" ht="63.75">
      <c r="A225" s="239" t="s">
        <v>1181</v>
      </c>
      <c r="B225" s="240">
        <v>1123</v>
      </c>
      <c r="C225" s="241">
        <v>30486</v>
      </c>
      <c r="D225" s="239" t="s">
        <v>396</v>
      </c>
      <c r="E225" s="239" t="s">
        <v>410</v>
      </c>
      <c r="F225" s="239" t="s">
        <v>411</v>
      </c>
      <c r="G225" s="239" t="s">
        <v>939</v>
      </c>
      <c r="H225" s="239" t="s">
        <v>974</v>
      </c>
      <c r="I225" s="239" t="s">
        <v>399</v>
      </c>
      <c r="J225" s="234">
        <v>38870</v>
      </c>
      <c r="K225" s="234">
        <v>15070</v>
      </c>
      <c r="L225" s="242">
        <v>14</v>
      </c>
      <c r="M225" s="308">
        <v>23800</v>
      </c>
      <c r="N225" s="234">
        <v>20468</v>
      </c>
      <c r="O225" s="234" t="s">
        <v>1250</v>
      </c>
      <c r="P225" s="236">
        <v>45892</v>
      </c>
      <c r="Q225" s="244">
        <v>0.7873148148148148</v>
      </c>
    </row>
    <row r="226" spans="1:17" ht="63.75">
      <c r="A226" s="239" t="s">
        <v>1182</v>
      </c>
      <c r="B226" s="240">
        <v>1124</v>
      </c>
      <c r="C226" s="241">
        <v>30484</v>
      </c>
      <c r="D226" s="239" t="s">
        <v>396</v>
      </c>
      <c r="E226" s="239" t="s">
        <v>456</v>
      </c>
      <c r="F226" s="239" t="s">
        <v>457</v>
      </c>
      <c r="G226" s="239" t="s">
        <v>939</v>
      </c>
      <c r="H226" s="239" t="s">
        <v>974</v>
      </c>
      <c r="I226" s="239" t="s">
        <v>399</v>
      </c>
      <c r="J226" s="234">
        <v>43090</v>
      </c>
      <c r="K226" s="234">
        <v>15620</v>
      </c>
      <c r="L226" s="242">
        <v>17</v>
      </c>
      <c r="M226" s="308">
        <v>27470</v>
      </c>
      <c r="N226" s="234">
        <v>22800.1</v>
      </c>
      <c r="O226" s="234" t="s">
        <v>1251</v>
      </c>
      <c r="P226" s="236">
        <v>45892</v>
      </c>
      <c r="Q226" s="244">
        <v>0.79027777777777775</v>
      </c>
    </row>
    <row r="227" spans="1:17" ht="63.75">
      <c r="A227" s="239" t="s">
        <v>1183</v>
      </c>
      <c r="B227" s="240">
        <v>1125</v>
      </c>
      <c r="C227" s="241">
        <v>30488</v>
      </c>
      <c r="D227" s="239" t="s">
        <v>396</v>
      </c>
      <c r="E227" s="239" t="s">
        <v>462</v>
      </c>
      <c r="F227" s="239" t="s">
        <v>463</v>
      </c>
      <c r="G227" s="239" t="s">
        <v>939</v>
      </c>
      <c r="H227" s="239" t="s">
        <v>974</v>
      </c>
      <c r="I227" s="239" t="s">
        <v>399</v>
      </c>
      <c r="J227" s="234">
        <v>41090</v>
      </c>
      <c r="K227" s="234">
        <v>16410</v>
      </c>
      <c r="L227" s="242">
        <v>13</v>
      </c>
      <c r="M227" s="308">
        <v>24680</v>
      </c>
      <c r="N227" s="234">
        <v>21471.599999999999</v>
      </c>
      <c r="O227" s="234" t="s">
        <v>1252</v>
      </c>
      <c r="P227" s="236">
        <v>45892</v>
      </c>
      <c r="Q227" s="244">
        <v>0.79306712962962966</v>
      </c>
    </row>
    <row r="228" spans="1:17" ht="63.75">
      <c r="A228" s="239" t="s">
        <v>1185</v>
      </c>
      <c r="B228" s="240">
        <v>1128</v>
      </c>
      <c r="C228" s="241">
        <v>30490</v>
      </c>
      <c r="D228" s="239" t="s">
        <v>396</v>
      </c>
      <c r="E228" s="239" t="s">
        <v>472</v>
      </c>
      <c r="F228" s="239" t="s">
        <v>473</v>
      </c>
      <c r="G228" s="239" t="s">
        <v>939</v>
      </c>
      <c r="H228" s="239" t="s">
        <v>974</v>
      </c>
      <c r="I228" s="239" t="s">
        <v>399</v>
      </c>
      <c r="J228" s="234">
        <v>41150</v>
      </c>
      <c r="K228" s="234">
        <v>16540</v>
      </c>
      <c r="L228" s="242">
        <v>8</v>
      </c>
      <c r="M228" s="308">
        <v>24610</v>
      </c>
      <c r="N228" s="234">
        <v>22641.200000000001</v>
      </c>
      <c r="O228" s="234" t="s">
        <v>1254</v>
      </c>
      <c r="P228" s="236">
        <v>45892</v>
      </c>
      <c r="Q228" s="244">
        <v>0.87846064814814817</v>
      </c>
    </row>
    <row r="229" spans="1:17" ht="63.75">
      <c r="A229" s="239" t="s">
        <v>1186</v>
      </c>
      <c r="B229" s="240">
        <v>1129</v>
      </c>
      <c r="C229" s="241">
        <v>30492</v>
      </c>
      <c r="D229" s="239" t="s">
        <v>396</v>
      </c>
      <c r="E229" s="239" t="s">
        <v>475</v>
      </c>
      <c r="F229" s="239" t="s">
        <v>476</v>
      </c>
      <c r="G229" s="239" t="s">
        <v>939</v>
      </c>
      <c r="H229" s="239" t="s">
        <v>974</v>
      </c>
      <c r="I229" s="239" t="s">
        <v>399</v>
      </c>
      <c r="J229" s="234">
        <v>40180</v>
      </c>
      <c r="K229" s="234">
        <v>16440</v>
      </c>
      <c r="L229" s="242">
        <v>12</v>
      </c>
      <c r="M229" s="308">
        <v>23740</v>
      </c>
      <c r="N229" s="234">
        <v>20891.2</v>
      </c>
      <c r="O229" s="234" t="s">
        <v>1255</v>
      </c>
      <c r="P229" s="236">
        <v>45892</v>
      </c>
      <c r="Q229" s="244">
        <v>0.88284722222222223</v>
      </c>
    </row>
    <row r="230" spans="1:17" ht="63.75">
      <c r="A230" s="239" t="s">
        <v>1187</v>
      </c>
      <c r="B230" s="240">
        <v>1130</v>
      </c>
      <c r="C230" s="241">
        <v>30495</v>
      </c>
      <c r="D230" s="239" t="s">
        <v>396</v>
      </c>
      <c r="E230" s="239" t="s">
        <v>380</v>
      </c>
      <c r="F230" s="239" t="s">
        <v>381</v>
      </c>
      <c r="G230" s="239" t="s">
        <v>939</v>
      </c>
      <c r="H230" s="239" t="s">
        <v>974</v>
      </c>
      <c r="I230" s="239" t="s">
        <v>399</v>
      </c>
      <c r="J230" s="234">
        <v>38900</v>
      </c>
      <c r="K230" s="234">
        <v>15020</v>
      </c>
      <c r="L230" s="242">
        <v>20</v>
      </c>
      <c r="M230" s="308">
        <v>23880</v>
      </c>
      <c r="N230" s="234">
        <v>19104</v>
      </c>
      <c r="O230" s="234" t="s">
        <v>1256</v>
      </c>
      <c r="P230" s="236">
        <v>45892</v>
      </c>
      <c r="Q230" s="244">
        <v>0.90003472222222225</v>
      </c>
    </row>
    <row r="231" spans="1:17" ht="63.75">
      <c r="A231" s="239" t="s">
        <v>1188</v>
      </c>
      <c r="B231" s="240">
        <v>1131</v>
      </c>
      <c r="C231" s="241">
        <v>30497</v>
      </c>
      <c r="D231" s="239" t="s">
        <v>396</v>
      </c>
      <c r="E231" s="239" t="s">
        <v>429</v>
      </c>
      <c r="F231" s="239" t="s">
        <v>430</v>
      </c>
      <c r="G231" s="239" t="s">
        <v>939</v>
      </c>
      <c r="H231" s="239" t="s">
        <v>974</v>
      </c>
      <c r="I231" s="239" t="s">
        <v>399</v>
      </c>
      <c r="J231" s="234">
        <v>37650</v>
      </c>
      <c r="K231" s="234">
        <v>14180</v>
      </c>
      <c r="L231" s="242">
        <v>28</v>
      </c>
      <c r="M231" s="308">
        <v>23470</v>
      </c>
      <c r="N231" s="234">
        <v>16898.400000000001</v>
      </c>
      <c r="O231" s="234" t="s">
        <v>1257</v>
      </c>
      <c r="P231" s="236">
        <v>45892</v>
      </c>
      <c r="Q231" s="244">
        <v>0.91833333333333333</v>
      </c>
    </row>
    <row r="232" spans="1:17" ht="63.75">
      <c r="A232" s="239" t="s">
        <v>1189</v>
      </c>
      <c r="B232" s="240">
        <v>1132</v>
      </c>
      <c r="C232" s="241">
        <v>30499</v>
      </c>
      <c r="D232" s="239" t="s">
        <v>396</v>
      </c>
      <c r="E232" s="239" t="s">
        <v>386</v>
      </c>
      <c r="F232" s="239" t="s">
        <v>387</v>
      </c>
      <c r="G232" s="239" t="s">
        <v>939</v>
      </c>
      <c r="H232" s="239" t="s">
        <v>974</v>
      </c>
      <c r="I232" s="239" t="s">
        <v>399</v>
      </c>
      <c r="J232" s="234">
        <v>37840</v>
      </c>
      <c r="K232" s="234">
        <v>15440</v>
      </c>
      <c r="L232" s="242">
        <v>18</v>
      </c>
      <c r="M232" s="308">
        <v>22400</v>
      </c>
      <c r="N232" s="234">
        <v>18368</v>
      </c>
      <c r="O232" s="234" t="s">
        <v>1258</v>
      </c>
      <c r="P232" s="236">
        <v>45892</v>
      </c>
      <c r="Q232" s="244">
        <v>0.93959490740740736</v>
      </c>
    </row>
    <row r="233" spans="1:17" ht="63.75">
      <c r="A233" s="239" t="s">
        <v>1191</v>
      </c>
      <c r="B233" s="240">
        <v>1133</v>
      </c>
      <c r="C233" s="241">
        <v>30501</v>
      </c>
      <c r="D233" s="239" t="s">
        <v>396</v>
      </c>
      <c r="E233" s="239" t="s">
        <v>369</v>
      </c>
      <c r="F233" s="239" t="s">
        <v>370</v>
      </c>
      <c r="G233" s="239" t="s">
        <v>939</v>
      </c>
      <c r="H233" s="239" t="s">
        <v>974</v>
      </c>
      <c r="I233" s="239" t="s">
        <v>399</v>
      </c>
      <c r="J233" s="234">
        <v>38290</v>
      </c>
      <c r="K233" s="234">
        <v>15070</v>
      </c>
      <c r="L233" s="242">
        <v>20</v>
      </c>
      <c r="M233" s="308">
        <v>23220</v>
      </c>
      <c r="N233" s="234">
        <v>18576</v>
      </c>
      <c r="O233" s="234" t="s">
        <v>1260</v>
      </c>
      <c r="P233" s="236">
        <v>45892</v>
      </c>
      <c r="Q233" s="244">
        <v>0.99810185185185185</v>
      </c>
    </row>
    <row r="234" spans="1:17" ht="63.75">
      <c r="A234" s="239" t="s">
        <v>1192</v>
      </c>
      <c r="B234" s="240">
        <v>1134</v>
      </c>
      <c r="C234" s="241">
        <v>30503</v>
      </c>
      <c r="D234" s="239" t="s">
        <v>396</v>
      </c>
      <c r="E234" s="239" t="s">
        <v>413</v>
      </c>
      <c r="F234" s="239" t="s">
        <v>414</v>
      </c>
      <c r="G234" s="239" t="s">
        <v>939</v>
      </c>
      <c r="H234" s="239" t="s">
        <v>974</v>
      </c>
      <c r="I234" s="239" t="s">
        <v>399</v>
      </c>
      <c r="J234" s="234">
        <v>43070</v>
      </c>
      <c r="K234" s="234">
        <v>14990</v>
      </c>
      <c r="L234" s="242">
        <v>19</v>
      </c>
      <c r="M234" s="308">
        <v>28080</v>
      </c>
      <c r="N234" s="234">
        <v>22744.799999999999</v>
      </c>
      <c r="O234" s="234" t="s">
        <v>1261</v>
      </c>
      <c r="P234" s="236">
        <v>45893</v>
      </c>
      <c r="Q234" s="244">
        <v>0.50895833333333329</v>
      </c>
    </row>
    <row r="235" spans="1:17" ht="63.75">
      <c r="A235" s="239" t="s">
        <v>1193</v>
      </c>
      <c r="B235" s="240">
        <v>1135</v>
      </c>
      <c r="C235" s="241">
        <v>30505</v>
      </c>
      <c r="D235" s="239" t="s">
        <v>396</v>
      </c>
      <c r="E235" s="239" t="s">
        <v>432</v>
      </c>
      <c r="F235" s="239" t="s">
        <v>433</v>
      </c>
      <c r="G235" s="239" t="s">
        <v>939</v>
      </c>
      <c r="H235" s="239" t="s">
        <v>974</v>
      </c>
      <c r="I235" s="239" t="s">
        <v>399</v>
      </c>
      <c r="J235" s="234">
        <v>42130</v>
      </c>
      <c r="K235" s="234">
        <v>15620</v>
      </c>
      <c r="L235" s="242">
        <v>18</v>
      </c>
      <c r="M235" s="308">
        <v>26510</v>
      </c>
      <c r="N235" s="234">
        <v>21738.2</v>
      </c>
      <c r="O235" s="234" t="s">
        <v>1262</v>
      </c>
      <c r="P235" s="236">
        <v>45893</v>
      </c>
      <c r="Q235" s="244">
        <v>0.53446759259259258</v>
      </c>
    </row>
    <row r="236" spans="1:17" ht="63.75">
      <c r="A236" s="239" t="s">
        <v>1194</v>
      </c>
      <c r="B236" s="240">
        <v>1136</v>
      </c>
      <c r="C236" s="241">
        <v>30507</v>
      </c>
      <c r="D236" s="239" t="s">
        <v>396</v>
      </c>
      <c r="E236" s="239" t="s">
        <v>439</v>
      </c>
      <c r="F236" s="239" t="s">
        <v>440</v>
      </c>
      <c r="G236" s="239" t="s">
        <v>939</v>
      </c>
      <c r="H236" s="239" t="s">
        <v>974</v>
      </c>
      <c r="I236" s="239" t="s">
        <v>399</v>
      </c>
      <c r="J236" s="234">
        <v>41410</v>
      </c>
      <c r="K236" s="234">
        <v>14950</v>
      </c>
      <c r="L236" s="242">
        <v>18</v>
      </c>
      <c r="M236" s="308">
        <v>26460</v>
      </c>
      <c r="N236" s="234">
        <v>21697.200000000001</v>
      </c>
      <c r="O236" s="234" t="s">
        <v>1263</v>
      </c>
      <c r="P236" s="236">
        <v>45893</v>
      </c>
      <c r="Q236" s="244">
        <v>0.54383101851851856</v>
      </c>
    </row>
    <row r="237" spans="1:17" ht="63.75">
      <c r="A237" s="239" t="s">
        <v>1195</v>
      </c>
      <c r="B237" s="240">
        <v>1137</v>
      </c>
      <c r="C237" s="241">
        <v>30511</v>
      </c>
      <c r="D237" s="239" t="s">
        <v>396</v>
      </c>
      <c r="E237" s="239" t="s">
        <v>786</v>
      </c>
      <c r="F237" s="239" t="s">
        <v>787</v>
      </c>
      <c r="G237" s="239" t="s">
        <v>939</v>
      </c>
      <c r="H237" s="239" t="s">
        <v>974</v>
      </c>
      <c r="I237" s="239" t="s">
        <v>399</v>
      </c>
      <c r="J237" s="234">
        <v>34530</v>
      </c>
      <c r="K237" s="234">
        <v>13970</v>
      </c>
      <c r="L237" s="242">
        <v>16</v>
      </c>
      <c r="M237" s="308">
        <v>20560</v>
      </c>
      <c r="N237" s="234">
        <v>17270.400000000001</v>
      </c>
      <c r="O237" s="234" t="s">
        <v>1264</v>
      </c>
      <c r="P237" s="236">
        <v>45893</v>
      </c>
      <c r="Q237" s="244">
        <v>0.5610532407407407</v>
      </c>
    </row>
    <row r="238" spans="1:17" ht="63.75">
      <c r="A238" s="239" t="s">
        <v>1196</v>
      </c>
      <c r="B238" s="240">
        <v>1138</v>
      </c>
      <c r="C238" s="241">
        <v>30509</v>
      </c>
      <c r="D238" s="239" t="s">
        <v>396</v>
      </c>
      <c r="E238" s="239" t="s">
        <v>374</v>
      </c>
      <c r="F238" s="239" t="s">
        <v>375</v>
      </c>
      <c r="G238" s="239" t="s">
        <v>939</v>
      </c>
      <c r="H238" s="239" t="s">
        <v>974</v>
      </c>
      <c r="I238" s="239" t="s">
        <v>399</v>
      </c>
      <c r="J238" s="234">
        <v>38160</v>
      </c>
      <c r="K238" s="234">
        <v>15620</v>
      </c>
      <c r="L238" s="242">
        <v>49</v>
      </c>
      <c r="M238" s="308">
        <v>22540</v>
      </c>
      <c r="N238" s="234">
        <v>11495.4</v>
      </c>
      <c r="O238" s="234" t="s">
        <v>1265</v>
      </c>
      <c r="P238" s="236">
        <v>45893</v>
      </c>
      <c r="Q238" s="244">
        <v>0.61660879629629628</v>
      </c>
    </row>
    <row r="239" spans="1:17" ht="63.75">
      <c r="A239" s="239" t="s">
        <v>1197</v>
      </c>
      <c r="B239" s="240">
        <v>1139</v>
      </c>
      <c r="C239" s="241">
        <v>30515</v>
      </c>
      <c r="D239" s="239" t="s">
        <v>396</v>
      </c>
      <c r="E239" s="239" t="s">
        <v>783</v>
      </c>
      <c r="F239" s="239" t="s">
        <v>784</v>
      </c>
      <c r="G239" s="239" t="s">
        <v>939</v>
      </c>
      <c r="H239" s="239" t="s">
        <v>974</v>
      </c>
      <c r="I239" s="239" t="s">
        <v>399</v>
      </c>
      <c r="J239" s="234">
        <v>40750</v>
      </c>
      <c r="K239" s="234">
        <v>14690</v>
      </c>
      <c r="L239" s="242">
        <v>26</v>
      </c>
      <c r="M239" s="308">
        <v>26060</v>
      </c>
      <c r="N239" s="234">
        <v>19284.400000000001</v>
      </c>
      <c r="O239" s="234" t="s">
        <v>1266</v>
      </c>
      <c r="P239" s="236">
        <v>45893</v>
      </c>
      <c r="Q239" s="244">
        <v>0.65584490740740742</v>
      </c>
    </row>
    <row r="240" spans="1:17" ht="63.75">
      <c r="A240" s="239" t="s">
        <v>1198</v>
      </c>
      <c r="B240" s="240">
        <v>1140</v>
      </c>
      <c r="C240" s="241">
        <v>30517</v>
      </c>
      <c r="D240" s="239" t="s">
        <v>396</v>
      </c>
      <c r="E240" s="239" t="s">
        <v>791</v>
      </c>
      <c r="F240" s="239" t="s">
        <v>792</v>
      </c>
      <c r="G240" s="239" t="s">
        <v>939</v>
      </c>
      <c r="H240" s="239" t="s">
        <v>974</v>
      </c>
      <c r="I240" s="239" t="s">
        <v>399</v>
      </c>
      <c r="J240" s="234">
        <v>38680</v>
      </c>
      <c r="K240" s="234">
        <v>15030</v>
      </c>
      <c r="L240" s="242">
        <v>27</v>
      </c>
      <c r="M240" s="308">
        <v>23650</v>
      </c>
      <c r="N240" s="234">
        <v>17264.5</v>
      </c>
      <c r="O240" s="234" t="s">
        <v>1267</v>
      </c>
      <c r="P240" s="236">
        <v>45893</v>
      </c>
      <c r="Q240" s="244">
        <v>0.69533564814814819</v>
      </c>
    </row>
    <row r="241" spans="1:17" ht="63.75">
      <c r="A241" s="239" t="s">
        <v>1199</v>
      </c>
      <c r="B241" s="240">
        <v>1141</v>
      </c>
      <c r="C241" s="241">
        <v>30513</v>
      </c>
      <c r="D241" s="239" t="s">
        <v>396</v>
      </c>
      <c r="E241" s="239" t="s">
        <v>447</v>
      </c>
      <c r="F241" s="239" t="s">
        <v>448</v>
      </c>
      <c r="G241" s="239" t="s">
        <v>939</v>
      </c>
      <c r="H241" s="239" t="s">
        <v>974</v>
      </c>
      <c r="I241" s="239" t="s">
        <v>399</v>
      </c>
      <c r="J241" s="234">
        <v>46570</v>
      </c>
      <c r="K241" s="234">
        <v>19430</v>
      </c>
      <c r="L241" s="242">
        <v>32</v>
      </c>
      <c r="M241" s="308">
        <v>27140</v>
      </c>
      <c r="N241" s="234">
        <v>18455.2</v>
      </c>
      <c r="O241" s="234" t="s">
        <v>1268</v>
      </c>
      <c r="P241" s="236">
        <v>45893</v>
      </c>
      <c r="Q241" s="244">
        <v>0.7673726851851852</v>
      </c>
    </row>
    <row r="242" spans="1:17" ht="63.75">
      <c r="A242" s="239" t="s">
        <v>1205</v>
      </c>
      <c r="B242" s="240">
        <v>1153</v>
      </c>
      <c r="C242" s="241">
        <v>58126</v>
      </c>
      <c r="D242" s="239" t="s">
        <v>2710</v>
      </c>
      <c r="E242" s="239" t="s">
        <v>841</v>
      </c>
      <c r="F242" s="239" t="s">
        <v>845</v>
      </c>
      <c r="G242" s="239" t="s">
        <v>964</v>
      </c>
      <c r="H242" s="239" t="s">
        <v>48</v>
      </c>
      <c r="I242" s="239" t="s">
        <v>399</v>
      </c>
      <c r="J242" s="234">
        <v>42180</v>
      </c>
      <c r="K242" s="234">
        <v>15890</v>
      </c>
      <c r="L242" s="242">
        <v>13</v>
      </c>
      <c r="M242" s="308">
        <v>26290</v>
      </c>
      <c r="N242" s="234">
        <v>22872.3</v>
      </c>
      <c r="O242" s="234" t="s">
        <v>1272</v>
      </c>
      <c r="P242" s="236">
        <v>45893</v>
      </c>
      <c r="Q242" s="244">
        <v>0.89891203703703704</v>
      </c>
    </row>
    <row r="243" spans="1:17" ht="63.75">
      <c r="A243" s="239" t="s">
        <v>1206</v>
      </c>
      <c r="B243" s="240">
        <v>1154</v>
      </c>
      <c r="C243" s="241">
        <v>58128</v>
      </c>
      <c r="D243" s="239" t="s">
        <v>2710</v>
      </c>
      <c r="E243" s="239" t="s">
        <v>794</v>
      </c>
      <c r="F243" s="239" t="s">
        <v>795</v>
      </c>
      <c r="G243" s="239" t="s">
        <v>964</v>
      </c>
      <c r="H243" s="239" t="s">
        <v>777</v>
      </c>
      <c r="I243" s="239" t="s">
        <v>399</v>
      </c>
      <c r="J243" s="234">
        <v>41280</v>
      </c>
      <c r="K243" s="234">
        <v>16080</v>
      </c>
      <c r="L243" s="242">
        <v>14</v>
      </c>
      <c r="M243" s="308">
        <v>25200</v>
      </c>
      <c r="N243" s="234">
        <v>21672</v>
      </c>
      <c r="O243" s="234" t="s">
        <v>1273</v>
      </c>
      <c r="P243" s="236">
        <v>45893</v>
      </c>
      <c r="Q243" s="244">
        <v>0.91847222222222225</v>
      </c>
    </row>
    <row r="244" spans="1:17" ht="63.75">
      <c r="A244" s="239" t="s">
        <v>1200</v>
      </c>
      <c r="B244" s="240">
        <v>1155</v>
      </c>
      <c r="C244" s="241">
        <v>58106</v>
      </c>
      <c r="D244" s="239" t="s">
        <v>2710</v>
      </c>
      <c r="E244" s="239" t="s">
        <v>377</v>
      </c>
      <c r="F244" s="239" t="s">
        <v>378</v>
      </c>
      <c r="G244" s="239" t="s">
        <v>965</v>
      </c>
      <c r="H244" s="239" t="s">
        <v>48</v>
      </c>
      <c r="I244" s="239" t="s">
        <v>399</v>
      </c>
      <c r="J244" s="234">
        <v>41600</v>
      </c>
      <c r="K244" s="234">
        <v>15190</v>
      </c>
      <c r="L244" s="242">
        <v>21</v>
      </c>
      <c r="M244" s="308">
        <v>26410</v>
      </c>
      <c r="N244" s="234">
        <v>20863.900000000001</v>
      </c>
      <c r="O244" s="234" t="s">
        <v>1269</v>
      </c>
      <c r="P244" s="236">
        <v>45893</v>
      </c>
      <c r="Q244" s="244">
        <v>0.85061342592592593</v>
      </c>
    </row>
    <row r="245" spans="1:17" ht="63.75">
      <c r="A245" s="239" t="s">
        <v>1201</v>
      </c>
      <c r="B245" s="240">
        <v>1156</v>
      </c>
      <c r="C245" s="241">
        <v>58110</v>
      </c>
      <c r="D245" s="239" t="s">
        <v>2710</v>
      </c>
      <c r="E245" s="239" t="s">
        <v>416</v>
      </c>
      <c r="F245" s="239" t="s">
        <v>417</v>
      </c>
      <c r="G245" s="239" t="s">
        <v>965</v>
      </c>
      <c r="H245" s="239" t="s">
        <v>48</v>
      </c>
      <c r="I245" s="239" t="s">
        <v>399</v>
      </c>
      <c r="J245" s="234">
        <v>38150</v>
      </c>
      <c r="K245" s="234">
        <v>14700</v>
      </c>
      <c r="L245" s="242">
        <v>16</v>
      </c>
      <c r="M245" s="308">
        <v>23450</v>
      </c>
      <c r="N245" s="234">
        <v>19698</v>
      </c>
      <c r="O245" s="234" t="s">
        <v>1270</v>
      </c>
      <c r="P245" s="236">
        <v>45893</v>
      </c>
      <c r="Q245" s="244">
        <v>0.85554398148148147</v>
      </c>
    </row>
    <row r="246" spans="1:17" ht="63.75">
      <c r="A246" s="239" t="s">
        <v>1202</v>
      </c>
      <c r="B246" s="240">
        <v>1157</v>
      </c>
      <c r="C246" s="241">
        <v>58108</v>
      </c>
      <c r="D246" s="239" t="s">
        <v>2710</v>
      </c>
      <c r="E246" s="239" t="s">
        <v>420</v>
      </c>
      <c r="F246" s="239" t="s">
        <v>421</v>
      </c>
      <c r="G246" s="239" t="s">
        <v>965</v>
      </c>
      <c r="H246" s="239" t="s">
        <v>48</v>
      </c>
      <c r="I246" s="239" t="s">
        <v>399</v>
      </c>
      <c r="J246" s="234">
        <v>37570</v>
      </c>
      <c r="K246" s="234">
        <v>14870</v>
      </c>
      <c r="L246" s="242">
        <v>18</v>
      </c>
      <c r="M246" s="308">
        <v>22700</v>
      </c>
      <c r="N246" s="234">
        <v>18614</v>
      </c>
      <c r="O246" s="234" t="s">
        <v>1271</v>
      </c>
      <c r="P246" s="236">
        <v>45893</v>
      </c>
      <c r="Q246" s="244">
        <v>0.85850694444444442</v>
      </c>
    </row>
    <row r="247" spans="1:17" ht="63.75">
      <c r="A247" s="239" t="s">
        <v>1203</v>
      </c>
      <c r="B247" s="240">
        <v>1158</v>
      </c>
      <c r="C247" s="241">
        <v>58112</v>
      </c>
      <c r="D247" s="239" t="s">
        <v>2710</v>
      </c>
      <c r="E247" s="239" t="s">
        <v>453</v>
      </c>
      <c r="F247" s="239" t="s">
        <v>454</v>
      </c>
      <c r="G247" s="239" t="s">
        <v>965</v>
      </c>
      <c r="H247" s="239" t="s">
        <v>48</v>
      </c>
      <c r="I247" s="239" t="s">
        <v>399</v>
      </c>
      <c r="J247" s="234">
        <v>46580</v>
      </c>
      <c r="K247" s="234">
        <v>24100</v>
      </c>
      <c r="L247" s="242">
        <v>26</v>
      </c>
      <c r="M247" s="308">
        <v>22480</v>
      </c>
      <c r="N247" s="234">
        <v>16635.2</v>
      </c>
      <c r="O247" s="234" t="s">
        <v>1274</v>
      </c>
      <c r="P247" s="236">
        <v>45893</v>
      </c>
      <c r="Q247" s="244">
        <v>0.93861111111111106</v>
      </c>
    </row>
    <row r="248" spans="1:17" ht="63.75">
      <c r="A248" s="239" t="s">
        <v>1204</v>
      </c>
      <c r="B248" s="240">
        <v>1159</v>
      </c>
      <c r="C248" s="241">
        <v>58114</v>
      </c>
      <c r="D248" s="239" t="s">
        <v>2710</v>
      </c>
      <c r="E248" s="239" t="s">
        <v>456</v>
      </c>
      <c r="F248" s="239" t="s">
        <v>457</v>
      </c>
      <c r="G248" s="239" t="s">
        <v>965</v>
      </c>
      <c r="H248" s="239" t="s">
        <v>48</v>
      </c>
      <c r="I248" s="239" t="s">
        <v>399</v>
      </c>
      <c r="J248" s="234">
        <v>42310</v>
      </c>
      <c r="K248" s="234">
        <v>15520</v>
      </c>
      <c r="L248" s="242">
        <v>34</v>
      </c>
      <c r="M248" s="308">
        <v>26790</v>
      </c>
      <c r="N248" s="234">
        <v>17681.400000000001</v>
      </c>
      <c r="O248" s="234" t="s">
        <v>1275</v>
      </c>
      <c r="P248" s="236">
        <v>45893</v>
      </c>
      <c r="Q248" s="244">
        <v>0.94210648148148146</v>
      </c>
    </row>
    <row r="249" spans="1:17" ht="63.75">
      <c r="A249" s="239" t="s">
        <v>1207</v>
      </c>
      <c r="B249" s="240">
        <v>1160</v>
      </c>
      <c r="C249" s="241">
        <v>58116</v>
      </c>
      <c r="D249" s="239" t="s">
        <v>2710</v>
      </c>
      <c r="E249" s="239" t="s">
        <v>403</v>
      </c>
      <c r="F249" s="239" t="s">
        <v>404</v>
      </c>
      <c r="G249" s="239" t="s">
        <v>965</v>
      </c>
      <c r="H249" s="239" t="s">
        <v>48</v>
      </c>
      <c r="I249" s="239" t="s">
        <v>399</v>
      </c>
      <c r="J249" s="234">
        <v>38570</v>
      </c>
      <c r="K249" s="234">
        <v>14470</v>
      </c>
      <c r="L249" s="242">
        <v>24</v>
      </c>
      <c r="M249" s="308">
        <v>24100</v>
      </c>
      <c r="N249" s="234">
        <v>18316</v>
      </c>
      <c r="O249" s="234" t="s">
        <v>1276</v>
      </c>
      <c r="P249" s="236">
        <v>45894</v>
      </c>
      <c r="Q249" s="244">
        <v>0.48212962962962963</v>
      </c>
    </row>
    <row r="250" spans="1:17" ht="63.75">
      <c r="A250" s="239" t="s">
        <v>1208</v>
      </c>
      <c r="B250" s="240">
        <v>1161</v>
      </c>
      <c r="C250" s="241">
        <v>58118</v>
      </c>
      <c r="D250" s="239" t="s">
        <v>2710</v>
      </c>
      <c r="E250" s="239" t="s">
        <v>406</v>
      </c>
      <c r="F250" s="239" t="s">
        <v>407</v>
      </c>
      <c r="G250" s="239" t="s">
        <v>965</v>
      </c>
      <c r="H250" s="239" t="s">
        <v>48</v>
      </c>
      <c r="I250" s="239" t="s">
        <v>399</v>
      </c>
      <c r="J250" s="234">
        <v>39320</v>
      </c>
      <c r="K250" s="234">
        <v>15070</v>
      </c>
      <c r="L250" s="242">
        <v>26</v>
      </c>
      <c r="M250" s="308">
        <v>24250</v>
      </c>
      <c r="N250" s="234">
        <v>17945</v>
      </c>
      <c r="O250" s="234" t="s">
        <v>1277</v>
      </c>
      <c r="P250" s="236">
        <v>45894</v>
      </c>
      <c r="Q250" s="244">
        <v>0.48218749999999999</v>
      </c>
    </row>
    <row r="251" spans="1:17" ht="63.75">
      <c r="A251" s="239" t="s">
        <v>1209</v>
      </c>
      <c r="B251" s="240">
        <v>1162</v>
      </c>
      <c r="C251" s="241">
        <v>58120</v>
      </c>
      <c r="D251" s="239" t="s">
        <v>2710</v>
      </c>
      <c r="E251" s="239" t="s">
        <v>462</v>
      </c>
      <c r="F251" s="239" t="s">
        <v>463</v>
      </c>
      <c r="G251" s="239" t="s">
        <v>965</v>
      </c>
      <c r="H251" s="239" t="s">
        <v>48</v>
      </c>
      <c r="I251" s="239" t="s">
        <v>399</v>
      </c>
      <c r="J251" s="234">
        <v>40430</v>
      </c>
      <c r="K251" s="234">
        <v>16390</v>
      </c>
      <c r="L251" s="242">
        <v>29</v>
      </c>
      <c r="M251" s="308">
        <v>24040</v>
      </c>
      <c r="N251" s="234">
        <v>17068.400000000001</v>
      </c>
      <c r="O251" s="234" t="s">
        <v>1278</v>
      </c>
      <c r="P251" s="236">
        <v>45894</v>
      </c>
      <c r="Q251" s="244">
        <v>0.48224537037037035</v>
      </c>
    </row>
    <row r="252" spans="1:17" ht="63.75">
      <c r="A252" s="239" t="s">
        <v>1210</v>
      </c>
      <c r="B252" s="240">
        <v>1163</v>
      </c>
      <c r="C252" s="241">
        <v>58122</v>
      </c>
      <c r="D252" s="239" t="s">
        <v>2710</v>
      </c>
      <c r="E252" s="239" t="s">
        <v>472</v>
      </c>
      <c r="F252" s="239" t="s">
        <v>473</v>
      </c>
      <c r="G252" s="239" t="s">
        <v>965</v>
      </c>
      <c r="H252" s="239" t="s">
        <v>48</v>
      </c>
      <c r="I252" s="239" t="s">
        <v>399</v>
      </c>
      <c r="J252" s="234">
        <v>38750</v>
      </c>
      <c r="K252" s="234">
        <v>16580</v>
      </c>
      <c r="L252" s="242">
        <v>33</v>
      </c>
      <c r="M252" s="308">
        <v>22170</v>
      </c>
      <c r="N252" s="234">
        <v>14853.9</v>
      </c>
      <c r="O252" s="234" t="s">
        <v>1279</v>
      </c>
      <c r="P252" s="236">
        <v>45894</v>
      </c>
      <c r="Q252" s="244">
        <v>0.48228009259259258</v>
      </c>
    </row>
    <row r="253" spans="1:17" ht="63.75">
      <c r="A253" s="239" t="s">
        <v>1211</v>
      </c>
      <c r="B253" s="240">
        <v>1164</v>
      </c>
      <c r="C253" s="241">
        <v>58124</v>
      </c>
      <c r="D253" s="239" t="s">
        <v>2710</v>
      </c>
      <c r="E253" s="239" t="s">
        <v>475</v>
      </c>
      <c r="F253" s="239" t="s">
        <v>476</v>
      </c>
      <c r="G253" s="239" t="s">
        <v>965</v>
      </c>
      <c r="H253" s="239" t="s">
        <v>48</v>
      </c>
      <c r="I253" s="239" t="s">
        <v>399</v>
      </c>
      <c r="J253" s="234">
        <v>39920</v>
      </c>
      <c r="K253" s="234">
        <v>16380</v>
      </c>
      <c r="L253" s="242">
        <v>36</v>
      </c>
      <c r="M253" s="308">
        <v>23540</v>
      </c>
      <c r="N253" s="234">
        <v>15065.6</v>
      </c>
      <c r="O253" s="234" t="s">
        <v>1280</v>
      </c>
      <c r="P253" s="236">
        <v>45894</v>
      </c>
      <c r="Q253" s="244">
        <v>0.4823263888888889</v>
      </c>
    </row>
    <row r="254" spans="1:17" ht="63.75">
      <c r="A254" s="239" t="s">
        <v>1212</v>
      </c>
      <c r="B254" s="240">
        <v>1165</v>
      </c>
      <c r="C254" s="241">
        <v>58154</v>
      </c>
      <c r="D254" s="239" t="s">
        <v>2710</v>
      </c>
      <c r="E254" s="239" t="s">
        <v>392</v>
      </c>
      <c r="F254" s="239" t="s">
        <v>393</v>
      </c>
      <c r="G254" s="239" t="s">
        <v>965</v>
      </c>
      <c r="H254" s="239" t="s">
        <v>48</v>
      </c>
      <c r="I254" s="239" t="s">
        <v>399</v>
      </c>
      <c r="J254" s="234">
        <v>45140</v>
      </c>
      <c r="K254" s="234">
        <v>24130</v>
      </c>
      <c r="L254" s="242">
        <v>40</v>
      </c>
      <c r="M254" s="308">
        <v>21010</v>
      </c>
      <c r="N254" s="234">
        <v>12606</v>
      </c>
      <c r="O254" s="234" t="s">
        <v>1281</v>
      </c>
      <c r="P254" s="236">
        <v>45894</v>
      </c>
      <c r="Q254" s="244">
        <v>0.4824074074074074</v>
      </c>
    </row>
    <row r="255" spans="1:17" ht="63.75">
      <c r="A255" s="239" t="s">
        <v>1217</v>
      </c>
      <c r="B255" s="240">
        <v>1174</v>
      </c>
      <c r="C255" s="241">
        <v>58156</v>
      </c>
      <c r="D255" s="239" t="s">
        <v>2710</v>
      </c>
      <c r="E255" s="239" t="s">
        <v>432</v>
      </c>
      <c r="F255" s="239" t="s">
        <v>433</v>
      </c>
      <c r="G255" s="239" t="s">
        <v>965</v>
      </c>
      <c r="H255" s="239" t="s">
        <v>48</v>
      </c>
      <c r="I255" s="239" t="s">
        <v>399</v>
      </c>
      <c r="J255" s="234">
        <v>35480</v>
      </c>
      <c r="K255" s="234">
        <v>15610</v>
      </c>
      <c r="L255" s="242">
        <v>20</v>
      </c>
      <c r="M255" s="308">
        <v>19870</v>
      </c>
      <c r="N255" s="234">
        <v>15896</v>
      </c>
      <c r="O255" s="234" t="s">
        <v>1282</v>
      </c>
      <c r="P255" s="236">
        <v>45894</v>
      </c>
      <c r="Q255" s="244">
        <v>0.81163194444444442</v>
      </c>
    </row>
    <row r="256" spans="1:17" ht="63.75">
      <c r="A256" s="239" t="s">
        <v>1218</v>
      </c>
      <c r="B256" s="240">
        <v>1175</v>
      </c>
      <c r="C256" s="241">
        <v>59158</v>
      </c>
      <c r="D256" s="239" t="s">
        <v>2710</v>
      </c>
      <c r="E256" s="239" t="s">
        <v>382</v>
      </c>
      <c r="F256" s="239" t="s">
        <v>383</v>
      </c>
      <c r="G256" s="239" t="s">
        <v>965</v>
      </c>
      <c r="H256" s="239" t="s">
        <v>48</v>
      </c>
      <c r="I256" s="239" t="s">
        <v>399</v>
      </c>
      <c r="J256" s="234">
        <v>36080</v>
      </c>
      <c r="K256" s="234">
        <v>14590</v>
      </c>
      <c r="L256" s="242">
        <v>25</v>
      </c>
      <c r="M256" s="308">
        <v>21490</v>
      </c>
      <c r="N256" s="234">
        <v>16117.5</v>
      </c>
      <c r="O256" s="234" t="s">
        <v>1283</v>
      </c>
      <c r="P256" s="236">
        <v>45894</v>
      </c>
      <c r="Q256" s="244">
        <v>0.8699189814814815</v>
      </c>
    </row>
    <row r="257" spans="1:17" ht="63.75">
      <c r="A257" s="239" t="s">
        <v>1219</v>
      </c>
      <c r="B257" s="240">
        <v>1176</v>
      </c>
      <c r="C257" s="241">
        <v>58162</v>
      </c>
      <c r="D257" s="239" t="s">
        <v>2710</v>
      </c>
      <c r="E257" s="239" t="s">
        <v>429</v>
      </c>
      <c r="F257" s="239" t="s">
        <v>430</v>
      </c>
      <c r="G257" s="239" t="s">
        <v>965</v>
      </c>
      <c r="H257" s="239" t="s">
        <v>48</v>
      </c>
      <c r="I257" s="239" t="s">
        <v>399</v>
      </c>
      <c r="J257" s="234">
        <v>39500</v>
      </c>
      <c r="K257" s="234">
        <v>14430</v>
      </c>
      <c r="L257" s="242">
        <v>27</v>
      </c>
      <c r="M257" s="308">
        <v>25070</v>
      </c>
      <c r="N257" s="234">
        <v>18301.099999999999</v>
      </c>
      <c r="O257" s="234" t="s">
        <v>1284</v>
      </c>
      <c r="P257" s="236">
        <v>45894</v>
      </c>
      <c r="Q257" s="244">
        <v>0.9040393518518518</v>
      </c>
    </row>
    <row r="258" spans="1:17" ht="63.75">
      <c r="A258" s="239" t="s">
        <v>1220</v>
      </c>
      <c r="B258" s="240">
        <v>1177</v>
      </c>
      <c r="C258" s="241">
        <v>58167</v>
      </c>
      <c r="D258" s="239" t="s">
        <v>2710</v>
      </c>
      <c r="E258" s="239" t="s">
        <v>439</v>
      </c>
      <c r="F258" s="239" t="s">
        <v>440</v>
      </c>
      <c r="G258" s="239" t="s">
        <v>965</v>
      </c>
      <c r="H258" s="239" t="s">
        <v>48</v>
      </c>
      <c r="I258" s="239" t="s">
        <v>399</v>
      </c>
      <c r="J258" s="234">
        <v>39030</v>
      </c>
      <c r="K258" s="234">
        <v>14970</v>
      </c>
      <c r="L258" s="242">
        <v>26</v>
      </c>
      <c r="M258" s="308">
        <v>24060</v>
      </c>
      <c r="N258" s="234">
        <v>17804.400000000001</v>
      </c>
      <c r="O258" s="234" t="s">
        <v>1285</v>
      </c>
      <c r="P258" s="236">
        <v>45894</v>
      </c>
      <c r="Q258" s="244">
        <v>0.9508564814814815</v>
      </c>
    </row>
    <row r="259" spans="1:17" ht="63.75">
      <c r="A259" s="239" t="s">
        <v>1221</v>
      </c>
      <c r="B259" s="240">
        <v>1178</v>
      </c>
      <c r="C259" s="241">
        <v>58171</v>
      </c>
      <c r="D259" s="239" t="s">
        <v>2710</v>
      </c>
      <c r="E259" s="239" t="s">
        <v>388</v>
      </c>
      <c r="F259" s="239" t="s">
        <v>389</v>
      </c>
      <c r="G259" s="239" t="s">
        <v>965</v>
      </c>
      <c r="H259" s="239" t="s">
        <v>48</v>
      </c>
      <c r="I259" s="239" t="s">
        <v>399</v>
      </c>
      <c r="J259" s="234">
        <v>46750</v>
      </c>
      <c r="K259" s="234">
        <v>20970</v>
      </c>
      <c r="L259" s="242">
        <v>21</v>
      </c>
      <c r="M259" s="308">
        <v>25780</v>
      </c>
      <c r="N259" s="234">
        <v>20366.2</v>
      </c>
      <c r="O259" s="234" t="s">
        <v>1286</v>
      </c>
      <c r="P259" s="236">
        <v>45894</v>
      </c>
      <c r="Q259" s="244">
        <v>0.95538194444444446</v>
      </c>
    </row>
    <row r="260" spans="1:17" ht="63.75">
      <c r="A260" s="239" t="s">
        <v>1224</v>
      </c>
      <c r="B260" s="240">
        <v>1179</v>
      </c>
      <c r="C260" s="241">
        <v>58180</v>
      </c>
      <c r="D260" s="239" t="s">
        <v>2710</v>
      </c>
      <c r="E260" s="239" t="s">
        <v>791</v>
      </c>
      <c r="F260" s="239" t="s">
        <v>792</v>
      </c>
      <c r="G260" s="239" t="s">
        <v>965</v>
      </c>
      <c r="H260" s="239" t="s">
        <v>48</v>
      </c>
      <c r="I260" s="239" t="s">
        <v>399</v>
      </c>
      <c r="J260" s="234">
        <v>38020</v>
      </c>
      <c r="K260" s="234">
        <v>15000</v>
      </c>
      <c r="L260" s="242">
        <v>18</v>
      </c>
      <c r="M260" s="308">
        <v>23020</v>
      </c>
      <c r="N260" s="234">
        <v>18876.400000000001</v>
      </c>
      <c r="O260" s="234" t="s">
        <v>1289</v>
      </c>
      <c r="P260" s="236">
        <v>45895</v>
      </c>
      <c r="Q260" s="244">
        <v>0.46778935185185183</v>
      </c>
    </row>
    <row r="261" spans="1:17" ht="63.75">
      <c r="A261" s="239" t="s">
        <v>1225</v>
      </c>
      <c r="B261" s="240">
        <v>1180</v>
      </c>
      <c r="C261" s="241">
        <v>58186</v>
      </c>
      <c r="D261" s="239" t="s">
        <v>2710</v>
      </c>
      <c r="E261" s="239" t="s">
        <v>400</v>
      </c>
      <c r="F261" s="239" t="s">
        <v>401</v>
      </c>
      <c r="G261" s="239" t="s">
        <v>965</v>
      </c>
      <c r="H261" s="239" t="s">
        <v>48</v>
      </c>
      <c r="I261" s="239" t="s">
        <v>399</v>
      </c>
      <c r="J261" s="234">
        <v>35880</v>
      </c>
      <c r="K261" s="234">
        <v>14730</v>
      </c>
      <c r="L261" s="242">
        <v>15</v>
      </c>
      <c r="M261" s="308">
        <v>21150</v>
      </c>
      <c r="N261" s="234">
        <v>17977.5</v>
      </c>
      <c r="O261" s="234" t="s">
        <v>1290</v>
      </c>
      <c r="P261" s="236">
        <v>45895</v>
      </c>
      <c r="Q261" s="244">
        <v>0.46782407407407406</v>
      </c>
    </row>
    <row r="262" spans="1:17" ht="63.75">
      <c r="A262" s="239" t="s">
        <v>1226</v>
      </c>
      <c r="B262" s="240">
        <v>1181</v>
      </c>
      <c r="C262" s="241">
        <v>58188</v>
      </c>
      <c r="D262" s="239" t="s">
        <v>2710</v>
      </c>
      <c r="E262" s="239" t="s">
        <v>783</v>
      </c>
      <c r="F262" s="239" t="s">
        <v>784</v>
      </c>
      <c r="G262" s="239" t="s">
        <v>965</v>
      </c>
      <c r="H262" s="239" t="s">
        <v>48</v>
      </c>
      <c r="I262" s="239" t="s">
        <v>399</v>
      </c>
      <c r="J262" s="234">
        <v>39250</v>
      </c>
      <c r="K262" s="234">
        <v>14660</v>
      </c>
      <c r="L262" s="242">
        <v>12</v>
      </c>
      <c r="M262" s="308">
        <v>24590</v>
      </c>
      <c r="N262" s="234">
        <v>21639.200000000001</v>
      </c>
      <c r="O262" s="234" t="s">
        <v>1291</v>
      </c>
      <c r="P262" s="236">
        <v>45895</v>
      </c>
      <c r="Q262" s="244">
        <v>0.46785879629629629</v>
      </c>
    </row>
    <row r="263" spans="1:17" ht="63.75">
      <c r="A263" s="239" t="s">
        <v>1222</v>
      </c>
      <c r="B263" s="240">
        <v>1182</v>
      </c>
      <c r="C263" s="241">
        <v>58182</v>
      </c>
      <c r="D263" s="239" t="s">
        <v>2710</v>
      </c>
      <c r="E263" s="239" t="s">
        <v>416</v>
      </c>
      <c r="F263" s="239" t="s">
        <v>417</v>
      </c>
      <c r="G263" s="239" t="s">
        <v>965</v>
      </c>
      <c r="H263" s="239" t="s">
        <v>48</v>
      </c>
      <c r="I263" s="239" t="s">
        <v>399</v>
      </c>
      <c r="J263" s="234">
        <v>37970</v>
      </c>
      <c r="K263" s="234">
        <v>14700</v>
      </c>
      <c r="L263" s="242">
        <v>12</v>
      </c>
      <c r="M263" s="308">
        <v>23270</v>
      </c>
      <c r="N263" s="234">
        <v>20477.599999999999</v>
      </c>
      <c r="O263" s="234" t="s">
        <v>1287</v>
      </c>
      <c r="P263" s="236">
        <v>45895</v>
      </c>
      <c r="Q263" s="244">
        <v>0.13984953703703704</v>
      </c>
    </row>
    <row r="264" spans="1:17" ht="63.75">
      <c r="A264" s="239" t="s">
        <v>1223</v>
      </c>
      <c r="B264" s="240">
        <v>1183</v>
      </c>
      <c r="C264" s="241">
        <v>58184</v>
      </c>
      <c r="D264" s="239" t="s">
        <v>2710</v>
      </c>
      <c r="E264" s="239" t="s">
        <v>420</v>
      </c>
      <c r="F264" s="239" t="s">
        <v>421</v>
      </c>
      <c r="G264" s="239" t="s">
        <v>965</v>
      </c>
      <c r="H264" s="239" t="s">
        <v>48</v>
      </c>
      <c r="I264" s="239" t="s">
        <v>399</v>
      </c>
      <c r="J264" s="234">
        <v>35660</v>
      </c>
      <c r="K264" s="234">
        <v>14900</v>
      </c>
      <c r="L264" s="242">
        <v>16</v>
      </c>
      <c r="M264" s="308">
        <v>20760</v>
      </c>
      <c r="N264" s="234">
        <v>17438.400000000001</v>
      </c>
      <c r="O264" s="234" t="s">
        <v>1288</v>
      </c>
      <c r="P264" s="236">
        <v>45895</v>
      </c>
      <c r="Q264" s="244">
        <v>0.14253472222222222</v>
      </c>
    </row>
    <row r="265" spans="1:17" ht="63.75">
      <c r="A265" s="239" t="s">
        <v>1293</v>
      </c>
      <c r="B265" s="240">
        <v>1184</v>
      </c>
      <c r="C265" s="241">
        <v>58192</v>
      </c>
      <c r="D265" s="239" t="s">
        <v>2710</v>
      </c>
      <c r="E265" s="239" t="s">
        <v>794</v>
      </c>
      <c r="F265" s="239" t="s">
        <v>795</v>
      </c>
      <c r="G265" s="239" t="s">
        <v>965</v>
      </c>
      <c r="H265" s="239" t="s">
        <v>48</v>
      </c>
      <c r="I265" s="239" t="s">
        <v>399</v>
      </c>
      <c r="J265" s="234">
        <v>41750</v>
      </c>
      <c r="K265" s="234">
        <v>16150</v>
      </c>
      <c r="L265" s="242">
        <v>13</v>
      </c>
      <c r="M265" s="308">
        <v>25600</v>
      </c>
      <c r="N265" s="234">
        <v>22272</v>
      </c>
      <c r="O265" s="234" t="s">
        <v>1324</v>
      </c>
      <c r="P265" s="236">
        <v>45895</v>
      </c>
      <c r="Q265" s="244">
        <v>0.19967592592592592</v>
      </c>
    </row>
    <row r="266" spans="1:17" ht="63.75">
      <c r="A266" s="239" t="s">
        <v>1294</v>
      </c>
      <c r="B266" s="240">
        <v>1185</v>
      </c>
      <c r="C266" s="241">
        <v>58190</v>
      </c>
      <c r="D266" s="239" t="s">
        <v>2710</v>
      </c>
      <c r="E266" s="239" t="s">
        <v>786</v>
      </c>
      <c r="F266" s="239" t="s">
        <v>787</v>
      </c>
      <c r="G266" s="239" t="s">
        <v>965</v>
      </c>
      <c r="H266" s="239" t="s">
        <v>48</v>
      </c>
      <c r="I266" s="239" t="s">
        <v>399</v>
      </c>
      <c r="J266" s="234">
        <v>35590</v>
      </c>
      <c r="K266" s="234">
        <v>13980</v>
      </c>
      <c r="L266" s="242">
        <v>12</v>
      </c>
      <c r="M266" s="308">
        <v>21610</v>
      </c>
      <c r="N266" s="234">
        <v>19016.8</v>
      </c>
      <c r="O266" s="234" t="s">
        <v>1325</v>
      </c>
      <c r="P266" s="236">
        <v>45895</v>
      </c>
      <c r="Q266" s="244">
        <v>0.21879629629629629</v>
      </c>
    </row>
    <row r="267" spans="1:17" ht="63.75">
      <c r="A267" s="239" t="s">
        <v>1295</v>
      </c>
      <c r="B267" s="240">
        <v>1186</v>
      </c>
      <c r="C267" s="241">
        <v>58194</v>
      </c>
      <c r="D267" s="239" t="s">
        <v>2710</v>
      </c>
      <c r="E267" s="239" t="s">
        <v>841</v>
      </c>
      <c r="F267" s="239" t="s">
        <v>845</v>
      </c>
      <c r="G267" s="239" t="s">
        <v>965</v>
      </c>
      <c r="H267" s="239" t="s">
        <v>48</v>
      </c>
      <c r="I267" s="239" t="s">
        <v>399</v>
      </c>
      <c r="J267" s="234">
        <v>41240</v>
      </c>
      <c r="K267" s="234">
        <v>15930</v>
      </c>
      <c r="L267" s="242">
        <v>12</v>
      </c>
      <c r="M267" s="308">
        <v>25310</v>
      </c>
      <c r="N267" s="234">
        <v>22272.799999999999</v>
      </c>
      <c r="O267" s="234" t="s">
        <v>1326</v>
      </c>
      <c r="P267" s="236">
        <v>45895</v>
      </c>
      <c r="Q267" s="244">
        <v>0.2452199074074074</v>
      </c>
    </row>
    <row r="268" spans="1:17" ht="63.75">
      <c r="A268" s="239" t="s">
        <v>1296</v>
      </c>
      <c r="B268" s="240">
        <v>1188</v>
      </c>
      <c r="C268" s="241">
        <v>58196</v>
      </c>
      <c r="D268" s="239" t="s">
        <v>2710</v>
      </c>
      <c r="E268" s="239" t="s">
        <v>410</v>
      </c>
      <c r="F268" s="239" t="s">
        <v>411</v>
      </c>
      <c r="G268" s="239" t="s">
        <v>965</v>
      </c>
      <c r="H268" s="239" t="s">
        <v>48</v>
      </c>
      <c r="I268" s="239" t="s">
        <v>399</v>
      </c>
      <c r="J268" s="234">
        <v>37590</v>
      </c>
      <c r="K268" s="234">
        <v>14940</v>
      </c>
      <c r="L268" s="242">
        <v>16</v>
      </c>
      <c r="M268" s="308">
        <v>22650</v>
      </c>
      <c r="N268" s="234">
        <v>19026</v>
      </c>
      <c r="O268" s="234" t="s">
        <v>1327</v>
      </c>
      <c r="P268" s="236">
        <v>45895</v>
      </c>
      <c r="Q268" s="244">
        <v>0.30820601851851853</v>
      </c>
    </row>
    <row r="269" spans="1:17" ht="63.75">
      <c r="A269" s="239" t="s">
        <v>1297</v>
      </c>
      <c r="B269" s="240">
        <v>1190</v>
      </c>
      <c r="C269" s="241">
        <v>58208</v>
      </c>
      <c r="D269" s="239" t="s">
        <v>2710</v>
      </c>
      <c r="E269" s="239" t="s">
        <v>780</v>
      </c>
      <c r="F269" s="239" t="s">
        <v>781</v>
      </c>
      <c r="G269" s="239" t="s">
        <v>965</v>
      </c>
      <c r="H269" s="239" t="s">
        <v>48</v>
      </c>
      <c r="I269" s="239" t="s">
        <v>399</v>
      </c>
      <c r="J269" s="234">
        <v>36240</v>
      </c>
      <c r="K269" s="234">
        <v>14830</v>
      </c>
      <c r="L269" s="242">
        <v>5</v>
      </c>
      <c r="M269" s="308">
        <v>21410</v>
      </c>
      <c r="N269" s="234">
        <v>20339.5</v>
      </c>
      <c r="O269" s="234" t="s">
        <v>1328</v>
      </c>
      <c r="P269" s="236">
        <v>45895</v>
      </c>
      <c r="Q269" s="244">
        <v>0.36850694444444443</v>
      </c>
    </row>
    <row r="270" spans="1:17" ht="63.75">
      <c r="A270" s="239" t="s">
        <v>1298</v>
      </c>
      <c r="B270" s="240">
        <v>1191</v>
      </c>
      <c r="C270" s="241">
        <v>58210</v>
      </c>
      <c r="D270" s="239" t="s">
        <v>2710</v>
      </c>
      <c r="E270" s="239" t="s">
        <v>442</v>
      </c>
      <c r="F270" s="239" t="s">
        <v>443</v>
      </c>
      <c r="G270" s="239" t="s">
        <v>965</v>
      </c>
      <c r="H270" s="239" t="s">
        <v>48</v>
      </c>
      <c r="I270" s="239" t="s">
        <v>399</v>
      </c>
      <c r="J270" s="234">
        <v>34770</v>
      </c>
      <c r="K270" s="234">
        <v>14480</v>
      </c>
      <c r="L270" s="242">
        <v>6</v>
      </c>
      <c r="M270" s="308">
        <v>20290</v>
      </c>
      <c r="N270" s="234">
        <v>19072.599999999999</v>
      </c>
      <c r="O270" s="234" t="s">
        <v>1329</v>
      </c>
      <c r="P270" s="236">
        <v>45895</v>
      </c>
      <c r="Q270" s="244">
        <v>0.3725</v>
      </c>
    </row>
    <row r="271" spans="1:17" ht="63.75">
      <c r="A271" s="239" t="s">
        <v>1299</v>
      </c>
      <c r="B271" s="240">
        <v>1192</v>
      </c>
      <c r="C271" s="241">
        <v>58213</v>
      </c>
      <c r="D271" s="239" t="s">
        <v>2710</v>
      </c>
      <c r="E271" s="239" t="s">
        <v>377</v>
      </c>
      <c r="F271" s="239" t="s">
        <v>378</v>
      </c>
      <c r="G271" s="239" t="s">
        <v>965</v>
      </c>
      <c r="H271" s="239" t="s">
        <v>48</v>
      </c>
      <c r="I271" s="239" t="s">
        <v>399</v>
      </c>
      <c r="J271" s="234">
        <v>41230</v>
      </c>
      <c r="K271" s="234">
        <v>15190</v>
      </c>
      <c r="L271" s="242">
        <v>5</v>
      </c>
      <c r="M271" s="308">
        <v>26040</v>
      </c>
      <c r="N271" s="234">
        <v>24738</v>
      </c>
      <c r="O271" s="234" t="s">
        <v>1330</v>
      </c>
      <c r="P271" s="236">
        <v>45895</v>
      </c>
      <c r="Q271" s="244">
        <v>0.38004629629629627</v>
      </c>
    </row>
    <row r="272" spans="1:17" ht="63.75">
      <c r="A272" s="239" t="s">
        <v>1300</v>
      </c>
      <c r="B272" s="240">
        <v>1193</v>
      </c>
      <c r="C272" s="241">
        <v>58217</v>
      </c>
      <c r="D272" s="239" t="s">
        <v>2710</v>
      </c>
      <c r="E272" s="239" t="s">
        <v>392</v>
      </c>
      <c r="F272" s="239" t="s">
        <v>393</v>
      </c>
      <c r="G272" s="239" t="s">
        <v>965</v>
      </c>
      <c r="H272" s="239" t="s">
        <v>48</v>
      </c>
      <c r="I272" s="239" t="s">
        <v>399</v>
      </c>
      <c r="J272" s="234">
        <v>45590</v>
      </c>
      <c r="K272" s="234">
        <v>24080</v>
      </c>
      <c r="L272" s="242">
        <v>6</v>
      </c>
      <c r="M272" s="308">
        <v>21510</v>
      </c>
      <c r="N272" s="234">
        <v>20219.400000000001</v>
      </c>
      <c r="O272" s="234" t="s">
        <v>1331</v>
      </c>
      <c r="P272" s="236">
        <v>45895</v>
      </c>
      <c r="Q272" s="244">
        <v>0.44108796296296299</v>
      </c>
    </row>
    <row r="273" spans="1:17" ht="63.75">
      <c r="A273" s="239" t="s">
        <v>1301</v>
      </c>
      <c r="B273" s="240">
        <v>1194</v>
      </c>
      <c r="C273" s="241">
        <v>58215</v>
      </c>
      <c r="D273" s="239" t="s">
        <v>2710</v>
      </c>
      <c r="E273" s="239" t="s">
        <v>384</v>
      </c>
      <c r="F273" s="239" t="s">
        <v>385</v>
      </c>
      <c r="G273" s="239" t="s">
        <v>965</v>
      </c>
      <c r="H273" s="239" t="s">
        <v>48</v>
      </c>
      <c r="I273" s="239" t="s">
        <v>399</v>
      </c>
      <c r="J273" s="234">
        <v>36300</v>
      </c>
      <c r="K273" s="234">
        <v>13930</v>
      </c>
      <c r="L273" s="242">
        <v>5</v>
      </c>
      <c r="M273" s="308">
        <v>22370</v>
      </c>
      <c r="N273" s="234">
        <v>21251.5</v>
      </c>
      <c r="O273" s="234" t="s">
        <v>1332</v>
      </c>
      <c r="P273" s="236">
        <v>45895</v>
      </c>
      <c r="Q273" s="244">
        <v>0.44976851851851851</v>
      </c>
    </row>
    <row r="274" spans="1:17" ht="63.75">
      <c r="A274" s="239" t="s">
        <v>1302</v>
      </c>
      <c r="B274" s="240">
        <v>1195</v>
      </c>
      <c r="C274" s="241">
        <v>58219</v>
      </c>
      <c r="D274" s="239" t="s">
        <v>2710</v>
      </c>
      <c r="E274" s="239" t="s">
        <v>447</v>
      </c>
      <c r="F274" s="239" t="s">
        <v>448</v>
      </c>
      <c r="G274" s="239" t="s">
        <v>965</v>
      </c>
      <c r="H274" s="239" t="s">
        <v>48</v>
      </c>
      <c r="I274" s="239" t="s">
        <v>399</v>
      </c>
      <c r="J274" s="234">
        <v>44000</v>
      </c>
      <c r="K274" s="234">
        <v>19360</v>
      </c>
      <c r="L274" s="242">
        <v>7</v>
      </c>
      <c r="M274" s="308">
        <v>24640</v>
      </c>
      <c r="N274" s="234">
        <v>22915.200000000001</v>
      </c>
      <c r="O274" s="234" t="s">
        <v>1333</v>
      </c>
      <c r="P274" s="236">
        <v>45895</v>
      </c>
      <c r="Q274" s="244">
        <v>0.54600694444444442</v>
      </c>
    </row>
    <row r="275" spans="1:17" ht="63.75">
      <c r="A275" s="239" t="s">
        <v>1303</v>
      </c>
      <c r="B275" s="240">
        <v>1196</v>
      </c>
      <c r="C275" s="241">
        <v>58221</v>
      </c>
      <c r="D275" s="239" t="s">
        <v>2710</v>
      </c>
      <c r="E275" s="239" t="s">
        <v>866</v>
      </c>
      <c r="F275" s="239" t="s">
        <v>867</v>
      </c>
      <c r="G275" s="239" t="s">
        <v>965</v>
      </c>
      <c r="H275" s="239" t="s">
        <v>48</v>
      </c>
      <c r="I275" s="239" t="s">
        <v>399</v>
      </c>
      <c r="J275" s="234">
        <v>37250</v>
      </c>
      <c r="K275" s="234">
        <v>14460</v>
      </c>
      <c r="L275" s="242">
        <v>12</v>
      </c>
      <c r="M275" s="308">
        <v>22790</v>
      </c>
      <c r="N275" s="234">
        <v>20055.2</v>
      </c>
      <c r="O275" s="234" t="s">
        <v>1334</v>
      </c>
      <c r="P275" s="236">
        <v>45895</v>
      </c>
      <c r="Q275" s="244">
        <v>0.65931712962962963</v>
      </c>
    </row>
    <row r="276" spans="1:17" ht="63.75">
      <c r="A276" s="239" t="s">
        <v>1304</v>
      </c>
      <c r="B276" s="240">
        <v>1199</v>
      </c>
      <c r="C276" s="241">
        <v>58229</v>
      </c>
      <c r="D276" s="239" t="s">
        <v>2710</v>
      </c>
      <c r="E276" s="239" t="s">
        <v>1305</v>
      </c>
      <c r="F276" s="239" t="s">
        <v>1306</v>
      </c>
      <c r="G276" s="239" t="s">
        <v>965</v>
      </c>
      <c r="H276" s="239" t="s">
        <v>48</v>
      </c>
      <c r="I276" s="239" t="s">
        <v>399</v>
      </c>
      <c r="J276" s="234">
        <v>37210</v>
      </c>
      <c r="K276" s="234">
        <v>14650</v>
      </c>
      <c r="L276" s="242">
        <v>9</v>
      </c>
      <c r="M276" s="308">
        <v>22560</v>
      </c>
      <c r="N276" s="234">
        <v>20529.599999999999</v>
      </c>
      <c r="O276" s="234" t="s">
        <v>1335</v>
      </c>
      <c r="P276" s="236">
        <v>45895</v>
      </c>
      <c r="Q276" s="244">
        <v>0.66819444444444442</v>
      </c>
    </row>
    <row r="277" spans="1:17" ht="63.75">
      <c r="A277" s="239" t="s">
        <v>1307</v>
      </c>
      <c r="B277" s="240">
        <v>1200</v>
      </c>
      <c r="C277" s="241">
        <v>58223</v>
      </c>
      <c r="D277" s="239" t="s">
        <v>2710</v>
      </c>
      <c r="E277" s="239" t="s">
        <v>369</v>
      </c>
      <c r="F277" s="239" t="s">
        <v>370</v>
      </c>
      <c r="G277" s="239" t="s">
        <v>965</v>
      </c>
      <c r="H277" s="239" t="s">
        <v>48</v>
      </c>
      <c r="I277" s="239" t="s">
        <v>399</v>
      </c>
      <c r="J277" s="234">
        <v>38480</v>
      </c>
      <c r="K277" s="234">
        <v>15090</v>
      </c>
      <c r="L277" s="242">
        <v>10</v>
      </c>
      <c r="M277" s="308">
        <v>23390</v>
      </c>
      <c r="N277" s="234">
        <v>21051</v>
      </c>
      <c r="O277" s="234" t="s">
        <v>1336</v>
      </c>
      <c r="P277" s="236">
        <v>45895</v>
      </c>
      <c r="Q277" s="244">
        <v>0.74050925925925926</v>
      </c>
    </row>
    <row r="278" spans="1:17" ht="63.75">
      <c r="A278" s="239" t="s">
        <v>1308</v>
      </c>
      <c r="B278" s="240">
        <v>1201</v>
      </c>
      <c r="C278" s="241">
        <v>58225</v>
      </c>
      <c r="D278" s="239" t="s">
        <v>2710</v>
      </c>
      <c r="E278" s="239" t="s">
        <v>374</v>
      </c>
      <c r="F278" s="239" t="s">
        <v>375</v>
      </c>
      <c r="G278" s="239" t="s">
        <v>965</v>
      </c>
      <c r="H278" s="239" t="s">
        <v>48</v>
      </c>
      <c r="I278" s="239" t="s">
        <v>399</v>
      </c>
      <c r="J278" s="234">
        <v>39700</v>
      </c>
      <c r="K278" s="234">
        <v>15590</v>
      </c>
      <c r="L278" s="242">
        <v>14</v>
      </c>
      <c r="M278" s="308">
        <v>24110</v>
      </c>
      <c r="N278" s="234">
        <v>20734.599999999999</v>
      </c>
      <c r="O278" s="234" t="s">
        <v>1337</v>
      </c>
      <c r="P278" s="236">
        <v>45895</v>
      </c>
      <c r="Q278" s="244">
        <v>0.74361111111111111</v>
      </c>
    </row>
    <row r="279" spans="1:17" ht="63.75">
      <c r="A279" s="239" t="s">
        <v>1309</v>
      </c>
      <c r="B279" s="240">
        <v>1202</v>
      </c>
      <c r="C279" s="241">
        <v>58227</v>
      </c>
      <c r="D279" s="239" t="s">
        <v>2710</v>
      </c>
      <c r="E279" s="239" t="s">
        <v>386</v>
      </c>
      <c r="F279" s="239" t="s">
        <v>387</v>
      </c>
      <c r="G279" s="239" t="s">
        <v>965</v>
      </c>
      <c r="H279" s="239" t="s">
        <v>48</v>
      </c>
      <c r="I279" s="239" t="s">
        <v>399</v>
      </c>
      <c r="J279" s="234">
        <v>39860</v>
      </c>
      <c r="K279" s="234">
        <v>15400</v>
      </c>
      <c r="L279" s="242">
        <v>13</v>
      </c>
      <c r="M279" s="308">
        <v>24460</v>
      </c>
      <c r="N279" s="234">
        <v>21280.2</v>
      </c>
      <c r="O279" s="234" t="s">
        <v>1338</v>
      </c>
      <c r="P279" s="236">
        <v>45895</v>
      </c>
      <c r="Q279" s="244">
        <v>0.78840277777777779</v>
      </c>
    </row>
    <row r="280" spans="1:17" ht="63.75">
      <c r="A280" s="239" t="s">
        <v>1310</v>
      </c>
      <c r="B280" s="240">
        <v>1203</v>
      </c>
      <c r="C280" s="241">
        <v>58233</v>
      </c>
      <c r="D280" s="239" t="s">
        <v>2710</v>
      </c>
      <c r="E280" s="239" t="s">
        <v>432</v>
      </c>
      <c r="F280" s="239" t="s">
        <v>433</v>
      </c>
      <c r="G280" s="239" t="s">
        <v>965</v>
      </c>
      <c r="H280" s="239" t="s">
        <v>48</v>
      </c>
      <c r="I280" s="239" t="s">
        <v>399</v>
      </c>
      <c r="J280" s="234">
        <v>41290</v>
      </c>
      <c r="K280" s="234">
        <v>15600</v>
      </c>
      <c r="L280" s="242">
        <v>7</v>
      </c>
      <c r="M280" s="308">
        <v>25690</v>
      </c>
      <c r="N280" s="234">
        <v>23891.7</v>
      </c>
      <c r="O280" s="234" t="s">
        <v>1339</v>
      </c>
      <c r="P280" s="236">
        <v>45895</v>
      </c>
      <c r="Q280" s="244">
        <v>0.87119212962962966</v>
      </c>
    </row>
    <row r="281" spans="1:17" ht="63.75">
      <c r="A281" s="239" t="s">
        <v>1311</v>
      </c>
      <c r="B281" s="240">
        <v>1204</v>
      </c>
      <c r="C281" s="241">
        <v>582311</v>
      </c>
      <c r="D281" s="239" t="s">
        <v>2710</v>
      </c>
      <c r="E281" s="239" t="s">
        <v>1410</v>
      </c>
      <c r="F281" s="239" t="s">
        <v>437</v>
      </c>
      <c r="G281" s="239" t="s">
        <v>965</v>
      </c>
      <c r="H281" s="239" t="s">
        <v>48</v>
      </c>
      <c r="I281" s="239" t="s">
        <v>399</v>
      </c>
      <c r="J281" s="234">
        <v>39520</v>
      </c>
      <c r="K281" s="234">
        <v>14840</v>
      </c>
      <c r="L281" s="242">
        <v>8</v>
      </c>
      <c r="M281" s="308">
        <v>24680</v>
      </c>
      <c r="N281" s="234">
        <v>22705.599999999999</v>
      </c>
      <c r="O281" s="234" t="s">
        <v>1340</v>
      </c>
      <c r="P281" s="236">
        <v>45895</v>
      </c>
      <c r="Q281" s="244">
        <v>0.87895833333333329</v>
      </c>
    </row>
    <row r="282" spans="1:17" ht="63.75">
      <c r="A282" s="239" t="s">
        <v>1312</v>
      </c>
      <c r="B282" s="240">
        <v>1205</v>
      </c>
      <c r="C282" s="241">
        <v>58235</v>
      </c>
      <c r="D282" s="239" t="s">
        <v>2710</v>
      </c>
      <c r="E282" s="239" t="s">
        <v>453</v>
      </c>
      <c r="F282" s="239" t="s">
        <v>454</v>
      </c>
      <c r="G282" s="239" t="s">
        <v>965</v>
      </c>
      <c r="H282" s="239" t="s">
        <v>48</v>
      </c>
      <c r="I282" s="239" t="s">
        <v>399</v>
      </c>
      <c r="J282" s="234">
        <v>46950</v>
      </c>
      <c r="K282" s="234">
        <v>24200</v>
      </c>
      <c r="L282" s="242">
        <v>6.9</v>
      </c>
      <c r="M282" s="308">
        <v>22750</v>
      </c>
      <c r="N282" s="234">
        <v>21191</v>
      </c>
      <c r="O282" s="234" t="s">
        <v>1341</v>
      </c>
      <c r="P282" s="236">
        <v>45895</v>
      </c>
      <c r="Q282" s="244">
        <v>0.92121527777777779</v>
      </c>
    </row>
    <row r="283" spans="1:17" ht="63.75">
      <c r="A283" s="239" t="s">
        <v>1313</v>
      </c>
      <c r="B283" s="240">
        <v>1206</v>
      </c>
      <c r="C283" s="241">
        <v>58237</v>
      </c>
      <c r="D283" s="239" t="s">
        <v>2710</v>
      </c>
      <c r="E283" s="239" t="s">
        <v>456</v>
      </c>
      <c r="F283" s="239" t="s">
        <v>457</v>
      </c>
      <c r="G283" s="239" t="s">
        <v>965</v>
      </c>
      <c r="H283" s="239" t="s">
        <v>48</v>
      </c>
      <c r="I283" s="239" t="s">
        <v>399</v>
      </c>
      <c r="J283" s="234">
        <v>43250</v>
      </c>
      <c r="K283" s="234">
        <v>15620</v>
      </c>
      <c r="L283" s="242">
        <v>14</v>
      </c>
      <c r="M283" s="308">
        <v>27630</v>
      </c>
      <c r="N283" s="234">
        <v>23761.8</v>
      </c>
      <c r="O283" s="234" t="s">
        <v>1342</v>
      </c>
      <c r="P283" s="236">
        <v>45895</v>
      </c>
      <c r="Q283" s="244">
        <v>0.92466435185185181</v>
      </c>
    </row>
    <row r="284" spans="1:17" ht="63.75">
      <c r="A284" s="239" t="s">
        <v>1314</v>
      </c>
      <c r="B284" s="240">
        <v>1207</v>
      </c>
      <c r="C284" s="241">
        <v>58241</v>
      </c>
      <c r="D284" s="239" t="s">
        <v>2710</v>
      </c>
      <c r="E284" s="239" t="s">
        <v>429</v>
      </c>
      <c r="F284" s="239" t="s">
        <v>430</v>
      </c>
      <c r="G284" s="239" t="s">
        <v>965</v>
      </c>
      <c r="H284" s="239" t="s">
        <v>48</v>
      </c>
      <c r="I284" s="239" t="s">
        <v>399</v>
      </c>
      <c r="J284" s="234">
        <v>37680</v>
      </c>
      <c r="K284" s="234">
        <v>14200</v>
      </c>
      <c r="L284" s="242">
        <v>14</v>
      </c>
      <c r="M284" s="308">
        <v>23480</v>
      </c>
      <c r="N284" s="234">
        <v>20192.8</v>
      </c>
      <c r="O284" s="234" t="s">
        <v>1343</v>
      </c>
      <c r="P284" s="236">
        <v>45895</v>
      </c>
      <c r="Q284" s="244">
        <v>0.94649305555555552</v>
      </c>
    </row>
    <row r="285" spans="1:17" ht="63.75">
      <c r="A285" s="239" t="s">
        <v>1315</v>
      </c>
      <c r="B285" s="240">
        <v>1208</v>
      </c>
      <c r="C285" s="241">
        <v>58239</v>
      </c>
      <c r="D285" s="239" t="s">
        <v>2710</v>
      </c>
      <c r="E285" s="239" t="s">
        <v>858</v>
      </c>
      <c r="F285" s="239" t="s">
        <v>859</v>
      </c>
      <c r="G285" s="239" t="s">
        <v>965</v>
      </c>
      <c r="H285" s="239" t="s">
        <v>48</v>
      </c>
      <c r="I285" s="239" t="s">
        <v>399</v>
      </c>
      <c r="J285" s="234">
        <v>38290</v>
      </c>
      <c r="K285" s="234">
        <v>14760</v>
      </c>
      <c r="L285" s="242">
        <v>12</v>
      </c>
      <c r="M285" s="308">
        <v>23530</v>
      </c>
      <c r="N285" s="234">
        <v>20706.400000000001</v>
      </c>
      <c r="O285" s="234" t="s">
        <v>1344</v>
      </c>
      <c r="P285" s="236">
        <v>45895</v>
      </c>
      <c r="Q285" s="244">
        <v>0.96306712962962959</v>
      </c>
    </row>
    <row r="286" spans="1:17" ht="63.75">
      <c r="A286" s="239" t="s">
        <v>1316</v>
      </c>
      <c r="B286" s="240">
        <v>1209</v>
      </c>
      <c r="C286" s="241">
        <v>58243</v>
      </c>
      <c r="D286" s="239" t="s">
        <v>2710</v>
      </c>
      <c r="E286" s="239" t="s">
        <v>462</v>
      </c>
      <c r="F286" s="239" t="s">
        <v>463</v>
      </c>
      <c r="G286" s="239" t="s">
        <v>965</v>
      </c>
      <c r="H286" s="239" t="s">
        <v>48</v>
      </c>
      <c r="I286" s="239" t="s">
        <v>399</v>
      </c>
      <c r="J286" s="234">
        <v>39770</v>
      </c>
      <c r="K286" s="234">
        <v>16320</v>
      </c>
      <c r="L286" s="242">
        <v>15</v>
      </c>
      <c r="M286" s="308">
        <v>23450</v>
      </c>
      <c r="N286" s="234">
        <v>19932.5</v>
      </c>
      <c r="O286" s="234" t="s">
        <v>1345</v>
      </c>
      <c r="P286" s="236">
        <v>45895</v>
      </c>
      <c r="Q286" s="244">
        <v>0.97622685185185187</v>
      </c>
    </row>
    <row r="287" spans="1:17" ht="63.75">
      <c r="A287" s="239" t="s">
        <v>1317</v>
      </c>
      <c r="B287" s="240">
        <v>1210</v>
      </c>
      <c r="C287" s="241">
        <v>58247</v>
      </c>
      <c r="D287" s="239" t="s">
        <v>2710</v>
      </c>
      <c r="E287" s="239" t="s">
        <v>472</v>
      </c>
      <c r="F287" s="239" t="s">
        <v>473</v>
      </c>
      <c r="G287" s="239" t="s">
        <v>965</v>
      </c>
      <c r="H287" s="239" t="s">
        <v>48</v>
      </c>
      <c r="I287" s="239" t="s">
        <v>399</v>
      </c>
      <c r="J287" s="234">
        <v>39810</v>
      </c>
      <c r="K287" s="234">
        <v>16660</v>
      </c>
      <c r="L287" s="242">
        <v>12</v>
      </c>
      <c r="M287" s="308">
        <v>23150</v>
      </c>
      <c r="N287" s="234">
        <v>20372</v>
      </c>
      <c r="O287" s="234" t="s">
        <v>1346</v>
      </c>
      <c r="P287" s="236">
        <v>45896</v>
      </c>
      <c r="Q287" s="244">
        <v>0.46560185185185188</v>
      </c>
    </row>
    <row r="288" spans="1:17" ht="63.75">
      <c r="A288" s="239" t="s">
        <v>1318</v>
      </c>
      <c r="B288" s="240">
        <v>1211</v>
      </c>
      <c r="C288" s="241">
        <v>58245</v>
      </c>
      <c r="D288" s="239" t="s">
        <v>2710</v>
      </c>
      <c r="E288" s="239" t="s">
        <v>475</v>
      </c>
      <c r="F288" s="239" t="s">
        <v>476</v>
      </c>
      <c r="G288" s="239" t="s">
        <v>965</v>
      </c>
      <c r="H288" s="239" t="s">
        <v>48</v>
      </c>
      <c r="I288" s="239" t="s">
        <v>399</v>
      </c>
      <c r="J288" s="234">
        <v>40020</v>
      </c>
      <c r="K288" s="234">
        <v>16460</v>
      </c>
      <c r="L288" s="242">
        <v>10</v>
      </c>
      <c r="M288" s="308">
        <v>23560</v>
      </c>
      <c r="N288" s="234">
        <v>21204</v>
      </c>
      <c r="O288" s="234" t="s">
        <v>1347</v>
      </c>
      <c r="P288" s="236">
        <v>45896</v>
      </c>
      <c r="Q288" s="244">
        <v>0.46869212962962964</v>
      </c>
    </row>
    <row r="289" spans="1:17" ht="63.75">
      <c r="A289" s="239" t="s">
        <v>1319</v>
      </c>
      <c r="B289" s="240">
        <v>1212</v>
      </c>
      <c r="C289" s="241">
        <v>58257</v>
      </c>
      <c r="D289" s="239" t="s">
        <v>2710</v>
      </c>
      <c r="E289" s="239" t="s">
        <v>403</v>
      </c>
      <c r="F289" s="239" t="s">
        <v>404</v>
      </c>
      <c r="G289" s="239" t="s">
        <v>965</v>
      </c>
      <c r="H289" s="239" t="s">
        <v>48</v>
      </c>
      <c r="I289" s="239" t="s">
        <v>399</v>
      </c>
      <c r="J289" s="234">
        <v>38540</v>
      </c>
      <c r="K289" s="234">
        <v>14470</v>
      </c>
      <c r="L289" s="242">
        <v>9</v>
      </c>
      <c r="M289" s="308">
        <v>24070</v>
      </c>
      <c r="N289" s="234">
        <v>21903.7</v>
      </c>
      <c r="O289" s="234" t="s">
        <v>1348</v>
      </c>
      <c r="P289" s="236">
        <v>45896</v>
      </c>
      <c r="Q289" s="244">
        <v>0.48908564814814814</v>
      </c>
    </row>
    <row r="290" spans="1:17" ht="63.75">
      <c r="A290" s="239" t="s">
        <v>1320</v>
      </c>
      <c r="B290" s="240">
        <v>1213</v>
      </c>
      <c r="C290" s="241">
        <v>58259</v>
      </c>
      <c r="D290" s="239" t="s">
        <v>2710</v>
      </c>
      <c r="E290" s="239" t="s">
        <v>406</v>
      </c>
      <c r="F290" s="239" t="s">
        <v>407</v>
      </c>
      <c r="G290" s="239" t="s">
        <v>965</v>
      </c>
      <c r="H290" s="239" t="s">
        <v>48</v>
      </c>
      <c r="I290" s="239" t="s">
        <v>399</v>
      </c>
      <c r="J290" s="234">
        <v>39720</v>
      </c>
      <c r="K290" s="234">
        <v>15040</v>
      </c>
      <c r="L290" s="242">
        <v>10</v>
      </c>
      <c r="M290" s="308">
        <v>24680</v>
      </c>
      <c r="N290" s="234">
        <v>22212</v>
      </c>
      <c r="O290" s="234" t="s">
        <v>1349</v>
      </c>
      <c r="P290" s="236">
        <v>45896</v>
      </c>
      <c r="Q290" s="244">
        <v>0.55699074074074073</v>
      </c>
    </row>
    <row r="291" spans="1:17" ht="63.75">
      <c r="A291" s="239" t="s">
        <v>1321</v>
      </c>
      <c r="B291" s="240">
        <v>1214</v>
      </c>
      <c r="C291" s="241">
        <v>58269</v>
      </c>
      <c r="D291" s="239" t="s">
        <v>2710</v>
      </c>
      <c r="E291" s="239" t="s">
        <v>439</v>
      </c>
      <c r="F291" s="239" t="s">
        <v>440</v>
      </c>
      <c r="G291" s="239" t="s">
        <v>965</v>
      </c>
      <c r="H291" s="239" t="s">
        <v>48</v>
      </c>
      <c r="I291" s="239" t="s">
        <v>399</v>
      </c>
      <c r="J291" s="234">
        <v>39760</v>
      </c>
      <c r="K291" s="234">
        <v>14960</v>
      </c>
      <c r="L291" s="242">
        <v>9</v>
      </c>
      <c r="M291" s="308">
        <v>24800</v>
      </c>
      <c r="N291" s="234">
        <v>22568</v>
      </c>
      <c r="O291" s="234" t="s">
        <v>1350</v>
      </c>
      <c r="P291" s="236">
        <v>45896</v>
      </c>
      <c r="Q291" s="244">
        <v>0.5816782407407407</v>
      </c>
    </row>
    <row r="292" spans="1:17" ht="63.75">
      <c r="A292" s="239" t="s">
        <v>1322</v>
      </c>
      <c r="B292" s="240">
        <v>1220</v>
      </c>
      <c r="C292" s="241">
        <v>58291</v>
      </c>
      <c r="D292" s="239" t="s">
        <v>2710</v>
      </c>
      <c r="E292" s="239" t="s">
        <v>392</v>
      </c>
      <c r="F292" s="239" t="s">
        <v>393</v>
      </c>
      <c r="G292" s="239" t="s">
        <v>965</v>
      </c>
      <c r="H292" s="239" t="s">
        <v>48</v>
      </c>
      <c r="I292" s="239" t="s">
        <v>399</v>
      </c>
      <c r="J292" s="234">
        <v>46130</v>
      </c>
      <c r="K292" s="234">
        <v>24070</v>
      </c>
      <c r="L292" s="242">
        <v>6</v>
      </c>
      <c r="M292" s="308">
        <v>22060</v>
      </c>
      <c r="N292" s="234">
        <v>20736.400000000001</v>
      </c>
      <c r="O292" s="234" t="s">
        <v>1351</v>
      </c>
      <c r="P292" s="236">
        <v>45896</v>
      </c>
      <c r="Q292" s="244">
        <v>0.64851851851851849</v>
      </c>
    </row>
    <row r="293" spans="1:17" ht="63.75">
      <c r="A293" s="239" t="s">
        <v>1323</v>
      </c>
      <c r="B293" s="240">
        <v>1221</v>
      </c>
      <c r="C293" s="241">
        <v>28289</v>
      </c>
      <c r="D293" s="239" t="s">
        <v>2710</v>
      </c>
      <c r="E293" s="239" t="s">
        <v>377</v>
      </c>
      <c r="F293" s="239" t="s">
        <v>378</v>
      </c>
      <c r="G293" s="239" t="s">
        <v>965</v>
      </c>
      <c r="H293" s="239" t="s">
        <v>48</v>
      </c>
      <c r="I293" s="239" t="s">
        <v>399</v>
      </c>
      <c r="J293" s="234">
        <v>42090</v>
      </c>
      <c r="K293" s="234">
        <v>15150</v>
      </c>
      <c r="L293" s="242">
        <v>9</v>
      </c>
      <c r="M293" s="308">
        <v>26940</v>
      </c>
      <c r="N293" s="234">
        <v>24515.4</v>
      </c>
      <c r="O293" s="234" t="s">
        <v>1352</v>
      </c>
      <c r="P293" s="236">
        <v>45896</v>
      </c>
      <c r="Q293" s="244">
        <v>0.66372685185185187</v>
      </c>
    </row>
    <row r="294" spans="1:17" ht="63.75">
      <c r="A294" s="239" t="s">
        <v>1356</v>
      </c>
      <c r="B294" s="240">
        <v>1222</v>
      </c>
      <c r="C294" s="241">
        <v>58285</v>
      </c>
      <c r="D294" s="239" t="s">
        <v>2710</v>
      </c>
      <c r="E294" s="239" t="s">
        <v>410</v>
      </c>
      <c r="F294" s="239" t="s">
        <v>411</v>
      </c>
      <c r="G294" s="239" t="s">
        <v>965</v>
      </c>
      <c r="H294" s="239" t="s">
        <v>48</v>
      </c>
      <c r="I294" s="239" t="s">
        <v>399</v>
      </c>
      <c r="J294" s="234">
        <v>39220</v>
      </c>
      <c r="K294" s="234">
        <v>14940</v>
      </c>
      <c r="L294" s="242">
        <v>5</v>
      </c>
      <c r="M294" s="308">
        <v>24280</v>
      </c>
      <c r="N294" s="234">
        <v>23066</v>
      </c>
      <c r="O294" s="234" t="s">
        <v>1475</v>
      </c>
      <c r="P294" s="236">
        <v>45896</v>
      </c>
      <c r="Q294" s="244">
        <v>0.77452546296296299</v>
      </c>
    </row>
    <row r="295" spans="1:17" ht="63.75">
      <c r="A295" s="239" t="s">
        <v>1357</v>
      </c>
      <c r="B295" s="240">
        <v>1224</v>
      </c>
      <c r="C295" s="241">
        <v>58283</v>
      </c>
      <c r="D295" s="239" t="s">
        <v>2710</v>
      </c>
      <c r="E295" s="239" t="s">
        <v>388</v>
      </c>
      <c r="F295" s="239" t="s">
        <v>389</v>
      </c>
      <c r="G295" s="239" t="s">
        <v>965</v>
      </c>
      <c r="H295" s="239" t="s">
        <v>48</v>
      </c>
      <c r="I295" s="239" t="s">
        <v>399</v>
      </c>
      <c r="J295" s="234">
        <v>47210</v>
      </c>
      <c r="K295" s="234">
        <v>20860</v>
      </c>
      <c r="L295" s="242">
        <v>10</v>
      </c>
      <c r="M295" s="308">
        <v>26350</v>
      </c>
      <c r="N295" s="234">
        <v>23715</v>
      </c>
      <c r="O295" s="234" t="s">
        <v>1476</v>
      </c>
      <c r="P295" s="236">
        <v>45896</v>
      </c>
      <c r="Q295" s="244">
        <v>0.7806481481481482</v>
      </c>
    </row>
    <row r="296" spans="1:17" ht="63.75">
      <c r="A296" s="239" t="s">
        <v>1358</v>
      </c>
      <c r="B296" s="240">
        <v>1225</v>
      </c>
      <c r="C296" s="241">
        <v>58287</v>
      </c>
      <c r="D296" s="239" t="s">
        <v>2710</v>
      </c>
      <c r="E296" s="239" t="s">
        <v>382</v>
      </c>
      <c r="F296" s="239" t="s">
        <v>383</v>
      </c>
      <c r="G296" s="239" t="s">
        <v>965</v>
      </c>
      <c r="H296" s="239" t="s">
        <v>48</v>
      </c>
      <c r="I296" s="239" t="s">
        <v>399</v>
      </c>
      <c r="J296" s="234">
        <v>36100</v>
      </c>
      <c r="K296" s="234">
        <v>14590</v>
      </c>
      <c r="L296" s="242">
        <v>7</v>
      </c>
      <c r="M296" s="308">
        <v>21510</v>
      </c>
      <c r="N296" s="234">
        <v>20004.3</v>
      </c>
      <c r="O296" s="234" t="s">
        <v>1477</v>
      </c>
      <c r="P296" s="236">
        <v>45896</v>
      </c>
      <c r="Q296" s="244">
        <v>0.78270833333333334</v>
      </c>
    </row>
    <row r="297" spans="1:17" ht="63.75">
      <c r="A297" s="239" t="s">
        <v>1359</v>
      </c>
      <c r="B297" s="240">
        <v>1238</v>
      </c>
      <c r="C297" s="241">
        <v>58293</v>
      </c>
      <c r="D297" s="239" t="s">
        <v>2710</v>
      </c>
      <c r="E297" s="239" t="s">
        <v>791</v>
      </c>
      <c r="F297" s="239" t="s">
        <v>792</v>
      </c>
      <c r="G297" s="239" t="s">
        <v>965</v>
      </c>
      <c r="H297" s="239" t="s">
        <v>48</v>
      </c>
      <c r="I297" s="239" t="s">
        <v>399</v>
      </c>
      <c r="J297" s="234">
        <v>39860</v>
      </c>
      <c r="K297" s="234">
        <v>14970</v>
      </c>
      <c r="L297" s="242">
        <v>7</v>
      </c>
      <c r="M297" s="308">
        <v>24890</v>
      </c>
      <c r="N297" s="234">
        <v>23147.7</v>
      </c>
      <c r="O297" s="234" t="s">
        <v>1478</v>
      </c>
      <c r="P297" s="236">
        <v>45896</v>
      </c>
      <c r="Q297" s="244">
        <v>0.79265046296296293</v>
      </c>
    </row>
    <row r="298" spans="1:17" ht="63.75">
      <c r="A298" s="239" t="s">
        <v>1353</v>
      </c>
      <c r="B298" s="240">
        <v>1241</v>
      </c>
      <c r="C298" s="241">
        <v>58295</v>
      </c>
      <c r="D298" s="239" t="s">
        <v>2710</v>
      </c>
      <c r="E298" s="239" t="s">
        <v>447</v>
      </c>
      <c r="F298" s="239" t="s">
        <v>448</v>
      </c>
      <c r="G298" s="239" t="s">
        <v>965</v>
      </c>
      <c r="H298" s="239" t="s">
        <v>48</v>
      </c>
      <c r="I298" s="239" t="s">
        <v>399</v>
      </c>
      <c r="J298" s="234">
        <v>45160</v>
      </c>
      <c r="K298" s="234">
        <v>19260</v>
      </c>
      <c r="L298" s="242">
        <v>9</v>
      </c>
      <c r="M298" s="308">
        <v>25900</v>
      </c>
      <c r="N298" s="234">
        <v>23569</v>
      </c>
      <c r="O298" s="234" t="s">
        <v>1472</v>
      </c>
      <c r="P298" s="236">
        <v>45896</v>
      </c>
      <c r="Q298" s="244">
        <v>0.687037037037037</v>
      </c>
    </row>
    <row r="299" spans="1:17" ht="63.75">
      <c r="A299" s="239" t="s">
        <v>1354</v>
      </c>
      <c r="B299" s="240">
        <v>1242</v>
      </c>
      <c r="C299" s="241">
        <v>58297</v>
      </c>
      <c r="D299" s="239" t="s">
        <v>2710</v>
      </c>
      <c r="E299" s="239" t="s">
        <v>794</v>
      </c>
      <c r="F299" s="239" t="s">
        <v>795</v>
      </c>
      <c r="G299" s="239" t="s">
        <v>965</v>
      </c>
      <c r="H299" s="239" t="s">
        <v>48</v>
      </c>
      <c r="I299" s="239" t="s">
        <v>399</v>
      </c>
      <c r="J299" s="234">
        <v>42720</v>
      </c>
      <c r="K299" s="234">
        <v>16110</v>
      </c>
      <c r="L299" s="242">
        <v>5</v>
      </c>
      <c r="M299" s="308">
        <v>26610</v>
      </c>
      <c r="N299" s="234">
        <v>25279.5</v>
      </c>
      <c r="O299" s="234" t="s">
        <v>1473</v>
      </c>
      <c r="P299" s="236">
        <v>45896</v>
      </c>
      <c r="Q299" s="244">
        <v>0.68945601851851857</v>
      </c>
    </row>
    <row r="300" spans="1:17" ht="63.75">
      <c r="A300" s="239" t="s">
        <v>1355</v>
      </c>
      <c r="B300" s="240">
        <v>1243</v>
      </c>
      <c r="C300" s="241">
        <v>58299</v>
      </c>
      <c r="D300" s="239" t="s">
        <v>2710</v>
      </c>
      <c r="E300" s="239" t="s">
        <v>841</v>
      </c>
      <c r="F300" s="239" t="s">
        <v>845</v>
      </c>
      <c r="G300" s="239" t="s">
        <v>965</v>
      </c>
      <c r="H300" s="239" t="s">
        <v>48</v>
      </c>
      <c r="I300" s="239" t="s">
        <v>399</v>
      </c>
      <c r="J300" s="234">
        <v>42160</v>
      </c>
      <c r="K300" s="234">
        <v>15910</v>
      </c>
      <c r="L300" s="242">
        <v>7</v>
      </c>
      <c r="M300" s="308">
        <v>26250</v>
      </c>
      <c r="N300" s="234">
        <v>24412.5</v>
      </c>
      <c r="O300" s="234" t="s">
        <v>1474</v>
      </c>
      <c r="P300" s="236">
        <v>45896</v>
      </c>
      <c r="Q300" s="244">
        <v>0.72645833333333332</v>
      </c>
    </row>
    <row r="301" spans="1:17" ht="63.75">
      <c r="A301" s="239" t="s">
        <v>1360</v>
      </c>
      <c r="B301" s="240">
        <v>1244</v>
      </c>
      <c r="C301" s="241">
        <v>58301</v>
      </c>
      <c r="D301" s="239" t="s">
        <v>2710</v>
      </c>
      <c r="E301" s="239" t="s">
        <v>783</v>
      </c>
      <c r="F301" s="239" t="s">
        <v>784</v>
      </c>
      <c r="G301" s="239" t="s">
        <v>965</v>
      </c>
      <c r="H301" s="239" t="s">
        <v>48</v>
      </c>
      <c r="I301" s="239" t="s">
        <v>399</v>
      </c>
      <c r="J301" s="234">
        <v>40130</v>
      </c>
      <c r="K301" s="234">
        <v>14630</v>
      </c>
      <c r="L301" s="242">
        <v>6</v>
      </c>
      <c r="M301" s="308">
        <v>25500</v>
      </c>
      <c r="N301" s="234">
        <v>23970</v>
      </c>
      <c r="O301" s="234" t="s">
        <v>1479</v>
      </c>
      <c r="P301" s="236">
        <v>45896</v>
      </c>
      <c r="Q301" s="244">
        <v>0.80244212962962957</v>
      </c>
    </row>
    <row r="302" spans="1:17" ht="63.75">
      <c r="A302" s="239" t="s">
        <v>1361</v>
      </c>
      <c r="B302" s="240">
        <v>1246</v>
      </c>
      <c r="C302" s="241">
        <v>58326</v>
      </c>
      <c r="D302" s="239" t="s">
        <v>2710</v>
      </c>
      <c r="E302" s="239" t="s">
        <v>380</v>
      </c>
      <c r="F302" s="239" t="s">
        <v>381</v>
      </c>
      <c r="G302" s="239" t="s">
        <v>965</v>
      </c>
      <c r="H302" s="239" t="s">
        <v>48</v>
      </c>
      <c r="I302" s="239" t="s">
        <v>399</v>
      </c>
      <c r="J302" s="234">
        <v>38600</v>
      </c>
      <c r="K302" s="234">
        <v>15060</v>
      </c>
      <c r="L302" s="242">
        <v>10</v>
      </c>
      <c r="M302" s="308">
        <v>23540</v>
      </c>
      <c r="N302" s="234">
        <v>21186</v>
      </c>
      <c r="O302" s="234" t="s">
        <v>1480</v>
      </c>
      <c r="P302" s="236">
        <v>45896</v>
      </c>
      <c r="Q302" s="244">
        <v>0.83596064814814819</v>
      </c>
    </row>
    <row r="303" spans="1:17" ht="63.75">
      <c r="A303" s="239" t="s">
        <v>1362</v>
      </c>
      <c r="B303" s="240">
        <v>1247</v>
      </c>
      <c r="C303" s="241">
        <v>58328</v>
      </c>
      <c r="D303" s="239" t="s">
        <v>2710</v>
      </c>
      <c r="E303" s="239" t="s">
        <v>400</v>
      </c>
      <c r="F303" s="239" t="s">
        <v>401</v>
      </c>
      <c r="G303" s="239" t="s">
        <v>965</v>
      </c>
      <c r="H303" s="239" t="s">
        <v>48</v>
      </c>
      <c r="I303" s="239" t="s">
        <v>399</v>
      </c>
      <c r="J303" s="234">
        <v>38260</v>
      </c>
      <c r="K303" s="234">
        <v>14710</v>
      </c>
      <c r="L303" s="242">
        <v>14</v>
      </c>
      <c r="M303" s="308">
        <v>23550</v>
      </c>
      <c r="N303" s="234">
        <v>20253</v>
      </c>
      <c r="O303" s="234" t="s">
        <v>1481</v>
      </c>
      <c r="P303" s="236">
        <v>45896</v>
      </c>
      <c r="Q303" s="244">
        <v>0.84023148148148152</v>
      </c>
    </row>
    <row r="304" spans="1:17" ht="63.75">
      <c r="A304" s="239" t="s">
        <v>1363</v>
      </c>
      <c r="B304" s="240">
        <v>1248</v>
      </c>
      <c r="C304" s="241">
        <v>58313</v>
      </c>
      <c r="D304" s="239" t="s">
        <v>2710</v>
      </c>
      <c r="E304" s="239" t="s">
        <v>453</v>
      </c>
      <c r="F304" s="239" t="s">
        <v>454</v>
      </c>
      <c r="G304" s="239" t="s">
        <v>965</v>
      </c>
      <c r="H304" s="239" t="s">
        <v>48</v>
      </c>
      <c r="I304" s="239" t="s">
        <v>399</v>
      </c>
      <c r="J304" s="234">
        <v>47150</v>
      </c>
      <c r="K304" s="234">
        <v>24110</v>
      </c>
      <c r="L304" s="242">
        <v>8</v>
      </c>
      <c r="M304" s="308">
        <v>23040</v>
      </c>
      <c r="N304" s="234">
        <v>21196.799999999999</v>
      </c>
      <c r="O304" s="234" t="s">
        <v>1482</v>
      </c>
      <c r="P304" s="236">
        <v>45896</v>
      </c>
      <c r="Q304" s="244">
        <v>0.8649189814814815</v>
      </c>
    </row>
    <row r="305" spans="1:17" ht="63.75">
      <c r="A305" s="239" t="s">
        <v>1364</v>
      </c>
      <c r="B305" s="240">
        <v>1249</v>
      </c>
      <c r="C305" s="241">
        <v>58315</v>
      </c>
      <c r="D305" s="239" t="s">
        <v>2710</v>
      </c>
      <c r="E305" s="239" t="s">
        <v>456</v>
      </c>
      <c r="F305" s="239" t="s">
        <v>457</v>
      </c>
      <c r="G305" s="239" t="s">
        <v>965</v>
      </c>
      <c r="H305" s="239" t="s">
        <v>48</v>
      </c>
      <c r="I305" s="239" t="s">
        <v>399</v>
      </c>
      <c r="J305" s="234">
        <v>42290</v>
      </c>
      <c r="K305" s="234">
        <v>15520</v>
      </c>
      <c r="L305" s="242">
        <v>12</v>
      </c>
      <c r="M305" s="308">
        <v>26770</v>
      </c>
      <c r="N305" s="234">
        <v>23557.599999999999</v>
      </c>
      <c r="O305" s="234" t="s">
        <v>1483</v>
      </c>
      <c r="P305" s="236">
        <v>45896</v>
      </c>
      <c r="Q305" s="244">
        <v>0.86702546296296301</v>
      </c>
    </row>
    <row r="306" spans="1:17" ht="63.75">
      <c r="A306" s="239" t="s">
        <v>1365</v>
      </c>
      <c r="B306" s="240">
        <v>1250</v>
      </c>
      <c r="C306" s="241">
        <v>58330</v>
      </c>
      <c r="D306" s="239" t="s">
        <v>2710</v>
      </c>
      <c r="E306" s="239" t="s">
        <v>432</v>
      </c>
      <c r="F306" s="239" t="s">
        <v>433</v>
      </c>
      <c r="G306" s="239" t="s">
        <v>965</v>
      </c>
      <c r="H306" s="239" t="s">
        <v>48</v>
      </c>
      <c r="I306" s="239" t="s">
        <v>399</v>
      </c>
      <c r="J306" s="234">
        <v>39940</v>
      </c>
      <c r="K306" s="234">
        <v>15590</v>
      </c>
      <c r="L306" s="242">
        <v>12</v>
      </c>
      <c r="M306" s="308">
        <v>24350</v>
      </c>
      <c r="N306" s="234">
        <v>21428</v>
      </c>
      <c r="O306" s="234" t="s">
        <v>1484</v>
      </c>
      <c r="P306" s="236">
        <v>45896</v>
      </c>
      <c r="Q306" s="244">
        <v>0.9188425925925926</v>
      </c>
    </row>
    <row r="307" spans="1:17" ht="63.75">
      <c r="A307" s="239" t="s">
        <v>1366</v>
      </c>
      <c r="B307" s="240">
        <v>1251</v>
      </c>
      <c r="C307" s="241">
        <v>58332</v>
      </c>
      <c r="D307" s="239" t="s">
        <v>2710</v>
      </c>
      <c r="E307" s="239" t="s">
        <v>1410</v>
      </c>
      <c r="F307" s="239" t="s">
        <v>437</v>
      </c>
      <c r="G307" s="239" t="s">
        <v>965</v>
      </c>
      <c r="H307" s="239" t="s">
        <v>48</v>
      </c>
      <c r="I307" s="239" t="s">
        <v>399</v>
      </c>
      <c r="J307" s="234">
        <v>39850</v>
      </c>
      <c r="K307" s="234">
        <v>14810</v>
      </c>
      <c r="L307" s="242">
        <v>10</v>
      </c>
      <c r="M307" s="308">
        <v>25040</v>
      </c>
      <c r="N307" s="234">
        <v>22536</v>
      </c>
      <c r="O307" s="234" t="s">
        <v>1485</v>
      </c>
      <c r="P307" s="236">
        <v>45896</v>
      </c>
      <c r="Q307" s="244">
        <v>0.92248842592592595</v>
      </c>
    </row>
    <row r="308" spans="1:17" ht="63.75">
      <c r="A308" s="239" t="s">
        <v>1367</v>
      </c>
      <c r="B308" s="240">
        <v>1252</v>
      </c>
      <c r="C308" s="241">
        <v>58334</v>
      </c>
      <c r="D308" s="239" t="s">
        <v>2710</v>
      </c>
      <c r="E308" s="239" t="s">
        <v>866</v>
      </c>
      <c r="F308" s="239" t="s">
        <v>867</v>
      </c>
      <c r="G308" s="239" t="s">
        <v>965</v>
      </c>
      <c r="H308" s="239" t="s">
        <v>48</v>
      </c>
      <c r="I308" s="239" t="s">
        <v>399</v>
      </c>
      <c r="J308" s="234">
        <v>38890</v>
      </c>
      <c r="K308" s="234">
        <v>14430</v>
      </c>
      <c r="L308" s="242">
        <v>14</v>
      </c>
      <c r="M308" s="308">
        <v>24460</v>
      </c>
      <c r="N308" s="234">
        <v>21035.599999999999</v>
      </c>
      <c r="O308" s="234" t="s">
        <v>1486</v>
      </c>
      <c r="P308" s="236">
        <v>45896</v>
      </c>
      <c r="Q308" s="244">
        <v>0.95668981481481485</v>
      </c>
    </row>
    <row r="309" spans="1:17" ht="63.75">
      <c r="A309" s="239" t="s">
        <v>1368</v>
      </c>
      <c r="B309" s="240">
        <v>1253</v>
      </c>
      <c r="C309" s="241">
        <v>58336</v>
      </c>
      <c r="D309" s="239" t="s">
        <v>2710</v>
      </c>
      <c r="E309" s="239" t="s">
        <v>369</v>
      </c>
      <c r="F309" s="239" t="s">
        <v>370</v>
      </c>
      <c r="G309" s="239" t="s">
        <v>965</v>
      </c>
      <c r="H309" s="239" t="s">
        <v>48</v>
      </c>
      <c r="I309" s="239" t="s">
        <v>399</v>
      </c>
      <c r="J309" s="234">
        <v>38490</v>
      </c>
      <c r="K309" s="234">
        <v>15020</v>
      </c>
      <c r="L309" s="242">
        <v>13</v>
      </c>
      <c r="M309" s="308">
        <v>23470</v>
      </c>
      <c r="N309" s="234">
        <v>20418.900000000001</v>
      </c>
      <c r="O309" s="234" t="s">
        <v>1487</v>
      </c>
      <c r="P309" s="236">
        <v>45896</v>
      </c>
      <c r="Q309" s="244">
        <v>0.9673032407407407</v>
      </c>
    </row>
    <row r="310" spans="1:17" ht="63.75">
      <c r="A310" s="239" t="s">
        <v>1369</v>
      </c>
      <c r="B310" s="240">
        <v>1254</v>
      </c>
      <c r="C310" s="241">
        <v>58338</v>
      </c>
      <c r="D310" s="239" t="s">
        <v>2710</v>
      </c>
      <c r="E310" s="239" t="s">
        <v>786</v>
      </c>
      <c r="F310" s="239" t="s">
        <v>787</v>
      </c>
      <c r="G310" s="239" t="s">
        <v>965</v>
      </c>
      <c r="H310" s="239" t="s">
        <v>48</v>
      </c>
      <c r="I310" s="239" t="s">
        <v>399</v>
      </c>
      <c r="J310" s="234">
        <v>36410</v>
      </c>
      <c r="K310" s="234">
        <v>13950</v>
      </c>
      <c r="L310" s="242">
        <v>9</v>
      </c>
      <c r="M310" s="308">
        <v>22460</v>
      </c>
      <c r="N310" s="234">
        <v>20438.599999999999</v>
      </c>
      <c r="O310" s="234" t="s">
        <v>1488</v>
      </c>
      <c r="P310" s="236">
        <v>45896</v>
      </c>
      <c r="Q310" s="244">
        <v>0.97961805555555559</v>
      </c>
    </row>
    <row r="311" spans="1:17" ht="63.75">
      <c r="A311" s="239" t="s">
        <v>1374</v>
      </c>
      <c r="B311" s="240">
        <v>1255</v>
      </c>
      <c r="C311" s="241">
        <v>58346</v>
      </c>
      <c r="D311" s="239" t="s">
        <v>2710</v>
      </c>
      <c r="E311" s="239" t="s">
        <v>384</v>
      </c>
      <c r="F311" s="239" t="s">
        <v>385</v>
      </c>
      <c r="G311" s="239" t="s">
        <v>965</v>
      </c>
      <c r="H311" s="239" t="s">
        <v>48</v>
      </c>
      <c r="I311" s="239" t="s">
        <v>399</v>
      </c>
      <c r="J311" s="234">
        <v>36810</v>
      </c>
      <c r="K311" s="234">
        <v>13910</v>
      </c>
      <c r="L311" s="242">
        <v>13</v>
      </c>
      <c r="M311" s="308">
        <v>22900</v>
      </c>
      <c r="N311" s="234">
        <v>19923</v>
      </c>
      <c r="O311" s="234" t="s">
        <v>1490</v>
      </c>
      <c r="P311" s="236">
        <v>45897</v>
      </c>
      <c r="Q311" s="244">
        <v>0.40611111111111109</v>
      </c>
    </row>
    <row r="312" spans="1:17" ht="63.75">
      <c r="A312" s="239" t="s">
        <v>1375</v>
      </c>
      <c r="B312" s="240">
        <v>1256</v>
      </c>
      <c r="C312" s="241">
        <v>58354</v>
      </c>
      <c r="D312" s="239" t="s">
        <v>2710</v>
      </c>
      <c r="E312" s="239" t="s">
        <v>462</v>
      </c>
      <c r="F312" s="239" t="s">
        <v>463</v>
      </c>
      <c r="G312" s="239" t="s">
        <v>965</v>
      </c>
      <c r="H312" s="239" t="s">
        <v>48</v>
      </c>
      <c r="I312" s="239" t="s">
        <v>399</v>
      </c>
      <c r="J312" s="234">
        <v>39570</v>
      </c>
      <c r="K312" s="234">
        <v>16130</v>
      </c>
      <c r="L312" s="242">
        <v>12</v>
      </c>
      <c r="M312" s="308">
        <v>23440</v>
      </c>
      <c r="N312" s="234">
        <v>20627.2</v>
      </c>
      <c r="O312" s="234" t="s">
        <v>1491</v>
      </c>
      <c r="P312" s="236">
        <v>45897</v>
      </c>
      <c r="Q312" s="244">
        <v>0.46021990740740742</v>
      </c>
    </row>
    <row r="313" spans="1:17" ht="63.75">
      <c r="A313" s="239" t="s">
        <v>1373</v>
      </c>
      <c r="B313" s="240">
        <v>1257</v>
      </c>
      <c r="C313" s="241">
        <v>58366</v>
      </c>
      <c r="D313" s="239" t="s">
        <v>2710</v>
      </c>
      <c r="E313" s="239" t="s">
        <v>374</v>
      </c>
      <c r="F313" s="239" t="s">
        <v>375</v>
      </c>
      <c r="G313" s="239" t="s">
        <v>965</v>
      </c>
      <c r="H313" s="239" t="s">
        <v>48</v>
      </c>
      <c r="I313" s="239" t="s">
        <v>399</v>
      </c>
      <c r="J313" s="234">
        <v>38040</v>
      </c>
      <c r="K313" s="234">
        <v>15600</v>
      </c>
      <c r="L313" s="242">
        <v>9</v>
      </c>
      <c r="M313" s="308">
        <v>22440</v>
      </c>
      <c r="N313" s="234">
        <v>20420.400000000001</v>
      </c>
      <c r="O313" s="234" t="s">
        <v>1489</v>
      </c>
      <c r="P313" s="236">
        <v>45897</v>
      </c>
      <c r="Q313" s="244">
        <v>0.39771990740740742</v>
      </c>
    </row>
    <row r="314" spans="1:17" ht="63.75">
      <c r="A314" s="239" t="s">
        <v>1376</v>
      </c>
      <c r="B314" s="240">
        <v>1258</v>
      </c>
      <c r="C314" s="241">
        <v>58368</v>
      </c>
      <c r="D314" s="239" t="s">
        <v>2710</v>
      </c>
      <c r="E314" s="239" t="s">
        <v>858</v>
      </c>
      <c r="F314" s="239" t="s">
        <v>859</v>
      </c>
      <c r="G314" s="239" t="s">
        <v>965</v>
      </c>
      <c r="H314" s="239" t="s">
        <v>48</v>
      </c>
      <c r="I314" s="239" t="s">
        <v>399</v>
      </c>
      <c r="J314" s="234">
        <v>36840</v>
      </c>
      <c r="K314" s="234">
        <v>14740</v>
      </c>
      <c r="L314" s="242">
        <v>9</v>
      </c>
      <c r="M314" s="308">
        <v>22100</v>
      </c>
      <c r="N314" s="234">
        <v>20111</v>
      </c>
      <c r="O314" s="234" t="s">
        <v>1492</v>
      </c>
      <c r="P314" s="236">
        <v>45897</v>
      </c>
      <c r="Q314" s="244">
        <v>0.4730787037037037</v>
      </c>
    </row>
    <row r="315" spans="1:17" ht="63.75">
      <c r="A315" s="239" t="s">
        <v>1377</v>
      </c>
      <c r="B315" s="240">
        <v>1259</v>
      </c>
      <c r="C315" s="241">
        <v>58370</v>
      </c>
      <c r="D315" s="239" t="s">
        <v>2710</v>
      </c>
      <c r="E315" s="239" t="s">
        <v>472</v>
      </c>
      <c r="F315" s="239" t="s">
        <v>473</v>
      </c>
      <c r="G315" s="239" t="s">
        <v>965</v>
      </c>
      <c r="H315" s="239" t="s">
        <v>48</v>
      </c>
      <c r="I315" s="239" t="s">
        <v>399</v>
      </c>
      <c r="J315" s="234">
        <v>40480</v>
      </c>
      <c r="K315" s="234">
        <v>16670</v>
      </c>
      <c r="L315" s="242">
        <v>5</v>
      </c>
      <c r="M315" s="308">
        <v>23810</v>
      </c>
      <c r="N315" s="234">
        <v>22619.5</v>
      </c>
      <c r="O315" s="234" t="s">
        <v>1493</v>
      </c>
      <c r="P315" s="236">
        <v>45897</v>
      </c>
      <c r="Q315" s="244">
        <v>0.48709490740740741</v>
      </c>
    </row>
    <row r="316" spans="1:17" ht="63.75">
      <c r="A316" s="239" t="s">
        <v>1378</v>
      </c>
      <c r="B316" s="240">
        <v>1260</v>
      </c>
      <c r="C316" s="241">
        <v>58373</v>
      </c>
      <c r="D316" s="239" t="s">
        <v>2710</v>
      </c>
      <c r="E316" s="239" t="s">
        <v>475</v>
      </c>
      <c r="F316" s="239" t="s">
        <v>476</v>
      </c>
      <c r="G316" s="239" t="s">
        <v>965</v>
      </c>
      <c r="H316" s="239" t="s">
        <v>48</v>
      </c>
      <c r="I316" s="239" t="s">
        <v>399</v>
      </c>
      <c r="J316" s="234">
        <v>39730</v>
      </c>
      <c r="K316" s="234">
        <v>16540</v>
      </c>
      <c r="L316" s="242">
        <v>9</v>
      </c>
      <c r="M316" s="308">
        <v>23190</v>
      </c>
      <c r="N316" s="234">
        <v>21102.9</v>
      </c>
      <c r="O316" s="234" t="s">
        <v>1494</v>
      </c>
      <c r="P316" s="236">
        <v>45897</v>
      </c>
      <c r="Q316" s="244">
        <v>0.54923611111111115</v>
      </c>
    </row>
    <row r="317" spans="1:17" ht="63.75">
      <c r="A317" s="239" t="s">
        <v>1379</v>
      </c>
      <c r="B317" s="240">
        <v>1262</v>
      </c>
      <c r="C317" s="241">
        <v>58380</v>
      </c>
      <c r="D317" s="239" t="s">
        <v>2710</v>
      </c>
      <c r="E317" s="239" t="s">
        <v>403</v>
      </c>
      <c r="F317" s="239" t="s">
        <v>404</v>
      </c>
      <c r="G317" s="239" t="s">
        <v>965</v>
      </c>
      <c r="H317" s="239" t="s">
        <v>48</v>
      </c>
      <c r="I317" s="239" t="s">
        <v>399</v>
      </c>
      <c r="J317" s="234">
        <v>37960</v>
      </c>
      <c r="K317" s="234">
        <v>14480</v>
      </c>
      <c r="L317" s="242">
        <v>17</v>
      </c>
      <c r="M317" s="308">
        <v>23480</v>
      </c>
      <c r="N317" s="234">
        <v>19488.400000000001</v>
      </c>
      <c r="O317" s="234" t="s">
        <v>1495</v>
      </c>
      <c r="P317" s="236">
        <v>45897</v>
      </c>
      <c r="Q317" s="244">
        <v>0.56109953703703708</v>
      </c>
    </row>
    <row r="318" spans="1:17" ht="63.75">
      <c r="A318" s="239" t="s">
        <v>1380</v>
      </c>
      <c r="B318" s="240">
        <v>1263</v>
      </c>
      <c r="C318" s="241">
        <v>58382</v>
      </c>
      <c r="D318" s="239" t="s">
        <v>2710</v>
      </c>
      <c r="E318" s="239" t="s">
        <v>406</v>
      </c>
      <c r="F318" s="239" t="s">
        <v>407</v>
      </c>
      <c r="G318" s="239" t="s">
        <v>965</v>
      </c>
      <c r="H318" s="239" t="s">
        <v>48</v>
      </c>
      <c r="I318" s="239" t="s">
        <v>399</v>
      </c>
      <c r="J318" s="234">
        <v>38440</v>
      </c>
      <c r="K318" s="234">
        <v>15070</v>
      </c>
      <c r="L318" s="242">
        <v>8</v>
      </c>
      <c r="M318" s="308">
        <v>23370</v>
      </c>
      <c r="N318" s="234">
        <v>21500.400000000001</v>
      </c>
      <c r="O318" s="234" t="s">
        <v>1496</v>
      </c>
      <c r="P318" s="236">
        <v>45897</v>
      </c>
      <c r="Q318" s="244">
        <v>0.56901620370370365</v>
      </c>
    </row>
    <row r="319" spans="1:17" ht="63.75">
      <c r="A319" s="239" t="s">
        <v>1383</v>
      </c>
      <c r="B319" s="240">
        <v>1266</v>
      </c>
      <c r="C319" s="241">
        <v>58397</v>
      </c>
      <c r="D319" s="239" t="s">
        <v>2710</v>
      </c>
      <c r="E319" s="239" t="s">
        <v>377</v>
      </c>
      <c r="F319" s="239" t="s">
        <v>378</v>
      </c>
      <c r="G319" s="239" t="s">
        <v>965</v>
      </c>
      <c r="H319" s="239" t="s">
        <v>48</v>
      </c>
      <c r="I319" s="239" t="s">
        <v>399</v>
      </c>
      <c r="J319" s="234">
        <v>40560</v>
      </c>
      <c r="K319" s="234">
        <v>15180</v>
      </c>
      <c r="L319" s="242">
        <v>6</v>
      </c>
      <c r="M319" s="308">
        <v>25380</v>
      </c>
      <c r="N319" s="234">
        <v>23857.200000000001</v>
      </c>
      <c r="O319" s="234" t="s">
        <v>1499</v>
      </c>
      <c r="P319" s="236">
        <v>45897</v>
      </c>
      <c r="Q319" s="244">
        <v>0.72672453703703699</v>
      </c>
    </row>
    <row r="320" spans="1:17" ht="63.75">
      <c r="A320" s="239" t="s">
        <v>1381</v>
      </c>
      <c r="B320" s="240">
        <v>1267</v>
      </c>
      <c r="C320" s="241">
        <v>58389</v>
      </c>
      <c r="D320" s="239" t="s">
        <v>2710</v>
      </c>
      <c r="E320" s="239" t="s">
        <v>442</v>
      </c>
      <c r="F320" s="239" t="s">
        <v>443</v>
      </c>
      <c r="G320" s="239" t="s">
        <v>965</v>
      </c>
      <c r="H320" s="239" t="s">
        <v>48</v>
      </c>
      <c r="I320" s="239" t="s">
        <v>399</v>
      </c>
      <c r="J320" s="234">
        <v>34920</v>
      </c>
      <c r="K320" s="234">
        <v>14470</v>
      </c>
      <c r="L320" s="242">
        <v>11</v>
      </c>
      <c r="M320" s="308">
        <v>20450</v>
      </c>
      <c r="N320" s="234">
        <v>18200.5</v>
      </c>
      <c r="O320" s="234" t="s">
        <v>1497</v>
      </c>
      <c r="P320" s="236">
        <v>45897</v>
      </c>
      <c r="Q320" s="244">
        <v>0.63070601851851849</v>
      </c>
    </row>
    <row r="321" spans="1:17" ht="63.75">
      <c r="A321" s="239" t="s">
        <v>1382</v>
      </c>
      <c r="B321" s="240">
        <v>1268</v>
      </c>
      <c r="C321" s="241">
        <v>58391</v>
      </c>
      <c r="D321" s="239" t="s">
        <v>2710</v>
      </c>
      <c r="E321" s="239" t="s">
        <v>780</v>
      </c>
      <c r="F321" s="239" t="s">
        <v>781</v>
      </c>
      <c r="G321" s="239" t="s">
        <v>965</v>
      </c>
      <c r="H321" s="239" t="s">
        <v>48</v>
      </c>
      <c r="I321" s="239" t="s">
        <v>399</v>
      </c>
      <c r="J321" s="234">
        <v>36340</v>
      </c>
      <c r="K321" s="234">
        <v>14830</v>
      </c>
      <c r="L321" s="242">
        <v>10</v>
      </c>
      <c r="M321" s="308">
        <v>21510</v>
      </c>
      <c r="N321" s="234">
        <v>19359</v>
      </c>
      <c r="O321" s="234" t="s">
        <v>1498</v>
      </c>
      <c r="P321" s="236">
        <v>45897</v>
      </c>
      <c r="Q321" s="244">
        <v>0.63937500000000003</v>
      </c>
    </row>
    <row r="322" spans="1:17" ht="63.75">
      <c r="A322" s="239" t="s">
        <v>1384</v>
      </c>
      <c r="B322" s="240">
        <v>1284</v>
      </c>
      <c r="C322" s="241">
        <v>58407</v>
      </c>
      <c r="D322" s="239" t="s">
        <v>2710</v>
      </c>
      <c r="E322" s="239" t="s">
        <v>392</v>
      </c>
      <c r="F322" s="239" t="s">
        <v>393</v>
      </c>
      <c r="G322" s="239" t="s">
        <v>965</v>
      </c>
      <c r="H322" s="239" t="s">
        <v>48</v>
      </c>
      <c r="I322" s="239" t="s">
        <v>399</v>
      </c>
      <c r="J322" s="234">
        <v>46980</v>
      </c>
      <c r="K322" s="234">
        <v>24070</v>
      </c>
      <c r="L322" s="242">
        <v>11</v>
      </c>
      <c r="M322" s="308">
        <v>22910</v>
      </c>
      <c r="N322" s="234">
        <v>20389.900000000001</v>
      </c>
      <c r="O322" s="234" t="s">
        <v>1500</v>
      </c>
      <c r="P322" s="236">
        <v>45897</v>
      </c>
      <c r="Q322" s="244">
        <v>0.73253472222222227</v>
      </c>
    </row>
    <row r="323" spans="1:17" ht="63.75">
      <c r="A323" s="239" t="s">
        <v>1385</v>
      </c>
      <c r="B323" s="240">
        <v>1286</v>
      </c>
      <c r="C323" s="241">
        <v>58413</v>
      </c>
      <c r="D323" s="239" t="s">
        <v>2710</v>
      </c>
      <c r="E323" s="239" t="s">
        <v>413</v>
      </c>
      <c r="F323" s="239" t="s">
        <v>414</v>
      </c>
      <c r="G323" s="239" t="s">
        <v>965</v>
      </c>
      <c r="H323" s="239" t="s">
        <v>48</v>
      </c>
      <c r="I323" s="239" t="s">
        <v>399</v>
      </c>
      <c r="J323" s="234">
        <v>39230</v>
      </c>
      <c r="K323" s="234">
        <v>14950</v>
      </c>
      <c r="L323" s="242">
        <v>12</v>
      </c>
      <c r="M323" s="308">
        <v>24280</v>
      </c>
      <c r="N323" s="234">
        <v>21366.400000000001</v>
      </c>
      <c r="O323" s="234" t="s">
        <v>1501</v>
      </c>
      <c r="P323" s="236">
        <v>45897</v>
      </c>
      <c r="Q323" s="244">
        <v>0.8283449074074074</v>
      </c>
    </row>
    <row r="324" spans="1:17" ht="63.75">
      <c r="A324" s="239" t="s">
        <v>1389</v>
      </c>
      <c r="B324" s="240">
        <v>1288</v>
      </c>
      <c r="C324" s="241">
        <v>58411</v>
      </c>
      <c r="D324" s="239" t="s">
        <v>2710</v>
      </c>
      <c r="E324" s="239" t="s">
        <v>429</v>
      </c>
      <c r="F324" s="239" t="s">
        <v>430</v>
      </c>
      <c r="G324" s="239" t="s">
        <v>965</v>
      </c>
      <c r="H324" s="239" t="s">
        <v>48</v>
      </c>
      <c r="I324" s="239" t="s">
        <v>399</v>
      </c>
      <c r="J324" s="234">
        <v>37910</v>
      </c>
      <c r="K324" s="234">
        <v>14200</v>
      </c>
      <c r="L324" s="242">
        <v>8</v>
      </c>
      <c r="M324" s="308">
        <v>23710</v>
      </c>
      <c r="N324" s="234">
        <v>21813.200000000001</v>
      </c>
      <c r="O324" s="234" t="s">
        <v>1505</v>
      </c>
      <c r="P324" s="236">
        <v>45897</v>
      </c>
      <c r="Q324" s="244">
        <v>0.88413194444444443</v>
      </c>
    </row>
    <row r="325" spans="1:17" ht="63.75">
      <c r="A325" s="239" t="s">
        <v>1391</v>
      </c>
      <c r="B325" s="240">
        <v>1289</v>
      </c>
      <c r="C325" s="241">
        <v>58416</v>
      </c>
      <c r="D325" s="239" t="s">
        <v>2710</v>
      </c>
      <c r="E325" s="239" t="s">
        <v>791</v>
      </c>
      <c r="F325" s="239" t="s">
        <v>792</v>
      </c>
      <c r="G325" s="239" t="s">
        <v>965</v>
      </c>
      <c r="H325" s="239" t="s">
        <v>48</v>
      </c>
      <c r="I325" s="239" t="s">
        <v>399</v>
      </c>
      <c r="J325" s="234">
        <v>40490</v>
      </c>
      <c r="K325" s="234">
        <v>14970</v>
      </c>
      <c r="L325" s="242">
        <v>15</v>
      </c>
      <c r="M325" s="308">
        <v>25520</v>
      </c>
      <c r="N325" s="234">
        <v>21692</v>
      </c>
      <c r="O325" s="234" t="s">
        <v>1507</v>
      </c>
      <c r="P325" s="236">
        <v>45897</v>
      </c>
      <c r="Q325" s="244">
        <v>0.88696759259259261</v>
      </c>
    </row>
    <row r="326" spans="1:17" ht="63.75">
      <c r="A326" s="239" t="s">
        <v>1393</v>
      </c>
      <c r="B326" s="240">
        <v>1291</v>
      </c>
      <c r="C326" s="241">
        <v>58418</v>
      </c>
      <c r="D326" s="239" t="s">
        <v>2710</v>
      </c>
      <c r="E326" s="239" t="s">
        <v>382</v>
      </c>
      <c r="F326" s="239" t="s">
        <v>383</v>
      </c>
      <c r="G326" s="239" t="s">
        <v>965</v>
      </c>
      <c r="H326" s="239" t="s">
        <v>48</v>
      </c>
      <c r="I326" s="239" t="s">
        <v>399</v>
      </c>
      <c r="J326" s="234">
        <v>38590</v>
      </c>
      <c r="K326" s="234">
        <v>14560</v>
      </c>
      <c r="L326" s="242">
        <v>13</v>
      </c>
      <c r="M326" s="308">
        <v>24030</v>
      </c>
      <c r="N326" s="234">
        <v>20906.099999999999</v>
      </c>
      <c r="O326" s="234" t="s">
        <v>1509</v>
      </c>
      <c r="P326" s="236">
        <v>45897</v>
      </c>
      <c r="Q326" s="244">
        <v>0.94092592592592594</v>
      </c>
    </row>
    <row r="327" spans="1:17" ht="63.75">
      <c r="A327" s="239" t="s">
        <v>1395</v>
      </c>
      <c r="B327" s="240">
        <v>1292</v>
      </c>
      <c r="C327" s="241">
        <v>58420</v>
      </c>
      <c r="D327" s="239" t="s">
        <v>2710</v>
      </c>
      <c r="E327" s="239" t="s">
        <v>447</v>
      </c>
      <c r="F327" s="239" t="s">
        <v>448</v>
      </c>
      <c r="G327" s="239" t="s">
        <v>965</v>
      </c>
      <c r="H327" s="239" t="s">
        <v>48</v>
      </c>
      <c r="I327" s="239" t="s">
        <v>399</v>
      </c>
      <c r="J327" s="234">
        <v>46960</v>
      </c>
      <c r="K327" s="234">
        <v>19350</v>
      </c>
      <c r="L327" s="242">
        <v>6</v>
      </c>
      <c r="M327" s="308">
        <v>27610</v>
      </c>
      <c r="N327" s="234">
        <v>25953.4</v>
      </c>
      <c r="O327" s="234" t="s">
        <v>1511</v>
      </c>
      <c r="P327" s="236">
        <v>45897</v>
      </c>
      <c r="Q327" s="244">
        <v>0.98302083333333334</v>
      </c>
    </row>
    <row r="328" spans="1:17" ht="63.75">
      <c r="A328" s="239" t="s">
        <v>1386</v>
      </c>
      <c r="B328" s="240">
        <v>1293</v>
      </c>
      <c r="C328" s="241">
        <v>58432</v>
      </c>
      <c r="D328" s="239" t="s">
        <v>2710</v>
      </c>
      <c r="E328" s="239" t="s">
        <v>380</v>
      </c>
      <c r="F328" s="239" t="s">
        <v>381</v>
      </c>
      <c r="G328" s="239" t="s">
        <v>965</v>
      </c>
      <c r="H328" s="239" t="s">
        <v>48</v>
      </c>
      <c r="I328" s="239" t="s">
        <v>399</v>
      </c>
      <c r="J328" s="234">
        <v>39220</v>
      </c>
      <c r="K328" s="234">
        <v>15040</v>
      </c>
      <c r="L328" s="242">
        <v>6</v>
      </c>
      <c r="M328" s="308">
        <v>24180</v>
      </c>
      <c r="N328" s="234">
        <v>22729.200000000001</v>
      </c>
      <c r="O328" s="234" t="s">
        <v>1502</v>
      </c>
      <c r="P328" s="236">
        <v>45897</v>
      </c>
      <c r="Q328" s="244">
        <v>0.84974537037037035</v>
      </c>
    </row>
    <row r="329" spans="1:17" ht="63.75">
      <c r="A329" s="239" t="s">
        <v>1387</v>
      </c>
      <c r="B329" s="240">
        <v>1294</v>
      </c>
      <c r="C329" s="241">
        <v>58427</v>
      </c>
      <c r="D329" s="239" t="s">
        <v>2710</v>
      </c>
      <c r="E329" s="239" t="s">
        <v>439</v>
      </c>
      <c r="F329" s="239" t="s">
        <v>440</v>
      </c>
      <c r="G329" s="239" t="s">
        <v>965</v>
      </c>
      <c r="H329" s="239" t="s">
        <v>48</v>
      </c>
      <c r="I329" s="239" t="s">
        <v>399</v>
      </c>
      <c r="J329" s="234">
        <v>39160</v>
      </c>
      <c r="K329" s="234">
        <v>14970</v>
      </c>
      <c r="L329" s="242">
        <v>7</v>
      </c>
      <c r="M329" s="308">
        <v>24190</v>
      </c>
      <c r="N329" s="234">
        <v>22496.7</v>
      </c>
      <c r="O329" s="234" t="s">
        <v>1503</v>
      </c>
      <c r="P329" s="236">
        <v>45897</v>
      </c>
      <c r="Q329" s="244">
        <v>0.86908564814814815</v>
      </c>
    </row>
    <row r="330" spans="1:17" ht="63.75">
      <c r="A330" s="239" t="s">
        <v>1388</v>
      </c>
      <c r="B330" s="240">
        <v>1295</v>
      </c>
      <c r="C330" s="241">
        <v>58437</v>
      </c>
      <c r="D330" s="239" t="s">
        <v>2710</v>
      </c>
      <c r="E330" s="239" t="s">
        <v>783</v>
      </c>
      <c r="F330" s="239" t="s">
        <v>784</v>
      </c>
      <c r="G330" s="239" t="s">
        <v>965</v>
      </c>
      <c r="H330" s="239" t="s">
        <v>48</v>
      </c>
      <c r="I330" s="239" t="s">
        <v>399</v>
      </c>
      <c r="J330" s="234">
        <v>40960</v>
      </c>
      <c r="K330" s="234">
        <v>14620</v>
      </c>
      <c r="L330" s="242">
        <v>7</v>
      </c>
      <c r="M330" s="308">
        <v>26340</v>
      </c>
      <c r="N330" s="234">
        <v>24496.2</v>
      </c>
      <c r="O330" s="234" t="s">
        <v>1504</v>
      </c>
      <c r="P330" s="236">
        <v>45897</v>
      </c>
      <c r="Q330" s="244">
        <v>0.88056712962962957</v>
      </c>
    </row>
    <row r="331" spans="1:17" ht="63.75">
      <c r="A331" s="239" t="s">
        <v>1390</v>
      </c>
      <c r="B331" s="240">
        <v>1296</v>
      </c>
      <c r="C331" s="241">
        <v>58425</v>
      </c>
      <c r="D331" s="239" t="s">
        <v>2710</v>
      </c>
      <c r="E331" s="239" t="s">
        <v>841</v>
      </c>
      <c r="F331" s="239" t="s">
        <v>845</v>
      </c>
      <c r="G331" s="239" t="s">
        <v>965</v>
      </c>
      <c r="H331" s="239" t="s">
        <v>48</v>
      </c>
      <c r="I331" s="239" t="s">
        <v>399</v>
      </c>
      <c r="J331" s="234">
        <v>41180</v>
      </c>
      <c r="K331" s="234">
        <v>15670</v>
      </c>
      <c r="L331" s="242">
        <v>9</v>
      </c>
      <c r="M331" s="308">
        <v>25510</v>
      </c>
      <c r="N331" s="234">
        <v>23214.1</v>
      </c>
      <c r="O331" s="234" t="s">
        <v>1506</v>
      </c>
      <c r="P331" s="236">
        <v>45897</v>
      </c>
      <c r="Q331" s="244">
        <v>0.88686342592592593</v>
      </c>
    </row>
    <row r="332" spans="1:17" ht="63.75">
      <c r="A332" s="239" t="s">
        <v>1392</v>
      </c>
      <c r="B332" s="240">
        <v>1297</v>
      </c>
      <c r="C332" s="241">
        <v>58440</v>
      </c>
      <c r="D332" s="239" t="s">
        <v>2710</v>
      </c>
      <c r="E332" s="239" t="s">
        <v>432</v>
      </c>
      <c r="F332" s="239" t="s">
        <v>433</v>
      </c>
      <c r="G332" s="239" t="s">
        <v>965</v>
      </c>
      <c r="H332" s="239" t="s">
        <v>48</v>
      </c>
      <c r="I332" s="239" t="s">
        <v>399</v>
      </c>
      <c r="J332" s="234">
        <v>39780</v>
      </c>
      <c r="K332" s="234">
        <v>15580</v>
      </c>
      <c r="L332" s="242">
        <v>6</v>
      </c>
      <c r="M332" s="308">
        <v>24200</v>
      </c>
      <c r="N332" s="234">
        <v>22748</v>
      </c>
      <c r="O332" s="234" t="s">
        <v>1508</v>
      </c>
      <c r="P332" s="236">
        <v>45897</v>
      </c>
      <c r="Q332" s="244">
        <v>0.91224537037037035</v>
      </c>
    </row>
    <row r="333" spans="1:17" ht="63.75">
      <c r="A333" s="239" t="s">
        <v>1394</v>
      </c>
      <c r="B333" s="240">
        <v>1298</v>
      </c>
      <c r="C333" s="241">
        <v>58448</v>
      </c>
      <c r="D333" s="239" t="s">
        <v>2710</v>
      </c>
      <c r="E333" s="239" t="s">
        <v>794</v>
      </c>
      <c r="F333" s="239" t="s">
        <v>795</v>
      </c>
      <c r="G333" s="239" t="s">
        <v>965</v>
      </c>
      <c r="H333" s="239" t="s">
        <v>48</v>
      </c>
      <c r="I333" s="239" t="s">
        <v>399</v>
      </c>
      <c r="J333" s="234">
        <v>42440</v>
      </c>
      <c r="K333" s="234">
        <v>16120</v>
      </c>
      <c r="L333" s="242">
        <v>6</v>
      </c>
      <c r="M333" s="308">
        <v>26320</v>
      </c>
      <c r="N333" s="234">
        <v>24740.799999999999</v>
      </c>
      <c r="O333" s="234" t="s">
        <v>1510</v>
      </c>
      <c r="P333" s="236">
        <v>45897</v>
      </c>
      <c r="Q333" s="244">
        <v>0.94759259259259254</v>
      </c>
    </row>
    <row r="334" spans="1:17" ht="63.75">
      <c r="A334" s="239" t="s">
        <v>1396</v>
      </c>
      <c r="B334" s="240">
        <v>1300</v>
      </c>
      <c r="C334" s="241">
        <v>58445</v>
      </c>
      <c r="D334" s="239" t="s">
        <v>2710</v>
      </c>
      <c r="E334" s="239" t="s">
        <v>1397</v>
      </c>
      <c r="F334" s="239" t="s">
        <v>1398</v>
      </c>
      <c r="G334" s="239" t="s">
        <v>964</v>
      </c>
      <c r="H334" s="239" t="s">
        <v>777</v>
      </c>
      <c r="I334" s="239" t="s">
        <v>399</v>
      </c>
      <c r="J334" s="234">
        <v>43980</v>
      </c>
      <c r="K334" s="234">
        <v>17080</v>
      </c>
      <c r="L334" s="242">
        <v>13</v>
      </c>
      <c r="M334" s="308">
        <v>26900</v>
      </c>
      <c r="N334" s="234">
        <v>23403</v>
      </c>
      <c r="O334" s="234" t="s">
        <v>1512</v>
      </c>
      <c r="P334" s="236">
        <v>45898</v>
      </c>
      <c r="Q334" s="244">
        <v>0.33802083333333333</v>
      </c>
    </row>
    <row r="335" spans="1:17" ht="63.75">
      <c r="A335" s="239" t="s">
        <v>1399</v>
      </c>
      <c r="B335" s="240">
        <v>1302</v>
      </c>
      <c r="C335" s="241">
        <v>58450</v>
      </c>
      <c r="D335" s="239" t="s">
        <v>2710</v>
      </c>
      <c r="E335" s="239" t="s">
        <v>1400</v>
      </c>
      <c r="F335" s="239" t="s">
        <v>1401</v>
      </c>
      <c r="G335" s="239" t="s">
        <v>964</v>
      </c>
      <c r="H335" s="239" t="s">
        <v>777</v>
      </c>
      <c r="I335" s="239" t="s">
        <v>399</v>
      </c>
      <c r="J335" s="234">
        <v>35120</v>
      </c>
      <c r="K335" s="234">
        <v>14740</v>
      </c>
      <c r="L335" s="242">
        <v>8</v>
      </c>
      <c r="M335" s="308">
        <v>20380</v>
      </c>
      <c r="N335" s="234">
        <v>18749.599999999999</v>
      </c>
      <c r="O335" s="234" t="s">
        <v>1513</v>
      </c>
      <c r="P335" s="236">
        <v>45898</v>
      </c>
      <c r="Q335" s="244">
        <v>0.39232638888888888</v>
      </c>
    </row>
    <row r="336" spans="1:17" ht="63.75">
      <c r="A336" s="239" t="s">
        <v>1402</v>
      </c>
      <c r="B336" s="240">
        <v>1303</v>
      </c>
      <c r="C336" s="241">
        <v>58452</v>
      </c>
      <c r="D336" s="239" t="s">
        <v>2710</v>
      </c>
      <c r="E336" s="239" t="s">
        <v>1403</v>
      </c>
      <c r="F336" s="239" t="s">
        <v>1404</v>
      </c>
      <c r="G336" s="239" t="s">
        <v>964</v>
      </c>
      <c r="H336" s="239" t="s">
        <v>777</v>
      </c>
      <c r="I336" s="239" t="s">
        <v>399</v>
      </c>
      <c r="J336" s="234">
        <v>37730</v>
      </c>
      <c r="K336" s="234">
        <v>14970</v>
      </c>
      <c r="L336" s="242">
        <v>6</v>
      </c>
      <c r="M336" s="308">
        <v>22760</v>
      </c>
      <c r="N336" s="234">
        <v>21394.400000000001</v>
      </c>
      <c r="O336" s="234" t="s">
        <v>1514</v>
      </c>
      <c r="P336" s="236">
        <v>45898</v>
      </c>
      <c r="Q336" s="244">
        <v>0.46045138888888887</v>
      </c>
    </row>
    <row r="337" spans="1:17" ht="63.75">
      <c r="A337" s="239" t="s">
        <v>1405</v>
      </c>
      <c r="B337" s="240">
        <v>1304</v>
      </c>
      <c r="C337" s="241">
        <v>58523</v>
      </c>
      <c r="D337" s="239" t="s">
        <v>2710</v>
      </c>
      <c r="E337" s="239" t="s">
        <v>384</v>
      </c>
      <c r="F337" s="239" t="s">
        <v>385</v>
      </c>
      <c r="G337" s="239" t="s">
        <v>964</v>
      </c>
      <c r="H337" s="239" t="s">
        <v>777</v>
      </c>
      <c r="I337" s="239" t="s">
        <v>399</v>
      </c>
      <c r="J337" s="234">
        <v>36380</v>
      </c>
      <c r="K337" s="234">
        <v>13920</v>
      </c>
      <c r="L337" s="242">
        <v>7</v>
      </c>
      <c r="M337" s="308">
        <v>22460</v>
      </c>
      <c r="N337" s="234">
        <v>20887.8</v>
      </c>
      <c r="O337" s="234" t="s">
        <v>1515</v>
      </c>
      <c r="P337" s="236">
        <v>45898</v>
      </c>
      <c r="Q337" s="244">
        <v>0.46935185185185185</v>
      </c>
    </row>
    <row r="338" spans="1:17" ht="63.75">
      <c r="A338" s="239" t="s">
        <v>1406</v>
      </c>
      <c r="B338" s="240">
        <v>1305</v>
      </c>
      <c r="C338" s="241">
        <v>58492</v>
      </c>
      <c r="D338" s="239" t="s">
        <v>2710</v>
      </c>
      <c r="E338" s="239" t="s">
        <v>388</v>
      </c>
      <c r="F338" s="239" t="s">
        <v>389</v>
      </c>
      <c r="G338" s="239" t="s">
        <v>964</v>
      </c>
      <c r="H338" s="239" t="s">
        <v>777</v>
      </c>
      <c r="I338" s="239" t="s">
        <v>399</v>
      </c>
      <c r="J338" s="234">
        <v>45120</v>
      </c>
      <c r="K338" s="234">
        <v>20860</v>
      </c>
      <c r="L338" s="242">
        <v>8</v>
      </c>
      <c r="M338" s="308">
        <v>24260</v>
      </c>
      <c r="N338" s="234">
        <v>22319.200000000001</v>
      </c>
      <c r="O338" s="234" t="s">
        <v>1516</v>
      </c>
      <c r="P338" s="236">
        <v>45898</v>
      </c>
      <c r="Q338" s="244">
        <v>0.47685185185185186</v>
      </c>
    </row>
    <row r="339" spans="1:17" ht="63.75">
      <c r="A339" s="239" t="s">
        <v>1407</v>
      </c>
      <c r="B339" s="240">
        <v>1306</v>
      </c>
      <c r="C339" s="241">
        <v>58462</v>
      </c>
      <c r="D339" s="239" t="s">
        <v>2710</v>
      </c>
      <c r="E339" s="239" t="s">
        <v>786</v>
      </c>
      <c r="F339" s="239" t="s">
        <v>787</v>
      </c>
      <c r="G339" s="239" t="s">
        <v>964</v>
      </c>
      <c r="H339" s="239" t="s">
        <v>777</v>
      </c>
      <c r="I339" s="239" t="s">
        <v>399</v>
      </c>
      <c r="J339" s="234">
        <v>35850</v>
      </c>
      <c r="K339" s="234">
        <v>13980</v>
      </c>
      <c r="L339" s="242">
        <v>8</v>
      </c>
      <c r="M339" s="308">
        <v>21870</v>
      </c>
      <c r="N339" s="234">
        <v>20120.400000000001</v>
      </c>
      <c r="O339" s="234" t="s">
        <v>1517</v>
      </c>
      <c r="P339" s="236">
        <v>45898</v>
      </c>
      <c r="Q339" s="244">
        <v>0.48532407407407407</v>
      </c>
    </row>
    <row r="340" spans="1:17" ht="63.75">
      <c r="A340" s="239" t="s">
        <v>1408</v>
      </c>
      <c r="B340" s="240">
        <v>1307</v>
      </c>
      <c r="C340" s="241">
        <v>58525</v>
      </c>
      <c r="D340" s="239" t="s">
        <v>2710</v>
      </c>
      <c r="E340" s="239" t="s">
        <v>410</v>
      </c>
      <c r="F340" s="239" t="s">
        <v>411</v>
      </c>
      <c r="G340" s="239" t="s">
        <v>964</v>
      </c>
      <c r="H340" s="239" t="s">
        <v>777</v>
      </c>
      <c r="I340" s="239" t="s">
        <v>399</v>
      </c>
      <c r="J340" s="234">
        <v>37740</v>
      </c>
      <c r="K340" s="234">
        <v>15030</v>
      </c>
      <c r="L340" s="242">
        <v>4</v>
      </c>
      <c r="M340" s="308">
        <v>22710</v>
      </c>
      <c r="N340" s="234">
        <v>21801.599999999999</v>
      </c>
      <c r="O340" s="234" t="s">
        <v>1518</v>
      </c>
      <c r="P340" s="236">
        <v>45898</v>
      </c>
      <c r="Q340" s="244">
        <v>0.52190972222222221</v>
      </c>
    </row>
    <row r="341" spans="1:17" ht="63.75">
      <c r="A341" s="239" t="s">
        <v>1411</v>
      </c>
      <c r="B341" s="240">
        <v>1311</v>
      </c>
      <c r="C341" s="241">
        <v>58535</v>
      </c>
      <c r="D341" s="239" t="s">
        <v>2710</v>
      </c>
      <c r="E341" s="239" t="s">
        <v>453</v>
      </c>
      <c r="F341" s="239" t="s">
        <v>454</v>
      </c>
      <c r="G341" s="239" t="s">
        <v>964</v>
      </c>
      <c r="H341" s="239" t="s">
        <v>777</v>
      </c>
      <c r="I341" s="239" t="s">
        <v>399</v>
      </c>
      <c r="J341" s="234">
        <v>47000</v>
      </c>
      <c r="K341" s="234">
        <v>24160</v>
      </c>
      <c r="L341" s="242">
        <v>6</v>
      </c>
      <c r="M341" s="308">
        <v>22840</v>
      </c>
      <c r="N341" s="234">
        <v>21469.599999999999</v>
      </c>
      <c r="O341" s="234" t="s">
        <v>1519</v>
      </c>
      <c r="P341" s="236">
        <v>45898</v>
      </c>
      <c r="Q341" s="244">
        <v>0.5929861111111111</v>
      </c>
    </row>
    <row r="342" spans="1:17" ht="63.75">
      <c r="A342" s="239" t="s">
        <v>1412</v>
      </c>
      <c r="B342" s="240">
        <v>1312</v>
      </c>
      <c r="C342" s="241">
        <v>58513</v>
      </c>
      <c r="D342" s="239" t="s">
        <v>2710</v>
      </c>
      <c r="E342" s="239" t="s">
        <v>456</v>
      </c>
      <c r="F342" s="239" t="s">
        <v>457</v>
      </c>
      <c r="G342" s="239" t="s">
        <v>964</v>
      </c>
      <c r="H342" s="239" t="s">
        <v>777</v>
      </c>
      <c r="I342" s="239" t="s">
        <v>399</v>
      </c>
      <c r="J342" s="234">
        <v>42350</v>
      </c>
      <c r="K342" s="234">
        <v>15590</v>
      </c>
      <c r="L342" s="242">
        <v>6</v>
      </c>
      <c r="M342" s="308">
        <v>26760</v>
      </c>
      <c r="N342" s="234">
        <v>25154.400000000001</v>
      </c>
      <c r="O342" s="234" t="s">
        <v>1520</v>
      </c>
      <c r="P342" s="236">
        <v>45898</v>
      </c>
      <c r="Q342" s="244">
        <v>0.60326388888888893</v>
      </c>
    </row>
    <row r="343" spans="1:17" ht="63.75">
      <c r="A343" s="239" t="s">
        <v>1413</v>
      </c>
      <c r="B343" s="240">
        <v>1314</v>
      </c>
      <c r="C343" s="241">
        <v>58537</v>
      </c>
      <c r="D343" s="239" t="s">
        <v>2710</v>
      </c>
      <c r="E343" s="239" t="s">
        <v>416</v>
      </c>
      <c r="F343" s="239" t="s">
        <v>417</v>
      </c>
      <c r="G343" s="239" t="s">
        <v>964</v>
      </c>
      <c r="H343" s="239" t="s">
        <v>777</v>
      </c>
      <c r="I343" s="239" t="s">
        <v>399</v>
      </c>
      <c r="J343" s="234">
        <v>36610</v>
      </c>
      <c r="K343" s="234">
        <v>14740</v>
      </c>
      <c r="L343" s="242">
        <v>6</v>
      </c>
      <c r="M343" s="308">
        <v>21870</v>
      </c>
      <c r="N343" s="234">
        <v>20557.8</v>
      </c>
      <c r="O343" s="234" t="s">
        <v>1521</v>
      </c>
      <c r="P343" s="236">
        <v>45898</v>
      </c>
      <c r="Q343" s="244">
        <v>0.66373842592592591</v>
      </c>
    </row>
    <row r="344" spans="1:17" ht="63.75">
      <c r="A344" s="239" t="s">
        <v>1414</v>
      </c>
      <c r="B344" s="240">
        <v>1315</v>
      </c>
      <c r="C344" s="241">
        <v>58539</v>
      </c>
      <c r="D344" s="239" t="s">
        <v>2710</v>
      </c>
      <c r="E344" s="239" t="s">
        <v>420</v>
      </c>
      <c r="F344" s="239" t="s">
        <v>421</v>
      </c>
      <c r="G344" s="239" t="s">
        <v>964</v>
      </c>
      <c r="H344" s="239" t="s">
        <v>777</v>
      </c>
      <c r="I344" s="239" t="s">
        <v>399</v>
      </c>
      <c r="J344" s="234">
        <v>37510</v>
      </c>
      <c r="K344" s="234">
        <v>14910</v>
      </c>
      <c r="L344" s="242">
        <v>8</v>
      </c>
      <c r="M344" s="308">
        <v>22600</v>
      </c>
      <c r="N344" s="234">
        <v>20792</v>
      </c>
      <c r="O344" s="234" t="s">
        <v>1522</v>
      </c>
      <c r="P344" s="236">
        <v>45898</v>
      </c>
      <c r="Q344" s="244">
        <v>0.66972222222222222</v>
      </c>
    </row>
    <row r="345" spans="1:17" ht="63.75">
      <c r="A345" s="239" t="s">
        <v>1415</v>
      </c>
      <c r="B345" s="240">
        <v>1332</v>
      </c>
      <c r="C345" s="241">
        <v>58542</v>
      </c>
      <c r="D345" s="239" t="s">
        <v>2710</v>
      </c>
      <c r="E345" s="239" t="s">
        <v>866</v>
      </c>
      <c r="F345" s="239" t="s">
        <v>867</v>
      </c>
      <c r="G345" s="239" t="s">
        <v>964</v>
      </c>
      <c r="H345" s="239" t="s">
        <v>777</v>
      </c>
      <c r="I345" s="239" t="s">
        <v>399</v>
      </c>
      <c r="J345" s="234">
        <v>38140</v>
      </c>
      <c r="K345" s="234">
        <v>14430</v>
      </c>
      <c r="L345" s="242">
        <v>6</v>
      </c>
      <c r="M345" s="308">
        <v>23710</v>
      </c>
      <c r="N345" s="234">
        <v>22287.4</v>
      </c>
      <c r="O345" s="234" t="s">
        <v>1523</v>
      </c>
      <c r="P345" s="236">
        <v>45898</v>
      </c>
      <c r="Q345" s="244">
        <v>0.81174768518518514</v>
      </c>
    </row>
    <row r="346" spans="1:17" ht="63.75">
      <c r="A346" s="239" t="s">
        <v>1416</v>
      </c>
      <c r="B346" s="240">
        <v>1333</v>
      </c>
      <c r="C346" s="241">
        <v>58544</v>
      </c>
      <c r="D346" s="239" t="s">
        <v>2710</v>
      </c>
      <c r="E346" s="239" t="s">
        <v>369</v>
      </c>
      <c r="F346" s="239" t="s">
        <v>370</v>
      </c>
      <c r="G346" s="239" t="s">
        <v>964</v>
      </c>
      <c r="H346" s="239" t="s">
        <v>777</v>
      </c>
      <c r="I346" s="239" t="s">
        <v>399</v>
      </c>
      <c r="J346" s="234">
        <v>38140</v>
      </c>
      <c r="K346" s="234">
        <v>15040</v>
      </c>
      <c r="L346" s="242">
        <v>5</v>
      </c>
      <c r="M346" s="308">
        <v>23100</v>
      </c>
      <c r="N346" s="234">
        <v>21945</v>
      </c>
      <c r="O346" s="234" t="s">
        <v>1524</v>
      </c>
      <c r="P346" s="236">
        <v>45898</v>
      </c>
      <c r="Q346" s="244">
        <v>0.82467592592592598</v>
      </c>
    </row>
    <row r="347" spans="1:17" ht="63.75">
      <c r="A347" s="239" t="s">
        <v>1418</v>
      </c>
      <c r="B347" s="240">
        <v>1335</v>
      </c>
      <c r="C347" s="241">
        <v>58509</v>
      </c>
      <c r="D347" s="239" t="s">
        <v>2710</v>
      </c>
      <c r="E347" s="239" t="s">
        <v>406</v>
      </c>
      <c r="F347" s="239" t="s">
        <v>407</v>
      </c>
      <c r="G347" s="239" t="s">
        <v>964</v>
      </c>
      <c r="H347" s="239" t="s">
        <v>777</v>
      </c>
      <c r="I347" s="239" t="s">
        <v>399</v>
      </c>
      <c r="J347" s="234">
        <v>38340</v>
      </c>
      <c r="K347" s="234">
        <v>15030</v>
      </c>
      <c r="L347" s="242">
        <v>6</v>
      </c>
      <c r="M347" s="308">
        <v>23310</v>
      </c>
      <c r="N347" s="234">
        <v>21911.4</v>
      </c>
      <c r="O347" s="234" t="s">
        <v>1526</v>
      </c>
      <c r="P347" s="236">
        <v>45898</v>
      </c>
      <c r="Q347" s="244">
        <v>0.91783564814814811</v>
      </c>
    </row>
    <row r="348" spans="1:17" ht="63.75">
      <c r="A348" s="239" t="s">
        <v>1421</v>
      </c>
      <c r="B348" s="240">
        <v>1336</v>
      </c>
      <c r="C348" s="241">
        <v>58511</v>
      </c>
      <c r="D348" s="239" t="s">
        <v>2710</v>
      </c>
      <c r="E348" s="239" t="s">
        <v>1422</v>
      </c>
      <c r="F348" s="239" t="s">
        <v>404</v>
      </c>
      <c r="G348" s="239" t="s">
        <v>964</v>
      </c>
      <c r="H348" s="239" t="s">
        <v>777</v>
      </c>
      <c r="I348" s="239" t="s">
        <v>399</v>
      </c>
      <c r="J348" s="234">
        <v>37500</v>
      </c>
      <c r="K348" s="234">
        <v>14450</v>
      </c>
      <c r="L348" s="242">
        <v>8</v>
      </c>
      <c r="M348" s="308">
        <v>23050</v>
      </c>
      <c r="N348" s="234">
        <v>21206</v>
      </c>
      <c r="O348" s="234" t="s">
        <v>1529</v>
      </c>
      <c r="P348" s="236">
        <v>45898</v>
      </c>
      <c r="Q348" s="244">
        <v>0.96520833333333333</v>
      </c>
    </row>
    <row r="349" spans="1:17" ht="63.75">
      <c r="A349" s="239" t="s">
        <v>1423</v>
      </c>
      <c r="B349" s="240">
        <v>1337</v>
      </c>
      <c r="C349" s="241">
        <v>58546</v>
      </c>
      <c r="D349" s="239" t="s">
        <v>2710</v>
      </c>
      <c r="E349" s="239" t="s">
        <v>386</v>
      </c>
      <c r="F349" s="239" t="s">
        <v>387</v>
      </c>
      <c r="G349" s="239" t="s">
        <v>964</v>
      </c>
      <c r="H349" s="239" t="s">
        <v>777</v>
      </c>
      <c r="I349" s="239" t="s">
        <v>399</v>
      </c>
      <c r="J349" s="234">
        <v>38710</v>
      </c>
      <c r="K349" s="234">
        <v>15400</v>
      </c>
      <c r="L349" s="242">
        <v>4</v>
      </c>
      <c r="M349" s="308">
        <v>23310</v>
      </c>
      <c r="N349" s="234">
        <v>22377.599999999999</v>
      </c>
      <c r="O349" s="234" t="s">
        <v>1530</v>
      </c>
      <c r="P349" s="236">
        <v>45898</v>
      </c>
      <c r="Q349" s="244">
        <v>0.98457175925925922</v>
      </c>
    </row>
    <row r="350" spans="1:17" ht="63.75">
      <c r="A350" s="239" t="s">
        <v>1417</v>
      </c>
      <c r="B350" s="240">
        <v>1338</v>
      </c>
      <c r="C350" s="241">
        <v>58548</v>
      </c>
      <c r="D350" s="239" t="s">
        <v>2710</v>
      </c>
      <c r="E350" s="239" t="s">
        <v>372</v>
      </c>
      <c r="F350" s="239" t="s">
        <v>373</v>
      </c>
      <c r="G350" s="239" t="s">
        <v>964</v>
      </c>
      <c r="H350" s="239" t="s">
        <v>777</v>
      </c>
      <c r="I350" s="239" t="s">
        <v>399</v>
      </c>
      <c r="J350" s="234">
        <v>39510</v>
      </c>
      <c r="K350" s="234">
        <v>14930</v>
      </c>
      <c r="L350" s="242">
        <v>7</v>
      </c>
      <c r="M350" s="308">
        <v>24580</v>
      </c>
      <c r="N350" s="234">
        <v>22859.4</v>
      </c>
      <c r="O350" s="234" t="s">
        <v>1525</v>
      </c>
      <c r="P350" s="236">
        <v>45898</v>
      </c>
      <c r="Q350" s="244">
        <v>0.8600578703703704</v>
      </c>
    </row>
    <row r="351" spans="1:17" ht="63.75">
      <c r="A351" s="239" t="s">
        <v>1419</v>
      </c>
      <c r="B351" s="240">
        <v>1339</v>
      </c>
      <c r="C351" s="241">
        <v>58552</v>
      </c>
      <c r="D351" s="239" t="s">
        <v>2710</v>
      </c>
      <c r="E351" s="239" t="s">
        <v>413</v>
      </c>
      <c r="F351" s="239" t="s">
        <v>414</v>
      </c>
      <c r="G351" s="239" t="s">
        <v>964</v>
      </c>
      <c r="H351" s="239" t="s">
        <v>777</v>
      </c>
      <c r="I351" s="239" t="s">
        <v>399</v>
      </c>
      <c r="J351" s="234">
        <v>39920</v>
      </c>
      <c r="K351" s="234">
        <v>14980</v>
      </c>
      <c r="L351" s="242">
        <v>9</v>
      </c>
      <c r="M351" s="308">
        <v>24940</v>
      </c>
      <c r="N351" s="234">
        <v>22695.4</v>
      </c>
      <c r="O351" s="234" t="s">
        <v>1527</v>
      </c>
      <c r="P351" s="236">
        <v>45898</v>
      </c>
      <c r="Q351" s="244">
        <v>0.93405092592592598</v>
      </c>
    </row>
    <row r="352" spans="1:17" ht="63.75">
      <c r="A352" s="239" t="s">
        <v>1420</v>
      </c>
      <c r="B352" s="240">
        <v>1340</v>
      </c>
      <c r="C352" s="241">
        <v>58550</v>
      </c>
      <c r="D352" s="239" t="s">
        <v>2710</v>
      </c>
      <c r="E352" s="239" t="s">
        <v>429</v>
      </c>
      <c r="F352" s="239" t="s">
        <v>430</v>
      </c>
      <c r="G352" s="239" t="s">
        <v>964</v>
      </c>
      <c r="H352" s="239" t="s">
        <v>777</v>
      </c>
      <c r="I352" s="239" t="s">
        <v>399</v>
      </c>
      <c r="J352" s="234">
        <v>37500</v>
      </c>
      <c r="K352" s="234">
        <v>14230</v>
      </c>
      <c r="L352" s="242">
        <v>6</v>
      </c>
      <c r="M352" s="308">
        <v>23270</v>
      </c>
      <c r="N352" s="234">
        <v>21873.8</v>
      </c>
      <c r="O352" s="234" t="s">
        <v>1528</v>
      </c>
      <c r="P352" s="236">
        <v>45898</v>
      </c>
      <c r="Q352" s="244">
        <v>0.93748842592592596</v>
      </c>
    </row>
    <row r="353" spans="1:17" ht="63.75">
      <c r="A353" s="239" t="s">
        <v>1424</v>
      </c>
      <c r="B353" s="240">
        <v>1341</v>
      </c>
      <c r="C353" s="241">
        <v>58554</v>
      </c>
      <c r="D353" s="239" t="s">
        <v>2710</v>
      </c>
      <c r="E353" s="239" t="s">
        <v>374</v>
      </c>
      <c r="F353" s="239" t="s">
        <v>375</v>
      </c>
      <c r="G353" s="239" t="s">
        <v>964</v>
      </c>
      <c r="H353" s="239" t="s">
        <v>777</v>
      </c>
      <c r="I353" s="239" t="s">
        <v>399</v>
      </c>
      <c r="J353" s="234">
        <v>38670</v>
      </c>
      <c r="K353" s="234">
        <v>15590</v>
      </c>
      <c r="L353" s="242">
        <v>8</v>
      </c>
      <c r="M353" s="308">
        <v>23080</v>
      </c>
      <c r="N353" s="234">
        <v>21233.599999999999</v>
      </c>
      <c r="O353" s="234" t="s">
        <v>1531</v>
      </c>
      <c r="P353" s="236">
        <v>45899</v>
      </c>
      <c r="Q353" s="244">
        <v>7.8483796296296301E-2</v>
      </c>
    </row>
    <row r="354" spans="1:17" ht="63.75">
      <c r="A354" s="239" t="s">
        <v>1425</v>
      </c>
      <c r="B354" s="240">
        <v>1342</v>
      </c>
      <c r="C354" s="241">
        <v>58556</v>
      </c>
      <c r="D354" s="239" t="s">
        <v>2710</v>
      </c>
      <c r="E354" s="239" t="s">
        <v>858</v>
      </c>
      <c r="F354" s="239" t="s">
        <v>859</v>
      </c>
      <c r="G354" s="239" t="s">
        <v>964</v>
      </c>
      <c r="H354" s="239" t="s">
        <v>777</v>
      </c>
      <c r="I354" s="239" t="s">
        <v>399</v>
      </c>
      <c r="J354" s="234">
        <v>37010</v>
      </c>
      <c r="K354" s="234">
        <v>14710</v>
      </c>
      <c r="L354" s="242">
        <v>3</v>
      </c>
      <c r="M354" s="308">
        <v>22300</v>
      </c>
      <c r="N354" s="234">
        <v>21631</v>
      </c>
      <c r="O354" s="234" t="s">
        <v>1532</v>
      </c>
      <c r="P354" s="236">
        <v>45899</v>
      </c>
      <c r="Q354" s="244">
        <v>0.11435185185185186</v>
      </c>
    </row>
    <row r="355" spans="1:17" ht="63.75">
      <c r="A355" s="239" t="s">
        <v>1426</v>
      </c>
      <c r="B355" s="240">
        <v>1343</v>
      </c>
      <c r="C355" s="241">
        <v>58558</v>
      </c>
      <c r="D355" s="239" t="s">
        <v>2710</v>
      </c>
      <c r="E355" s="239" t="s">
        <v>462</v>
      </c>
      <c r="F355" s="239" t="s">
        <v>463</v>
      </c>
      <c r="G355" s="239" t="s">
        <v>964</v>
      </c>
      <c r="H355" s="239" t="s">
        <v>777</v>
      </c>
      <c r="I355" s="239" t="s">
        <v>399</v>
      </c>
      <c r="J355" s="234">
        <v>40570</v>
      </c>
      <c r="K355" s="234">
        <v>16370</v>
      </c>
      <c r="L355" s="242">
        <v>5</v>
      </c>
      <c r="M355" s="308">
        <v>24200</v>
      </c>
      <c r="N355" s="234">
        <v>22990</v>
      </c>
      <c r="O355" s="234" t="s">
        <v>1533</v>
      </c>
      <c r="P355" s="236">
        <v>45899</v>
      </c>
      <c r="Q355" s="244">
        <v>0.12371527777777777</v>
      </c>
    </row>
    <row r="356" spans="1:17" ht="63.75">
      <c r="A356" s="239" t="s">
        <v>1427</v>
      </c>
      <c r="B356" s="240">
        <v>1345</v>
      </c>
      <c r="C356" s="241">
        <v>58560</v>
      </c>
      <c r="D356" s="239" t="s">
        <v>2710</v>
      </c>
      <c r="E356" s="239" t="s">
        <v>447</v>
      </c>
      <c r="F356" s="239" t="s">
        <v>448</v>
      </c>
      <c r="G356" s="239" t="s">
        <v>964</v>
      </c>
      <c r="H356" s="239" t="s">
        <v>777</v>
      </c>
      <c r="I356" s="239" t="s">
        <v>399</v>
      </c>
      <c r="J356" s="234">
        <v>45080</v>
      </c>
      <c r="K356" s="234">
        <v>19250</v>
      </c>
      <c r="L356" s="242">
        <v>9</v>
      </c>
      <c r="M356" s="308">
        <v>25830</v>
      </c>
      <c r="N356" s="234">
        <v>23505.3</v>
      </c>
      <c r="O356" s="234" t="s">
        <v>1534</v>
      </c>
      <c r="P356" s="236">
        <v>45899</v>
      </c>
      <c r="Q356" s="244">
        <v>0.22244212962962964</v>
      </c>
    </row>
    <row r="357" spans="1:17" ht="63.75">
      <c r="A357" s="239" t="s">
        <v>1428</v>
      </c>
      <c r="B357" s="240">
        <v>1346</v>
      </c>
      <c r="C357" s="241">
        <v>58562</v>
      </c>
      <c r="D357" s="239" t="s">
        <v>2710</v>
      </c>
      <c r="E357" s="239" t="s">
        <v>472</v>
      </c>
      <c r="F357" s="239" t="s">
        <v>473</v>
      </c>
      <c r="G357" s="239" t="s">
        <v>964</v>
      </c>
      <c r="H357" s="239" t="s">
        <v>777</v>
      </c>
      <c r="I357" s="239" t="s">
        <v>399</v>
      </c>
      <c r="J357" s="234">
        <v>40030</v>
      </c>
      <c r="K357" s="234">
        <v>16630</v>
      </c>
      <c r="L357" s="242">
        <v>7</v>
      </c>
      <c r="M357" s="308">
        <v>23400</v>
      </c>
      <c r="N357" s="234">
        <v>21762</v>
      </c>
      <c r="O357" s="234" t="s">
        <v>1535</v>
      </c>
      <c r="P357" s="236">
        <v>45899</v>
      </c>
      <c r="Q357" s="244">
        <v>0.27019675925925923</v>
      </c>
    </row>
    <row r="358" spans="1:17" ht="63.75">
      <c r="A358" s="239" t="s">
        <v>1429</v>
      </c>
      <c r="B358" s="240">
        <v>1347</v>
      </c>
      <c r="C358" s="241">
        <v>58579</v>
      </c>
      <c r="D358" s="239" t="s">
        <v>2710</v>
      </c>
      <c r="E358" s="239" t="s">
        <v>380</v>
      </c>
      <c r="F358" s="239" t="s">
        <v>381</v>
      </c>
      <c r="G358" s="239" t="s">
        <v>964</v>
      </c>
      <c r="H358" s="239" t="s">
        <v>777</v>
      </c>
      <c r="I358" s="239" t="s">
        <v>399</v>
      </c>
      <c r="J358" s="234">
        <v>38330</v>
      </c>
      <c r="K358" s="234">
        <v>15050</v>
      </c>
      <c r="L358" s="242">
        <v>5</v>
      </c>
      <c r="M358" s="308">
        <v>23280</v>
      </c>
      <c r="N358" s="234">
        <v>22116</v>
      </c>
      <c r="O358" s="234" t="s">
        <v>1536</v>
      </c>
      <c r="P358" s="236">
        <v>45899</v>
      </c>
      <c r="Q358" s="244">
        <v>0.29670138888888886</v>
      </c>
    </row>
    <row r="359" spans="1:17" ht="63.75">
      <c r="A359" s="239" t="s">
        <v>1431</v>
      </c>
      <c r="B359" s="240">
        <v>1348</v>
      </c>
      <c r="C359" s="241">
        <v>58573</v>
      </c>
      <c r="D359" s="239" t="s">
        <v>2710</v>
      </c>
      <c r="E359" s="239" t="s">
        <v>475</v>
      </c>
      <c r="F359" s="239" t="s">
        <v>476</v>
      </c>
      <c r="G359" s="239" t="s">
        <v>964</v>
      </c>
      <c r="H359" s="239" t="s">
        <v>777</v>
      </c>
      <c r="I359" s="239" t="s">
        <v>399</v>
      </c>
      <c r="J359" s="234">
        <v>39890</v>
      </c>
      <c r="K359" s="234">
        <v>16530</v>
      </c>
      <c r="L359" s="242">
        <v>5</v>
      </c>
      <c r="M359" s="308">
        <v>23360</v>
      </c>
      <c r="N359" s="234">
        <v>22192</v>
      </c>
      <c r="O359" s="234" t="s">
        <v>1538</v>
      </c>
      <c r="P359" s="236">
        <v>45899</v>
      </c>
      <c r="Q359" s="244">
        <v>0.38594907407407408</v>
      </c>
    </row>
    <row r="360" spans="1:17" ht="63.75">
      <c r="A360" s="239" t="s">
        <v>1430</v>
      </c>
      <c r="B360" s="240">
        <v>1349</v>
      </c>
      <c r="C360" s="241">
        <v>58600</v>
      </c>
      <c r="D360" s="239" t="s">
        <v>2710</v>
      </c>
      <c r="E360" s="239" t="s">
        <v>400</v>
      </c>
      <c r="F360" s="239" t="s">
        <v>401</v>
      </c>
      <c r="G360" s="239" t="s">
        <v>964</v>
      </c>
      <c r="H360" s="239" t="s">
        <v>777</v>
      </c>
      <c r="I360" s="239" t="s">
        <v>399</v>
      </c>
      <c r="J360" s="234">
        <v>37300</v>
      </c>
      <c r="K360" s="234">
        <v>14700</v>
      </c>
      <c r="L360" s="242">
        <v>5</v>
      </c>
      <c r="M360" s="308">
        <v>22600</v>
      </c>
      <c r="N360" s="234">
        <v>21470</v>
      </c>
      <c r="O360" s="234" t="s">
        <v>1537</v>
      </c>
      <c r="P360" s="236">
        <v>45899</v>
      </c>
      <c r="Q360" s="244">
        <v>0.38559027777777777</v>
      </c>
    </row>
    <row r="361" spans="1:17" ht="63.75">
      <c r="A361" s="239" t="s">
        <v>1432</v>
      </c>
      <c r="B361" s="240">
        <v>1350</v>
      </c>
      <c r="C361" s="241">
        <v>58581</v>
      </c>
      <c r="D361" s="239" t="s">
        <v>2710</v>
      </c>
      <c r="E361" s="239" t="s">
        <v>439</v>
      </c>
      <c r="F361" s="239" t="s">
        <v>440</v>
      </c>
      <c r="G361" s="239" t="s">
        <v>964</v>
      </c>
      <c r="H361" s="239" t="s">
        <v>777</v>
      </c>
      <c r="I361" s="239" t="s">
        <v>399</v>
      </c>
      <c r="J361" s="234">
        <v>38480</v>
      </c>
      <c r="K361" s="234">
        <v>14960</v>
      </c>
      <c r="L361" s="242">
        <v>6</v>
      </c>
      <c r="M361" s="308">
        <v>23520</v>
      </c>
      <c r="N361" s="234">
        <v>22108.799999999999</v>
      </c>
      <c r="O361" s="234" t="s">
        <v>1539</v>
      </c>
      <c r="P361" s="236">
        <v>45899</v>
      </c>
      <c r="Q361" s="244">
        <v>0.42100694444444442</v>
      </c>
    </row>
    <row r="362" spans="1:17" ht="63.75">
      <c r="A362" s="239" t="s">
        <v>1433</v>
      </c>
      <c r="B362" s="240">
        <v>1356</v>
      </c>
      <c r="C362" s="241">
        <v>58604</v>
      </c>
      <c r="D362" s="239" t="s">
        <v>2710</v>
      </c>
      <c r="E362" s="239" t="s">
        <v>794</v>
      </c>
      <c r="F362" s="239" t="s">
        <v>795</v>
      </c>
      <c r="G362" s="239" t="s">
        <v>964</v>
      </c>
      <c r="H362" s="239" t="s">
        <v>777</v>
      </c>
      <c r="I362" s="239" t="s">
        <v>399</v>
      </c>
      <c r="J362" s="234">
        <v>41450</v>
      </c>
      <c r="K362" s="234">
        <v>16100</v>
      </c>
      <c r="L362" s="242">
        <v>10</v>
      </c>
      <c r="M362" s="308">
        <v>25350</v>
      </c>
      <c r="N362" s="234">
        <v>22815</v>
      </c>
      <c r="O362" s="234" t="s">
        <v>1540</v>
      </c>
      <c r="P362" s="236">
        <v>45899</v>
      </c>
      <c r="Q362" s="244">
        <v>0.45346064814814813</v>
      </c>
    </row>
    <row r="363" spans="1:17" ht="63.75">
      <c r="A363" s="239" t="s">
        <v>1434</v>
      </c>
      <c r="B363" s="240">
        <v>1357</v>
      </c>
      <c r="C363" s="241">
        <v>58606</v>
      </c>
      <c r="D363" s="239" t="s">
        <v>2710</v>
      </c>
      <c r="E363" s="239" t="s">
        <v>432</v>
      </c>
      <c r="F363" s="239" t="s">
        <v>433</v>
      </c>
      <c r="G363" s="239" t="s">
        <v>964</v>
      </c>
      <c r="H363" s="239" t="s">
        <v>777</v>
      </c>
      <c r="I363" s="239" t="s">
        <v>399</v>
      </c>
      <c r="J363" s="234">
        <v>39380</v>
      </c>
      <c r="K363" s="234">
        <v>15570</v>
      </c>
      <c r="L363" s="242">
        <v>7</v>
      </c>
      <c r="M363" s="308">
        <v>23810</v>
      </c>
      <c r="N363" s="234">
        <v>22143.3</v>
      </c>
      <c r="O363" s="234" t="s">
        <v>1541</v>
      </c>
      <c r="P363" s="236">
        <v>45899</v>
      </c>
      <c r="Q363" s="244">
        <v>0.49925925925925924</v>
      </c>
    </row>
    <row r="364" spans="1:17" ht="63.75">
      <c r="A364" s="239" t="s">
        <v>1435</v>
      </c>
      <c r="B364" s="240">
        <v>1358</v>
      </c>
      <c r="C364" s="241">
        <v>58616</v>
      </c>
      <c r="D364" s="239" t="s">
        <v>2710</v>
      </c>
      <c r="E364" s="239" t="s">
        <v>841</v>
      </c>
      <c r="F364" s="239" t="s">
        <v>845</v>
      </c>
      <c r="G364" s="239" t="s">
        <v>964</v>
      </c>
      <c r="H364" s="239" t="s">
        <v>777</v>
      </c>
      <c r="I364" s="239" t="s">
        <v>399</v>
      </c>
      <c r="J364" s="234">
        <v>40820</v>
      </c>
      <c r="K364" s="234">
        <v>15930</v>
      </c>
      <c r="L364" s="242">
        <v>8</v>
      </c>
      <c r="M364" s="308">
        <v>24890</v>
      </c>
      <c r="N364" s="234">
        <v>22898.799999999999</v>
      </c>
      <c r="O364" s="234" t="s">
        <v>1542</v>
      </c>
      <c r="P364" s="236">
        <v>45899</v>
      </c>
      <c r="Q364" s="244">
        <v>0.52827546296296302</v>
      </c>
    </row>
    <row r="365" spans="1:17" ht="63.75">
      <c r="A365" s="239" t="s">
        <v>1436</v>
      </c>
      <c r="B365" s="240">
        <v>1360</v>
      </c>
      <c r="C365" s="241">
        <v>58618</v>
      </c>
      <c r="D365" s="239" t="s">
        <v>2710</v>
      </c>
      <c r="E365" s="239" t="s">
        <v>377</v>
      </c>
      <c r="F365" s="239" t="s">
        <v>378</v>
      </c>
      <c r="G365" s="239" t="s">
        <v>964</v>
      </c>
      <c r="H365" s="239" t="s">
        <v>777</v>
      </c>
      <c r="I365" s="239" t="s">
        <v>399</v>
      </c>
      <c r="J365" s="234">
        <v>41880</v>
      </c>
      <c r="K365" s="234">
        <v>15140</v>
      </c>
      <c r="L365" s="242">
        <v>7</v>
      </c>
      <c r="M365" s="308">
        <v>26740</v>
      </c>
      <c r="N365" s="234">
        <v>24868.2</v>
      </c>
      <c r="O365" s="234" t="s">
        <v>1543</v>
      </c>
      <c r="P365" s="236">
        <v>45899</v>
      </c>
      <c r="Q365" s="244">
        <v>0.70194444444444448</v>
      </c>
    </row>
    <row r="366" spans="1:17" ht="63.75">
      <c r="A366" s="239" t="s">
        <v>1437</v>
      </c>
      <c r="B366" s="240">
        <v>1362</v>
      </c>
      <c r="C366" s="241">
        <v>58620</v>
      </c>
      <c r="D366" s="239" t="s">
        <v>2710</v>
      </c>
      <c r="E366" s="239" t="s">
        <v>783</v>
      </c>
      <c r="F366" s="239" t="s">
        <v>784</v>
      </c>
      <c r="G366" s="239" t="s">
        <v>964</v>
      </c>
      <c r="H366" s="239" t="s">
        <v>777</v>
      </c>
      <c r="I366" s="239" t="s">
        <v>399</v>
      </c>
      <c r="J366" s="234">
        <v>39830</v>
      </c>
      <c r="K366" s="234">
        <v>14600</v>
      </c>
      <c r="L366" s="242">
        <v>6</v>
      </c>
      <c r="M366" s="308">
        <v>25230</v>
      </c>
      <c r="N366" s="234">
        <v>23716.2</v>
      </c>
      <c r="O366" s="234" t="s">
        <v>1544</v>
      </c>
      <c r="P366" s="236">
        <v>45899</v>
      </c>
      <c r="Q366" s="244">
        <v>0.73576388888888888</v>
      </c>
    </row>
    <row r="367" spans="1:17" ht="63.75">
      <c r="A367" s="239" t="s">
        <v>1438</v>
      </c>
      <c r="B367" s="240">
        <v>1363</v>
      </c>
      <c r="C367" s="241">
        <v>58624</v>
      </c>
      <c r="D367" s="239" t="s">
        <v>2710</v>
      </c>
      <c r="E367" s="239" t="s">
        <v>388</v>
      </c>
      <c r="F367" s="239" t="s">
        <v>389</v>
      </c>
      <c r="G367" s="239" t="s">
        <v>964</v>
      </c>
      <c r="H367" s="239" t="s">
        <v>777</v>
      </c>
      <c r="I367" s="239" t="s">
        <v>399</v>
      </c>
      <c r="J367" s="234">
        <v>45060</v>
      </c>
      <c r="K367" s="234">
        <v>20930</v>
      </c>
      <c r="L367" s="242">
        <v>11</v>
      </c>
      <c r="M367" s="308">
        <v>24130</v>
      </c>
      <c r="N367" s="234">
        <v>21475.7</v>
      </c>
      <c r="O367" s="234" t="s">
        <v>1545</v>
      </c>
      <c r="P367" s="236">
        <v>45899</v>
      </c>
      <c r="Q367" s="244">
        <v>0.7948263888888889</v>
      </c>
    </row>
    <row r="368" spans="1:17" ht="63.75">
      <c r="A368" s="239" t="s">
        <v>1439</v>
      </c>
      <c r="B368" s="240">
        <v>1364</v>
      </c>
      <c r="C368" s="241">
        <v>58626</v>
      </c>
      <c r="D368" s="239" t="s">
        <v>2710</v>
      </c>
      <c r="E368" s="239" t="s">
        <v>791</v>
      </c>
      <c r="F368" s="239" t="s">
        <v>792</v>
      </c>
      <c r="G368" s="239" t="s">
        <v>964</v>
      </c>
      <c r="H368" s="239" t="s">
        <v>48</v>
      </c>
      <c r="I368" s="239" t="s">
        <v>399</v>
      </c>
      <c r="J368" s="234">
        <v>40770</v>
      </c>
      <c r="K368" s="234">
        <v>14940</v>
      </c>
      <c r="L368" s="242">
        <v>12</v>
      </c>
      <c r="M368" s="308">
        <v>25830</v>
      </c>
      <c r="N368" s="234">
        <v>22730.400000000001</v>
      </c>
      <c r="O368" s="234" t="s">
        <v>1546</v>
      </c>
      <c r="P368" s="236">
        <v>45899</v>
      </c>
      <c r="Q368" s="244">
        <v>0.89759259259259261</v>
      </c>
    </row>
    <row r="369" spans="1:17" ht="63.75">
      <c r="A369" s="239" t="s">
        <v>1440</v>
      </c>
      <c r="B369" s="240">
        <v>1365</v>
      </c>
      <c r="C369" s="241">
        <v>58628</v>
      </c>
      <c r="D369" s="239" t="s">
        <v>2710</v>
      </c>
      <c r="E369" s="239" t="s">
        <v>382</v>
      </c>
      <c r="F369" s="239" t="s">
        <v>383</v>
      </c>
      <c r="G369" s="239" t="s">
        <v>964</v>
      </c>
      <c r="H369" s="239" t="s">
        <v>48</v>
      </c>
      <c r="I369" s="239" t="s">
        <v>399</v>
      </c>
      <c r="J369" s="234">
        <v>37480</v>
      </c>
      <c r="K369" s="234">
        <v>14540</v>
      </c>
      <c r="L369" s="242">
        <v>13</v>
      </c>
      <c r="M369" s="308">
        <v>22940</v>
      </c>
      <c r="N369" s="234">
        <v>19957.8</v>
      </c>
      <c r="O369" s="234" t="s">
        <v>1547</v>
      </c>
      <c r="P369" s="236">
        <v>45899</v>
      </c>
      <c r="Q369" s="244">
        <v>0.91486111111111112</v>
      </c>
    </row>
    <row r="370" spans="1:17" ht="63.75">
      <c r="A370" s="239" t="s">
        <v>1441</v>
      </c>
      <c r="B370" s="240">
        <v>1366</v>
      </c>
      <c r="C370" s="241">
        <v>58630</v>
      </c>
      <c r="D370" s="239" t="s">
        <v>2710</v>
      </c>
      <c r="E370" s="239" t="s">
        <v>1397</v>
      </c>
      <c r="F370" s="239" t="s">
        <v>1398</v>
      </c>
      <c r="G370" s="239" t="s">
        <v>964</v>
      </c>
      <c r="H370" s="239" t="s">
        <v>48</v>
      </c>
      <c r="I370" s="239" t="s">
        <v>399</v>
      </c>
      <c r="J370" s="234">
        <v>41850</v>
      </c>
      <c r="K370" s="234">
        <v>17020</v>
      </c>
      <c r="L370" s="242">
        <v>8</v>
      </c>
      <c r="M370" s="308">
        <v>24830</v>
      </c>
      <c r="N370" s="234">
        <v>22843.599999999999</v>
      </c>
      <c r="O370" s="234" t="s">
        <v>1548</v>
      </c>
      <c r="P370" s="236">
        <v>45899</v>
      </c>
      <c r="Q370" s="244">
        <v>0.99938657407407405</v>
      </c>
    </row>
    <row r="371" spans="1:17" ht="63.75">
      <c r="A371" s="239" t="s">
        <v>1442</v>
      </c>
      <c r="B371" s="240">
        <v>1367</v>
      </c>
      <c r="C371" s="241">
        <v>58632</v>
      </c>
      <c r="D371" s="239" t="s">
        <v>2710</v>
      </c>
      <c r="E371" s="239" t="s">
        <v>1403</v>
      </c>
      <c r="F371" s="239" t="s">
        <v>1404</v>
      </c>
      <c r="G371" s="239" t="s">
        <v>964</v>
      </c>
      <c r="H371" s="239" t="s">
        <v>48</v>
      </c>
      <c r="I371" s="239" t="s">
        <v>399</v>
      </c>
      <c r="J371" s="234">
        <v>38810</v>
      </c>
      <c r="K371" s="234">
        <v>14800</v>
      </c>
      <c r="L371" s="242">
        <v>9</v>
      </c>
      <c r="M371" s="308">
        <v>24010</v>
      </c>
      <c r="N371" s="234">
        <v>21849.1</v>
      </c>
      <c r="O371" s="234" t="s">
        <v>1549</v>
      </c>
      <c r="P371" s="236">
        <v>45900</v>
      </c>
      <c r="Q371" s="244">
        <v>4.5891203703703705E-2</v>
      </c>
    </row>
    <row r="372" spans="1:17" ht="63.75">
      <c r="A372" s="239" t="s">
        <v>1443</v>
      </c>
      <c r="B372" s="240">
        <v>1368</v>
      </c>
      <c r="C372" s="241">
        <v>58634</v>
      </c>
      <c r="D372" s="239" t="s">
        <v>2710</v>
      </c>
      <c r="E372" s="239" t="s">
        <v>1400</v>
      </c>
      <c r="F372" s="239" t="s">
        <v>1401</v>
      </c>
      <c r="G372" s="239" t="s">
        <v>964</v>
      </c>
      <c r="H372" s="239" t="s">
        <v>48</v>
      </c>
      <c r="I372" s="239" t="s">
        <v>399</v>
      </c>
      <c r="J372" s="234">
        <v>36860</v>
      </c>
      <c r="K372" s="234">
        <v>14770</v>
      </c>
      <c r="L372" s="242">
        <v>9</v>
      </c>
      <c r="M372" s="308">
        <v>22090</v>
      </c>
      <c r="N372" s="234">
        <v>20101.900000000001</v>
      </c>
      <c r="O372" s="234" t="s">
        <v>1550</v>
      </c>
      <c r="P372" s="236">
        <v>45900</v>
      </c>
      <c r="Q372" s="244">
        <v>0.10600694444444445</v>
      </c>
    </row>
    <row r="373" spans="1:17" ht="63.75">
      <c r="A373" s="239" t="s">
        <v>1444</v>
      </c>
      <c r="B373" s="240">
        <v>1369</v>
      </c>
      <c r="C373" s="241">
        <v>58636</v>
      </c>
      <c r="D373" s="239" t="s">
        <v>2710</v>
      </c>
      <c r="E373" s="239" t="s">
        <v>453</v>
      </c>
      <c r="F373" s="239" t="s">
        <v>454</v>
      </c>
      <c r="G373" s="239" t="s">
        <v>964</v>
      </c>
      <c r="H373" s="239" t="s">
        <v>48</v>
      </c>
      <c r="I373" s="239" t="s">
        <v>399</v>
      </c>
      <c r="J373" s="234">
        <v>47140</v>
      </c>
      <c r="K373" s="234">
        <v>24020</v>
      </c>
      <c r="L373" s="242">
        <v>9</v>
      </c>
      <c r="M373" s="308">
        <v>23120</v>
      </c>
      <c r="N373" s="234">
        <v>21039.200000000001</v>
      </c>
      <c r="O373" s="234" t="s">
        <v>1551</v>
      </c>
      <c r="P373" s="236">
        <v>45900</v>
      </c>
      <c r="Q373" s="244">
        <v>0.19342592592592592</v>
      </c>
    </row>
    <row r="374" spans="1:17" ht="63.75">
      <c r="A374" s="239" t="s">
        <v>1445</v>
      </c>
      <c r="B374" s="240">
        <v>1370</v>
      </c>
      <c r="C374" s="241">
        <v>58638</v>
      </c>
      <c r="D374" s="239" t="s">
        <v>2710</v>
      </c>
      <c r="E374" s="239" t="s">
        <v>456</v>
      </c>
      <c r="F374" s="239" t="s">
        <v>457</v>
      </c>
      <c r="G374" s="239" t="s">
        <v>964</v>
      </c>
      <c r="H374" s="239" t="s">
        <v>48</v>
      </c>
      <c r="I374" s="239" t="s">
        <v>399</v>
      </c>
      <c r="J374" s="234">
        <v>43170</v>
      </c>
      <c r="K374" s="234">
        <v>15520</v>
      </c>
      <c r="L374" s="242">
        <v>12</v>
      </c>
      <c r="M374" s="308">
        <v>27650</v>
      </c>
      <c r="N374" s="234">
        <v>24332</v>
      </c>
      <c r="O374" s="234" t="s">
        <v>1552</v>
      </c>
      <c r="P374" s="236">
        <v>45900</v>
      </c>
      <c r="Q374" s="244">
        <v>0.2421875</v>
      </c>
    </row>
    <row r="375" spans="1:17" ht="63.75">
      <c r="A375" s="239" t="s">
        <v>1446</v>
      </c>
      <c r="B375" s="240">
        <v>1371</v>
      </c>
      <c r="C375" s="241">
        <v>58640</v>
      </c>
      <c r="D375" s="239" t="s">
        <v>2710</v>
      </c>
      <c r="E375" s="239" t="s">
        <v>416</v>
      </c>
      <c r="F375" s="239" t="s">
        <v>417</v>
      </c>
      <c r="G375" s="239" t="s">
        <v>961</v>
      </c>
      <c r="H375" s="239" t="s">
        <v>869</v>
      </c>
      <c r="I375" s="239" t="s">
        <v>399</v>
      </c>
      <c r="J375" s="234">
        <v>37630</v>
      </c>
      <c r="K375" s="234">
        <v>14730</v>
      </c>
      <c r="L375" s="242">
        <v>8</v>
      </c>
      <c r="M375" s="308">
        <v>22900</v>
      </c>
      <c r="N375" s="234">
        <v>21068</v>
      </c>
      <c r="O375" s="234" t="s">
        <v>1553</v>
      </c>
      <c r="P375" s="236">
        <v>45900</v>
      </c>
      <c r="Q375" s="244">
        <v>0.33254629629629628</v>
      </c>
    </row>
    <row r="376" spans="1:17" ht="63.75">
      <c r="A376" s="239" t="s">
        <v>1447</v>
      </c>
      <c r="B376" s="240">
        <v>1372</v>
      </c>
      <c r="C376" s="241">
        <v>58642</v>
      </c>
      <c r="D376" s="239" t="s">
        <v>2710</v>
      </c>
      <c r="E376" s="239" t="s">
        <v>420</v>
      </c>
      <c r="F376" s="239" t="s">
        <v>421</v>
      </c>
      <c r="G376" s="239" t="s">
        <v>961</v>
      </c>
      <c r="H376" s="239" t="s">
        <v>869</v>
      </c>
      <c r="I376" s="239" t="s">
        <v>399</v>
      </c>
      <c r="J376" s="234">
        <v>36920</v>
      </c>
      <c r="K376" s="234">
        <v>14860</v>
      </c>
      <c r="L376" s="242">
        <v>19</v>
      </c>
      <c r="M376" s="308">
        <v>22060</v>
      </c>
      <c r="N376" s="234">
        <v>17868.599999999999</v>
      </c>
      <c r="O376" s="234" t="s">
        <v>1554</v>
      </c>
      <c r="P376" s="236">
        <v>45900</v>
      </c>
      <c r="Q376" s="244">
        <v>0.34202546296296299</v>
      </c>
    </row>
    <row r="377" spans="1:17" ht="63.75">
      <c r="A377" s="239" t="s">
        <v>1448</v>
      </c>
      <c r="B377" s="240">
        <v>1373</v>
      </c>
      <c r="C377" s="241">
        <v>58648</v>
      </c>
      <c r="D377" s="239" t="s">
        <v>2710</v>
      </c>
      <c r="E377" s="239" t="s">
        <v>786</v>
      </c>
      <c r="F377" s="239" t="s">
        <v>787</v>
      </c>
      <c r="G377" s="239" t="s">
        <v>961</v>
      </c>
      <c r="H377" s="239" t="s">
        <v>869</v>
      </c>
      <c r="I377" s="239" t="s">
        <v>399</v>
      </c>
      <c r="J377" s="234">
        <v>35040</v>
      </c>
      <c r="K377" s="234">
        <v>13970</v>
      </c>
      <c r="L377" s="242">
        <v>9</v>
      </c>
      <c r="M377" s="308">
        <v>21070</v>
      </c>
      <c r="N377" s="234">
        <v>19173.7</v>
      </c>
      <c r="O377" s="234" t="s">
        <v>1555</v>
      </c>
      <c r="P377" s="236">
        <v>45900</v>
      </c>
      <c r="Q377" s="244">
        <v>0.43100694444444443</v>
      </c>
    </row>
    <row r="378" spans="1:17" ht="63.75">
      <c r="A378" s="239" t="s">
        <v>1449</v>
      </c>
      <c r="B378" s="240">
        <v>1374</v>
      </c>
      <c r="C378" s="241">
        <v>58644</v>
      </c>
      <c r="D378" s="239" t="s">
        <v>2710</v>
      </c>
      <c r="E378" s="239" t="s">
        <v>413</v>
      </c>
      <c r="F378" s="239" t="s">
        <v>414</v>
      </c>
      <c r="G378" s="239" t="s">
        <v>961</v>
      </c>
      <c r="H378" s="239" t="s">
        <v>869</v>
      </c>
      <c r="I378" s="239" t="s">
        <v>399</v>
      </c>
      <c r="J378" s="234">
        <v>40520</v>
      </c>
      <c r="K378" s="234">
        <v>14960</v>
      </c>
      <c r="L378" s="242">
        <v>7</v>
      </c>
      <c r="M378" s="308">
        <v>25560</v>
      </c>
      <c r="N378" s="234">
        <v>23770.799999999999</v>
      </c>
      <c r="O378" s="234" t="s">
        <v>1556</v>
      </c>
      <c r="P378" s="236">
        <v>45900</v>
      </c>
      <c r="Q378" s="244">
        <v>0.43428240740740742</v>
      </c>
    </row>
    <row r="379" spans="1:17" ht="63.75">
      <c r="A379" s="239" t="s">
        <v>1450</v>
      </c>
      <c r="B379" s="240">
        <v>1375</v>
      </c>
      <c r="C379" s="241">
        <v>58655</v>
      </c>
      <c r="D379" s="239" t="s">
        <v>2710</v>
      </c>
      <c r="E379" s="239" t="s">
        <v>462</v>
      </c>
      <c r="F379" s="239" t="s">
        <v>463</v>
      </c>
      <c r="G379" s="239" t="s">
        <v>961</v>
      </c>
      <c r="H379" s="239" t="s">
        <v>869</v>
      </c>
      <c r="I379" s="239" t="s">
        <v>399</v>
      </c>
      <c r="J379" s="234">
        <v>39010</v>
      </c>
      <c r="K379" s="234">
        <v>16270</v>
      </c>
      <c r="L379" s="242">
        <v>16</v>
      </c>
      <c r="M379" s="308">
        <v>22740</v>
      </c>
      <c r="N379" s="234">
        <v>19101.599999999999</v>
      </c>
      <c r="O379" s="234" t="s">
        <v>1557</v>
      </c>
      <c r="P379" s="236">
        <v>45900</v>
      </c>
      <c r="Q379" s="244">
        <v>0.49940972222222224</v>
      </c>
    </row>
    <row r="380" spans="1:17" ht="63.75">
      <c r="A380" s="239" t="s">
        <v>1451</v>
      </c>
      <c r="B380" s="240">
        <v>1378</v>
      </c>
      <c r="C380" s="241">
        <v>58664</v>
      </c>
      <c r="D380" s="239" t="s">
        <v>2710</v>
      </c>
      <c r="E380" s="239" t="s">
        <v>406</v>
      </c>
      <c r="F380" s="239" t="s">
        <v>407</v>
      </c>
      <c r="G380" s="239" t="s">
        <v>961</v>
      </c>
      <c r="H380" s="239" t="s">
        <v>869</v>
      </c>
      <c r="I380" s="239" t="s">
        <v>399</v>
      </c>
      <c r="J380" s="234">
        <v>38240</v>
      </c>
      <c r="K380" s="234">
        <v>15010</v>
      </c>
      <c r="L380" s="242">
        <v>9</v>
      </c>
      <c r="M380" s="308">
        <v>23230</v>
      </c>
      <c r="N380" s="234">
        <v>21139.3</v>
      </c>
      <c r="O380" s="234" t="s">
        <v>1558</v>
      </c>
      <c r="P380" s="236">
        <v>45900</v>
      </c>
      <c r="Q380" s="244">
        <v>0.50173611111111116</v>
      </c>
    </row>
    <row r="381" spans="1:17" ht="63.75">
      <c r="A381" s="239" t="s">
        <v>1452</v>
      </c>
      <c r="B381" s="240">
        <v>1379</v>
      </c>
      <c r="C381" s="241">
        <v>58666</v>
      </c>
      <c r="D381" s="239" t="s">
        <v>2710</v>
      </c>
      <c r="E381" s="239" t="s">
        <v>1422</v>
      </c>
      <c r="F381" s="239" t="s">
        <v>404</v>
      </c>
      <c r="G381" s="239" t="s">
        <v>961</v>
      </c>
      <c r="H381" s="239" t="s">
        <v>869</v>
      </c>
      <c r="I381" s="239" t="s">
        <v>399</v>
      </c>
      <c r="J381" s="234">
        <v>36400</v>
      </c>
      <c r="K381" s="234">
        <v>14440</v>
      </c>
      <c r="L381" s="242">
        <v>6</v>
      </c>
      <c r="M381" s="308">
        <v>21960</v>
      </c>
      <c r="N381" s="234">
        <v>20642.400000000001</v>
      </c>
      <c r="O381" s="234" t="s">
        <v>1559</v>
      </c>
      <c r="P381" s="236">
        <v>45900</v>
      </c>
      <c r="Q381" s="244">
        <v>0.53059027777777779</v>
      </c>
    </row>
    <row r="382" spans="1:17" ht="63.75">
      <c r="A382" s="239" t="s">
        <v>1453</v>
      </c>
      <c r="B382" s="240">
        <v>1383</v>
      </c>
      <c r="C382" s="241">
        <v>58668</v>
      </c>
      <c r="D382" s="239" t="s">
        <v>2710</v>
      </c>
      <c r="E382" s="239" t="s">
        <v>866</v>
      </c>
      <c r="F382" s="239" t="s">
        <v>867</v>
      </c>
      <c r="G382" s="239" t="s">
        <v>961</v>
      </c>
      <c r="H382" s="239" t="s">
        <v>869</v>
      </c>
      <c r="I382" s="239" t="s">
        <v>399</v>
      </c>
      <c r="J382" s="234">
        <v>36500</v>
      </c>
      <c r="K382" s="234">
        <v>14400</v>
      </c>
      <c r="L382" s="242">
        <v>7</v>
      </c>
      <c r="M382" s="308">
        <v>22100</v>
      </c>
      <c r="N382" s="234">
        <v>20553</v>
      </c>
      <c r="O382" s="234" t="s">
        <v>1560</v>
      </c>
      <c r="P382" s="236">
        <v>45900</v>
      </c>
      <c r="Q382" s="244">
        <v>0.56807870370370372</v>
      </c>
    </row>
    <row r="383" spans="1:17" ht="63.75">
      <c r="A383" s="239" t="s">
        <v>1454</v>
      </c>
      <c r="B383" s="240">
        <v>1384</v>
      </c>
      <c r="C383" s="241">
        <v>58670</v>
      </c>
      <c r="D383" s="239" t="s">
        <v>2710</v>
      </c>
      <c r="E383" s="239" t="s">
        <v>369</v>
      </c>
      <c r="F383" s="239" t="s">
        <v>370</v>
      </c>
      <c r="G383" s="239" t="s">
        <v>961</v>
      </c>
      <c r="H383" s="239" t="s">
        <v>869</v>
      </c>
      <c r="I383" s="239" t="s">
        <v>399</v>
      </c>
      <c r="J383" s="234">
        <v>37270</v>
      </c>
      <c r="K383" s="234">
        <v>15010</v>
      </c>
      <c r="L383" s="242">
        <v>11</v>
      </c>
      <c r="M383" s="308">
        <v>22260</v>
      </c>
      <c r="N383" s="234">
        <v>19811.400000000001</v>
      </c>
      <c r="O383" s="234" t="s">
        <v>1561</v>
      </c>
      <c r="P383" s="236">
        <v>45900</v>
      </c>
      <c r="Q383" s="244">
        <v>0.67008101851851853</v>
      </c>
    </row>
    <row r="384" spans="1:17" ht="63.75">
      <c r="A384" s="239" t="s">
        <v>1455</v>
      </c>
      <c r="B384" s="240">
        <v>1385</v>
      </c>
      <c r="C384" s="241">
        <v>58673</v>
      </c>
      <c r="D384" s="239" t="s">
        <v>2710</v>
      </c>
      <c r="E384" s="239" t="s">
        <v>386</v>
      </c>
      <c r="F384" s="239" t="s">
        <v>387</v>
      </c>
      <c r="G384" s="239" t="s">
        <v>961</v>
      </c>
      <c r="H384" s="239" t="s">
        <v>869</v>
      </c>
      <c r="I384" s="239" t="s">
        <v>399</v>
      </c>
      <c r="J384" s="234">
        <v>37610</v>
      </c>
      <c r="K384" s="234">
        <v>15390</v>
      </c>
      <c r="L384" s="242">
        <v>13</v>
      </c>
      <c r="M384" s="308">
        <v>22220</v>
      </c>
      <c r="N384" s="234">
        <v>19331.400000000001</v>
      </c>
      <c r="O384" s="234" t="s">
        <v>1562</v>
      </c>
      <c r="P384" s="236">
        <v>45900</v>
      </c>
      <c r="Q384" s="244">
        <v>0.67355324074074074</v>
      </c>
    </row>
    <row r="385" spans="1:17" ht="63.75">
      <c r="A385" s="239" t="s">
        <v>1456</v>
      </c>
      <c r="B385" s="240">
        <v>1386</v>
      </c>
      <c r="C385" s="241">
        <v>58679</v>
      </c>
      <c r="D385" s="239" t="s">
        <v>2710</v>
      </c>
      <c r="E385" s="239" t="s">
        <v>374</v>
      </c>
      <c r="F385" s="239" t="s">
        <v>375</v>
      </c>
      <c r="G385" s="239" t="s">
        <v>961</v>
      </c>
      <c r="H385" s="239" t="s">
        <v>869</v>
      </c>
      <c r="I385" s="239" t="s">
        <v>399</v>
      </c>
      <c r="J385" s="234">
        <v>37190</v>
      </c>
      <c r="K385" s="234">
        <v>15550</v>
      </c>
      <c r="L385" s="242">
        <v>13</v>
      </c>
      <c r="M385" s="308">
        <v>21640</v>
      </c>
      <c r="N385" s="234">
        <v>18826.8</v>
      </c>
      <c r="O385" s="234" t="s">
        <v>1563</v>
      </c>
      <c r="P385" s="236">
        <v>45900</v>
      </c>
      <c r="Q385" s="244">
        <v>0.74655092592592598</v>
      </c>
    </row>
    <row r="386" spans="1:17" ht="63.75">
      <c r="A386" s="239" t="s">
        <v>1457</v>
      </c>
      <c r="B386" s="240">
        <v>1387</v>
      </c>
      <c r="C386" s="241">
        <v>58681</v>
      </c>
      <c r="D386" s="239" t="s">
        <v>2710</v>
      </c>
      <c r="E386" s="239" t="s">
        <v>472</v>
      </c>
      <c r="F386" s="239" t="s">
        <v>473</v>
      </c>
      <c r="G386" s="239" t="s">
        <v>961</v>
      </c>
      <c r="H386" s="239" t="s">
        <v>869</v>
      </c>
      <c r="I386" s="239" t="s">
        <v>399</v>
      </c>
      <c r="J386" s="234">
        <v>39270</v>
      </c>
      <c r="K386" s="234">
        <v>16580</v>
      </c>
      <c r="L386" s="242">
        <v>18</v>
      </c>
      <c r="M386" s="308">
        <v>22690</v>
      </c>
      <c r="N386" s="234">
        <v>18605.8</v>
      </c>
      <c r="O386" s="234" t="s">
        <v>1564</v>
      </c>
      <c r="P386" s="236">
        <v>45900</v>
      </c>
      <c r="Q386" s="244">
        <v>0.74831018518518522</v>
      </c>
    </row>
    <row r="387" spans="1:17" ht="63.75">
      <c r="A387" s="239" t="s">
        <v>1458</v>
      </c>
      <c r="B387" s="240">
        <v>1388</v>
      </c>
      <c r="C387" s="241">
        <v>58677</v>
      </c>
      <c r="D387" s="239" t="s">
        <v>2710</v>
      </c>
      <c r="E387" s="239" t="s">
        <v>858</v>
      </c>
      <c r="F387" s="239" t="s">
        <v>859</v>
      </c>
      <c r="G387" s="239" t="s">
        <v>961</v>
      </c>
      <c r="H387" s="239" t="s">
        <v>869</v>
      </c>
      <c r="I387" s="239" t="s">
        <v>399</v>
      </c>
      <c r="J387" s="234">
        <v>37730</v>
      </c>
      <c r="K387" s="234">
        <v>14630</v>
      </c>
      <c r="L387" s="242">
        <v>15</v>
      </c>
      <c r="M387" s="308">
        <v>23100</v>
      </c>
      <c r="N387" s="234">
        <v>19635</v>
      </c>
      <c r="O387" s="234" t="s">
        <v>1565</v>
      </c>
      <c r="P387" s="236">
        <v>45900</v>
      </c>
      <c r="Q387" s="244">
        <v>0.82546296296296295</v>
      </c>
    </row>
    <row r="388" spans="1:17" ht="63.75">
      <c r="A388" s="239" t="s">
        <v>1459</v>
      </c>
      <c r="B388" s="240">
        <v>1389</v>
      </c>
      <c r="C388" s="241">
        <v>58683</v>
      </c>
      <c r="D388" s="239" t="s">
        <v>2710</v>
      </c>
      <c r="E388" s="239" t="s">
        <v>475</v>
      </c>
      <c r="F388" s="239" t="s">
        <v>476</v>
      </c>
      <c r="G388" s="239" t="s">
        <v>961</v>
      </c>
      <c r="H388" s="239" t="s">
        <v>869</v>
      </c>
      <c r="I388" s="239" t="s">
        <v>399</v>
      </c>
      <c r="J388" s="234">
        <v>38810</v>
      </c>
      <c r="K388" s="234">
        <v>16620</v>
      </c>
      <c r="L388" s="242">
        <v>23</v>
      </c>
      <c r="M388" s="308">
        <v>22190</v>
      </c>
      <c r="N388" s="234">
        <v>17086.3</v>
      </c>
      <c r="O388" s="234" t="s">
        <v>1566</v>
      </c>
      <c r="P388" s="236">
        <v>45900</v>
      </c>
      <c r="Q388" s="244">
        <v>0.8309375</v>
      </c>
    </row>
    <row r="389" spans="1:17" ht="63.75">
      <c r="A389" s="239" t="s">
        <v>1460</v>
      </c>
      <c r="B389" s="240">
        <v>1391</v>
      </c>
      <c r="C389" s="241">
        <v>58685</v>
      </c>
      <c r="D389" s="239" t="s">
        <v>2710</v>
      </c>
      <c r="E389" s="239" t="s">
        <v>442</v>
      </c>
      <c r="F389" s="239" t="s">
        <v>443</v>
      </c>
      <c r="G389" s="239" t="s">
        <v>961</v>
      </c>
      <c r="H389" s="239" t="s">
        <v>869</v>
      </c>
      <c r="I389" s="239" t="s">
        <v>399</v>
      </c>
      <c r="J389" s="234">
        <v>34720</v>
      </c>
      <c r="K389" s="234">
        <v>14450</v>
      </c>
      <c r="L389" s="242">
        <v>7</v>
      </c>
      <c r="M389" s="308">
        <v>20270</v>
      </c>
      <c r="N389" s="234">
        <v>18851.099999999999</v>
      </c>
      <c r="O389" s="234" t="s">
        <v>1567</v>
      </c>
      <c r="P389" s="236">
        <v>45900</v>
      </c>
      <c r="Q389" s="244">
        <v>0.92033564814814817</v>
      </c>
    </row>
    <row r="390" spans="1:17" ht="63.75">
      <c r="A390" s="239" t="s">
        <v>1461</v>
      </c>
      <c r="B390" s="240">
        <v>1392</v>
      </c>
      <c r="C390" s="241">
        <v>58687</v>
      </c>
      <c r="D390" s="239" t="s">
        <v>2710</v>
      </c>
      <c r="E390" s="239" t="s">
        <v>439</v>
      </c>
      <c r="F390" s="239" t="s">
        <v>440</v>
      </c>
      <c r="G390" s="239" t="s">
        <v>961</v>
      </c>
      <c r="H390" s="239" t="s">
        <v>869</v>
      </c>
      <c r="I390" s="239" t="s">
        <v>399</v>
      </c>
      <c r="J390" s="234">
        <v>39190</v>
      </c>
      <c r="K390" s="234">
        <v>14920</v>
      </c>
      <c r="L390" s="242">
        <v>7</v>
      </c>
      <c r="M390" s="308">
        <v>24270</v>
      </c>
      <c r="N390" s="234">
        <v>22571.1</v>
      </c>
      <c r="O390" s="234" t="s">
        <v>1568</v>
      </c>
      <c r="P390" s="236">
        <v>45900</v>
      </c>
      <c r="Q390" s="244">
        <v>0.93175925925925929</v>
      </c>
    </row>
    <row r="391" spans="1:17" ht="63.75">
      <c r="A391" s="239" t="s">
        <v>1463</v>
      </c>
      <c r="B391" s="240">
        <v>1393</v>
      </c>
      <c r="C391" s="241">
        <v>58689</v>
      </c>
      <c r="D391" s="239" t="s">
        <v>2710</v>
      </c>
      <c r="E391" s="239" t="s">
        <v>432</v>
      </c>
      <c r="F391" s="239" t="s">
        <v>433</v>
      </c>
      <c r="G391" s="239" t="s">
        <v>961</v>
      </c>
      <c r="H391" s="239" t="s">
        <v>869</v>
      </c>
      <c r="I391" s="239" t="s">
        <v>399</v>
      </c>
      <c r="J391" s="234">
        <v>40230</v>
      </c>
      <c r="K391" s="234">
        <v>15600</v>
      </c>
      <c r="L391" s="242">
        <v>10</v>
      </c>
      <c r="M391" s="308">
        <v>24630</v>
      </c>
      <c r="N391" s="234">
        <v>22167</v>
      </c>
      <c r="O391" s="234" t="s">
        <v>1570</v>
      </c>
      <c r="P391" s="236">
        <v>45900</v>
      </c>
      <c r="Q391" s="244">
        <v>0.96009259259259261</v>
      </c>
    </row>
    <row r="392" spans="1:17" ht="63.75">
      <c r="A392" s="239" t="s">
        <v>1462</v>
      </c>
      <c r="B392" s="240">
        <v>1394</v>
      </c>
      <c r="C392" s="241">
        <v>58691</v>
      </c>
      <c r="D392" s="239" t="s">
        <v>2710</v>
      </c>
      <c r="E392" s="239" t="s">
        <v>372</v>
      </c>
      <c r="F392" s="239" t="s">
        <v>373</v>
      </c>
      <c r="G392" s="239" t="s">
        <v>961</v>
      </c>
      <c r="H392" s="239" t="s">
        <v>869</v>
      </c>
      <c r="I392" s="239" t="s">
        <v>399</v>
      </c>
      <c r="J392" s="234">
        <v>37980</v>
      </c>
      <c r="K392" s="234">
        <v>14880</v>
      </c>
      <c r="L392" s="242">
        <v>14</v>
      </c>
      <c r="M392" s="308">
        <v>23100</v>
      </c>
      <c r="N392" s="234">
        <v>19866</v>
      </c>
      <c r="O392" s="234" t="s">
        <v>1569</v>
      </c>
      <c r="P392" s="236">
        <v>45900</v>
      </c>
      <c r="Q392" s="244">
        <v>0.94831018518518517</v>
      </c>
    </row>
    <row r="393" spans="1:17" ht="63.75">
      <c r="A393" s="239" t="s">
        <v>1464</v>
      </c>
      <c r="B393" s="240">
        <v>1395</v>
      </c>
      <c r="C393" s="241">
        <v>58693</v>
      </c>
      <c r="D393" s="239" t="s">
        <v>2710</v>
      </c>
      <c r="E393" s="239" t="s">
        <v>400</v>
      </c>
      <c r="F393" s="239" t="s">
        <v>401</v>
      </c>
      <c r="G393" s="239" t="s">
        <v>961</v>
      </c>
      <c r="H393" s="239" t="s">
        <v>48</v>
      </c>
      <c r="I393" s="239" t="s">
        <v>399</v>
      </c>
      <c r="J393" s="234">
        <v>37800</v>
      </c>
      <c r="K393" s="234">
        <v>14680</v>
      </c>
      <c r="L393" s="242">
        <v>10</v>
      </c>
      <c r="M393" s="308">
        <v>23120</v>
      </c>
      <c r="N393" s="234">
        <v>20808</v>
      </c>
      <c r="O393" s="234" t="s">
        <v>1571</v>
      </c>
      <c r="P393" s="236">
        <v>45900</v>
      </c>
      <c r="Q393" s="244">
        <v>0.98761574074074077</v>
      </c>
    </row>
    <row r="394" spans="1:17" ht="63.75">
      <c r="A394" s="239" t="s">
        <v>1465</v>
      </c>
      <c r="B394" s="240">
        <v>1397</v>
      </c>
      <c r="C394" s="241">
        <v>58697</v>
      </c>
      <c r="D394" s="239" t="s">
        <v>2710</v>
      </c>
      <c r="E394" s="239" t="s">
        <v>791</v>
      </c>
      <c r="F394" s="239" t="s">
        <v>792</v>
      </c>
      <c r="G394" s="239" t="s">
        <v>961</v>
      </c>
      <c r="H394" s="239" t="s">
        <v>48</v>
      </c>
      <c r="I394" s="239" t="s">
        <v>399</v>
      </c>
      <c r="J394" s="234">
        <v>39790</v>
      </c>
      <c r="K394" s="234">
        <v>14970</v>
      </c>
      <c r="L394" s="242">
        <v>15</v>
      </c>
      <c r="M394" s="308">
        <v>24820</v>
      </c>
      <c r="N394" s="234">
        <v>21097</v>
      </c>
      <c r="O394" s="234" t="s">
        <v>1572</v>
      </c>
      <c r="P394" s="236">
        <v>45901</v>
      </c>
      <c r="Q394" s="244">
        <v>7.9375000000000001E-2</v>
      </c>
    </row>
    <row r="395" spans="1:17" ht="63.75">
      <c r="A395" s="239" t="s">
        <v>1466</v>
      </c>
      <c r="B395" s="240">
        <v>1398</v>
      </c>
      <c r="C395" s="241">
        <v>58695</v>
      </c>
      <c r="D395" s="239" t="s">
        <v>2710</v>
      </c>
      <c r="E395" s="239" t="s">
        <v>447</v>
      </c>
      <c r="F395" s="239" t="s">
        <v>448</v>
      </c>
      <c r="G395" s="239" t="s">
        <v>961</v>
      </c>
      <c r="H395" s="239" t="s">
        <v>48</v>
      </c>
      <c r="I395" s="239" t="s">
        <v>399</v>
      </c>
      <c r="J395" s="234">
        <v>46220</v>
      </c>
      <c r="K395" s="234">
        <v>19330</v>
      </c>
      <c r="L395" s="242">
        <v>10</v>
      </c>
      <c r="M395" s="308">
        <v>26890</v>
      </c>
      <c r="N395" s="234">
        <v>24201</v>
      </c>
      <c r="O395" s="234" t="s">
        <v>1573</v>
      </c>
      <c r="P395" s="236">
        <v>45901</v>
      </c>
      <c r="Q395" s="244">
        <v>0.14532407407407408</v>
      </c>
    </row>
    <row r="396" spans="1:17" ht="63.75">
      <c r="A396" s="239" t="s">
        <v>1467</v>
      </c>
      <c r="B396" s="240">
        <v>1399</v>
      </c>
      <c r="C396" s="241">
        <v>58699</v>
      </c>
      <c r="D396" s="239" t="s">
        <v>2710</v>
      </c>
      <c r="E396" s="239" t="s">
        <v>841</v>
      </c>
      <c r="F396" s="239" t="s">
        <v>845</v>
      </c>
      <c r="G396" s="239" t="s">
        <v>961</v>
      </c>
      <c r="H396" s="239" t="s">
        <v>48</v>
      </c>
      <c r="I396" s="239" t="s">
        <v>399</v>
      </c>
      <c r="J396" s="234">
        <v>41690</v>
      </c>
      <c r="K396" s="234">
        <v>15650</v>
      </c>
      <c r="L396" s="242">
        <v>8</v>
      </c>
      <c r="M396" s="308">
        <v>26040</v>
      </c>
      <c r="N396" s="234">
        <v>23956.799999999999</v>
      </c>
      <c r="O396" s="234" t="s">
        <v>1574</v>
      </c>
      <c r="P396" s="236">
        <v>45901</v>
      </c>
      <c r="Q396" s="244">
        <v>0.17833333333333334</v>
      </c>
    </row>
    <row r="397" spans="1:17" ht="63.75">
      <c r="A397" s="239" t="s">
        <v>1468</v>
      </c>
      <c r="B397" s="240">
        <v>1400</v>
      </c>
      <c r="C397" s="241">
        <v>58701</v>
      </c>
      <c r="D397" s="239" t="s">
        <v>2710</v>
      </c>
      <c r="E397" s="239" t="s">
        <v>380</v>
      </c>
      <c r="F397" s="239" t="s">
        <v>381</v>
      </c>
      <c r="G397" s="239" t="s">
        <v>961</v>
      </c>
      <c r="H397" s="239" t="s">
        <v>48</v>
      </c>
      <c r="I397" s="239" t="s">
        <v>399</v>
      </c>
      <c r="J397" s="234">
        <v>38130</v>
      </c>
      <c r="K397" s="234">
        <v>15050</v>
      </c>
      <c r="L397" s="242">
        <v>10</v>
      </c>
      <c r="M397" s="308">
        <v>23080</v>
      </c>
      <c r="N397" s="234">
        <v>20772</v>
      </c>
      <c r="O397" s="234" t="s">
        <v>1575</v>
      </c>
      <c r="P397" s="236">
        <v>45901</v>
      </c>
      <c r="Q397" s="244">
        <v>0.20701388888888889</v>
      </c>
    </row>
    <row r="398" spans="1:17" ht="63.75">
      <c r="A398" s="239" t="s">
        <v>1470</v>
      </c>
      <c r="B398" s="240">
        <v>1401</v>
      </c>
      <c r="C398" s="241">
        <v>58703</v>
      </c>
      <c r="D398" s="239" t="s">
        <v>2710</v>
      </c>
      <c r="E398" s="239" t="s">
        <v>783</v>
      </c>
      <c r="F398" s="239" t="s">
        <v>784</v>
      </c>
      <c r="G398" s="239" t="s">
        <v>961</v>
      </c>
      <c r="H398" s="239" t="s">
        <v>48</v>
      </c>
      <c r="I398" s="239" t="s">
        <v>399</v>
      </c>
      <c r="J398" s="234">
        <v>39010</v>
      </c>
      <c r="K398" s="234">
        <v>14620</v>
      </c>
      <c r="L398" s="242">
        <v>9</v>
      </c>
      <c r="M398" s="308">
        <v>24390</v>
      </c>
      <c r="N398" s="234">
        <v>22194.9</v>
      </c>
      <c r="O398" s="234" t="s">
        <v>1577</v>
      </c>
      <c r="P398" s="236">
        <v>45901</v>
      </c>
      <c r="Q398" s="244">
        <v>0.24704861111111112</v>
      </c>
    </row>
    <row r="399" spans="1:17" ht="63.75">
      <c r="A399" s="239" t="s">
        <v>1469</v>
      </c>
      <c r="B399" s="240">
        <v>1402</v>
      </c>
      <c r="C399" s="241">
        <v>58707</v>
      </c>
      <c r="D399" s="239" t="s">
        <v>2710</v>
      </c>
      <c r="E399" s="239" t="s">
        <v>1403</v>
      </c>
      <c r="F399" s="239" t="s">
        <v>1404</v>
      </c>
      <c r="G399" s="239" t="s">
        <v>961</v>
      </c>
      <c r="H399" s="239" t="s">
        <v>48</v>
      </c>
      <c r="I399" s="239" t="s">
        <v>399</v>
      </c>
      <c r="J399" s="234">
        <v>15790</v>
      </c>
      <c r="K399" s="234">
        <v>10120</v>
      </c>
      <c r="L399" s="242">
        <v>7</v>
      </c>
      <c r="M399" s="308">
        <v>5670</v>
      </c>
      <c r="N399" s="234">
        <v>5273.1</v>
      </c>
      <c r="O399" s="234" t="s">
        <v>1576</v>
      </c>
      <c r="P399" s="236">
        <v>45901</v>
      </c>
      <c r="Q399" s="244">
        <v>0.24533564814814815</v>
      </c>
    </row>
    <row r="400" spans="1:17" ht="63.75">
      <c r="A400" s="239" t="s">
        <v>1471</v>
      </c>
      <c r="B400" s="240">
        <v>1403</v>
      </c>
      <c r="C400" s="241">
        <v>58705</v>
      </c>
      <c r="D400" s="239" t="s">
        <v>2710</v>
      </c>
      <c r="E400" s="239" t="s">
        <v>794</v>
      </c>
      <c r="F400" s="239" t="s">
        <v>795</v>
      </c>
      <c r="G400" s="239" t="s">
        <v>961</v>
      </c>
      <c r="H400" s="239" t="s">
        <v>48</v>
      </c>
      <c r="I400" s="239" t="s">
        <v>399</v>
      </c>
      <c r="J400" s="234">
        <v>41010</v>
      </c>
      <c r="K400" s="234">
        <v>16100</v>
      </c>
      <c r="L400" s="242">
        <v>13</v>
      </c>
      <c r="M400" s="308">
        <v>24910</v>
      </c>
      <c r="N400" s="234">
        <v>21671.7</v>
      </c>
      <c r="O400" s="234" t="s">
        <v>1578</v>
      </c>
      <c r="P400" s="236">
        <v>45901</v>
      </c>
      <c r="Q400" s="244">
        <v>0.27487268518518521</v>
      </c>
    </row>
    <row r="401" spans="1:17" ht="51">
      <c r="A401" s="239" t="s">
        <v>1590</v>
      </c>
      <c r="B401" s="240">
        <v>1412</v>
      </c>
      <c r="C401" s="241">
        <v>77183</v>
      </c>
      <c r="D401" s="239" t="s">
        <v>2710</v>
      </c>
      <c r="E401" s="239" t="s">
        <v>380</v>
      </c>
      <c r="F401" s="239" t="s">
        <v>381</v>
      </c>
      <c r="G401" s="239" t="s">
        <v>961</v>
      </c>
      <c r="H401" s="239" t="s">
        <v>51</v>
      </c>
      <c r="I401" s="239" t="s">
        <v>1580</v>
      </c>
      <c r="J401" s="234">
        <v>37800</v>
      </c>
      <c r="K401" s="234">
        <v>15030</v>
      </c>
      <c r="L401" s="242">
        <v>23</v>
      </c>
      <c r="M401" s="308">
        <v>22770</v>
      </c>
      <c r="N401" s="308">
        <v>17532.900000000001</v>
      </c>
      <c r="O401" s="234" t="s">
        <v>1665</v>
      </c>
      <c r="P401" s="236">
        <v>45903</v>
      </c>
      <c r="Q401" s="244">
        <v>0.59160879629629626</v>
      </c>
    </row>
    <row r="402" spans="1:17" ht="51">
      <c r="A402" s="239" t="s">
        <v>1591</v>
      </c>
      <c r="B402" s="240">
        <v>1414</v>
      </c>
      <c r="C402" s="241">
        <v>77185</v>
      </c>
      <c r="D402" s="239" t="s">
        <v>2710</v>
      </c>
      <c r="E402" s="239" t="s">
        <v>377</v>
      </c>
      <c r="F402" s="239" t="s">
        <v>378</v>
      </c>
      <c r="G402" s="239" t="s">
        <v>961</v>
      </c>
      <c r="H402" s="239" t="s">
        <v>51</v>
      </c>
      <c r="I402" s="239" t="s">
        <v>1580</v>
      </c>
      <c r="J402" s="234">
        <v>41570</v>
      </c>
      <c r="K402" s="234">
        <v>15090</v>
      </c>
      <c r="L402" s="242">
        <v>15</v>
      </c>
      <c r="M402" s="308">
        <v>26480</v>
      </c>
      <c r="N402" s="308">
        <v>22508</v>
      </c>
      <c r="O402" s="234" t="s">
        <v>1666</v>
      </c>
      <c r="P402" s="236">
        <v>45903</v>
      </c>
      <c r="Q402" s="244">
        <v>0.65924768518518517</v>
      </c>
    </row>
    <row r="403" spans="1:17" ht="51">
      <c r="A403" s="239" t="s">
        <v>1592</v>
      </c>
      <c r="B403" s="240">
        <v>1416</v>
      </c>
      <c r="C403" s="241">
        <v>77187</v>
      </c>
      <c r="D403" s="239" t="s">
        <v>2710</v>
      </c>
      <c r="E403" s="239" t="s">
        <v>388</v>
      </c>
      <c r="F403" s="239" t="s">
        <v>389</v>
      </c>
      <c r="G403" s="239" t="s">
        <v>961</v>
      </c>
      <c r="H403" s="239" t="s">
        <v>51</v>
      </c>
      <c r="I403" s="239" t="s">
        <v>1580</v>
      </c>
      <c r="J403" s="234">
        <v>45070</v>
      </c>
      <c r="K403" s="234">
        <v>20980</v>
      </c>
      <c r="L403" s="242">
        <v>16</v>
      </c>
      <c r="M403" s="308">
        <v>24090</v>
      </c>
      <c r="N403" s="308">
        <v>20235.599999999999</v>
      </c>
      <c r="O403" s="234" t="s">
        <v>1667</v>
      </c>
      <c r="P403" s="236">
        <v>45903</v>
      </c>
      <c r="Q403" s="244">
        <v>0.75649305555555557</v>
      </c>
    </row>
    <row r="404" spans="1:17" ht="51">
      <c r="A404" s="239" t="s">
        <v>1593</v>
      </c>
      <c r="B404" s="240">
        <v>1417</v>
      </c>
      <c r="C404" s="241">
        <v>77191</v>
      </c>
      <c r="D404" s="239" t="s">
        <v>2710</v>
      </c>
      <c r="E404" s="239" t="s">
        <v>392</v>
      </c>
      <c r="F404" s="239" t="s">
        <v>393</v>
      </c>
      <c r="G404" s="239" t="s">
        <v>961</v>
      </c>
      <c r="H404" s="239" t="s">
        <v>51</v>
      </c>
      <c r="I404" s="239" t="s">
        <v>1580</v>
      </c>
      <c r="J404" s="234">
        <v>46470</v>
      </c>
      <c r="K404" s="234">
        <v>24050</v>
      </c>
      <c r="L404" s="242">
        <v>21</v>
      </c>
      <c r="M404" s="308">
        <v>22420</v>
      </c>
      <c r="N404" s="308">
        <v>17711.8</v>
      </c>
      <c r="O404" s="234" t="s">
        <v>1668</v>
      </c>
      <c r="P404" s="236">
        <v>45903</v>
      </c>
      <c r="Q404" s="244">
        <v>0.8118171296296296</v>
      </c>
    </row>
    <row r="405" spans="1:17" ht="51">
      <c r="A405" s="239" t="s">
        <v>1594</v>
      </c>
      <c r="B405" s="240">
        <v>1418</v>
      </c>
      <c r="C405" s="241">
        <v>77189</v>
      </c>
      <c r="D405" s="239" t="s">
        <v>2710</v>
      </c>
      <c r="E405" s="239" t="s">
        <v>390</v>
      </c>
      <c r="F405" s="239" t="s">
        <v>391</v>
      </c>
      <c r="G405" s="239" t="s">
        <v>961</v>
      </c>
      <c r="H405" s="239" t="s">
        <v>51</v>
      </c>
      <c r="I405" s="239" t="s">
        <v>1580</v>
      </c>
      <c r="J405" s="234">
        <v>38410</v>
      </c>
      <c r="K405" s="234">
        <v>14850</v>
      </c>
      <c r="L405" s="242">
        <v>14</v>
      </c>
      <c r="M405" s="308">
        <v>23560</v>
      </c>
      <c r="N405" s="308">
        <v>20261.599999999999</v>
      </c>
      <c r="O405" s="234" t="s">
        <v>1669</v>
      </c>
      <c r="P405" s="236">
        <v>45903</v>
      </c>
      <c r="Q405" s="244">
        <v>0.81944444444444442</v>
      </c>
    </row>
    <row r="406" spans="1:17" ht="51">
      <c r="A406" s="239" t="s">
        <v>1595</v>
      </c>
      <c r="B406" s="240">
        <v>1420</v>
      </c>
      <c r="C406" s="241">
        <v>77193</v>
      </c>
      <c r="D406" s="239" t="s">
        <v>2710</v>
      </c>
      <c r="E406" s="239" t="s">
        <v>794</v>
      </c>
      <c r="F406" s="239" t="s">
        <v>795</v>
      </c>
      <c r="G406" s="239" t="s">
        <v>961</v>
      </c>
      <c r="H406" s="239" t="s">
        <v>51</v>
      </c>
      <c r="I406" s="239" t="s">
        <v>1580</v>
      </c>
      <c r="J406" s="234">
        <v>42640</v>
      </c>
      <c r="K406" s="234">
        <v>16100</v>
      </c>
      <c r="L406" s="242">
        <v>11</v>
      </c>
      <c r="M406" s="308">
        <v>26540</v>
      </c>
      <c r="N406" s="308">
        <v>23620.6</v>
      </c>
      <c r="O406" s="234" t="s">
        <v>1670</v>
      </c>
      <c r="P406" s="236">
        <v>45903</v>
      </c>
      <c r="Q406" s="244">
        <v>0.87710648148148151</v>
      </c>
    </row>
    <row r="407" spans="1:17" ht="51">
      <c r="A407" s="239" t="s">
        <v>1596</v>
      </c>
      <c r="B407" s="240">
        <v>1421</v>
      </c>
      <c r="C407" s="241">
        <v>77195</v>
      </c>
      <c r="D407" s="239" t="s">
        <v>2710</v>
      </c>
      <c r="E407" s="239" t="s">
        <v>786</v>
      </c>
      <c r="F407" s="239" t="s">
        <v>787</v>
      </c>
      <c r="G407" s="239" t="s">
        <v>961</v>
      </c>
      <c r="H407" s="239" t="s">
        <v>51</v>
      </c>
      <c r="I407" s="239" t="s">
        <v>1580</v>
      </c>
      <c r="J407" s="234">
        <v>36260</v>
      </c>
      <c r="K407" s="234">
        <v>13970</v>
      </c>
      <c r="L407" s="242">
        <v>10</v>
      </c>
      <c r="M407" s="308">
        <v>22290</v>
      </c>
      <c r="N407" s="234">
        <v>20061</v>
      </c>
      <c r="O407" s="234" t="s">
        <v>1671</v>
      </c>
      <c r="P407" s="236">
        <v>45903</v>
      </c>
      <c r="Q407" s="244">
        <v>0.89209490740740738</v>
      </c>
    </row>
    <row r="408" spans="1:17" ht="51">
      <c r="A408" s="239" t="s">
        <v>1597</v>
      </c>
      <c r="B408" s="240">
        <v>1422</v>
      </c>
      <c r="C408" s="241">
        <v>77199</v>
      </c>
      <c r="D408" s="239" t="s">
        <v>2710</v>
      </c>
      <c r="E408" s="239" t="s">
        <v>783</v>
      </c>
      <c r="F408" s="239" t="s">
        <v>784</v>
      </c>
      <c r="G408" s="239" t="s">
        <v>961</v>
      </c>
      <c r="H408" s="239" t="s">
        <v>51</v>
      </c>
      <c r="I408" s="239" t="s">
        <v>1580</v>
      </c>
      <c r="J408" s="234">
        <v>39940</v>
      </c>
      <c r="K408" s="234">
        <v>14610</v>
      </c>
      <c r="L408" s="242">
        <v>17</v>
      </c>
      <c r="M408" s="308">
        <v>25330</v>
      </c>
      <c r="N408" s="234">
        <v>21023.9</v>
      </c>
      <c r="O408" s="234" t="s">
        <v>1672</v>
      </c>
      <c r="P408" s="236">
        <v>45903</v>
      </c>
      <c r="Q408" s="244">
        <v>0.9984143518518519</v>
      </c>
    </row>
    <row r="409" spans="1:17" ht="51">
      <c r="A409" s="239" t="s">
        <v>1598</v>
      </c>
      <c r="B409" s="240">
        <v>1423</v>
      </c>
      <c r="C409" s="241">
        <v>77197</v>
      </c>
      <c r="D409" s="239" t="s">
        <v>2710</v>
      </c>
      <c r="E409" s="239" t="s">
        <v>841</v>
      </c>
      <c r="F409" s="239" t="s">
        <v>845</v>
      </c>
      <c r="G409" s="239" t="s">
        <v>961</v>
      </c>
      <c r="H409" s="239" t="s">
        <v>51</v>
      </c>
      <c r="I409" s="239" t="s">
        <v>1580</v>
      </c>
      <c r="J409" s="234">
        <v>42970</v>
      </c>
      <c r="K409" s="234">
        <v>15890</v>
      </c>
      <c r="L409" s="242">
        <v>17</v>
      </c>
      <c r="M409" s="308">
        <v>27080</v>
      </c>
      <c r="N409" s="234">
        <v>22476.400000000001</v>
      </c>
      <c r="O409" s="234" t="s">
        <v>1673</v>
      </c>
      <c r="P409" s="236">
        <v>45904</v>
      </c>
      <c r="Q409" s="244">
        <v>3.6458333333333334E-3</v>
      </c>
    </row>
    <row r="410" spans="1:17" ht="51">
      <c r="A410" s="239" t="s">
        <v>1599</v>
      </c>
      <c r="B410" s="240">
        <v>1424</v>
      </c>
      <c r="C410" s="241">
        <v>77201</v>
      </c>
      <c r="D410" s="239" t="s">
        <v>2710</v>
      </c>
      <c r="E410" s="239" t="s">
        <v>791</v>
      </c>
      <c r="F410" s="239" t="s">
        <v>792</v>
      </c>
      <c r="G410" s="239" t="s">
        <v>961</v>
      </c>
      <c r="H410" s="239" t="s">
        <v>51</v>
      </c>
      <c r="I410" s="239" t="s">
        <v>1580</v>
      </c>
      <c r="J410" s="234">
        <v>40780</v>
      </c>
      <c r="K410" s="234">
        <v>14930</v>
      </c>
      <c r="L410" s="242">
        <v>16</v>
      </c>
      <c r="M410" s="308">
        <v>25850</v>
      </c>
      <c r="N410" s="234">
        <v>21714</v>
      </c>
      <c r="O410" s="234" t="s">
        <v>1674</v>
      </c>
      <c r="P410" s="236">
        <v>45904</v>
      </c>
      <c r="Q410" s="244">
        <v>4.7245370370370368E-2</v>
      </c>
    </row>
    <row r="411" spans="1:17" ht="51">
      <c r="A411" s="239" t="s">
        <v>1600</v>
      </c>
      <c r="B411" s="240">
        <v>1425</v>
      </c>
      <c r="C411" s="241">
        <v>77235</v>
      </c>
      <c r="D411" s="239" t="s">
        <v>2710</v>
      </c>
      <c r="E411" s="239" t="s">
        <v>372</v>
      </c>
      <c r="F411" s="239" t="s">
        <v>373</v>
      </c>
      <c r="G411" s="239" t="s">
        <v>961</v>
      </c>
      <c r="H411" s="239" t="s">
        <v>51</v>
      </c>
      <c r="I411" s="239" t="s">
        <v>1580</v>
      </c>
      <c r="J411" s="234">
        <v>39210</v>
      </c>
      <c r="K411" s="234">
        <v>14870</v>
      </c>
      <c r="L411" s="242">
        <v>15</v>
      </c>
      <c r="M411" s="308">
        <v>24340</v>
      </c>
      <c r="N411" s="234">
        <v>20689</v>
      </c>
      <c r="O411" s="234" t="s">
        <v>1675</v>
      </c>
      <c r="P411" s="236">
        <v>45904</v>
      </c>
      <c r="Q411" s="244">
        <v>8.4282407407407403E-2</v>
      </c>
    </row>
    <row r="412" spans="1:17" ht="51">
      <c r="A412" s="239" t="s">
        <v>1601</v>
      </c>
      <c r="B412" s="240">
        <v>1426</v>
      </c>
      <c r="C412" s="241">
        <v>77237</v>
      </c>
      <c r="D412" s="239" t="s">
        <v>2710</v>
      </c>
      <c r="E412" s="239" t="s">
        <v>386</v>
      </c>
      <c r="F412" s="239" t="s">
        <v>387</v>
      </c>
      <c r="G412" s="239" t="s">
        <v>961</v>
      </c>
      <c r="H412" s="239" t="s">
        <v>51</v>
      </c>
      <c r="I412" s="239" t="s">
        <v>1580</v>
      </c>
      <c r="J412" s="234">
        <v>40090</v>
      </c>
      <c r="K412" s="234">
        <v>15360</v>
      </c>
      <c r="L412" s="242">
        <v>9</v>
      </c>
      <c r="M412" s="308">
        <v>24730</v>
      </c>
      <c r="N412" s="234">
        <v>22504.3</v>
      </c>
      <c r="O412" s="234" t="s">
        <v>1676</v>
      </c>
      <c r="P412" s="236">
        <v>45904</v>
      </c>
      <c r="Q412" s="244">
        <v>0.12709490740740742</v>
      </c>
    </row>
    <row r="413" spans="1:17" ht="51">
      <c r="A413" s="239" t="s">
        <v>1602</v>
      </c>
      <c r="B413" s="240">
        <v>1429</v>
      </c>
      <c r="C413" s="241">
        <v>77245</v>
      </c>
      <c r="D413" s="239" t="s">
        <v>2710</v>
      </c>
      <c r="E413" s="239" t="s">
        <v>374</v>
      </c>
      <c r="F413" s="239" t="s">
        <v>375</v>
      </c>
      <c r="G413" s="239" t="s">
        <v>961</v>
      </c>
      <c r="H413" s="239" t="s">
        <v>51</v>
      </c>
      <c r="I413" s="239" t="s">
        <v>1580</v>
      </c>
      <c r="J413" s="234">
        <v>39270</v>
      </c>
      <c r="K413" s="234">
        <v>15580</v>
      </c>
      <c r="L413" s="242">
        <v>5</v>
      </c>
      <c r="M413" s="308">
        <v>23690</v>
      </c>
      <c r="N413" s="234">
        <v>22506</v>
      </c>
      <c r="O413" s="234" t="s">
        <v>1677</v>
      </c>
      <c r="P413" s="236">
        <v>45904</v>
      </c>
      <c r="Q413" s="244">
        <v>0.53189814814814818</v>
      </c>
    </row>
    <row r="414" spans="1:17" ht="51">
      <c r="A414" s="239" t="s">
        <v>1603</v>
      </c>
      <c r="B414" s="240">
        <v>1431</v>
      </c>
      <c r="C414" s="241">
        <v>77247</v>
      </c>
      <c r="D414" s="239" t="s">
        <v>2710</v>
      </c>
      <c r="E414" s="239" t="s">
        <v>858</v>
      </c>
      <c r="F414" s="239" t="s">
        <v>859</v>
      </c>
      <c r="G414" s="239" t="s">
        <v>961</v>
      </c>
      <c r="H414" s="239" t="s">
        <v>51</v>
      </c>
      <c r="I414" s="239" t="s">
        <v>1580</v>
      </c>
      <c r="J414" s="234">
        <v>37890</v>
      </c>
      <c r="K414" s="234">
        <v>14660</v>
      </c>
      <c r="L414" s="242">
        <v>7</v>
      </c>
      <c r="M414" s="308">
        <v>23230</v>
      </c>
      <c r="N414" s="234">
        <v>21603.9</v>
      </c>
      <c r="O414" s="234" t="s">
        <v>1678</v>
      </c>
      <c r="P414" s="236">
        <v>45904</v>
      </c>
      <c r="Q414" s="244">
        <v>0.54518518518518522</v>
      </c>
    </row>
    <row r="415" spans="1:17" ht="51">
      <c r="A415" s="239" t="s">
        <v>1604</v>
      </c>
      <c r="B415" s="240">
        <v>1432</v>
      </c>
      <c r="C415" s="241">
        <v>77262</v>
      </c>
      <c r="D415" s="239" t="s">
        <v>2710</v>
      </c>
      <c r="E415" s="239" t="s">
        <v>462</v>
      </c>
      <c r="F415" s="239" t="s">
        <v>463</v>
      </c>
      <c r="G415" s="239" t="s">
        <v>961</v>
      </c>
      <c r="H415" s="239" t="s">
        <v>51</v>
      </c>
      <c r="I415" s="239" t="s">
        <v>1580</v>
      </c>
      <c r="J415" s="234">
        <v>21410</v>
      </c>
      <c r="K415" s="234">
        <v>10720</v>
      </c>
      <c r="L415" s="242">
        <v>6</v>
      </c>
      <c r="M415" s="308">
        <v>10690</v>
      </c>
      <c r="N415" s="234">
        <v>10048.6</v>
      </c>
      <c r="O415" s="234" t="s">
        <v>1679</v>
      </c>
      <c r="P415" s="236">
        <v>45904</v>
      </c>
      <c r="Q415" s="244">
        <v>0.55138888888888893</v>
      </c>
    </row>
    <row r="416" spans="1:17" ht="38.25">
      <c r="A416" s="239" t="s">
        <v>1605</v>
      </c>
      <c r="B416" s="240">
        <v>1434</v>
      </c>
      <c r="C416" s="241">
        <v>36952</v>
      </c>
      <c r="D416" s="239" t="s">
        <v>2711</v>
      </c>
      <c r="E416" s="239" t="s">
        <v>384</v>
      </c>
      <c r="F416" s="239" t="s">
        <v>385</v>
      </c>
      <c r="G416" s="239" t="s">
        <v>954</v>
      </c>
      <c r="H416" s="239" t="s">
        <v>51</v>
      </c>
      <c r="I416" s="239" t="s">
        <v>1580</v>
      </c>
      <c r="J416" s="234">
        <v>35120</v>
      </c>
      <c r="K416" s="234">
        <v>13890</v>
      </c>
      <c r="L416" s="242">
        <v>8</v>
      </c>
      <c r="M416" s="308">
        <v>21230</v>
      </c>
      <c r="N416" s="234">
        <v>19531.599999999999</v>
      </c>
      <c r="O416" s="234" t="s">
        <v>1581</v>
      </c>
      <c r="P416" s="236">
        <v>45905</v>
      </c>
      <c r="Q416" s="244">
        <v>0.50383101851851853</v>
      </c>
    </row>
    <row r="417" spans="1:17" ht="38.25">
      <c r="A417" s="239" t="s">
        <v>1606</v>
      </c>
      <c r="B417" s="240">
        <v>1435</v>
      </c>
      <c r="C417" s="241">
        <v>36939</v>
      </c>
      <c r="D417" s="239" t="s">
        <v>2711</v>
      </c>
      <c r="E417" s="239" t="s">
        <v>1397</v>
      </c>
      <c r="F417" s="239" t="s">
        <v>1398</v>
      </c>
      <c r="G417" s="239" t="s">
        <v>954</v>
      </c>
      <c r="H417" s="239" t="s">
        <v>51</v>
      </c>
      <c r="I417" s="239" t="s">
        <v>1580</v>
      </c>
      <c r="J417" s="234">
        <v>42640</v>
      </c>
      <c r="K417" s="234">
        <v>17080</v>
      </c>
      <c r="L417" s="242">
        <v>8</v>
      </c>
      <c r="M417" s="308">
        <v>25560</v>
      </c>
      <c r="N417" s="234">
        <v>23515.200000000001</v>
      </c>
      <c r="O417" s="234" t="s">
        <v>1582</v>
      </c>
      <c r="P417" s="236">
        <v>45905</v>
      </c>
      <c r="Q417" s="244">
        <v>0.50571759259259264</v>
      </c>
    </row>
    <row r="418" spans="1:17" ht="38.25">
      <c r="A418" s="239" t="s">
        <v>1607</v>
      </c>
      <c r="B418" s="240">
        <v>1436</v>
      </c>
      <c r="C418" s="241">
        <v>36946</v>
      </c>
      <c r="D418" s="239" t="s">
        <v>2711</v>
      </c>
      <c r="E418" s="239" t="s">
        <v>1400</v>
      </c>
      <c r="F418" s="239" t="s">
        <v>1401</v>
      </c>
      <c r="G418" s="239" t="s">
        <v>954</v>
      </c>
      <c r="H418" s="239" t="s">
        <v>51</v>
      </c>
      <c r="I418" s="239" t="s">
        <v>1580</v>
      </c>
      <c r="J418" s="234">
        <v>36340</v>
      </c>
      <c r="K418" s="234">
        <v>14730</v>
      </c>
      <c r="L418" s="242">
        <v>4</v>
      </c>
      <c r="M418" s="308">
        <v>21610</v>
      </c>
      <c r="N418" s="234">
        <v>20745.599999999999</v>
      </c>
      <c r="O418" s="234" t="s">
        <v>1583</v>
      </c>
      <c r="P418" s="236">
        <v>45905</v>
      </c>
      <c r="Q418" s="244">
        <v>0.55156249999999996</v>
      </c>
    </row>
    <row r="419" spans="1:17" ht="38.25">
      <c r="A419" s="239" t="s">
        <v>1608</v>
      </c>
      <c r="B419" s="240">
        <v>1437</v>
      </c>
      <c r="C419" s="241">
        <v>36948</v>
      </c>
      <c r="D419" s="239" t="s">
        <v>2711</v>
      </c>
      <c r="E419" s="239" t="s">
        <v>1403</v>
      </c>
      <c r="F419" s="239" t="s">
        <v>1404</v>
      </c>
      <c r="G419" s="239" t="s">
        <v>954</v>
      </c>
      <c r="H419" s="239" t="s">
        <v>51</v>
      </c>
      <c r="I419" s="239" t="s">
        <v>1580</v>
      </c>
      <c r="J419" s="234">
        <v>37830</v>
      </c>
      <c r="K419" s="234">
        <v>14970</v>
      </c>
      <c r="L419" s="242">
        <v>5</v>
      </c>
      <c r="M419" s="308">
        <v>22860</v>
      </c>
      <c r="N419" s="234">
        <v>21717</v>
      </c>
      <c r="O419" s="234" t="s">
        <v>1584</v>
      </c>
      <c r="P419" s="236">
        <v>45905</v>
      </c>
      <c r="Q419" s="244">
        <v>0.55277777777777781</v>
      </c>
    </row>
    <row r="420" spans="1:17" ht="38.25">
      <c r="A420" s="239" t="s">
        <v>1609</v>
      </c>
      <c r="B420" s="240">
        <v>1438</v>
      </c>
      <c r="C420" s="241">
        <v>36959</v>
      </c>
      <c r="D420" s="239" t="s">
        <v>2711</v>
      </c>
      <c r="E420" s="239" t="s">
        <v>377</v>
      </c>
      <c r="F420" s="239" t="s">
        <v>378</v>
      </c>
      <c r="G420" s="239" t="s">
        <v>954</v>
      </c>
      <c r="H420" s="239" t="s">
        <v>51</v>
      </c>
      <c r="I420" s="239" t="s">
        <v>1580</v>
      </c>
      <c r="J420" s="234">
        <v>41640</v>
      </c>
      <c r="K420" s="234">
        <v>15070</v>
      </c>
      <c r="L420" s="242">
        <v>4</v>
      </c>
      <c r="M420" s="308">
        <v>26570</v>
      </c>
      <c r="N420" s="234">
        <v>25507.200000000001</v>
      </c>
      <c r="O420" s="234" t="s">
        <v>1585</v>
      </c>
      <c r="P420" s="236">
        <v>45905</v>
      </c>
      <c r="Q420" s="244">
        <v>0.55409722222222224</v>
      </c>
    </row>
    <row r="421" spans="1:17" ht="38.25">
      <c r="A421" s="239" t="s">
        <v>1610</v>
      </c>
      <c r="B421" s="240">
        <v>1439</v>
      </c>
      <c r="C421" s="241">
        <v>36955</v>
      </c>
      <c r="D421" s="239" t="s">
        <v>2711</v>
      </c>
      <c r="E421" s="239" t="s">
        <v>472</v>
      </c>
      <c r="F421" s="239" t="s">
        <v>473</v>
      </c>
      <c r="G421" s="239" t="s">
        <v>954</v>
      </c>
      <c r="H421" s="239" t="s">
        <v>51</v>
      </c>
      <c r="I421" s="239" t="s">
        <v>1580</v>
      </c>
      <c r="J421" s="234">
        <v>39910</v>
      </c>
      <c r="K421" s="234">
        <v>16520</v>
      </c>
      <c r="L421" s="242">
        <v>5</v>
      </c>
      <c r="M421" s="308">
        <v>23390</v>
      </c>
      <c r="N421" s="234">
        <v>22220.5</v>
      </c>
      <c r="O421" s="234" t="s">
        <v>1586</v>
      </c>
      <c r="P421" s="236">
        <v>45905</v>
      </c>
      <c r="Q421" s="244">
        <v>0.55549768518518516</v>
      </c>
    </row>
    <row r="422" spans="1:17" ht="38.25">
      <c r="A422" s="239" t="s">
        <v>1587</v>
      </c>
      <c r="B422" s="240">
        <v>1441</v>
      </c>
      <c r="C422" s="241">
        <v>36961</v>
      </c>
      <c r="D422" s="239" t="s">
        <v>2711</v>
      </c>
      <c r="E422" s="239" t="s">
        <v>413</v>
      </c>
      <c r="F422" s="239" t="s">
        <v>414</v>
      </c>
      <c r="G422" s="239" t="s">
        <v>954</v>
      </c>
      <c r="H422" s="239" t="s">
        <v>51</v>
      </c>
      <c r="I422" s="239" t="s">
        <v>1580</v>
      </c>
      <c r="J422" s="234">
        <v>41890</v>
      </c>
      <c r="K422" s="234">
        <v>14870</v>
      </c>
      <c r="L422" s="242">
        <v>4</v>
      </c>
      <c r="M422" s="308">
        <v>27020</v>
      </c>
      <c r="N422" s="234">
        <v>25939.200000000001</v>
      </c>
      <c r="O422" s="234" t="s">
        <v>1680</v>
      </c>
      <c r="P422" s="236">
        <v>45905</v>
      </c>
      <c r="Q422" s="244">
        <v>0.44787037037037036</v>
      </c>
    </row>
    <row r="423" spans="1:17" ht="38.25">
      <c r="A423" s="239" t="s">
        <v>1588</v>
      </c>
      <c r="B423" s="240">
        <v>1442</v>
      </c>
      <c r="C423" s="241">
        <v>36963</v>
      </c>
      <c r="D423" s="239" t="s">
        <v>2711</v>
      </c>
      <c r="E423" s="239" t="s">
        <v>429</v>
      </c>
      <c r="F423" s="239" t="s">
        <v>430</v>
      </c>
      <c r="G423" s="239" t="s">
        <v>954</v>
      </c>
      <c r="H423" s="239" t="s">
        <v>51</v>
      </c>
      <c r="I423" s="239" t="s">
        <v>1580</v>
      </c>
      <c r="J423" s="234">
        <v>37360</v>
      </c>
      <c r="K423" s="234">
        <v>14230</v>
      </c>
      <c r="L423" s="242">
        <v>6</v>
      </c>
      <c r="M423" s="308">
        <v>23130</v>
      </c>
      <c r="N423" s="234">
        <v>21742.2</v>
      </c>
      <c r="O423" s="234" t="s">
        <v>1681</v>
      </c>
      <c r="P423" s="236">
        <v>45905</v>
      </c>
      <c r="Q423" s="244">
        <v>0.45688657407407407</v>
      </c>
    </row>
    <row r="424" spans="1:17" ht="38.25">
      <c r="A424" s="239" t="s">
        <v>1589</v>
      </c>
      <c r="B424" s="240">
        <v>1443</v>
      </c>
      <c r="C424" s="241">
        <v>36965</v>
      </c>
      <c r="D424" s="239" t="s">
        <v>2711</v>
      </c>
      <c r="E424" s="239" t="s">
        <v>432</v>
      </c>
      <c r="F424" s="239" t="s">
        <v>433</v>
      </c>
      <c r="G424" s="239" t="s">
        <v>954</v>
      </c>
      <c r="H424" s="239" t="s">
        <v>51</v>
      </c>
      <c r="I424" s="239" t="s">
        <v>1580</v>
      </c>
      <c r="J424" s="234">
        <v>41100</v>
      </c>
      <c r="K424" s="234">
        <v>15530</v>
      </c>
      <c r="L424" s="242">
        <v>6</v>
      </c>
      <c r="M424" s="308">
        <v>25570</v>
      </c>
      <c r="N424" s="234">
        <v>24035.8</v>
      </c>
      <c r="O424" s="234" t="s">
        <v>1682</v>
      </c>
      <c r="P424" s="236">
        <v>45905</v>
      </c>
      <c r="Q424" s="244">
        <v>0.46438657407407408</v>
      </c>
    </row>
    <row r="425" spans="1:17" ht="38.25">
      <c r="A425" s="239" t="s">
        <v>1611</v>
      </c>
      <c r="B425" s="240">
        <v>1445</v>
      </c>
      <c r="C425" s="241">
        <v>36969</v>
      </c>
      <c r="D425" s="239" t="s">
        <v>2711</v>
      </c>
      <c r="E425" s="239" t="s">
        <v>400</v>
      </c>
      <c r="F425" s="239" t="s">
        <v>401</v>
      </c>
      <c r="G425" s="239" t="s">
        <v>954</v>
      </c>
      <c r="H425" s="239" t="s">
        <v>51</v>
      </c>
      <c r="I425" s="239" t="s">
        <v>1580</v>
      </c>
      <c r="J425" s="234">
        <v>38140</v>
      </c>
      <c r="K425" s="234">
        <v>14690</v>
      </c>
      <c r="L425" s="242">
        <v>9</v>
      </c>
      <c r="M425" s="308">
        <v>23450</v>
      </c>
      <c r="N425" s="234">
        <v>21339.5</v>
      </c>
      <c r="O425" s="234" t="s">
        <v>1683</v>
      </c>
      <c r="P425" s="236">
        <v>45905</v>
      </c>
      <c r="Q425" s="244">
        <v>0.56366898148148148</v>
      </c>
    </row>
    <row r="426" spans="1:17" ht="38.25">
      <c r="A426" s="239" t="s">
        <v>1612</v>
      </c>
      <c r="B426" s="240">
        <v>1446</v>
      </c>
      <c r="C426" s="241">
        <v>36971</v>
      </c>
      <c r="D426" s="239" t="s">
        <v>2711</v>
      </c>
      <c r="E426" s="239" t="s">
        <v>382</v>
      </c>
      <c r="F426" s="239" t="s">
        <v>383</v>
      </c>
      <c r="G426" s="239" t="s">
        <v>954</v>
      </c>
      <c r="H426" s="239" t="s">
        <v>51</v>
      </c>
      <c r="I426" s="239" t="s">
        <v>1580</v>
      </c>
      <c r="J426" s="234">
        <v>37710</v>
      </c>
      <c r="K426" s="234">
        <v>14560</v>
      </c>
      <c r="L426" s="242">
        <v>5</v>
      </c>
      <c r="M426" s="308">
        <v>23150</v>
      </c>
      <c r="N426" s="234">
        <v>21992.5</v>
      </c>
      <c r="O426" s="234" t="s">
        <v>1684</v>
      </c>
      <c r="P426" s="236">
        <v>45905</v>
      </c>
      <c r="Q426" s="244">
        <v>0.64905092592592595</v>
      </c>
    </row>
    <row r="427" spans="1:17" ht="38.25">
      <c r="A427" s="239" t="s">
        <v>1613</v>
      </c>
      <c r="B427" s="240">
        <v>1447</v>
      </c>
      <c r="C427" s="241">
        <v>36973</v>
      </c>
      <c r="D427" s="239" t="s">
        <v>2711</v>
      </c>
      <c r="E427" s="239" t="s">
        <v>453</v>
      </c>
      <c r="F427" s="239" t="s">
        <v>454</v>
      </c>
      <c r="G427" s="239" t="s">
        <v>954</v>
      </c>
      <c r="H427" s="239" t="s">
        <v>51</v>
      </c>
      <c r="I427" s="239" t="s">
        <v>1580</v>
      </c>
      <c r="J427" s="234">
        <v>54310</v>
      </c>
      <c r="K427" s="234">
        <v>24080</v>
      </c>
      <c r="L427" s="242">
        <v>8</v>
      </c>
      <c r="M427" s="308">
        <v>30230</v>
      </c>
      <c r="N427" s="234">
        <v>27811.599999999999</v>
      </c>
      <c r="O427" s="234" t="s">
        <v>1685</v>
      </c>
      <c r="P427" s="236">
        <v>45905</v>
      </c>
      <c r="Q427" s="244">
        <v>0.65817129629629634</v>
      </c>
    </row>
    <row r="428" spans="1:17" ht="38.25">
      <c r="A428" s="239" t="s">
        <v>1614</v>
      </c>
      <c r="B428" s="240">
        <v>1448</v>
      </c>
      <c r="C428" s="241">
        <v>36975</v>
      </c>
      <c r="D428" s="239" t="s">
        <v>2711</v>
      </c>
      <c r="E428" s="239" t="s">
        <v>456</v>
      </c>
      <c r="F428" s="239" t="s">
        <v>457</v>
      </c>
      <c r="G428" s="239" t="s">
        <v>954</v>
      </c>
      <c r="H428" s="239" t="s">
        <v>51</v>
      </c>
      <c r="I428" s="239" t="s">
        <v>1580</v>
      </c>
      <c r="J428" s="234">
        <v>43750</v>
      </c>
      <c r="K428" s="234">
        <v>15540</v>
      </c>
      <c r="L428" s="242">
        <v>10</v>
      </c>
      <c r="M428" s="308">
        <v>28210</v>
      </c>
      <c r="N428" s="234">
        <v>25389</v>
      </c>
      <c r="O428" s="234" t="s">
        <v>1686</v>
      </c>
      <c r="P428" s="236">
        <v>45905</v>
      </c>
      <c r="Q428" s="244">
        <v>0.68541666666666667</v>
      </c>
    </row>
    <row r="429" spans="1:17" ht="38.25">
      <c r="A429" s="239" t="s">
        <v>1615</v>
      </c>
      <c r="B429" s="240">
        <v>1449</v>
      </c>
      <c r="C429" s="241">
        <v>36967</v>
      </c>
      <c r="D429" s="239" t="s">
        <v>2711</v>
      </c>
      <c r="E429" s="239" t="s">
        <v>786</v>
      </c>
      <c r="F429" s="239" t="s">
        <v>787</v>
      </c>
      <c r="G429" s="239" t="s">
        <v>954</v>
      </c>
      <c r="H429" s="239" t="s">
        <v>51</v>
      </c>
      <c r="I429" s="239" t="s">
        <v>1580</v>
      </c>
      <c r="J429" s="234">
        <v>35210</v>
      </c>
      <c r="K429" s="234">
        <v>13910</v>
      </c>
      <c r="L429" s="242">
        <v>11</v>
      </c>
      <c r="M429" s="308">
        <v>21300</v>
      </c>
      <c r="N429" s="234">
        <v>18957</v>
      </c>
      <c r="O429" s="234" t="s">
        <v>1687</v>
      </c>
      <c r="P429" s="236">
        <v>45905</v>
      </c>
      <c r="Q429" s="244">
        <v>0.69070601851851854</v>
      </c>
    </row>
    <row r="430" spans="1:17" ht="51">
      <c r="A430" s="239" t="s">
        <v>1618</v>
      </c>
      <c r="B430" s="240">
        <v>1452</v>
      </c>
      <c r="C430" s="241">
        <v>36957</v>
      </c>
      <c r="D430" s="239" t="s">
        <v>2711</v>
      </c>
      <c r="E430" s="239" t="s">
        <v>475</v>
      </c>
      <c r="F430" s="239" t="s">
        <v>476</v>
      </c>
      <c r="G430" s="239" t="s">
        <v>954</v>
      </c>
      <c r="H430" s="239" t="s">
        <v>51</v>
      </c>
      <c r="I430" s="239" t="s">
        <v>1580</v>
      </c>
      <c r="J430" s="234">
        <v>38410</v>
      </c>
      <c r="K430" s="234">
        <v>16270</v>
      </c>
      <c r="L430" s="242">
        <v>12</v>
      </c>
      <c r="M430" s="308">
        <v>22140</v>
      </c>
      <c r="N430" s="234">
        <v>19483.2</v>
      </c>
      <c r="O430" s="234" t="s">
        <v>1690</v>
      </c>
      <c r="P430" s="236">
        <v>45905</v>
      </c>
      <c r="Q430" s="244">
        <v>0.8087847222222222</v>
      </c>
    </row>
    <row r="431" spans="1:17" ht="38.25">
      <c r="A431" s="239" t="s">
        <v>1619</v>
      </c>
      <c r="B431" s="240">
        <v>1454</v>
      </c>
      <c r="C431" s="241">
        <v>58695</v>
      </c>
      <c r="D431" s="239" t="s">
        <v>2711</v>
      </c>
      <c r="E431" s="239" t="s">
        <v>447</v>
      </c>
      <c r="F431" s="239" t="s">
        <v>448</v>
      </c>
      <c r="G431" s="239" t="s">
        <v>954</v>
      </c>
      <c r="H431" s="239" t="s">
        <v>51</v>
      </c>
      <c r="I431" s="239" t="s">
        <v>1580</v>
      </c>
      <c r="J431" s="234">
        <v>50040</v>
      </c>
      <c r="K431" s="234">
        <v>19260</v>
      </c>
      <c r="L431" s="242">
        <v>8</v>
      </c>
      <c r="M431" s="308">
        <v>30780</v>
      </c>
      <c r="N431" s="234">
        <v>28317.599999999999</v>
      </c>
      <c r="O431" s="234" t="s">
        <v>1691</v>
      </c>
      <c r="P431" s="236">
        <v>45905</v>
      </c>
      <c r="Q431" s="244">
        <v>0.82883101851851848</v>
      </c>
    </row>
    <row r="432" spans="1:17" ht="38.25">
      <c r="A432" s="239" t="s">
        <v>1620</v>
      </c>
      <c r="B432" s="240">
        <v>1455</v>
      </c>
      <c r="C432" s="241">
        <v>58640</v>
      </c>
      <c r="D432" s="239" t="s">
        <v>2711</v>
      </c>
      <c r="E432" s="239" t="s">
        <v>416</v>
      </c>
      <c r="F432" s="239" t="s">
        <v>417</v>
      </c>
      <c r="G432" s="239" t="s">
        <v>954</v>
      </c>
      <c r="H432" s="239" t="s">
        <v>51</v>
      </c>
      <c r="I432" s="239" t="s">
        <v>1580</v>
      </c>
      <c r="J432" s="234">
        <v>38320</v>
      </c>
      <c r="K432" s="234">
        <v>14660</v>
      </c>
      <c r="L432" s="242">
        <v>14</v>
      </c>
      <c r="M432" s="308">
        <v>23660</v>
      </c>
      <c r="N432" s="234">
        <v>20347.599999999999</v>
      </c>
      <c r="O432" s="234" t="s">
        <v>1692</v>
      </c>
      <c r="P432" s="236">
        <v>45905</v>
      </c>
      <c r="Q432" s="244">
        <v>0.86957175925925922</v>
      </c>
    </row>
    <row r="433" spans="1:17" ht="38.25">
      <c r="A433" s="239" t="s">
        <v>1621</v>
      </c>
      <c r="B433" s="240">
        <v>1456</v>
      </c>
      <c r="C433" s="241">
        <v>58642</v>
      </c>
      <c r="D433" s="239" t="s">
        <v>2711</v>
      </c>
      <c r="E433" s="239" t="s">
        <v>420</v>
      </c>
      <c r="F433" s="239" t="s">
        <v>421</v>
      </c>
      <c r="G433" s="239" t="s">
        <v>954</v>
      </c>
      <c r="H433" s="239" t="s">
        <v>51</v>
      </c>
      <c r="I433" s="239" t="s">
        <v>1580</v>
      </c>
      <c r="J433" s="234">
        <v>36840</v>
      </c>
      <c r="K433" s="234">
        <v>14820</v>
      </c>
      <c r="L433" s="242">
        <v>7</v>
      </c>
      <c r="M433" s="308">
        <v>22020</v>
      </c>
      <c r="N433" s="234">
        <v>20478.599999999999</v>
      </c>
      <c r="O433" s="234" t="s">
        <v>1693</v>
      </c>
      <c r="P433" s="236">
        <v>45905</v>
      </c>
      <c r="Q433" s="244">
        <v>0.87174768518518519</v>
      </c>
    </row>
    <row r="434" spans="1:17" ht="38.25">
      <c r="A434" s="239" t="s">
        <v>1616</v>
      </c>
      <c r="B434" s="240">
        <v>1457</v>
      </c>
      <c r="C434" s="241">
        <v>36983</v>
      </c>
      <c r="D434" s="239" t="s">
        <v>2711</v>
      </c>
      <c r="E434" s="239" t="s">
        <v>406</v>
      </c>
      <c r="F434" s="239" t="s">
        <v>407</v>
      </c>
      <c r="G434" s="239" t="s">
        <v>954</v>
      </c>
      <c r="H434" s="239" t="s">
        <v>51</v>
      </c>
      <c r="I434" s="239" t="s">
        <v>1580</v>
      </c>
      <c r="J434" s="234">
        <v>39030</v>
      </c>
      <c r="K434" s="234">
        <v>14990</v>
      </c>
      <c r="L434" s="242">
        <v>7</v>
      </c>
      <c r="M434" s="308">
        <v>24040</v>
      </c>
      <c r="N434" s="234">
        <v>22357.200000000001</v>
      </c>
      <c r="O434" s="234" t="s">
        <v>1688</v>
      </c>
      <c r="P434" s="236">
        <v>45905</v>
      </c>
      <c r="Q434" s="244">
        <v>0.71322916666666669</v>
      </c>
    </row>
    <row r="435" spans="1:17" ht="38.25">
      <c r="A435" s="239" t="s">
        <v>1623</v>
      </c>
      <c r="B435" s="240">
        <v>1458</v>
      </c>
      <c r="C435" s="241">
        <v>36985</v>
      </c>
      <c r="D435" s="239" t="s">
        <v>2711</v>
      </c>
      <c r="E435" s="239" t="s">
        <v>1422</v>
      </c>
      <c r="F435" s="239" t="s">
        <v>404</v>
      </c>
      <c r="G435" s="239" t="s">
        <v>954</v>
      </c>
      <c r="H435" s="239" t="s">
        <v>51</v>
      </c>
      <c r="I435" s="239" t="s">
        <v>1580</v>
      </c>
      <c r="J435" s="234">
        <v>36040</v>
      </c>
      <c r="K435" s="234">
        <v>14480</v>
      </c>
      <c r="L435" s="242">
        <v>14</v>
      </c>
      <c r="M435" s="308">
        <v>21560</v>
      </c>
      <c r="N435" s="234">
        <v>18541.599999999999</v>
      </c>
      <c r="O435" s="234" t="s">
        <v>1695</v>
      </c>
      <c r="P435" s="236">
        <v>45905</v>
      </c>
      <c r="Q435" s="244">
        <v>0.93078703703703702</v>
      </c>
    </row>
    <row r="436" spans="1:17" ht="38.25">
      <c r="A436" s="239" t="s">
        <v>1624</v>
      </c>
      <c r="B436" s="240">
        <v>1459</v>
      </c>
      <c r="C436" s="241">
        <v>36987</v>
      </c>
      <c r="D436" s="239" t="s">
        <v>2711</v>
      </c>
      <c r="E436" s="239" t="s">
        <v>392</v>
      </c>
      <c r="F436" s="239" t="s">
        <v>393</v>
      </c>
      <c r="G436" s="239" t="s">
        <v>954</v>
      </c>
      <c r="H436" s="239" t="s">
        <v>51</v>
      </c>
      <c r="I436" s="239" t="s">
        <v>1580</v>
      </c>
      <c r="J436" s="234">
        <v>47260</v>
      </c>
      <c r="K436" s="234">
        <v>23990</v>
      </c>
      <c r="L436" s="242">
        <v>19</v>
      </c>
      <c r="M436" s="308">
        <v>23270</v>
      </c>
      <c r="N436" s="234">
        <v>18848.7</v>
      </c>
      <c r="O436" s="234" t="s">
        <v>1696</v>
      </c>
      <c r="P436" s="236">
        <v>45905</v>
      </c>
      <c r="Q436" s="244">
        <v>0.93306712962962968</v>
      </c>
    </row>
    <row r="437" spans="1:17" ht="38.25">
      <c r="A437" s="239" t="s">
        <v>1617</v>
      </c>
      <c r="B437" s="240">
        <v>1460</v>
      </c>
      <c r="C437" s="241">
        <v>36989</v>
      </c>
      <c r="D437" s="239" t="s">
        <v>2711</v>
      </c>
      <c r="E437" s="239" t="s">
        <v>390</v>
      </c>
      <c r="F437" s="239" t="s">
        <v>391</v>
      </c>
      <c r="G437" s="239" t="s">
        <v>954</v>
      </c>
      <c r="H437" s="239" t="s">
        <v>51</v>
      </c>
      <c r="I437" s="239" t="s">
        <v>1580</v>
      </c>
      <c r="J437" s="234">
        <v>37430</v>
      </c>
      <c r="K437" s="234">
        <v>14840</v>
      </c>
      <c r="L437" s="242">
        <v>11</v>
      </c>
      <c r="M437" s="308">
        <v>22590</v>
      </c>
      <c r="N437" s="234">
        <v>20105.099999999999</v>
      </c>
      <c r="O437" s="234" t="s">
        <v>1689</v>
      </c>
      <c r="P437" s="236">
        <v>45905</v>
      </c>
      <c r="Q437" s="244">
        <v>0.7784375</v>
      </c>
    </row>
    <row r="438" spans="1:17" ht="38.25">
      <c r="A438" s="239" t="s">
        <v>1622</v>
      </c>
      <c r="B438" s="240">
        <v>1462</v>
      </c>
      <c r="C438" s="241">
        <v>36991</v>
      </c>
      <c r="D438" s="239" t="s">
        <v>2711</v>
      </c>
      <c r="E438" s="239" t="s">
        <v>388</v>
      </c>
      <c r="F438" s="239" t="s">
        <v>389</v>
      </c>
      <c r="G438" s="239" t="s">
        <v>954</v>
      </c>
      <c r="H438" s="239" t="s">
        <v>51</v>
      </c>
      <c r="I438" s="239" t="s">
        <v>1580</v>
      </c>
      <c r="J438" s="234">
        <v>51650</v>
      </c>
      <c r="K438" s="234">
        <v>20960</v>
      </c>
      <c r="L438" s="242">
        <v>5</v>
      </c>
      <c r="M438" s="308">
        <v>30690</v>
      </c>
      <c r="N438" s="234">
        <v>29155.5</v>
      </c>
      <c r="O438" s="234" t="s">
        <v>1694</v>
      </c>
      <c r="P438" s="236">
        <v>45905</v>
      </c>
      <c r="Q438" s="244">
        <v>0.88503472222222224</v>
      </c>
    </row>
    <row r="439" spans="1:17" ht="38.25">
      <c r="A439" s="239" t="s">
        <v>1625</v>
      </c>
      <c r="B439" s="240">
        <v>1463</v>
      </c>
      <c r="C439" s="241">
        <v>36993</v>
      </c>
      <c r="D439" s="239" t="s">
        <v>2711</v>
      </c>
      <c r="E439" s="239" t="s">
        <v>1410</v>
      </c>
      <c r="F439" s="239" t="s">
        <v>437</v>
      </c>
      <c r="G439" s="239" t="s">
        <v>954</v>
      </c>
      <c r="H439" s="239" t="s">
        <v>51</v>
      </c>
      <c r="I439" s="239" t="s">
        <v>1580</v>
      </c>
      <c r="J439" s="234">
        <v>39560</v>
      </c>
      <c r="K439" s="234">
        <v>14810</v>
      </c>
      <c r="L439" s="242">
        <v>8</v>
      </c>
      <c r="M439" s="308">
        <v>24750</v>
      </c>
      <c r="N439" s="234">
        <v>22770</v>
      </c>
      <c r="O439" s="234" t="s">
        <v>1697</v>
      </c>
      <c r="P439" s="236">
        <v>45905</v>
      </c>
      <c r="Q439" s="244">
        <v>0.94652777777777775</v>
      </c>
    </row>
    <row r="440" spans="1:17" ht="38.25">
      <c r="A440" s="239" t="s">
        <v>1626</v>
      </c>
      <c r="B440" s="240">
        <v>1464</v>
      </c>
      <c r="C440" s="241">
        <v>36995</v>
      </c>
      <c r="D440" s="239" t="s">
        <v>2711</v>
      </c>
      <c r="E440" s="239" t="s">
        <v>439</v>
      </c>
      <c r="F440" s="239" t="s">
        <v>440</v>
      </c>
      <c r="G440" s="239" t="s">
        <v>954</v>
      </c>
      <c r="H440" s="239" t="s">
        <v>51</v>
      </c>
      <c r="I440" s="239" t="s">
        <v>1580</v>
      </c>
      <c r="J440" s="234">
        <v>41610</v>
      </c>
      <c r="K440" s="234">
        <v>14950</v>
      </c>
      <c r="L440" s="242">
        <v>9</v>
      </c>
      <c r="M440" s="308">
        <v>26660</v>
      </c>
      <c r="N440" s="234">
        <v>24260.6</v>
      </c>
      <c r="O440" s="234" t="s">
        <v>1698</v>
      </c>
      <c r="P440" s="236">
        <v>45905</v>
      </c>
      <c r="Q440" s="244">
        <v>0.95268518518518519</v>
      </c>
    </row>
    <row r="441" spans="1:17" ht="38.25">
      <c r="A441" s="239" t="s">
        <v>1628</v>
      </c>
      <c r="B441" s="240">
        <v>1468</v>
      </c>
      <c r="C441" s="241">
        <v>37137</v>
      </c>
      <c r="D441" s="239" t="s">
        <v>2711</v>
      </c>
      <c r="E441" s="239" t="s">
        <v>794</v>
      </c>
      <c r="F441" s="239" t="s">
        <v>795</v>
      </c>
      <c r="G441" s="239" t="s">
        <v>948</v>
      </c>
      <c r="H441" s="239" t="s">
        <v>51</v>
      </c>
      <c r="I441" s="239" t="s">
        <v>1580</v>
      </c>
      <c r="J441" s="234">
        <v>42420</v>
      </c>
      <c r="K441" s="234">
        <v>16040</v>
      </c>
      <c r="L441" s="242">
        <v>11</v>
      </c>
      <c r="M441" s="308">
        <v>26380</v>
      </c>
      <c r="N441" s="234">
        <v>23478.2</v>
      </c>
      <c r="O441" s="234" t="s">
        <v>1700</v>
      </c>
      <c r="P441" s="236">
        <v>45907</v>
      </c>
      <c r="Q441" s="244">
        <v>0.98287037037037039</v>
      </c>
    </row>
    <row r="442" spans="1:17" ht="38.25">
      <c r="A442" s="239" t="s">
        <v>1627</v>
      </c>
      <c r="B442" s="240">
        <v>1469</v>
      </c>
      <c r="C442" s="241">
        <v>37139</v>
      </c>
      <c r="D442" s="239" t="s">
        <v>2711</v>
      </c>
      <c r="E442" s="239" t="s">
        <v>841</v>
      </c>
      <c r="F442" s="239" t="s">
        <v>845</v>
      </c>
      <c r="G442" s="239" t="s">
        <v>948</v>
      </c>
      <c r="H442" s="239" t="s">
        <v>51</v>
      </c>
      <c r="I442" s="239" t="s">
        <v>1580</v>
      </c>
      <c r="J442" s="234">
        <v>41610</v>
      </c>
      <c r="K442" s="234">
        <v>15860</v>
      </c>
      <c r="L442" s="242">
        <v>24</v>
      </c>
      <c r="M442" s="308">
        <v>25750</v>
      </c>
      <c r="N442" s="234">
        <v>19570</v>
      </c>
      <c r="O442" s="234" t="s">
        <v>1699</v>
      </c>
      <c r="P442" s="236">
        <v>45907</v>
      </c>
      <c r="Q442" s="244">
        <v>0.94879629629629625</v>
      </c>
    </row>
    <row r="443" spans="1:17" ht="38.25">
      <c r="A443" s="239" t="s">
        <v>1629</v>
      </c>
      <c r="B443" s="240">
        <v>1470</v>
      </c>
      <c r="C443" s="241">
        <v>37141</v>
      </c>
      <c r="D443" s="239" t="s">
        <v>2711</v>
      </c>
      <c r="E443" s="239" t="s">
        <v>783</v>
      </c>
      <c r="F443" s="239" t="s">
        <v>784</v>
      </c>
      <c r="G443" s="239" t="s">
        <v>948</v>
      </c>
      <c r="H443" s="239" t="s">
        <v>51</v>
      </c>
      <c r="I443" s="239" t="s">
        <v>1580</v>
      </c>
      <c r="J443" s="234">
        <v>39610</v>
      </c>
      <c r="K443" s="234">
        <v>14530</v>
      </c>
      <c r="L443" s="242">
        <v>15</v>
      </c>
      <c r="M443" s="308">
        <v>25080</v>
      </c>
      <c r="N443" s="234">
        <v>21318</v>
      </c>
      <c r="O443" s="234" t="s">
        <v>1701</v>
      </c>
      <c r="P443" s="236">
        <v>45907</v>
      </c>
      <c r="Q443" s="244">
        <v>0.98969907407407409</v>
      </c>
    </row>
    <row r="444" spans="1:17" ht="38.25">
      <c r="A444" s="239" t="s">
        <v>1631</v>
      </c>
      <c r="B444" s="240">
        <v>1471</v>
      </c>
      <c r="C444" s="241">
        <v>37143</v>
      </c>
      <c r="D444" s="239" t="s">
        <v>2711</v>
      </c>
      <c r="E444" s="239" t="s">
        <v>791</v>
      </c>
      <c r="F444" s="239" t="s">
        <v>792</v>
      </c>
      <c r="G444" s="239" t="s">
        <v>948</v>
      </c>
      <c r="H444" s="239" t="s">
        <v>51</v>
      </c>
      <c r="I444" s="239" t="s">
        <v>1580</v>
      </c>
      <c r="J444" s="234">
        <v>39580</v>
      </c>
      <c r="K444" s="234">
        <v>14880</v>
      </c>
      <c r="L444" s="242">
        <v>14</v>
      </c>
      <c r="M444" s="308">
        <v>24700</v>
      </c>
      <c r="N444" s="234">
        <v>21242</v>
      </c>
      <c r="O444" s="234" t="s">
        <v>1703</v>
      </c>
      <c r="P444" s="236">
        <v>45908</v>
      </c>
      <c r="Q444" s="244">
        <v>0.56952546296296291</v>
      </c>
    </row>
    <row r="445" spans="1:17" ht="38.25">
      <c r="A445" s="239" t="s">
        <v>1632</v>
      </c>
      <c r="B445" s="240">
        <v>1472</v>
      </c>
      <c r="C445" s="241">
        <v>37149</v>
      </c>
      <c r="D445" s="239" t="s">
        <v>2711</v>
      </c>
      <c r="E445" s="239" t="s">
        <v>1403</v>
      </c>
      <c r="F445" s="239" t="s">
        <v>1404</v>
      </c>
      <c r="G445" s="239" t="s">
        <v>948</v>
      </c>
      <c r="H445" s="239" t="s">
        <v>51</v>
      </c>
      <c r="I445" s="239" t="s">
        <v>1580</v>
      </c>
      <c r="J445" s="234">
        <v>38850</v>
      </c>
      <c r="K445" s="234">
        <v>14940</v>
      </c>
      <c r="L445" s="242">
        <v>20</v>
      </c>
      <c r="M445" s="308">
        <v>23910</v>
      </c>
      <c r="N445" s="234">
        <v>19128</v>
      </c>
      <c r="O445" s="234" t="s">
        <v>1704</v>
      </c>
      <c r="P445" s="236">
        <v>45908</v>
      </c>
      <c r="Q445" s="244">
        <v>0.57115740740740739</v>
      </c>
    </row>
    <row r="446" spans="1:17" ht="38.25">
      <c r="A446" s="239" t="s">
        <v>1633</v>
      </c>
      <c r="B446" s="240">
        <v>1473</v>
      </c>
      <c r="C446" s="241">
        <v>37145</v>
      </c>
      <c r="D446" s="239" t="s">
        <v>2711</v>
      </c>
      <c r="E446" s="239" t="s">
        <v>1397</v>
      </c>
      <c r="F446" s="239" t="s">
        <v>1398</v>
      </c>
      <c r="G446" s="239" t="s">
        <v>948</v>
      </c>
      <c r="H446" s="239" t="s">
        <v>51</v>
      </c>
      <c r="I446" s="239" t="s">
        <v>1580</v>
      </c>
      <c r="J446" s="234">
        <v>42930</v>
      </c>
      <c r="K446" s="234">
        <v>17090</v>
      </c>
      <c r="L446" s="242">
        <v>16</v>
      </c>
      <c r="M446" s="308">
        <v>25840</v>
      </c>
      <c r="N446" s="234">
        <v>21705.599999999999</v>
      </c>
      <c r="O446" s="234" t="s">
        <v>1705</v>
      </c>
      <c r="P446" s="236">
        <v>45908</v>
      </c>
      <c r="Q446" s="244">
        <v>0.57277777777777783</v>
      </c>
    </row>
    <row r="447" spans="1:17" ht="38.25">
      <c r="A447" s="239" t="s">
        <v>1634</v>
      </c>
      <c r="B447" s="240">
        <v>1474</v>
      </c>
      <c r="C447" s="241">
        <v>37147</v>
      </c>
      <c r="D447" s="239" t="s">
        <v>2711</v>
      </c>
      <c r="E447" s="239" t="s">
        <v>1400</v>
      </c>
      <c r="F447" s="239" t="s">
        <v>1401</v>
      </c>
      <c r="G447" s="239" t="s">
        <v>948</v>
      </c>
      <c r="H447" s="239" t="s">
        <v>51</v>
      </c>
      <c r="I447" s="239" t="s">
        <v>1580</v>
      </c>
      <c r="J447" s="234">
        <v>36570</v>
      </c>
      <c r="K447" s="234">
        <v>14800</v>
      </c>
      <c r="L447" s="242">
        <v>9</v>
      </c>
      <c r="M447" s="308">
        <v>21770</v>
      </c>
      <c r="N447" s="234">
        <v>19810.7</v>
      </c>
      <c r="O447" s="234" t="s">
        <v>1706</v>
      </c>
      <c r="P447" s="236">
        <v>45908</v>
      </c>
      <c r="Q447" s="244">
        <v>0.57497685185185188</v>
      </c>
    </row>
    <row r="448" spans="1:17" ht="38.25">
      <c r="A448" s="239" t="s">
        <v>1635</v>
      </c>
      <c r="B448" s="240">
        <v>1475</v>
      </c>
      <c r="C448" s="241">
        <v>37153</v>
      </c>
      <c r="D448" s="239" t="s">
        <v>2711</v>
      </c>
      <c r="E448" s="239" t="s">
        <v>462</v>
      </c>
      <c r="F448" s="239" t="s">
        <v>463</v>
      </c>
      <c r="G448" s="239" t="s">
        <v>948</v>
      </c>
      <c r="H448" s="239" t="s">
        <v>51</v>
      </c>
      <c r="I448" s="239" t="s">
        <v>1580</v>
      </c>
      <c r="J448" s="234">
        <v>39260</v>
      </c>
      <c r="K448" s="234">
        <v>16260</v>
      </c>
      <c r="L448" s="242">
        <v>6</v>
      </c>
      <c r="M448" s="308">
        <v>23000</v>
      </c>
      <c r="N448" s="234">
        <v>21620</v>
      </c>
      <c r="O448" s="234" t="s">
        <v>1707</v>
      </c>
      <c r="P448" s="236">
        <v>45908</v>
      </c>
      <c r="Q448" s="244">
        <v>0.57767361111111115</v>
      </c>
    </row>
    <row r="449" spans="1:17" ht="38.25">
      <c r="A449" s="239" t="s">
        <v>1636</v>
      </c>
      <c r="B449" s="240">
        <v>1476</v>
      </c>
      <c r="C449" s="241">
        <v>37155</v>
      </c>
      <c r="D449" s="239" t="s">
        <v>2711</v>
      </c>
      <c r="E449" s="239" t="s">
        <v>384</v>
      </c>
      <c r="F449" s="239" t="s">
        <v>385</v>
      </c>
      <c r="G449" s="239" t="s">
        <v>948</v>
      </c>
      <c r="H449" s="239" t="s">
        <v>51</v>
      </c>
      <c r="I449" s="239" t="s">
        <v>1580</v>
      </c>
      <c r="J449" s="234">
        <v>35730</v>
      </c>
      <c r="K449" s="234">
        <v>13880</v>
      </c>
      <c r="L449" s="242">
        <v>21</v>
      </c>
      <c r="M449" s="308">
        <v>21850</v>
      </c>
      <c r="N449" s="234">
        <v>17261.5</v>
      </c>
      <c r="O449" s="234" t="s">
        <v>1708</v>
      </c>
      <c r="P449" s="236">
        <v>45908</v>
      </c>
      <c r="Q449" s="244">
        <v>0.5791898148148148</v>
      </c>
    </row>
    <row r="450" spans="1:17" ht="38.25">
      <c r="A450" s="239" t="s">
        <v>1637</v>
      </c>
      <c r="B450" s="240">
        <v>1477</v>
      </c>
      <c r="C450" s="241">
        <v>37151</v>
      </c>
      <c r="D450" s="239" t="s">
        <v>2711</v>
      </c>
      <c r="E450" s="239" t="s">
        <v>786</v>
      </c>
      <c r="F450" s="239" t="s">
        <v>787</v>
      </c>
      <c r="G450" s="239" t="s">
        <v>948</v>
      </c>
      <c r="H450" s="239" t="s">
        <v>51</v>
      </c>
      <c r="I450" s="239" t="s">
        <v>1580</v>
      </c>
      <c r="J450" s="234">
        <v>35690</v>
      </c>
      <c r="K450" s="234">
        <v>13930</v>
      </c>
      <c r="L450" s="242">
        <v>15</v>
      </c>
      <c r="M450" s="308">
        <v>21760</v>
      </c>
      <c r="N450" s="234">
        <v>18496</v>
      </c>
      <c r="O450" s="234" t="s">
        <v>1709</v>
      </c>
      <c r="P450" s="236">
        <v>45908</v>
      </c>
      <c r="Q450" s="244">
        <v>0.58106481481481487</v>
      </c>
    </row>
    <row r="451" spans="1:17" ht="38.25">
      <c r="A451" s="239" t="s">
        <v>1638</v>
      </c>
      <c r="B451" s="240">
        <v>1479</v>
      </c>
      <c r="C451" s="241">
        <v>37157</v>
      </c>
      <c r="D451" s="239" t="s">
        <v>2711</v>
      </c>
      <c r="E451" s="239" t="s">
        <v>377</v>
      </c>
      <c r="F451" s="239" t="s">
        <v>378</v>
      </c>
      <c r="G451" s="239" t="s">
        <v>948</v>
      </c>
      <c r="H451" s="239" t="s">
        <v>51</v>
      </c>
      <c r="I451" s="239" t="s">
        <v>1580</v>
      </c>
      <c r="J451" s="234">
        <v>41690</v>
      </c>
      <c r="K451" s="234">
        <v>15070</v>
      </c>
      <c r="L451" s="242">
        <v>16</v>
      </c>
      <c r="M451" s="308">
        <v>26620</v>
      </c>
      <c r="N451" s="234">
        <v>22360.799999999999</v>
      </c>
      <c r="O451" s="234" t="s">
        <v>1710</v>
      </c>
      <c r="P451" s="236">
        <v>45908</v>
      </c>
      <c r="Q451" s="244">
        <v>0.58304398148148151</v>
      </c>
    </row>
    <row r="452" spans="1:17" ht="38.25">
      <c r="A452" s="239" t="s">
        <v>1630</v>
      </c>
      <c r="B452" s="240">
        <v>1482</v>
      </c>
      <c r="C452" s="241">
        <v>37159</v>
      </c>
      <c r="D452" s="239" t="s">
        <v>2711</v>
      </c>
      <c r="E452" s="239" t="s">
        <v>472</v>
      </c>
      <c r="F452" s="239" t="s">
        <v>473</v>
      </c>
      <c r="G452" s="239" t="s">
        <v>948</v>
      </c>
      <c r="H452" s="239" t="s">
        <v>51</v>
      </c>
      <c r="I452" s="239" t="s">
        <v>1580</v>
      </c>
      <c r="J452" s="234">
        <v>40420</v>
      </c>
      <c r="K452" s="234">
        <v>16500</v>
      </c>
      <c r="L452" s="242">
        <v>12</v>
      </c>
      <c r="M452" s="308">
        <v>23920</v>
      </c>
      <c r="N452" s="234">
        <v>21049.599999999999</v>
      </c>
      <c r="O452" s="234" t="s">
        <v>1702</v>
      </c>
      <c r="P452" s="236">
        <v>45908</v>
      </c>
      <c r="Q452" s="244">
        <v>0.36106481481481484</v>
      </c>
    </row>
    <row r="453" spans="1:17" ht="51">
      <c r="A453" s="239" t="s">
        <v>1639</v>
      </c>
      <c r="B453" s="240">
        <v>1483</v>
      </c>
      <c r="C453" s="241">
        <v>37161</v>
      </c>
      <c r="D453" s="239" t="s">
        <v>2711</v>
      </c>
      <c r="E453" s="239" t="s">
        <v>475</v>
      </c>
      <c r="F453" s="239" t="s">
        <v>476</v>
      </c>
      <c r="G453" s="239" t="s">
        <v>948</v>
      </c>
      <c r="H453" s="239" t="s">
        <v>51</v>
      </c>
      <c r="I453" s="239" t="s">
        <v>1580</v>
      </c>
      <c r="J453" s="234">
        <v>38710</v>
      </c>
      <c r="K453" s="234">
        <v>16310</v>
      </c>
      <c r="L453" s="242">
        <v>19</v>
      </c>
      <c r="M453" s="308">
        <v>22400</v>
      </c>
      <c r="N453" s="234">
        <v>18144</v>
      </c>
      <c r="O453" s="234" t="s">
        <v>1711</v>
      </c>
      <c r="P453" s="236">
        <v>45908</v>
      </c>
      <c r="Q453" s="244">
        <v>0.59778935185185189</v>
      </c>
    </row>
    <row r="454" spans="1:17" ht="38.25">
      <c r="A454" s="239" t="s">
        <v>1640</v>
      </c>
      <c r="B454" s="240">
        <v>1487</v>
      </c>
      <c r="C454" s="241">
        <v>37163</v>
      </c>
      <c r="D454" s="239" t="s">
        <v>2711</v>
      </c>
      <c r="E454" s="239" t="s">
        <v>369</v>
      </c>
      <c r="F454" s="239" t="s">
        <v>370</v>
      </c>
      <c r="G454" s="239" t="s">
        <v>948</v>
      </c>
      <c r="H454" s="239" t="s">
        <v>51</v>
      </c>
      <c r="I454" s="239" t="s">
        <v>1580</v>
      </c>
      <c r="J454" s="234">
        <v>38340</v>
      </c>
      <c r="K454" s="234">
        <v>15030</v>
      </c>
      <c r="L454" s="242">
        <v>11</v>
      </c>
      <c r="M454" s="308">
        <v>23310</v>
      </c>
      <c r="N454" s="234">
        <v>20745.900000000001</v>
      </c>
      <c r="O454" s="234" t="s">
        <v>1712</v>
      </c>
      <c r="P454" s="236">
        <v>45908</v>
      </c>
      <c r="Q454" s="244">
        <v>0.60431712962962958</v>
      </c>
    </row>
    <row r="455" spans="1:17" ht="38.25">
      <c r="A455" s="239" t="s">
        <v>1641</v>
      </c>
      <c r="B455" s="240">
        <v>1488</v>
      </c>
      <c r="C455" s="241">
        <v>37167</v>
      </c>
      <c r="D455" s="239" t="s">
        <v>2711</v>
      </c>
      <c r="E455" s="239" t="s">
        <v>374</v>
      </c>
      <c r="F455" s="239" t="s">
        <v>375</v>
      </c>
      <c r="G455" s="239" t="s">
        <v>948</v>
      </c>
      <c r="H455" s="239" t="s">
        <v>51</v>
      </c>
      <c r="I455" s="239" t="s">
        <v>1580</v>
      </c>
      <c r="J455" s="234">
        <v>38340</v>
      </c>
      <c r="K455" s="234">
        <v>15540</v>
      </c>
      <c r="L455" s="242">
        <v>15</v>
      </c>
      <c r="M455" s="308">
        <v>22800</v>
      </c>
      <c r="N455" s="234">
        <v>19380</v>
      </c>
      <c r="O455" s="234" t="s">
        <v>1713</v>
      </c>
      <c r="P455" s="236">
        <v>45908</v>
      </c>
      <c r="Q455" s="244">
        <v>0.60633101851851856</v>
      </c>
    </row>
    <row r="456" spans="1:17" ht="38.25">
      <c r="A456" s="239" t="s">
        <v>1642</v>
      </c>
      <c r="B456" s="240">
        <v>1489</v>
      </c>
      <c r="C456" s="241">
        <v>37165</v>
      </c>
      <c r="D456" s="239" t="s">
        <v>2711</v>
      </c>
      <c r="E456" s="239" t="s">
        <v>380</v>
      </c>
      <c r="F456" s="239" t="s">
        <v>381</v>
      </c>
      <c r="G456" s="239" t="s">
        <v>948</v>
      </c>
      <c r="H456" s="239" t="s">
        <v>51</v>
      </c>
      <c r="I456" s="239" t="s">
        <v>1580</v>
      </c>
      <c r="J456" s="234">
        <v>39840</v>
      </c>
      <c r="K456" s="234">
        <v>15030</v>
      </c>
      <c r="L456" s="242">
        <v>14</v>
      </c>
      <c r="M456" s="308">
        <v>24810</v>
      </c>
      <c r="N456" s="234">
        <v>21336.6</v>
      </c>
      <c r="O456" s="234" t="s">
        <v>1714</v>
      </c>
      <c r="P456" s="236">
        <v>45908</v>
      </c>
      <c r="Q456" s="244">
        <v>0.69615740740740739</v>
      </c>
    </row>
    <row r="457" spans="1:17" ht="38.25">
      <c r="A457" s="239" t="s">
        <v>1643</v>
      </c>
      <c r="B457" s="240">
        <v>1491</v>
      </c>
      <c r="C457" s="241">
        <v>37169</v>
      </c>
      <c r="D457" s="239" t="s">
        <v>2711</v>
      </c>
      <c r="E457" s="239" t="s">
        <v>858</v>
      </c>
      <c r="F457" s="239" t="s">
        <v>859</v>
      </c>
      <c r="G457" s="239" t="s">
        <v>948</v>
      </c>
      <c r="H457" s="239" t="s">
        <v>51</v>
      </c>
      <c r="I457" s="239" t="s">
        <v>1580</v>
      </c>
      <c r="J457" s="234">
        <v>38090</v>
      </c>
      <c r="K457" s="234">
        <v>14680</v>
      </c>
      <c r="L457" s="242">
        <v>9</v>
      </c>
      <c r="M457" s="308">
        <v>23410</v>
      </c>
      <c r="N457" s="234">
        <v>21303.1</v>
      </c>
      <c r="O457" s="234" t="s">
        <v>1715</v>
      </c>
      <c r="P457" s="236">
        <v>45908</v>
      </c>
      <c r="Q457" s="244">
        <v>0.69894675925925931</v>
      </c>
    </row>
    <row r="458" spans="1:17" ht="38.25">
      <c r="A458" s="239" t="s">
        <v>1644</v>
      </c>
      <c r="B458" s="240">
        <v>1494</v>
      </c>
      <c r="C458" s="241">
        <v>37171</v>
      </c>
      <c r="D458" s="239" t="s">
        <v>2711</v>
      </c>
      <c r="E458" s="239" t="s">
        <v>400</v>
      </c>
      <c r="F458" s="239" t="s">
        <v>401</v>
      </c>
      <c r="G458" s="239" t="s">
        <v>948</v>
      </c>
      <c r="H458" s="239" t="s">
        <v>51</v>
      </c>
      <c r="I458" s="239" t="s">
        <v>1580</v>
      </c>
      <c r="J458" s="234">
        <v>37670</v>
      </c>
      <c r="K458" s="234">
        <v>14680</v>
      </c>
      <c r="L458" s="242">
        <v>8</v>
      </c>
      <c r="M458" s="308">
        <v>22990</v>
      </c>
      <c r="N458" s="234">
        <v>21150.799999999999</v>
      </c>
      <c r="O458" s="234" t="s">
        <v>1716</v>
      </c>
      <c r="P458" s="236">
        <v>45908</v>
      </c>
      <c r="Q458" s="244">
        <v>0.76304398148148145</v>
      </c>
    </row>
    <row r="459" spans="1:17" ht="38.25">
      <c r="A459" s="239" t="s">
        <v>1645</v>
      </c>
      <c r="B459" s="240">
        <v>1495</v>
      </c>
      <c r="C459" s="241">
        <v>37173</v>
      </c>
      <c r="D459" s="239" t="s">
        <v>2711</v>
      </c>
      <c r="E459" s="239" t="s">
        <v>372</v>
      </c>
      <c r="F459" s="239" t="s">
        <v>373</v>
      </c>
      <c r="G459" s="239" t="s">
        <v>948</v>
      </c>
      <c r="H459" s="239" t="s">
        <v>51</v>
      </c>
      <c r="I459" s="239" t="s">
        <v>1580</v>
      </c>
      <c r="J459" s="234">
        <v>39320</v>
      </c>
      <c r="K459" s="234">
        <v>14830</v>
      </c>
      <c r="L459" s="242">
        <v>9</v>
      </c>
      <c r="M459" s="308">
        <v>24490</v>
      </c>
      <c r="N459" s="234">
        <v>22285.9</v>
      </c>
      <c r="O459" s="234" t="s">
        <v>1717</v>
      </c>
      <c r="P459" s="236">
        <v>45908</v>
      </c>
      <c r="Q459" s="244">
        <v>0.76478009259259261</v>
      </c>
    </row>
    <row r="460" spans="1:17" ht="38.25">
      <c r="A460" s="239" t="s">
        <v>1646</v>
      </c>
      <c r="B460" s="240">
        <v>1496</v>
      </c>
      <c r="C460" s="241">
        <v>37175</v>
      </c>
      <c r="D460" s="239" t="s">
        <v>2711</v>
      </c>
      <c r="E460" s="239" t="s">
        <v>1305</v>
      </c>
      <c r="F460" s="239" t="s">
        <v>1306</v>
      </c>
      <c r="G460" s="239" t="s">
        <v>948</v>
      </c>
      <c r="H460" s="239" t="s">
        <v>51</v>
      </c>
      <c r="I460" s="239" t="s">
        <v>1580</v>
      </c>
      <c r="J460" s="234">
        <v>35230</v>
      </c>
      <c r="K460" s="234">
        <v>14680</v>
      </c>
      <c r="L460" s="242">
        <v>12</v>
      </c>
      <c r="M460" s="308">
        <v>20550</v>
      </c>
      <c r="N460" s="234">
        <v>18084</v>
      </c>
      <c r="O460" s="234" t="s">
        <v>1718</v>
      </c>
      <c r="P460" s="236">
        <v>45908</v>
      </c>
      <c r="Q460" s="244">
        <v>0.82884259259259263</v>
      </c>
    </row>
    <row r="461" spans="1:17" ht="38.25">
      <c r="A461" s="239" t="s">
        <v>1652</v>
      </c>
      <c r="B461" s="240">
        <v>1500</v>
      </c>
      <c r="C461" s="241">
        <v>37177</v>
      </c>
      <c r="D461" s="239" t="s">
        <v>2711</v>
      </c>
      <c r="E461" s="239" t="s">
        <v>403</v>
      </c>
      <c r="F461" s="239" t="s">
        <v>404</v>
      </c>
      <c r="G461" s="239" t="s">
        <v>948</v>
      </c>
      <c r="H461" s="239" t="s">
        <v>51</v>
      </c>
      <c r="I461" s="239" t="s">
        <v>1580</v>
      </c>
      <c r="J461" s="234">
        <v>39450</v>
      </c>
      <c r="K461" s="234">
        <v>14520</v>
      </c>
      <c r="L461" s="242">
        <v>6</v>
      </c>
      <c r="M461" s="308">
        <v>24930</v>
      </c>
      <c r="N461" s="234">
        <v>23434.2</v>
      </c>
      <c r="O461" s="234" t="s">
        <v>1722</v>
      </c>
      <c r="P461" s="236">
        <v>45908</v>
      </c>
      <c r="Q461" s="244">
        <v>0.87384259259259256</v>
      </c>
    </row>
    <row r="462" spans="1:17" ht="38.25">
      <c r="A462" s="239" t="s">
        <v>1653</v>
      </c>
      <c r="B462" s="240">
        <v>1501</v>
      </c>
      <c r="C462" s="241">
        <v>37179</v>
      </c>
      <c r="D462" s="239" t="s">
        <v>2711</v>
      </c>
      <c r="E462" s="239" t="s">
        <v>406</v>
      </c>
      <c r="F462" s="239" t="s">
        <v>407</v>
      </c>
      <c r="G462" s="239" t="s">
        <v>948</v>
      </c>
      <c r="H462" s="239" t="s">
        <v>51</v>
      </c>
      <c r="I462" s="239" t="s">
        <v>1580</v>
      </c>
      <c r="J462" s="234">
        <v>40120</v>
      </c>
      <c r="K462" s="234">
        <v>14970</v>
      </c>
      <c r="L462" s="242">
        <v>7</v>
      </c>
      <c r="M462" s="308">
        <v>25150</v>
      </c>
      <c r="N462" s="234">
        <v>23389.5</v>
      </c>
      <c r="O462" s="234" t="s">
        <v>1723</v>
      </c>
      <c r="P462" s="236">
        <v>45908</v>
      </c>
      <c r="Q462" s="244">
        <v>0.88848379629629626</v>
      </c>
    </row>
    <row r="463" spans="1:17" ht="38.25">
      <c r="A463" s="239" t="s">
        <v>1654</v>
      </c>
      <c r="B463" s="240">
        <v>1503</v>
      </c>
      <c r="C463" s="241">
        <v>37181</v>
      </c>
      <c r="D463" s="239" t="s">
        <v>2711</v>
      </c>
      <c r="E463" s="239" t="s">
        <v>780</v>
      </c>
      <c r="F463" s="239" t="s">
        <v>781</v>
      </c>
      <c r="G463" s="239" t="s">
        <v>948</v>
      </c>
      <c r="H463" s="239" t="s">
        <v>51</v>
      </c>
      <c r="I463" s="239" t="s">
        <v>1580</v>
      </c>
      <c r="J463" s="234">
        <v>36000</v>
      </c>
      <c r="K463" s="234">
        <v>14780</v>
      </c>
      <c r="L463" s="242">
        <v>6</v>
      </c>
      <c r="M463" s="308">
        <v>21220</v>
      </c>
      <c r="N463" s="234">
        <v>19946.8</v>
      </c>
      <c r="O463" s="234" t="s">
        <v>1724</v>
      </c>
      <c r="P463" s="236">
        <v>45908</v>
      </c>
      <c r="Q463" s="244">
        <v>0.90293981481481478</v>
      </c>
    </row>
    <row r="464" spans="1:17" ht="38.25">
      <c r="A464" s="239" t="s">
        <v>1656</v>
      </c>
      <c r="B464" s="240">
        <v>1504</v>
      </c>
      <c r="C464" s="241">
        <v>37183</v>
      </c>
      <c r="D464" s="239" t="s">
        <v>2711</v>
      </c>
      <c r="E464" s="239" t="s">
        <v>410</v>
      </c>
      <c r="F464" s="239" t="s">
        <v>411</v>
      </c>
      <c r="G464" s="239" t="s">
        <v>948</v>
      </c>
      <c r="H464" s="239" t="s">
        <v>51</v>
      </c>
      <c r="I464" s="239" t="s">
        <v>1580</v>
      </c>
      <c r="J464" s="234">
        <v>37990</v>
      </c>
      <c r="K464" s="234">
        <v>14940</v>
      </c>
      <c r="L464" s="242">
        <v>15</v>
      </c>
      <c r="M464" s="308">
        <v>23050</v>
      </c>
      <c r="N464" s="234">
        <v>19592.5</v>
      </c>
      <c r="O464" s="234" t="s">
        <v>1726</v>
      </c>
      <c r="P464" s="236">
        <v>45908</v>
      </c>
      <c r="Q464" s="244">
        <v>0.94909722222222226</v>
      </c>
    </row>
    <row r="465" spans="1:17" ht="51">
      <c r="A465" s="239" t="s">
        <v>1647</v>
      </c>
      <c r="B465" s="240">
        <v>1506</v>
      </c>
      <c r="C465" s="241">
        <v>37189</v>
      </c>
      <c r="D465" s="239" t="s">
        <v>2711</v>
      </c>
      <c r="E465" s="239" t="s">
        <v>1648</v>
      </c>
      <c r="F465" s="239" t="s">
        <v>1649</v>
      </c>
      <c r="G465" s="239" t="s">
        <v>948</v>
      </c>
      <c r="H465" s="239" t="s">
        <v>51</v>
      </c>
      <c r="I465" s="239" t="s">
        <v>1580</v>
      </c>
      <c r="J465" s="234">
        <v>39020</v>
      </c>
      <c r="K465" s="234">
        <v>15630</v>
      </c>
      <c r="L465" s="242">
        <v>14</v>
      </c>
      <c r="M465" s="308">
        <v>23390</v>
      </c>
      <c r="N465" s="234">
        <v>20115.400000000001</v>
      </c>
      <c r="O465" s="234" t="s">
        <v>1719</v>
      </c>
      <c r="P465" s="236">
        <v>45908</v>
      </c>
      <c r="Q465" s="244">
        <v>0.83356481481481481</v>
      </c>
    </row>
    <row r="466" spans="1:17" ht="38.25">
      <c r="A466" s="239" t="s">
        <v>1650</v>
      </c>
      <c r="B466" s="240">
        <v>1507</v>
      </c>
      <c r="C466" s="241">
        <v>37187</v>
      </c>
      <c r="D466" s="239" t="s">
        <v>2711</v>
      </c>
      <c r="E466" s="239" t="s">
        <v>413</v>
      </c>
      <c r="F466" s="239" t="s">
        <v>414</v>
      </c>
      <c r="G466" s="239" t="s">
        <v>948</v>
      </c>
      <c r="H466" s="239" t="s">
        <v>51</v>
      </c>
      <c r="I466" s="239" t="s">
        <v>1580</v>
      </c>
      <c r="J466" s="234">
        <v>43120</v>
      </c>
      <c r="K466" s="234">
        <v>14890</v>
      </c>
      <c r="L466" s="242">
        <v>7</v>
      </c>
      <c r="M466" s="308">
        <v>28230</v>
      </c>
      <c r="N466" s="234">
        <v>26253.9</v>
      </c>
      <c r="O466" s="234" t="s">
        <v>1720</v>
      </c>
      <c r="P466" s="236">
        <v>45908</v>
      </c>
      <c r="Q466" s="244">
        <v>0.83666666666666667</v>
      </c>
    </row>
    <row r="467" spans="1:17" ht="38.25">
      <c r="A467" s="239" t="s">
        <v>1651</v>
      </c>
      <c r="B467" s="240">
        <v>1508</v>
      </c>
      <c r="C467" s="241">
        <v>37185</v>
      </c>
      <c r="D467" s="239" t="s">
        <v>2711</v>
      </c>
      <c r="E467" s="239" t="s">
        <v>432</v>
      </c>
      <c r="F467" s="239" t="s">
        <v>433</v>
      </c>
      <c r="G467" s="239" t="s">
        <v>948</v>
      </c>
      <c r="H467" s="239" t="s">
        <v>51</v>
      </c>
      <c r="I467" s="239" t="s">
        <v>1580</v>
      </c>
      <c r="J467" s="234">
        <v>41580</v>
      </c>
      <c r="K467" s="234">
        <v>15500</v>
      </c>
      <c r="L467" s="242">
        <v>14</v>
      </c>
      <c r="M467" s="308">
        <v>26080</v>
      </c>
      <c r="N467" s="234">
        <v>22428.799999999999</v>
      </c>
      <c r="O467" s="234" t="s">
        <v>1721</v>
      </c>
      <c r="P467" s="236">
        <v>45908</v>
      </c>
      <c r="Q467" s="244">
        <v>0.8405555555555555</v>
      </c>
    </row>
    <row r="468" spans="1:17" ht="38.25">
      <c r="A468" s="239" t="s">
        <v>1655</v>
      </c>
      <c r="B468" s="240">
        <v>1509</v>
      </c>
      <c r="C468" s="241">
        <v>37195</v>
      </c>
      <c r="D468" s="239" t="s">
        <v>2711</v>
      </c>
      <c r="E468" s="239" t="s">
        <v>447</v>
      </c>
      <c r="F468" s="239" t="s">
        <v>448</v>
      </c>
      <c r="G468" s="239" t="s">
        <v>948</v>
      </c>
      <c r="H468" s="239" t="s">
        <v>51</v>
      </c>
      <c r="I468" s="239" t="s">
        <v>1580</v>
      </c>
      <c r="J468" s="234">
        <v>52150</v>
      </c>
      <c r="K468" s="234">
        <v>19280</v>
      </c>
      <c r="L468" s="242">
        <v>9</v>
      </c>
      <c r="M468" s="308">
        <v>32870</v>
      </c>
      <c r="N468" s="234">
        <v>29911.7</v>
      </c>
      <c r="O468" s="234" t="s">
        <v>1725</v>
      </c>
      <c r="P468" s="236">
        <v>45908</v>
      </c>
      <c r="Q468" s="244">
        <v>0.93664351851851857</v>
      </c>
    </row>
    <row r="469" spans="1:17" ht="38.25">
      <c r="A469" s="239" t="s">
        <v>1657</v>
      </c>
      <c r="B469" s="240">
        <v>1510</v>
      </c>
      <c r="C469" s="241">
        <v>37197</v>
      </c>
      <c r="D469" s="239" t="s">
        <v>2711</v>
      </c>
      <c r="E469" s="239" t="s">
        <v>429</v>
      </c>
      <c r="F469" s="239" t="s">
        <v>430</v>
      </c>
      <c r="G469" s="239" t="s">
        <v>948</v>
      </c>
      <c r="H469" s="239" t="s">
        <v>51</v>
      </c>
      <c r="I469" s="239" t="s">
        <v>1580</v>
      </c>
      <c r="J469" s="234">
        <v>38480</v>
      </c>
      <c r="K469" s="234">
        <v>14190</v>
      </c>
      <c r="L469" s="242">
        <v>11</v>
      </c>
      <c r="M469" s="308">
        <v>24290</v>
      </c>
      <c r="N469" s="234">
        <v>21618.1</v>
      </c>
      <c r="O469" s="234" t="s">
        <v>1727</v>
      </c>
      <c r="P469" s="236">
        <v>45908</v>
      </c>
      <c r="Q469" s="244">
        <v>0.95583333333333331</v>
      </c>
    </row>
    <row r="470" spans="1:17" ht="38.25">
      <c r="A470" s="239" t="s">
        <v>1658</v>
      </c>
      <c r="B470" s="240">
        <v>1511</v>
      </c>
      <c r="C470" s="241">
        <v>37191</v>
      </c>
      <c r="D470" s="239" t="s">
        <v>2711</v>
      </c>
      <c r="E470" s="239" t="s">
        <v>1410</v>
      </c>
      <c r="F470" s="239" t="s">
        <v>437</v>
      </c>
      <c r="G470" s="239" t="s">
        <v>948</v>
      </c>
      <c r="H470" s="239" t="s">
        <v>51</v>
      </c>
      <c r="I470" s="239" t="s">
        <v>1580</v>
      </c>
      <c r="J470" s="234">
        <v>40490</v>
      </c>
      <c r="K470" s="234">
        <v>14790</v>
      </c>
      <c r="L470" s="242">
        <v>5</v>
      </c>
      <c r="M470" s="308">
        <v>25700</v>
      </c>
      <c r="N470" s="234">
        <v>24415</v>
      </c>
      <c r="O470" s="234" t="s">
        <v>1728</v>
      </c>
      <c r="P470" s="236">
        <v>45908</v>
      </c>
      <c r="Q470" s="244">
        <v>0.95922453703703703</v>
      </c>
    </row>
    <row r="471" spans="1:17" ht="38.25">
      <c r="A471" s="239" t="s">
        <v>1659</v>
      </c>
      <c r="B471" s="240">
        <v>1512</v>
      </c>
      <c r="C471" s="241">
        <v>37193</v>
      </c>
      <c r="D471" s="239" t="s">
        <v>2711</v>
      </c>
      <c r="E471" s="239" t="s">
        <v>439</v>
      </c>
      <c r="F471" s="239" t="s">
        <v>440</v>
      </c>
      <c r="G471" s="239" t="s">
        <v>948</v>
      </c>
      <c r="H471" s="239" t="s">
        <v>51</v>
      </c>
      <c r="I471" s="239" t="s">
        <v>1580</v>
      </c>
      <c r="J471" s="234">
        <v>38990</v>
      </c>
      <c r="K471" s="234">
        <v>14890</v>
      </c>
      <c r="L471" s="242">
        <v>12</v>
      </c>
      <c r="M471" s="308">
        <v>24100</v>
      </c>
      <c r="N471" s="234">
        <v>21208</v>
      </c>
      <c r="O471" s="234" t="s">
        <v>1729</v>
      </c>
      <c r="P471" s="236">
        <v>45908</v>
      </c>
      <c r="Q471" s="244">
        <v>0.96285879629629634</v>
      </c>
    </row>
    <row r="472" spans="1:17" ht="38.25">
      <c r="A472" s="239" t="s">
        <v>1660</v>
      </c>
      <c r="B472" s="240">
        <v>1513</v>
      </c>
      <c r="C472" s="241">
        <v>37199</v>
      </c>
      <c r="D472" s="239" t="s">
        <v>2711</v>
      </c>
      <c r="E472" s="239" t="s">
        <v>416</v>
      </c>
      <c r="F472" s="239" t="s">
        <v>417</v>
      </c>
      <c r="G472" s="239" t="s">
        <v>948</v>
      </c>
      <c r="H472" s="239" t="s">
        <v>51</v>
      </c>
      <c r="I472" s="239" t="s">
        <v>1580</v>
      </c>
      <c r="J472" s="234">
        <v>37570</v>
      </c>
      <c r="K472" s="234">
        <v>14680</v>
      </c>
      <c r="L472" s="242">
        <v>10</v>
      </c>
      <c r="M472" s="308">
        <v>22890</v>
      </c>
      <c r="N472" s="234">
        <v>20601</v>
      </c>
      <c r="O472" s="234" t="s">
        <v>1730</v>
      </c>
      <c r="P472" s="236">
        <v>45909</v>
      </c>
      <c r="Q472" s="244">
        <v>0.29299768518518521</v>
      </c>
    </row>
    <row r="473" spans="1:17" ht="38.25">
      <c r="A473" s="239" t="s">
        <v>1731</v>
      </c>
      <c r="B473" s="240">
        <v>1514</v>
      </c>
      <c r="C473" s="241">
        <v>37204</v>
      </c>
      <c r="D473" s="239" t="s">
        <v>2711</v>
      </c>
      <c r="E473" s="239" t="s">
        <v>420</v>
      </c>
      <c r="F473" s="239" t="s">
        <v>421</v>
      </c>
      <c r="G473" s="239" t="s">
        <v>948</v>
      </c>
      <c r="H473" s="239" t="s">
        <v>51</v>
      </c>
      <c r="I473" s="239" t="s">
        <v>1580</v>
      </c>
      <c r="J473" s="234">
        <v>36160</v>
      </c>
      <c r="K473" s="234">
        <v>14800</v>
      </c>
      <c r="L473" s="242">
        <v>7</v>
      </c>
      <c r="M473" s="308">
        <v>21360</v>
      </c>
      <c r="N473" s="234">
        <v>19864.8</v>
      </c>
      <c r="O473" s="234" t="s">
        <v>1751</v>
      </c>
      <c r="P473" s="236">
        <v>45909</v>
      </c>
      <c r="Q473" s="244">
        <v>0.41372685185185187</v>
      </c>
    </row>
    <row r="474" spans="1:17" ht="38.25">
      <c r="A474" s="239" t="s">
        <v>1732</v>
      </c>
      <c r="B474" s="240">
        <v>1515</v>
      </c>
      <c r="C474" s="241">
        <v>37224</v>
      </c>
      <c r="D474" s="239" t="s">
        <v>2711</v>
      </c>
      <c r="E474" s="239" t="s">
        <v>1663</v>
      </c>
      <c r="F474" s="239" t="s">
        <v>1733</v>
      </c>
      <c r="G474" s="239" t="s">
        <v>948</v>
      </c>
      <c r="H474" s="239" t="s">
        <v>51</v>
      </c>
      <c r="I474" s="239" t="s">
        <v>1580</v>
      </c>
      <c r="J474" s="234">
        <v>39140</v>
      </c>
      <c r="K474" s="234">
        <v>15480</v>
      </c>
      <c r="L474" s="242">
        <v>9</v>
      </c>
      <c r="M474" s="308">
        <v>23660</v>
      </c>
      <c r="N474" s="234">
        <v>21530.6</v>
      </c>
      <c r="O474" s="234" t="s">
        <v>1752</v>
      </c>
      <c r="P474" s="236">
        <v>45909</v>
      </c>
      <c r="Q474" s="244">
        <v>0.42375000000000002</v>
      </c>
    </row>
    <row r="475" spans="1:17" ht="38.25">
      <c r="A475" s="239" t="s">
        <v>1734</v>
      </c>
      <c r="B475" s="240">
        <v>1516</v>
      </c>
      <c r="C475" s="241">
        <v>37257</v>
      </c>
      <c r="D475" s="239" t="s">
        <v>2711</v>
      </c>
      <c r="E475" s="239" t="s">
        <v>794</v>
      </c>
      <c r="F475" s="239" t="s">
        <v>795</v>
      </c>
      <c r="G475" s="239" t="s">
        <v>948</v>
      </c>
      <c r="H475" s="239" t="s">
        <v>51</v>
      </c>
      <c r="I475" s="239" t="s">
        <v>1580</v>
      </c>
      <c r="J475" s="234">
        <v>42950</v>
      </c>
      <c r="K475" s="234">
        <v>16050</v>
      </c>
      <c r="L475" s="242">
        <v>8</v>
      </c>
      <c r="M475" s="308">
        <v>26900</v>
      </c>
      <c r="N475" s="234">
        <v>24748</v>
      </c>
      <c r="O475" s="234" t="s">
        <v>1753</v>
      </c>
      <c r="P475" s="236">
        <v>45909</v>
      </c>
      <c r="Q475" s="244">
        <v>0.43038194444444444</v>
      </c>
    </row>
    <row r="476" spans="1:17" ht="38.25">
      <c r="A476" s="239" t="s">
        <v>1735</v>
      </c>
      <c r="B476" s="240">
        <v>1518</v>
      </c>
      <c r="C476" s="241">
        <v>37247</v>
      </c>
      <c r="D476" s="239" t="s">
        <v>2711</v>
      </c>
      <c r="E476" s="239" t="s">
        <v>382</v>
      </c>
      <c r="F476" s="239" t="s">
        <v>383</v>
      </c>
      <c r="G476" s="239" t="s">
        <v>948</v>
      </c>
      <c r="H476" s="239" t="s">
        <v>51</v>
      </c>
      <c r="I476" s="239" t="s">
        <v>1580</v>
      </c>
      <c r="J476" s="234">
        <v>36290</v>
      </c>
      <c r="K476" s="234">
        <v>14540</v>
      </c>
      <c r="L476" s="242">
        <v>7</v>
      </c>
      <c r="M476" s="308">
        <v>21750</v>
      </c>
      <c r="N476" s="234">
        <v>20227.5</v>
      </c>
      <c r="O476" s="234" t="s">
        <v>1754</v>
      </c>
      <c r="P476" s="236">
        <v>45909</v>
      </c>
      <c r="Q476" s="244">
        <v>0.47810185185185183</v>
      </c>
    </row>
    <row r="477" spans="1:17" ht="38.25">
      <c r="A477" s="239" t="s">
        <v>1738</v>
      </c>
      <c r="B477" s="240">
        <v>1519</v>
      </c>
      <c r="C477" s="241">
        <v>37263</v>
      </c>
      <c r="D477" s="239" t="s">
        <v>2711</v>
      </c>
      <c r="E477" s="239" t="s">
        <v>462</v>
      </c>
      <c r="F477" s="239" t="s">
        <v>463</v>
      </c>
      <c r="G477" s="239" t="s">
        <v>948</v>
      </c>
      <c r="H477" s="239" t="s">
        <v>51</v>
      </c>
      <c r="I477" s="239" t="s">
        <v>1580</v>
      </c>
      <c r="J477" s="234">
        <v>40640</v>
      </c>
      <c r="K477" s="234">
        <v>16300</v>
      </c>
      <c r="L477" s="242">
        <v>10</v>
      </c>
      <c r="M477" s="308">
        <v>24340</v>
      </c>
      <c r="N477" s="234">
        <v>21906</v>
      </c>
      <c r="O477" s="234" t="s">
        <v>1757</v>
      </c>
      <c r="P477" s="236">
        <v>45909</v>
      </c>
      <c r="Q477" s="244">
        <v>0.56530092592592596</v>
      </c>
    </row>
    <row r="478" spans="1:17" ht="38.25">
      <c r="A478" s="239" t="s">
        <v>1739</v>
      </c>
      <c r="B478" s="240">
        <v>1520</v>
      </c>
      <c r="C478" s="241">
        <v>37259</v>
      </c>
      <c r="D478" s="239" t="s">
        <v>2711</v>
      </c>
      <c r="E478" s="239" t="s">
        <v>791</v>
      </c>
      <c r="F478" s="239" t="s">
        <v>792</v>
      </c>
      <c r="G478" s="239" t="s">
        <v>948</v>
      </c>
      <c r="H478" s="239" t="s">
        <v>51</v>
      </c>
      <c r="I478" s="239" t="s">
        <v>1580</v>
      </c>
      <c r="J478" s="234">
        <v>40300</v>
      </c>
      <c r="K478" s="234">
        <v>14910</v>
      </c>
      <c r="L478" s="242">
        <v>12</v>
      </c>
      <c r="M478" s="308">
        <v>25390</v>
      </c>
      <c r="N478" s="234">
        <v>22343.200000000001</v>
      </c>
      <c r="O478" s="234" t="s">
        <v>1758</v>
      </c>
      <c r="P478" s="236">
        <v>45909</v>
      </c>
      <c r="Q478" s="244">
        <v>0.59203703703703703</v>
      </c>
    </row>
    <row r="479" spans="1:17" ht="38.25">
      <c r="A479" s="239" t="s">
        <v>1740</v>
      </c>
      <c r="B479" s="240">
        <v>1521</v>
      </c>
      <c r="C479" s="241">
        <v>37261</v>
      </c>
      <c r="D479" s="239" t="s">
        <v>2711</v>
      </c>
      <c r="E479" s="239" t="s">
        <v>841</v>
      </c>
      <c r="F479" s="239" t="s">
        <v>845</v>
      </c>
      <c r="G479" s="239" t="s">
        <v>948</v>
      </c>
      <c r="H479" s="239" t="s">
        <v>51</v>
      </c>
      <c r="I479" s="239" t="s">
        <v>1580</v>
      </c>
      <c r="J479" s="234">
        <v>43550</v>
      </c>
      <c r="K479" s="234">
        <v>15910</v>
      </c>
      <c r="L479" s="242">
        <v>8</v>
      </c>
      <c r="M479" s="308">
        <v>27640</v>
      </c>
      <c r="N479" s="234">
        <v>25428.799999999999</v>
      </c>
      <c r="O479" s="234" t="s">
        <v>1759</v>
      </c>
      <c r="P479" s="236">
        <v>45909</v>
      </c>
      <c r="Q479" s="244">
        <v>0.65637731481481476</v>
      </c>
    </row>
    <row r="480" spans="1:17" ht="38.25">
      <c r="A480" s="239" t="s">
        <v>1745</v>
      </c>
      <c r="B480" s="240">
        <v>1522</v>
      </c>
      <c r="C480" s="241">
        <v>37251</v>
      </c>
      <c r="D480" s="239" t="s">
        <v>2711</v>
      </c>
      <c r="E480" s="239" t="s">
        <v>1397</v>
      </c>
      <c r="F480" s="239" t="s">
        <v>1398</v>
      </c>
      <c r="G480" s="239" t="s">
        <v>948</v>
      </c>
      <c r="H480" s="239" t="s">
        <v>51</v>
      </c>
      <c r="I480" s="239" t="s">
        <v>1580</v>
      </c>
      <c r="J480" s="234">
        <v>43010</v>
      </c>
      <c r="K480" s="234">
        <v>16860</v>
      </c>
      <c r="L480" s="242">
        <v>9</v>
      </c>
      <c r="M480" s="308">
        <v>26150</v>
      </c>
      <c r="N480" s="234">
        <v>23796.5</v>
      </c>
      <c r="O480" s="234" t="s">
        <v>1764</v>
      </c>
      <c r="P480" s="236">
        <v>45909</v>
      </c>
      <c r="Q480" s="244">
        <v>0.83010416666666664</v>
      </c>
    </row>
    <row r="481" spans="1:17" ht="38.25">
      <c r="A481" s="239" t="s">
        <v>1746</v>
      </c>
      <c r="B481" s="240">
        <v>1523</v>
      </c>
      <c r="C481" s="241">
        <v>37253</v>
      </c>
      <c r="D481" s="239" t="s">
        <v>2711</v>
      </c>
      <c r="E481" s="239" t="s">
        <v>1403</v>
      </c>
      <c r="F481" s="239" t="s">
        <v>1404</v>
      </c>
      <c r="G481" s="239" t="s">
        <v>948</v>
      </c>
      <c r="H481" s="239" t="s">
        <v>51</v>
      </c>
      <c r="I481" s="239" t="s">
        <v>1580</v>
      </c>
      <c r="J481" s="234">
        <v>38590</v>
      </c>
      <c r="K481" s="234">
        <v>14990</v>
      </c>
      <c r="L481" s="242">
        <v>15</v>
      </c>
      <c r="M481" s="308">
        <v>23600</v>
      </c>
      <c r="N481" s="234">
        <v>20060</v>
      </c>
      <c r="O481" s="234" t="s">
        <v>1765</v>
      </c>
      <c r="P481" s="236">
        <v>45909</v>
      </c>
      <c r="Q481" s="244">
        <v>0.83378472222222222</v>
      </c>
    </row>
    <row r="482" spans="1:17" ht="38.25">
      <c r="A482" s="239" t="s">
        <v>1748</v>
      </c>
      <c r="B482" s="240">
        <v>1524</v>
      </c>
      <c r="C482" s="241">
        <v>37255</v>
      </c>
      <c r="D482" s="239" t="s">
        <v>2711</v>
      </c>
      <c r="E482" s="239" t="s">
        <v>1400</v>
      </c>
      <c r="F482" s="239" t="s">
        <v>1401</v>
      </c>
      <c r="G482" s="239" t="s">
        <v>948</v>
      </c>
      <c r="H482" s="239" t="s">
        <v>51</v>
      </c>
      <c r="I482" s="239" t="s">
        <v>1580</v>
      </c>
      <c r="J482" s="234">
        <v>36670</v>
      </c>
      <c r="K482" s="234">
        <v>14750</v>
      </c>
      <c r="L482" s="242">
        <v>10</v>
      </c>
      <c r="M482" s="308">
        <v>21920</v>
      </c>
      <c r="N482" s="234">
        <v>19728</v>
      </c>
      <c r="O482" s="234" t="s">
        <v>1767</v>
      </c>
      <c r="P482" s="236">
        <v>45909</v>
      </c>
      <c r="Q482" s="244">
        <v>0.85900462962962965</v>
      </c>
    </row>
    <row r="483" spans="1:17" ht="38.25">
      <c r="A483" s="239" t="s">
        <v>1750</v>
      </c>
      <c r="B483" s="240">
        <v>1527</v>
      </c>
      <c r="C483" s="241">
        <v>37265</v>
      </c>
      <c r="D483" s="239" t="s">
        <v>2711</v>
      </c>
      <c r="E483" s="239" t="s">
        <v>472</v>
      </c>
      <c r="F483" s="239" t="s">
        <v>473</v>
      </c>
      <c r="G483" s="239" t="s">
        <v>948</v>
      </c>
      <c r="H483" s="239" t="s">
        <v>51</v>
      </c>
      <c r="I483" s="239" t="s">
        <v>1580</v>
      </c>
      <c r="J483" s="234">
        <v>39300</v>
      </c>
      <c r="K483" s="234">
        <v>16490</v>
      </c>
      <c r="L483" s="242">
        <v>13</v>
      </c>
      <c r="M483" s="308">
        <v>22810</v>
      </c>
      <c r="N483" s="234">
        <v>19844.7</v>
      </c>
      <c r="O483" s="234" t="s">
        <v>1769</v>
      </c>
      <c r="P483" s="236">
        <v>45909</v>
      </c>
      <c r="Q483" s="244">
        <v>0.88621527777777775</v>
      </c>
    </row>
    <row r="484" spans="1:17" ht="51">
      <c r="A484" s="239" t="s">
        <v>1741</v>
      </c>
      <c r="B484" s="240">
        <v>1528</v>
      </c>
      <c r="C484" s="241">
        <v>37267</v>
      </c>
      <c r="D484" s="239" t="s">
        <v>2711</v>
      </c>
      <c r="E484" s="239" t="s">
        <v>475</v>
      </c>
      <c r="F484" s="239" t="s">
        <v>476</v>
      </c>
      <c r="G484" s="239" t="s">
        <v>955</v>
      </c>
      <c r="H484" s="239" t="s">
        <v>51</v>
      </c>
      <c r="I484" s="239" t="s">
        <v>1580</v>
      </c>
      <c r="J484" s="234">
        <v>40620</v>
      </c>
      <c r="K484" s="234">
        <v>16320</v>
      </c>
      <c r="L484" s="242">
        <v>7</v>
      </c>
      <c r="M484" s="308">
        <v>24300</v>
      </c>
      <c r="N484" s="234">
        <v>22599</v>
      </c>
      <c r="O484" s="234" t="s">
        <v>1760</v>
      </c>
      <c r="P484" s="236">
        <v>45909</v>
      </c>
      <c r="Q484" s="244">
        <v>0.70885416666666667</v>
      </c>
    </row>
    <row r="485" spans="1:17" ht="38.25">
      <c r="A485" s="239" t="s">
        <v>1736</v>
      </c>
      <c r="B485" s="240">
        <v>1531</v>
      </c>
      <c r="C485" s="241">
        <v>37269</v>
      </c>
      <c r="D485" s="239" t="s">
        <v>2711</v>
      </c>
      <c r="E485" s="239" t="s">
        <v>453</v>
      </c>
      <c r="F485" s="239" t="s">
        <v>454</v>
      </c>
      <c r="G485" s="239" t="s">
        <v>955</v>
      </c>
      <c r="H485" s="239" t="s">
        <v>51</v>
      </c>
      <c r="I485" s="239" t="s">
        <v>1580</v>
      </c>
      <c r="J485" s="234">
        <v>52810</v>
      </c>
      <c r="K485" s="234">
        <v>24090</v>
      </c>
      <c r="L485" s="242">
        <v>11</v>
      </c>
      <c r="M485" s="308">
        <v>28720</v>
      </c>
      <c r="N485" s="234">
        <v>25560.799999999999</v>
      </c>
      <c r="O485" s="234" t="s">
        <v>1755</v>
      </c>
      <c r="P485" s="236">
        <v>45909</v>
      </c>
      <c r="Q485" s="244">
        <v>0.51428240740740738</v>
      </c>
    </row>
    <row r="486" spans="1:17" ht="38.25">
      <c r="A486" s="239" t="s">
        <v>1737</v>
      </c>
      <c r="B486" s="240">
        <v>1532</v>
      </c>
      <c r="C486" s="241">
        <v>37271</v>
      </c>
      <c r="D486" s="239" t="s">
        <v>2711</v>
      </c>
      <c r="E486" s="239" t="s">
        <v>456</v>
      </c>
      <c r="F486" s="239" t="s">
        <v>457</v>
      </c>
      <c r="G486" s="239" t="s">
        <v>955</v>
      </c>
      <c r="H486" s="239" t="s">
        <v>51</v>
      </c>
      <c r="I486" s="239" t="s">
        <v>1580</v>
      </c>
      <c r="J486" s="234">
        <v>44390</v>
      </c>
      <c r="K486" s="234">
        <v>15510</v>
      </c>
      <c r="L486" s="242">
        <v>4</v>
      </c>
      <c r="M486" s="308">
        <v>28880</v>
      </c>
      <c r="N486" s="234">
        <v>27724.799999999999</v>
      </c>
      <c r="O486" s="234" t="s">
        <v>1756</v>
      </c>
      <c r="P486" s="236">
        <v>45909</v>
      </c>
      <c r="Q486" s="244">
        <v>0.51982638888888888</v>
      </c>
    </row>
    <row r="487" spans="1:17" ht="38.25">
      <c r="A487" s="239" t="s">
        <v>1742</v>
      </c>
      <c r="B487" s="240">
        <v>1541</v>
      </c>
      <c r="C487" s="241">
        <v>37275</v>
      </c>
      <c r="D487" s="239" t="s">
        <v>2711</v>
      </c>
      <c r="E487" s="239" t="s">
        <v>390</v>
      </c>
      <c r="F487" s="239" t="s">
        <v>391</v>
      </c>
      <c r="G487" s="239" t="s">
        <v>955</v>
      </c>
      <c r="H487" s="239" t="s">
        <v>51</v>
      </c>
      <c r="I487" s="239" t="s">
        <v>1580</v>
      </c>
      <c r="J487" s="234">
        <v>39830</v>
      </c>
      <c r="K487" s="234">
        <v>15060</v>
      </c>
      <c r="L487" s="242">
        <v>9</v>
      </c>
      <c r="M487" s="308">
        <v>24770</v>
      </c>
      <c r="N487" s="234">
        <v>22540.7</v>
      </c>
      <c r="O487" s="234" t="s">
        <v>1761</v>
      </c>
      <c r="P487" s="236">
        <v>45909</v>
      </c>
      <c r="Q487" s="244">
        <v>0.76057870370370373</v>
      </c>
    </row>
    <row r="488" spans="1:17" ht="38.25">
      <c r="A488" s="239" t="s">
        <v>1743</v>
      </c>
      <c r="B488" s="240">
        <v>1542</v>
      </c>
      <c r="C488" s="241">
        <v>37277</v>
      </c>
      <c r="D488" s="239" t="s">
        <v>2711</v>
      </c>
      <c r="E488" s="239" t="s">
        <v>377</v>
      </c>
      <c r="F488" s="239" t="s">
        <v>378</v>
      </c>
      <c r="G488" s="239" t="s">
        <v>955</v>
      </c>
      <c r="H488" s="239" t="s">
        <v>51</v>
      </c>
      <c r="I488" s="239" t="s">
        <v>1580</v>
      </c>
      <c r="J488" s="234">
        <v>41750</v>
      </c>
      <c r="K488" s="234">
        <v>15110</v>
      </c>
      <c r="L488" s="242">
        <v>12</v>
      </c>
      <c r="M488" s="308">
        <v>26640</v>
      </c>
      <c r="N488" s="234">
        <v>23443.200000000001</v>
      </c>
      <c r="O488" s="234" t="s">
        <v>1762</v>
      </c>
      <c r="P488" s="236">
        <v>45909</v>
      </c>
      <c r="Q488" s="244">
        <v>0.78163194444444439</v>
      </c>
    </row>
    <row r="489" spans="1:17" ht="38.25">
      <c r="A489" s="239" t="s">
        <v>1744</v>
      </c>
      <c r="B489" s="240">
        <v>1543</v>
      </c>
      <c r="C489" s="241">
        <v>37273</v>
      </c>
      <c r="D489" s="239" t="s">
        <v>2711</v>
      </c>
      <c r="E489" s="239" t="s">
        <v>392</v>
      </c>
      <c r="F489" s="239" t="s">
        <v>393</v>
      </c>
      <c r="G489" s="239" t="s">
        <v>955</v>
      </c>
      <c r="H489" s="239" t="s">
        <v>51</v>
      </c>
      <c r="I489" s="239" t="s">
        <v>1580</v>
      </c>
      <c r="J489" s="234">
        <v>58480</v>
      </c>
      <c r="K489" s="234">
        <v>24100</v>
      </c>
      <c r="L489" s="242">
        <v>12</v>
      </c>
      <c r="M489" s="308">
        <v>34380</v>
      </c>
      <c r="N489" s="234">
        <v>30254.400000000001</v>
      </c>
      <c r="O489" s="234" t="s">
        <v>1763</v>
      </c>
      <c r="P489" s="236">
        <v>45909</v>
      </c>
      <c r="Q489" s="244">
        <v>0.78453703703703703</v>
      </c>
    </row>
    <row r="490" spans="1:17" ht="38.25">
      <c r="A490" s="239" t="s">
        <v>1747</v>
      </c>
      <c r="B490" s="240">
        <v>1544</v>
      </c>
      <c r="C490" s="241">
        <v>37279</v>
      </c>
      <c r="D490" s="239" t="s">
        <v>2711</v>
      </c>
      <c r="E490" s="239" t="s">
        <v>388</v>
      </c>
      <c r="F490" s="239" t="s">
        <v>389</v>
      </c>
      <c r="G490" s="239" t="s">
        <v>955</v>
      </c>
      <c r="H490" s="239" t="s">
        <v>51</v>
      </c>
      <c r="I490" s="239" t="s">
        <v>1580</v>
      </c>
      <c r="J490" s="234">
        <v>52910</v>
      </c>
      <c r="K490" s="234">
        <v>20890</v>
      </c>
      <c r="L490" s="242">
        <v>9</v>
      </c>
      <c r="M490" s="308">
        <v>32020</v>
      </c>
      <c r="N490" s="234">
        <v>29138.2</v>
      </c>
      <c r="O490" s="234" t="s">
        <v>1766</v>
      </c>
      <c r="P490" s="236">
        <v>45909</v>
      </c>
      <c r="Q490" s="244">
        <v>0.83684027777777781</v>
      </c>
    </row>
    <row r="491" spans="1:17" ht="50.25" customHeight="1">
      <c r="A491" s="239" t="s">
        <v>1749</v>
      </c>
      <c r="B491" s="240">
        <v>1545</v>
      </c>
      <c r="C491" s="241">
        <v>37288</v>
      </c>
      <c r="D491" s="239" t="s">
        <v>2711</v>
      </c>
      <c r="E491" s="239" t="s">
        <v>866</v>
      </c>
      <c r="F491" s="239" t="s">
        <v>867</v>
      </c>
      <c r="G491" s="239" t="s">
        <v>955</v>
      </c>
      <c r="H491" s="239" t="s">
        <v>51</v>
      </c>
      <c r="I491" s="239" t="s">
        <v>1580</v>
      </c>
      <c r="J491" s="234">
        <v>39090</v>
      </c>
      <c r="K491" s="234">
        <v>14460</v>
      </c>
      <c r="L491" s="242">
        <v>8</v>
      </c>
      <c r="M491" s="308">
        <v>24630</v>
      </c>
      <c r="N491" s="234">
        <v>22659.599999999999</v>
      </c>
      <c r="O491" s="234" t="s">
        <v>1768</v>
      </c>
      <c r="P491" s="236">
        <v>45909</v>
      </c>
      <c r="Q491" s="244">
        <v>0.86086805555555557</v>
      </c>
    </row>
    <row r="492" spans="1:17" ht="50.25" customHeight="1">
      <c r="A492" s="239" t="s">
        <v>1770</v>
      </c>
      <c r="B492" s="240">
        <v>1546</v>
      </c>
      <c r="C492" s="241">
        <v>37281</v>
      </c>
      <c r="D492" s="239" t="s">
        <v>2711</v>
      </c>
      <c r="E492" s="239" t="s">
        <v>380</v>
      </c>
      <c r="F492" s="239" t="s">
        <v>381</v>
      </c>
      <c r="G492" s="239" t="s">
        <v>955</v>
      </c>
      <c r="H492" s="239" t="s">
        <v>51</v>
      </c>
      <c r="I492" s="239" t="s">
        <v>1580</v>
      </c>
      <c r="J492" s="234">
        <v>38440</v>
      </c>
      <c r="K492" s="234">
        <v>15080</v>
      </c>
      <c r="L492" s="242">
        <v>8</v>
      </c>
      <c r="M492" s="308">
        <v>23360</v>
      </c>
      <c r="N492" s="234">
        <v>21491.200000000001</v>
      </c>
      <c r="O492" s="234" t="s">
        <v>1772</v>
      </c>
      <c r="P492" s="236">
        <v>45909</v>
      </c>
      <c r="Q492" s="244">
        <v>0.8641550925925926</v>
      </c>
    </row>
    <row r="493" spans="1:17" ht="50.25" customHeight="1">
      <c r="A493" s="239" t="s">
        <v>1771</v>
      </c>
      <c r="B493" s="240">
        <v>1549</v>
      </c>
      <c r="C493" s="241">
        <v>37290</v>
      </c>
      <c r="D493" s="239" t="s">
        <v>2711</v>
      </c>
      <c r="E493" s="239" t="s">
        <v>374</v>
      </c>
      <c r="F493" s="239" t="s">
        <v>375</v>
      </c>
      <c r="G493" s="239" t="s">
        <v>955</v>
      </c>
      <c r="H493" s="239" t="s">
        <v>51</v>
      </c>
      <c r="I493" s="239" t="s">
        <v>1580</v>
      </c>
      <c r="J493" s="234">
        <v>40000</v>
      </c>
      <c r="K493" s="234">
        <v>15560</v>
      </c>
      <c r="L493" s="242">
        <v>7</v>
      </c>
      <c r="M493" s="308">
        <v>24440</v>
      </c>
      <c r="N493" s="234">
        <v>22729.200000000001</v>
      </c>
      <c r="O493" s="234" t="s">
        <v>1773</v>
      </c>
      <c r="P493" s="236">
        <v>45909</v>
      </c>
      <c r="Q493" s="244">
        <v>0.97842592592592592</v>
      </c>
    </row>
    <row r="494" spans="1:17" ht="50.25" customHeight="1">
      <c r="A494" s="239" t="s">
        <v>1775</v>
      </c>
      <c r="B494" s="240">
        <v>1556</v>
      </c>
      <c r="C494" s="241">
        <v>37300</v>
      </c>
      <c r="D494" s="239" t="s">
        <v>2711</v>
      </c>
      <c r="E494" s="239" t="s">
        <v>783</v>
      </c>
      <c r="F494" s="239" t="s">
        <v>784</v>
      </c>
      <c r="G494" s="239" t="s">
        <v>955</v>
      </c>
      <c r="H494" s="239" t="s">
        <v>51</v>
      </c>
      <c r="I494" s="239" t="s">
        <v>1580</v>
      </c>
      <c r="J494" s="234">
        <v>40910</v>
      </c>
      <c r="K494" s="234">
        <v>14520</v>
      </c>
      <c r="L494" s="242">
        <v>12</v>
      </c>
      <c r="M494" s="308">
        <v>26390</v>
      </c>
      <c r="N494" s="234">
        <v>23223.200000000001</v>
      </c>
      <c r="O494" s="234" t="s">
        <v>1782</v>
      </c>
      <c r="P494" s="236">
        <v>45912</v>
      </c>
      <c r="Q494" s="244">
        <v>8.9328703703703702E-2</v>
      </c>
    </row>
    <row r="495" spans="1:17" ht="50.25" customHeight="1">
      <c r="A495" s="239" t="s">
        <v>1776</v>
      </c>
      <c r="B495" s="240">
        <v>1558</v>
      </c>
      <c r="C495" s="241">
        <v>37306</v>
      </c>
      <c r="D495" s="239" t="s">
        <v>2711</v>
      </c>
      <c r="E495" s="239" t="s">
        <v>1648</v>
      </c>
      <c r="F495" s="239" t="s">
        <v>1649</v>
      </c>
      <c r="G495" s="239" t="s">
        <v>955</v>
      </c>
      <c r="H495" s="239" t="s">
        <v>51</v>
      </c>
      <c r="I495" s="239" t="s">
        <v>1580</v>
      </c>
      <c r="J495" s="234">
        <v>40600</v>
      </c>
      <c r="K495" s="234">
        <v>15710</v>
      </c>
      <c r="L495" s="242">
        <v>9</v>
      </c>
      <c r="M495" s="308">
        <v>24890</v>
      </c>
      <c r="N495" s="234">
        <v>22649.9</v>
      </c>
      <c r="O495" s="234" t="s">
        <v>1783</v>
      </c>
      <c r="P495" s="236">
        <v>45912</v>
      </c>
      <c r="Q495" s="244">
        <v>0.24394675925925927</v>
      </c>
    </row>
    <row r="496" spans="1:17" ht="50.25" customHeight="1">
      <c r="A496" s="239" t="s">
        <v>1778</v>
      </c>
      <c r="B496" s="240">
        <v>1559</v>
      </c>
      <c r="C496" s="241">
        <v>37304</v>
      </c>
      <c r="D496" s="239" t="s">
        <v>2711</v>
      </c>
      <c r="E496" s="239" t="s">
        <v>1305</v>
      </c>
      <c r="F496" s="239" t="s">
        <v>1306</v>
      </c>
      <c r="G496" s="239" t="s">
        <v>955</v>
      </c>
      <c r="H496" s="239" t="s">
        <v>51</v>
      </c>
      <c r="I496" s="239" t="s">
        <v>1580</v>
      </c>
      <c r="J496" s="234">
        <v>37430</v>
      </c>
      <c r="K496" s="234">
        <v>14730</v>
      </c>
      <c r="L496" s="242">
        <v>9</v>
      </c>
      <c r="M496" s="308">
        <v>22700</v>
      </c>
      <c r="N496" s="234">
        <v>20657</v>
      </c>
      <c r="O496" s="234" t="s">
        <v>1785</v>
      </c>
      <c r="P496" s="236">
        <v>45912</v>
      </c>
      <c r="Q496" s="244">
        <v>0.2767013888888889</v>
      </c>
    </row>
    <row r="497" spans="1:17" ht="38.25">
      <c r="A497" s="239" t="s">
        <v>1777</v>
      </c>
      <c r="B497" s="240">
        <v>1560</v>
      </c>
      <c r="C497" s="241">
        <v>37302</v>
      </c>
      <c r="D497" s="239" t="s">
        <v>2711</v>
      </c>
      <c r="E497" s="239" t="s">
        <v>1663</v>
      </c>
      <c r="F497" s="239" t="s">
        <v>1733</v>
      </c>
      <c r="G497" s="239" t="s">
        <v>955</v>
      </c>
      <c r="H497" s="239" t="s">
        <v>51</v>
      </c>
      <c r="I497" s="239" t="s">
        <v>1580</v>
      </c>
      <c r="J497" s="234">
        <v>39700</v>
      </c>
      <c r="K497" s="234">
        <v>15550</v>
      </c>
      <c r="L497" s="242">
        <v>10</v>
      </c>
      <c r="M497" s="308">
        <v>24150</v>
      </c>
      <c r="N497" s="234">
        <v>21735</v>
      </c>
      <c r="O497" s="234" t="s">
        <v>1784</v>
      </c>
      <c r="P497" s="236">
        <v>45912</v>
      </c>
      <c r="Q497" s="244">
        <v>0.25974537037037038</v>
      </c>
    </row>
    <row r="498" spans="1:17" ht="38.25">
      <c r="A498" s="239" t="s">
        <v>1779</v>
      </c>
      <c r="B498" s="240">
        <v>1561</v>
      </c>
      <c r="C498" s="241">
        <v>37310</v>
      </c>
      <c r="D498" s="239" t="s">
        <v>2711</v>
      </c>
      <c r="E498" s="239" t="s">
        <v>413</v>
      </c>
      <c r="F498" s="239" t="s">
        <v>414</v>
      </c>
      <c r="G498" s="239" t="s">
        <v>955</v>
      </c>
      <c r="H498" s="239" t="s">
        <v>51</v>
      </c>
      <c r="I498" s="239" t="s">
        <v>1580</v>
      </c>
      <c r="J498" s="234">
        <v>42430</v>
      </c>
      <c r="K498" s="234">
        <v>14900</v>
      </c>
      <c r="L498" s="242">
        <v>7</v>
      </c>
      <c r="M498" s="308">
        <v>27530</v>
      </c>
      <c r="N498" s="234">
        <v>25602.9</v>
      </c>
      <c r="O498" s="234" t="s">
        <v>1786</v>
      </c>
      <c r="P498" s="236">
        <v>45912</v>
      </c>
      <c r="Q498" s="244">
        <v>0.55667824074074079</v>
      </c>
    </row>
    <row r="499" spans="1:17" ht="38.25">
      <c r="A499" s="239" t="s">
        <v>1780</v>
      </c>
      <c r="B499" s="240">
        <v>1562</v>
      </c>
      <c r="C499" s="241">
        <v>37312</v>
      </c>
      <c r="D499" s="239" t="s">
        <v>2711</v>
      </c>
      <c r="E499" s="239" t="s">
        <v>429</v>
      </c>
      <c r="F499" s="239" t="s">
        <v>430</v>
      </c>
      <c r="G499" s="239" t="s">
        <v>955</v>
      </c>
      <c r="H499" s="239" t="s">
        <v>51</v>
      </c>
      <c r="I499" s="239" t="s">
        <v>1580</v>
      </c>
      <c r="J499" s="234">
        <v>38530</v>
      </c>
      <c r="K499" s="234">
        <v>14170</v>
      </c>
      <c r="L499" s="242">
        <v>6</v>
      </c>
      <c r="M499" s="308">
        <v>24360</v>
      </c>
      <c r="N499" s="234">
        <v>22898.400000000001</v>
      </c>
      <c r="O499" s="234" t="s">
        <v>1787</v>
      </c>
      <c r="P499" s="236">
        <v>45912</v>
      </c>
      <c r="Q499" s="244">
        <v>0.57662037037037039</v>
      </c>
    </row>
    <row r="500" spans="1:17" ht="38.25">
      <c r="A500" s="239" t="s">
        <v>1781</v>
      </c>
      <c r="B500" s="240">
        <v>1563</v>
      </c>
      <c r="C500" s="241">
        <v>37308</v>
      </c>
      <c r="D500" s="239" t="s">
        <v>2711</v>
      </c>
      <c r="E500" s="239" t="s">
        <v>432</v>
      </c>
      <c r="F500" s="239" t="s">
        <v>433</v>
      </c>
      <c r="G500" s="239" t="s">
        <v>955</v>
      </c>
      <c r="H500" s="239" t="s">
        <v>51</v>
      </c>
      <c r="I500" s="239" t="s">
        <v>1580</v>
      </c>
      <c r="J500" s="234">
        <v>42220</v>
      </c>
      <c r="K500" s="234">
        <v>15550</v>
      </c>
      <c r="L500" s="242">
        <v>8</v>
      </c>
      <c r="M500" s="308">
        <v>26670</v>
      </c>
      <c r="N500" s="234">
        <v>24536.400000000001</v>
      </c>
      <c r="O500" s="234" t="s">
        <v>1788</v>
      </c>
      <c r="P500" s="236">
        <v>45912</v>
      </c>
      <c r="Q500" s="244">
        <v>0.5832060185185185</v>
      </c>
    </row>
    <row r="501" spans="1:17" ht="38.25">
      <c r="A501" s="239" t="s">
        <v>1790</v>
      </c>
      <c r="B501" s="240">
        <v>1564</v>
      </c>
      <c r="C501" s="241">
        <v>37314</v>
      </c>
      <c r="D501" s="239" t="s">
        <v>2711</v>
      </c>
      <c r="E501" s="239" t="s">
        <v>416</v>
      </c>
      <c r="F501" s="239" t="s">
        <v>417</v>
      </c>
      <c r="G501" s="239" t="s">
        <v>955</v>
      </c>
      <c r="H501" s="239" t="s">
        <v>51</v>
      </c>
      <c r="I501" s="239" t="s">
        <v>1580</v>
      </c>
      <c r="J501" s="234">
        <v>37070</v>
      </c>
      <c r="K501" s="234">
        <v>14680</v>
      </c>
      <c r="L501" s="242">
        <v>8</v>
      </c>
      <c r="M501" s="308">
        <v>22390</v>
      </c>
      <c r="N501" s="234">
        <v>20598.8</v>
      </c>
      <c r="O501" s="234" t="s">
        <v>1841</v>
      </c>
      <c r="P501" s="236">
        <v>45912</v>
      </c>
      <c r="Q501" s="244">
        <v>0.60790509259259262</v>
      </c>
    </row>
    <row r="502" spans="1:17" ht="38.25">
      <c r="A502" s="239" t="s">
        <v>1791</v>
      </c>
      <c r="B502" s="240">
        <v>1565</v>
      </c>
      <c r="C502" s="241">
        <v>37316</v>
      </c>
      <c r="D502" s="239" t="s">
        <v>2711</v>
      </c>
      <c r="E502" s="239" t="s">
        <v>384</v>
      </c>
      <c r="F502" s="239" t="s">
        <v>385</v>
      </c>
      <c r="G502" s="239" t="s">
        <v>955</v>
      </c>
      <c r="H502" s="239" t="s">
        <v>51</v>
      </c>
      <c r="I502" s="239" t="s">
        <v>1580</v>
      </c>
      <c r="J502" s="234">
        <v>36000</v>
      </c>
      <c r="K502" s="234">
        <v>13860</v>
      </c>
      <c r="L502" s="242">
        <v>11</v>
      </c>
      <c r="M502" s="308">
        <v>22140</v>
      </c>
      <c r="N502" s="234">
        <v>19704.599999999999</v>
      </c>
      <c r="O502" s="234" t="s">
        <v>1842</v>
      </c>
      <c r="P502" s="236">
        <v>45912</v>
      </c>
      <c r="Q502" s="244">
        <v>0.62054398148148149</v>
      </c>
    </row>
    <row r="503" spans="1:17" ht="38.25">
      <c r="A503" s="239" t="s">
        <v>1797</v>
      </c>
      <c r="B503" s="240">
        <v>1566</v>
      </c>
      <c r="C503" s="241">
        <v>37320</v>
      </c>
      <c r="D503" s="239" t="s">
        <v>2711</v>
      </c>
      <c r="E503" s="239" t="s">
        <v>372</v>
      </c>
      <c r="F503" s="239" t="s">
        <v>373</v>
      </c>
      <c r="G503" s="239" t="s">
        <v>955</v>
      </c>
      <c r="H503" s="239" t="s">
        <v>51</v>
      </c>
      <c r="I503" s="239" t="s">
        <v>1580</v>
      </c>
      <c r="J503" s="234">
        <v>38520</v>
      </c>
      <c r="K503" s="234">
        <v>14850</v>
      </c>
      <c r="L503" s="242">
        <v>7</v>
      </c>
      <c r="M503" s="308">
        <v>23670</v>
      </c>
      <c r="N503" s="234">
        <v>22013.1</v>
      </c>
      <c r="O503" s="234" t="s">
        <v>1843</v>
      </c>
      <c r="P503" s="236">
        <v>45912</v>
      </c>
      <c r="Q503" s="244">
        <v>0.81187500000000001</v>
      </c>
    </row>
    <row r="504" spans="1:17" ht="38.25">
      <c r="A504" s="239" t="s">
        <v>1798</v>
      </c>
      <c r="B504" s="240">
        <v>1567</v>
      </c>
      <c r="C504" s="241">
        <v>37322</v>
      </c>
      <c r="D504" s="239" t="s">
        <v>2711</v>
      </c>
      <c r="E504" s="239" t="s">
        <v>369</v>
      </c>
      <c r="F504" s="239" t="s">
        <v>370</v>
      </c>
      <c r="G504" s="239" t="s">
        <v>955</v>
      </c>
      <c r="H504" s="239" t="s">
        <v>51</v>
      </c>
      <c r="I504" s="239" t="s">
        <v>1580</v>
      </c>
      <c r="J504" s="234">
        <v>38600</v>
      </c>
      <c r="K504" s="234">
        <v>15070</v>
      </c>
      <c r="L504" s="242">
        <v>14</v>
      </c>
      <c r="M504" s="308">
        <v>23530</v>
      </c>
      <c r="N504" s="234">
        <v>20235.8</v>
      </c>
      <c r="O504" s="234" t="s">
        <v>1844</v>
      </c>
      <c r="P504" s="236">
        <v>45912</v>
      </c>
      <c r="Q504" s="244">
        <v>0.81722222222222218</v>
      </c>
    </row>
    <row r="505" spans="1:17" ht="38.25">
      <c r="A505" s="239" t="s">
        <v>1801</v>
      </c>
      <c r="B505" s="240">
        <v>1568</v>
      </c>
      <c r="C505" s="241">
        <v>37324</v>
      </c>
      <c r="D505" s="239" t="s">
        <v>2711</v>
      </c>
      <c r="E505" s="239" t="s">
        <v>386</v>
      </c>
      <c r="F505" s="239" t="s">
        <v>387</v>
      </c>
      <c r="G505" s="239" t="s">
        <v>955</v>
      </c>
      <c r="H505" s="239" t="s">
        <v>51</v>
      </c>
      <c r="I505" s="239" t="s">
        <v>1580</v>
      </c>
      <c r="J505" s="234">
        <v>39790</v>
      </c>
      <c r="K505" s="234">
        <v>15420</v>
      </c>
      <c r="L505" s="242">
        <v>11</v>
      </c>
      <c r="M505" s="308">
        <v>24370</v>
      </c>
      <c r="N505" s="234">
        <v>21689.3</v>
      </c>
      <c r="O505" s="234" t="s">
        <v>1845</v>
      </c>
      <c r="P505" s="236">
        <v>45912</v>
      </c>
      <c r="Q505" s="244">
        <v>0.89479166666666665</v>
      </c>
    </row>
    <row r="506" spans="1:17" ht="38.25">
      <c r="A506" s="239" t="s">
        <v>1803</v>
      </c>
      <c r="B506" s="240">
        <v>1569</v>
      </c>
      <c r="C506" s="241">
        <v>37346</v>
      </c>
      <c r="D506" s="239" t="s">
        <v>2711</v>
      </c>
      <c r="E506" s="239" t="s">
        <v>1403</v>
      </c>
      <c r="F506" s="239" t="s">
        <v>1404</v>
      </c>
      <c r="G506" s="239" t="s">
        <v>955</v>
      </c>
      <c r="H506" s="239" t="s">
        <v>51</v>
      </c>
      <c r="I506" s="239" t="s">
        <v>1580</v>
      </c>
      <c r="J506" s="234">
        <v>38410</v>
      </c>
      <c r="K506" s="234">
        <v>14950</v>
      </c>
      <c r="L506" s="242">
        <v>5</v>
      </c>
      <c r="M506" s="308">
        <v>23460</v>
      </c>
      <c r="N506" s="234">
        <v>22287</v>
      </c>
      <c r="O506" s="234" t="s">
        <v>1847</v>
      </c>
      <c r="P506" s="236">
        <v>45912</v>
      </c>
      <c r="Q506" s="244">
        <v>0.95520833333333333</v>
      </c>
    </row>
    <row r="507" spans="1:17" ht="38.25">
      <c r="A507" s="239" t="s">
        <v>1802</v>
      </c>
      <c r="B507" s="240">
        <v>1570</v>
      </c>
      <c r="C507" s="241">
        <v>37344</v>
      </c>
      <c r="D507" s="239" t="s">
        <v>2711</v>
      </c>
      <c r="E507" s="239" t="s">
        <v>1397</v>
      </c>
      <c r="F507" s="239" t="s">
        <v>1398</v>
      </c>
      <c r="G507" s="239" t="s">
        <v>955</v>
      </c>
      <c r="H507" s="239" t="s">
        <v>51</v>
      </c>
      <c r="I507" s="239" t="s">
        <v>1580</v>
      </c>
      <c r="J507" s="234">
        <v>41800</v>
      </c>
      <c r="K507" s="234">
        <v>16740</v>
      </c>
      <c r="L507" s="242">
        <v>9</v>
      </c>
      <c r="M507" s="308">
        <v>25060</v>
      </c>
      <c r="N507" s="234">
        <v>22804.6</v>
      </c>
      <c r="O507" s="234" t="s">
        <v>1846</v>
      </c>
      <c r="P507" s="236">
        <v>45912</v>
      </c>
      <c r="Q507" s="244">
        <v>0.92646990740740742</v>
      </c>
    </row>
    <row r="508" spans="1:17" ht="38.25">
      <c r="A508" s="239" t="s">
        <v>1805</v>
      </c>
      <c r="B508" s="240">
        <v>1571</v>
      </c>
      <c r="C508" s="241">
        <v>37348</v>
      </c>
      <c r="D508" s="239" t="s">
        <v>2711</v>
      </c>
      <c r="E508" s="239" t="s">
        <v>1400</v>
      </c>
      <c r="F508" s="239" t="s">
        <v>1401</v>
      </c>
      <c r="G508" s="239" t="s">
        <v>955</v>
      </c>
      <c r="H508" s="239" t="s">
        <v>51</v>
      </c>
      <c r="I508" s="239" t="s">
        <v>1580</v>
      </c>
      <c r="J508" s="234">
        <v>36940</v>
      </c>
      <c r="K508" s="234">
        <v>14740</v>
      </c>
      <c r="L508" s="242">
        <v>13</v>
      </c>
      <c r="M508" s="308">
        <v>22200</v>
      </c>
      <c r="N508" s="234">
        <v>19314</v>
      </c>
      <c r="O508" s="234" t="s">
        <v>1848</v>
      </c>
      <c r="P508" s="236">
        <v>45912</v>
      </c>
      <c r="Q508" s="244">
        <v>0.98351851851851857</v>
      </c>
    </row>
    <row r="509" spans="1:17" ht="38.25">
      <c r="A509" s="239" t="s">
        <v>1789</v>
      </c>
      <c r="B509" s="240">
        <v>1572</v>
      </c>
      <c r="C509" s="241">
        <v>37318</v>
      </c>
      <c r="D509" s="239" t="s">
        <v>2711</v>
      </c>
      <c r="E509" s="239" t="s">
        <v>453</v>
      </c>
      <c r="F509" s="239" t="s">
        <v>454</v>
      </c>
      <c r="G509" s="239" t="s">
        <v>955</v>
      </c>
      <c r="H509" s="239" t="s">
        <v>51</v>
      </c>
      <c r="I509" s="239" t="s">
        <v>1580</v>
      </c>
      <c r="J509" s="234">
        <v>54940</v>
      </c>
      <c r="K509" s="234">
        <v>24080</v>
      </c>
      <c r="L509" s="242">
        <v>18</v>
      </c>
      <c r="M509" s="308">
        <v>30860</v>
      </c>
      <c r="N509" s="234">
        <v>25305.200000000001</v>
      </c>
      <c r="O509" s="234" t="s">
        <v>1840</v>
      </c>
      <c r="P509" s="236">
        <v>45912</v>
      </c>
      <c r="Q509" s="244">
        <v>0.35347222222222224</v>
      </c>
    </row>
    <row r="510" spans="1:17" ht="38.25">
      <c r="A510" s="239" t="s">
        <v>1792</v>
      </c>
      <c r="B510" s="240">
        <v>1576</v>
      </c>
      <c r="C510" s="241">
        <v>37326</v>
      </c>
      <c r="D510" s="239" t="s">
        <v>2711</v>
      </c>
      <c r="E510" s="239" t="s">
        <v>456</v>
      </c>
      <c r="F510" s="239" t="s">
        <v>457</v>
      </c>
      <c r="G510" s="239" t="s">
        <v>947</v>
      </c>
      <c r="H510" s="239" t="s">
        <v>51</v>
      </c>
      <c r="I510" s="239" t="s">
        <v>1580</v>
      </c>
      <c r="J510" s="234">
        <v>44390</v>
      </c>
      <c r="K510" s="234">
        <v>15590</v>
      </c>
      <c r="L510" s="242">
        <v>11</v>
      </c>
      <c r="M510" s="308">
        <v>28800</v>
      </c>
      <c r="N510" s="234">
        <v>25632</v>
      </c>
      <c r="O510" s="234" t="s">
        <v>1850</v>
      </c>
      <c r="P510" s="236">
        <v>45912</v>
      </c>
      <c r="Q510" s="244">
        <v>0.6837847222222222</v>
      </c>
    </row>
    <row r="511" spans="1:17" ht="38.25">
      <c r="A511" s="239" t="s">
        <v>1793</v>
      </c>
      <c r="B511" s="240">
        <v>1577</v>
      </c>
      <c r="C511" s="241">
        <v>37257</v>
      </c>
      <c r="D511" s="239" t="s">
        <v>2711</v>
      </c>
      <c r="E511" s="239" t="s">
        <v>794</v>
      </c>
      <c r="F511" s="239" t="s">
        <v>795</v>
      </c>
      <c r="G511" s="239" t="s">
        <v>947</v>
      </c>
      <c r="H511" s="239" t="s">
        <v>51</v>
      </c>
      <c r="I511" s="239" t="s">
        <v>1580</v>
      </c>
      <c r="J511" s="234">
        <v>42170</v>
      </c>
      <c r="K511" s="234">
        <v>16050</v>
      </c>
      <c r="L511" s="242">
        <v>12</v>
      </c>
      <c r="M511" s="308">
        <v>26120</v>
      </c>
      <c r="N511" s="234">
        <v>22985.599999999999</v>
      </c>
      <c r="O511" s="234" t="s">
        <v>1851</v>
      </c>
      <c r="P511" s="236">
        <v>45912</v>
      </c>
      <c r="Q511" s="244">
        <v>0.72114583333333337</v>
      </c>
    </row>
    <row r="512" spans="1:17" ht="38.25">
      <c r="A512" s="239" t="s">
        <v>1794</v>
      </c>
      <c r="B512" s="240">
        <v>1578</v>
      </c>
      <c r="C512" s="241">
        <v>37330</v>
      </c>
      <c r="D512" s="239" t="s">
        <v>2711</v>
      </c>
      <c r="E512" s="239" t="s">
        <v>403</v>
      </c>
      <c r="F512" s="239" t="s">
        <v>404</v>
      </c>
      <c r="G512" s="239" t="s">
        <v>947</v>
      </c>
      <c r="H512" s="239" t="s">
        <v>51</v>
      </c>
      <c r="I512" s="239" t="s">
        <v>1580</v>
      </c>
      <c r="J512" s="234">
        <v>40000</v>
      </c>
      <c r="K512" s="234">
        <v>14510</v>
      </c>
      <c r="L512" s="242">
        <v>14</v>
      </c>
      <c r="M512" s="308">
        <v>25490</v>
      </c>
      <c r="N512" s="234">
        <v>21921.4</v>
      </c>
      <c r="O512" s="234" t="s">
        <v>1852</v>
      </c>
      <c r="P512" s="236">
        <v>45912</v>
      </c>
      <c r="Q512" s="244">
        <v>0.75581018518518517</v>
      </c>
    </row>
    <row r="513" spans="1:17" ht="38.25">
      <c r="A513" s="239" t="s">
        <v>1795</v>
      </c>
      <c r="B513" s="240">
        <v>1579</v>
      </c>
      <c r="C513" s="241">
        <v>37332</v>
      </c>
      <c r="D513" s="239" t="s">
        <v>2711</v>
      </c>
      <c r="E513" s="239" t="s">
        <v>406</v>
      </c>
      <c r="F513" s="239" t="s">
        <v>407</v>
      </c>
      <c r="G513" s="239" t="s">
        <v>947</v>
      </c>
      <c r="H513" s="239" t="s">
        <v>51</v>
      </c>
      <c r="I513" s="239" t="s">
        <v>1580</v>
      </c>
      <c r="J513" s="234">
        <v>39680</v>
      </c>
      <c r="K513" s="234">
        <v>14970</v>
      </c>
      <c r="L513" s="242">
        <v>20</v>
      </c>
      <c r="M513" s="308">
        <v>24710</v>
      </c>
      <c r="N513" s="234">
        <v>19768</v>
      </c>
      <c r="O513" s="234" t="s">
        <v>1853</v>
      </c>
      <c r="P513" s="236">
        <v>45912</v>
      </c>
      <c r="Q513" s="244">
        <v>0.75853009259259263</v>
      </c>
    </row>
    <row r="514" spans="1:17" ht="38.25">
      <c r="A514" s="239" t="s">
        <v>1796</v>
      </c>
      <c r="B514" s="240">
        <v>1580</v>
      </c>
      <c r="C514" s="241">
        <v>37334</v>
      </c>
      <c r="D514" s="239" t="s">
        <v>2711</v>
      </c>
      <c r="E514" s="239" t="s">
        <v>392</v>
      </c>
      <c r="F514" s="239" t="s">
        <v>393</v>
      </c>
      <c r="G514" s="239" t="s">
        <v>947</v>
      </c>
      <c r="H514" s="239" t="s">
        <v>51</v>
      </c>
      <c r="I514" s="239" t="s">
        <v>1580</v>
      </c>
      <c r="J514" s="234">
        <v>64250</v>
      </c>
      <c r="K514" s="234">
        <v>23990</v>
      </c>
      <c r="L514" s="242">
        <v>19</v>
      </c>
      <c r="M514" s="308">
        <v>40260</v>
      </c>
      <c r="N514" s="234">
        <v>32610.6</v>
      </c>
      <c r="O514" s="234" t="s">
        <v>1849</v>
      </c>
      <c r="P514" s="236">
        <v>45912</v>
      </c>
      <c r="Q514" s="244">
        <v>0.78408564814814818</v>
      </c>
    </row>
    <row r="515" spans="1:17" ht="38.25">
      <c r="A515" s="239" t="s">
        <v>1799</v>
      </c>
      <c r="B515" s="240">
        <v>1583</v>
      </c>
      <c r="C515" s="241">
        <v>37338</v>
      </c>
      <c r="D515" s="239" t="s">
        <v>2711</v>
      </c>
      <c r="E515" s="239" t="s">
        <v>791</v>
      </c>
      <c r="F515" s="239" t="s">
        <v>792</v>
      </c>
      <c r="G515" s="239" t="s">
        <v>947</v>
      </c>
      <c r="H515" s="239" t="s">
        <v>51</v>
      </c>
      <c r="I515" s="239" t="s">
        <v>1580</v>
      </c>
      <c r="J515" s="234">
        <v>37600</v>
      </c>
      <c r="K515" s="234">
        <v>14890</v>
      </c>
      <c r="L515" s="242">
        <v>9</v>
      </c>
      <c r="M515" s="308">
        <v>22710</v>
      </c>
      <c r="N515" s="234">
        <v>20666.099999999999</v>
      </c>
      <c r="O515" s="234" t="s">
        <v>1854</v>
      </c>
      <c r="P515" s="236">
        <v>45912</v>
      </c>
      <c r="Q515" s="244">
        <v>0.82537037037037042</v>
      </c>
    </row>
    <row r="516" spans="1:17" ht="38.25">
      <c r="A516" s="239" t="s">
        <v>1800</v>
      </c>
      <c r="B516" s="240">
        <v>1584</v>
      </c>
      <c r="C516" s="241">
        <v>37336</v>
      </c>
      <c r="D516" s="239" t="s">
        <v>2711</v>
      </c>
      <c r="E516" s="239" t="s">
        <v>841</v>
      </c>
      <c r="F516" s="239" t="s">
        <v>845</v>
      </c>
      <c r="G516" s="239" t="s">
        <v>947</v>
      </c>
      <c r="H516" s="239" t="s">
        <v>51</v>
      </c>
      <c r="I516" s="239" t="s">
        <v>1580</v>
      </c>
      <c r="J516" s="234">
        <v>41560</v>
      </c>
      <c r="K516" s="234">
        <v>15840</v>
      </c>
      <c r="L516" s="242">
        <v>8</v>
      </c>
      <c r="M516" s="308">
        <v>25720</v>
      </c>
      <c r="N516" s="234">
        <v>23662.400000000001</v>
      </c>
      <c r="O516" s="234" t="s">
        <v>1855</v>
      </c>
      <c r="P516" s="236">
        <v>45912</v>
      </c>
      <c r="Q516" s="244">
        <v>0.86702546296296301</v>
      </c>
    </row>
    <row r="517" spans="1:17" ht="38.25">
      <c r="A517" s="239" t="s">
        <v>1804</v>
      </c>
      <c r="B517" s="240">
        <v>1585</v>
      </c>
      <c r="C517" s="241">
        <v>37350</v>
      </c>
      <c r="D517" s="239" t="s">
        <v>2711</v>
      </c>
      <c r="E517" s="239" t="s">
        <v>462</v>
      </c>
      <c r="F517" s="239" t="s">
        <v>463</v>
      </c>
      <c r="G517" s="239" t="s">
        <v>947</v>
      </c>
      <c r="H517" s="239" t="s">
        <v>51</v>
      </c>
      <c r="I517" s="239" t="s">
        <v>1580</v>
      </c>
      <c r="J517" s="234">
        <v>40250</v>
      </c>
      <c r="K517" s="234">
        <v>16260</v>
      </c>
      <c r="L517" s="242">
        <v>9</v>
      </c>
      <c r="M517" s="308">
        <v>23990</v>
      </c>
      <c r="N517" s="234">
        <v>21830.9</v>
      </c>
      <c r="O517" s="234" t="s">
        <v>1856</v>
      </c>
      <c r="P517" s="236">
        <v>45912</v>
      </c>
      <c r="Q517" s="244">
        <v>0.96628472222222217</v>
      </c>
    </row>
    <row r="518" spans="1:17" ht="38.25">
      <c r="A518" s="239" t="s">
        <v>1806</v>
      </c>
      <c r="B518" s="240">
        <v>1587</v>
      </c>
      <c r="C518" s="241">
        <v>37342</v>
      </c>
      <c r="D518" s="239" t="s">
        <v>2711</v>
      </c>
      <c r="E518" s="239" t="s">
        <v>439</v>
      </c>
      <c r="F518" s="239" t="s">
        <v>440</v>
      </c>
      <c r="G518" s="239" t="s">
        <v>947</v>
      </c>
      <c r="H518" s="239" t="s">
        <v>51</v>
      </c>
      <c r="I518" s="239" t="s">
        <v>1580</v>
      </c>
      <c r="J518" s="234">
        <v>40020</v>
      </c>
      <c r="K518" s="234">
        <v>14930</v>
      </c>
      <c r="L518" s="242">
        <v>10</v>
      </c>
      <c r="M518" s="308">
        <v>25090</v>
      </c>
      <c r="N518" s="234">
        <v>22581</v>
      </c>
      <c r="O518" s="234" t="s">
        <v>1857</v>
      </c>
      <c r="P518" s="236">
        <v>45913</v>
      </c>
      <c r="Q518" s="244">
        <v>2.8715277777777777E-2</v>
      </c>
    </row>
    <row r="519" spans="1:17" ht="38.25">
      <c r="A519" s="239" t="s">
        <v>1810</v>
      </c>
      <c r="B519" s="240">
        <v>1588</v>
      </c>
      <c r="C519" s="241">
        <v>37340</v>
      </c>
      <c r="D519" s="239" t="s">
        <v>2711</v>
      </c>
      <c r="E519" s="239" t="s">
        <v>1410</v>
      </c>
      <c r="F519" s="239" t="s">
        <v>437</v>
      </c>
      <c r="G519" s="239" t="s">
        <v>947</v>
      </c>
      <c r="H519" s="239" t="s">
        <v>51</v>
      </c>
      <c r="I519" s="239" t="s">
        <v>1580</v>
      </c>
      <c r="J519" s="234">
        <v>39610</v>
      </c>
      <c r="K519" s="234">
        <v>14750</v>
      </c>
      <c r="L519" s="242">
        <v>9</v>
      </c>
      <c r="M519" s="308">
        <v>24860</v>
      </c>
      <c r="N519" s="234">
        <v>22622.6</v>
      </c>
      <c r="O519" s="234" t="s">
        <v>1861</v>
      </c>
      <c r="P519" s="236">
        <v>45913</v>
      </c>
      <c r="Q519" s="244">
        <v>0.67302083333333329</v>
      </c>
    </row>
    <row r="520" spans="1:17" ht="38.25">
      <c r="A520" s="239" t="s">
        <v>1811</v>
      </c>
      <c r="B520" s="240">
        <v>1594</v>
      </c>
      <c r="C520" s="241">
        <v>37352</v>
      </c>
      <c r="D520" s="239" t="s">
        <v>2711</v>
      </c>
      <c r="E520" s="239" t="s">
        <v>472</v>
      </c>
      <c r="F520" s="239" t="s">
        <v>473</v>
      </c>
      <c r="G520" s="239" t="s">
        <v>947</v>
      </c>
      <c r="H520" s="239" t="s">
        <v>51</v>
      </c>
      <c r="I520" s="239" t="s">
        <v>1580</v>
      </c>
      <c r="J520" s="234">
        <v>39680</v>
      </c>
      <c r="K520" s="234">
        <v>16390</v>
      </c>
      <c r="L520" s="242">
        <v>8</v>
      </c>
      <c r="M520" s="308">
        <v>23290</v>
      </c>
      <c r="N520" s="234">
        <v>21426.799999999999</v>
      </c>
      <c r="O520" s="234" t="s">
        <v>1862</v>
      </c>
      <c r="P520" s="236">
        <v>45913</v>
      </c>
      <c r="Q520" s="244">
        <v>0.67645833333333338</v>
      </c>
    </row>
    <row r="521" spans="1:17" ht="38.25">
      <c r="A521" s="239" t="s">
        <v>1814</v>
      </c>
      <c r="B521" s="240">
        <v>1599</v>
      </c>
      <c r="C521" s="241">
        <v>37359</v>
      </c>
      <c r="D521" s="239" t="s">
        <v>2711</v>
      </c>
      <c r="E521" s="239" t="s">
        <v>780</v>
      </c>
      <c r="F521" s="239" t="s">
        <v>781</v>
      </c>
      <c r="G521" s="239" t="s">
        <v>947</v>
      </c>
      <c r="H521" s="239" t="s">
        <v>51</v>
      </c>
      <c r="I521" s="239" t="s">
        <v>1580</v>
      </c>
      <c r="J521" s="234">
        <v>36500</v>
      </c>
      <c r="K521" s="234">
        <v>14810</v>
      </c>
      <c r="L521" s="242">
        <v>14</v>
      </c>
      <c r="M521" s="308">
        <v>21690</v>
      </c>
      <c r="N521" s="234">
        <v>18653.400000000001</v>
      </c>
      <c r="O521" s="234" t="s">
        <v>1865</v>
      </c>
      <c r="P521" s="236">
        <v>45913</v>
      </c>
      <c r="Q521" s="244">
        <v>0.69619212962962962</v>
      </c>
    </row>
    <row r="522" spans="1:17" ht="38.25">
      <c r="A522" s="239" t="s">
        <v>1815</v>
      </c>
      <c r="B522" s="240">
        <v>1600</v>
      </c>
      <c r="C522" s="241">
        <v>37361</v>
      </c>
      <c r="D522" s="239" t="s">
        <v>2711</v>
      </c>
      <c r="E522" s="239" t="s">
        <v>442</v>
      </c>
      <c r="F522" s="239" t="s">
        <v>443</v>
      </c>
      <c r="G522" s="239" t="s">
        <v>947</v>
      </c>
      <c r="H522" s="239" t="s">
        <v>51</v>
      </c>
      <c r="I522" s="239" t="s">
        <v>1580</v>
      </c>
      <c r="J522" s="234">
        <v>36620</v>
      </c>
      <c r="K522" s="234">
        <v>14440</v>
      </c>
      <c r="L522" s="242">
        <v>18</v>
      </c>
      <c r="M522" s="308">
        <v>22180</v>
      </c>
      <c r="N522" s="234">
        <v>18187.599999999999</v>
      </c>
      <c r="O522" s="234" t="s">
        <v>1866</v>
      </c>
      <c r="P522" s="236">
        <v>45913</v>
      </c>
      <c r="Q522" s="244">
        <v>0.72290509259259261</v>
      </c>
    </row>
    <row r="523" spans="1:17" ht="38.25">
      <c r="A523" s="239" t="s">
        <v>1818</v>
      </c>
      <c r="B523" s="240">
        <v>1603</v>
      </c>
      <c r="C523" s="241">
        <v>37365</v>
      </c>
      <c r="D523" s="239" t="s">
        <v>2711</v>
      </c>
      <c r="E523" s="239" t="s">
        <v>866</v>
      </c>
      <c r="F523" s="239" t="s">
        <v>867</v>
      </c>
      <c r="G523" s="239" t="s">
        <v>947</v>
      </c>
      <c r="H523" s="239" t="s">
        <v>51</v>
      </c>
      <c r="I523" s="239" t="s">
        <v>1580</v>
      </c>
      <c r="J523" s="234">
        <v>37810</v>
      </c>
      <c r="K523" s="234">
        <v>14430</v>
      </c>
      <c r="L523" s="242">
        <v>10</v>
      </c>
      <c r="M523" s="308">
        <v>23380</v>
      </c>
      <c r="N523" s="234">
        <v>21042</v>
      </c>
      <c r="O523" s="234" t="s">
        <v>1869</v>
      </c>
      <c r="P523" s="236">
        <v>45913</v>
      </c>
      <c r="Q523" s="244">
        <v>0.82474537037037032</v>
      </c>
    </row>
    <row r="524" spans="1:17" ht="38.25">
      <c r="A524" s="239" t="s">
        <v>1820</v>
      </c>
      <c r="B524" s="240">
        <v>1604</v>
      </c>
      <c r="C524" s="241">
        <v>37363</v>
      </c>
      <c r="D524" s="239" t="s">
        <v>2711</v>
      </c>
      <c r="E524" s="239" t="s">
        <v>380</v>
      </c>
      <c r="F524" s="239" t="s">
        <v>381</v>
      </c>
      <c r="G524" s="239" t="s">
        <v>947</v>
      </c>
      <c r="H524" s="239" t="s">
        <v>51</v>
      </c>
      <c r="I524" s="239" t="s">
        <v>1580</v>
      </c>
      <c r="J524" s="234">
        <v>40390</v>
      </c>
      <c r="K524" s="234">
        <v>15010</v>
      </c>
      <c r="L524" s="242">
        <v>19</v>
      </c>
      <c r="M524" s="308">
        <v>25380</v>
      </c>
      <c r="N524" s="234">
        <v>20557.8</v>
      </c>
      <c r="O524" s="234" t="s">
        <v>1871</v>
      </c>
      <c r="P524" s="236">
        <v>45913</v>
      </c>
      <c r="Q524" s="244">
        <v>0.90446759259259257</v>
      </c>
    </row>
    <row r="525" spans="1:17" ht="38.25">
      <c r="A525" s="239" t="s">
        <v>1822</v>
      </c>
      <c r="B525" s="240">
        <v>1606</v>
      </c>
      <c r="C525" s="241">
        <v>37367</v>
      </c>
      <c r="D525" s="239" t="s">
        <v>2711</v>
      </c>
      <c r="E525" s="239" t="s">
        <v>374</v>
      </c>
      <c r="F525" s="239" t="s">
        <v>375</v>
      </c>
      <c r="G525" s="239" t="s">
        <v>947</v>
      </c>
      <c r="H525" s="239" t="s">
        <v>51</v>
      </c>
      <c r="I525" s="239" t="s">
        <v>1580</v>
      </c>
      <c r="J525" s="234">
        <v>37980</v>
      </c>
      <c r="K525" s="234">
        <v>15520</v>
      </c>
      <c r="L525" s="242">
        <v>19</v>
      </c>
      <c r="M525" s="308">
        <v>22460</v>
      </c>
      <c r="N525" s="234">
        <v>18192.599999999999</v>
      </c>
      <c r="O525" s="234" t="s">
        <v>1873</v>
      </c>
      <c r="P525" s="236">
        <v>45913</v>
      </c>
      <c r="Q525" s="244">
        <v>0.90917824074074072</v>
      </c>
    </row>
    <row r="526" spans="1:17" ht="38.25">
      <c r="A526" s="239" t="s">
        <v>1807</v>
      </c>
      <c r="B526" s="240">
        <v>1607</v>
      </c>
      <c r="C526" s="241">
        <v>37369</v>
      </c>
      <c r="D526" s="239" t="s">
        <v>2711</v>
      </c>
      <c r="E526" s="239" t="s">
        <v>388</v>
      </c>
      <c r="F526" s="239" t="s">
        <v>389</v>
      </c>
      <c r="G526" s="239" t="s">
        <v>947</v>
      </c>
      <c r="H526" s="239" t="s">
        <v>51</v>
      </c>
      <c r="I526" s="239" t="s">
        <v>1580</v>
      </c>
      <c r="J526" s="234">
        <v>53780</v>
      </c>
      <c r="K526" s="234">
        <v>20920</v>
      </c>
      <c r="L526" s="242">
        <v>15</v>
      </c>
      <c r="M526" s="308">
        <v>32860</v>
      </c>
      <c r="N526" s="234">
        <v>27931</v>
      </c>
      <c r="O526" s="234" t="s">
        <v>1858</v>
      </c>
      <c r="P526" s="236">
        <v>45913</v>
      </c>
      <c r="Q526" s="244">
        <v>0.55953703703703705</v>
      </c>
    </row>
    <row r="527" spans="1:17" ht="51">
      <c r="A527" s="239" t="s">
        <v>1808</v>
      </c>
      <c r="B527" s="240">
        <v>1608</v>
      </c>
      <c r="C527" s="241">
        <v>37380</v>
      </c>
      <c r="D527" s="239" t="s">
        <v>2711</v>
      </c>
      <c r="E527" s="239" t="s">
        <v>475</v>
      </c>
      <c r="F527" s="239" t="s">
        <v>476</v>
      </c>
      <c r="G527" s="239" t="s">
        <v>947</v>
      </c>
      <c r="H527" s="239" t="s">
        <v>51</v>
      </c>
      <c r="I527" s="239" t="s">
        <v>1580</v>
      </c>
      <c r="J527" s="234">
        <v>39180</v>
      </c>
      <c r="K527" s="234">
        <v>16310</v>
      </c>
      <c r="L527" s="242">
        <v>16</v>
      </c>
      <c r="M527" s="308">
        <v>22870</v>
      </c>
      <c r="N527" s="234">
        <v>19210.8</v>
      </c>
      <c r="O527" s="234" t="s">
        <v>1859</v>
      </c>
      <c r="P527" s="236">
        <v>45913</v>
      </c>
      <c r="Q527" s="244">
        <v>0.57239583333333333</v>
      </c>
    </row>
    <row r="528" spans="1:17" ht="38.25">
      <c r="A528" s="239" t="s">
        <v>1809</v>
      </c>
      <c r="B528" s="240">
        <v>1609</v>
      </c>
      <c r="C528" s="241">
        <v>37372</v>
      </c>
      <c r="D528" s="239" t="s">
        <v>2711</v>
      </c>
      <c r="E528" s="239" t="s">
        <v>420</v>
      </c>
      <c r="F528" s="239" t="s">
        <v>421</v>
      </c>
      <c r="G528" s="239" t="s">
        <v>947</v>
      </c>
      <c r="H528" s="239" t="s">
        <v>51</v>
      </c>
      <c r="I528" s="239" t="s">
        <v>1580</v>
      </c>
      <c r="J528" s="234">
        <v>36680</v>
      </c>
      <c r="K528" s="234">
        <v>14790</v>
      </c>
      <c r="L528" s="242">
        <v>19</v>
      </c>
      <c r="M528" s="308">
        <v>21890</v>
      </c>
      <c r="N528" s="234">
        <v>17730.900000000001</v>
      </c>
      <c r="O528" s="234" t="s">
        <v>1860</v>
      </c>
      <c r="P528" s="236">
        <v>45913</v>
      </c>
      <c r="Q528" s="244">
        <v>0.57876157407407403</v>
      </c>
    </row>
    <row r="529" spans="1:17" ht="38.25">
      <c r="A529" s="239" t="s">
        <v>1812</v>
      </c>
      <c r="B529" s="240">
        <v>1612</v>
      </c>
      <c r="C529" s="241">
        <v>37382</v>
      </c>
      <c r="D529" s="239" t="s">
        <v>2711</v>
      </c>
      <c r="E529" s="239" t="s">
        <v>400</v>
      </c>
      <c r="F529" s="239" t="s">
        <v>401</v>
      </c>
      <c r="G529" s="239" t="s">
        <v>947</v>
      </c>
      <c r="H529" s="239" t="s">
        <v>51</v>
      </c>
      <c r="I529" s="239" t="s">
        <v>1580</v>
      </c>
      <c r="J529" s="234">
        <v>38450</v>
      </c>
      <c r="K529" s="234">
        <v>14680</v>
      </c>
      <c r="L529" s="242">
        <v>11</v>
      </c>
      <c r="M529" s="308">
        <v>23770</v>
      </c>
      <c r="N529" s="234">
        <v>21155.3</v>
      </c>
      <c r="O529" s="234" t="s">
        <v>1863</v>
      </c>
      <c r="P529" s="236">
        <v>45913</v>
      </c>
      <c r="Q529" s="244">
        <v>0.68148148148148147</v>
      </c>
    </row>
    <row r="530" spans="1:17" ht="38.25">
      <c r="A530" s="239" t="s">
        <v>1813</v>
      </c>
      <c r="B530" s="240">
        <v>1613</v>
      </c>
      <c r="C530" s="241">
        <v>37384</v>
      </c>
      <c r="D530" s="239" t="s">
        <v>2711</v>
      </c>
      <c r="E530" s="239" t="s">
        <v>382</v>
      </c>
      <c r="F530" s="239" t="s">
        <v>383</v>
      </c>
      <c r="G530" s="239" t="s">
        <v>947</v>
      </c>
      <c r="H530" s="239" t="s">
        <v>51</v>
      </c>
      <c r="I530" s="239" t="s">
        <v>1580</v>
      </c>
      <c r="J530" s="234">
        <v>38130</v>
      </c>
      <c r="K530" s="234">
        <v>14540</v>
      </c>
      <c r="L530" s="242">
        <v>11</v>
      </c>
      <c r="M530" s="308">
        <v>23590</v>
      </c>
      <c r="N530" s="234">
        <v>20995.1</v>
      </c>
      <c r="O530" s="234" t="s">
        <v>1864</v>
      </c>
      <c r="P530" s="236">
        <v>45913</v>
      </c>
      <c r="Q530" s="244">
        <v>0.68483796296296295</v>
      </c>
    </row>
    <row r="531" spans="1:17" ht="38.25">
      <c r="A531" s="239" t="s">
        <v>1816</v>
      </c>
      <c r="B531" s="240">
        <v>1614</v>
      </c>
      <c r="C531" s="241">
        <v>37421</v>
      </c>
      <c r="D531" s="239" t="s">
        <v>2711</v>
      </c>
      <c r="E531" s="239" t="s">
        <v>783</v>
      </c>
      <c r="F531" s="239" t="s">
        <v>784</v>
      </c>
      <c r="G531" s="239" t="s">
        <v>947</v>
      </c>
      <c r="H531" s="239" t="s">
        <v>51</v>
      </c>
      <c r="I531" s="239" t="s">
        <v>1580</v>
      </c>
      <c r="J531" s="234">
        <v>39780</v>
      </c>
      <c r="K531" s="234">
        <v>14510</v>
      </c>
      <c r="L531" s="242">
        <v>21</v>
      </c>
      <c r="M531" s="308">
        <v>25270</v>
      </c>
      <c r="N531" s="234">
        <v>19963.3</v>
      </c>
      <c r="O531" s="234" t="s">
        <v>1867</v>
      </c>
      <c r="P531" s="236">
        <v>45913</v>
      </c>
      <c r="Q531" s="244">
        <v>0.74284722222222221</v>
      </c>
    </row>
    <row r="532" spans="1:17" ht="38.25">
      <c r="A532" s="239" t="s">
        <v>1817</v>
      </c>
      <c r="B532" s="240">
        <v>1615</v>
      </c>
      <c r="C532" s="241">
        <v>37399</v>
      </c>
      <c r="D532" s="239" t="s">
        <v>2711</v>
      </c>
      <c r="E532" s="239" t="s">
        <v>786</v>
      </c>
      <c r="F532" s="239" t="s">
        <v>787</v>
      </c>
      <c r="G532" s="239" t="s">
        <v>947</v>
      </c>
      <c r="H532" s="239" t="s">
        <v>51</v>
      </c>
      <c r="I532" s="239" t="s">
        <v>1580</v>
      </c>
      <c r="J532" s="234">
        <v>35640</v>
      </c>
      <c r="K532" s="234">
        <v>13890</v>
      </c>
      <c r="L532" s="242">
        <v>21</v>
      </c>
      <c r="M532" s="308">
        <v>21750</v>
      </c>
      <c r="N532" s="234">
        <v>17182.5</v>
      </c>
      <c r="O532" s="234" t="s">
        <v>1868</v>
      </c>
      <c r="P532" s="236">
        <v>45913</v>
      </c>
      <c r="Q532" s="244">
        <v>0.77733796296296298</v>
      </c>
    </row>
    <row r="533" spans="1:17" ht="38.25">
      <c r="A533" s="239" t="s">
        <v>1821</v>
      </c>
      <c r="B533" s="240">
        <v>1616</v>
      </c>
      <c r="C533" s="241">
        <v>37432</v>
      </c>
      <c r="D533" s="239" t="s">
        <v>2711</v>
      </c>
      <c r="E533" s="239" t="s">
        <v>410</v>
      </c>
      <c r="F533" s="239" t="s">
        <v>411</v>
      </c>
      <c r="G533" s="239" t="s">
        <v>952</v>
      </c>
      <c r="H533" s="239" t="s">
        <v>51</v>
      </c>
      <c r="I533" s="239" t="s">
        <v>1580</v>
      </c>
      <c r="J533" s="234">
        <v>38410</v>
      </c>
      <c r="K533" s="234">
        <v>15020</v>
      </c>
      <c r="L533" s="242">
        <v>6</v>
      </c>
      <c r="M533" s="308">
        <v>23390</v>
      </c>
      <c r="N533" s="234">
        <v>21986.6</v>
      </c>
      <c r="O533" s="234" t="s">
        <v>1872</v>
      </c>
      <c r="P533" s="236">
        <v>45913</v>
      </c>
      <c r="Q533" s="244">
        <v>0.90744212962962967</v>
      </c>
    </row>
    <row r="534" spans="1:17" ht="38.25">
      <c r="A534" s="239" t="s">
        <v>1819</v>
      </c>
      <c r="B534" s="240">
        <v>1618</v>
      </c>
      <c r="C534" s="241">
        <v>37423</v>
      </c>
      <c r="D534" s="239" t="s">
        <v>2711</v>
      </c>
      <c r="E534" s="239" t="s">
        <v>377</v>
      </c>
      <c r="F534" s="239" t="s">
        <v>378</v>
      </c>
      <c r="G534" s="239" t="s">
        <v>947</v>
      </c>
      <c r="H534" s="239" t="s">
        <v>51</v>
      </c>
      <c r="I534" s="239" t="s">
        <v>1580</v>
      </c>
      <c r="J534" s="234">
        <v>42270</v>
      </c>
      <c r="K534" s="234">
        <v>15050</v>
      </c>
      <c r="L534" s="242">
        <v>14</v>
      </c>
      <c r="M534" s="308">
        <v>27220</v>
      </c>
      <c r="N534" s="234">
        <v>23409.200000000001</v>
      </c>
      <c r="O534" s="234" t="s">
        <v>1870</v>
      </c>
      <c r="P534" s="236">
        <v>45913</v>
      </c>
      <c r="Q534" s="244">
        <v>0.87555555555555553</v>
      </c>
    </row>
    <row r="535" spans="1:17" ht="38.25">
      <c r="A535" s="239" t="s">
        <v>1828</v>
      </c>
      <c r="B535" s="240">
        <v>1619</v>
      </c>
      <c r="C535" s="241">
        <v>37428</v>
      </c>
      <c r="D535" s="239" t="s">
        <v>2711</v>
      </c>
      <c r="E535" s="239" t="s">
        <v>1305</v>
      </c>
      <c r="F535" s="239" t="s">
        <v>1306</v>
      </c>
      <c r="G535" s="239" t="s">
        <v>947</v>
      </c>
      <c r="H535" s="239" t="s">
        <v>51</v>
      </c>
      <c r="I535" s="239" t="s">
        <v>1580</v>
      </c>
      <c r="J535" s="234">
        <v>38540</v>
      </c>
      <c r="K535" s="234">
        <v>14780</v>
      </c>
      <c r="L535" s="242">
        <v>14</v>
      </c>
      <c r="M535" s="308">
        <v>23760</v>
      </c>
      <c r="N535" s="234">
        <v>20433.599999999999</v>
      </c>
      <c r="O535" s="234" t="s">
        <v>1879</v>
      </c>
      <c r="P535" s="236">
        <v>45914</v>
      </c>
      <c r="Q535" s="244">
        <v>0.47817129629629629</v>
      </c>
    </row>
    <row r="536" spans="1:17" ht="51">
      <c r="A536" s="239" t="s">
        <v>1832</v>
      </c>
      <c r="B536" s="240">
        <v>1620</v>
      </c>
      <c r="C536" s="241">
        <v>37426</v>
      </c>
      <c r="D536" s="239" t="s">
        <v>2711</v>
      </c>
      <c r="E536" s="239" t="s">
        <v>1648</v>
      </c>
      <c r="F536" s="239" t="s">
        <v>1649</v>
      </c>
      <c r="G536" s="239" t="s">
        <v>947</v>
      </c>
      <c r="H536" s="239" t="s">
        <v>51</v>
      </c>
      <c r="I536" s="239" t="s">
        <v>1580</v>
      </c>
      <c r="J536" s="234">
        <v>40350</v>
      </c>
      <c r="K536" s="234">
        <v>15760</v>
      </c>
      <c r="L536" s="242">
        <v>17</v>
      </c>
      <c r="M536" s="308">
        <v>24590</v>
      </c>
      <c r="N536" s="234">
        <v>20409.7</v>
      </c>
      <c r="O536" s="234" t="s">
        <v>1883</v>
      </c>
      <c r="P536" s="236">
        <v>45914</v>
      </c>
      <c r="Q536" s="244">
        <v>0.57930555555555552</v>
      </c>
    </row>
    <row r="537" spans="1:17" ht="38.25">
      <c r="A537" s="239" t="s">
        <v>1833</v>
      </c>
      <c r="B537" s="240">
        <v>1621</v>
      </c>
      <c r="C537" s="241">
        <v>37430</v>
      </c>
      <c r="D537" s="239" t="s">
        <v>2711</v>
      </c>
      <c r="E537" s="239" t="s">
        <v>1663</v>
      </c>
      <c r="F537" s="239" t="s">
        <v>1733</v>
      </c>
      <c r="G537" s="239" t="s">
        <v>947</v>
      </c>
      <c r="H537" s="239" t="s">
        <v>51</v>
      </c>
      <c r="I537" s="239" t="s">
        <v>1580</v>
      </c>
      <c r="J537" s="234">
        <v>39490</v>
      </c>
      <c r="K537" s="234">
        <v>15530</v>
      </c>
      <c r="L537" s="242">
        <v>14</v>
      </c>
      <c r="M537" s="308">
        <v>23960</v>
      </c>
      <c r="N537" s="234">
        <v>20605.599999999999</v>
      </c>
      <c r="O537" s="234" t="s">
        <v>1884</v>
      </c>
      <c r="P537" s="236">
        <v>45914</v>
      </c>
      <c r="Q537" s="244">
        <v>0.58811342592592597</v>
      </c>
    </row>
    <row r="538" spans="1:17" ht="38.25">
      <c r="A538" s="239" t="s">
        <v>1823</v>
      </c>
      <c r="B538" s="240">
        <v>1622</v>
      </c>
      <c r="C538" s="241">
        <v>37458</v>
      </c>
      <c r="D538" s="239" t="s">
        <v>2711</v>
      </c>
      <c r="E538" s="239" t="s">
        <v>369</v>
      </c>
      <c r="F538" s="239" t="s">
        <v>370</v>
      </c>
      <c r="G538" s="239" t="s">
        <v>950</v>
      </c>
      <c r="H538" s="239" t="s">
        <v>51</v>
      </c>
      <c r="I538" s="239" t="s">
        <v>1580</v>
      </c>
      <c r="J538" s="234">
        <v>38350</v>
      </c>
      <c r="K538" s="234">
        <v>15060</v>
      </c>
      <c r="L538" s="242">
        <v>16</v>
      </c>
      <c r="M538" s="308">
        <v>23290</v>
      </c>
      <c r="N538" s="234">
        <v>19563.599999999999</v>
      </c>
      <c r="O538" s="234" t="s">
        <v>1874</v>
      </c>
      <c r="P538" s="236">
        <v>45914</v>
      </c>
      <c r="Q538" s="244">
        <v>0.19605324074074074</v>
      </c>
    </row>
    <row r="539" spans="1:17" ht="38.25">
      <c r="A539" s="239" t="s">
        <v>1834</v>
      </c>
      <c r="B539" s="240">
        <v>1625</v>
      </c>
      <c r="C539" s="241">
        <v>37434</v>
      </c>
      <c r="D539" s="239" t="s">
        <v>2711</v>
      </c>
      <c r="E539" s="239" t="s">
        <v>858</v>
      </c>
      <c r="F539" s="239" t="s">
        <v>859</v>
      </c>
      <c r="G539" s="239" t="s">
        <v>947</v>
      </c>
      <c r="H539" s="239" t="s">
        <v>51</v>
      </c>
      <c r="I539" s="239" t="s">
        <v>1580</v>
      </c>
      <c r="J539" s="234">
        <v>38860</v>
      </c>
      <c r="K539" s="234">
        <v>14700</v>
      </c>
      <c r="L539" s="242">
        <v>11</v>
      </c>
      <c r="M539" s="308">
        <v>24160</v>
      </c>
      <c r="N539" s="234">
        <v>21502.400000000001</v>
      </c>
      <c r="O539" s="234" t="s">
        <v>1885</v>
      </c>
      <c r="P539" s="236">
        <v>45914</v>
      </c>
      <c r="Q539" s="244">
        <v>0.62975694444444441</v>
      </c>
    </row>
    <row r="540" spans="1:17" ht="38.25">
      <c r="A540" s="239" t="s">
        <v>1835</v>
      </c>
      <c r="B540" s="240">
        <v>1626</v>
      </c>
      <c r="C540" s="241">
        <v>37456</v>
      </c>
      <c r="D540" s="239" t="s">
        <v>2711</v>
      </c>
      <c r="E540" s="239" t="s">
        <v>429</v>
      </c>
      <c r="F540" s="239" t="s">
        <v>430</v>
      </c>
      <c r="G540" s="239" t="s">
        <v>947</v>
      </c>
      <c r="H540" s="239" t="s">
        <v>51</v>
      </c>
      <c r="I540" s="239" t="s">
        <v>1580</v>
      </c>
      <c r="J540" s="234">
        <v>39090</v>
      </c>
      <c r="K540" s="234">
        <v>14170</v>
      </c>
      <c r="L540" s="242">
        <v>17</v>
      </c>
      <c r="M540" s="308">
        <v>24920</v>
      </c>
      <c r="N540" s="234">
        <v>20683.599999999999</v>
      </c>
      <c r="O540" s="234" t="s">
        <v>1886</v>
      </c>
      <c r="P540" s="236">
        <v>45914</v>
      </c>
      <c r="Q540" s="244">
        <v>0.74942129629629628</v>
      </c>
    </row>
    <row r="541" spans="1:17" ht="38.25">
      <c r="A541" s="239" t="s">
        <v>1836</v>
      </c>
      <c r="B541" s="240">
        <v>1627</v>
      </c>
      <c r="C541" s="241">
        <v>37436</v>
      </c>
      <c r="D541" s="239" t="s">
        <v>2711</v>
      </c>
      <c r="E541" s="239" t="s">
        <v>447</v>
      </c>
      <c r="F541" s="239" t="s">
        <v>448</v>
      </c>
      <c r="G541" s="239" t="s">
        <v>947</v>
      </c>
      <c r="H541" s="239" t="s">
        <v>51</v>
      </c>
      <c r="I541" s="239" t="s">
        <v>1580</v>
      </c>
      <c r="J541" s="234">
        <v>44800</v>
      </c>
      <c r="K541" s="234">
        <v>19280</v>
      </c>
      <c r="L541" s="242">
        <v>15</v>
      </c>
      <c r="M541" s="308">
        <v>25520</v>
      </c>
      <c r="N541" s="234">
        <v>21692</v>
      </c>
      <c r="O541" s="234" t="s">
        <v>1887</v>
      </c>
      <c r="P541" s="236">
        <v>45914</v>
      </c>
      <c r="Q541" s="244">
        <v>0.76030092592592591</v>
      </c>
    </row>
    <row r="542" spans="1:17" ht="38.25">
      <c r="A542" s="239" t="s">
        <v>1837</v>
      </c>
      <c r="B542" s="240">
        <v>1629</v>
      </c>
      <c r="C542" s="241">
        <v>37460</v>
      </c>
      <c r="D542" s="239" t="s">
        <v>2711</v>
      </c>
      <c r="E542" s="239" t="s">
        <v>1397</v>
      </c>
      <c r="F542" s="239" t="s">
        <v>1398</v>
      </c>
      <c r="G542" s="239" t="s">
        <v>947</v>
      </c>
      <c r="H542" s="239" t="s">
        <v>51</v>
      </c>
      <c r="I542" s="239" t="s">
        <v>1580</v>
      </c>
      <c r="J542" s="234">
        <v>42170</v>
      </c>
      <c r="K542" s="234">
        <v>17020</v>
      </c>
      <c r="L542" s="242">
        <v>11</v>
      </c>
      <c r="M542" s="308">
        <v>25150</v>
      </c>
      <c r="N542" s="234">
        <v>22383.5</v>
      </c>
      <c r="O542" s="234" t="s">
        <v>1888</v>
      </c>
      <c r="P542" s="236">
        <v>45914</v>
      </c>
      <c r="Q542" s="244">
        <v>0.79115740740740736</v>
      </c>
    </row>
    <row r="543" spans="1:17" ht="38.25">
      <c r="A543" s="239" t="s">
        <v>1838</v>
      </c>
      <c r="B543" s="240">
        <v>1630</v>
      </c>
      <c r="C543" s="241">
        <v>37462</v>
      </c>
      <c r="D543" s="239" t="s">
        <v>2711</v>
      </c>
      <c r="E543" s="239" t="s">
        <v>1400</v>
      </c>
      <c r="F543" s="239" t="s">
        <v>1401</v>
      </c>
      <c r="G543" s="239" t="s">
        <v>947</v>
      </c>
      <c r="H543" s="239" t="s">
        <v>51</v>
      </c>
      <c r="I543" s="239" t="s">
        <v>1580</v>
      </c>
      <c r="J543" s="234">
        <v>36030</v>
      </c>
      <c r="K543" s="234">
        <v>14810</v>
      </c>
      <c r="L543" s="242">
        <v>14</v>
      </c>
      <c r="M543" s="308">
        <v>21220</v>
      </c>
      <c r="N543" s="234">
        <v>18249.2</v>
      </c>
      <c r="O543" s="234" t="s">
        <v>1889</v>
      </c>
      <c r="P543" s="236">
        <v>45914</v>
      </c>
      <c r="Q543" s="244">
        <v>0.87862268518518516</v>
      </c>
    </row>
    <row r="544" spans="1:17" ht="38.25">
      <c r="A544" s="239" t="s">
        <v>1839</v>
      </c>
      <c r="B544" s="240">
        <v>1631</v>
      </c>
      <c r="C544" s="241">
        <v>37464</v>
      </c>
      <c r="D544" s="239" t="s">
        <v>2711</v>
      </c>
      <c r="E544" s="239" t="s">
        <v>1403</v>
      </c>
      <c r="F544" s="239" t="s">
        <v>1404</v>
      </c>
      <c r="G544" s="239" t="s">
        <v>947</v>
      </c>
      <c r="H544" s="239" t="s">
        <v>51</v>
      </c>
      <c r="I544" s="239" t="s">
        <v>1580</v>
      </c>
      <c r="J544" s="234">
        <v>38530</v>
      </c>
      <c r="K544" s="234">
        <v>14920</v>
      </c>
      <c r="L544" s="242">
        <v>20</v>
      </c>
      <c r="M544" s="308">
        <v>23610</v>
      </c>
      <c r="N544" s="234">
        <v>18888</v>
      </c>
      <c r="O544" s="234" t="s">
        <v>1890</v>
      </c>
      <c r="P544" s="236">
        <v>45914</v>
      </c>
      <c r="Q544" s="244">
        <v>0.8848611111111111</v>
      </c>
    </row>
    <row r="545" spans="1:17" ht="38.25">
      <c r="A545" s="239" t="s">
        <v>1824</v>
      </c>
      <c r="B545" s="240">
        <v>1632</v>
      </c>
      <c r="C545" s="241">
        <v>37486</v>
      </c>
      <c r="D545" s="239" t="s">
        <v>2711</v>
      </c>
      <c r="E545" s="239" t="s">
        <v>456</v>
      </c>
      <c r="F545" s="239" t="s">
        <v>457</v>
      </c>
      <c r="G545" s="239" t="s">
        <v>947</v>
      </c>
      <c r="H545" s="239" t="s">
        <v>51</v>
      </c>
      <c r="I545" s="239" t="s">
        <v>1580</v>
      </c>
      <c r="J545" s="234">
        <v>43180</v>
      </c>
      <c r="K545" s="234">
        <v>15610</v>
      </c>
      <c r="L545" s="242">
        <v>12</v>
      </c>
      <c r="M545" s="308">
        <v>27570</v>
      </c>
      <c r="N545" s="234">
        <v>24261.599999999999</v>
      </c>
      <c r="O545" s="234" t="s">
        <v>1875</v>
      </c>
      <c r="P545" s="236">
        <v>45914</v>
      </c>
      <c r="Q545" s="244">
        <v>0.27935185185185185</v>
      </c>
    </row>
    <row r="546" spans="1:17" ht="38.25">
      <c r="A546" s="239" t="s">
        <v>1825</v>
      </c>
      <c r="B546" s="240">
        <v>1633</v>
      </c>
      <c r="C546" s="241">
        <v>37480</v>
      </c>
      <c r="D546" s="239" t="s">
        <v>2711</v>
      </c>
      <c r="E546" s="239" t="s">
        <v>453</v>
      </c>
      <c r="F546" s="239" t="s">
        <v>454</v>
      </c>
      <c r="G546" s="239" t="s">
        <v>947</v>
      </c>
      <c r="H546" s="239" t="s">
        <v>51</v>
      </c>
      <c r="I546" s="239" t="s">
        <v>1580</v>
      </c>
      <c r="J546" s="234">
        <v>50980</v>
      </c>
      <c r="K546" s="234">
        <v>24120</v>
      </c>
      <c r="L546" s="242">
        <v>12</v>
      </c>
      <c r="M546" s="308">
        <v>26860</v>
      </c>
      <c r="N546" s="234">
        <v>23636.799999999999</v>
      </c>
      <c r="O546" s="234" t="s">
        <v>1876</v>
      </c>
      <c r="P546" s="236">
        <v>45914</v>
      </c>
      <c r="Q546" s="244">
        <v>0.31427083333333333</v>
      </c>
    </row>
    <row r="547" spans="1:17" ht="38.25">
      <c r="A547" s="239" t="s">
        <v>1826</v>
      </c>
      <c r="B547" s="240">
        <v>1637</v>
      </c>
      <c r="C547" s="241">
        <v>37494</v>
      </c>
      <c r="D547" s="239" t="s">
        <v>2711</v>
      </c>
      <c r="E547" s="239" t="s">
        <v>386</v>
      </c>
      <c r="F547" s="239" t="s">
        <v>387</v>
      </c>
      <c r="G547" s="239" t="s">
        <v>947</v>
      </c>
      <c r="H547" s="239" t="s">
        <v>51</v>
      </c>
      <c r="I547" s="239" t="s">
        <v>1580</v>
      </c>
      <c r="J547" s="234">
        <v>39910</v>
      </c>
      <c r="K547" s="234">
        <v>15310</v>
      </c>
      <c r="L547" s="242">
        <v>12</v>
      </c>
      <c r="M547" s="308">
        <v>24600</v>
      </c>
      <c r="N547" s="234">
        <v>21648</v>
      </c>
      <c r="O547" s="234" t="s">
        <v>1877</v>
      </c>
      <c r="P547" s="236">
        <v>45914</v>
      </c>
      <c r="Q547" s="244">
        <v>0.41864583333333333</v>
      </c>
    </row>
    <row r="548" spans="1:17" ht="38.25">
      <c r="A548" s="239" t="s">
        <v>1827</v>
      </c>
      <c r="B548" s="240">
        <v>1639</v>
      </c>
      <c r="C548" s="241">
        <v>37492</v>
      </c>
      <c r="D548" s="239" t="s">
        <v>2711</v>
      </c>
      <c r="E548" s="239" t="s">
        <v>372</v>
      </c>
      <c r="F548" s="239" t="s">
        <v>373</v>
      </c>
      <c r="G548" s="239" t="s">
        <v>947</v>
      </c>
      <c r="H548" s="239" t="s">
        <v>51</v>
      </c>
      <c r="I548" s="239" t="s">
        <v>1580</v>
      </c>
      <c r="J548" s="234">
        <v>39710</v>
      </c>
      <c r="K548" s="234">
        <v>14840</v>
      </c>
      <c r="L548" s="242">
        <v>13</v>
      </c>
      <c r="M548" s="308">
        <v>24870</v>
      </c>
      <c r="N548" s="234">
        <v>21636.9</v>
      </c>
      <c r="O548" s="234" t="s">
        <v>1878</v>
      </c>
      <c r="P548" s="236">
        <v>45914</v>
      </c>
      <c r="Q548" s="244">
        <v>0.42289351851851853</v>
      </c>
    </row>
    <row r="549" spans="1:17" ht="38.25">
      <c r="A549" s="239" t="s">
        <v>1829</v>
      </c>
      <c r="B549" s="240">
        <v>1640</v>
      </c>
      <c r="C549" s="241">
        <v>37499</v>
      </c>
      <c r="D549" s="239" t="s">
        <v>2711</v>
      </c>
      <c r="E549" s="239" t="s">
        <v>413</v>
      </c>
      <c r="F549" s="239" t="s">
        <v>414</v>
      </c>
      <c r="G549" s="239" t="s">
        <v>947</v>
      </c>
      <c r="H549" s="239" t="s">
        <v>51</v>
      </c>
      <c r="I549" s="239" t="s">
        <v>1580</v>
      </c>
      <c r="J549" s="234">
        <v>42770</v>
      </c>
      <c r="K549" s="234">
        <v>14850</v>
      </c>
      <c r="L549" s="242">
        <v>7</v>
      </c>
      <c r="M549" s="308">
        <v>27920</v>
      </c>
      <c r="N549" s="234">
        <v>25965.599999999999</v>
      </c>
      <c r="O549" s="234" t="s">
        <v>1880</v>
      </c>
      <c r="P549" s="236">
        <v>45914</v>
      </c>
      <c r="Q549" s="244">
        <v>0.51312500000000005</v>
      </c>
    </row>
    <row r="550" spans="1:17" ht="38.25">
      <c r="A550" s="239" t="s">
        <v>1830</v>
      </c>
      <c r="B550" s="240">
        <v>1641</v>
      </c>
      <c r="C550" s="241">
        <v>37501</v>
      </c>
      <c r="D550" s="239" t="s">
        <v>2711</v>
      </c>
      <c r="E550" s="239" t="s">
        <v>403</v>
      </c>
      <c r="F550" s="239" t="s">
        <v>404</v>
      </c>
      <c r="G550" s="239" t="s">
        <v>947</v>
      </c>
      <c r="H550" s="239" t="s">
        <v>51</v>
      </c>
      <c r="I550" s="239" t="s">
        <v>1580</v>
      </c>
      <c r="J550" s="234">
        <v>39480</v>
      </c>
      <c r="K550" s="234">
        <v>14490</v>
      </c>
      <c r="L550" s="242">
        <v>8</v>
      </c>
      <c r="M550" s="308">
        <v>24990</v>
      </c>
      <c r="N550" s="234">
        <v>22990.799999999999</v>
      </c>
      <c r="O550" s="234" t="s">
        <v>1881</v>
      </c>
      <c r="P550" s="236">
        <v>45914</v>
      </c>
      <c r="Q550" s="244">
        <v>0.53431712962962963</v>
      </c>
    </row>
    <row r="551" spans="1:17" ht="38.25">
      <c r="A551" s="239" t="s">
        <v>1831</v>
      </c>
      <c r="B551" s="240">
        <v>1642</v>
      </c>
      <c r="C551" s="241">
        <v>37503</v>
      </c>
      <c r="D551" s="239" t="s">
        <v>2711</v>
      </c>
      <c r="E551" s="239" t="s">
        <v>406</v>
      </c>
      <c r="F551" s="239" t="s">
        <v>407</v>
      </c>
      <c r="G551" s="239" t="s">
        <v>947</v>
      </c>
      <c r="H551" s="239" t="s">
        <v>51</v>
      </c>
      <c r="I551" s="239" t="s">
        <v>1580</v>
      </c>
      <c r="J551" s="234">
        <v>39400</v>
      </c>
      <c r="K551" s="234">
        <v>15090</v>
      </c>
      <c r="L551" s="242">
        <v>7</v>
      </c>
      <c r="M551" s="308">
        <v>24310</v>
      </c>
      <c r="N551" s="234">
        <v>22608.3</v>
      </c>
      <c r="O551" s="234" t="s">
        <v>1882</v>
      </c>
      <c r="P551" s="236">
        <v>45914</v>
      </c>
      <c r="Q551" s="244">
        <v>0.53714120370370366</v>
      </c>
    </row>
    <row r="552" spans="1:17" ht="38.25">
      <c r="A552" s="239" t="s">
        <v>1912</v>
      </c>
      <c r="B552" s="240">
        <v>1644</v>
      </c>
      <c r="C552" s="241">
        <v>37521</v>
      </c>
      <c r="D552" s="239" t="s">
        <v>2711</v>
      </c>
      <c r="E552" s="239" t="s">
        <v>416</v>
      </c>
      <c r="F552" s="239" t="s">
        <v>417</v>
      </c>
      <c r="G552" s="239" t="s">
        <v>947</v>
      </c>
      <c r="H552" s="239" t="s">
        <v>51</v>
      </c>
      <c r="I552" s="239" t="s">
        <v>1580</v>
      </c>
      <c r="J552" s="234">
        <v>37600</v>
      </c>
      <c r="K552" s="234">
        <v>14670</v>
      </c>
      <c r="L552" s="242">
        <v>11</v>
      </c>
      <c r="M552" s="308">
        <v>22930</v>
      </c>
      <c r="N552" s="234">
        <v>20407.7</v>
      </c>
      <c r="O552" s="234" t="s">
        <v>1953</v>
      </c>
      <c r="P552" s="236">
        <v>45914</v>
      </c>
      <c r="Q552" s="244">
        <v>0.66357638888888892</v>
      </c>
    </row>
    <row r="553" spans="1:17" ht="38.25">
      <c r="A553" s="239" t="s">
        <v>1913</v>
      </c>
      <c r="B553" s="240">
        <v>1646</v>
      </c>
      <c r="C553" s="241">
        <v>37517</v>
      </c>
      <c r="D553" s="239" t="s">
        <v>2711</v>
      </c>
      <c r="E553" s="239" t="s">
        <v>390</v>
      </c>
      <c r="F553" s="239" t="s">
        <v>391</v>
      </c>
      <c r="G553" s="239" t="s">
        <v>947</v>
      </c>
      <c r="H553" s="239" t="s">
        <v>51</v>
      </c>
      <c r="I553" s="239" t="s">
        <v>1580</v>
      </c>
      <c r="J553" s="234">
        <v>40200</v>
      </c>
      <c r="K553" s="234">
        <v>14990</v>
      </c>
      <c r="L553" s="242">
        <v>12</v>
      </c>
      <c r="M553" s="308">
        <v>25210</v>
      </c>
      <c r="N553" s="234">
        <v>22184.799999999999</v>
      </c>
      <c r="O553" s="234" t="s">
        <v>1954</v>
      </c>
      <c r="P553" s="236">
        <v>45914</v>
      </c>
      <c r="Q553" s="244">
        <v>0.79807870370370371</v>
      </c>
    </row>
    <row r="554" spans="1:17" ht="38.25">
      <c r="A554" s="239" t="s">
        <v>1914</v>
      </c>
      <c r="B554" s="240">
        <v>1647</v>
      </c>
      <c r="C554" s="241">
        <v>37515</v>
      </c>
      <c r="D554" s="239" t="s">
        <v>2711</v>
      </c>
      <c r="E554" s="239" t="s">
        <v>392</v>
      </c>
      <c r="F554" s="239" t="s">
        <v>393</v>
      </c>
      <c r="G554" s="239" t="s">
        <v>947</v>
      </c>
      <c r="H554" s="239" t="s">
        <v>51</v>
      </c>
      <c r="I554" s="239" t="s">
        <v>1580</v>
      </c>
      <c r="J554" s="234">
        <v>57060</v>
      </c>
      <c r="K554" s="234">
        <v>24040</v>
      </c>
      <c r="L554" s="242">
        <v>11</v>
      </c>
      <c r="M554" s="308">
        <v>33020</v>
      </c>
      <c r="N554" s="234">
        <v>29387.8</v>
      </c>
      <c r="O554" s="234" t="s">
        <v>1955</v>
      </c>
      <c r="P554" s="236">
        <v>45914</v>
      </c>
      <c r="Q554" s="244">
        <v>0.80204861111111114</v>
      </c>
    </row>
    <row r="555" spans="1:17" ht="38.25">
      <c r="A555" s="239" t="s">
        <v>1915</v>
      </c>
      <c r="B555" s="240">
        <v>1649</v>
      </c>
      <c r="C555" s="241">
        <v>37523</v>
      </c>
      <c r="D555" s="239" t="s">
        <v>2711</v>
      </c>
      <c r="E555" s="239" t="s">
        <v>791</v>
      </c>
      <c r="F555" s="239" t="s">
        <v>792</v>
      </c>
      <c r="G555" s="239" t="s">
        <v>947</v>
      </c>
      <c r="H555" s="239" t="s">
        <v>51</v>
      </c>
      <c r="I555" s="239" t="s">
        <v>1580</v>
      </c>
      <c r="J555" s="234">
        <v>38800</v>
      </c>
      <c r="K555" s="234">
        <v>14880</v>
      </c>
      <c r="L555" s="242">
        <v>19</v>
      </c>
      <c r="M555" s="308">
        <v>23920</v>
      </c>
      <c r="N555" s="234">
        <v>19375.2</v>
      </c>
      <c r="O555" s="234" t="s">
        <v>1956</v>
      </c>
      <c r="P555" s="236">
        <v>45914</v>
      </c>
      <c r="Q555" s="244">
        <v>0.94813657407407403</v>
      </c>
    </row>
    <row r="556" spans="1:17" ht="38.25">
      <c r="A556" s="239" t="s">
        <v>1916</v>
      </c>
      <c r="B556" s="240">
        <v>1651</v>
      </c>
      <c r="C556" s="241">
        <v>37527</v>
      </c>
      <c r="D556" s="239" t="s">
        <v>2711</v>
      </c>
      <c r="E556" s="239" t="s">
        <v>462</v>
      </c>
      <c r="F556" s="239" t="s">
        <v>463</v>
      </c>
      <c r="G556" s="239" t="s">
        <v>947</v>
      </c>
      <c r="H556" s="239" t="s">
        <v>51</v>
      </c>
      <c r="I556" s="239" t="s">
        <v>1580</v>
      </c>
      <c r="J556" s="234">
        <v>40980</v>
      </c>
      <c r="K556" s="234">
        <v>16250</v>
      </c>
      <c r="L556" s="242">
        <v>10</v>
      </c>
      <c r="M556" s="308">
        <v>24730</v>
      </c>
      <c r="N556" s="234">
        <v>22257</v>
      </c>
      <c r="O556" s="234" t="s">
        <v>1957</v>
      </c>
      <c r="P556" s="236">
        <v>45914</v>
      </c>
      <c r="Q556" s="244">
        <v>0.986724537037037</v>
      </c>
    </row>
    <row r="557" spans="1:17" ht="38.25">
      <c r="A557" s="239" t="s">
        <v>1927</v>
      </c>
      <c r="B557" s="240">
        <v>1652</v>
      </c>
      <c r="C557" s="241">
        <v>37529</v>
      </c>
      <c r="D557" s="239" t="s">
        <v>2711</v>
      </c>
      <c r="E557" s="239" t="s">
        <v>794</v>
      </c>
      <c r="F557" s="239" t="s">
        <v>795</v>
      </c>
      <c r="G557" s="239" t="s">
        <v>947</v>
      </c>
      <c r="H557" s="239" t="s">
        <v>51</v>
      </c>
      <c r="I557" s="239" t="s">
        <v>1580</v>
      </c>
      <c r="J557" s="234">
        <v>41580</v>
      </c>
      <c r="K557" s="234">
        <v>16050</v>
      </c>
      <c r="L557" s="242">
        <v>20</v>
      </c>
      <c r="M557" s="308">
        <v>25530</v>
      </c>
      <c r="N557" s="234">
        <v>20424</v>
      </c>
      <c r="O557" s="234" t="s">
        <v>1968</v>
      </c>
      <c r="P557" s="236">
        <v>45915</v>
      </c>
      <c r="Q557" s="244">
        <v>0.79453703703703704</v>
      </c>
    </row>
    <row r="558" spans="1:17" ht="38.25">
      <c r="A558" s="239" t="s">
        <v>1928</v>
      </c>
      <c r="B558" s="240">
        <v>1653</v>
      </c>
      <c r="C558" s="241">
        <v>37533</v>
      </c>
      <c r="D558" s="239" t="s">
        <v>2711</v>
      </c>
      <c r="E558" s="239" t="s">
        <v>432</v>
      </c>
      <c r="F558" s="239" t="s">
        <v>433</v>
      </c>
      <c r="G558" s="239" t="s">
        <v>947</v>
      </c>
      <c r="H558" s="239" t="s">
        <v>51</v>
      </c>
      <c r="I558" s="239" t="s">
        <v>1580</v>
      </c>
      <c r="J558" s="234">
        <v>42660</v>
      </c>
      <c r="K558" s="234">
        <v>15580</v>
      </c>
      <c r="L558" s="242">
        <v>8</v>
      </c>
      <c r="M558" s="308">
        <v>27080</v>
      </c>
      <c r="N558" s="234">
        <v>24913.599999999999</v>
      </c>
      <c r="O558" s="234" t="s">
        <v>1969</v>
      </c>
      <c r="P558" s="236">
        <v>45915</v>
      </c>
      <c r="Q558" s="244">
        <v>0.85417824074074078</v>
      </c>
    </row>
    <row r="559" spans="1:17" ht="38.25">
      <c r="A559" s="239" t="s">
        <v>1930</v>
      </c>
      <c r="B559" s="240">
        <v>1654</v>
      </c>
      <c r="C559" s="241">
        <v>37535</v>
      </c>
      <c r="D559" s="239" t="s">
        <v>2711</v>
      </c>
      <c r="E559" s="239" t="s">
        <v>439</v>
      </c>
      <c r="F559" s="239" t="s">
        <v>440</v>
      </c>
      <c r="G559" s="239" t="s">
        <v>950</v>
      </c>
      <c r="H559" s="239" t="s">
        <v>51</v>
      </c>
      <c r="I559" s="239" t="s">
        <v>1580</v>
      </c>
      <c r="J559" s="234">
        <v>39050</v>
      </c>
      <c r="K559" s="234">
        <v>14870</v>
      </c>
      <c r="L559" s="242">
        <v>16</v>
      </c>
      <c r="M559" s="308">
        <v>24180</v>
      </c>
      <c r="N559" s="234">
        <v>20311.2</v>
      </c>
      <c r="O559" s="234" t="s">
        <v>1971</v>
      </c>
      <c r="P559" s="236">
        <v>45915</v>
      </c>
      <c r="Q559" s="244">
        <v>0.9470601851851852</v>
      </c>
    </row>
    <row r="560" spans="1:17" ht="38.25">
      <c r="A560" s="239" t="s">
        <v>1917</v>
      </c>
      <c r="B560" s="240">
        <v>1655</v>
      </c>
      <c r="C560" s="241">
        <v>37537</v>
      </c>
      <c r="D560" s="239" t="s">
        <v>2711</v>
      </c>
      <c r="E560" s="239" t="s">
        <v>472</v>
      </c>
      <c r="F560" s="239" t="s">
        <v>473</v>
      </c>
      <c r="G560" s="239" t="s">
        <v>950</v>
      </c>
      <c r="H560" s="239" t="s">
        <v>51</v>
      </c>
      <c r="I560" s="239" t="s">
        <v>1580</v>
      </c>
      <c r="J560" s="234">
        <v>39470</v>
      </c>
      <c r="K560" s="234">
        <v>16330</v>
      </c>
      <c r="L560" s="242">
        <v>14</v>
      </c>
      <c r="M560" s="308">
        <v>23140</v>
      </c>
      <c r="N560" s="234">
        <v>19900.400000000001</v>
      </c>
      <c r="O560" s="234" t="s">
        <v>1958</v>
      </c>
      <c r="P560" s="236">
        <v>45915</v>
      </c>
      <c r="Q560" s="244">
        <v>0.22237268518518519</v>
      </c>
    </row>
    <row r="561" spans="1:17" ht="51">
      <c r="A561" s="239" t="s">
        <v>1918</v>
      </c>
      <c r="B561" s="240">
        <v>1656</v>
      </c>
      <c r="C561" s="241">
        <v>37539</v>
      </c>
      <c r="D561" s="239" t="s">
        <v>2711</v>
      </c>
      <c r="E561" s="239" t="s">
        <v>475</v>
      </c>
      <c r="F561" s="239" t="s">
        <v>476</v>
      </c>
      <c r="G561" s="239" t="s">
        <v>950</v>
      </c>
      <c r="H561" s="239" t="s">
        <v>51</v>
      </c>
      <c r="I561" s="239" t="s">
        <v>1580</v>
      </c>
      <c r="J561" s="234">
        <v>39250</v>
      </c>
      <c r="K561" s="234">
        <v>16320</v>
      </c>
      <c r="L561" s="242">
        <v>23</v>
      </c>
      <c r="M561" s="308">
        <v>22930</v>
      </c>
      <c r="N561" s="234">
        <v>17656.099999999999</v>
      </c>
      <c r="O561" s="234" t="s">
        <v>1959</v>
      </c>
      <c r="P561" s="236">
        <v>45915</v>
      </c>
      <c r="Q561" s="244">
        <v>0.22538194444444445</v>
      </c>
    </row>
    <row r="562" spans="1:17" ht="38.25">
      <c r="A562" s="239" t="s">
        <v>1919</v>
      </c>
      <c r="B562" s="240">
        <v>1657</v>
      </c>
      <c r="C562" s="241">
        <v>37541</v>
      </c>
      <c r="D562" s="239" t="s">
        <v>2711</v>
      </c>
      <c r="E562" s="239" t="s">
        <v>841</v>
      </c>
      <c r="F562" s="239" t="s">
        <v>845</v>
      </c>
      <c r="G562" s="239" t="s">
        <v>950</v>
      </c>
      <c r="H562" s="239" t="s">
        <v>51</v>
      </c>
      <c r="I562" s="239" t="s">
        <v>1580</v>
      </c>
      <c r="J562" s="234">
        <v>42870</v>
      </c>
      <c r="K562" s="234">
        <v>15830</v>
      </c>
      <c r="L562" s="242">
        <v>17</v>
      </c>
      <c r="M562" s="308">
        <v>27040</v>
      </c>
      <c r="N562" s="234">
        <v>22443.200000000001</v>
      </c>
      <c r="O562" s="234" t="s">
        <v>1960</v>
      </c>
      <c r="P562" s="236">
        <v>45915</v>
      </c>
      <c r="Q562" s="244">
        <v>0.24369212962962963</v>
      </c>
    </row>
    <row r="563" spans="1:17" ht="38.25">
      <c r="A563" s="239" t="s">
        <v>1920</v>
      </c>
      <c r="B563" s="240">
        <v>1658</v>
      </c>
      <c r="C563" s="241">
        <v>37543</v>
      </c>
      <c r="D563" s="239" t="s">
        <v>2711</v>
      </c>
      <c r="E563" s="239" t="s">
        <v>866</v>
      </c>
      <c r="F563" s="239" t="s">
        <v>867</v>
      </c>
      <c r="G563" s="239" t="s">
        <v>950</v>
      </c>
      <c r="H563" s="239" t="s">
        <v>51</v>
      </c>
      <c r="I563" s="239" t="s">
        <v>1580</v>
      </c>
      <c r="J563" s="234">
        <v>39170</v>
      </c>
      <c r="K563" s="234">
        <v>14420</v>
      </c>
      <c r="L563" s="242">
        <v>5</v>
      </c>
      <c r="M563" s="308">
        <v>24750</v>
      </c>
      <c r="N563" s="234">
        <v>23512.5</v>
      </c>
      <c r="O563" s="234" t="s">
        <v>1961</v>
      </c>
      <c r="P563" s="236">
        <v>45915</v>
      </c>
      <c r="Q563" s="244">
        <v>0.32841435185185186</v>
      </c>
    </row>
    <row r="564" spans="1:17" ht="38.25">
      <c r="A564" s="239" t="s">
        <v>1921</v>
      </c>
      <c r="B564" s="240">
        <v>1660</v>
      </c>
      <c r="C564" s="241">
        <v>37545</v>
      </c>
      <c r="D564" s="239" t="s">
        <v>2711</v>
      </c>
      <c r="E564" s="239" t="s">
        <v>388</v>
      </c>
      <c r="F564" s="239" t="s">
        <v>389</v>
      </c>
      <c r="G564" s="239" t="s">
        <v>950</v>
      </c>
      <c r="H564" s="239" t="s">
        <v>51</v>
      </c>
      <c r="I564" s="239" t="s">
        <v>1580</v>
      </c>
      <c r="J564" s="234">
        <v>53280</v>
      </c>
      <c r="K564" s="234">
        <v>20830</v>
      </c>
      <c r="L564" s="242">
        <v>9</v>
      </c>
      <c r="M564" s="308">
        <v>32450</v>
      </c>
      <c r="N564" s="234">
        <v>29529.5</v>
      </c>
      <c r="O564" s="234" t="s">
        <v>1962</v>
      </c>
      <c r="P564" s="236">
        <v>45915</v>
      </c>
      <c r="Q564" s="244">
        <v>0.36572916666666666</v>
      </c>
    </row>
    <row r="565" spans="1:17" ht="38.25">
      <c r="A565" s="239" t="s">
        <v>1922</v>
      </c>
      <c r="B565" s="240">
        <v>1662</v>
      </c>
      <c r="C565" s="241">
        <v>37547</v>
      </c>
      <c r="D565" s="239" t="s">
        <v>2711</v>
      </c>
      <c r="E565" s="239" t="s">
        <v>400</v>
      </c>
      <c r="F565" s="239" t="s">
        <v>401</v>
      </c>
      <c r="G565" s="239" t="s">
        <v>950</v>
      </c>
      <c r="H565" s="239" t="s">
        <v>51</v>
      </c>
      <c r="I565" s="239" t="s">
        <v>1580</v>
      </c>
      <c r="J565" s="234">
        <v>38160</v>
      </c>
      <c r="K565" s="234">
        <v>14690</v>
      </c>
      <c r="L565" s="242">
        <v>14</v>
      </c>
      <c r="M565" s="308">
        <v>23470</v>
      </c>
      <c r="N565" s="234">
        <v>20184.2</v>
      </c>
      <c r="O565" s="234" t="s">
        <v>1963</v>
      </c>
      <c r="P565" s="236">
        <v>45915</v>
      </c>
      <c r="Q565" s="244">
        <v>0.42875000000000002</v>
      </c>
    </row>
    <row r="566" spans="1:17" ht="38.25">
      <c r="A566" s="239" t="s">
        <v>1923</v>
      </c>
      <c r="B566" s="240">
        <v>1663</v>
      </c>
      <c r="C566" s="241">
        <v>37549</v>
      </c>
      <c r="D566" s="239" t="s">
        <v>2711</v>
      </c>
      <c r="E566" s="239" t="s">
        <v>382</v>
      </c>
      <c r="F566" s="239" t="s">
        <v>383</v>
      </c>
      <c r="G566" s="239" t="s">
        <v>950</v>
      </c>
      <c r="H566" s="239" t="s">
        <v>51</v>
      </c>
      <c r="I566" s="239" t="s">
        <v>1580</v>
      </c>
      <c r="J566" s="234">
        <v>37000</v>
      </c>
      <c r="K566" s="234">
        <v>14540</v>
      </c>
      <c r="L566" s="242">
        <v>19</v>
      </c>
      <c r="M566" s="308">
        <v>22460</v>
      </c>
      <c r="N566" s="234">
        <v>18192.599999999999</v>
      </c>
      <c r="O566" s="234" t="s">
        <v>1964</v>
      </c>
      <c r="P566" s="236">
        <v>45915</v>
      </c>
      <c r="Q566" s="244">
        <v>0.43145833333333333</v>
      </c>
    </row>
    <row r="567" spans="1:17" ht="38.25">
      <c r="A567" s="239" t="s">
        <v>1924</v>
      </c>
      <c r="B567" s="240">
        <v>1666</v>
      </c>
      <c r="C567" s="241">
        <v>37551</v>
      </c>
      <c r="D567" s="239" t="s">
        <v>2711</v>
      </c>
      <c r="E567" s="239" t="s">
        <v>374</v>
      </c>
      <c r="F567" s="239" t="s">
        <v>375</v>
      </c>
      <c r="G567" s="239" t="s">
        <v>950</v>
      </c>
      <c r="H567" s="239" t="s">
        <v>51</v>
      </c>
      <c r="I567" s="239" t="s">
        <v>1580</v>
      </c>
      <c r="J567" s="234">
        <v>38670</v>
      </c>
      <c r="K567" s="234">
        <v>15500</v>
      </c>
      <c r="L567" s="242">
        <v>9</v>
      </c>
      <c r="M567" s="308">
        <v>23170</v>
      </c>
      <c r="N567" s="234">
        <v>21084.7</v>
      </c>
      <c r="O567" s="234" t="s">
        <v>1965</v>
      </c>
      <c r="P567" s="236">
        <v>45915</v>
      </c>
      <c r="Q567" s="244">
        <v>0.50040509259259258</v>
      </c>
    </row>
    <row r="568" spans="1:17" ht="38.25">
      <c r="A568" s="239" t="s">
        <v>1925</v>
      </c>
      <c r="B568" s="240">
        <v>1667</v>
      </c>
      <c r="C568" s="241">
        <v>37553</v>
      </c>
      <c r="D568" s="239" t="s">
        <v>2711</v>
      </c>
      <c r="E568" s="239" t="s">
        <v>377</v>
      </c>
      <c r="F568" s="239" t="s">
        <v>378</v>
      </c>
      <c r="G568" s="239" t="s">
        <v>950</v>
      </c>
      <c r="H568" s="239" t="s">
        <v>51</v>
      </c>
      <c r="I568" s="239" t="s">
        <v>1580</v>
      </c>
      <c r="J568" s="234">
        <v>41710</v>
      </c>
      <c r="K568" s="234">
        <v>15130</v>
      </c>
      <c r="L568" s="242">
        <v>10</v>
      </c>
      <c r="M568" s="308">
        <v>26580</v>
      </c>
      <c r="N568" s="234">
        <v>23922</v>
      </c>
      <c r="O568" s="234" t="s">
        <v>1966</v>
      </c>
      <c r="P568" s="236">
        <v>45915</v>
      </c>
      <c r="Q568" s="244">
        <v>0.52806712962962965</v>
      </c>
    </row>
    <row r="569" spans="1:17" ht="38.25">
      <c r="A569" s="239" t="s">
        <v>1926</v>
      </c>
      <c r="B569" s="240">
        <v>1671</v>
      </c>
      <c r="C569" s="241">
        <v>37555</v>
      </c>
      <c r="D569" s="239" t="s">
        <v>2711</v>
      </c>
      <c r="E569" s="239" t="s">
        <v>442</v>
      </c>
      <c r="F569" s="239" t="s">
        <v>443</v>
      </c>
      <c r="G569" s="239" t="s">
        <v>950</v>
      </c>
      <c r="H569" s="239" t="s">
        <v>51</v>
      </c>
      <c r="I569" s="239" t="s">
        <v>1580</v>
      </c>
      <c r="J569" s="234">
        <v>35140</v>
      </c>
      <c r="K569" s="234">
        <v>14430</v>
      </c>
      <c r="L569" s="242">
        <v>18</v>
      </c>
      <c r="M569" s="308">
        <v>20710</v>
      </c>
      <c r="N569" s="234">
        <v>16982.2</v>
      </c>
      <c r="O569" s="234" t="s">
        <v>1967</v>
      </c>
      <c r="P569" s="236">
        <v>45915</v>
      </c>
      <c r="Q569" s="244">
        <v>0.61964120370370368</v>
      </c>
    </row>
    <row r="570" spans="1:17" ht="38.25">
      <c r="A570" s="239" t="s">
        <v>1973</v>
      </c>
      <c r="B570" s="240">
        <v>1674</v>
      </c>
      <c r="C570" s="241">
        <v>37557</v>
      </c>
      <c r="D570" s="239" t="s">
        <v>2711</v>
      </c>
      <c r="E570" s="239" t="s">
        <v>780</v>
      </c>
      <c r="F570" s="239" t="s">
        <v>781</v>
      </c>
      <c r="G570" s="239" t="s">
        <v>950</v>
      </c>
      <c r="H570" s="239" t="s">
        <v>51</v>
      </c>
      <c r="I570" s="239" t="s">
        <v>1580</v>
      </c>
      <c r="J570" s="234">
        <v>36190</v>
      </c>
      <c r="K570" s="234">
        <v>14790</v>
      </c>
      <c r="L570" s="242">
        <v>13</v>
      </c>
      <c r="M570" s="308">
        <v>21400</v>
      </c>
      <c r="N570" s="234">
        <v>18618</v>
      </c>
      <c r="O570" s="234" t="s">
        <v>1974</v>
      </c>
      <c r="P570" s="236">
        <v>45915</v>
      </c>
      <c r="Q570" s="244">
        <v>0.86446759259259254</v>
      </c>
    </row>
    <row r="571" spans="1:17" ht="38.25">
      <c r="A571" s="239" t="s">
        <v>1931</v>
      </c>
      <c r="B571" s="240">
        <v>1675</v>
      </c>
      <c r="C571" s="241">
        <v>37559</v>
      </c>
      <c r="D571" s="239" t="s">
        <v>2711</v>
      </c>
      <c r="E571" s="239" t="s">
        <v>384</v>
      </c>
      <c r="F571" s="239" t="s">
        <v>385</v>
      </c>
      <c r="G571" s="239" t="s">
        <v>952</v>
      </c>
      <c r="H571" s="239" t="s">
        <v>51</v>
      </c>
      <c r="I571" s="239" t="s">
        <v>1580</v>
      </c>
      <c r="J571" s="234">
        <v>36360</v>
      </c>
      <c r="K571" s="234">
        <v>13850</v>
      </c>
      <c r="L571" s="242">
        <v>12</v>
      </c>
      <c r="M571" s="308">
        <v>22510</v>
      </c>
      <c r="N571" s="234">
        <v>19808.8</v>
      </c>
      <c r="O571" s="234" t="s">
        <v>1972</v>
      </c>
      <c r="P571" s="236">
        <v>45915</v>
      </c>
      <c r="Q571" s="244">
        <v>0.95572916666666663</v>
      </c>
    </row>
    <row r="572" spans="1:17" ht="38.25">
      <c r="A572" s="239" t="s">
        <v>1929</v>
      </c>
      <c r="B572" s="240">
        <v>1676</v>
      </c>
      <c r="C572" s="241">
        <v>37561</v>
      </c>
      <c r="D572" s="239" t="s">
        <v>2711</v>
      </c>
      <c r="E572" s="239" t="s">
        <v>369</v>
      </c>
      <c r="F572" s="239" t="s">
        <v>370</v>
      </c>
      <c r="G572" s="239" t="s">
        <v>953</v>
      </c>
      <c r="H572" s="239" t="s">
        <v>51</v>
      </c>
      <c r="I572" s="239" t="s">
        <v>1580</v>
      </c>
      <c r="J572" s="234">
        <v>38050</v>
      </c>
      <c r="K572" s="234">
        <v>15000</v>
      </c>
      <c r="L572" s="242">
        <v>8</v>
      </c>
      <c r="M572" s="308">
        <v>23050</v>
      </c>
      <c r="N572" s="234">
        <v>21206</v>
      </c>
      <c r="O572" s="234" t="s">
        <v>1970</v>
      </c>
      <c r="P572" s="236">
        <v>45915</v>
      </c>
      <c r="Q572" s="244">
        <v>0.91831018518518515</v>
      </c>
    </row>
    <row r="573" spans="1:17" ht="51">
      <c r="A573" s="239" t="s">
        <v>1977</v>
      </c>
      <c r="B573" s="240">
        <v>1682</v>
      </c>
      <c r="C573" s="241">
        <v>136</v>
      </c>
      <c r="D573" s="239" t="s">
        <v>591</v>
      </c>
      <c r="E573" s="239" t="s">
        <v>1978</v>
      </c>
      <c r="F573" s="239" t="s">
        <v>1979</v>
      </c>
      <c r="G573" s="239" t="s">
        <v>968</v>
      </c>
      <c r="H573" s="239" t="s">
        <v>254</v>
      </c>
      <c r="I573" s="239" t="s">
        <v>371</v>
      </c>
      <c r="J573" s="234">
        <v>23210</v>
      </c>
      <c r="K573" s="234">
        <v>14110</v>
      </c>
      <c r="L573" s="242">
        <v>18</v>
      </c>
      <c r="M573" s="308">
        <v>9100</v>
      </c>
      <c r="N573" s="234">
        <v>7462</v>
      </c>
      <c r="O573" s="234" t="s">
        <v>1985</v>
      </c>
      <c r="P573" s="236">
        <v>45916</v>
      </c>
      <c r="Q573" s="244">
        <v>0.6268055555555555</v>
      </c>
    </row>
    <row r="574" spans="1:17" ht="51">
      <c r="A574" s="239" t="s">
        <v>1980</v>
      </c>
      <c r="B574" s="240">
        <v>1684</v>
      </c>
      <c r="C574" s="241">
        <v>137</v>
      </c>
      <c r="D574" s="239" t="s">
        <v>591</v>
      </c>
      <c r="E574" s="239" t="s">
        <v>377</v>
      </c>
      <c r="F574" s="239" t="s">
        <v>378</v>
      </c>
      <c r="G574" s="239" t="s">
        <v>968</v>
      </c>
      <c r="H574" s="239" t="s">
        <v>254</v>
      </c>
      <c r="I574" s="239" t="s">
        <v>371</v>
      </c>
      <c r="J574" s="234">
        <v>38560</v>
      </c>
      <c r="K574" s="234">
        <v>15090</v>
      </c>
      <c r="L574" s="242">
        <v>23</v>
      </c>
      <c r="M574" s="308">
        <v>23470</v>
      </c>
      <c r="N574" s="234">
        <v>18071.900000000001</v>
      </c>
      <c r="O574" s="234" t="s">
        <v>1986</v>
      </c>
      <c r="P574" s="236">
        <v>45916</v>
      </c>
      <c r="Q574" s="244">
        <v>0.83543981481481477</v>
      </c>
    </row>
    <row r="575" spans="1:17" ht="51">
      <c r="A575" s="239" t="s">
        <v>1981</v>
      </c>
      <c r="B575" s="240">
        <v>1685</v>
      </c>
      <c r="C575" s="241">
        <v>138</v>
      </c>
      <c r="D575" s="239" t="s">
        <v>591</v>
      </c>
      <c r="E575" s="239" t="s">
        <v>400</v>
      </c>
      <c r="F575" s="239" t="s">
        <v>401</v>
      </c>
      <c r="G575" s="239" t="s">
        <v>968</v>
      </c>
      <c r="H575" s="239" t="s">
        <v>254</v>
      </c>
      <c r="I575" s="239" t="s">
        <v>371</v>
      </c>
      <c r="J575" s="234">
        <v>32100</v>
      </c>
      <c r="K575" s="234">
        <v>14880</v>
      </c>
      <c r="L575" s="242">
        <v>22</v>
      </c>
      <c r="M575" s="308">
        <v>17220</v>
      </c>
      <c r="N575" s="234">
        <v>13431.6</v>
      </c>
      <c r="O575" s="234" t="s">
        <v>1987</v>
      </c>
      <c r="P575" s="236">
        <v>45916</v>
      </c>
      <c r="Q575" s="244">
        <v>0.94293981481481481</v>
      </c>
    </row>
    <row r="576" spans="1:17" ht="51">
      <c r="A576" s="239" t="s">
        <v>1982</v>
      </c>
      <c r="B576" s="240">
        <v>1686</v>
      </c>
      <c r="C576" s="241">
        <v>139</v>
      </c>
      <c r="D576" s="239" t="s">
        <v>591</v>
      </c>
      <c r="E576" s="239" t="s">
        <v>1978</v>
      </c>
      <c r="F576" s="239" t="s">
        <v>1979</v>
      </c>
      <c r="G576" s="239" t="s">
        <v>968</v>
      </c>
      <c r="H576" s="239" t="s">
        <v>254</v>
      </c>
      <c r="I576" s="239" t="s">
        <v>371</v>
      </c>
      <c r="J576" s="234">
        <v>28680</v>
      </c>
      <c r="K576" s="234">
        <v>14180</v>
      </c>
      <c r="L576" s="242">
        <v>28</v>
      </c>
      <c r="M576" s="308">
        <v>14500</v>
      </c>
      <c r="N576" s="234">
        <v>10440</v>
      </c>
      <c r="O576" s="234" t="s">
        <v>1988</v>
      </c>
      <c r="P576" s="236">
        <v>45917</v>
      </c>
      <c r="Q576" s="244">
        <v>0.14332175925925925</v>
      </c>
    </row>
    <row r="577" spans="1:17" ht="51">
      <c r="A577" s="239" t="s">
        <v>1983</v>
      </c>
      <c r="B577" s="240">
        <v>1687</v>
      </c>
      <c r="C577" s="241">
        <v>140</v>
      </c>
      <c r="D577" s="239" t="s">
        <v>591</v>
      </c>
      <c r="E577" s="239" t="s">
        <v>377</v>
      </c>
      <c r="F577" s="239" t="s">
        <v>378</v>
      </c>
      <c r="G577" s="239" t="s">
        <v>1991</v>
      </c>
      <c r="H577" s="239" t="s">
        <v>254</v>
      </c>
      <c r="I577" s="239" t="s">
        <v>371</v>
      </c>
      <c r="J577" s="234">
        <v>32420</v>
      </c>
      <c r="K577" s="234">
        <v>15070</v>
      </c>
      <c r="L577" s="242">
        <v>24</v>
      </c>
      <c r="M577" s="308">
        <v>17350</v>
      </c>
      <c r="N577" s="234">
        <v>13186</v>
      </c>
      <c r="O577" s="234" t="s">
        <v>1989</v>
      </c>
      <c r="P577" s="236">
        <v>45917</v>
      </c>
      <c r="Q577" s="244">
        <v>0.22730324074074074</v>
      </c>
    </row>
    <row r="578" spans="1:17" ht="51">
      <c r="A578" s="239" t="s">
        <v>1984</v>
      </c>
      <c r="B578" s="240">
        <v>1688</v>
      </c>
      <c r="C578" s="241">
        <v>141</v>
      </c>
      <c r="D578" s="239" t="s">
        <v>591</v>
      </c>
      <c r="E578" s="239" t="s">
        <v>1978</v>
      </c>
      <c r="F578" s="239" t="s">
        <v>1979</v>
      </c>
      <c r="G578" s="239" t="s">
        <v>1991</v>
      </c>
      <c r="H578" s="239" t="s">
        <v>254</v>
      </c>
      <c r="I578" s="239" t="s">
        <v>371</v>
      </c>
      <c r="J578" s="234">
        <v>24510</v>
      </c>
      <c r="K578" s="234">
        <v>14170</v>
      </c>
      <c r="L578" s="242">
        <v>26</v>
      </c>
      <c r="M578" s="308">
        <v>10340</v>
      </c>
      <c r="N578" s="234">
        <v>7651.6</v>
      </c>
      <c r="O578" s="234" t="s">
        <v>1990</v>
      </c>
      <c r="P578" s="236">
        <v>45917</v>
      </c>
      <c r="Q578" s="244">
        <v>0.28574074074074074</v>
      </c>
    </row>
    <row r="579" spans="1:17" ht="51">
      <c r="A579" s="239" t="s">
        <v>1992</v>
      </c>
      <c r="B579" s="240">
        <v>1691</v>
      </c>
      <c r="C579" s="241">
        <v>142</v>
      </c>
      <c r="D579" s="239" t="s">
        <v>591</v>
      </c>
      <c r="E579" s="239" t="s">
        <v>382</v>
      </c>
      <c r="F579" s="239" t="s">
        <v>383</v>
      </c>
      <c r="G579" s="239" t="s">
        <v>968</v>
      </c>
      <c r="H579" s="239" t="s">
        <v>254</v>
      </c>
      <c r="I579" s="239" t="s">
        <v>371</v>
      </c>
      <c r="J579" s="234">
        <v>28250</v>
      </c>
      <c r="K579" s="234">
        <v>14750</v>
      </c>
      <c r="L579" s="242">
        <v>21</v>
      </c>
      <c r="M579" s="308">
        <v>13500</v>
      </c>
      <c r="N579" s="234">
        <v>10665</v>
      </c>
      <c r="O579" s="234" t="s">
        <v>2066</v>
      </c>
      <c r="P579" s="236">
        <v>45917</v>
      </c>
      <c r="Q579" s="244">
        <v>0.4757986111111111</v>
      </c>
    </row>
    <row r="580" spans="1:17" ht="51">
      <c r="A580" s="239" t="s">
        <v>1993</v>
      </c>
      <c r="B580" s="240">
        <v>1692</v>
      </c>
      <c r="C580" s="241">
        <v>143</v>
      </c>
      <c r="D580" s="239" t="s">
        <v>591</v>
      </c>
      <c r="E580" s="239" t="s">
        <v>384</v>
      </c>
      <c r="F580" s="239" t="s">
        <v>385</v>
      </c>
      <c r="G580" s="239" t="s">
        <v>1991</v>
      </c>
      <c r="H580" s="239" t="s">
        <v>254</v>
      </c>
      <c r="I580" s="239" t="s">
        <v>371</v>
      </c>
      <c r="J580" s="234">
        <v>27900</v>
      </c>
      <c r="K580" s="234">
        <v>14020</v>
      </c>
      <c r="L580" s="242">
        <v>18</v>
      </c>
      <c r="M580" s="308">
        <v>13880</v>
      </c>
      <c r="N580" s="234">
        <v>11381.6</v>
      </c>
      <c r="O580" s="234" t="s">
        <v>2067</v>
      </c>
      <c r="P580" s="236">
        <v>45917</v>
      </c>
      <c r="Q580" s="244">
        <v>0.55805555555555553</v>
      </c>
    </row>
    <row r="581" spans="1:17" ht="51">
      <c r="A581" s="239" t="s">
        <v>1994</v>
      </c>
      <c r="B581" s="240">
        <v>1694</v>
      </c>
      <c r="C581" s="241">
        <v>144</v>
      </c>
      <c r="D581" s="239" t="s">
        <v>591</v>
      </c>
      <c r="E581" s="239" t="s">
        <v>382</v>
      </c>
      <c r="F581" s="239" t="s">
        <v>383</v>
      </c>
      <c r="G581" s="239" t="s">
        <v>968</v>
      </c>
      <c r="H581" s="239" t="s">
        <v>254</v>
      </c>
      <c r="I581" s="239" t="s">
        <v>371</v>
      </c>
      <c r="J581" s="234">
        <v>25200</v>
      </c>
      <c r="K581" s="234">
        <v>14730</v>
      </c>
      <c r="L581" s="242">
        <v>16</v>
      </c>
      <c r="M581" s="308">
        <v>10470</v>
      </c>
      <c r="N581" s="234">
        <v>8794.7999999999993</v>
      </c>
      <c r="O581" s="234" t="s">
        <v>2068</v>
      </c>
      <c r="P581" s="236">
        <v>45917</v>
      </c>
      <c r="Q581" s="244">
        <v>0.64717592592592588</v>
      </c>
    </row>
    <row r="582" spans="1:17" ht="51">
      <c r="A582" s="239" t="s">
        <v>1995</v>
      </c>
      <c r="B582" s="240">
        <v>1697</v>
      </c>
      <c r="C582" s="241">
        <v>145</v>
      </c>
      <c r="D582" s="239" t="s">
        <v>591</v>
      </c>
      <c r="E582" s="239" t="s">
        <v>384</v>
      </c>
      <c r="F582" s="239" t="s">
        <v>385</v>
      </c>
      <c r="G582" s="239" t="s">
        <v>1991</v>
      </c>
      <c r="H582" s="239" t="s">
        <v>254</v>
      </c>
      <c r="I582" s="239" t="s">
        <v>371</v>
      </c>
      <c r="J582" s="234">
        <v>29610</v>
      </c>
      <c r="K582" s="234">
        <v>14010</v>
      </c>
      <c r="L582" s="242">
        <v>25</v>
      </c>
      <c r="M582" s="308">
        <v>15600</v>
      </c>
      <c r="N582" s="234">
        <v>11700</v>
      </c>
      <c r="O582" s="234" t="s">
        <v>2069</v>
      </c>
      <c r="P582" s="236">
        <v>45917</v>
      </c>
      <c r="Q582" s="244">
        <v>0.66490740740740739</v>
      </c>
    </row>
    <row r="583" spans="1:17" ht="51">
      <c r="A583" s="239" t="s">
        <v>1996</v>
      </c>
      <c r="B583" s="240">
        <v>1698</v>
      </c>
      <c r="C583" s="241">
        <v>146</v>
      </c>
      <c r="D583" s="239" t="s">
        <v>591</v>
      </c>
      <c r="E583" s="239" t="s">
        <v>382</v>
      </c>
      <c r="F583" s="239" t="s">
        <v>383</v>
      </c>
      <c r="G583" s="239" t="s">
        <v>1991</v>
      </c>
      <c r="H583" s="239" t="s">
        <v>254</v>
      </c>
      <c r="I583" s="239" t="s">
        <v>371</v>
      </c>
      <c r="J583" s="234">
        <v>28690</v>
      </c>
      <c r="K583" s="234">
        <v>14720</v>
      </c>
      <c r="L583" s="242">
        <v>24</v>
      </c>
      <c r="M583" s="308">
        <v>13970</v>
      </c>
      <c r="N583" s="234">
        <v>10617.2</v>
      </c>
      <c r="O583" s="234" t="s">
        <v>2070</v>
      </c>
      <c r="P583" s="236">
        <v>45917</v>
      </c>
      <c r="Q583" s="244">
        <v>0.6959953703703704</v>
      </c>
    </row>
    <row r="584" spans="1:17" ht="51">
      <c r="A584" s="239" t="s">
        <v>1997</v>
      </c>
      <c r="B584" s="240">
        <v>1699</v>
      </c>
      <c r="C584" s="241">
        <v>147</v>
      </c>
      <c r="D584" s="239" t="s">
        <v>591</v>
      </c>
      <c r="E584" s="239" t="s">
        <v>384</v>
      </c>
      <c r="F584" s="239" t="s">
        <v>385</v>
      </c>
      <c r="G584" s="239" t="s">
        <v>968</v>
      </c>
      <c r="H584" s="239" t="s">
        <v>254</v>
      </c>
      <c r="I584" s="239" t="s">
        <v>371</v>
      </c>
      <c r="J584" s="234">
        <v>32120</v>
      </c>
      <c r="K584" s="234">
        <v>14000</v>
      </c>
      <c r="L584" s="242">
        <v>25</v>
      </c>
      <c r="M584" s="308">
        <v>18120</v>
      </c>
      <c r="N584" s="234">
        <v>13590</v>
      </c>
      <c r="O584" s="234" t="s">
        <v>2071</v>
      </c>
      <c r="P584" s="236">
        <v>45917</v>
      </c>
      <c r="Q584" s="244">
        <v>0.77322916666666663</v>
      </c>
    </row>
    <row r="585" spans="1:17" ht="51">
      <c r="A585" s="239" t="s">
        <v>1998</v>
      </c>
      <c r="B585" s="240">
        <v>1700</v>
      </c>
      <c r="C585" s="241">
        <v>148</v>
      </c>
      <c r="D585" s="239" t="s">
        <v>591</v>
      </c>
      <c r="E585" s="239" t="s">
        <v>382</v>
      </c>
      <c r="F585" s="239" t="s">
        <v>383</v>
      </c>
      <c r="G585" s="239" t="s">
        <v>968</v>
      </c>
      <c r="H585" s="239" t="s">
        <v>254</v>
      </c>
      <c r="I585" s="239" t="s">
        <v>371</v>
      </c>
      <c r="J585" s="234">
        <v>33450</v>
      </c>
      <c r="K585" s="234">
        <v>14720</v>
      </c>
      <c r="L585" s="242">
        <v>19</v>
      </c>
      <c r="M585" s="308">
        <v>18730</v>
      </c>
      <c r="N585" s="234">
        <v>15171.3</v>
      </c>
      <c r="O585" s="234" t="s">
        <v>2072</v>
      </c>
      <c r="P585" s="236">
        <v>45917</v>
      </c>
      <c r="Q585" s="244">
        <v>0.93460648148148151</v>
      </c>
    </row>
    <row r="586" spans="1:17" ht="51">
      <c r="A586" s="239" t="s">
        <v>1999</v>
      </c>
      <c r="B586" s="240">
        <v>1701</v>
      </c>
      <c r="C586" s="241">
        <v>149</v>
      </c>
      <c r="D586" s="239" t="s">
        <v>591</v>
      </c>
      <c r="E586" s="239" t="s">
        <v>369</v>
      </c>
      <c r="F586" s="239" t="s">
        <v>370</v>
      </c>
      <c r="G586" s="239" t="s">
        <v>968</v>
      </c>
      <c r="H586" s="239" t="s">
        <v>254</v>
      </c>
      <c r="I586" s="239" t="s">
        <v>371</v>
      </c>
      <c r="J586" s="234">
        <v>30660</v>
      </c>
      <c r="K586" s="234">
        <v>15130</v>
      </c>
      <c r="L586" s="242">
        <v>23</v>
      </c>
      <c r="M586" s="308">
        <v>15530</v>
      </c>
      <c r="N586" s="234">
        <v>11958.1</v>
      </c>
      <c r="O586" s="234" t="s">
        <v>2073</v>
      </c>
      <c r="P586" s="236">
        <v>45917</v>
      </c>
      <c r="Q586" s="244">
        <v>0.93756944444444446</v>
      </c>
    </row>
    <row r="587" spans="1:17" ht="51">
      <c r="A587" s="239" t="s">
        <v>2000</v>
      </c>
      <c r="B587" s="240">
        <v>1702</v>
      </c>
      <c r="C587" s="241">
        <v>150</v>
      </c>
      <c r="D587" s="239" t="s">
        <v>591</v>
      </c>
      <c r="E587" s="239" t="s">
        <v>384</v>
      </c>
      <c r="F587" s="239" t="s">
        <v>385</v>
      </c>
      <c r="G587" s="239" t="s">
        <v>968</v>
      </c>
      <c r="H587" s="239" t="s">
        <v>254</v>
      </c>
      <c r="I587" s="239" t="s">
        <v>371</v>
      </c>
      <c r="J587" s="234">
        <v>28770</v>
      </c>
      <c r="K587" s="234">
        <v>13990</v>
      </c>
      <c r="L587" s="242">
        <v>24</v>
      </c>
      <c r="M587" s="308">
        <v>14780</v>
      </c>
      <c r="N587" s="234">
        <v>11232.8</v>
      </c>
      <c r="O587" s="234" t="s">
        <v>2074</v>
      </c>
      <c r="P587" s="236">
        <v>45917</v>
      </c>
      <c r="Q587" s="244">
        <v>0.97841435185185188</v>
      </c>
    </row>
    <row r="588" spans="1:17" ht="51">
      <c r="A588" s="239" t="s">
        <v>2001</v>
      </c>
      <c r="B588" s="240">
        <v>1704</v>
      </c>
      <c r="C588" s="241">
        <v>151</v>
      </c>
      <c r="D588" s="239" t="s">
        <v>591</v>
      </c>
      <c r="E588" s="239" t="s">
        <v>382</v>
      </c>
      <c r="F588" s="239" t="s">
        <v>383</v>
      </c>
      <c r="G588" s="239" t="s">
        <v>968</v>
      </c>
      <c r="H588" s="239" t="s">
        <v>254</v>
      </c>
      <c r="I588" s="239" t="s">
        <v>371</v>
      </c>
      <c r="J588" s="234">
        <v>27380</v>
      </c>
      <c r="K588" s="234">
        <v>14700</v>
      </c>
      <c r="L588" s="242">
        <v>25</v>
      </c>
      <c r="M588" s="308">
        <v>12680</v>
      </c>
      <c r="N588" s="234">
        <v>9510</v>
      </c>
      <c r="O588" s="234" t="s">
        <v>2075</v>
      </c>
      <c r="P588" s="236">
        <v>45918</v>
      </c>
      <c r="Q588" s="244">
        <v>5.4386574074074073E-2</v>
      </c>
    </row>
    <row r="589" spans="1:17" ht="51">
      <c r="A589" s="239" t="s">
        <v>2002</v>
      </c>
      <c r="B589" s="240">
        <v>1705</v>
      </c>
      <c r="C589" s="241">
        <v>152</v>
      </c>
      <c r="D589" s="239" t="s">
        <v>591</v>
      </c>
      <c r="E589" s="239" t="s">
        <v>384</v>
      </c>
      <c r="F589" s="239" t="s">
        <v>385</v>
      </c>
      <c r="G589" s="239" t="s">
        <v>968</v>
      </c>
      <c r="H589" s="239" t="s">
        <v>254</v>
      </c>
      <c r="I589" s="239" t="s">
        <v>371</v>
      </c>
      <c r="J589" s="234">
        <v>28110</v>
      </c>
      <c r="K589" s="234">
        <v>13990</v>
      </c>
      <c r="L589" s="242">
        <v>28</v>
      </c>
      <c r="M589" s="308">
        <v>14120</v>
      </c>
      <c r="N589" s="234">
        <v>10166.4</v>
      </c>
      <c r="O589" s="234" t="s">
        <v>2076</v>
      </c>
      <c r="P589" s="236">
        <v>45918</v>
      </c>
      <c r="Q589" s="244">
        <v>0.18751157407407407</v>
      </c>
    </row>
    <row r="590" spans="1:17" ht="51">
      <c r="A590" s="239" t="s">
        <v>2003</v>
      </c>
      <c r="B590" s="240">
        <v>1706</v>
      </c>
      <c r="C590" s="241">
        <v>153</v>
      </c>
      <c r="D590" s="239" t="s">
        <v>591</v>
      </c>
      <c r="E590" s="239" t="s">
        <v>382</v>
      </c>
      <c r="F590" s="239" t="s">
        <v>383</v>
      </c>
      <c r="G590" s="239" t="s">
        <v>968</v>
      </c>
      <c r="H590" s="239" t="s">
        <v>254</v>
      </c>
      <c r="I590" s="239" t="s">
        <v>371</v>
      </c>
      <c r="J590" s="234">
        <v>28410</v>
      </c>
      <c r="K590" s="234">
        <v>14700</v>
      </c>
      <c r="L590" s="242">
        <v>34</v>
      </c>
      <c r="M590" s="308">
        <v>13710</v>
      </c>
      <c r="N590" s="234">
        <v>9048.6</v>
      </c>
      <c r="O590" s="234" t="s">
        <v>2077</v>
      </c>
      <c r="P590" s="236">
        <v>45918</v>
      </c>
      <c r="Q590" s="244">
        <v>0.26543981481481482</v>
      </c>
    </row>
    <row r="591" spans="1:17" ht="51">
      <c r="A591" s="239" t="s">
        <v>2004</v>
      </c>
      <c r="B591" s="240">
        <v>1707</v>
      </c>
      <c r="C591" s="241">
        <v>154</v>
      </c>
      <c r="D591" s="239" t="s">
        <v>591</v>
      </c>
      <c r="E591" s="239" t="s">
        <v>384</v>
      </c>
      <c r="F591" s="239" t="s">
        <v>385</v>
      </c>
      <c r="G591" s="239" t="s">
        <v>968</v>
      </c>
      <c r="H591" s="239" t="s">
        <v>254</v>
      </c>
      <c r="I591" s="239" t="s">
        <v>371</v>
      </c>
      <c r="J591" s="234">
        <v>29600</v>
      </c>
      <c r="K591" s="234">
        <v>13970</v>
      </c>
      <c r="L591" s="242">
        <v>32</v>
      </c>
      <c r="M591" s="308">
        <v>15630</v>
      </c>
      <c r="N591" s="234">
        <v>10628.4</v>
      </c>
      <c r="O591" s="234" t="s">
        <v>2078</v>
      </c>
      <c r="P591" s="236">
        <v>45918</v>
      </c>
      <c r="Q591" s="244">
        <v>0.26848379629629632</v>
      </c>
    </row>
    <row r="592" spans="1:17" ht="38.25">
      <c r="A592" s="239" t="s">
        <v>2005</v>
      </c>
      <c r="B592" s="240">
        <v>1708</v>
      </c>
      <c r="C592" s="241">
        <v>37563</v>
      </c>
      <c r="D592" s="239" t="s">
        <v>2711</v>
      </c>
      <c r="E592" s="239" t="s">
        <v>1663</v>
      </c>
      <c r="F592" s="239" t="s">
        <v>1733</v>
      </c>
      <c r="G592" s="239" t="s">
        <v>953</v>
      </c>
      <c r="H592" s="239" t="s">
        <v>51</v>
      </c>
      <c r="I592" s="239" t="s">
        <v>1580</v>
      </c>
      <c r="J592" s="234">
        <v>39270</v>
      </c>
      <c r="K592" s="234">
        <v>15480</v>
      </c>
      <c r="L592" s="242">
        <v>24</v>
      </c>
      <c r="M592" s="308">
        <v>23790</v>
      </c>
      <c r="N592" s="234">
        <v>18080.400000000001</v>
      </c>
      <c r="O592" s="234" t="s">
        <v>2079</v>
      </c>
      <c r="P592" s="236">
        <v>45918</v>
      </c>
      <c r="Q592" s="244">
        <v>0.44952546296296297</v>
      </c>
    </row>
    <row r="593" spans="1:17" ht="38.25">
      <c r="A593" s="239" t="s">
        <v>2006</v>
      </c>
      <c r="B593" s="240">
        <v>1710</v>
      </c>
      <c r="C593" s="241">
        <v>37565</v>
      </c>
      <c r="D593" s="239" t="s">
        <v>2711</v>
      </c>
      <c r="E593" s="239" t="s">
        <v>1305</v>
      </c>
      <c r="F593" s="239" t="s">
        <v>1306</v>
      </c>
      <c r="G593" s="239" t="s">
        <v>953</v>
      </c>
      <c r="H593" s="239" t="s">
        <v>51</v>
      </c>
      <c r="I593" s="239" t="s">
        <v>1580</v>
      </c>
      <c r="J593" s="234">
        <v>37930</v>
      </c>
      <c r="K593" s="234">
        <v>14740</v>
      </c>
      <c r="L593" s="242">
        <v>14</v>
      </c>
      <c r="M593" s="308">
        <v>23190</v>
      </c>
      <c r="N593" s="234">
        <v>19943.400000000001</v>
      </c>
      <c r="O593" s="234" t="s">
        <v>2080</v>
      </c>
      <c r="P593" s="236">
        <v>45918</v>
      </c>
      <c r="Q593" s="244">
        <v>0.45702546296296298</v>
      </c>
    </row>
    <row r="594" spans="1:17" ht="51">
      <c r="A594" s="239" t="s">
        <v>2007</v>
      </c>
      <c r="B594" s="240">
        <v>1711</v>
      </c>
      <c r="C594" s="241">
        <v>37567</v>
      </c>
      <c r="D594" s="239" t="s">
        <v>2711</v>
      </c>
      <c r="E594" s="239" t="s">
        <v>1648</v>
      </c>
      <c r="F594" s="239" t="s">
        <v>1649</v>
      </c>
      <c r="G594" s="239" t="s">
        <v>953</v>
      </c>
      <c r="H594" s="239" t="s">
        <v>51</v>
      </c>
      <c r="I594" s="239" t="s">
        <v>1580</v>
      </c>
      <c r="J594" s="234">
        <v>38430</v>
      </c>
      <c r="K594" s="234">
        <v>15700</v>
      </c>
      <c r="L594" s="242">
        <v>8</v>
      </c>
      <c r="M594" s="308">
        <v>22730</v>
      </c>
      <c r="N594" s="234">
        <v>20911.599999999999</v>
      </c>
      <c r="O594" s="234" t="s">
        <v>2081</v>
      </c>
      <c r="P594" s="236">
        <v>45918</v>
      </c>
      <c r="Q594" s="244">
        <v>0.46520833333333333</v>
      </c>
    </row>
    <row r="595" spans="1:17" ht="38.25">
      <c r="A595" s="239" t="s">
        <v>2008</v>
      </c>
      <c r="B595" s="240">
        <v>1712</v>
      </c>
      <c r="C595" s="241">
        <v>37569</v>
      </c>
      <c r="D595" s="239" t="s">
        <v>2711</v>
      </c>
      <c r="E595" s="239" t="s">
        <v>429</v>
      </c>
      <c r="F595" s="239" t="s">
        <v>430</v>
      </c>
      <c r="G595" s="239" t="s">
        <v>953</v>
      </c>
      <c r="H595" s="239" t="s">
        <v>51</v>
      </c>
      <c r="I595" s="239" t="s">
        <v>1580</v>
      </c>
      <c r="J595" s="234">
        <v>36030</v>
      </c>
      <c r="K595" s="234">
        <v>14160</v>
      </c>
      <c r="L595" s="242">
        <v>8</v>
      </c>
      <c r="M595" s="308">
        <v>21870</v>
      </c>
      <c r="N595" s="234">
        <v>20120.400000000001</v>
      </c>
      <c r="O595" s="234" t="s">
        <v>2082</v>
      </c>
      <c r="P595" s="236">
        <v>45918</v>
      </c>
      <c r="Q595" s="244">
        <v>0.59383101851851849</v>
      </c>
    </row>
    <row r="596" spans="1:17" ht="38.25">
      <c r="A596" s="239" t="s">
        <v>2009</v>
      </c>
      <c r="B596" s="240">
        <v>1713</v>
      </c>
      <c r="C596" s="241">
        <v>37571</v>
      </c>
      <c r="D596" s="239" t="s">
        <v>2711</v>
      </c>
      <c r="E596" s="239" t="s">
        <v>447</v>
      </c>
      <c r="F596" s="239" t="s">
        <v>448</v>
      </c>
      <c r="G596" s="239" t="s">
        <v>953</v>
      </c>
      <c r="H596" s="239" t="s">
        <v>51</v>
      </c>
      <c r="I596" s="239" t="s">
        <v>1580</v>
      </c>
      <c r="J596" s="234">
        <v>46400</v>
      </c>
      <c r="K596" s="234">
        <v>19180</v>
      </c>
      <c r="L596" s="242">
        <v>12</v>
      </c>
      <c r="M596" s="308">
        <v>27220</v>
      </c>
      <c r="N596" s="234">
        <v>23953.599999999999</v>
      </c>
      <c r="O596" s="234" t="s">
        <v>2083</v>
      </c>
      <c r="P596" s="236">
        <v>45918</v>
      </c>
      <c r="Q596" s="244">
        <v>0.60828703703703701</v>
      </c>
    </row>
    <row r="597" spans="1:17" ht="38.25">
      <c r="A597" s="239" t="s">
        <v>2010</v>
      </c>
      <c r="B597" s="240">
        <v>1714</v>
      </c>
      <c r="C597" s="241">
        <v>37573</v>
      </c>
      <c r="D597" s="239" t="s">
        <v>2711</v>
      </c>
      <c r="E597" s="239" t="s">
        <v>1397</v>
      </c>
      <c r="F597" s="239" t="s">
        <v>1398</v>
      </c>
      <c r="G597" s="239" t="s">
        <v>953</v>
      </c>
      <c r="H597" s="239" t="s">
        <v>51</v>
      </c>
      <c r="I597" s="239" t="s">
        <v>1580</v>
      </c>
      <c r="J597" s="234">
        <v>42250</v>
      </c>
      <c r="K597" s="234">
        <v>17000</v>
      </c>
      <c r="L597" s="242">
        <v>8</v>
      </c>
      <c r="M597" s="308">
        <v>25250</v>
      </c>
      <c r="N597" s="234">
        <v>23230</v>
      </c>
      <c r="O597" s="234" t="s">
        <v>2084</v>
      </c>
      <c r="P597" s="236">
        <v>45918</v>
      </c>
      <c r="Q597" s="244">
        <v>0.61269675925925926</v>
      </c>
    </row>
    <row r="598" spans="1:17" ht="38.25">
      <c r="A598" s="239" t="s">
        <v>2011</v>
      </c>
      <c r="B598" s="240">
        <v>1715</v>
      </c>
      <c r="C598" s="241">
        <v>37577</v>
      </c>
      <c r="D598" s="239" t="s">
        <v>2711</v>
      </c>
      <c r="E598" s="239" t="s">
        <v>1403</v>
      </c>
      <c r="F598" s="239" t="s">
        <v>1404</v>
      </c>
      <c r="G598" s="239" t="s">
        <v>953</v>
      </c>
      <c r="H598" s="239" t="s">
        <v>51</v>
      </c>
      <c r="I598" s="239" t="s">
        <v>1580</v>
      </c>
      <c r="J598" s="234">
        <v>36960</v>
      </c>
      <c r="K598" s="234">
        <v>14920</v>
      </c>
      <c r="L598" s="242">
        <v>8</v>
      </c>
      <c r="M598" s="308">
        <v>22040</v>
      </c>
      <c r="N598" s="234">
        <v>20276.8</v>
      </c>
      <c r="O598" s="234" t="s">
        <v>2085</v>
      </c>
      <c r="P598" s="236">
        <v>45918</v>
      </c>
      <c r="Q598" s="244">
        <v>0.61865740740740738</v>
      </c>
    </row>
    <row r="599" spans="1:17" ht="38.25">
      <c r="A599" s="239" t="s">
        <v>2012</v>
      </c>
      <c r="B599" s="240">
        <v>1716</v>
      </c>
      <c r="C599" s="241">
        <v>37575</v>
      </c>
      <c r="D599" s="239" t="s">
        <v>2711</v>
      </c>
      <c r="E599" s="239" t="s">
        <v>1400</v>
      </c>
      <c r="F599" s="239" t="s">
        <v>1401</v>
      </c>
      <c r="G599" s="239" t="s">
        <v>953</v>
      </c>
      <c r="H599" s="239" t="s">
        <v>51</v>
      </c>
      <c r="I599" s="239" t="s">
        <v>1580</v>
      </c>
      <c r="J599" s="234">
        <v>35480</v>
      </c>
      <c r="K599" s="234">
        <v>14820</v>
      </c>
      <c r="L599" s="242">
        <v>8</v>
      </c>
      <c r="M599" s="308">
        <v>20660</v>
      </c>
      <c r="N599" s="234">
        <v>19007.2</v>
      </c>
      <c r="O599" s="234" t="s">
        <v>2086</v>
      </c>
      <c r="P599" s="236">
        <v>45918</v>
      </c>
      <c r="Q599" s="244">
        <v>0.63944444444444448</v>
      </c>
    </row>
    <row r="600" spans="1:17" ht="38.25">
      <c r="A600" s="239" t="s">
        <v>2013</v>
      </c>
      <c r="B600" s="240">
        <v>1718</v>
      </c>
      <c r="C600" s="241">
        <v>37581</v>
      </c>
      <c r="D600" s="239" t="s">
        <v>2711</v>
      </c>
      <c r="E600" s="239" t="s">
        <v>420</v>
      </c>
      <c r="F600" s="239" t="s">
        <v>421</v>
      </c>
      <c r="G600" s="239" t="s">
        <v>953</v>
      </c>
      <c r="H600" s="239" t="s">
        <v>51</v>
      </c>
      <c r="I600" s="239" t="s">
        <v>1580</v>
      </c>
      <c r="J600" s="234">
        <v>34990</v>
      </c>
      <c r="K600" s="234">
        <v>14800</v>
      </c>
      <c r="L600" s="242">
        <v>22</v>
      </c>
      <c r="M600" s="308">
        <v>20190</v>
      </c>
      <c r="N600" s="234">
        <v>15748.2</v>
      </c>
      <c r="O600" s="234" t="s">
        <v>2087</v>
      </c>
      <c r="P600" s="236">
        <v>45918</v>
      </c>
      <c r="Q600" s="244">
        <v>0.734375</v>
      </c>
    </row>
    <row r="601" spans="1:17" ht="38.25">
      <c r="A601" s="239" t="s">
        <v>2014</v>
      </c>
      <c r="B601" s="240">
        <v>1719</v>
      </c>
      <c r="C601" s="241">
        <v>37579</v>
      </c>
      <c r="D601" s="239" t="s">
        <v>2711</v>
      </c>
      <c r="E601" s="239" t="s">
        <v>858</v>
      </c>
      <c r="F601" s="239" t="s">
        <v>859</v>
      </c>
      <c r="G601" s="239" t="s">
        <v>953</v>
      </c>
      <c r="H601" s="239" t="s">
        <v>51</v>
      </c>
      <c r="I601" s="239" t="s">
        <v>1580</v>
      </c>
      <c r="J601" s="234">
        <v>36500</v>
      </c>
      <c r="K601" s="234">
        <v>14710</v>
      </c>
      <c r="L601" s="242">
        <v>30</v>
      </c>
      <c r="M601" s="308">
        <v>21790</v>
      </c>
      <c r="N601" s="234">
        <v>15253</v>
      </c>
      <c r="O601" s="234" t="s">
        <v>2088</v>
      </c>
      <c r="P601" s="236">
        <v>45918</v>
      </c>
      <c r="Q601" s="244">
        <v>0.75515046296296295</v>
      </c>
    </row>
    <row r="602" spans="1:17" ht="38.25">
      <c r="A602" s="239" t="s">
        <v>2015</v>
      </c>
      <c r="B602" s="240">
        <v>1720</v>
      </c>
      <c r="C602" s="241">
        <v>37590</v>
      </c>
      <c r="D602" s="239" t="s">
        <v>2711</v>
      </c>
      <c r="E602" s="239" t="s">
        <v>372</v>
      </c>
      <c r="F602" s="239" t="s">
        <v>373</v>
      </c>
      <c r="G602" s="239" t="s">
        <v>953</v>
      </c>
      <c r="H602" s="239" t="s">
        <v>51</v>
      </c>
      <c r="I602" s="239" t="s">
        <v>1580</v>
      </c>
      <c r="J602" s="234">
        <v>38540</v>
      </c>
      <c r="K602" s="234">
        <v>14900</v>
      </c>
      <c r="L602" s="242">
        <v>17</v>
      </c>
      <c r="M602" s="308">
        <v>23640</v>
      </c>
      <c r="N602" s="234">
        <v>19621.2</v>
      </c>
      <c r="O602" s="234" t="s">
        <v>2089</v>
      </c>
      <c r="P602" s="236">
        <v>45918</v>
      </c>
      <c r="Q602" s="244">
        <v>0.8669675925925926</v>
      </c>
    </row>
    <row r="603" spans="1:17" ht="38.25">
      <c r="A603" s="239" t="s">
        <v>2016</v>
      </c>
      <c r="B603" s="240">
        <v>1721</v>
      </c>
      <c r="C603" s="241">
        <v>37593</v>
      </c>
      <c r="D603" s="239" t="s">
        <v>2711</v>
      </c>
      <c r="E603" s="239" t="s">
        <v>386</v>
      </c>
      <c r="F603" s="239" t="s">
        <v>387</v>
      </c>
      <c r="G603" s="239" t="s">
        <v>953</v>
      </c>
      <c r="H603" s="239" t="s">
        <v>51</v>
      </c>
      <c r="I603" s="239" t="s">
        <v>1580</v>
      </c>
      <c r="J603" s="234">
        <v>37810</v>
      </c>
      <c r="K603" s="234">
        <v>15380</v>
      </c>
      <c r="L603" s="242">
        <v>9</v>
      </c>
      <c r="M603" s="308">
        <v>22430</v>
      </c>
      <c r="N603" s="234">
        <v>20411.3</v>
      </c>
      <c r="O603" s="234" t="s">
        <v>2090</v>
      </c>
      <c r="P603" s="236">
        <v>45918</v>
      </c>
      <c r="Q603" s="244">
        <v>0.87538194444444439</v>
      </c>
    </row>
    <row r="604" spans="1:17" ht="38.25">
      <c r="A604" s="239" t="s">
        <v>2017</v>
      </c>
      <c r="B604" s="240">
        <v>1722</v>
      </c>
      <c r="C604" s="241">
        <v>37595</v>
      </c>
      <c r="D604" s="239" t="s">
        <v>2711</v>
      </c>
      <c r="E604" s="239" t="s">
        <v>453</v>
      </c>
      <c r="F604" s="239" t="s">
        <v>454</v>
      </c>
      <c r="G604" s="239" t="s">
        <v>953</v>
      </c>
      <c r="H604" s="239" t="s">
        <v>51</v>
      </c>
      <c r="I604" s="239" t="s">
        <v>1580</v>
      </c>
      <c r="J604" s="234">
        <v>51930</v>
      </c>
      <c r="K604" s="234">
        <v>24090</v>
      </c>
      <c r="L604" s="242">
        <v>9</v>
      </c>
      <c r="M604" s="308">
        <v>27840</v>
      </c>
      <c r="N604" s="234">
        <v>25334.400000000001</v>
      </c>
      <c r="O604" s="234" t="s">
        <v>2091</v>
      </c>
      <c r="P604" s="236">
        <v>45918</v>
      </c>
      <c r="Q604" s="244">
        <v>0.96569444444444441</v>
      </c>
    </row>
    <row r="605" spans="1:17" ht="38.25">
      <c r="A605" s="239" t="s">
        <v>2018</v>
      </c>
      <c r="B605" s="240">
        <v>1723</v>
      </c>
      <c r="C605" s="241">
        <v>37602</v>
      </c>
      <c r="D605" s="239" t="s">
        <v>2711</v>
      </c>
      <c r="E605" s="239" t="s">
        <v>413</v>
      </c>
      <c r="F605" s="239" t="s">
        <v>414</v>
      </c>
      <c r="G605" s="239" t="s">
        <v>953</v>
      </c>
      <c r="H605" s="239" t="s">
        <v>51</v>
      </c>
      <c r="I605" s="239" t="s">
        <v>1580</v>
      </c>
      <c r="J605" s="234">
        <v>40860</v>
      </c>
      <c r="K605" s="234">
        <v>14910</v>
      </c>
      <c r="L605" s="242">
        <v>7</v>
      </c>
      <c r="M605" s="308">
        <v>25950</v>
      </c>
      <c r="N605" s="234">
        <v>24133.5</v>
      </c>
      <c r="O605" s="234" t="s">
        <v>2092</v>
      </c>
      <c r="P605" s="236">
        <v>45918</v>
      </c>
      <c r="Q605" s="244">
        <v>0.97180555555555559</v>
      </c>
    </row>
    <row r="606" spans="1:17" ht="38.25">
      <c r="A606" s="239" t="s">
        <v>2019</v>
      </c>
      <c r="B606" s="240">
        <v>1724</v>
      </c>
      <c r="C606" s="241">
        <v>37616</v>
      </c>
      <c r="D606" s="239" t="s">
        <v>2711</v>
      </c>
      <c r="E606" s="239" t="s">
        <v>380</v>
      </c>
      <c r="F606" s="239" t="s">
        <v>381</v>
      </c>
      <c r="G606" s="239" t="s">
        <v>953</v>
      </c>
      <c r="H606" s="239" t="s">
        <v>51</v>
      </c>
      <c r="I606" s="239" t="s">
        <v>1580</v>
      </c>
      <c r="J606" s="234">
        <v>39270</v>
      </c>
      <c r="K606" s="234">
        <v>15040</v>
      </c>
      <c r="L606" s="242">
        <v>12</v>
      </c>
      <c r="M606" s="308">
        <v>24230</v>
      </c>
      <c r="N606" s="234">
        <v>21322.400000000001</v>
      </c>
      <c r="O606" s="234" t="s">
        <v>2093</v>
      </c>
      <c r="P606" s="236">
        <v>45918</v>
      </c>
      <c r="Q606" s="244">
        <v>0.98245370370370366</v>
      </c>
    </row>
    <row r="607" spans="1:17" ht="38.25">
      <c r="A607" s="239" t="s">
        <v>2020</v>
      </c>
      <c r="B607" s="240">
        <v>1725</v>
      </c>
      <c r="C607" s="241">
        <v>37618</v>
      </c>
      <c r="D607" s="239" t="s">
        <v>2711</v>
      </c>
      <c r="E607" s="239" t="s">
        <v>786</v>
      </c>
      <c r="F607" s="239" t="s">
        <v>787</v>
      </c>
      <c r="G607" s="239" t="s">
        <v>953</v>
      </c>
      <c r="H607" s="239" t="s">
        <v>51</v>
      </c>
      <c r="I607" s="239" t="s">
        <v>1580</v>
      </c>
      <c r="J607" s="234">
        <v>35090</v>
      </c>
      <c r="K607" s="234">
        <v>13970</v>
      </c>
      <c r="L607" s="242">
        <v>13</v>
      </c>
      <c r="M607" s="308">
        <v>21120</v>
      </c>
      <c r="N607" s="234">
        <v>18374.400000000001</v>
      </c>
      <c r="O607" s="234" t="s">
        <v>2094</v>
      </c>
      <c r="P607" s="236">
        <v>45918</v>
      </c>
      <c r="Q607" s="244">
        <v>0.92943287037037037</v>
      </c>
    </row>
    <row r="608" spans="1:17" ht="38.25">
      <c r="A608" s="239" t="s">
        <v>2021</v>
      </c>
      <c r="B608" s="240">
        <v>1726</v>
      </c>
      <c r="C608" s="241">
        <v>37624</v>
      </c>
      <c r="D608" s="239" t="s">
        <v>2711</v>
      </c>
      <c r="E608" s="239" t="s">
        <v>403</v>
      </c>
      <c r="F608" s="239" t="s">
        <v>404</v>
      </c>
      <c r="G608" s="239" t="s">
        <v>953</v>
      </c>
      <c r="H608" s="239" t="s">
        <v>51</v>
      </c>
      <c r="I608" s="239" t="s">
        <v>1580</v>
      </c>
      <c r="J608" s="234">
        <v>39280</v>
      </c>
      <c r="K608" s="234">
        <v>14530</v>
      </c>
      <c r="L608" s="242">
        <v>8</v>
      </c>
      <c r="M608" s="308">
        <v>24750</v>
      </c>
      <c r="N608" s="234">
        <v>22770</v>
      </c>
      <c r="O608" s="234" t="s">
        <v>2095</v>
      </c>
      <c r="P608" s="236">
        <v>45918</v>
      </c>
      <c r="Q608" s="244">
        <v>0.98988425925925927</v>
      </c>
    </row>
    <row r="609" spans="1:17" ht="38.25">
      <c r="A609" s="239" t="s">
        <v>2022</v>
      </c>
      <c r="B609" s="240">
        <v>1727</v>
      </c>
      <c r="C609" s="241">
        <v>37626</v>
      </c>
      <c r="D609" s="239" t="s">
        <v>2711</v>
      </c>
      <c r="E609" s="239" t="s">
        <v>406</v>
      </c>
      <c r="F609" s="239" t="s">
        <v>407</v>
      </c>
      <c r="G609" s="239" t="s">
        <v>953</v>
      </c>
      <c r="H609" s="239" t="s">
        <v>51</v>
      </c>
      <c r="I609" s="239" t="s">
        <v>1580</v>
      </c>
      <c r="J609" s="234">
        <v>39690</v>
      </c>
      <c r="K609" s="234">
        <v>15120</v>
      </c>
      <c r="L609" s="242">
        <v>5</v>
      </c>
      <c r="M609" s="308">
        <v>24570</v>
      </c>
      <c r="N609" s="234">
        <v>23341.5</v>
      </c>
      <c r="O609" s="234" t="s">
        <v>2096</v>
      </c>
      <c r="P609" s="236">
        <v>45918</v>
      </c>
      <c r="Q609" s="244">
        <v>0.99327546296296299</v>
      </c>
    </row>
    <row r="610" spans="1:17" ht="38.25">
      <c r="A610" s="239" t="s">
        <v>2023</v>
      </c>
      <c r="B610" s="240">
        <v>1728</v>
      </c>
      <c r="C610" s="241">
        <v>37622</v>
      </c>
      <c r="D610" s="239" t="s">
        <v>2711</v>
      </c>
      <c r="E610" s="239" t="s">
        <v>410</v>
      </c>
      <c r="F610" s="239" t="s">
        <v>411</v>
      </c>
      <c r="G610" s="239" t="s">
        <v>953</v>
      </c>
      <c r="H610" s="239" t="s">
        <v>51</v>
      </c>
      <c r="I610" s="239" t="s">
        <v>1580</v>
      </c>
      <c r="J610" s="234">
        <v>38880</v>
      </c>
      <c r="K610" s="234">
        <v>14980</v>
      </c>
      <c r="L610" s="242">
        <v>7</v>
      </c>
      <c r="M610" s="308">
        <v>23900</v>
      </c>
      <c r="N610" s="234">
        <v>22227</v>
      </c>
      <c r="O610" s="234" t="s">
        <v>2097</v>
      </c>
      <c r="P610" s="236">
        <v>45918</v>
      </c>
      <c r="Q610" s="244">
        <v>0.99958333333333338</v>
      </c>
    </row>
    <row r="611" spans="1:17" ht="38.25">
      <c r="A611" s="239" t="s">
        <v>2024</v>
      </c>
      <c r="B611" s="240">
        <v>1730</v>
      </c>
      <c r="C611" s="241">
        <v>37693</v>
      </c>
      <c r="D611" s="239" t="s">
        <v>2711</v>
      </c>
      <c r="E611" s="239" t="s">
        <v>392</v>
      </c>
      <c r="F611" s="239" t="s">
        <v>393</v>
      </c>
      <c r="G611" s="239" t="s">
        <v>950</v>
      </c>
      <c r="H611" s="239" t="s">
        <v>51</v>
      </c>
      <c r="I611" s="239" t="s">
        <v>1580</v>
      </c>
      <c r="J611" s="234">
        <v>56660</v>
      </c>
      <c r="K611" s="234">
        <v>24020</v>
      </c>
      <c r="L611" s="242">
        <v>12</v>
      </c>
      <c r="M611" s="308">
        <v>32640</v>
      </c>
      <c r="N611" s="234">
        <v>28723.200000000001</v>
      </c>
      <c r="O611" s="234" t="s">
        <v>2098</v>
      </c>
      <c r="P611" s="236">
        <v>45919</v>
      </c>
      <c r="Q611" s="244">
        <v>0.19137731481481482</v>
      </c>
    </row>
    <row r="612" spans="1:17" ht="38.25">
      <c r="A612" s="239" t="s">
        <v>2025</v>
      </c>
      <c r="B612" s="240">
        <v>1731</v>
      </c>
      <c r="C612" s="241">
        <v>37695</v>
      </c>
      <c r="D612" s="239" t="s">
        <v>2711</v>
      </c>
      <c r="E612" s="239" t="s">
        <v>390</v>
      </c>
      <c r="F612" s="239" t="s">
        <v>391</v>
      </c>
      <c r="G612" s="239" t="s">
        <v>950</v>
      </c>
      <c r="H612" s="239" t="s">
        <v>51</v>
      </c>
      <c r="I612" s="239" t="s">
        <v>1580</v>
      </c>
      <c r="J612" s="234">
        <v>39540</v>
      </c>
      <c r="K612" s="234">
        <v>15060</v>
      </c>
      <c r="L612" s="242">
        <v>8</v>
      </c>
      <c r="M612" s="308">
        <v>24480</v>
      </c>
      <c r="N612" s="234">
        <v>22521.599999999999</v>
      </c>
      <c r="O612" s="234" t="s">
        <v>2099</v>
      </c>
      <c r="P612" s="236">
        <v>45919</v>
      </c>
      <c r="Q612" s="244">
        <v>0.2389236111111111</v>
      </c>
    </row>
    <row r="613" spans="1:17" ht="38.25">
      <c r="A613" s="239" t="s">
        <v>2026</v>
      </c>
      <c r="B613" s="240">
        <v>1732</v>
      </c>
      <c r="C613" s="241">
        <v>37628</v>
      </c>
      <c r="D613" s="239" t="s">
        <v>2711</v>
      </c>
      <c r="E613" s="239" t="s">
        <v>783</v>
      </c>
      <c r="F613" s="239" t="s">
        <v>784</v>
      </c>
      <c r="G613" s="239" t="s">
        <v>950</v>
      </c>
      <c r="H613" s="239" t="s">
        <v>51</v>
      </c>
      <c r="I613" s="239" t="s">
        <v>1580</v>
      </c>
      <c r="J613" s="234">
        <v>39670</v>
      </c>
      <c r="K613" s="234">
        <v>14570</v>
      </c>
      <c r="L613" s="242">
        <v>7</v>
      </c>
      <c r="M613" s="308">
        <v>25100</v>
      </c>
      <c r="N613" s="234">
        <v>23343</v>
      </c>
      <c r="O613" s="234" t="s">
        <v>2100</v>
      </c>
      <c r="P613" s="236">
        <v>45919</v>
      </c>
      <c r="Q613" s="244">
        <v>0.31370370370370371</v>
      </c>
    </row>
    <row r="614" spans="1:17" ht="38.25">
      <c r="A614" s="239" t="s">
        <v>2027</v>
      </c>
      <c r="B614" s="240">
        <v>1733</v>
      </c>
      <c r="C614" s="241">
        <v>37683</v>
      </c>
      <c r="D614" s="239" t="s">
        <v>2711</v>
      </c>
      <c r="E614" s="239" t="s">
        <v>432</v>
      </c>
      <c r="F614" s="239" t="s">
        <v>433</v>
      </c>
      <c r="G614" s="239" t="s">
        <v>950</v>
      </c>
      <c r="H614" s="239" t="s">
        <v>51</v>
      </c>
      <c r="I614" s="239" t="s">
        <v>1580</v>
      </c>
      <c r="J614" s="234">
        <v>41470</v>
      </c>
      <c r="K614" s="234">
        <v>15550</v>
      </c>
      <c r="L614" s="242">
        <v>11</v>
      </c>
      <c r="M614" s="308">
        <v>25920</v>
      </c>
      <c r="N614" s="234">
        <v>23068.799999999999</v>
      </c>
      <c r="O614" s="234" t="s">
        <v>2101</v>
      </c>
      <c r="P614" s="236">
        <v>45919</v>
      </c>
      <c r="Q614" s="244">
        <v>0.36350694444444442</v>
      </c>
    </row>
    <row r="615" spans="1:17" ht="38.25">
      <c r="A615" s="239" t="s">
        <v>2028</v>
      </c>
      <c r="B615" s="240">
        <v>1734</v>
      </c>
      <c r="C615" s="241">
        <v>37689</v>
      </c>
      <c r="D615" s="239" t="s">
        <v>2711</v>
      </c>
      <c r="E615" s="239" t="s">
        <v>456</v>
      </c>
      <c r="F615" s="239" t="s">
        <v>457</v>
      </c>
      <c r="G615" s="239" t="s">
        <v>950</v>
      </c>
      <c r="H615" s="239" t="s">
        <v>51</v>
      </c>
      <c r="I615" s="239" t="s">
        <v>1580</v>
      </c>
      <c r="J615" s="234">
        <v>42850</v>
      </c>
      <c r="K615" s="234">
        <v>15520</v>
      </c>
      <c r="L615" s="242">
        <v>14</v>
      </c>
      <c r="M615" s="308">
        <v>27330</v>
      </c>
      <c r="N615" s="234">
        <v>23503.8</v>
      </c>
      <c r="O615" s="234" t="s">
        <v>2102</v>
      </c>
      <c r="P615" s="236">
        <v>45919</v>
      </c>
      <c r="Q615" s="244">
        <v>0.43688657407407405</v>
      </c>
    </row>
    <row r="616" spans="1:17" ht="38.25">
      <c r="A616" s="239" t="s">
        <v>2029</v>
      </c>
      <c r="B616" s="240">
        <v>1735</v>
      </c>
      <c r="C616" s="241">
        <v>37697</v>
      </c>
      <c r="D616" s="239" t="s">
        <v>2711</v>
      </c>
      <c r="E616" s="239" t="s">
        <v>462</v>
      </c>
      <c r="F616" s="239" t="s">
        <v>463</v>
      </c>
      <c r="G616" s="239" t="s">
        <v>950</v>
      </c>
      <c r="H616" s="239" t="s">
        <v>51</v>
      </c>
      <c r="I616" s="239" t="s">
        <v>1580</v>
      </c>
      <c r="J616" s="234">
        <v>41270</v>
      </c>
      <c r="K616" s="234">
        <v>16310</v>
      </c>
      <c r="L616" s="242">
        <v>4</v>
      </c>
      <c r="M616" s="308">
        <v>24960</v>
      </c>
      <c r="N616" s="234">
        <v>23961.599999999999</v>
      </c>
      <c r="O616" s="234" t="s">
        <v>2103</v>
      </c>
      <c r="P616" s="236">
        <v>45919</v>
      </c>
      <c r="Q616" s="244">
        <v>0.47320601851851851</v>
      </c>
    </row>
    <row r="617" spans="1:17" ht="38.25">
      <c r="A617" s="239" t="s">
        <v>2030</v>
      </c>
      <c r="B617" s="240">
        <v>1737</v>
      </c>
      <c r="C617" s="241">
        <v>37699</v>
      </c>
      <c r="D617" s="239" t="s">
        <v>2711</v>
      </c>
      <c r="E617" s="239" t="s">
        <v>472</v>
      </c>
      <c r="F617" s="239" t="s">
        <v>473</v>
      </c>
      <c r="G617" s="239" t="s">
        <v>950</v>
      </c>
      <c r="H617" s="239" t="s">
        <v>51</v>
      </c>
      <c r="I617" s="239" t="s">
        <v>1580</v>
      </c>
      <c r="J617" s="234">
        <v>39830</v>
      </c>
      <c r="K617" s="234">
        <v>16410</v>
      </c>
      <c r="L617" s="242">
        <v>8</v>
      </c>
      <c r="M617" s="308">
        <v>23420</v>
      </c>
      <c r="N617" s="234">
        <v>21546.400000000001</v>
      </c>
      <c r="O617" s="234" t="s">
        <v>2104</v>
      </c>
      <c r="P617" s="236">
        <v>45919</v>
      </c>
      <c r="Q617" s="244">
        <v>0.50796296296296295</v>
      </c>
    </row>
    <row r="618" spans="1:17" ht="51">
      <c r="A618" s="239" t="s">
        <v>2031</v>
      </c>
      <c r="B618" s="240">
        <v>1738</v>
      </c>
      <c r="C618" s="241">
        <v>37701</v>
      </c>
      <c r="D618" s="239" t="s">
        <v>2711</v>
      </c>
      <c r="E618" s="239" t="s">
        <v>475</v>
      </c>
      <c r="F618" s="239" t="s">
        <v>476</v>
      </c>
      <c r="G618" s="239" t="s">
        <v>952</v>
      </c>
      <c r="H618" s="239" t="s">
        <v>51</v>
      </c>
      <c r="I618" s="239" t="s">
        <v>1580</v>
      </c>
      <c r="J618" s="234">
        <v>40400</v>
      </c>
      <c r="K618" s="234">
        <v>16310</v>
      </c>
      <c r="L618" s="242">
        <v>4</v>
      </c>
      <c r="M618" s="308">
        <v>24090</v>
      </c>
      <c r="N618" s="234">
        <v>23126.400000000001</v>
      </c>
      <c r="O618" s="234" t="s">
        <v>2105</v>
      </c>
      <c r="P618" s="236">
        <v>45919</v>
      </c>
      <c r="Q618" s="244">
        <v>0.56556712962962963</v>
      </c>
    </row>
    <row r="619" spans="1:17" ht="38.25">
      <c r="A619" s="239" t="s">
        <v>2032</v>
      </c>
      <c r="B619" s="240">
        <v>1739</v>
      </c>
      <c r="C619" s="241">
        <v>37703</v>
      </c>
      <c r="D619" s="239" t="s">
        <v>2711</v>
      </c>
      <c r="E619" s="239" t="s">
        <v>841</v>
      </c>
      <c r="F619" s="239" t="s">
        <v>845</v>
      </c>
      <c r="G619" s="239" t="s">
        <v>952</v>
      </c>
      <c r="H619" s="239" t="s">
        <v>51</v>
      </c>
      <c r="I619" s="239" t="s">
        <v>1580</v>
      </c>
      <c r="J619" s="234">
        <v>40680</v>
      </c>
      <c r="K619" s="234">
        <v>15850</v>
      </c>
      <c r="L619" s="242">
        <v>9</v>
      </c>
      <c r="M619" s="308">
        <v>24830</v>
      </c>
      <c r="N619" s="234">
        <v>22595.3</v>
      </c>
      <c r="O619" s="234" t="s">
        <v>2106</v>
      </c>
      <c r="P619" s="236">
        <v>45919</v>
      </c>
      <c r="Q619" s="244">
        <v>0.5867013888888889</v>
      </c>
    </row>
    <row r="620" spans="1:17" ht="38.25">
      <c r="A620" s="239" t="s">
        <v>2033</v>
      </c>
      <c r="B620" s="240">
        <v>1740</v>
      </c>
      <c r="C620" s="241">
        <v>37705</v>
      </c>
      <c r="D620" s="239" t="s">
        <v>2711</v>
      </c>
      <c r="E620" s="239" t="s">
        <v>791</v>
      </c>
      <c r="F620" s="239" t="s">
        <v>792</v>
      </c>
      <c r="G620" s="239" t="s">
        <v>952</v>
      </c>
      <c r="H620" s="239" t="s">
        <v>51</v>
      </c>
      <c r="I620" s="239" t="s">
        <v>1580</v>
      </c>
      <c r="J620" s="234">
        <v>39970</v>
      </c>
      <c r="K620" s="234">
        <v>14930</v>
      </c>
      <c r="L620" s="242">
        <v>10</v>
      </c>
      <c r="M620" s="308">
        <v>25040</v>
      </c>
      <c r="N620" s="234">
        <v>22536</v>
      </c>
      <c r="O620" s="234" t="s">
        <v>2107</v>
      </c>
      <c r="P620" s="236">
        <v>45919</v>
      </c>
      <c r="Q620" s="244">
        <v>0.63668981481481479</v>
      </c>
    </row>
    <row r="621" spans="1:17" ht="38.25">
      <c r="A621" s="239" t="s">
        <v>2034</v>
      </c>
      <c r="B621" s="240">
        <v>1743</v>
      </c>
      <c r="C621" s="241">
        <v>37709</v>
      </c>
      <c r="D621" s="239" t="s">
        <v>2711</v>
      </c>
      <c r="E621" s="239" t="s">
        <v>416</v>
      </c>
      <c r="F621" s="239" t="s">
        <v>417</v>
      </c>
      <c r="G621" s="239" t="s">
        <v>952</v>
      </c>
      <c r="H621" s="239" t="s">
        <v>51</v>
      </c>
      <c r="I621" s="239" t="s">
        <v>1580</v>
      </c>
      <c r="J621" s="234">
        <v>37740</v>
      </c>
      <c r="K621" s="234">
        <v>14670</v>
      </c>
      <c r="L621" s="242">
        <v>4</v>
      </c>
      <c r="M621" s="308">
        <v>23070</v>
      </c>
      <c r="N621" s="234">
        <v>22147.200000000001</v>
      </c>
      <c r="O621" s="234" t="s">
        <v>2108</v>
      </c>
      <c r="P621" s="236">
        <v>45919</v>
      </c>
      <c r="Q621" s="244">
        <v>0.68311342592592594</v>
      </c>
    </row>
    <row r="622" spans="1:17" ht="38.25">
      <c r="A622" s="239" t="s">
        <v>2035</v>
      </c>
      <c r="B622" s="240">
        <v>1745</v>
      </c>
      <c r="C622" s="241">
        <v>37711</v>
      </c>
      <c r="D622" s="239" t="s">
        <v>2711</v>
      </c>
      <c r="E622" s="239" t="s">
        <v>1410</v>
      </c>
      <c r="F622" s="239" t="s">
        <v>437</v>
      </c>
      <c r="G622" s="239" t="s">
        <v>950</v>
      </c>
      <c r="H622" s="239" t="s">
        <v>51</v>
      </c>
      <c r="I622" s="239" t="s">
        <v>1580</v>
      </c>
      <c r="J622" s="234">
        <v>38820</v>
      </c>
      <c r="K622" s="234">
        <v>14760</v>
      </c>
      <c r="L622" s="242">
        <v>5</v>
      </c>
      <c r="M622" s="308">
        <v>24060</v>
      </c>
      <c r="N622" s="234">
        <v>22857</v>
      </c>
      <c r="O622" s="234" t="s">
        <v>2109</v>
      </c>
      <c r="P622" s="236">
        <v>45919</v>
      </c>
      <c r="Q622" s="244">
        <v>0.74236111111111114</v>
      </c>
    </row>
    <row r="623" spans="1:17" ht="38.25">
      <c r="A623" s="239" t="s">
        <v>2036</v>
      </c>
      <c r="B623" s="240">
        <v>1746</v>
      </c>
      <c r="C623" s="241">
        <v>37715</v>
      </c>
      <c r="D623" s="239" t="s">
        <v>2711</v>
      </c>
      <c r="E623" s="239" t="s">
        <v>374</v>
      </c>
      <c r="F623" s="239" t="s">
        <v>375</v>
      </c>
      <c r="G623" s="239" t="s">
        <v>952</v>
      </c>
      <c r="H623" s="239" t="s">
        <v>51</v>
      </c>
      <c r="I623" s="239" t="s">
        <v>1580</v>
      </c>
      <c r="J623" s="234">
        <v>38620</v>
      </c>
      <c r="K623" s="234">
        <v>15550</v>
      </c>
      <c r="L623" s="242">
        <v>9</v>
      </c>
      <c r="M623" s="308">
        <v>23070</v>
      </c>
      <c r="N623" s="234">
        <v>20993.7</v>
      </c>
      <c r="O623" s="234" t="s">
        <v>2110</v>
      </c>
      <c r="P623" s="236">
        <v>45919</v>
      </c>
      <c r="Q623" s="244">
        <v>0.7636574074074074</v>
      </c>
    </row>
    <row r="624" spans="1:17" ht="38.25">
      <c r="A624" s="239" t="s">
        <v>2037</v>
      </c>
      <c r="B624" s="240">
        <v>1747</v>
      </c>
      <c r="C624" s="241">
        <v>37719</v>
      </c>
      <c r="D624" s="239" t="s">
        <v>2711</v>
      </c>
      <c r="E624" s="239" t="s">
        <v>377</v>
      </c>
      <c r="F624" s="239" t="s">
        <v>378</v>
      </c>
      <c r="G624" s="239" t="s">
        <v>952</v>
      </c>
      <c r="H624" s="239" t="s">
        <v>51</v>
      </c>
      <c r="I624" s="239" t="s">
        <v>1580</v>
      </c>
      <c r="J624" s="234">
        <v>42670</v>
      </c>
      <c r="K624" s="234">
        <v>15080</v>
      </c>
      <c r="L624" s="242">
        <v>4</v>
      </c>
      <c r="M624" s="308">
        <v>27590</v>
      </c>
      <c r="N624" s="234">
        <v>26486.400000000001</v>
      </c>
      <c r="O624" s="234" t="s">
        <v>2111</v>
      </c>
      <c r="P624" s="236">
        <v>45919</v>
      </c>
      <c r="Q624" s="244">
        <v>0.8039236111111111</v>
      </c>
    </row>
    <row r="625" spans="1:17" ht="38.25">
      <c r="A625" s="239" t="s">
        <v>2038</v>
      </c>
      <c r="B625" s="240">
        <v>1748</v>
      </c>
      <c r="C625" s="241">
        <v>37724</v>
      </c>
      <c r="D625" s="239" t="s">
        <v>2711</v>
      </c>
      <c r="E625" s="239" t="s">
        <v>447</v>
      </c>
      <c r="F625" s="239" t="s">
        <v>448</v>
      </c>
      <c r="G625" s="239" t="s">
        <v>952</v>
      </c>
      <c r="H625" s="239" t="s">
        <v>51</v>
      </c>
      <c r="I625" s="239" t="s">
        <v>1580</v>
      </c>
      <c r="J625" s="234">
        <v>53330</v>
      </c>
      <c r="K625" s="234">
        <v>19220</v>
      </c>
      <c r="L625" s="242">
        <v>9</v>
      </c>
      <c r="M625" s="308">
        <v>34110</v>
      </c>
      <c r="N625" s="234">
        <v>31040.1</v>
      </c>
      <c r="O625" s="234" t="s">
        <v>2112</v>
      </c>
      <c r="P625" s="236">
        <v>45919</v>
      </c>
      <c r="Q625" s="244">
        <v>0.924224537037037</v>
      </c>
    </row>
    <row r="626" spans="1:17" ht="38.25">
      <c r="A626" s="239" t="s">
        <v>2039</v>
      </c>
      <c r="B626" s="240">
        <v>1749</v>
      </c>
      <c r="C626" s="241" t="s">
        <v>2040</v>
      </c>
      <c r="D626" s="239" t="s">
        <v>2711</v>
      </c>
      <c r="E626" s="239" t="s">
        <v>388</v>
      </c>
      <c r="F626" s="239" t="s">
        <v>389</v>
      </c>
      <c r="G626" s="239" t="s">
        <v>952</v>
      </c>
      <c r="H626" s="239" t="s">
        <v>51</v>
      </c>
      <c r="I626" s="239" t="s">
        <v>1580</v>
      </c>
      <c r="J626" s="234">
        <v>55380</v>
      </c>
      <c r="K626" s="234">
        <v>20890</v>
      </c>
      <c r="L626" s="242">
        <v>8</v>
      </c>
      <c r="M626" s="308">
        <v>34490</v>
      </c>
      <c r="N626" s="234">
        <v>31730.799999999999</v>
      </c>
      <c r="O626" s="234" t="s">
        <v>2113</v>
      </c>
      <c r="P626" s="236">
        <v>45919</v>
      </c>
      <c r="Q626" s="244">
        <v>0.95741898148148152</v>
      </c>
    </row>
    <row r="627" spans="1:17" ht="38.25">
      <c r="A627" s="239" t="s">
        <v>2041</v>
      </c>
      <c r="B627" s="240">
        <v>1751</v>
      </c>
      <c r="C627" s="241">
        <v>37728</v>
      </c>
      <c r="D627" s="239" t="s">
        <v>2711</v>
      </c>
      <c r="E627" s="239" t="s">
        <v>1397</v>
      </c>
      <c r="F627" s="239" t="s">
        <v>1398</v>
      </c>
      <c r="G627" s="239" t="s">
        <v>952</v>
      </c>
      <c r="H627" s="239" t="s">
        <v>51</v>
      </c>
      <c r="I627" s="239" t="s">
        <v>1580</v>
      </c>
      <c r="J627" s="234">
        <v>44420</v>
      </c>
      <c r="K627" s="234">
        <v>17030</v>
      </c>
      <c r="L627" s="242">
        <v>5</v>
      </c>
      <c r="M627" s="308">
        <v>27390</v>
      </c>
      <c r="N627" s="234">
        <v>26020.5</v>
      </c>
      <c r="O627" s="234" t="s">
        <v>2114</v>
      </c>
      <c r="P627" s="236">
        <v>45919</v>
      </c>
      <c r="Q627" s="244">
        <v>0.96922453703703704</v>
      </c>
    </row>
    <row r="628" spans="1:17" ht="38.25">
      <c r="A628" s="239" t="s">
        <v>2042</v>
      </c>
      <c r="B628" s="240">
        <v>1752</v>
      </c>
      <c r="C628" s="241">
        <v>37726</v>
      </c>
      <c r="D628" s="239" t="s">
        <v>2711</v>
      </c>
      <c r="E628" s="239" t="s">
        <v>1403</v>
      </c>
      <c r="F628" s="239" t="s">
        <v>1404</v>
      </c>
      <c r="G628" s="239" t="s">
        <v>952</v>
      </c>
      <c r="H628" s="239" t="s">
        <v>51</v>
      </c>
      <c r="I628" s="239" t="s">
        <v>1580</v>
      </c>
      <c r="J628" s="234">
        <v>39350</v>
      </c>
      <c r="K628" s="234">
        <v>14940</v>
      </c>
      <c r="L628" s="242">
        <v>5</v>
      </c>
      <c r="M628" s="308">
        <v>24410</v>
      </c>
      <c r="N628" s="234">
        <v>23189.5</v>
      </c>
      <c r="O628" s="234" t="s">
        <v>2115</v>
      </c>
      <c r="P628" s="236">
        <v>45919</v>
      </c>
      <c r="Q628" s="244">
        <v>0.98429398148148151</v>
      </c>
    </row>
    <row r="629" spans="1:17" ht="38.25">
      <c r="A629" s="239" t="s">
        <v>2043</v>
      </c>
      <c r="B629" s="240">
        <v>1753</v>
      </c>
      <c r="C629" s="241">
        <v>37730</v>
      </c>
      <c r="D629" s="239" t="s">
        <v>2711</v>
      </c>
      <c r="E629" s="239" t="s">
        <v>1400</v>
      </c>
      <c r="F629" s="239" t="s">
        <v>1401</v>
      </c>
      <c r="G629" s="239" t="s">
        <v>952</v>
      </c>
      <c r="H629" s="239" t="s">
        <v>51</v>
      </c>
      <c r="I629" s="239" t="s">
        <v>1580</v>
      </c>
      <c r="J629" s="234">
        <v>36890</v>
      </c>
      <c r="K629" s="234">
        <v>14720</v>
      </c>
      <c r="L629" s="242">
        <v>10</v>
      </c>
      <c r="M629" s="308">
        <v>22170</v>
      </c>
      <c r="N629" s="234">
        <v>19953</v>
      </c>
      <c r="O629" s="234" t="s">
        <v>2116</v>
      </c>
      <c r="P629" s="236">
        <v>45919</v>
      </c>
      <c r="Q629" s="244">
        <v>0.93025462962962968</v>
      </c>
    </row>
    <row r="630" spans="1:17" ht="38.25">
      <c r="A630" s="239" t="s">
        <v>2044</v>
      </c>
      <c r="B630" s="240">
        <v>1754</v>
      </c>
      <c r="C630" s="241">
        <v>37736</v>
      </c>
      <c r="D630" s="239" t="s">
        <v>2711</v>
      </c>
      <c r="E630" s="239" t="s">
        <v>453</v>
      </c>
      <c r="F630" s="239" t="s">
        <v>454</v>
      </c>
      <c r="G630" s="239" t="s">
        <v>952</v>
      </c>
      <c r="H630" s="239" t="s">
        <v>51</v>
      </c>
      <c r="I630" s="239" t="s">
        <v>1580</v>
      </c>
      <c r="J630" s="234">
        <v>58870</v>
      </c>
      <c r="K630" s="234">
        <v>24080</v>
      </c>
      <c r="L630" s="242">
        <v>12</v>
      </c>
      <c r="M630" s="308">
        <v>34790</v>
      </c>
      <c r="N630" s="234">
        <v>30615.200000000001</v>
      </c>
      <c r="O630" s="234" t="s">
        <v>2117</v>
      </c>
      <c r="P630" s="236">
        <v>45920</v>
      </c>
      <c r="Q630" s="244">
        <v>0.11482638888888889</v>
      </c>
    </row>
    <row r="631" spans="1:17" ht="38.25">
      <c r="A631" s="239" t="s">
        <v>2045</v>
      </c>
      <c r="B631" s="240">
        <v>1755</v>
      </c>
      <c r="C631" s="241">
        <v>37738</v>
      </c>
      <c r="D631" s="239" t="s">
        <v>2711</v>
      </c>
      <c r="E631" s="239" t="s">
        <v>439</v>
      </c>
      <c r="F631" s="239" t="s">
        <v>440</v>
      </c>
      <c r="G631" s="239" t="s">
        <v>952</v>
      </c>
      <c r="H631" s="239" t="s">
        <v>51</v>
      </c>
      <c r="I631" s="239" t="s">
        <v>1580</v>
      </c>
      <c r="J631" s="234">
        <v>42430</v>
      </c>
      <c r="K631" s="234">
        <v>14930</v>
      </c>
      <c r="L631" s="242">
        <v>10</v>
      </c>
      <c r="M631" s="308">
        <v>27500</v>
      </c>
      <c r="N631" s="234">
        <v>24750</v>
      </c>
      <c r="O631" s="234" t="s">
        <v>2118</v>
      </c>
      <c r="P631" s="236">
        <v>45920</v>
      </c>
      <c r="Q631" s="244">
        <v>0.15994212962962964</v>
      </c>
    </row>
    <row r="632" spans="1:17" ht="38.25">
      <c r="A632" s="239" t="s">
        <v>2046</v>
      </c>
      <c r="B632" s="240">
        <v>1756</v>
      </c>
      <c r="C632" s="241">
        <v>37742</v>
      </c>
      <c r="D632" s="239" t="s">
        <v>2711</v>
      </c>
      <c r="E632" s="239" t="s">
        <v>429</v>
      </c>
      <c r="F632" s="239" t="s">
        <v>430</v>
      </c>
      <c r="G632" s="239" t="s">
        <v>952</v>
      </c>
      <c r="H632" s="239" t="s">
        <v>51</v>
      </c>
      <c r="I632" s="239" t="s">
        <v>1580</v>
      </c>
      <c r="J632" s="234">
        <v>39630</v>
      </c>
      <c r="K632" s="234">
        <v>14170</v>
      </c>
      <c r="L632" s="242">
        <v>12</v>
      </c>
      <c r="M632" s="308">
        <v>25460</v>
      </c>
      <c r="N632" s="234">
        <v>22404.799999999999</v>
      </c>
      <c r="O632" s="234" t="s">
        <v>2119</v>
      </c>
      <c r="P632" s="236">
        <v>45920</v>
      </c>
      <c r="Q632" s="244">
        <v>0.18020833333333333</v>
      </c>
    </row>
    <row r="633" spans="1:17" ht="38.25">
      <c r="A633" s="239" t="s">
        <v>2047</v>
      </c>
      <c r="B633" s="240">
        <v>1757</v>
      </c>
      <c r="C633" s="241">
        <v>37744</v>
      </c>
      <c r="D633" s="239" t="s">
        <v>2711</v>
      </c>
      <c r="E633" s="239" t="s">
        <v>420</v>
      </c>
      <c r="F633" s="239" t="s">
        <v>421</v>
      </c>
      <c r="G633" s="239" t="s">
        <v>952</v>
      </c>
      <c r="H633" s="239" t="s">
        <v>51</v>
      </c>
      <c r="I633" s="239" t="s">
        <v>1580</v>
      </c>
      <c r="J633" s="234">
        <v>38110</v>
      </c>
      <c r="K633" s="234">
        <v>14860</v>
      </c>
      <c r="L633" s="242">
        <v>5</v>
      </c>
      <c r="M633" s="308">
        <v>23250</v>
      </c>
      <c r="N633" s="234">
        <v>22087.5</v>
      </c>
      <c r="O633" s="234" t="s">
        <v>2120</v>
      </c>
      <c r="P633" s="236">
        <v>45920</v>
      </c>
      <c r="Q633" s="244">
        <v>0.27665509259259258</v>
      </c>
    </row>
    <row r="634" spans="1:17" ht="38.25">
      <c r="A634" s="239" t="s">
        <v>2048</v>
      </c>
      <c r="B634" s="240">
        <v>1758</v>
      </c>
      <c r="C634" s="241">
        <v>37747</v>
      </c>
      <c r="D634" s="239" t="s">
        <v>2711</v>
      </c>
      <c r="E634" s="239" t="s">
        <v>456</v>
      </c>
      <c r="F634" s="239" t="s">
        <v>457</v>
      </c>
      <c r="G634" s="239" t="s">
        <v>952</v>
      </c>
      <c r="H634" s="239" t="s">
        <v>51</v>
      </c>
      <c r="I634" s="239" t="s">
        <v>1580</v>
      </c>
      <c r="J634" s="234">
        <v>44560</v>
      </c>
      <c r="K634" s="234">
        <v>15750</v>
      </c>
      <c r="L634" s="242">
        <v>6</v>
      </c>
      <c r="M634" s="308">
        <v>28810</v>
      </c>
      <c r="N634" s="234">
        <v>27081.4</v>
      </c>
      <c r="O634" s="234" t="s">
        <v>2121</v>
      </c>
      <c r="P634" s="236">
        <v>45920</v>
      </c>
      <c r="Q634" s="244">
        <v>0.36271990740740739</v>
      </c>
    </row>
    <row r="635" spans="1:17" ht="38.25">
      <c r="A635" s="239" t="s">
        <v>2049</v>
      </c>
      <c r="B635" s="240">
        <v>1759</v>
      </c>
      <c r="C635" s="241">
        <v>37749</v>
      </c>
      <c r="D635" s="239" t="s">
        <v>2711</v>
      </c>
      <c r="E635" s="239" t="s">
        <v>786</v>
      </c>
      <c r="F635" s="239" t="s">
        <v>787</v>
      </c>
      <c r="G635" s="239" t="s">
        <v>952</v>
      </c>
      <c r="H635" s="239" t="s">
        <v>51</v>
      </c>
      <c r="I635" s="239" t="s">
        <v>1580</v>
      </c>
      <c r="J635" s="234">
        <v>36170</v>
      </c>
      <c r="K635" s="234">
        <v>13990</v>
      </c>
      <c r="L635" s="242">
        <v>8</v>
      </c>
      <c r="M635" s="308">
        <v>22180</v>
      </c>
      <c r="N635" s="234">
        <v>20405.599999999999</v>
      </c>
      <c r="O635" s="234" t="s">
        <v>2122</v>
      </c>
      <c r="P635" s="236">
        <v>45920</v>
      </c>
      <c r="Q635" s="244">
        <v>0.45150462962962962</v>
      </c>
    </row>
    <row r="636" spans="1:17" ht="38.25">
      <c r="A636" s="239" t="s">
        <v>2050</v>
      </c>
      <c r="B636" s="240">
        <v>1761</v>
      </c>
      <c r="C636" s="241">
        <v>37755</v>
      </c>
      <c r="D636" s="239" t="s">
        <v>2711</v>
      </c>
      <c r="E636" s="239" t="s">
        <v>462</v>
      </c>
      <c r="F636" s="239" t="s">
        <v>463</v>
      </c>
      <c r="G636" s="239" t="s">
        <v>952</v>
      </c>
      <c r="H636" s="239" t="s">
        <v>51</v>
      </c>
      <c r="I636" s="239" t="s">
        <v>1580</v>
      </c>
      <c r="J636" s="234">
        <v>41690</v>
      </c>
      <c r="K636" s="234">
        <v>16310</v>
      </c>
      <c r="L636" s="242">
        <v>6</v>
      </c>
      <c r="M636" s="308">
        <v>25380</v>
      </c>
      <c r="N636" s="234">
        <v>23857.200000000001</v>
      </c>
      <c r="O636" s="234" t="s">
        <v>2123</v>
      </c>
      <c r="P636" s="236">
        <v>45920</v>
      </c>
      <c r="Q636" s="244">
        <v>0.4533449074074074</v>
      </c>
    </row>
    <row r="637" spans="1:17" ht="38.25">
      <c r="A637" s="239" t="s">
        <v>2051</v>
      </c>
      <c r="B637" s="240">
        <v>1764</v>
      </c>
      <c r="C637" s="241">
        <v>37753</v>
      </c>
      <c r="D637" s="239" t="s">
        <v>2711</v>
      </c>
      <c r="E637" s="239" t="s">
        <v>791</v>
      </c>
      <c r="F637" s="239" t="s">
        <v>792</v>
      </c>
      <c r="G637" s="239" t="s">
        <v>952</v>
      </c>
      <c r="H637" s="239" t="s">
        <v>51</v>
      </c>
      <c r="I637" s="239" t="s">
        <v>1580</v>
      </c>
      <c r="J637" s="234">
        <v>40790</v>
      </c>
      <c r="K637" s="234">
        <v>14950</v>
      </c>
      <c r="L637" s="242">
        <v>8</v>
      </c>
      <c r="M637" s="308">
        <v>25840</v>
      </c>
      <c r="N637" s="234">
        <v>23772.799999999999</v>
      </c>
      <c r="O637" s="234" t="s">
        <v>2124</v>
      </c>
      <c r="P637" s="236">
        <v>45920</v>
      </c>
      <c r="Q637" s="244">
        <v>0.60099537037037032</v>
      </c>
    </row>
    <row r="638" spans="1:17" ht="51">
      <c r="A638" s="239" t="s">
        <v>2052</v>
      </c>
      <c r="B638" s="240">
        <v>1768</v>
      </c>
      <c r="C638" s="241">
        <v>155</v>
      </c>
      <c r="D638" s="239" t="s">
        <v>591</v>
      </c>
      <c r="E638" s="239" t="s">
        <v>2053</v>
      </c>
      <c r="F638" s="239" t="s">
        <v>2054</v>
      </c>
      <c r="G638" s="239" t="s">
        <v>968</v>
      </c>
      <c r="H638" s="239" t="s">
        <v>254</v>
      </c>
      <c r="I638" s="239" t="s">
        <v>371</v>
      </c>
      <c r="J638" s="234">
        <v>24080</v>
      </c>
      <c r="K638" s="234">
        <v>14330</v>
      </c>
      <c r="L638" s="242">
        <v>30</v>
      </c>
      <c r="M638" s="308">
        <v>9750</v>
      </c>
      <c r="N638" s="234">
        <v>6825</v>
      </c>
      <c r="O638" s="234" t="s">
        <v>2125</v>
      </c>
      <c r="P638" s="236">
        <v>45920</v>
      </c>
      <c r="Q638" s="244">
        <v>0.60303240740740738</v>
      </c>
    </row>
    <row r="639" spans="1:17" ht="51">
      <c r="A639" s="239" t="s">
        <v>2055</v>
      </c>
      <c r="B639" s="240">
        <v>1769</v>
      </c>
      <c r="C639" s="241">
        <v>156</v>
      </c>
      <c r="D639" s="239" t="s">
        <v>591</v>
      </c>
      <c r="E639" s="239" t="s">
        <v>369</v>
      </c>
      <c r="F639" s="239" t="s">
        <v>370</v>
      </c>
      <c r="G639" s="239" t="s">
        <v>968</v>
      </c>
      <c r="H639" s="239" t="s">
        <v>254</v>
      </c>
      <c r="I639" s="239" t="s">
        <v>371</v>
      </c>
      <c r="J639" s="234">
        <v>34840</v>
      </c>
      <c r="K639" s="234">
        <v>15140</v>
      </c>
      <c r="L639" s="242">
        <v>21</v>
      </c>
      <c r="M639" s="308">
        <v>19700</v>
      </c>
      <c r="N639" s="234">
        <v>15563</v>
      </c>
      <c r="O639" s="234" t="s">
        <v>2126</v>
      </c>
      <c r="P639" s="236">
        <v>45920</v>
      </c>
      <c r="Q639" s="244">
        <v>0.69652777777777775</v>
      </c>
    </row>
    <row r="640" spans="1:17" ht="38.25">
      <c r="A640" s="239" t="s">
        <v>2056</v>
      </c>
      <c r="B640" s="240">
        <v>1770</v>
      </c>
      <c r="C640" s="241">
        <v>37751</v>
      </c>
      <c r="D640" s="239" t="s">
        <v>2711</v>
      </c>
      <c r="E640" s="239" t="s">
        <v>1978</v>
      </c>
      <c r="F640" s="239" t="s">
        <v>1979</v>
      </c>
      <c r="G640" s="239" t="s">
        <v>952</v>
      </c>
      <c r="H640" s="239" t="s">
        <v>51</v>
      </c>
      <c r="I640" s="239" t="s">
        <v>1580</v>
      </c>
      <c r="J640" s="234">
        <v>24020</v>
      </c>
      <c r="K640" s="234">
        <v>14170</v>
      </c>
      <c r="L640" s="242">
        <v>4</v>
      </c>
      <c r="M640" s="308">
        <v>9850</v>
      </c>
      <c r="N640" s="234">
        <v>9456</v>
      </c>
      <c r="O640" s="234" t="s">
        <v>2127</v>
      </c>
      <c r="P640" s="236">
        <v>45920</v>
      </c>
      <c r="Q640" s="244">
        <v>0.95938657407407413</v>
      </c>
    </row>
    <row r="641" spans="1:17" ht="51">
      <c r="A641" s="239" t="s">
        <v>2057</v>
      </c>
      <c r="B641" s="240">
        <v>1771</v>
      </c>
      <c r="C641" s="241">
        <v>157</v>
      </c>
      <c r="D641" s="239" t="s">
        <v>591</v>
      </c>
      <c r="E641" s="239" t="s">
        <v>386</v>
      </c>
      <c r="F641" s="239" t="s">
        <v>387</v>
      </c>
      <c r="G641" s="239" t="s">
        <v>968</v>
      </c>
      <c r="H641" s="239" t="s">
        <v>254</v>
      </c>
      <c r="I641" s="239" t="s">
        <v>371</v>
      </c>
      <c r="J641" s="234">
        <v>37700</v>
      </c>
      <c r="K641" s="234">
        <v>15500</v>
      </c>
      <c r="L641" s="242">
        <v>32</v>
      </c>
      <c r="M641" s="308">
        <v>22200</v>
      </c>
      <c r="N641" s="234">
        <v>15096</v>
      </c>
      <c r="O641" s="234" t="s">
        <v>2128</v>
      </c>
      <c r="P641" s="236">
        <v>45920</v>
      </c>
      <c r="Q641" s="244">
        <v>0.72537037037037033</v>
      </c>
    </row>
    <row r="642" spans="1:17" ht="51">
      <c r="A642" s="239" t="s">
        <v>2058</v>
      </c>
      <c r="B642" s="240">
        <v>1772</v>
      </c>
      <c r="C642" s="241">
        <v>158</v>
      </c>
      <c r="D642" s="239" t="s">
        <v>591</v>
      </c>
      <c r="E642" s="239" t="s">
        <v>866</v>
      </c>
      <c r="F642" s="239" t="s">
        <v>867</v>
      </c>
      <c r="G642" s="239" t="s">
        <v>968</v>
      </c>
      <c r="H642" s="239" t="s">
        <v>254</v>
      </c>
      <c r="I642" s="239" t="s">
        <v>371</v>
      </c>
      <c r="J642" s="234">
        <v>37170</v>
      </c>
      <c r="K642" s="234">
        <v>14620</v>
      </c>
      <c r="L642" s="242">
        <v>33</v>
      </c>
      <c r="M642" s="308">
        <v>22550</v>
      </c>
      <c r="N642" s="234">
        <v>15108.5</v>
      </c>
      <c r="O642" s="234" t="s">
        <v>2129</v>
      </c>
      <c r="P642" s="236">
        <v>45920</v>
      </c>
      <c r="Q642" s="244">
        <v>0.81384259259259262</v>
      </c>
    </row>
    <row r="643" spans="1:17" ht="51">
      <c r="A643" s="239" t="s">
        <v>2059</v>
      </c>
      <c r="B643" s="240">
        <v>1773</v>
      </c>
      <c r="C643" s="241">
        <v>159</v>
      </c>
      <c r="D643" s="239" t="s">
        <v>591</v>
      </c>
      <c r="E643" s="239" t="s">
        <v>2053</v>
      </c>
      <c r="F643" s="239" t="s">
        <v>2054</v>
      </c>
      <c r="G643" s="239" t="s">
        <v>968</v>
      </c>
      <c r="H643" s="239" t="s">
        <v>254</v>
      </c>
      <c r="I643" s="239" t="s">
        <v>371</v>
      </c>
      <c r="J643" s="234">
        <v>25480</v>
      </c>
      <c r="K643" s="234">
        <v>14600</v>
      </c>
      <c r="L643" s="242">
        <v>27</v>
      </c>
      <c r="M643" s="308">
        <v>10880</v>
      </c>
      <c r="N643" s="234">
        <v>7942.4</v>
      </c>
      <c r="O643" s="234" t="s">
        <v>2130</v>
      </c>
      <c r="P643" s="236">
        <v>45920</v>
      </c>
      <c r="Q643" s="244">
        <v>0.81795138888888885</v>
      </c>
    </row>
    <row r="644" spans="1:17" ht="51">
      <c r="A644" s="239" t="s">
        <v>2060</v>
      </c>
      <c r="B644" s="240">
        <v>1774</v>
      </c>
      <c r="C644" s="241">
        <v>160</v>
      </c>
      <c r="D644" s="239" t="s">
        <v>591</v>
      </c>
      <c r="E644" s="239" t="s">
        <v>369</v>
      </c>
      <c r="F644" s="239" t="s">
        <v>370</v>
      </c>
      <c r="G644" s="239" t="s">
        <v>968</v>
      </c>
      <c r="H644" s="239" t="s">
        <v>254</v>
      </c>
      <c r="I644" s="239" t="s">
        <v>371</v>
      </c>
      <c r="J644" s="234">
        <v>37590</v>
      </c>
      <c r="K644" s="234">
        <v>15380</v>
      </c>
      <c r="L644" s="242">
        <v>22</v>
      </c>
      <c r="M644" s="308">
        <v>22210</v>
      </c>
      <c r="N644" s="234">
        <v>17323.8</v>
      </c>
      <c r="O644" s="234" t="s">
        <v>2131</v>
      </c>
      <c r="P644" s="236">
        <v>45920</v>
      </c>
      <c r="Q644" s="244">
        <v>0.88003472222222223</v>
      </c>
    </row>
    <row r="645" spans="1:17" ht="38.25">
      <c r="A645" s="239" t="s">
        <v>2061</v>
      </c>
      <c r="B645" s="240">
        <v>1775</v>
      </c>
      <c r="C645" s="241">
        <v>37740</v>
      </c>
      <c r="D645" s="239" t="s">
        <v>2711</v>
      </c>
      <c r="E645" s="239" t="s">
        <v>447</v>
      </c>
      <c r="F645" s="239" t="s">
        <v>448</v>
      </c>
      <c r="G645" s="239" t="s">
        <v>952</v>
      </c>
      <c r="H645" s="239" t="s">
        <v>51</v>
      </c>
      <c r="I645" s="239" t="s">
        <v>1580</v>
      </c>
      <c r="J645" s="234">
        <v>48500</v>
      </c>
      <c r="K645" s="234">
        <v>19270</v>
      </c>
      <c r="L645" s="242">
        <v>4</v>
      </c>
      <c r="M645" s="308">
        <v>29230</v>
      </c>
      <c r="N645" s="234">
        <v>28060.799999999999</v>
      </c>
      <c r="O645" s="234" t="s">
        <v>2132</v>
      </c>
      <c r="P645" s="236">
        <v>45920</v>
      </c>
      <c r="Q645" s="244">
        <v>0.85162037037037042</v>
      </c>
    </row>
    <row r="646" spans="1:17" ht="51">
      <c r="A646" s="239" t="s">
        <v>2062</v>
      </c>
      <c r="B646" s="240">
        <v>1776</v>
      </c>
      <c r="C646" s="241">
        <v>161</v>
      </c>
      <c r="D646" s="239" t="s">
        <v>591</v>
      </c>
      <c r="E646" s="239" t="s">
        <v>386</v>
      </c>
      <c r="F646" s="239" t="s">
        <v>387</v>
      </c>
      <c r="G646" s="239" t="s">
        <v>968</v>
      </c>
      <c r="H646" s="239" t="s">
        <v>254</v>
      </c>
      <c r="I646" s="239" t="s">
        <v>371</v>
      </c>
      <c r="J646" s="234">
        <v>33080</v>
      </c>
      <c r="K646" s="234">
        <v>15820</v>
      </c>
      <c r="L646" s="242">
        <v>31</v>
      </c>
      <c r="M646" s="308">
        <v>17260</v>
      </c>
      <c r="N646" s="234">
        <v>11909.4</v>
      </c>
      <c r="O646" s="234" t="s">
        <v>2133</v>
      </c>
      <c r="P646" s="236">
        <v>45920</v>
      </c>
      <c r="Q646" s="244">
        <v>0.93312499999999998</v>
      </c>
    </row>
    <row r="647" spans="1:17" ht="51">
      <c r="A647" s="239" t="s">
        <v>2063</v>
      </c>
      <c r="B647" s="240">
        <v>1777</v>
      </c>
      <c r="C647" s="241">
        <v>162</v>
      </c>
      <c r="D647" s="239" t="s">
        <v>591</v>
      </c>
      <c r="E647" s="239" t="s">
        <v>866</v>
      </c>
      <c r="F647" s="239" t="s">
        <v>867</v>
      </c>
      <c r="G647" s="239" t="s">
        <v>968</v>
      </c>
      <c r="H647" s="239" t="s">
        <v>254</v>
      </c>
      <c r="I647" s="239" t="s">
        <v>371</v>
      </c>
      <c r="J647" s="234">
        <v>37650</v>
      </c>
      <c r="K647" s="234">
        <v>14710</v>
      </c>
      <c r="L647" s="242">
        <v>16</v>
      </c>
      <c r="M647" s="308">
        <v>22940</v>
      </c>
      <c r="N647" s="234">
        <v>19269.599999999999</v>
      </c>
      <c r="O647" s="234" t="s">
        <v>2134</v>
      </c>
      <c r="P647" s="236">
        <v>45921</v>
      </c>
      <c r="Q647" s="244">
        <v>0.74835648148148148</v>
      </c>
    </row>
    <row r="648" spans="1:17" ht="51">
      <c r="A648" s="239" t="s">
        <v>2064</v>
      </c>
      <c r="B648" s="240">
        <v>1778</v>
      </c>
      <c r="C648" s="241">
        <v>163</v>
      </c>
      <c r="D648" s="239" t="s">
        <v>591</v>
      </c>
      <c r="E648" s="239" t="s">
        <v>1978</v>
      </c>
      <c r="F648" s="239" t="s">
        <v>1979</v>
      </c>
      <c r="G648" s="239" t="s">
        <v>968</v>
      </c>
      <c r="H648" s="239" t="s">
        <v>254</v>
      </c>
      <c r="I648" s="239" t="s">
        <v>371</v>
      </c>
      <c r="J648" s="234">
        <v>32320</v>
      </c>
      <c r="K648" s="234">
        <v>14210</v>
      </c>
      <c r="L648" s="242">
        <v>15</v>
      </c>
      <c r="M648" s="308">
        <v>18110</v>
      </c>
      <c r="N648" s="234">
        <v>15393.5</v>
      </c>
      <c r="O648" s="234" t="s">
        <v>2135</v>
      </c>
      <c r="P648" s="236">
        <v>45921</v>
      </c>
      <c r="Q648" s="244">
        <v>0.75370370370370365</v>
      </c>
    </row>
    <row r="649" spans="1:17" ht="51">
      <c r="A649" s="239" t="s">
        <v>2065</v>
      </c>
      <c r="B649" s="240">
        <v>1779</v>
      </c>
      <c r="C649" s="241">
        <v>164</v>
      </c>
      <c r="D649" s="239" t="s">
        <v>591</v>
      </c>
      <c r="E649" s="239" t="s">
        <v>369</v>
      </c>
      <c r="F649" s="239" t="s">
        <v>370</v>
      </c>
      <c r="G649" s="239" t="s">
        <v>968</v>
      </c>
      <c r="H649" s="239" t="s">
        <v>254</v>
      </c>
      <c r="I649" s="239" t="s">
        <v>371</v>
      </c>
      <c r="J649" s="234">
        <v>38100</v>
      </c>
      <c r="K649" s="234">
        <v>15150</v>
      </c>
      <c r="L649" s="242">
        <v>8</v>
      </c>
      <c r="M649" s="308">
        <v>22950</v>
      </c>
      <c r="N649" s="234">
        <v>21114</v>
      </c>
      <c r="O649" s="234" t="s">
        <v>2136</v>
      </c>
      <c r="P649" s="236">
        <v>45921</v>
      </c>
      <c r="Q649" s="244">
        <v>0.81494212962962964</v>
      </c>
    </row>
    <row r="650" spans="1:17" ht="51">
      <c r="A650" s="239" t="s">
        <v>2137</v>
      </c>
      <c r="B650" s="240">
        <v>1780</v>
      </c>
      <c r="C650" s="241">
        <v>165</v>
      </c>
      <c r="D650" s="239" t="s">
        <v>591</v>
      </c>
      <c r="E650" s="239" t="s">
        <v>866</v>
      </c>
      <c r="F650" s="239" t="s">
        <v>867</v>
      </c>
      <c r="G650" s="239" t="s">
        <v>968</v>
      </c>
      <c r="H650" s="239" t="s">
        <v>163</v>
      </c>
      <c r="I650" s="239" t="s">
        <v>371</v>
      </c>
      <c r="J650" s="234">
        <v>37510</v>
      </c>
      <c r="K650" s="234">
        <v>14680</v>
      </c>
      <c r="L650" s="242">
        <v>4</v>
      </c>
      <c r="M650" s="308">
        <v>22830</v>
      </c>
      <c r="N650" s="234">
        <v>21916.799999999999</v>
      </c>
      <c r="O650" s="234" t="s">
        <v>2139</v>
      </c>
      <c r="P650" s="236">
        <v>45921</v>
      </c>
      <c r="Q650" s="244">
        <v>0.75850694444444444</v>
      </c>
    </row>
    <row r="651" spans="1:17" ht="51">
      <c r="A651" s="239" t="s">
        <v>2138</v>
      </c>
      <c r="B651" s="240">
        <v>1781</v>
      </c>
      <c r="C651" s="241">
        <v>166</v>
      </c>
      <c r="D651" s="239" t="s">
        <v>591</v>
      </c>
      <c r="E651" s="239" t="s">
        <v>1978</v>
      </c>
      <c r="F651" s="239" t="s">
        <v>1979</v>
      </c>
      <c r="G651" s="239" t="s">
        <v>968</v>
      </c>
      <c r="H651" s="239" t="s">
        <v>163</v>
      </c>
      <c r="I651" s="239" t="s">
        <v>371</v>
      </c>
      <c r="J651" s="234">
        <v>22380</v>
      </c>
      <c r="K651" s="234">
        <v>14190</v>
      </c>
      <c r="L651" s="242">
        <v>10</v>
      </c>
      <c r="M651" s="308">
        <v>8190</v>
      </c>
      <c r="N651" s="234">
        <v>7371</v>
      </c>
      <c r="O651" s="234" t="s">
        <v>2140</v>
      </c>
      <c r="P651" s="236">
        <v>45921</v>
      </c>
      <c r="Q651" s="244">
        <v>0.76449074074074075</v>
      </c>
    </row>
    <row r="652" spans="1:17" ht="38.25">
      <c r="A652" s="239" t="s">
        <v>2147</v>
      </c>
      <c r="B652" s="240">
        <v>1789</v>
      </c>
      <c r="C652" s="241">
        <v>167</v>
      </c>
      <c r="D652" s="239" t="s">
        <v>591</v>
      </c>
      <c r="E652" s="239" t="s">
        <v>400</v>
      </c>
      <c r="F652" s="239" t="s">
        <v>401</v>
      </c>
      <c r="G652" s="239" t="s">
        <v>117</v>
      </c>
      <c r="H652" s="239" t="s">
        <v>41</v>
      </c>
      <c r="I652" s="239" t="s">
        <v>2712</v>
      </c>
      <c r="J652" s="234">
        <v>37340</v>
      </c>
      <c r="K652" s="234">
        <v>14870</v>
      </c>
      <c r="L652" s="242">
        <v>17</v>
      </c>
      <c r="M652" s="308">
        <v>22470</v>
      </c>
      <c r="N652" s="234">
        <v>18650.099999999999</v>
      </c>
      <c r="O652" s="234" t="s">
        <v>2170</v>
      </c>
      <c r="P652" s="236">
        <v>45925</v>
      </c>
      <c r="Q652" s="244">
        <v>0.5060069444444445</v>
      </c>
    </row>
    <row r="653" spans="1:17" ht="38.25">
      <c r="A653" s="239" t="s">
        <v>2148</v>
      </c>
      <c r="B653" s="240">
        <v>1790</v>
      </c>
      <c r="C653" s="241">
        <v>168</v>
      </c>
      <c r="D653" s="239" t="s">
        <v>591</v>
      </c>
      <c r="E653" s="239" t="s">
        <v>384</v>
      </c>
      <c r="F653" s="239" t="s">
        <v>385</v>
      </c>
      <c r="G653" s="239" t="s">
        <v>117</v>
      </c>
      <c r="H653" s="239" t="s">
        <v>41</v>
      </c>
      <c r="I653" s="239" t="s">
        <v>2712</v>
      </c>
      <c r="J653" s="234">
        <v>34150</v>
      </c>
      <c r="K653" s="234">
        <v>13950</v>
      </c>
      <c r="L653" s="242">
        <v>26</v>
      </c>
      <c r="M653" s="308">
        <v>20200</v>
      </c>
      <c r="N653" s="234">
        <v>14948</v>
      </c>
      <c r="O653" s="234" t="s">
        <v>2171</v>
      </c>
      <c r="P653" s="236">
        <v>45925</v>
      </c>
      <c r="Q653" s="244">
        <v>0.5659953703703704</v>
      </c>
    </row>
    <row r="654" spans="1:17" ht="38.25">
      <c r="A654" s="239" t="s">
        <v>2149</v>
      </c>
      <c r="B654" s="240">
        <v>1791</v>
      </c>
      <c r="C654" s="241">
        <v>169</v>
      </c>
      <c r="D654" s="239" t="s">
        <v>591</v>
      </c>
      <c r="E654" s="239" t="s">
        <v>382</v>
      </c>
      <c r="F654" s="239" t="s">
        <v>383</v>
      </c>
      <c r="G654" s="239" t="s">
        <v>117</v>
      </c>
      <c r="H654" s="239" t="s">
        <v>41</v>
      </c>
      <c r="I654" s="239" t="s">
        <v>2712</v>
      </c>
      <c r="J654" s="234">
        <v>34070</v>
      </c>
      <c r="K654" s="234">
        <v>14710</v>
      </c>
      <c r="L654" s="242">
        <v>10</v>
      </c>
      <c r="M654" s="308">
        <v>19360</v>
      </c>
      <c r="N654" s="234">
        <v>17424</v>
      </c>
      <c r="O654" s="234" t="s">
        <v>2172</v>
      </c>
      <c r="P654" s="236">
        <v>45925</v>
      </c>
      <c r="Q654" s="244">
        <v>0.58422453703703703</v>
      </c>
    </row>
    <row r="655" spans="1:17" ht="38.25">
      <c r="A655" s="239" t="s">
        <v>2150</v>
      </c>
      <c r="B655" s="240">
        <v>1792</v>
      </c>
      <c r="C655" s="241">
        <v>170</v>
      </c>
      <c r="D655" s="239" t="s">
        <v>591</v>
      </c>
      <c r="E655" s="239" t="s">
        <v>400</v>
      </c>
      <c r="F655" s="239" t="s">
        <v>401</v>
      </c>
      <c r="G655" s="239" t="s">
        <v>117</v>
      </c>
      <c r="H655" s="239" t="s">
        <v>41</v>
      </c>
      <c r="I655" s="239" t="s">
        <v>2712</v>
      </c>
      <c r="J655" s="234">
        <v>37180</v>
      </c>
      <c r="K655" s="234">
        <v>14860</v>
      </c>
      <c r="L655" s="242">
        <v>8</v>
      </c>
      <c r="M655" s="308">
        <v>22320</v>
      </c>
      <c r="N655" s="234">
        <v>20534.400000000001</v>
      </c>
      <c r="O655" s="234" t="s">
        <v>2173</v>
      </c>
      <c r="P655" s="236">
        <v>45925</v>
      </c>
      <c r="Q655" s="244">
        <v>0.5939699074074074</v>
      </c>
    </row>
    <row r="656" spans="1:17" ht="38.25">
      <c r="A656" s="239" t="s">
        <v>2151</v>
      </c>
      <c r="B656" s="240">
        <v>1793</v>
      </c>
      <c r="C656" s="241">
        <v>54984</v>
      </c>
      <c r="D656" s="239" t="s">
        <v>2152</v>
      </c>
      <c r="E656" s="239" t="s">
        <v>380</v>
      </c>
      <c r="F656" s="239" t="s">
        <v>381</v>
      </c>
      <c r="G656" s="239" t="s">
        <v>946</v>
      </c>
      <c r="H656" s="239" t="s">
        <v>51</v>
      </c>
      <c r="I656" s="239" t="s">
        <v>2153</v>
      </c>
      <c r="J656" s="234">
        <v>39420</v>
      </c>
      <c r="K656" s="234">
        <v>15110</v>
      </c>
      <c r="L656" s="242">
        <v>5</v>
      </c>
      <c r="M656" s="308">
        <v>24310</v>
      </c>
      <c r="N656" s="234">
        <v>23094.5</v>
      </c>
      <c r="O656" s="234" t="s">
        <v>2174</v>
      </c>
      <c r="P656" s="236">
        <v>45925</v>
      </c>
      <c r="Q656" s="244">
        <v>0.60957175925925922</v>
      </c>
    </row>
    <row r="657" spans="1:17" ht="38.25">
      <c r="A657" s="239" t="s">
        <v>2154</v>
      </c>
      <c r="B657" s="240">
        <v>1794</v>
      </c>
      <c r="C657" s="241">
        <v>171</v>
      </c>
      <c r="D657" s="239" t="s">
        <v>591</v>
      </c>
      <c r="E657" s="239" t="s">
        <v>384</v>
      </c>
      <c r="F657" s="239" t="s">
        <v>385</v>
      </c>
      <c r="G657" s="239" t="s">
        <v>117</v>
      </c>
      <c r="H657" s="239" t="s">
        <v>41</v>
      </c>
      <c r="I657" s="239" t="s">
        <v>2712</v>
      </c>
      <c r="J657" s="234">
        <v>34930</v>
      </c>
      <c r="K657" s="234">
        <v>13940</v>
      </c>
      <c r="L657" s="242">
        <v>8</v>
      </c>
      <c r="M657" s="308">
        <v>20990</v>
      </c>
      <c r="N657" s="234">
        <v>19310.8</v>
      </c>
      <c r="O657" s="234" t="s">
        <v>2175</v>
      </c>
      <c r="P657" s="236">
        <v>45925</v>
      </c>
      <c r="Q657" s="244">
        <v>0.62034722222222227</v>
      </c>
    </row>
    <row r="658" spans="1:17" ht="38.25">
      <c r="A658" s="239" t="s">
        <v>2155</v>
      </c>
      <c r="B658" s="240">
        <v>1795</v>
      </c>
      <c r="C658" s="241">
        <v>172</v>
      </c>
      <c r="D658" s="239" t="s">
        <v>591</v>
      </c>
      <c r="E658" s="239" t="s">
        <v>382</v>
      </c>
      <c r="F658" s="239" t="s">
        <v>383</v>
      </c>
      <c r="G658" s="239" t="s">
        <v>117</v>
      </c>
      <c r="H658" s="239" t="s">
        <v>41</v>
      </c>
      <c r="I658" s="239" t="s">
        <v>2712</v>
      </c>
      <c r="J658" s="234">
        <v>32550</v>
      </c>
      <c r="K658" s="234">
        <v>14700</v>
      </c>
      <c r="L658" s="242">
        <v>7</v>
      </c>
      <c r="M658" s="308">
        <v>17850</v>
      </c>
      <c r="N658" s="234">
        <v>16600.5</v>
      </c>
      <c r="O658" s="234" t="s">
        <v>2176</v>
      </c>
      <c r="P658" s="236">
        <v>45925</v>
      </c>
      <c r="Q658" s="244">
        <v>0.64245370370370369</v>
      </c>
    </row>
    <row r="659" spans="1:17" ht="38.25">
      <c r="A659" s="239" t="s">
        <v>2156</v>
      </c>
      <c r="B659" s="240">
        <v>1797</v>
      </c>
      <c r="C659" s="241">
        <v>173</v>
      </c>
      <c r="D659" s="239" t="s">
        <v>591</v>
      </c>
      <c r="E659" s="239" t="s">
        <v>400</v>
      </c>
      <c r="F659" s="239" t="s">
        <v>401</v>
      </c>
      <c r="G659" s="239" t="s">
        <v>117</v>
      </c>
      <c r="H659" s="239" t="s">
        <v>41</v>
      </c>
      <c r="I659" s="239" t="s">
        <v>2712</v>
      </c>
      <c r="J659" s="234">
        <v>36110</v>
      </c>
      <c r="K659" s="234">
        <v>14840</v>
      </c>
      <c r="L659" s="242">
        <v>14</v>
      </c>
      <c r="M659" s="308">
        <v>21270</v>
      </c>
      <c r="N659" s="234">
        <v>18292.2</v>
      </c>
      <c r="O659" s="234" t="s">
        <v>2177</v>
      </c>
      <c r="P659" s="236">
        <v>45925</v>
      </c>
      <c r="Q659" s="244">
        <v>0.69130787037037034</v>
      </c>
    </row>
    <row r="660" spans="1:17" ht="38.25">
      <c r="A660" s="239" t="s">
        <v>2157</v>
      </c>
      <c r="B660" s="240">
        <v>1799</v>
      </c>
      <c r="C660" s="241">
        <v>174</v>
      </c>
      <c r="D660" s="239" t="s">
        <v>591</v>
      </c>
      <c r="E660" s="239" t="s">
        <v>380</v>
      </c>
      <c r="F660" s="239" t="s">
        <v>381</v>
      </c>
      <c r="G660" s="239" t="s">
        <v>117</v>
      </c>
      <c r="H660" s="239" t="s">
        <v>41</v>
      </c>
      <c r="I660" s="239" t="s">
        <v>2712</v>
      </c>
      <c r="J660" s="234">
        <v>37490</v>
      </c>
      <c r="K660" s="234">
        <v>15110</v>
      </c>
      <c r="L660" s="242">
        <v>11</v>
      </c>
      <c r="M660" s="308">
        <v>22380</v>
      </c>
      <c r="N660" s="234">
        <v>19918.2</v>
      </c>
      <c r="O660" s="234" t="s">
        <v>2178</v>
      </c>
      <c r="P660" s="236">
        <v>45925</v>
      </c>
      <c r="Q660" s="244">
        <v>0.73285879629629624</v>
      </c>
    </row>
    <row r="661" spans="1:17" ht="38.25">
      <c r="A661" s="239" t="s">
        <v>2158</v>
      </c>
      <c r="B661" s="240">
        <v>1801</v>
      </c>
      <c r="C661" s="241">
        <v>175</v>
      </c>
      <c r="D661" s="239" t="s">
        <v>591</v>
      </c>
      <c r="E661" s="239" t="s">
        <v>384</v>
      </c>
      <c r="F661" s="239" t="s">
        <v>385</v>
      </c>
      <c r="G661" s="239" t="s">
        <v>117</v>
      </c>
      <c r="H661" s="239" t="s">
        <v>41</v>
      </c>
      <c r="I661" s="239" t="s">
        <v>2712</v>
      </c>
      <c r="J661" s="234">
        <v>35850</v>
      </c>
      <c r="K661" s="234">
        <v>13930</v>
      </c>
      <c r="L661" s="242">
        <v>20</v>
      </c>
      <c r="M661" s="308">
        <v>21920</v>
      </c>
      <c r="N661" s="234">
        <v>17536</v>
      </c>
      <c r="O661" s="234" t="s">
        <v>2179</v>
      </c>
      <c r="P661" s="236">
        <v>45925</v>
      </c>
      <c r="Q661" s="244">
        <v>0.75181712962962965</v>
      </c>
    </row>
    <row r="662" spans="1:17" ht="38.25">
      <c r="A662" s="239" t="s">
        <v>2159</v>
      </c>
      <c r="B662" s="240">
        <v>1802</v>
      </c>
      <c r="C662" s="241">
        <v>176</v>
      </c>
      <c r="D662" s="239" t="s">
        <v>591</v>
      </c>
      <c r="E662" s="239" t="s">
        <v>382</v>
      </c>
      <c r="F662" s="239" t="s">
        <v>383</v>
      </c>
      <c r="G662" s="239" t="s">
        <v>117</v>
      </c>
      <c r="H662" s="239" t="s">
        <v>41</v>
      </c>
      <c r="I662" s="239" t="s">
        <v>2712</v>
      </c>
      <c r="J662" s="234">
        <v>30940</v>
      </c>
      <c r="K662" s="234">
        <v>14690</v>
      </c>
      <c r="L662" s="242">
        <v>8</v>
      </c>
      <c r="M662" s="308">
        <v>16250</v>
      </c>
      <c r="N662" s="234">
        <v>14950</v>
      </c>
      <c r="O662" s="234" t="s">
        <v>2180</v>
      </c>
      <c r="P662" s="236">
        <v>45925</v>
      </c>
      <c r="Q662" s="244">
        <v>0.77428240740740739</v>
      </c>
    </row>
    <row r="663" spans="1:17" ht="38.25">
      <c r="A663" s="239" t="s">
        <v>2160</v>
      </c>
      <c r="B663" s="240">
        <v>1803</v>
      </c>
      <c r="C663" s="241">
        <v>173</v>
      </c>
      <c r="D663" s="239" t="s">
        <v>591</v>
      </c>
      <c r="E663" s="239" t="s">
        <v>400</v>
      </c>
      <c r="F663" s="239" t="s">
        <v>401</v>
      </c>
      <c r="G663" s="239" t="s">
        <v>117</v>
      </c>
      <c r="H663" s="239" t="s">
        <v>41</v>
      </c>
      <c r="I663" s="239" t="s">
        <v>2712</v>
      </c>
      <c r="J663" s="234">
        <v>37140</v>
      </c>
      <c r="K663" s="234">
        <v>14830</v>
      </c>
      <c r="L663" s="242">
        <v>13</v>
      </c>
      <c r="M663" s="308">
        <v>22310</v>
      </c>
      <c r="N663" s="234">
        <v>19409.7</v>
      </c>
      <c r="O663" s="234" t="s">
        <v>2181</v>
      </c>
      <c r="P663" s="236">
        <v>45925</v>
      </c>
      <c r="Q663" s="244">
        <v>0.83969907407407407</v>
      </c>
    </row>
    <row r="664" spans="1:17" ht="38.25">
      <c r="A664" s="239" t="s">
        <v>2161</v>
      </c>
      <c r="B664" s="240">
        <v>1804</v>
      </c>
      <c r="C664" s="241">
        <v>178</v>
      </c>
      <c r="D664" s="239" t="s">
        <v>591</v>
      </c>
      <c r="E664" s="239" t="s">
        <v>380</v>
      </c>
      <c r="F664" s="239" t="s">
        <v>381</v>
      </c>
      <c r="G664" s="239" t="s">
        <v>117</v>
      </c>
      <c r="H664" s="239" t="s">
        <v>41</v>
      </c>
      <c r="I664" s="239" t="s">
        <v>2712</v>
      </c>
      <c r="J664" s="234">
        <v>38710</v>
      </c>
      <c r="K664" s="234">
        <v>15090</v>
      </c>
      <c r="L664" s="242">
        <v>6</v>
      </c>
      <c r="M664" s="308">
        <v>23620</v>
      </c>
      <c r="N664" s="234">
        <v>22202.799999999999</v>
      </c>
      <c r="O664" s="234" t="s">
        <v>2182</v>
      </c>
      <c r="P664" s="236">
        <v>45925</v>
      </c>
      <c r="Q664" s="244">
        <v>0.8830324074074074</v>
      </c>
    </row>
    <row r="665" spans="1:17" ht="38.25">
      <c r="A665" s="239" t="s">
        <v>2162</v>
      </c>
      <c r="B665" s="240">
        <v>1806</v>
      </c>
      <c r="C665" s="241">
        <v>179</v>
      </c>
      <c r="D665" s="239" t="s">
        <v>591</v>
      </c>
      <c r="E665" s="239" t="s">
        <v>384</v>
      </c>
      <c r="F665" s="239" t="s">
        <v>385</v>
      </c>
      <c r="G665" s="239" t="s">
        <v>117</v>
      </c>
      <c r="H665" s="239" t="s">
        <v>41</v>
      </c>
      <c r="I665" s="239" t="s">
        <v>2712</v>
      </c>
      <c r="J665" s="234">
        <v>34160</v>
      </c>
      <c r="K665" s="234">
        <v>13920</v>
      </c>
      <c r="L665" s="242">
        <v>8</v>
      </c>
      <c r="M665" s="308">
        <v>20240</v>
      </c>
      <c r="N665" s="234">
        <v>18620.8</v>
      </c>
      <c r="O665" s="234" t="s">
        <v>2183</v>
      </c>
      <c r="P665" s="236">
        <v>45925</v>
      </c>
      <c r="Q665" s="244">
        <v>0.92512731481481481</v>
      </c>
    </row>
    <row r="666" spans="1:17" ht="38.25">
      <c r="A666" s="239" t="s">
        <v>2163</v>
      </c>
      <c r="B666" s="240">
        <v>1808</v>
      </c>
      <c r="C666" s="241">
        <v>180</v>
      </c>
      <c r="D666" s="239" t="s">
        <v>591</v>
      </c>
      <c r="E666" s="239" t="s">
        <v>382</v>
      </c>
      <c r="F666" s="239" t="s">
        <v>383</v>
      </c>
      <c r="G666" s="239" t="s">
        <v>117</v>
      </c>
      <c r="H666" s="239" t="s">
        <v>41</v>
      </c>
      <c r="I666" s="239" t="s">
        <v>2712</v>
      </c>
      <c r="J666" s="234">
        <v>32270</v>
      </c>
      <c r="K666" s="234">
        <v>14680</v>
      </c>
      <c r="L666" s="242">
        <v>8</v>
      </c>
      <c r="M666" s="308">
        <v>17590</v>
      </c>
      <c r="N666" s="234">
        <v>16182.8</v>
      </c>
      <c r="O666" s="234" t="s">
        <v>2184</v>
      </c>
      <c r="P666" s="236">
        <v>45925</v>
      </c>
      <c r="Q666" s="244">
        <v>0.93899305555555557</v>
      </c>
    </row>
    <row r="667" spans="1:17" ht="38.25">
      <c r="A667" s="239" t="s">
        <v>2164</v>
      </c>
      <c r="B667" s="240">
        <v>1809</v>
      </c>
      <c r="C667" s="241">
        <v>181</v>
      </c>
      <c r="D667" s="239" t="s">
        <v>591</v>
      </c>
      <c r="E667" s="239" t="s">
        <v>400</v>
      </c>
      <c r="F667" s="239" t="s">
        <v>401</v>
      </c>
      <c r="G667" s="239" t="s">
        <v>117</v>
      </c>
      <c r="H667" s="239" t="s">
        <v>41</v>
      </c>
      <c r="I667" s="239" t="s">
        <v>2712</v>
      </c>
      <c r="J667" s="234">
        <v>37840</v>
      </c>
      <c r="K667" s="234">
        <v>14820</v>
      </c>
      <c r="L667" s="242">
        <v>29</v>
      </c>
      <c r="M667" s="308">
        <v>23020</v>
      </c>
      <c r="N667" s="234">
        <v>16344.2</v>
      </c>
      <c r="O667" s="234" t="s">
        <v>2185</v>
      </c>
      <c r="P667" s="236">
        <v>45925</v>
      </c>
      <c r="Q667" s="244">
        <v>0.99111111111111116</v>
      </c>
    </row>
    <row r="668" spans="1:17" ht="38.25">
      <c r="A668" s="239" t="s">
        <v>2165</v>
      </c>
      <c r="B668" s="240">
        <v>1811</v>
      </c>
      <c r="C668" s="241">
        <v>182</v>
      </c>
      <c r="D668" s="239" t="s">
        <v>591</v>
      </c>
      <c r="E668" s="239" t="s">
        <v>380</v>
      </c>
      <c r="F668" s="239" t="s">
        <v>381</v>
      </c>
      <c r="G668" s="239" t="s">
        <v>117</v>
      </c>
      <c r="H668" s="239" t="s">
        <v>41</v>
      </c>
      <c r="I668" s="239" t="s">
        <v>2712</v>
      </c>
      <c r="J668" s="234">
        <v>37150</v>
      </c>
      <c r="K668" s="234">
        <v>15080</v>
      </c>
      <c r="L668" s="242">
        <v>19</v>
      </c>
      <c r="M668" s="308">
        <v>22070</v>
      </c>
      <c r="N668" s="234">
        <v>17876.7</v>
      </c>
      <c r="O668" s="234" t="s">
        <v>2186</v>
      </c>
      <c r="P668" s="236">
        <v>45925</v>
      </c>
      <c r="Q668" s="244">
        <v>0.94393518518518515</v>
      </c>
    </row>
    <row r="669" spans="1:17" ht="38.25">
      <c r="A669" s="239" t="s">
        <v>2166</v>
      </c>
      <c r="B669" s="240">
        <v>1812</v>
      </c>
      <c r="C669" s="241">
        <v>183</v>
      </c>
      <c r="D669" s="239" t="s">
        <v>591</v>
      </c>
      <c r="E669" s="239" t="s">
        <v>384</v>
      </c>
      <c r="F669" s="239" t="s">
        <v>385</v>
      </c>
      <c r="G669" s="239" t="s">
        <v>117</v>
      </c>
      <c r="H669" s="239" t="s">
        <v>41</v>
      </c>
      <c r="I669" s="239" t="s">
        <v>2712</v>
      </c>
      <c r="J669" s="234">
        <v>34900</v>
      </c>
      <c r="K669" s="234">
        <v>13920</v>
      </c>
      <c r="L669" s="242">
        <v>18</v>
      </c>
      <c r="M669" s="308">
        <v>20980</v>
      </c>
      <c r="N669" s="234">
        <v>17203.599999999999</v>
      </c>
      <c r="O669" s="234" t="s">
        <v>2187</v>
      </c>
      <c r="P669" s="236">
        <v>45925</v>
      </c>
      <c r="Q669" s="244">
        <v>0.9712615740740741</v>
      </c>
    </row>
    <row r="670" spans="1:17" ht="38.25">
      <c r="A670" s="239" t="s">
        <v>2167</v>
      </c>
      <c r="B670" s="240">
        <v>1813</v>
      </c>
      <c r="C670" s="241">
        <v>184</v>
      </c>
      <c r="D670" s="239" t="s">
        <v>591</v>
      </c>
      <c r="E670" s="239" t="s">
        <v>382</v>
      </c>
      <c r="F670" s="239" t="s">
        <v>383</v>
      </c>
      <c r="G670" s="239" t="s">
        <v>117</v>
      </c>
      <c r="H670" s="239" t="s">
        <v>41</v>
      </c>
      <c r="I670" s="239" t="s">
        <v>2712</v>
      </c>
      <c r="J670" s="234">
        <v>33330</v>
      </c>
      <c r="K670" s="234">
        <v>14700</v>
      </c>
      <c r="L670" s="242">
        <v>20</v>
      </c>
      <c r="M670" s="308">
        <v>18630</v>
      </c>
      <c r="N670" s="234">
        <v>14904</v>
      </c>
      <c r="O670" s="234" t="s">
        <v>2188</v>
      </c>
      <c r="P670" s="236">
        <v>45925</v>
      </c>
      <c r="Q670" s="244">
        <v>0.99862268518518515</v>
      </c>
    </row>
    <row r="671" spans="1:17" ht="38.25">
      <c r="A671" s="239" t="s">
        <v>2168</v>
      </c>
      <c r="B671" s="240">
        <v>1814</v>
      </c>
      <c r="C671" s="241">
        <v>185</v>
      </c>
      <c r="D671" s="239" t="s">
        <v>591</v>
      </c>
      <c r="E671" s="239" t="s">
        <v>400</v>
      </c>
      <c r="F671" s="239" t="s">
        <v>401</v>
      </c>
      <c r="G671" s="239" t="s">
        <v>117</v>
      </c>
      <c r="H671" s="239" t="s">
        <v>41</v>
      </c>
      <c r="I671" s="239" t="s">
        <v>2712</v>
      </c>
      <c r="J671" s="234">
        <v>36210</v>
      </c>
      <c r="K671" s="234">
        <v>14860</v>
      </c>
      <c r="L671" s="242">
        <v>30</v>
      </c>
      <c r="M671" s="308">
        <v>21350</v>
      </c>
      <c r="N671" s="234">
        <v>14945</v>
      </c>
      <c r="O671" s="234" t="s">
        <v>2189</v>
      </c>
      <c r="P671" s="236">
        <v>45926</v>
      </c>
      <c r="Q671" s="244">
        <v>0.22796296296296295</v>
      </c>
    </row>
    <row r="672" spans="1:17" ht="38.25">
      <c r="A672" s="239" t="s">
        <v>2169</v>
      </c>
      <c r="B672" s="240">
        <v>1815</v>
      </c>
      <c r="C672" s="241">
        <v>186</v>
      </c>
      <c r="D672" s="239" t="s">
        <v>591</v>
      </c>
      <c r="E672" s="239" t="s">
        <v>380</v>
      </c>
      <c r="F672" s="239" t="s">
        <v>381</v>
      </c>
      <c r="G672" s="239" t="s">
        <v>117</v>
      </c>
      <c r="H672" s="239" t="s">
        <v>41</v>
      </c>
      <c r="I672" s="239" t="s">
        <v>2712</v>
      </c>
      <c r="J672" s="234">
        <v>38190</v>
      </c>
      <c r="K672" s="234">
        <v>15160</v>
      </c>
      <c r="L672" s="242">
        <v>18</v>
      </c>
      <c r="M672" s="308">
        <v>23030</v>
      </c>
      <c r="N672" s="234">
        <v>18884.599999999999</v>
      </c>
      <c r="O672" s="234" t="s">
        <v>2190</v>
      </c>
      <c r="P672" s="236">
        <v>45926</v>
      </c>
      <c r="Q672" s="244">
        <v>0.24649305555555556</v>
      </c>
    </row>
    <row r="673" spans="1:17" ht="38.25">
      <c r="A673" s="239" t="s">
        <v>2192</v>
      </c>
      <c r="B673" s="240">
        <v>1819</v>
      </c>
      <c r="C673" s="241">
        <v>187</v>
      </c>
      <c r="D673" s="239" t="s">
        <v>591</v>
      </c>
      <c r="E673" s="239" t="s">
        <v>369</v>
      </c>
      <c r="F673" s="239" t="s">
        <v>370</v>
      </c>
      <c r="G673" s="239" t="s">
        <v>117</v>
      </c>
      <c r="H673" s="239" t="s">
        <v>41</v>
      </c>
      <c r="I673" s="239" t="s">
        <v>2712</v>
      </c>
      <c r="J673" s="234">
        <v>36530</v>
      </c>
      <c r="K673" s="234">
        <v>15110</v>
      </c>
      <c r="L673" s="242">
        <v>15</v>
      </c>
      <c r="M673" s="308">
        <v>21420</v>
      </c>
      <c r="N673" s="234">
        <v>18207</v>
      </c>
      <c r="O673" s="234" t="s">
        <v>2237</v>
      </c>
      <c r="P673" s="236">
        <v>45926</v>
      </c>
      <c r="Q673" s="244">
        <v>0.48571759259259262</v>
      </c>
    </row>
    <row r="674" spans="1:17" ht="38.25">
      <c r="A674" s="239" t="s">
        <v>2193</v>
      </c>
      <c r="B674" s="240">
        <v>1823</v>
      </c>
      <c r="C674" s="241">
        <v>188</v>
      </c>
      <c r="D674" s="239" t="s">
        <v>591</v>
      </c>
      <c r="E674" s="239" t="s">
        <v>377</v>
      </c>
      <c r="F674" s="239" t="s">
        <v>378</v>
      </c>
      <c r="G674" s="239" t="s">
        <v>117</v>
      </c>
      <c r="H674" s="239" t="s">
        <v>41</v>
      </c>
      <c r="I674" s="239" t="s">
        <v>2712</v>
      </c>
      <c r="J674" s="234">
        <v>37710</v>
      </c>
      <c r="K674" s="234">
        <v>15140</v>
      </c>
      <c r="L674" s="242">
        <v>17</v>
      </c>
      <c r="M674" s="308">
        <v>22570</v>
      </c>
      <c r="N674" s="234">
        <v>18733.099999999999</v>
      </c>
      <c r="O674" s="234" t="s">
        <v>2238</v>
      </c>
      <c r="P674" s="236">
        <v>45926</v>
      </c>
      <c r="Q674" s="244">
        <v>0.52011574074074074</v>
      </c>
    </row>
    <row r="675" spans="1:17" ht="38.25">
      <c r="A675" s="239" t="s">
        <v>2194</v>
      </c>
      <c r="B675" s="240">
        <v>1824</v>
      </c>
      <c r="C675" s="241">
        <v>189</v>
      </c>
      <c r="D675" s="239" t="s">
        <v>591</v>
      </c>
      <c r="E675" s="239" t="s">
        <v>374</v>
      </c>
      <c r="F675" s="239" t="s">
        <v>375</v>
      </c>
      <c r="G675" s="239" t="s">
        <v>117</v>
      </c>
      <c r="H675" s="239" t="s">
        <v>41</v>
      </c>
      <c r="I675" s="239" t="s">
        <v>2712</v>
      </c>
      <c r="J675" s="234">
        <v>38000</v>
      </c>
      <c r="K675" s="234">
        <v>15760</v>
      </c>
      <c r="L675" s="242">
        <v>16</v>
      </c>
      <c r="M675" s="308">
        <v>22240</v>
      </c>
      <c r="N675" s="234">
        <v>18681.599999999999</v>
      </c>
      <c r="O675" s="234" t="s">
        <v>2239</v>
      </c>
      <c r="P675" s="236">
        <v>45926</v>
      </c>
      <c r="Q675" s="244">
        <v>0.56178240740740737</v>
      </c>
    </row>
    <row r="676" spans="1:17" ht="38.25">
      <c r="A676" s="239" t="s">
        <v>2195</v>
      </c>
      <c r="B676" s="240">
        <v>1825</v>
      </c>
      <c r="C676" s="241">
        <v>190</v>
      </c>
      <c r="D676" s="239" t="s">
        <v>591</v>
      </c>
      <c r="E676" s="239" t="s">
        <v>866</v>
      </c>
      <c r="F676" s="239" t="s">
        <v>867</v>
      </c>
      <c r="G676" s="239" t="s">
        <v>117</v>
      </c>
      <c r="H676" s="239" t="s">
        <v>51</v>
      </c>
      <c r="I676" s="239" t="s">
        <v>2712</v>
      </c>
      <c r="J676" s="234">
        <v>34460</v>
      </c>
      <c r="K676" s="234">
        <v>14560</v>
      </c>
      <c r="L676" s="242">
        <v>15</v>
      </c>
      <c r="M676" s="308">
        <v>19900</v>
      </c>
      <c r="N676" s="234">
        <v>16915</v>
      </c>
      <c r="O676" s="234" t="s">
        <v>2240</v>
      </c>
      <c r="P676" s="236">
        <v>45926</v>
      </c>
      <c r="Q676" s="244">
        <v>0.60546296296296298</v>
      </c>
    </row>
    <row r="677" spans="1:17" ht="38.25">
      <c r="A677" s="239" t="s">
        <v>2196</v>
      </c>
      <c r="B677" s="240">
        <v>1827</v>
      </c>
      <c r="C677" s="241">
        <v>191</v>
      </c>
      <c r="D677" s="239" t="s">
        <v>591</v>
      </c>
      <c r="E677" s="239" t="s">
        <v>369</v>
      </c>
      <c r="F677" s="239" t="s">
        <v>370</v>
      </c>
      <c r="G677" s="239" t="s">
        <v>117</v>
      </c>
      <c r="H677" s="239" t="s">
        <v>51</v>
      </c>
      <c r="I677" s="239" t="s">
        <v>2712</v>
      </c>
      <c r="J677" s="234">
        <v>34560</v>
      </c>
      <c r="K677" s="234">
        <v>15070</v>
      </c>
      <c r="L677" s="242">
        <v>15</v>
      </c>
      <c r="M677" s="308">
        <v>19490</v>
      </c>
      <c r="N677" s="234">
        <v>16566.5</v>
      </c>
      <c r="O677" s="234" t="s">
        <v>2241</v>
      </c>
      <c r="P677" s="236">
        <v>45926</v>
      </c>
      <c r="Q677" s="244">
        <v>0.60856481481481484</v>
      </c>
    </row>
    <row r="678" spans="1:17" ht="38.25">
      <c r="A678" s="239" t="s">
        <v>2197</v>
      </c>
      <c r="B678" s="240">
        <v>1829</v>
      </c>
      <c r="C678" s="241">
        <v>192</v>
      </c>
      <c r="D678" s="239" t="s">
        <v>591</v>
      </c>
      <c r="E678" s="239" t="s">
        <v>377</v>
      </c>
      <c r="F678" s="239" t="s">
        <v>378</v>
      </c>
      <c r="G678" s="239" t="s">
        <v>117</v>
      </c>
      <c r="H678" s="239" t="s">
        <v>51</v>
      </c>
      <c r="I678" s="239" t="s">
        <v>2712</v>
      </c>
      <c r="J678" s="234">
        <v>39260</v>
      </c>
      <c r="K678" s="234">
        <v>15130</v>
      </c>
      <c r="L678" s="242">
        <v>13</v>
      </c>
      <c r="M678" s="308">
        <v>24130</v>
      </c>
      <c r="N678" s="234">
        <v>20993.1</v>
      </c>
      <c r="O678" s="234" t="s">
        <v>2242</v>
      </c>
      <c r="P678" s="236">
        <v>45926</v>
      </c>
      <c r="Q678" s="244">
        <v>0.66421296296296295</v>
      </c>
    </row>
    <row r="679" spans="1:17" ht="38.25">
      <c r="A679" s="239" t="s">
        <v>2198</v>
      </c>
      <c r="B679" s="240">
        <v>1830</v>
      </c>
      <c r="C679" s="241">
        <v>193</v>
      </c>
      <c r="D679" s="239" t="s">
        <v>591</v>
      </c>
      <c r="E679" s="239" t="s">
        <v>374</v>
      </c>
      <c r="F679" s="239" t="s">
        <v>375</v>
      </c>
      <c r="G679" s="239" t="s">
        <v>117</v>
      </c>
      <c r="H679" s="239" t="s">
        <v>51</v>
      </c>
      <c r="I679" s="239" t="s">
        <v>2712</v>
      </c>
      <c r="J679" s="234">
        <v>35360</v>
      </c>
      <c r="K679" s="234">
        <v>15750</v>
      </c>
      <c r="L679" s="242">
        <v>26</v>
      </c>
      <c r="M679" s="308">
        <v>19610</v>
      </c>
      <c r="N679" s="234">
        <v>14511.4</v>
      </c>
      <c r="O679" s="234" t="s">
        <v>2243</v>
      </c>
      <c r="P679" s="236">
        <v>45926</v>
      </c>
      <c r="Q679" s="244">
        <v>0.68282407407407408</v>
      </c>
    </row>
    <row r="680" spans="1:17" ht="38.25">
      <c r="A680" s="239" t="s">
        <v>2199</v>
      </c>
      <c r="B680" s="240">
        <v>1831</v>
      </c>
      <c r="C680" s="241">
        <v>194</v>
      </c>
      <c r="D680" s="239" t="s">
        <v>591</v>
      </c>
      <c r="E680" s="239" t="s">
        <v>866</v>
      </c>
      <c r="F680" s="239" t="s">
        <v>867</v>
      </c>
      <c r="G680" s="239" t="s">
        <v>117</v>
      </c>
      <c r="H680" s="239" t="s">
        <v>51</v>
      </c>
      <c r="I680" s="239" t="s">
        <v>2712</v>
      </c>
      <c r="J680" s="234">
        <v>37220</v>
      </c>
      <c r="K680" s="234">
        <v>14540</v>
      </c>
      <c r="L680" s="242">
        <v>19</v>
      </c>
      <c r="M680" s="308">
        <v>22680</v>
      </c>
      <c r="N680" s="234">
        <v>18370.8</v>
      </c>
      <c r="O680" s="234" t="s">
        <v>2244</v>
      </c>
      <c r="P680" s="236">
        <v>45926</v>
      </c>
      <c r="Q680" s="244">
        <v>0.71880787037037042</v>
      </c>
    </row>
    <row r="681" spans="1:17" ht="38.25">
      <c r="A681" s="239" t="s">
        <v>2200</v>
      </c>
      <c r="B681" s="240">
        <v>1832</v>
      </c>
      <c r="C681" s="241">
        <v>195</v>
      </c>
      <c r="D681" s="239" t="s">
        <v>591</v>
      </c>
      <c r="E681" s="239" t="s">
        <v>369</v>
      </c>
      <c r="F681" s="239" t="s">
        <v>370</v>
      </c>
      <c r="G681" s="239" t="s">
        <v>117</v>
      </c>
      <c r="H681" s="239" t="s">
        <v>51</v>
      </c>
      <c r="I681" s="239" t="s">
        <v>2712</v>
      </c>
      <c r="J681" s="234">
        <v>35380</v>
      </c>
      <c r="K681" s="234">
        <v>15060</v>
      </c>
      <c r="L681" s="242">
        <v>16</v>
      </c>
      <c r="M681" s="308">
        <v>20320</v>
      </c>
      <c r="N681" s="234">
        <v>17068.8</v>
      </c>
      <c r="O681" s="234" t="s">
        <v>2245</v>
      </c>
      <c r="P681" s="236">
        <v>45926</v>
      </c>
      <c r="Q681" s="244">
        <v>0.74659722222222225</v>
      </c>
    </row>
    <row r="682" spans="1:17" ht="38.25">
      <c r="A682" s="239" t="s">
        <v>2201</v>
      </c>
      <c r="B682" s="240">
        <v>1833</v>
      </c>
      <c r="C682" s="241">
        <v>196</v>
      </c>
      <c r="D682" s="239" t="s">
        <v>591</v>
      </c>
      <c r="E682" s="239" t="s">
        <v>377</v>
      </c>
      <c r="F682" s="239" t="s">
        <v>378</v>
      </c>
      <c r="G682" s="239" t="s">
        <v>117</v>
      </c>
      <c r="H682" s="239" t="s">
        <v>51</v>
      </c>
      <c r="I682" s="239" t="s">
        <v>2712</v>
      </c>
      <c r="J682" s="234">
        <v>38820</v>
      </c>
      <c r="K682" s="234">
        <v>15110</v>
      </c>
      <c r="L682" s="242">
        <v>9</v>
      </c>
      <c r="M682" s="308">
        <v>23710</v>
      </c>
      <c r="N682" s="234">
        <v>21576.1</v>
      </c>
      <c r="O682" s="234" t="s">
        <v>2246</v>
      </c>
      <c r="P682" s="236">
        <v>45926</v>
      </c>
      <c r="Q682" s="244">
        <v>0.77097222222222217</v>
      </c>
    </row>
    <row r="683" spans="1:17" ht="38.25">
      <c r="A683" s="239" t="s">
        <v>2202</v>
      </c>
      <c r="B683" s="240">
        <v>1834</v>
      </c>
      <c r="C683" s="241">
        <v>197</v>
      </c>
      <c r="D683" s="239" t="s">
        <v>591</v>
      </c>
      <c r="E683" s="239" t="s">
        <v>374</v>
      </c>
      <c r="F683" s="239" t="s">
        <v>375</v>
      </c>
      <c r="G683" s="239" t="s">
        <v>117</v>
      </c>
      <c r="H683" s="239" t="s">
        <v>51</v>
      </c>
      <c r="I683" s="239" t="s">
        <v>2712</v>
      </c>
      <c r="J683" s="234">
        <v>39130</v>
      </c>
      <c r="K683" s="234">
        <v>15730</v>
      </c>
      <c r="L683" s="242">
        <v>10</v>
      </c>
      <c r="M683" s="308">
        <v>23400</v>
      </c>
      <c r="N683" s="234">
        <v>21060</v>
      </c>
      <c r="O683" s="234" t="s">
        <v>2247</v>
      </c>
      <c r="P683" s="236">
        <v>45926</v>
      </c>
      <c r="Q683" s="244">
        <v>0.7439351851851852</v>
      </c>
    </row>
    <row r="684" spans="1:17" ht="38.25">
      <c r="A684" s="239" t="s">
        <v>2203</v>
      </c>
      <c r="B684" s="240">
        <v>1835</v>
      </c>
      <c r="C684" s="241">
        <v>198</v>
      </c>
      <c r="D684" s="239" t="s">
        <v>591</v>
      </c>
      <c r="E684" s="239" t="s">
        <v>866</v>
      </c>
      <c r="F684" s="239" t="s">
        <v>867</v>
      </c>
      <c r="G684" s="239" t="s">
        <v>117</v>
      </c>
      <c r="H684" s="239" t="s">
        <v>51</v>
      </c>
      <c r="I684" s="239" t="s">
        <v>2712</v>
      </c>
      <c r="J684" s="234">
        <v>36560</v>
      </c>
      <c r="K684" s="234">
        <v>14530</v>
      </c>
      <c r="L684" s="242">
        <v>6</v>
      </c>
      <c r="M684" s="308">
        <v>22030</v>
      </c>
      <c r="N684" s="234">
        <v>20708.2</v>
      </c>
      <c r="O684" s="234" t="s">
        <v>2248</v>
      </c>
      <c r="P684" s="236">
        <v>45926</v>
      </c>
      <c r="Q684" s="244">
        <v>0.77178240740740744</v>
      </c>
    </row>
    <row r="685" spans="1:17" ht="38.25">
      <c r="A685" s="239" t="s">
        <v>2204</v>
      </c>
      <c r="B685" s="240">
        <v>1837</v>
      </c>
      <c r="C685" s="241">
        <v>199</v>
      </c>
      <c r="D685" s="239" t="s">
        <v>591</v>
      </c>
      <c r="E685" s="239" t="s">
        <v>369</v>
      </c>
      <c r="F685" s="239" t="s">
        <v>370</v>
      </c>
      <c r="G685" s="239" t="s">
        <v>117</v>
      </c>
      <c r="H685" s="239" t="s">
        <v>51</v>
      </c>
      <c r="I685" s="239" t="s">
        <v>2712</v>
      </c>
      <c r="J685" s="234">
        <v>34850</v>
      </c>
      <c r="K685" s="234">
        <v>15040</v>
      </c>
      <c r="L685" s="242">
        <v>17</v>
      </c>
      <c r="M685" s="308">
        <v>19810</v>
      </c>
      <c r="N685" s="234">
        <v>16442.3</v>
      </c>
      <c r="O685" s="234" t="s">
        <v>2249</v>
      </c>
      <c r="P685" s="236">
        <v>45926</v>
      </c>
      <c r="Q685" s="244">
        <v>0.79711805555555559</v>
      </c>
    </row>
    <row r="686" spans="1:17" ht="38.25">
      <c r="A686" s="239" t="s">
        <v>2205</v>
      </c>
      <c r="B686" s="240">
        <v>1839</v>
      </c>
      <c r="C686" s="241">
        <v>200</v>
      </c>
      <c r="D686" s="239" t="s">
        <v>591</v>
      </c>
      <c r="E686" s="239" t="s">
        <v>377</v>
      </c>
      <c r="F686" s="239" t="s">
        <v>378</v>
      </c>
      <c r="G686" s="239" t="s">
        <v>117</v>
      </c>
      <c r="H686" s="239" t="s">
        <v>51</v>
      </c>
      <c r="I686" s="239" t="s">
        <v>2712</v>
      </c>
      <c r="J686" s="234">
        <v>38420</v>
      </c>
      <c r="K686" s="234">
        <v>15180</v>
      </c>
      <c r="L686" s="242">
        <v>12</v>
      </c>
      <c r="M686" s="308">
        <v>23240</v>
      </c>
      <c r="N686" s="234">
        <v>20451.2</v>
      </c>
      <c r="O686" s="234" t="s">
        <v>2250</v>
      </c>
      <c r="P686" s="236">
        <v>45926</v>
      </c>
      <c r="Q686" s="244">
        <v>0.83</v>
      </c>
    </row>
    <row r="687" spans="1:17" ht="38.25">
      <c r="A687" s="239" t="s">
        <v>2206</v>
      </c>
      <c r="B687" s="240">
        <v>1840</v>
      </c>
      <c r="C687" s="241">
        <v>201</v>
      </c>
      <c r="D687" s="239" t="s">
        <v>591</v>
      </c>
      <c r="E687" s="239" t="s">
        <v>374</v>
      </c>
      <c r="F687" s="239" t="s">
        <v>375</v>
      </c>
      <c r="G687" s="239" t="s">
        <v>117</v>
      </c>
      <c r="H687" s="239" t="s">
        <v>51</v>
      </c>
      <c r="I687" s="239" t="s">
        <v>2712</v>
      </c>
      <c r="J687" s="234">
        <v>38790</v>
      </c>
      <c r="K687" s="234">
        <v>15750</v>
      </c>
      <c r="L687" s="242">
        <v>6</v>
      </c>
      <c r="M687" s="308">
        <v>23040</v>
      </c>
      <c r="N687" s="234">
        <v>21657.599999999999</v>
      </c>
      <c r="O687" s="234" t="s">
        <v>2251</v>
      </c>
      <c r="P687" s="236">
        <v>45926</v>
      </c>
      <c r="Q687" s="244">
        <v>0.8947222222222222</v>
      </c>
    </row>
    <row r="688" spans="1:17" ht="38.25">
      <c r="A688" s="239" t="s">
        <v>2207</v>
      </c>
      <c r="B688" s="240">
        <v>1841</v>
      </c>
      <c r="C688" s="241">
        <v>202</v>
      </c>
      <c r="D688" s="239" t="s">
        <v>591</v>
      </c>
      <c r="E688" s="239" t="s">
        <v>866</v>
      </c>
      <c r="F688" s="239" t="s">
        <v>867</v>
      </c>
      <c r="G688" s="239" t="s">
        <v>117</v>
      </c>
      <c r="H688" s="239" t="s">
        <v>51</v>
      </c>
      <c r="I688" s="239" t="s">
        <v>2712</v>
      </c>
      <c r="J688" s="234">
        <v>36040</v>
      </c>
      <c r="K688" s="234">
        <v>14510</v>
      </c>
      <c r="L688" s="242">
        <v>12</v>
      </c>
      <c r="M688" s="308">
        <v>21530</v>
      </c>
      <c r="N688" s="234">
        <v>18946.400000000001</v>
      </c>
      <c r="O688" s="234" t="s">
        <v>2252</v>
      </c>
      <c r="P688" s="236">
        <v>45926</v>
      </c>
      <c r="Q688" s="244">
        <v>0.92262731481481486</v>
      </c>
    </row>
    <row r="689" spans="1:17" ht="38.25">
      <c r="A689" s="239" t="s">
        <v>2208</v>
      </c>
      <c r="B689" s="240">
        <v>1842</v>
      </c>
      <c r="C689" s="241">
        <v>203</v>
      </c>
      <c r="D689" s="239" t="s">
        <v>591</v>
      </c>
      <c r="E689" s="239" t="s">
        <v>369</v>
      </c>
      <c r="F689" s="239" t="s">
        <v>370</v>
      </c>
      <c r="G689" s="239" t="s">
        <v>117</v>
      </c>
      <c r="H689" s="239" t="s">
        <v>51</v>
      </c>
      <c r="I689" s="239" t="s">
        <v>2712</v>
      </c>
      <c r="J689" s="234">
        <v>36800</v>
      </c>
      <c r="K689" s="234">
        <v>15070</v>
      </c>
      <c r="L689" s="242">
        <v>7</v>
      </c>
      <c r="M689" s="308">
        <v>21730</v>
      </c>
      <c r="N689" s="234">
        <v>20208.900000000001</v>
      </c>
      <c r="O689" s="234" t="s">
        <v>2253</v>
      </c>
      <c r="P689" s="236">
        <v>45926</v>
      </c>
      <c r="Q689" s="244">
        <v>0.95469907407407406</v>
      </c>
    </row>
    <row r="690" spans="1:17" ht="38.25">
      <c r="A690" s="239" t="s">
        <v>2209</v>
      </c>
      <c r="B690" s="240">
        <v>1843</v>
      </c>
      <c r="C690" s="241">
        <v>204</v>
      </c>
      <c r="D690" s="239" t="s">
        <v>591</v>
      </c>
      <c r="E690" s="239" t="s">
        <v>377</v>
      </c>
      <c r="F690" s="239" t="s">
        <v>378</v>
      </c>
      <c r="G690" s="239" t="s">
        <v>117</v>
      </c>
      <c r="H690" s="239" t="s">
        <v>51</v>
      </c>
      <c r="I690" s="239" t="s">
        <v>2712</v>
      </c>
      <c r="J690" s="234">
        <v>39100</v>
      </c>
      <c r="K690" s="234">
        <v>15090</v>
      </c>
      <c r="L690" s="242">
        <v>8</v>
      </c>
      <c r="M690" s="308">
        <v>24010</v>
      </c>
      <c r="N690" s="234">
        <v>22089.200000000001</v>
      </c>
      <c r="O690" s="234" t="s">
        <v>2254</v>
      </c>
      <c r="P690" s="236">
        <v>45927</v>
      </c>
      <c r="Q690" s="244">
        <v>0.50278935185185181</v>
      </c>
    </row>
    <row r="691" spans="1:17" ht="38.25">
      <c r="A691" s="239" t="s">
        <v>2210</v>
      </c>
      <c r="B691" s="240">
        <v>1846</v>
      </c>
      <c r="C691" s="241">
        <v>205</v>
      </c>
      <c r="D691" s="239" t="s">
        <v>591</v>
      </c>
      <c r="E691" s="239" t="s">
        <v>374</v>
      </c>
      <c r="F691" s="239" t="s">
        <v>375</v>
      </c>
      <c r="G691" s="239" t="s">
        <v>117</v>
      </c>
      <c r="H691" s="239" t="s">
        <v>51</v>
      </c>
      <c r="I691" s="239" t="s">
        <v>2712</v>
      </c>
      <c r="J691" s="234">
        <v>37920</v>
      </c>
      <c r="K691" s="234">
        <v>15720</v>
      </c>
      <c r="L691" s="242">
        <v>11</v>
      </c>
      <c r="M691" s="308">
        <v>22200</v>
      </c>
      <c r="N691" s="234">
        <v>19758</v>
      </c>
      <c r="O691" s="234" t="s">
        <v>2255</v>
      </c>
      <c r="P691" s="236">
        <v>45927</v>
      </c>
      <c r="Q691" s="244">
        <v>0.55336805555555557</v>
      </c>
    </row>
    <row r="692" spans="1:17" ht="38.25">
      <c r="A692" s="239" t="s">
        <v>2211</v>
      </c>
      <c r="B692" s="240">
        <v>1847</v>
      </c>
      <c r="C692" s="241">
        <v>206</v>
      </c>
      <c r="D692" s="239" t="s">
        <v>591</v>
      </c>
      <c r="E692" s="239" t="s">
        <v>866</v>
      </c>
      <c r="F692" s="239" t="s">
        <v>867</v>
      </c>
      <c r="G692" s="239" t="s">
        <v>117</v>
      </c>
      <c r="H692" s="239" t="s">
        <v>51</v>
      </c>
      <c r="I692" s="239" t="s">
        <v>2712</v>
      </c>
      <c r="J692" s="234">
        <v>37070</v>
      </c>
      <c r="K692" s="234">
        <v>14510</v>
      </c>
      <c r="L692" s="242">
        <v>8</v>
      </c>
      <c r="M692" s="308">
        <v>22560</v>
      </c>
      <c r="N692" s="234">
        <v>20755.2</v>
      </c>
      <c r="O692" s="234" t="s">
        <v>2256</v>
      </c>
      <c r="P692" s="236">
        <v>45927</v>
      </c>
      <c r="Q692" s="244">
        <v>0.55629629629629629</v>
      </c>
    </row>
    <row r="693" spans="1:17" ht="38.25">
      <c r="A693" s="239" t="s">
        <v>2212</v>
      </c>
      <c r="B693" s="240">
        <v>1848</v>
      </c>
      <c r="C693" s="241">
        <v>207</v>
      </c>
      <c r="D693" s="239" t="s">
        <v>591</v>
      </c>
      <c r="E693" s="239" t="s">
        <v>369</v>
      </c>
      <c r="F693" s="239" t="s">
        <v>370</v>
      </c>
      <c r="G693" s="239" t="s">
        <v>117</v>
      </c>
      <c r="H693" s="239" t="s">
        <v>51</v>
      </c>
      <c r="I693" s="239" t="s">
        <v>2712</v>
      </c>
      <c r="J693" s="234">
        <v>36570</v>
      </c>
      <c r="K693" s="234">
        <v>15050</v>
      </c>
      <c r="L693" s="242">
        <v>10</v>
      </c>
      <c r="M693" s="308">
        <v>21520</v>
      </c>
      <c r="N693" s="234">
        <v>19368</v>
      </c>
      <c r="O693" s="234" t="s">
        <v>2257</v>
      </c>
      <c r="P693" s="236">
        <v>45927</v>
      </c>
      <c r="Q693" s="244">
        <v>0.55834490740740739</v>
      </c>
    </row>
    <row r="694" spans="1:17" ht="38.25">
      <c r="A694" s="239" t="s">
        <v>2213</v>
      </c>
      <c r="B694" s="240">
        <v>1849</v>
      </c>
      <c r="C694" s="241">
        <v>208</v>
      </c>
      <c r="D694" s="239" t="s">
        <v>591</v>
      </c>
      <c r="E694" s="239" t="s">
        <v>374</v>
      </c>
      <c r="F694" s="239" t="s">
        <v>375</v>
      </c>
      <c r="G694" s="239" t="s">
        <v>117</v>
      </c>
      <c r="H694" s="239" t="s">
        <v>51</v>
      </c>
      <c r="I694" s="239" t="s">
        <v>2712</v>
      </c>
      <c r="J694" s="234">
        <v>39150</v>
      </c>
      <c r="K694" s="234">
        <v>15720</v>
      </c>
      <c r="L694" s="242">
        <v>9</v>
      </c>
      <c r="M694" s="308">
        <v>23430</v>
      </c>
      <c r="N694" s="234">
        <v>21321.3</v>
      </c>
      <c r="O694" s="234" t="s">
        <v>2258</v>
      </c>
      <c r="P694" s="236">
        <v>45927</v>
      </c>
      <c r="Q694" s="244">
        <v>0.56013888888888885</v>
      </c>
    </row>
    <row r="695" spans="1:17" ht="38.25">
      <c r="A695" s="239" t="s">
        <v>2214</v>
      </c>
      <c r="B695" s="240">
        <v>1850</v>
      </c>
      <c r="C695" s="241">
        <v>209</v>
      </c>
      <c r="D695" s="239" t="s">
        <v>591</v>
      </c>
      <c r="E695" s="239" t="s">
        <v>866</v>
      </c>
      <c r="F695" s="239" t="s">
        <v>867</v>
      </c>
      <c r="G695" s="239" t="s">
        <v>117</v>
      </c>
      <c r="H695" s="239" t="s">
        <v>51</v>
      </c>
      <c r="I695" s="239" t="s">
        <v>2712</v>
      </c>
      <c r="J695" s="234">
        <v>36270</v>
      </c>
      <c r="K695" s="234">
        <v>14510</v>
      </c>
      <c r="L695" s="242">
        <v>8</v>
      </c>
      <c r="M695" s="308">
        <v>21760</v>
      </c>
      <c r="N695" s="234">
        <v>20019.2</v>
      </c>
      <c r="O695" s="234" t="s">
        <v>2259</v>
      </c>
      <c r="P695" s="236">
        <v>45927</v>
      </c>
      <c r="Q695" s="244">
        <v>0.56266203703703699</v>
      </c>
    </row>
    <row r="696" spans="1:17" ht="38.25">
      <c r="A696" s="239" t="s">
        <v>2215</v>
      </c>
      <c r="B696" s="240">
        <v>1852</v>
      </c>
      <c r="C696" s="241">
        <v>210</v>
      </c>
      <c r="D696" s="239" t="s">
        <v>591</v>
      </c>
      <c r="E696" s="239" t="s">
        <v>442</v>
      </c>
      <c r="F696" s="239" t="s">
        <v>443</v>
      </c>
      <c r="G696" s="239" t="s">
        <v>117</v>
      </c>
      <c r="H696" s="239" t="s">
        <v>51</v>
      </c>
      <c r="I696" s="239" t="s">
        <v>2712</v>
      </c>
      <c r="J696" s="234">
        <v>33980</v>
      </c>
      <c r="K696" s="234">
        <v>14560</v>
      </c>
      <c r="L696" s="242">
        <v>14</v>
      </c>
      <c r="M696" s="308">
        <v>19420</v>
      </c>
      <c r="N696" s="234">
        <v>16701.2</v>
      </c>
      <c r="O696" s="234" t="s">
        <v>2260</v>
      </c>
      <c r="P696" s="236">
        <v>45927</v>
      </c>
      <c r="Q696" s="244">
        <v>0.5642476851851852</v>
      </c>
    </row>
    <row r="697" spans="1:17" ht="38.25">
      <c r="A697" s="239" t="s">
        <v>2216</v>
      </c>
      <c r="B697" s="240">
        <v>1854</v>
      </c>
      <c r="C697" s="241">
        <v>211</v>
      </c>
      <c r="D697" s="239" t="s">
        <v>591</v>
      </c>
      <c r="E697" s="239" t="s">
        <v>780</v>
      </c>
      <c r="F697" s="239" t="s">
        <v>781</v>
      </c>
      <c r="G697" s="239" t="s">
        <v>117</v>
      </c>
      <c r="H697" s="239" t="s">
        <v>51</v>
      </c>
      <c r="I697" s="239" t="s">
        <v>2712</v>
      </c>
      <c r="J697" s="234">
        <v>34820</v>
      </c>
      <c r="K697" s="234">
        <v>14890</v>
      </c>
      <c r="L697" s="242">
        <v>18</v>
      </c>
      <c r="M697" s="308">
        <v>19930</v>
      </c>
      <c r="N697" s="234">
        <v>16342.6</v>
      </c>
      <c r="O697" s="234" t="s">
        <v>2261</v>
      </c>
      <c r="P697" s="236">
        <v>45927</v>
      </c>
      <c r="Q697" s="244">
        <v>0.57187500000000002</v>
      </c>
    </row>
    <row r="698" spans="1:17" ht="38.25">
      <c r="A698" s="239" t="s">
        <v>2217</v>
      </c>
      <c r="B698" s="240">
        <v>1856</v>
      </c>
      <c r="C698" s="241">
        <v>212</v>
      </c>
      <c r="D698" s="239" t="s">
        <v>591</v>
      </c>
      <c r="E698" s="239" t="s">
        <v>410</v>
      </c>
      <c r="F698" s="239" t="s">
        <v>411</v>
      </c>
      <c r="G698" s="239" t="s">
        <v>117</v>
      </c>
      <c r="H698" s="239" t="s">
        <v>51</v>
      </c>
      <c r="I698" s="239" t="s">
        <v>2712</v>
      </c>
      <c r="J698" s="234">
        <v>36510</v>
      </c>
      <c r="K698" s="234">
        <v>15250</v>
      </c>
      <c r="L698" s="242">
        <v>21</v>
      </c>
      <c r="M698" s="308">
        <v>21260</v>
      </c>
      <c r="N698" s="234">
        <v>16795.400000000001</v>
      </c>
      <c r="O698" s="234" t="s">
        <v>2262</v>
      </c>
      <c r="P698" s="236">
        <v>45927</v>
      </c>
      <c r="Q698" s="244">
        <v>0.5741087962962963</v>
      </c>
    </row>
    <row r="699" spans="1:17" ht="38.25">
      <c r="A699" s="239" t="s">
        <v>2218</v>
      </c>
      <c r="B699" s="240">
        <v>1857</v>
      </c>
      <c r="C699" s="241">
        <v>213</v>
      </c>
      <c r="D699" s="239" t="s">
        <v>591</v>
      </c>
      <c r="E699" s="239" t="s">
        <v>372</v>
      </c>
      <c r="F699" s="239" t="s">
        <v>373</v>
      </c>
      <c r="G699" s="239" t="s">
        <v>117</v>
      </c>
      <c r="H699" s="239" t="s">
        <v>51</v>
      </c>
      <c r="I699" s="239" t="s">
        <v>2712</v>
      </c>
      <c r="J699" s="234">
        <v>36110</v>
      </c>
      <c r="K699" s="234">
        <v>15090</v>
      </c>
      <c r="L699" s="242">
        <v>23</v>
      </c>
      <c r="M699" s="308">
        <v>21020</v>
      </c>
      <c r="N699" s="234">
        <v>16185.4</v>
      </c>
      <c r="O699" s="234" t="s">
        <v>2263</v>
      </c>
      <c r="P699" s="236">
        <v>45927</v>
      </c>
      <c r="Q699" s="244">
        <v>0.57719907407407411</v>
      </c>
    </row>
    <row r="700" spans="1:17" ht="38.25">
      <c r="A700" s="239" t="s">
        <v>2219</v>
      </c>
      <c r="B700" s="240">
        <v>1858</v>
      </c>
      <c r="C700" s="241">
        <v>214</v>
      </c>
      <c r="D700" s="239" t="s">
        <v>591</v>
      </c>
      <c r="E700" s="239" t="s">
        <v>442</v>
      </c>
      <c r="F700" s="239" t="s">
        <v>443</v>
      </c>
      <c r="G700" s="239" t="s">
        <v>117</v>
      </c>
      <c r="H700" s="239" t="s">
        <v>51</v>
      </c>
      <c r="I700" s="239" t="s">
        <v>2712</v>
      </c>
      <c r="J700" s="234">
        <v>34360</v>
      </c>
      <c r="K700" s="234">
        <v>14550</v>
      </c>
      <c r="L700" s="242">
        <v>23</v>
      </c>
      <c r="M700" s="308">
        <v>19810</v>
      </c>
      <c r="N700" s="234">
        <v>15253.7</v>
      </c>
      <c r="O700" s="234" t="s">
        <v>2264</v>
      </c>
      <c r="P700" s="236">
        <v>45927</v>
      </c>
      <c r="Q700" s="244">
        <v>0.57976851851851852</v>
      </c>
    </row>
    <row r="701" spans="1:17" ht="38.25">
      <c r="A701" s="239" t="s">
        <v>2220</v>
      </c>
      <c r="B701" s="240">
        <v>1861</v>
      </c>
      <c r="C701" s="241">
        <v>215</v>
      </c>
      <c r="D701" s="239" t="s">
        <v>591</v>
      </c>
      <c r="E701" s="239" t="s">
        <v>780</v>
      </c>
      <c r="F701" s="239" t="s">
        <v>781</v>
      </c>
      <c r="G701" s="239" t="s">
        <v>117</v>
      </c>
      <c r="H701" s="239" t="s">
        <v>51</v>
      </c>
      <c r="I701" s="239" t="s">
        <v>2712</v>
      </c>
      <c r="J701" s="234">
        <v>34830</v>
      </c>
      <c r="K701" s="234">
        <v>14880</v>
      </c>
      <c r="L701" s="242">
        <v>16</v>
      </c>
      <c r="M701" s="308">
        <v>19950</v>
      </c>
      <c r="N701" s="234">
        <v>16758</v>
      </c>
      <c r="O701" s="234" t="s">
        <v>2265</v>
      </c>
      <c r="P701" s="236">
        <v>45927</v>
      </c>
      <c r="Q701" s="244">
        <v>0.58173611111111112</v>
      </c>
    </row>
    <row r="702" spans="1:17" ht="38.25">
      <c r="A702" s="239" t="s">
        <v>2221</v>
      </c>
      <c r="B702" s="240">
        <v>1862</v>
      </c>
      <c r="C702" s="241">
        <v>216</v>
      </c>
      <c r="D702" s="239" t="s">
        <v>591</v>
      </c>
      <c r="E702" s="239" t="s">
        <v>410</v>
      </c>
      <c r="F702" s="239" t="s">
        <v>411</v>
      </c>
      <c r="G702" s="239" t="s">
        <v>117</v>
      </c>
      <c r="H702" s="239" t="s">
        <v>51</v>
      </c>
      <c r="I702" s="239" t="s">
        <v>2712</v>
      </c>
      <c r="J702" s="234">
        <v>37530</v>
      </c>
      <c r="K702" s="234">
        <v>15230</v>
      </c>
      <c r="L702" s="242">
        <v>14</v>
      </c>
      <c r="M702" s="308">
        <v>22300</v>
      </c>
      <c r="N702" s="234">
        <v>19178</v>
      </c>
      <c r="O702" s="234" t="s">
        <v>2266</v>
      </c>
      <c r="P702" s="236">
        <v>45927</v>
      </c>
      <c r="Q702" s="244">
        <v>0.63312500000000005</v>
      </c>
    </row>
    <row r="703" spans="1:17" ht="38.25">
      <c r="A703" s="239" t="s">
        <v>2222</v>
      </c>
      <c r="B703" s="240">
        <v>1863</v>
      </c>
      <c r="C703" s="241">
        <v>217</v>
      </c>
      <c r="D703" s="239" t="s">
        <v>591</v>
      </c>
      <c r="E703" s="239" t="s">
        <v>372</v>
      </c>
      <c r="F703" s="239" t="s">
        <v>373</v>
      </c>
      <c r="G703" s="239" t="s">
        <v>117</v>
      </c>
      <c r="H703" s="239" t="s">
        <v>51</v>
      </c>
      <c r="I703" s="239" t="s">
        <v>2712</v>
      </c>
      <c r="J703" s="234">
        <v>34840</v>
      </c>
      <c r="K703" s="234">
        <v>15070</v>
      </c>
      <c r="L703" s="242">
        <v>22</v>
      </c>
      <c r="M703" s="308">
        <v>19770</v>
      </c>
      <c r="N703" s="234">
        <v>15420.6</v>
      </c>
      <c r="O703" s="234" t="s">
        <v>2267</v>
      </c>
      <c r="P703" s="236">
        <v>45927</v>
      </c>
      <c r="Q703" s="244">
        <v>0.69983796296296297</v>
      </c>
    </row>
    <row r="704" spans="1:17" ht="38.25">
      <c r="A704" s="239" t="s">
        <v>2223</v>
      </c>
      <c r="B704" s="240">
        <v>1864</v>
      </c>
      <c r="C704" s="241">
        <v>218</v>
      </c>
      <c r="D704" s="239" t="s">
        <v>591</v>
      </c>
      <c r="E704" s="239" t="s">
        <v>442</v>
      </c>
      <c r="F704" s="239" t="s">
        <v>443</v>
      </c>
      <c r="G704" s="239" t="s">
        <v>117</v>
      </c>
      <c r="H704" s="239" t="s">
        <v>51</v>
      </c>
      <c r="I704" s="239" t="s">
        <v>2712</v>
      </c>
      <c r="J704" s="234">
        <v>34370</v>
      </c>
      <c r="K704" s="234">
        <v>14550</v>
      </c>
      <c r="L704" s="242">
        <v>19</v>
      </c>
      <c r="M704" s="308">
        <v>19820</v>
      </c>
      <c r="N704" s="234">
        <v>16054.2</v>
      </c>
      <c r="O704" s="234" t="s">
        <v>2268</v>
      </c>
      <c r="P704" s="236">
        <v>45927</v>
      </c>
      <c r="Q704" s="244">
        <v>0.70157407407407413</v>
      </c>
    </row>
    <row r="705" spans="1:17" ht="38.25">
      <c r="A705" s="239" t="s">
        <v>2224</v>
      </c>
      <c r="B705" s="240">
        <v>1865</v>
      </c>
      <c r="C705" s="241">
        <v>219</v>
      </c>
      <c r="D705" s="239" t="s">
        <v>591</v>
      </c>
      <c r="E705" s="239" t="s">
        <v>780</v>
      </c>
      <c r="F705" s="239" t="s">
        <v>781</v>
      </c>
      <c r="G705" s="239" t="s">
        <v>117</v>
      </c>
      <c r="H705" s="239" t="s">
        <v>51</v>
      </c>
      <c r="I705" s="239" t="s">
        <v>2712</v>
      </c>
      <c r="J705" s="234">
        <v>35060</v>
      </c>
      <c r="K705" s="234">
        <v>14880</v>
      </c>
      <c r="L705" s="242">
        <v>18</v>
      </c>
      <c r="M705" s="308">
        <v>20180</v>
      </c>
      <c r="N705" s="234">
        <v>16547.599999999999</v>
      </c>
      <c r="O705" s="234" t="s">
        <v>2269</v>
      </c>
      <c r="P705" s="236">
        <v>45927</v>
      </c>
      <c r="Q705" s="244">
        <v>0.70870370370370372</v>
      </c>
    </row>
    <row r="706" spans="1:17" ht="38.25">
      <c r="A706" s="239" t="s">
        <v>2225</v>
      </c>
      <c r="B706" s="240">
        <v>1867</v>
      </c>
      <c r="C706" s="241">
        <v>220</v>
      </c>
      <c r="D706" s="239" t="s">
        <v>591</v>
      </c>
      <c r="E706" s="239" t="s">
        <v>410</v>
      </c>
      <c r="F706" s="239" t="s">
        <v>411</v>
      </c>
      <c r="G706" s="239" t="s">
        <v>117</v>
      </c>
      <c r="H706" s="239" t="s">
        <v>51</v>
      </c>
      <c r="I706" s="239" t="s">
        <v>2712</v>
      </c>
      <c r="J706" s="234">
        <v>37830</v>
      </c>
      <c r="K706" s="234">
        <v>15230</v>
      </c>
      <c r="L706" s="242">
        <v>20</v>
      </c>
      <c r="M706" s="308">
        <v>22600</v>
      </c>
      <c r="N706" s="234">
        <v>18080</v>
      </c>
      <c r="O706" s="234" t="s">
        <v>2270</v>
      </c>
      <c r="P706" s="236">
        <v>45927</v>
      </c>
      <c r="Q706" s="244">
        <v>0.80561342592592589</v>
      </c>
    </row>
    <row r="707" spans="1:17" ht="38.25">
      <c r="A707" s="239" t="s">
        <v>2226</v>
      </c>
      <c r="B707" s="240">
        <v>1868</v>
      </c>
      <c r="C707" s="241">
        <v>221</v>
      </c>
      <c r="D707" s="239" t="s">
        <v>591</v>
      </c>
      <c r="E707" s="239" t="s">
        <v>372</v>
      </c>
      <c r="F707" s="239" t="s">
        <v>373</v>
      </c>
      <c r="G707" s="239" t="s">
        <v>117</v>
      </c>
      <c r="H707" s="239" t="s">
        <v>51</v>
      </c>
      <c r="I707" s="239" t="s">
        <v>2712</v>
      </c>
      <c r="J707" s="234">
        <v>36440</v>
      </c>
      <c r="K707" s="234">
        <v>15070</v>
      </c>
      <c r="L707" s="242">
        <v>16</v>
      </c>
      <c r="M707" s="308">
        <v>21370</v>
      </c>
      <c r="N707" s="234">
        <v>17950.8</v>
      </c>
      <c r="O707" s="234" t="s">
        <v>2271</v>
      </c>
      <c r="P707" s="236">
        <v>45927</v>
      </c>
      <c r="Q707" s="244">
        <v>0.80766203703703698</v>
      </c>
    </row>
    <row r="708" spans="1:17" ht="38.25">
      <c r="A708" s="239" t="s">
        <v>2227</v>
      </c>
      <c r="B708" s="240">
        <v>1869</v>
      </c>
      <c r="C708" s="241">
        <v>222</v>
      </c>
      <c r="D708" s="239" t="s">
        <v>591</v>
      </c>
      <c r="E708" s="239" t="s">
        <v>442</v>
      </c>
      <c r="F708" s="239" t="s">
        <v>443</v>
      </c>
      <c r="G708" s="239" t="s">
        <v>117</v>
      </c>
      <c r="H708" s="239" t="s">
        <v>51</v>
      </c>
      <c r="I708" s="239" t="s">
        <v>2712</v>
      </c>
      <c r="J708" s="234">
        <v>34030</v>
      </c>
      <c r="K708" s="234">
        <v>14520</v>
      </c>
      <c r="L708" s="242">
        <v>20</v>
      </c>
      <c r="M708" s="308">
        <v>19510</v>
      </c>
      <c r="N708" s="234">
        <v>15608</v>
      </c>
      <c r="O708" s="234" t="s">
        <v>2272</v>
      </c>
      <c r="P708" s="236">
        <v>45927</v>
      </c>
      <c r="Q708" s="244">
        <v>0.82849537037037035</v>
      </c>
    </row>
    <row r="709" spans="1:17" ht="38.25">
      <c r="A709" s="239" t="s">
        <v>2228</v>
      </c>
      <c r="B709" s="240">
        <v>1870</v>
      </c>
      <c r="C709" s="241">
        <v>223</v>
      </c>
      <c r="D709" s="239" t="s">
        <v>591</v>
      </c>
      <c r="E709" s="239" t="s">
        <v>780</v>
      </c>
      <c r="F709" s="239" t="s">
        <v>781</v>
      </c>
      <c r="G709" s="239" t="s">
        <v>117</v>
      </c>
      <c r="H709" s="239" t="s">
        <v>51</v>
      </c>
      <c r="I709" s="239" t="s">
        <v>2712</v>
      </c>
      <c r="J709" s="234">
        <v>34410</v>
      </c>
      <c r="K709" s="234">
        <v>14860</v>
      </c>
      <c r="L709" s="242">
        <v>16</v>
      </c>
      <c r="M709" s="308">
        <v>19550</v>
      </c>
      <c r="N709" s="234">
        <v>16422</v>
      </c>
      <c r="O709" s="234" t="s">
        <v>2273</v>
      </c>
      <c r="P709" s="236">
        <v>45927</v>
      </c>
      <c r="Q709" s="244">
        <v>0.86717592592592596</v>
      </c>
    </row>
    <row r="710" spans="1:17" ht="38.25">
      <c r="A710" s="239" t="s">
        <v>2229</v>
      </c>
      <c r="B710" s="240">
        <v>1871</v>
      </c>
      <c r="C710" s="241">
        <v>224</v>
      </c>
      <c r="D710" s="239" t="s">
        <v>591</v>
      </c>
      <c r="E710" s="239" t="s">
        <v>410</v>
      </c>
      <c r="F710" s="239" t="s">
        <v>411</v>
      </c>
      <c r="G710" s="239" t="s">
        <v>117</v>
      </c>
      <c r="H710" s="239" t="s">
        <v>51</v>
      </c>
      <c r="I710" s="239" t="s">
        <v>2712</v>
      </c>
      <c r="J710" s="234">
        <v>33930</v>
      </c>
      <c r="K710" s="234">
        <v>15210</v>
      </c>
      <c r="L710" s="242">
        <v>16</v>
      </c>
      <c r="M710" s="308">
        <v>18720</v>
      </c>
      <c r="N710" s="234">
        <v>15724.8</v>
      </c>
      <c r="O710" s="234" t="s">
        <v>2274</v>
      </c>
      <c r="P710" s="236">
        <v>45927</v>
      </c>
      <c r="Q710" s="244">
        <v>0.93192129629629628</v>
      </c>
    </row>
    <row r="711" spans="1:17" ht="38.25">
      <c r="A711" s="239" t="s">
        <v>2230</v>
      </c>
      <c r="B711" s="240">
        <v>1874</v>
      </c>
      <c r="C711" s="241">
        <v>225</v>
      </c>
      <c r="D711" s="239" t="s">
        <v>591</v>
      </c>
      <c r="E711" s="239" t="s">
        <v>372</v>
      </c>
      <c r="F711" s="239" t="s">
        <v>373</v>
      </c>
      <c r="G711" s="239" t="s">
        <v>117</v>
      </c>
      <c r="H711" s="239" t="s">
        <v>51</v>
      </c>
      <c r="I711" s="239" t="s">
        <v>2712</v>
      </c>
      <c r="J711" s="234">
        <v>37910</v>
      </c>
      <c r="K711" s="234">
        <v>15050</v>
      </c>
      <c r="L711" s="242">
        <v>21</v>
      </c>
      <c r="M711" s="308">
        <v>22860</v>
      </c>
      <c r="N711" s="234">
        <v>18059.400000000001</v>
      </c>
      <c r="O711" s="234" t="s">
        <v>2275</v>
      </c>
      <c r="P711" s="236">
        <v>45927</v>
      </c>
      <c r="Q711" s="244">
        <v>0.83166666666666667</v>
      </c>
    </row>
    <row r="712" spans="1:17" ht="38.25">
      <c r="A712" s="239" t="s">
        <v>2231</v>
      </c>
      <c r="B712" s="240">
        <v>1875</v>
      </c>
      <c r="C712" s="241">
        <v>226</v>
      </c>
      <c r="D712" s="239" t="s">
        <v>591</v>
      </c>
      <c r="E712" s="239" t="s">
        <v>442</v>
      </c>
      <c r="F712" s="239" t="s">
        <v>443</v>
      </c>
      <c r="G712" s="239" t="s">
        <v>117</v>
      </c>
      <c r="H712" s="239" t="s">
        <v>51</v>
      </c>
      <c r="I712" s="239" t="s">
        <v>2712</v>
      </c>
      <c r="J712" s="234">
        <v>33100</v>
      </c>
      <c r="K712" s="234">
        <v>14530</v>
      </c>
      <c r="L712" s="242">
        <v>6</v>
      </c>
      <c r="M712" s="308">
        <v>18570</v>
      </c>
      <c r="N712" s="234">
        <v>17455.8</v>
      </c>
      <c r="O712" s="234" t="s">
        <v>2276</v>
      </c>
      <c r="P712" s="236">
        <v>45927</v>
      </c>
      <c r="Q712" s="244">
        <v>0.99383101851851852</v>
      </c>
    </row>
    <row r="713" spans="1:17" ht="38.25">
      <c r="A713" s="239" t="s">
        <v>2232</v>
      </c>
      <c r="B713" s="240">
        <v>1876</v>
      </c>
      <c r="C713" s="241">
        <v>227</v>
      </c>
      <c r="D713" s="239" t="s">
        <v>591</v>
      </c>
      <c r="E713" s="239" t="s">
        <v>780</v>
      </c>
      <c r="F713" s="239" t="s">
        <v>781</v>
      </c>
      <c r="G713" s="239" t="s">
        <v>117</v>
      </c>
      <c r="H713" s="239" t="s">
        <v>51</v>
      </c>
      <c r="I713" s="239" t="s">
        <v>2712</v>
      </c>
      <c r="J713" s="234">
        <v>34630</v>
      </c>
      <c r="K713" s="234">
        <v>14860</v>
      </c>
      <c r="L713" s="242">
        <v>8</v>
      </c>
      <c r="M713" s="308">
        <v>19770</v>
      </c>
      <c r="N713" s="234">
        <v>18188.400000000001</v>
      </c>
      <c r="O713" s="234" t="s">
        <v>2277</v>
      </c>
      <c r="P713" s="236">
        <v>45927</v>
      </c>
      <c r="Q713" s="244">
        <v>0.90658564814814813</v>
      </c>
    </row>
    <row r="714" spans="1:17" ht="38.25">
      <c r="A714" s="239" t="s">
        <v>2233</v>
      </c>
      <c r="B714" s="240">
        <v>1877</v>
      </c>
      <c r="C714" s="241">
        <v>228</v>
      </c>
      <c r="D714" s="239" t="s">
        <v>591</v>
      </c>
      <c r="E714" s="239" t="s">
        <v>410</v>
      </c>
      <c r="F714" s="239" t="s">
        <v>411</v>
      </c>
      <c r="G714" s="239" t="s">
        <v>117</v>
      </c>
      <c r="H714" s="239" t="s">
        <v>51</v>
      </c>
      <c r="I714" s="239" t="s">
        <v>2712</v>
      </c>
      <c r="J714" s="234">
        <v>35390</v>
      </c>
      <c r="K714" s="234">
        <v>15230</v>
      </c>
      <c r="L714" s="242">
        <v>10</v>
      </c>
      <c r="M714" s="308">
        <v>20160</v>
      </c>
      <c r="N714" s="234">
        <v>18144</v>
      </c>
      <c r="O714" s="234" t="s">
        <v>2278</v>
      </c>
      <c r="P714" s="236">
        <v>45927</v>
      </c>
      <c r="Q714" s="244">
        <v>0.93552083333333336</v>
      </c>
    </row>
    <row r="715" spans="1:17" ht="38.25">
      <c r="A715" s="239" t="s">
        <v>2234</v>
      </c>
      <c r="B715" s="240">
        <v>1878</v>
      </c>
      <c r="C715" s="241">
        <v>229</v>
      </c>
      <c r="D715" s="239" t="s">
        <v>591</v>
      </c>
      <c r="E715" s="239" t="s">
        <v>372</v>
      </c>
      <c r="F715" s="239" t="s">
        <v>373</v>
      </c>
      <c r="G715" s="239" t="s">
        <v>117</v>
      </c>
      <c r="H715" s="239" t="s">
        <v>51</v>
      </c>
      <c r="I715" s="239" t="s">
        <v>2712</v>
      </c>
      <c r="J715" s="234">
        <v>36180</v>
      </c>
      <c r="K715" s="234">
        <v>15050</v>
      </c>
      <c r="L715" s="242">
        <v>6</v>
      </c>
      <c r="M715" s="308">
        <v>21130</v>
      </c>
      <c r="N715" s="234">
        <v>19862.2</v>
      </c>
      <c r="O715" s="234" t="s">
        <v>2279</v>
      </c>
      <c r="P715" s="236">
        <v>45927</v>
      </c>
      <c r="Q715" s="244">
        <v>0.97430555555555554</v>
      </c>
    </row>
    <row r="716" spans="1:17" ht="38.25">
      <c r="A716" s="239" t="s">
        <v>2235</v>
      </c>
      <c r="B716" s="240">
        <v>1879</v>
      </c>
      <c r="C716" s="241">
        <v>226</v>
      </c>
      <c r="D716" s="239" t="s">
        <v>591</v>
      </c>
      <c r="E716" s="239" t="s">
        <v>442</v>
      </c>
      <c r="F716" s="239" t="s">
        <v>443</v>
      </c>
      <c r="G716" s="239" t="s">
        <v>117</v>
      </c>
      <c r="H716" s="239" t="s">
        <v>51</v>
      </c>
      <c r="I716" s="239" t="s">
        <v>2712</v>
      </c>
      <c r="J716" s="234">
        <v>33520</v>
      </c>
      <c r="K716" s="234">
        <v>14510</v>
      </c>
      <c r="L716" s="242">
        <v>22</v>
      </c>
      <c r="M716" s="308">
        <v>19010</v>
      </c>
      <c r="N716" s="234">
        <v>14827.8</v>
      </c>
      <c r="O716" s="234" t="s">
        <v>2280</v>
      </c>
      <c r="P716" s="236">
        <v>45928</v>
      </c>
      <c r="Q716" s="244">
        <v>0.10528935185185186</v>
      </c>
    </row>
    <row r="717" spans="1:17" ht="38.25">
      <c r="A717" s="239" t="s">
        <v>2236</v>
      </c>
      <c r="B717" s="240">
        <v>1881</v>
      </c>
      <c r="C717" s="241">
        <v>231</v>
      </c>
      <c r="D717" s="239" t="s">
        <v>591</v>
      </c>
      <c r="E717" s="239" t="s">
        <v>780</v>
      </c>
      <c r="F717" s="239" t="s">
        <v>781</v>
      </c>
      <c r="G717" s="239" t="s">
        <v>117</v>
      </c>
      <c r="H717" s="239" t="s">
        <v>51</v>
      </c>
      <c r="I717" s="239" t="s">
        <v>2712</v>
      </c>
      <c r="J717" s="234">
        <v>34290</v>
      </c>
      <c r="K717" s="234">
        <v>14850</v>
      </c>
      <c r="L717" s="242">
        <v>14</v>
      </c>
      <c r="M717" s="308">
        <v>19440</v>
      </c>
      <c r="N717" s="234">
        <v>16718.400000000001</v>
      </c>
      <c r="O717" s="234" t="s">
        <v>2281</v>
      </c>
      <c r="P717" s="236">
        <v>45928</v>
      </c>
      <c r="Q717" s="244">
        <v>0.14182870370370371</v>
      </c>
    </row>
    <row r="718" spans="1:17" ht="38.25">
      <c r="A718" s="239" t="s">
        <v>2282</v>
      </c>
      <c r="B718" s="240">
        <v>1882</v>
      </c>
      <c r="C718" s="241">
        <v>232</v>
      </c>
      <c r="D718" s="239" t="s">
        <v>591</v>
      </c>
      <c r="E718" s="239" t="s">
        <v>410</v>
      </c>
      <c r="F718" s="239" t="s">
        <v>411</v>
      </c>
      <c r="G718" s="239" t="s">
        <v>969</v>
      </c>
      <c r="H718" s="239" t="s">
        <v>41</v>
      </c>
      <c r="I718" s="239" t="s">
        <v>2712</v>
      </c>
      <c r="J718" s="234">
        <v>36800</v>
      </c>
      <c r="K718" s="234">
        <v>15180</v>
      </c>
      <c r="L718" s="242">
        <v>24</v>
      </c>
      <c r="M718" s="308">
        <v>21620</v>
      </c>
      <c r="N718" s="234">
        <v>16431.2</v>
      </c>
      <c r="O718" s="234" t="s">
        <v>2316</v>
      </c>
      <c r="P718" s="236">
        <v>45928</v>
      </c>
      <c r="Q718" s="244">
        <v>0.11547453703703704</v>
      </c>
    </row>
    <row r="719" spans="1:17" ht="38.25">
      <c r="A719" s="239" t="s">
        <v>2283</v>
      </c>
      <c r="B719" s="240">
        <v>1883</v>
      </c>
      <c r="C719" s="241">
        <v>233</v>
      </c>
      <c r="D719" s="239" t="s">
        <v>591</v>
      </c>
      <c r="E719" s="239" t="s">
        <v>372</v>
      </c>
      <c r="F719" s="239" t="s">
        <v>373</v>
      </c>
      <c r="G719" s="239" t="s">
        <v>969</v>
      </c>
      <c r="H719" s="239" t="s">
        <v>41</v>
      </c>
      <c r="I719" s="239" t="s">
        <v>2712</v>
      </c>
      <c r="J719" s="234">
        <v>36630</v>
      </c>
      <c r="K719" s="234">
        <v>15020</v>
      </c>
      <c r="L719" s="242">
        <v>15</v>
      </c>
      <c r="M719" s="308">
        <v>21610</v>
      </c>
      <c r="N719" s="234">
        <v>18368.5</v>
      </c>
      <c r="O719" s="234" t="s">
        <v>2317</v>
      </c>
      <c r="P719" s="236">
        <v>45928</v>
      </c>
      <c r="Q719" s="244">
        <v>0.1464351851851852</v>
      </c>
    </row>
    <row r="720" spans="1:17" ht="38.25">
      <c r="A720" s="239" t="s">
        <v>2284</v>
      </c>
      <c r="B720" s="240">
        <v>1884</v>
      </c>
      <c r="C720" s="241">
        <v>234</v>
      </c>
      <c r="D720" s="239" t="s">
        <v>591</v>
      </c>
      <c r="E720" s="239" t="s">
        <v>442</v>
      </c>
      <c r="F720" s="239" t="s">
        <v>443</v>
      </c>
      <c r="G720" s="239" t="s">
        <v>969</v>
      </c>
      <c r="H720" s="239" t="s">
        <v>41</v>
      </c>
      <c r="I720" s="239" t="s">
        <v>2712</v>
      </c>
      <c r="J720" s="234">
        <v>33650</v>
      </c>
      <c r="K720" s="234">
        <v>14490</v>
      </c>
      <c r="L720" s="242">
        <v>24</v>
      </c>
      <c r="M720" s="308">
        <v>19160</v>
      </c>
      <c r="N720" s="234">
        <v>14561.6</v>
      </c>
      <c r="O720" s="234" t="s">
        <v>2318</v>
      </c>
      <c r="P720" s="236">
        <v>45928</v>
      </c>
      <c r="Q720" s="244">
        <v>0.17827546296296296</v>
      </c>
    </row>
    <row r="721" spans="1:17" ht="38.25">
      <c r="A721" s="239" t="s">
        <v>2285</v>
      </c>
      <c r="B721" s="240">
        <v>1885</v>
      </c>
      <c r="C721" s="241">
        <v>235</v>
      </c>
      <c r="D721" s="239" t="s">
        <v>591</v>
      </c>
      <c r="E721" s="239" t="s">
        <v>780</v>
      </c>
      <c r="F721" s="239" t="s">
        <v>781</v>
      </c>
      <c r="G721" s="239" t="s">
        <v>969</v>
      </c>
      <c r="H721" s="239" t="s">
        <v>41</v>
      </c>
      <c r="I721" s="239" t="s">
        <v>2712</v>
      </c>
      <c r="J721" s="234">
        <v>33770</v>
      </c>
      <c r="K721" s="234">
        <v>14840</v>
      </c>
      <c r="L721" s="242">
        <v>24</v>
      </c>
      <c r="M721" s="308">
        <v>18930</v>
      </c>
      <c r="N721" s="234">
        <v>14386.8</v>
      </c>
      <c r="O721" s="234" t="s">
        <v>2319</v>
      </c>
      <c r="P721" s="236">
        <v>45928</v>
      </c>
      <c r="Q721" s="244">
        <v>0.19533564814814816</v>
      </c>
    </row>
    <row r="722" spans="1:17" ht="38.25">
      <c r="A722" s="239" t="s">
        <v>2286</v>
      </c>
      <c r="B722" s="240">
        <v>1886</v>
      </c>
      <c r="C722" s="241">
        <v>236</v>
      </c>
      <c r="D722" s="239" t="s">
        <v>591</v>
      </c>
      <c r="E722" s="239" t="s">
        <v>410</v>
      </c>
      <c r="F722" s="239" t="s">
        <v>411</v>
      </c>
      <c r="G722" s="239" t="s">
        <v>969</v>
      </c>
      <c r="H722" s="239" t="s">
        <v>41</v>
      </c>
      <c r="I722" s="239" t="s">
        <v>2712</v>
      </c>
      <c r="J722" s="234">
        <v>38150</v>
      </c>
      <c r="K722" s="234">
        <v>15170</v>
      </c>
      <c r="L722" s="242">
        <v>23</v>
      </c>
      <c r="M722" s="308">
        <v>22980</v>
      </c>
      <c r="N722" s="234">
        <v>17694.599999999999</v>
      </c>
      <c r="O722" s="234" t="s">
        <v>2320</v>
      </c>
      <c r="P722" s="236">
        <v>45928</v>
      </c>
      <c r="Q722" s="244">
        <v>0.2472337962962963</v>
      </c>
    </row>
    <row r="723" spans="1:17" ht="38.25">
      <c r="A723" s="239" t="s">
        <v>2287</v>
      </c>
      <c r="B723" s="240">
        <v>1888</v>
      </c>
      <c r="C723" s="241">
        <v>237</v>
      </c>
      <c r="D723" s="239" t="s">
        <v>591</v>
      </c>
      <c r="E723" s="239" t="s">
        <v>372</v>
      </c>
      <c r="F723" s="239" t="s">
        <v>373</v>
      </c>
      <c r="G723" s="239" t="s">
        <v>969</v>
      </c>
      <c r="H723" s="239" t="s">
        <v>41</v>
      </c>
      <c r="I723" s="239" t="s">
        <v>2712</v>
      </c>
      <c r="J723" s="234">
        <v>36220</v>
      </c>
      <c r="K723" s="234">
        <v>15010</v>
      </c>
      <c r="L723" s="242">
        <v>34</v>
      </c>
      <c r="M723" s="308">
        <v>21210</v>
      </c>
      <c r="N723" s="234">
        <v>13998.6</v>
      </c>
      <c r="O723" s="234" t="s">
        <v>2321</v>
      </c>
      <c r="P723" s="236">
        <v>45928</v>
      </c>
      <c r="Q723" s="244">
        <v>0.28320601851851851</v>
      </c>
    </row>
    <row r="724" spans="1:17" ht="38.25">
      <c r="A724" s="239" t="s">
        <v>2288</v>
      </c>
      <c r="B724" s="240">
        <v>1890</v>
      </c>
      <c r="C724" s="241">
        <v>238</v>
      </c>
      <c r="D724" s="239" t="s">
        <v>591</v>
      </c>
      <c r="E724" s="239" t="s">
        <v>400</v>
      </c>
      <c r="F724" s="239" t="s">
        <v>401</v>
      </c>
      <c r="G724" s="239" t="s">
        <v>969</v>
      </c>
      <c r="H724" s="239" t="s">
        <v>41</v>
      </c>
      <c r="I724" s="239" t="s">
        <v>2712</v>
      </c>
      <c r="J724" s="234">
        <v>36180</v>
      </c>
      <c r="K724" s="234">
        <v>14810</v>
      </c>
      <c r="L724" s="242">
        <v>27</v>
      </c>
      <c r="M724" s="308">
        <v>21370</v>
      </c>
      <c r="N724" s="234">
        <v>15600.1</v>
      </c>
      <c r="O724" s="234" t="s">
        <v>2322</v>
      </c>
      <c r="P724" s="236">
        <v>45928</v>
      </c>
      <c r="Q724" s="244">
        <v>0.35418981481481482</v>
      </c>
    </row>
    <row r="725" spans="1:17" ht="38.25">
      <c r="A725" s="239" t="s">
        <v>2289</v>
      </c>
      <c r="B725" s="240">
        <v>1892</v>
      </c>
      <c r="C725" s="241">
        <v>239</v>
      </c>
      <c r="D725" s="239" t="s">
        <v>591</v>
      </c>
      <c r="E725" s="239" t="s">
        <v>380</v>
      </c>
      <c r="F725" s="239" t="s">
        <v>381</v>
      </c>
      <c r="G725" s="239" t="s">
        <v>969</v>
      </c>
      <c r="H725" s="239" t="s">
        <v>41</v>
      </c>
      <c r="I725" s="239" t="s">
        <v>2712</v>
      </c>
      <c r="J725" s="234">
        <v>36890</v>
      </c>
      <c r="K725" s="234">
        <v>15050</v>
      </c>
      <c r="L725" s="242">
        <v>30</v>
      </c>
      <c r="M725" s="308">
        <v>21840</v>
      </c>
      <c r="N725" s="234">
        <v>15288</v>
      </c>
      <c r="O725" s="234" t="s">
        <v>2323</v>
      </c>
      <c r="P725" s="236">
        <v>45928</v>
      </c>
      <c r="Q725" s="244">
        <v>0.40271990740740743</v>
      </c>
    </row>
    <row r="726" spans="1:17" ht="38.25">
      <c r="A726" s="239" t="s">
        <v>2290</v>
      </c>
      <c r="B726" s="240">
        <v>1896</v>
      </c>
      <c r="C726" s="241">
        <v>240</v>
      </c>
      <c r="D726" s="239" t="s">
        <v>591</v>
      </c>
      <c r="E726" s="239" t="s">
        <v>384</v>
      </c>
      <c r="F726" s="239" t="s">
        <v>385</v>
      </c>
      <c r="G726" s="239" t="s">
        <v>969</v>
      </c>
      <c r="H726" s="239" t="s">
        <v>41</v>
      </c>
      <c r="I726" s="239" t="s">
        <v>2712</v>
      </c>
      <c r="J726" s="234">
        <v>33960</v>
      </c>
      <c r="K726" s="234">
        <v>14000</v>
      </c>
      <c r="L726" s="242">
        <v>27</v>
      </c>
      <c r="M726" s="308">
        <v>19960</v>
      </c>
      <c r="N726" s="234">
        <v>14570.8</v>
      </c>
      <c r="O726" s="234" t="s">
        <v>2324</v>
      </c>
      <c r="P726" s="236">
        <v>45928</v>
      </c>
      <c r="Q726" s="244">
        <v>0.45762731481481483</v>
      </c>
    </row>
    <row r="727" spans="1:17" ht="38.25">
      <c r="A727" s="239" t="s">
        <v>2291</v>
      </c>
      <c r="B727" s="240">
        <v>1897</v>
      </c>
      <c r="C727" s="241">
        <v>241</v>
      </c>
      <c r="D727" s="239" t="s">
        <v>591</v>
      </c>
      <c r="E727" s="239" t="s">
        <v>369</v>
      </c>
      <c r="F727" s="239" t="s">
        <v>370</v>
      </c>
      <c r="G727" s="239" t="s">
        <v>969</v>
      </c>
      <c r="H727" s="239" t="s">
        <v>41</v>
      </c>
      <c r="I727" s="239" t="s">
        <v>2712</v>
      </c>
      <c r="J727" s="234">
        <v>36370</v>
      </c>
      <c r="K727" s="234">
        <v>15120</v>
      </c>
      <c r="L727" s="242">
        <v>31</v>
      </c>
      <c r="M727" s="308">
        <v>21250</v>
      </c>
      <c r="N727" s="234">
        <v>14662.5</v>
      </c>
      <c r="O727" s="234" t="s">
        <v>2325</v>
      </c>
      <c r="P727" s="236">
        <v>45928</v>
      </c>
      <c r="Q727" s="244">
        <v>0.48702546296296295</v>
      </c>
    </row>
    <row r="728" spans="1:17" ht="38.25">
      <c r="A728" s="239" t="s">
        <v>2292</v>
      </c>
      <c r="B728" s="240">
        <v>1900</v>
      </c>
      <c r="C728" s="241">
        <v>242</v>
      </c>
      <c r="D728" s="239" t="s">
        <v>591</v>
      </c>
      <c r="E728" s="239" t="s">
        <v>400</v>
      </c>
      <c r="F728" s="239" t="s">
        <v>401</v>
      </c>
      <c r="G728" s="239" t="s">
        <v>969</v>
      </c>
      <c r="H728" s="239" t="s">
        <v>41</v>
      </c>
      <c r="I728" s="239" t="s">
        <v>2712</v>
      </c>
      <c r="J728" s="234">
        <v>37630</v>
      </c>
      <c r="K728" s="234">
        <v>14780</v>
      </c>
      <c r="L728" s="242">
        <v>22</v>
      </c>
      <c r="M728" s="308">
        <v>22850</v>
      </c>
      <c r="N728" s="234">
        <v>17823</v>
      </c>
      <c r="O728" s="234" t="s">
        <v>2326</v>
      </c>
      <c r="P728" s="236">
        <v>45928</v>
      </c>
      <c r="Q728" s="244">
        <v>0.53907407407407404</v>
      </c>
    </row>
    <row r="729" spans="1:17" ht="38.25">
      <c r="A729" s="239" t="s">
        <v>2293</v>
      </c>
      <c r="B729" s="240">
        <v>1901</v>
      </c>
      <c r="C729" s="241">
        <v>243</v>
      </c>
      <c r="D729" s="239" t="s">
        <v>591</v>
      </c>
      <c r="E729" s="239" t="s">
        <v>380</v>
      </c>
      <c r="F729" s="239" t="s">
        <v>381</v>
      </c>
      <c r="G729" s="239" t="s">
        <v>969</v>
      </c>
      <c r="H729" s="239" t="s">
        <v>41</v>
      </c>
      <c r="I729" s="239" t="s">
        <v>2712</v>
      </c>
      <c r="J729" s="234">
        <v>39250</v>
      </c>
      <c r="K729" s="234">
        <v>15170</v>
      </c>
      <c r="L729" s="242">
        <v>29</v>
      </c>
      <c r="M729" s="308">
        <v>24080</v>
      </c>
      <c r="N729" s="234">
        <v>17096.8</v>
      </c>
      <c r="O729" s="234" t="s">
        <v>2327</v>
      </c>
      <c r="P729" s="236">
        <v>45928</v>
      </c>
      <c r="Q729" s="244">
        <v>0.59459490740740739</v>
      </c>
    </row>
    <row r="730" spans="1:17" ht="38.25">
      <c r="A730" s="239" t="s">
        <v>2294</v>
      </c>
      <c r="B730" s="240">
        <v>1902</v>
      </c>
      <c r="C730" s="241">
        <v>244</v>
      </c>
      <c r="D730" s="239" t="s">
        <v>591</v>
      </c>
      <c r="E730" s="239" t="s">
        <v>384</v>
      </c>
      <c r="F730" s="239" t="s">
        <v>385</v>
      </c>
      <c r="G730" s="239" t="s">
        <v>969</v>
      </c>
      <c r="H730" s="239" t="s">
        <v>41</v>
      </c>
      <c r="I730" s="239" t="s">
        <v>2712</v>
      </c>
      <c r="J730" s="234">
        <v>35190</v>
      </c>
      <c r="K730" s="234">
        <v>13980</v>
      </c>
      <c r="L730" s="242">
        <v>29</v>
      </c>
      <c r="M730" s="308">
        <v>21210</v>
      </c>
      <c r="N730" s="234">
        <v>15059.1</v>
      </c>
      <c r="O730" s="234" t="s">
        <v>2328</v>
      </c>
      <c r="P730" s="236">
        <v>45928</v>
      </c>
      <c r="Q730" s="244">
        <v>0.62561342592592595</v>
      </c>
    </row>
    <row r="731" spans="1:17" ht="38.25">
      <c r="A731" s="239" t="s">
        <v>2295</v>
      </c>
      <c r="B731" s="240">
        <v>1903</v>
      </c>
      <c r="C731" s="241">
        <v>245</v>
      </c>
      <c r="D731" s="239" t="s">
        <v>591</v>
      </c>
      <c r="E731" s="239" t="s">
        <v>369</v>
      </c>
      <c r="F731" s="239" t="s">
        <v>370</v>
      </c>
      <c r="G731" s="239" t="s">
        <v>969</v>
      </c>
      <c r="H731" s="239" t="s">
        <v>41</v>
      </c>
      <c r="I731" s="239" t="s">
        <v>2712</v>
      </c>
      <c r="J731" s="234">
        <v>36680</v>
      </c>
      <c r="K731" s="234">
        <v>15100</v>
      </c>
      <c r="L731" s="242">
        <v>16</v>
      </c>
      <c r="M731" s="308">
        <v>21580</v>
      </c>
      <c r="N731" s="234">
        <v>18127.2</v>
      </c>
      <c r="O731" s="234" t="s">
        <v>2329</v>
      </c>
      <c r="P731" s="236">
        <v>45928</v>
      </c>
      <c r="Q731" s="244">
        <v>0.6597453703703704</v>
      </c>
    </row>
    <row r="732" spans="1:17" ht="38.25">
      <c r="A732" s="239" t="s">
        <v>2296</v>
      </c>
      <c r="B732" s="240">
        <v>1904</v>
      </c>
      <c r="C732" s="241">
        <v>246</v>
      </c>
      <c r="D732" s="239" t="s">
        <v>591</v>
      </c>
      <c r="E732" s="239" t="s">
        <v>400</v>
      </c>
      <c r="F732" s="239" t="s">
        <v>401</v>
      </c>
      <c r="G732" s="239" t="s">
        <v>969</v>
      </c>
      <c r="H732" s="239" t="s">
        <v>41</v>
      </c>
      <c r="I732" s="239" t="s">
        <v>2712</v>
      </c>
      <c r="J732" s="234">
        <v>36630</v>
      </c>
      <c r="K732" s="234">
        <v>14770</v>
      </c>
      <c r="L732" s="242">
        <v>31</v>
      </c>
      <c r="M732" s="308">
        <v>21860</v>
      </c>
      <c r="N732" s="234">
        <v>15083.4</v>
      </c>
      <c r="O732" s="234" t="s">
        <v>2330</v>
      </c>
      <c r="P732" s="236">
        <v>45928</v>
      </c>
      <c r="Q732" s="244">
        <v>0.69483796296296296</v>
      </c>
    </row>
    <row r="733" spans="1:17" ht="38.25">
      <c r="A733" s="239" t="s">
        <v>2297</v>
      </c>
      <c r="B733" s="240">
        <v>1907</v>
      </c>
      <c r="C733" s="241">
        <v>247</v>
      </c>
      <c r="D733" s="239" t="s">
        <v>591</v>
      </c>
      <c r="E733" s="239" t="s">
        <v>380</v>
      </c>
      <c r="F733" s="239" t="s">
        <v>381</v>
      </c>
      <c r="G733" s="239" t="s">
        <v>969</v>
      </c>
      <c r="H733" s="239" t="s">
        <v>41</v>
      </c>
      <c r="I733" s="239" t="s">
        <v>2712</v>
      </c>
      <c r="J733" s="234">
        <v>36860</v>
      </c>
      <c r="K733" s="234">
        <v>15150</v>
      </c>
      <c r="L733" s="242">
        <v>33</v>
      </c>
      <c r="M733" s="308">
        <v>21710</v>
      </c>
      <c r="N733" s="234">
        <v>14545.7</v>
      </c>
      <c r="O733" s="234" t="s">
        <v>2331</v>
      </c>
      <c r="P733" s="236">
        <v>45928</v>
      </c>
      <c r="Q733" s="244">
        <v>0.72681712962962963</v>
      </c>
    </row>
    <row r="734" spans="1:17" ht="38.25">
      <c r="A734" s="239" t="s">
        <v>2298</v>
      </c>
      <c r="B734" s="240">
        <v>1908</v>
      </c>
      <c r="C734" s="241">
        <v>248</v>
      </c>
      <c r="D734" s="239" t="s">
        <v>591</v>
      </c>
      <c r="E734" s="239" t="s">
        <v>384</v>
      </c>
      <c r="F734" s="239" t="s">
        <v>385</v>
      </c>
      <c r="G734" s="239" t="s">
        <v>969</v>
      </c>
      <c r="H734" s="239" t="s">
        <v>41</v>
      </c>
      <c r="I734" s="239" t="s">
        <v>2712</v>
      </c>
      <c r="J734" s="234">
        <v>35450</v>
      </c>
      <c r="K734" s="234">
        <v>13970</v>
      </c>
      <c r="L734" s="242">
        <v>32</v>
      </c>
      <c r="M734" s="308">
        <v>21480</v>
      </c>
      <c r="N734" s="234">
        <v>14606.4</v>
      </c>
      <c r="O734" s="234" t="s">
        <v>2332</v>
      </c>
      <c r="P734" s="236">
        <v>45928</v>
      </c>
      <c r="Q734" s="244">
        <v>0.78129629629629627</v>
      </c>
    </row>
    <row r="735" spans="1:17" ht="38.25">
      <c r="A735" s="239" t="s">
        <v>2299</v>
      </c>
      <c r="B735" s="240">
        <v>1911</v>
      </c>
      <c r="C735" s="241">
        <v>249</v>
      </c>
      <c r="D735" s="239" t="s">
        <v>591</v>
      </c>
      <c r="E735" s="239" t="s">
        <v>369</v>
      </c>
      <c r="F735" s="239" t="s">
        <v>370</v>
      </c>
      <c r="G735" s="239" t="s">
        <v>969</v>
      </c>
      <c r="H735" s="239" t="s">
        <v>41</v>
      </c>
      <c r="I735" s="239" t="s">
        <v>2712</v>
      </c>
      <c r="J735" s="234">
        <v>35330</v>
      </c>
      <c r="K735" s="234">
        <v>15100</v>
      </c>
      <c r="L735" s="242">
        <v>25</v>
      </c>
      <c r="M735" s="308">
        <v>20230</v>
      </c>
      <c r="N735" s="234">
        <v>15172.5</v>
      </c>
      <c r="O735" s="234" t="s">
        <v>2333</v>
      </c>
      <c r="P735" s="236">
        <v>45928</v>
      </c>
      <c r="Q735" s="244">
        <v>0.82106481481481486</v>
      </c>
    </row>
    <row r="736" spans="1:17" ht="38.25">
      <c r="A736" s="239" t="s">
        <v>2300</v>
      </c>
      <c r="B736" s="240">
        <v>1913</v>
      </c>
      <c r="C736" s="241">
        <v>250</v>
      </c>
      <c r="D736" s="239" t="s">
        <v>591</v>
      </c>
      <c r="E736" s="239" t="s">
        <v>400</v>
      </c>
      <c r="F736" s="239" t="s">
        <v>401</v>
      </c>
      <c r="G736" s="239" t="s">
        <v>969</v>
      </c>
      <c r="H736" s="239" t="s">
        <v>41</v>
      </c>
      <c r="I736" s="239" t="s">
        <v>2712</v>
      </c>
      <c r="J736" s="234">
        <v>35520</v>
      </c>
      <c r="K736" s="234">
        <v>14730</v>
      </c>
      <c r="L736" s="242">
        <v>31</v>
      </c>
      <c r="M736" s="308">
        <v>20790</v>
      </c>
      <c r="N736" s="234">
        <v>14345.1</v>
      </c>
      <c r="O736" s="234" t="s">
        <v>2334</v>
      </c>
      <c r="P736" s="236">
        <v>45928</v>
      </c>
      <c r="Q736" s="244">
        <v>0.86689814814814814</v>
      </c>
    </row>
    <row r="737" spans="1:17" ht="38.25">
      <c r="A737" s="239" t="s">
        <v>2301</v>
      </c>
      <c r="B737" s="240">
        <v>1914</v>
      </c>
      <c r="C737" s="241">
        <v>251</v>
      </c>
      <c r="D737" s="239" t="s">
        <v>591</v>
      </c>
      <c r="E737" s="239" t="s">
        <v>380</v>
      </c>
      <c r="F737" s="239" t="s">
        <v>381</v>
      </c>
      <c r="G737" s="239" t="s">
        <v>969</v>
      </c>
      <c r="H737" s="239" t="s">
        <v>41</v>
      </c>
      <c r="I737" s="239" t="s">
        <v>2712</v>
      </c>
      <c r="J737" s="234">
        <v>37650</v>
      </c>
      <c r="K737" s="234">
        <v>15140</v>
      </c>
      <c r="L737" s="242">
        <v>32</v>
      </c>
      <c r="M737" s="308">
        <v>22510</v>
      </c>
      <c r="N737" s="234">
        <v>15306.8</v>
      </c>
      <c r="O737" s="234" t="s">
        <v>2335</v>
      </c>
      <c r="P737" s="236">
        <v>45928</v>
      </c>
      <c r="Q737" s="244">
        <v>0.91525462962962967</v>
      </c>
    </row>
    <row r="738" spans="1:17" ht="38.25">
      <c r="A738" s="239" t="s">
        <v>2302</v>
      </c>
      <c r="B738" s="240">
        <v>1915</v>
      </c>
      <c r="C738" s="241">
        <v>252</v>
      </c>
      <c r="D738" s="239" t="s">
        <v>591</v>
      </c>
      <c r="E738" s="239" t="s">
        <v>384</v>
      </c>
      <c r="F738" s="239" t="s">
        <v>385</v>
      </c>
      <c r="G738" s="239" t="s">
        <v>969</v>
      </c>
      <c r="H738" s="239" t="s">
        <v>41</v>
      </c>
      <c r="I738" s="239" t="s">
        <v>2712</v>
      </c>
      <c r="J738" s="234">
        <v>27540</v>
      </c>
      <c r="K738" s="234">
        <v>14050</v>
      </c>
      <c r="L738" s="242">
        <v>28</v>
      </c>
      <c r="M738" s="308">
        <v>13490</v>
      </c>
      <c r="N738" s="234">
        <v>9712.7999999999993</v>
      </c>
      <c r="O738" s="234" t="s">
        <v>2336</v>
      </c>
      <c r="P738" s="236">
        <v>45928</v>
      </c>
      <c r="Q738" s="244">
        <v>0.95395833333333335</v>
      </c>
    </row>
    <row r="739" spans="1:17" ht="51">
      <c r="A739" s="239" t="s">
        <v>2303</v>
      </c>
      <c r="B739" s="240">
        <v>1917</v>
      </c>
      <c r="C739" s="241">
        <v>253</v>
      </c>
      <c r="D739" s="239" t="s">
        <v>591</v>
      </c>
      <c r="E739" s="239" t="s">
        <v>369</v>
      </c>
      <c r="F739" s="239" t="s">
        <v>370</v>
      </c>
      <c r="G739" s="239" t="s">
        <v>968</v>
      </c>
      <c r="H739" s="239" t="s">
        <v>394</v>
      </c>
      <c r="I739" s="239" t="s">
        <v>371</v>
      </c>
      <c r="J739" s="234">
        <v>34200</v>
      </c>
      <c r="K739" s="234">
        <v>15090</v>
      </c>
      <c r="L739" s="242">
        <v>16</v>
      </c>
      <c r="M739" s="308">
        <v>19110</v>
      </c>
      <c r="N739" s="234">
        <v>16052.4</v>
      </c>
      <c r="O739" s="234" t="s">
        <v>2337</v>
      </c>
      <c r="P739" s="236">
        <v>45929</v>
      </c>
      <c r="Q739" s="244">
        <v>0.4127777777777778</v>
      </c>
    </row>
    <row r="740" spans="1:17" ht="38.25">
      <c r="A740" s="239" t="s">
        <v>2304</v>
      </c>
      <c r="B740" s="240">
        <v>1921</v>
      </c>
      <c r="C740" s="241">
        <v>54990</v>
      </c>
      <c r="D740" s="239" t="s">
        <v>2152</v>
      </c>
      <c r="E740" s="239" t="s">
        <v>866</v>
      </c>
      <c r="F740" s="239" t="s">
        <v>867</v>
      </c>
      <c r="G740" s="239" t="s">
        <v>946</v>
      </c>
      <c r="H740" s="239" t="s">
        <v>51</v>
      </c>
      <c r="I740" s="239" t="s">
        <v>2153</v>
      </c>
      <c r="J740" s="234">
        <v>38510</v>
      </c>
      <c r="K740" s="234">
        <v>14580</v>
      </c>
      <c r="L740" s="242">
        <v>5</v>
      </c>
      <c r="M740" s="308">
        <v>23930</v>
      </c>
      <c r="N740" s="234">
        <v>22733.5</v>
      </c>
      <c r="O740" s="234" t="s">
        <v>2338</v>
      </c>
      <c r="P740" s="236">
        <v>45929</v>
      </c>
      <c r="Q740" s="244">
        <v>0.53388888888888886</v>
      </c>
    </row>
    <row r="741" spans="1:17" ht="38.25">
      <c r="A741" s="239" t="s">
        <v>2305</v>
      </c>
      <c r="B741" s="240">
        <v>1922</v>
      </c>
      <c r="C741" s="241">
        <v>54991</v>
      </c>
      <c r="D741" s="239" t="s">
        <v>2152</v>
      </c>
      <c r="E741" s="239" t="s">
        <v>372</v>
      </c>
      <c r="F741" s="239" t="s">
        <v>373</v>
      </c>
      <c r="G741" s="239" t="s">
        <v>946</v>
      </c>
      <c r="H741" s="239" t="s">
        <v>51</v>
      </c>
      <c r="I741" s="239" t="s">
        <v>2153</v>
      </c>
      <c r="J741" s="234">
        <v>38390</v>
      </c>
      <c r="K741" s="234">
        <v>14970</v>
      </c>
      <c r="L741" s="242">
        <v>6</v>
      </c>
      <c r="M741" s="308">
        <v>23420</v>
      </c>
      <c r="N741" s="234">
        <v>22014.799999999999</v>
      </c>
      <c r="O741" s="234" t="s">
        <v>2339</v>
      </c>
      <c r="P741" s="236">
        <v>45929</v>
      </c>
      <c r="Q741" s="244">
        <v>0.54342592592592598</v>
      </c>
    </row>
    <row r="742" spans="1:17" ht="38.25">
      <c r="A742" s="239" t="s">
        <v>2306</v>
      </c>
      <c r="B742" s="240">
        <v>1923</v>
      </c>
      <c r="C742" s="241">
        <v>54992</v>
      </c>
      <c r="D742" s="239" t="s">
        <v>2152</v>
      </c>
      <c r="E742" s="239" t="s">
        <v>374</v>
      </c>
      <c r="F742" s="239" t="s">
        <v>375</v>
      </c>
      <c r="G742" s="239" t="s">
        <v>946</v>
      </c>
      <c r="H742" s="239" t="s">
        <v>51</v>
      </c>
      <c r="I742" s="239" t="s">
        <v>2153</v>
      </c>
      <c r="J742" s="234">
        <v>40940</v>
      </c>
      <c r="K742" s="234">
        <v>15730</v>
      </c>
      <c r="L742" s="242">
        <v>6</v>
      </c>
      <c r="M742" s="308">
        <v>25210</v>
      </c>
      <c r="N742" s="234">
        <v>23697.4</v>
      </c>
      <c r="O742" s="234" t="s">
        <v>2340</v>
      </c>
      <c r="P742" s="236">
        <v>45929</v>
      </c>
      <c r="Q742" s="244">
        <v>0.60030092592592588</v>
      </c>
    </row>
    <row r="743" spans="1:17" ht="38.25">
      <c r="A743" s="239" t="s">
        <v>2307</v>
      </c>
      <c r="B743" s="240">
        <v>1924</v>
      </c>
      <c r="C743" s="241">
        <v>54992</v>
      </c>
      <c r="D743" s="239" t="s">
        <v>2152</v>
      </c>
      <c r="E743" s="239" t="s">
        <v>382</v>
      </c>
      <c r="F743" s="239" t="s">
        <v>383</v>
      </c>
      <c r="G743" s="239" t="s">
        <v>946</v>
      </c>
      <c r="H743" s="239" t="s">
        <v>51</v>
      </c>
      <c r="I743" s="239" t="s">
        <v>2153</v>
      </c>
      <c r="J743" s="234">
        <v>39870</v>
      </c>
      <c r="K743" s="234">
        <v>14700</v>
      </c>
      <c r="L743" s="242">
        <v>6</v>
      </c>
      <c r="M743" s="308">
        <v>25170</v>
      </c>
      <c r="N743" s="234">
        <v>23659.8</v>
      </c>
      <c r="O743" s="234" t="s">
        <v>2341</v>
      </c>
      <c r="P743" s="236">
        <v>45929</v>
      </c>
      <c r="Q743" s="244">
        <v>0.67769675925925921</v>
      </c>
    </row>
    <row r="744" spans="1:17" ht="38.25">
      <c r="A744" s="239" t="s">
        <v>2308</v>
      </c>
      <c r="B744" s="240">
        <v>1927</v>
      </c>
      <c r="C744" s="241">
        <v>54993</v>
      </c>
      <c r="D744" s="239" t="s">
        <v>2152</v>
      </c>
      <c r="E744" s="239" t="s">
        <v>403</v>
      </c>
      <c r="F744" s="239" t="s">
        <v>404</v>
      </c>
      <c r="G744" s="239" t="s">
        <v>946</v>
      </c>
      <c r="H744" s="239" t="s">
        <v>51</v>
      </c>
      <c r="I744" s="239" t="s">
        <v>2153</v>
      </c>
      <c r="J744" s="234">
        <v>41110</v>
      </c>
      <c r="K744" s="234">
        <v>14700</v>
      </c>
      <c r="L744" s="242">
        <v>5</v>
      </c>
      <c r="M744" s="308">
        <v>26410</v>
      </c>
      <c r="N744" s="234">
        <v>25089.5</v>
      </c>
      <c r="O744" s="234" t="s">
        <v>2342</v>
      </c>
      <c r="P744" s="236">
        <v>45929</v>
      </c>
      <c r="Q744" s="244">
        <v>0.77768518518518515</v>
      </c>
    </row>
    <row r="745" spans="1:17" ht="38.25">
      <c r="A745" s="239" t="s">
        <v>2309</v>
      </c>
      <c r="B745" s="240">
        <v>1928</v>
      </c>
      <c r="C745" s="241">
        <v>54993</v>
      </c>
      <c r="D745" s="239" t="s">
        <v>2152</v>
      </c>
      <c r="E745" s="239" t="s">
        <v>406</v>
      </c>
      <c r="F745" s="239" t="s">
        <v>407</v>
      </c>
      <c r="G745" s="239" t="s">
        <v>946</v>
      </c>
      <c r="H745" s="239" t="s">
        <v>51</v>
      </c>
      <c r="I745" s="239" t="s">
        <v>2153</v>
      </c>
      <c r="J745" s="234">
        <v>40780</v>
      </c>
      <c r="K745" s="234">
        <v>15030</v>
      </c>
      <c r="L745" s="242">
        <v>5</v>
      </c>
      <c r="M745" s="308">
        <v>25750</v>
      </c>
      <c r="N745" s="234">
        <v>24462.5</v>
      </c>
      <c r="O745" s="234" t="s">
        <v>2343</v>
      </c>
      <c r="P745" s="236">
        <v>45929</v>
      </c>
      <c r="Q745" s="244">
        <v>0.78518518518518521</v>
      </c>
    </row>
    <row r="746" spans="1:17" ht="38.25">
      <c r="A746" s="239" t="s">
        <v>2310</v>
      </c>
      <c r="B746" s="240">
        <v>1929</v>
      </c>
      <c r="C746" s="241">
        <v>54995</v>
      </c>
      <c r="D746" s="239" t="s">
        <v>2152</v>
      </c>
      <c r="E746" s="239" t="s">
        <v>392</v>
      </c>
      <c r="F746" s="239" t="s">
        <v>393</v>
      </c>
      <c r="G746" s="239" t="s">
        <v>946</v>
      </c>
      <c r="H746" s="239" t="s">
        <v>51</v>
      </c>
      <c r="I746" s="239" t="s">
        <v>2153</v>
      </c>
      <c r="J746" s="234">
        <v>66060</v>
      </c>
      <c r="K746" s="234">
        <v>24280</v>
      </c>
      <c r="L746" s="242">
        <v>7</v>
      </c>
      <c r="M746" s="308">
        <v>41780</v>
      </c>
      <c r="N746" s="234">
        <v>38855.4</v>
      </c>
      <c r="O746" s="234" t="s">
        <v>2344</v>
      </c>
      <c r="P746" s="236">
        <v>45929</v>
      </c>
      <c r="Q746" s="244">
        <v>0.97729166666666667</v>
      </c>
    </row>
    <row r="747" spans="1:17" ht="38.25">
      <c r="A747" s="239" t="s">
        <v>2311</v>
      </c>
      <c r="B747" s="240">
        <v>1930</v>
      </c>
      <c r="C747" s="241">
        <v>54995</v>
      </c>
      <c r="D747" s="239" t="s">
        <v>2152</v>
      </c>
      <c r="E747" s="239" t="s">
        <v>390</v>
      </c>
      <c r="F747" s="239" t="s">
        <v>391</v>
      </c>
      <c r="G747" s="239" t="s">
        <v>946</v>
      </c>
      <c r="H747" s="239" t="s">
        <v>51</v>
      </c>
      <c r="I747" s="239" t="s">
        <v>2153</v>
      </c>
      <c r="J747" s="234">
        <v>41340</v>
      </c>
      <c r="K747" s="234">
        <v>15180</v>
      </c>
      <c r="L747" s="242">
        <v>8</v>
      </c>
      <c r="M747" s="308">
        <v>26160</v>
      </c>
      <c r="N747" s="234">
        <v>24067.200000000001</v>
      </c>
      <c r="O747" s="234" t="s">
        <v>2345</v>
      </c>
      <c r="P747" s="236">
        <v>45929</v>
      </c>
      <c r="Q747" s="244">
        <v>0.97945601851851849</v>
      </c>
    </row>
    <row r="748" spans="1:17" ht="38.25">
      <c r="A748" s="239" t="s">
        <v>2312</v>
      </c>
      <c r="B748" s="240">
        <v>1932</v>
      </c>
      <c r="C748" s="241">
        <v>54996</v>
      </c>
      <c r="D748" s="239" t="s">
        <v>2152</v>
      </c>
      <c r="E748" s="239" t="s">
        <v>388</v>
      </c>
      <c r="F748" s="239" t="s">
        <v>389</v>
      </c>
      <c r="G748" s="239" t="s">
        <v>946</v>
      </c>
      <c r="H748" s="239" t="s">
        <v>51</v>
      </c>
      <c r="I748" s="239" t="s">
        <v>2153</v>
      </c>
      <c r="J748" s="234">
        <v>55580</v>
      </c>
      <c r="K748" s="234">
        <v>21120</v>
      </c>
      <c r="L748" s="242">
        <v>7</v>
      </c>
      <c r="M748" s="308">
        <v>34460</v>
      </c>
      <c r="N748" s="234">
        <v>32047.8</v>
      </c>
      <c r="O748" s="234" t="s">
        <v>2346</v>
      </c>
      <c r="P748" s="236">
        <v>45929</v>
      </c>
      <c r="Q748" s="244">
        <v>0.79594907407407411</v>
      </c>
    </row>
    <row r="749" spans="1:17" ht="38.25">
      <c r="A749" s="239" t="s">
        <v>2313</v>
      </c>
      <c r="B749" s="240">
        <v>1933</v>
      </c>
      <c r="C749" s="241"/>
      <c r="D749" s="239" t="s">
        <v>2152</v>
      </c>
      <c r="E749" s="239" t="s">
        <v>400</v>
      </c>
      <c r="F749" s="239" t="s">
        <v>401</v>
      </c>
      <c r="G749" s="239" t="s">
        <v>946</v>
      </c>
      <c r="H749" s="239" t="s">
        <v>51</v>
      </c>
      <c r="I749" s="239" t="s">
        <v>2153</v>
      </c>
      <c r="J749" s="234">
        <v>39360</v>
      </c>
      <c r="K749" s="234">
        <v>14970</v>
      </c>
      <c r="L749" s="242">
        <v>7</v>
      </c>
      <c r="M749" s="308">
        <v>24390</v>
      </c>
      <c r="N749" s="234">
        <v>22682.7</v>
      </c>
      <c r="O749" s="234" t="s">
        <v>2347</v>
      </c>
      <c r="P749" s="236">
        <v>45929</v>
      </c>
      <c r="Q749" s="244">
        <v>0.85185185185185186</v>
      </c>
    </row>
    <row r="750" spans="1:17" ht="38.25">
      <c r="A750" s="239" t="s">
        <v>2314</v>
      </c>
      <c r="B750" s="240">
        <v>1934</v>
      </c>
      <c r="C750" s="241"/>
      <c r="D750" s="239" t="s">
        <v>2152</v>
      </c>
      <c r="E750" s="239" t="s">
        <v>858</v>
      </c>
      <c r="F750" s="239" t="s">
        <v>859</v>
      </c>
      <c r="G750" s="239" t="s">
        <v>946</v>
      </c>
      <c r="H750" s="239" t="s">
        <v>51</v>
      </c>
      <c r="I750" s="239" t="s">
        <v>2153</v>
      </c>
      <c r="J750" s="234">
        <v>41090</v>
      </c>
      <c r="K750" s="234">
        <v>15090</v>
      </c>
      <c r="L750" s="242">
        <v>7</v>
      </c>
      <c r="M750" s="308">
        <v>26000</v>
      </c>
      <c r="N750" s="234">
        <v>24180</v>
      </c>
      <c r="O750" s="234" t="s">
        <v>2348</v>
      </c>
      <c r="P750" s="236">
        <v>45929</v>
      </c>
      <c r="Q750" s="244">
        <v>0.88322916666666662</v>
      </c>
    </row>
    <row r="751" spans="1:17" ht="38.25">
      <c r="A751" s="239" t="s">
        <v>2315</v>
      </c>
      <c r="B751" s="240">
        <v>1935</v>
      </c>
      <c r="C751" s="241"/>
      <c r="D751" s="239" t="s">
        <v>2152</v>
      </c>
      <c r="E751" s="239" t="s">
        <v>410</v>
      </c>
      <c r="F751" s="239" t="s">
        <v>411</v>
      </c>
      <c r="G751" s="239" t="s">
        <v>946</v>
      </c>
      <c r="H751" s="239" t="s">
        <v>51</v>
      </c>
      <c r="I751" s="239" t="s">
        <v>2153</v>
      </c>
      <c r="J751" s="234">
        <v>40960</v>
      </c>
      <c r="K751" s="234">
        <v>15210</v>
      </c>
      <c r="L751" s="242">
        <v>7</v>
      </c>
      <c r="M751" s="308">
        <v>25750</v>
      </c>
      <c r="N751" s="234">
        <v>23947.5</v>
      </c>
      <c r="O751" s="234" t="s">
        <v>2349</v>
      </c>
      <c r="P751" s="236">
        <v>45929</v>
      </c>
      <c r="Q751" s="244">
        <v>0.88687499999999997</v>
      </c>
    </row>
    <row r="752" spans="1:17" ht="51">
      <c r="A752" s="239" t="s">
        <v>2352</v>
      </c>
      <c r="B752" s="240">
        <v>1955</v>
      </c>
      <c r="C752" s="241">
        <v>254</v>
      </c>
      <c r="D752" s="239" t="s">
        <v>591</v>
      </c>
      <c r="E752" s="239" t="s">
        <v>2053</v>
      </c>
      <c r="F752" s="239" t="s">
        <v>2054</v>
      </c>
      <c r="G752" s="239" t="s">
        <v>968</v>
      </c>
      <c r="H752" s="239" t="s">
        <v>394</v>
      </c>
      <c r="I752" s="239" t="s">
        <v>371</v>
      </c>
      <c r="J752" s="234">
        <v>28750</v>
      </c>
      <c r="K752" s="234">
        <v>14420</v>
      </c>
      <c r="L752" s="242">
        <v>31</v>
      </c>
      <c r="M752" s="308">
        <v>14330</v>
      </c>
      <c r="N752" s="234">
        <v>9887.7000000000007</v>
      </c>
      <c r="O752" s="234" t="s">
        <v>2354</v>
      </c>
      <c r="P752" s="236">
        <v>45931</v>
      </c>
      <c r="Q752" s="244">
        <v>0.46862268518518518</v>
      </c>
    </row>
    <row r="753" spans="1:17" ht="51">
      <c r="A753" s="239" t="s">
        <v>2353</v>
      </c>
      <c r="B753" s="240">
        <v>1956</v>
      </c>
      <c r="C753" s="241">
        <v>255</v>
      </c>
      <c r="D753" s="239" t="s">
        <v>591</v>
      </c>
      <c r="E753" s="239" t="s">
        <v>1978</v>
      </c>
      <c r="F753" s="239" t="s">
        <v>1979</v>
      </c>
      <c r="G753" s="239" t="s">
        <v>968</v>
      </c>
      <c r="H753" s="239" t="s">
        <v>394</v>
      </c>
      <c r="I753" s="239" t="s">
        <v>371</v>
      </c>
      <c r="J753" s="234">
        <v>29430</v>
      </c>
      <c r="K753" s="234">
        <v>14250</v>
      </c>
      <c r="L753" s="242">
        <v>48</v>
      </c>
      <c r="M753" s="308">
        <v>15180</v>
      </c>
      <c r="N753" s="234">
        <v>7893.6</v>
      </c>
      <c r="O753" s="234" t="s">
        <v>2355</v>
      </c>
      <c r="P753" s="236">
        <v>45931</v>
      </c>
      <c r="Q753" s="244">
        <v>0.49520833333333331</v>
      </c>
    </row>
    <row r="754" spans="1:17" ht="38.25">
      <c r="A754" s="239" t="s">
        <v>2356</v>
      </c>
      <c r="B754" s="240">
        <v>1957</v>
      </c>
      <c r="C754" s="241" t="s">
        <v>2357</v>
      </c>
      <c r="D754" s="239" t="s">
        <v>2152</v>
      </c>
      <c r="E754" s="239" t="s">
        <v>380</v>
      </c>
      <c r="F754" s="239" t="s">
        <v>381</v>
      </c>
      <c r="G754" s="239" t="s">
        <v>946</v>
      </c>
      <c r="H754" s="239" t="s">
        <v>51</v>
      </c>
      <c r="I754" s="239" t="s">
        <v>2153</v>
      </c>
      <c r="J754" s="234">
        <v>39690</v>
      </c>
      <c r="K754" s="234">
        <v>15100</v>
      </c>
      <c r="L754" s="242">
        <v>20</v>
      </c>
      <c r="M754" s="308">
        <v>24590</v>
      </c>
      <c r="N754" s="234">
        <v>19672</v>
      </c>
      <c r="O754" s="234" t="s">
        <v>2364</v>
      </c>
      <c r="P754" s="236">
        <v>45931</v>
      </c>
      <c r="Q754" s="244">
        <v>0.62140046296296292</v>
      </c>
    </row>
    <row r="755" spans="1:17" ht="38.25">
      <c r="A755" s="239" t="s">
        <v>2358</v>
      </c>
      <c r="B755" s="240">
        <v>1958</v>
      </c>
      <c r="C755" s="241" t="s">
        <v>2357</v>
      </c>
      <c r="D755" s="239" t="s">
        <v>2152</v>
      </c>
      <c r="E755" s="239" t="s">
        <v>866</v>
      </c>
      <c r="F755" s="239" t="s">
        <v>867</v>
      </c>
      <c r="G755" s="239" t="s">
        <v>946</v>
      </c>
      <c r="H755" s="239" t="s">
        <v>51</v>
      </c>
      <c r="I755" s="239" t="s">
        <v>2153</v>
      </c>
      <c r="J755" s="234">
        <v>39460</v>
      </c>
      <c r="K755" s="234">
        <v>14590</v>
      </c>
      <c r="L755" s="242">
        <v>11</v>
      </c>
      <c r="M755" s="308">
        <v>24870</v>
      </c>
      <c r="N755" s="234">
        <v>22134.3</v>
      </c>
      <c r="O755" s="234" t="s">
        <v>2365</v>
      </c>
      <c r="P755" s="236">
        <v>45931</v>
      </c>
      <c r="Q755" s="244">
        <v>0.64253472222222219</v>
      </c>
    </row>
    <row r="756" spans="1:17" ht="38.25">
      <c r="A756" s="239" t="s">
        <v>2359</v>
      </c>
      <c r="B756" s="240">
        <v>1959</v>
      </c>
      <c r="C756" s="241" t="s">
        <v>2357</v>
      </c>
      <c r="D756" s="239" t="s">
        <v>2152</v>
      </c>
      <c r="E756" s="239" t="s">
        <v>858</v>
      </c>
      <c r="F756" s="239" t="s">
        <v>859</v>
      </c>
      <c r="G756" s="239" t="s">
        <v>946</v>
      </c>
      <c r="H756" s="239" t="s">
        <v>51</v>
      </c>
      <c r="I756" s="239" t="s">
        <v>2153</v>
      </c>
      <c r="J756" s="234">
        <v>41130</v>
      </c>
      <c r="K756" s="234">
        <v>14980</v>
      </c>
      <c r="L756" s="242">
        <v>11</v>
      </c>
      <c r="M756" s="308">
        <v>26150</v>
      </c>
      <c r="N756" s="234">
        <v>23273.5</v>
      </c>
      <c r="O756" s="234" t="s">
        <v>2366</v>
      </c>
      <c r="P756" s="236">
        <v>45931</v>
      </c>
      <c r="Q756" s="244">
        <v>0.68783564814814813</v>
      </c>
    </row>
    <row r="757" spans="1:17" ht="38.25">
      <c r="A757" s="239" t="s">
        <v>2360</v>
      </c>
      <c r="B757" s="240">
        <v>1961</v>
      </c>
      <c r="C757" s="241" t="s">
        <v>2357</v>
      </c>
      <c r="D757" s="239" t="s">
        <v>2152</v>
      </c>
      <c r="E757" s="239" t="s">
        <v>372</v>
      </c>
      <c r="F757" s="239" t="s">
        <v>373</v>
      </c>
      <c r="G757" s="239" t="s">
        <v>946</v>
      </c>
      <c r="H757" s="239" t="s">
        <v>51</v>
      </c>
      <c r="I757" s="239" t="s">
        <v>2153</v>
      </c>
      <c r="J757" s="234">
        <v>39410</v>
      </c>
      <c r="K757" s="234">
        <v>14860</v>
      </c>
      <c r="L757" s="242">
        <v>6</v>
      </c>
      <c r="M757" s="308">
        <v>24550</v>
      </c>
      <c r="N757" s="234">
        <v>23077</v>
      </c>
      <c r="O757" s="234" t="s">
        <v>2367</v>
      </c>
      <c r="P757" s="236">
        <v>45931</v>
      </c>
      <c r="Q757" s="244">
        <v>0.75085648148148143</v>
      </c>
    </row>
    <row r="758" spans="1:17" ht="38.25">
      <c r="A758" s="239" t="s">
        <v>2361</v>
      </c>
      <c r="B758" s="240">
        <v>1962</v>
      </c>
      <c r="C758" s="241" t="s">
        <v>2357</v>
      </c>
      <c r="D758" s="239" t="s">
        <v>2152</v>
      </c>
      <c r="E758" s="239" t="s">
        <v>384</v>
      </c>
      <c r="F758" s="239" t="s">
        <v>385</v>
      </c>
      <c r="G758" s="239" t="s">
        <v>946</v>
      </c>
      <c r="H758" s="239" t="s">
        <v>51</v>
      </c>
      <c r="I758" s="239" t="s">
        <v>2153</v>
      </c>
      <c r="J758" s="234">
        <v>36920</v>
      </c>
      <c r="K758" s="234">
        <v>13920</v>
      </c>
      <c r="L758" s="242">
        <v>12</v>
      </c>
      <c r="M758" s="308">
        <v>23000</v>
      </c>
      <c r="N758" s="234">
        <v>20240</v>
      </c>
      <c r="O758" s="234" t="s">
        <v>2368</v>
      </c>
      <c r="P758" s="236">
        <v>45931</v>
      </c>
      <c r="Q758" s="244">
        <v>0.81578703703703703</v>
      </c>
    </row>
    <row r="759" spans="1:17" ht="38.25">
      <c r="A759" s="239" t="s">
        <v>2362</v>
      </c>
      <c r="B759" s="240">
        <v>1963</v>
      </c>
      <c r="C759" s="241" t="s">
        <v>2357</v>
      </c>
      <c r="D759" s="239" t="s">
        <v>2152</v>
      </c>
      <c r="E759" s="239" t="s">
        <v>374</v>
      </c>
      <c r="F759" s="239" t="s">
        <v>375</v>
      </c>
      <c r="G759" s="239" t="s">
        <v>946</v>
      </c>
      <c r="H759" s="239" t="s">
        <v>51</v>
      </c>
      <c r="I759" s="239" t="s">
        <v>2153</v>
      </c>
      <c r="J759" s="234">
        <v>41340</v>
      </c>
      <c r="K759" s="234">
        <v>15650</v>
      </c>
      <c r="L759" s="242">
        <v>19</v>
      </c>
      <c r="M759" s="308">
        <v>25690</v>
      </c>
      <c r="N759" s="234">
        <v>20808.900000000001</v>
      </c>
      <c r="O759" s="234" t="s">
        <v>2369</v>
      </c>
      <c r="P759" s="236">
        <v>45931</v>
      </c>
      <c r="Q759" s="244">
        <v>0.81929398148148147</v>
      </c>
    </row>
    <row r="760" spans="1:17" ht="38.25">
      <c r="A760" s="239" t="s">
        <v>2363</v>
      </c>
      <c r="B760" s="240">
        <v>1964</v>
      </c>
      <c r="C760" s="241" t="s">
        <v>2357</v>
      </c>
      <c r="D760" s="239" t="s">
        <v>2152</v>
      </c>
      <c r="E760" s="239" t="s">
        <v>382</v>
      </c>
      <c r="F760" s="239" t="s">
        <v>383</v>
      </c>
      <c r="G760" s="239" t="s">
        <v>946</v>
      </c>
      <c r="H760" s="239" t="s">
        <v>51</v>
      </c>
      <c r="I760" s="239" t="s">
        <v>2153</v>
      </c>
      <c r="J760" s="234">
        <v>39930</v>
      </c>
      <c r="K760" s="234">
        <v>14660</v>
      </c>
      <c r="L760" s="242">
        <v>17</v>
      </c>
      <c r="M760" s="308">
        <v>25270</v>
      </c>
      <c r="N760" s="234">
        <v>20974.1</v>
      </c>
      <c r="O760" s="234" t="s">
        <v>2370</v>
      </c>
      <c r="P760" s="236">
        <v>45931</v>
      </c>
      <c r="Q760" s="244">
        <v>0.86479166666666663</v>
      </c>
    </row>
    <row r="761" spans="1:17" ht="38.25">
      <c r="A761" s="239" t="s">
        <v>2371</v>
      </c>
      <c r="B761" s="240">
        <v>1970</v>
      </c>
      <c r="C761" s="241" t="s">
        <v>2357</v>
      </c>
      <c r="D761" s="239" t="s">
        <v>2152</v>
      </c>
      <c r="E761" s="239" t="s">
        <v>392</v>
      </c>
      <c r="F761" s="239" t="s">
        <v>393</v>
      </c>
      <c r="G761" s="239" t="s">
        <v>943</v>
      </c>
      <c r="H761" s="239" t="s">
        <v>51</v>
      </c>
      <c r="I761" s="239" t="s">
        <v>2153</v>
      </c>
      <c r="J761" s="234">
        <v>66000</v>
      </c>
      <c r="K761" s="234">
        <v>24150</v>
      </c>
      <c r="L761" s="242">
        <v>15</v>
      </c>
      <c r="M761" s="308">
        <v>41850</v>
      </c>
      <c r="N761" s="234">
        <v>35572.5</v>
      </c>
      <c r="O761" s="234" t="s">
        <v>2385</v>
      </c>
      <c r="P761" s="236">
        <v>45931</v>
      </c>
      <c r="Q761" s="244">
        <v>0.89726851851851852</v>
      </c>
    </row>
    <row r="762" spans="1:17" ht="38.25">
      <c r="A762" s="239" t="s">
        <v>2372</v>
      </c>
      <c r="B762" s="240">
        <v>1966</v>
      </c>
      <c r="C762" s="241">
        <v>57726</v>
      </c>
      <c r="D762" s="239" t="s">
        <v>2152</v>
      </c>
      <c r="E762" s="239" t="s">
        <v>400</v>
      </c>
      <c r="F762" s="239" t="s">
        <v>401</v>
      </c>
      <c r="G762" s="239" t="s">
        <v>943</v>
      </c>
      <c r="H762" s="239" t="s">
        <v>51</v>
      </c>
      <c r="I762" s="239" t="s">
        <v>2153</v>
      </c>
      <c r="J762" s="234">
        <v>40340</v>
      </c>
      <c r="K762" s="234">
        <v>14820</v>
      </c>
      <c r="L762" s="242">
        <v>27</v>
      </c>
      <c r="M762" s="308">
        <v>25520</v>
      </c>
      <c r="N762" s="234">
        <v>18629.599999999999</v>
      </c>
      <c r="O762" s="234" t="s">
        <v>2386</v>
      </c>
      <c r="P762" s="236">
        <v>45931</v>
      </c>
      <c r="Q762" s="244">
        <v>0.91046296296296292</v>
      </c>
    </row>
    <row r="763" spans="1:17" ht="38.25">
      <c r="A763" s="239" t="s">
        <v>2373</v>
      </c>
      <c r="B763" s="240">
        <v>1972</v>
      </c>
      <c r="C763" s="241" t="s">
        <v>2357</v>
      </c>
      <c r="D763" s="239" t="s">
        <v>2152</v>
      </c>
      <c r="E763" s="239" t="s">
        <v>406</v>
      </c>
      <c r="F763" s="239" t="s">
        <v>407</v>
      </c>
      <c r="G763" s="239" t="s">
        <v>943</v>
      </c>
      <c r="H763" s="239" t="s">
        <v>51</v>
      </c>
      <c r="I763" s="239" t="s">
        <v>2153</v>
      </c>
      <c r="J763" s="234">
        <v>40140</v>
      </c>
      <c r="K763" s="234">
        <v>15210</v>
      </c>
      <c r="L763" s="242">
        <v>10</v>
      </c>
      <c r="M763" s="308">
        <v>24930</v>
      </c>
      <c r="N763" s="234">
        <v>22437</v>
      </c>
      <c r="O763" s="234" t="s">
        <v>2387</v>
      </c>
      <c r="P763" s="236">
        <v>45931</v>
      </c>
      <c r="Q763" s="244">
        <v>0.9410532407407407</v>
      </c>
    </row>
    <row r="764" spans="1:17" ht="38.25">
      <c r="A764" s="239" t="s">
        <v>2374</v>
      </c>
      <c r="B764" s="240">
        <v>1973</v>
      </c>
      <c r="C764" s="241" t="s">
        <v>2357</v>
      </c>
      <c r="D764" s="239" t="s">
        <v>2152</v>
      </c>
      <c r="E764" s="239" t="s">
        <v>403</v>
      </c>
      <c r="F764" s="239" t="s">
        <v>404</v>
      </c>
      <c r="G764" s="239" t="s">
        <v>943</v>
      </c>
      <c r="H764" s="239" t="s">
        <v>51</v>
      </c>
      <c r="I764" s="239" t="s">
        <v>2153</v>
      </c>
      <c r="J764" s="234">
        <v>40200</v>
      </c>
      <c r="K764" s="234">
        <v>14620</v>
      </c>
      <c r="L764" s="242">
        <v>10</v>
      </c>
      <c r="M764" s="308">
        <v>25580</v>
      </c>
      <c r="N764" s="234">
        <v>23022</v>
      </c>
      <c r="O764" s="234" t="s">
        <v>2388</v>
      </c>
      <c r="P764" s="236">
        <v>45931</v>
      </c>
      <c r="Q764" s="244">
        <v>0.9497106481481481</v>
      </c>
    </row>
    <row r="765" spans="1:17" ht="38.25">
      <c r="A765" s="239" t="s">
        <v>2375</v>
      </c>
      <c r="B765" s="240">
        <v>1969</v>
      </c>
      <c r="C765" s="241" t="s">
        <v>2376</v>
      </c>
      <c r="D765" s="239" t="s">
        <v>2152</v>
      </c>
      <c r="E765" s="239" t="s">
        <v>390</v>
      </c>
      <c r="F765" s="239" t="s">
        <v>391</v>
      </c>
      <c r="G765" s="239" t="s">
        <v>943</v>
      </c>
      <c r="H765" s="239" t="s">
        <v>51</v>
      </c>
      <c r="I765" s="239" t="s">
        <v>2153</v>
      </c>
      <c r="J765" s="234">
        <v>41690</v>
      </c>
      <c r="K765" s="234">
        <v>15080</v>
      </c>
      <c r="L765" s="242">
        <v>9</v>
      </c>
      <c r="M765" s="308">
        <v>26610</v>
      </c>
      <c r="N765" s="234">
        <v>24215.1</v>
      </c>
      <c r="O765" s="234" t="s">
        <v>2389</v>
      </c>
      <c r="P765" s="236">
        <v>45931</v>
      </c>
      <c r="Q765" s="244">
        <v>0.97467592592592589</v>
      </c>
    </row>
    <row r="766" spans="1:17" ht="38.25">
      <c r="A766" s="239" t="s">
        <v>2377</v>
      </c>
      <c r="B766" s="240">
        <v>1974</v>
      </c>
      <c r="C766" s="241" t="s">
        <v>2357</v>
      </c>
      <c r="D766" s="239" t="s">
        <v>2152</v>
      </c>
      <c r="E766" s="239" t="s">
        <v>780</v>
      </c>
      <c r="F766" s="239" t="s">
        <v>781</v>
      </c>
      <c r="G766" s="239" t="s">
        <v>943</v>
      </c>
      <c r="H766" s="239" t="s">
        <v>51</v>
      </c>
      <c r="I766" s="239" t="s">
        <v>2153</v>
      </c>
      <c r="J766" s="234">
        <v>37610</v>
      </c>
      <c r="K766" s="234">
        <v>14930</v>
      </c>
      <c r="L766" s="242">
        <v>10</v>
      </c>
      <c r="M766" s="308">
        <v>22680</v>
      </c>
      <c r="N766" s="234">
        <v>20412</v>
      </c>
      <c r="O766" s="234" t="s">
        <v>2390</v>
      </c>
      <c r="P766" s="236">
        <v>45931</v>
      </c>
      <c r="Q766" s="244">
        <v>0.99018518518518517</v>
      </c>
    </row>
    <row r="767" spans="1:17" ht="38.25">
      <c r="A767" s="239" t="s">
        <v>2378</v>
      </c>
      <c r="B767" s="240">
        <v>1975</v>
      </c>
      <c r="C767" s="241" t="s">
        <v>2357</v>
      </c>
      <c r="D767" s="239" t="s">
        <v>2152</v>
      </c>
      <c r="E767" s="239" t="s">
        <v>442</v>
      </c>
      <c r="F767" s="239" t="s">
        <v>443</v>
      </c>
      <c r="G767" s="239" t="s">
        <v>943</v>
      </c>
      <c r="H767" s="239" t="s">
        <v>51</v>
      </c>
      <c r="I767" s="239" t="s">
        <v>2153</v>
      </c>
      <c r="J767" s="234">
        <v>35620</v>
      </c>
      <c r="K767" s="234">
        <v>14550</v>
      </c>
      <c r="L767" s="242">
        <v>13</v>
      </c>
      <c r="M767" s="308">
        <v>21070</v>
      </c>
      <c r="N767" s="234">
        <v>18330.900000000001</v>
      </c>
      <c r="O767" s="234" t="s">
        <v>2391</v>
      </c>
      <c r="P767" s="236">
        <v>45931</v>
      </c>
      <c r="Q767" s="244">
        <v>0.9927893518518518</v>
      </c>
    </row>
    <row r="768" spans="1:17" ht="38.25">
      <c r="A768" s="239" t="s">
        <v>2379</v>
      </c>
      <c r="B768" s="240">
        <v>1976</v>
      </c>
      <c r="C768" s="241" t="s">
        <v>2357</v>
      </c>
      <c r="D768" s="239" t="s">
        <v>2152</v>
      </c>
      <c r="E768" s="239" t="s">
        <v>380</v>
      </c>
      <c r="F768" s="239" t="s">
        <v>381</v>
      </c>
      <c r="G768" s="239" t="s">
        <v>943</v>
      </c>
      <c r="H768" s="239" t="s">
        <v>51</v>
      </c>
      <c r="I768" s="239" t="s">
        <v>2153</v>
      </c>
      <c r="J768" s="234">
        <v>40780</v>
      </c>
      <c r="K768" s="234">
        <v>15160</v>
      </c>
      <c r="L768" s="242">
        <v>10</v>
      </c>
      <c r="M768" s="308">
        <v>25620</v>
      </c>
      <c r="N768" s="234">
        <v>23058</v>
      </c>
      <c r="O768" s="234" t="s">
        <v>2392</v>
      </c>
      <c r="P768" s="236">
        <v>45932</v>
      </c>
      <c r="Q768" s="244">
        <v>0.18399305555555556</v>
      </c>
    </row>
    <row r="769" spans="1:17" ht="38.25">
      <c r="A769" s="239" t="s">
        <v>2380</v>
      </c>
      <c r="B769" s="240">
        <v>1978</v>
      </c>
      <c r="C769" s="241" t="s">
        <v>2357</v>
      </c>
      <c r="D769" s="239" t="s">
        <v>2152</v>
      </c>
      <c r="E769" s="239" t="s">
        <v>866</v>
      </c>
      <c r="F769" s="239" t="s">
        <v>867</v>
      </c>
      <c r="G769" s="239" t="s">
        <v>943</v>
      </c>
      <c r="H769" s="239" t="s">
        <v>51</v>
      </c>
      <c r="I769" s="239" t="s">
        <v>2153</v>
      </c>
      <c r="J769" s="234">
        <v>38860</v>
      </c>
      <c r="K769" s="234">
        <v>14600</v>
      </c>
      <c r="L769" s="242">
        <v>10</v>
      </c>
      <c r="M769" s="308">
        <v>24260</v>
      </c>
      <c r="N769" s="234">
        <v>21834</v>
      </c>
      <c r="O769" s="234" t="s">
        <v>2393</v>
      </c>
      <c r="P769" s="236">
        <v>45932</v>
      </c>
      <c r="Q769" s="244">
        <v>0.22343750000000001</v>
      </c>
    </row>
    <row r="770" spans="1:17" ht="38.25">
      <c r="A770" s="239" t="s">
        <v>2381</v>
      </c>
      <c r="B770" s="240">
        <v>1979</v>
      </c>
      <c r="C770" s="241" t="s">
        <v>2357</v>
      </c>
      <c r="D770" s="239" t="s">
        <v>2152</v>
      </c>
      <c r="E770" s="239" t="s">
        <v>410</v>
      </c>
      <c r="F770" s="239" t="s">
        <v>411</v>
      </c>
      <c r="G770" s="239" t="s">
        <v>943</v>
      </c>
      <c r="H770" s="239" t="s">
        <v>51</v>
      </c>
      <c r="I770" s="239" t="s">
        <v>2153</v>
      </c>
      <c r="J770" s="234">
        <v>39950</v>
      </c>
      <c r="K770" s="234">
        <v>15260</v>
      </c>
      <c r="L770" s="242">
        <v>10</v>
      </c>
      <c r="M770" s="308">
        <v>24690</v>
      </c>
      <c r="N770" s="234">
        <v>22221</v>
      </c>
      <c r="O770" s="234" t="s">
        <v>2394</v>
      </c>
      <c r="P770" s="236">
        <v>45932</v>
      </c>
      <c r="Q770" s="244">
        <v>0.2619097222222222</v>
      </c>
    </row>
    <row r="771" spans="1:17" ht="38.25">
      <c r="A771" s="239" t="s">
        <v>2382</v>
      </c>
      <c r="B771" s="240">
        <v>1980</v>
      </c>
      <c r="C771" s="241" t="s">
        <v>2357</v>
      </c>
      <c r="D771" s="239" t="s">
        <v>2152</v>
      </c>
      <c r="E771" s="239" t="s">
        <v>388</v>
      </c>
      <c r="F771" s="239" t="s">
        <v>389</v>
      </c>
      <c r="G771" s="239" t="s">
        <v>943</v>
      </c>
      <c r="H771" s="239" t="s">
        <v>51</v>
      </c>
      <c r="I771" s="239" t="s">
        <v>2153</v>
      </c>
      <c r="J771" s="234">
        <v>55700</v>
      </c>
      <c r="K771" s="234">
        <v>21030</v>
      </c>
      <c r="L771" s="242">
        <v>9</v>
      </c>
      <c r="M771" s="308">
        <v>34670</v>
      </c>
      <c r="N771" s="234">
        <v>31549.7</v>
      </c>
      <c r="O771" s="234" t="s">
        <v>2395</v>
      </c>
      <c r="P771" s="236">
        <v>45932</v>
      </c>
      <c r="Q771" s="244">
        <v>0.34067129629629628</v>
      </c>
    </row>
    <row r="772" spans="1:17" ht="38.25">
      <c r="A772" s="239" t="s">
        <v>2383</v>
      </c>
      <c r="B772" s="240">
        <v>1981</v>
      </c>
      <c r="C772" s="241">
        <v>57727</v>
      </c>
      <c r="D772" s="239" t="s">
        <v>2152</v>
      </c>
      <c r="E772" s="239" t="s">
        <v>858</v>
      </c>
      <c r="F772" s="239" t="s">
        <v>859</v>
      </c>
      <c r="G772" s="239" t="s">
        <v>943</v>
      </c>
      <c r="H772" s="239" t="s">
        <v>51</v>
      </c>
      <c r="I772" s="239" t="s">
        <v>2153</v>
      </c>
      <c r="J772" s="234">
        <v>39090</v>
      </c>
      <c r="K772" s="234">
        <v>14900</v>
      </c>
      <c r="L772" s="242">
        <v>10</v>
      </c>
      <c r="M772" s="308">
        <v>24190</v>
      </c>
      <c r="N772" s="234">
        <v>21771</v>
      </c>
      <c r="O772" s="234" t="s">
        <v>2396</v>
      </c>
      <c r="P772" s="236">
        <v>45932</v>
      </c>
      <c r="Q772" s="244">
        <v>0.38041666666666668</v>
      </c>
    </row>
    <row r="773" spans="1:17" ht="38.25">
      <c r="A773" s="239" t="s">
        <v>2384</v>
      </c>
      <c r="B773" s="240">
        <v>1983</v>
      </c>
      <c r="C773" s="241">
        <v>57728</v>
      </c>
      <c r="D773" s="239" t="s">
        <v>2152</v>
      </c>
      <c r="E773" s="239" t="s">
        <v>372</v>
      </c>
      <c r="F773" s="239" t="s">
        <v>373</v>
      </c>
      <c r="G773" s="239" t="s">
        <v>943</v>
      </c>
      <c r="H773" s="239" t="s">
        <v>51</v>
      </c>
      <c r="I773" s="239" t="s">
        <v>2153</v>
      </c>
      <c r="J773" s="234">
        <v>38010</v>
      </c>
      <c r="K773" s="234">
        <v>14820</v>
      </c>
      <c r="L773" s="242">
        <v>8</v>
      </c>
      <c r="M773" s="308">
        <v>23190</v>
      </c>
      <c r="N773" s="234">
        <v>21334.799999999999</v>
      </c>
      <c r="O773" s="234" t="s">
        <v>2397</v>
      </c>
      <c r="P773" s="236">
        <v>45932</v>
      </c>
      <c r="Q773" s="244">
        <v>0.43526620370370372</v>
      </c>
    </row>
    <row r="774" spans="1:17" ht="38.25">
      <c r="A774" s="239" t="s">
        <v>2398</v>
      </c>
      <c r="B774" s="240">
        <v>1984</v>
      </c>
      <c r="C774" s="241">
        <v>57729</v>
      </c>
      <c r="D774" s="239" t="s">
        <v>2152</v>
      </c>
      <c r="E774" s="239" t="s">
        <v>377</v>
      </c>
      <c r="F774" s="239" t="s">
        <v>378</v>
      </c>
      <c r="G774" s="239" t="s">
        <v>943</v>
      </c>
      <c r="H774" s="239" t="s">
        <v>51</v>
      </c>
      <c r="I774" s="239" t="s">
        <v>2153</v>
      </c>
      <c r="J774" s="234">
        <v>41820</v>
      </c>
      <c r="K774" s="234">
        <v>15120</v>
      </c>
      <c r="L774" s="242">
        <v>8</v>
      </c>
      <c r="M774" s="308">
        <v>26700</v>
      </c>
      <c r="N774" s="234">
        <v>24564</v>
      </c>
      <c r="O774" s="234" t="s">
        <v>2400</v>
      </c>
      <c r="P774" s="236">
        <v>45932</v>
      </c>
      <c r="Q774" s="244">
        <v>0.54206018518518517</v>
      </c>
    </row>
    <row r="775" spans="1:17" ht="38.25">
      <c r="A775" s="239" t="s">
        <v>2399</v>
      </c>
      <c r="B775" s="240">
        <v>1987</v>
      </c>
      <c r="C775" s="241">
        <v>57730</v>
      </c>
      <c r="D775" s="239" t="s">
        <v>2152</v>
      </c>
      <c r="E775" s="239" t="s">
        <v>382</v>
      </c>
      <c r="F775" s="239" t="s">
        <v>383</v>
      </c>
      <c r="G775" s="239" t="s">
        <v>943</v>
      </c>
      <c r="H775" s="239" t="s">
        <v>51</v>
      </c>
      <c r="I775" s="239" t="s">
        <v>2153</v>
      </c>
      <c r="J775" s="234">
        <v>38420</v>
      </c>
      <c r="K775" s="234">
        <v>14580</v>
      </c>
      <c r="L775" s="242">
        <v>7</v>
      </c>
      <c r="M775" s="308">
        <v>23840</v>
      </c>
      <c r="N775" s="234">
        <v>22171.200000000001</v>
      </c>
      <c r="O775" s="234" t="s">
        <v>2401</v>
      </c>
      <c r="P775" s="236">
        <v>45932</v>
      </c>
      <c r="Q775" s="244">
        <v>0.54408564814814819</v>
      </c>
    </row>
    <row r="776" spans="1:17" ht="38.25">
      <c r="A776" s="239" t="s">
        <v>2402</v>
      </c>
      <c r="B776" s="240">
        <v>1992</v>
      </c>
      <c r="C776" s="241">
        <v>57731</v>
      </c>
      <c r="D776" s="239" t="s">
        <v>2152</v>
      </c>
      <c r="E776" s="239" t="s">
        <v>400</v>
      </c>
      <c r="F776" s="239" t="s">
        <v>401</v>
      </c>
      <c r="G776" s="239" t="s">
        <v>945</v>
      </c>
      <c r="H776" s="239" t="s">
        <v>51</v>
      </c>
      <c r="I776" s="239" t="s">
        <v>2153</v>
      </c>
      <c r="J776" s="234">
        <v>39900</v>
      </c>
      <c r="K776" s="234">
        <v>14740</v>
      </c>
      <c r="L776" s="242">
        <v>14</v>
      </c>
      <c r="M776" s="308">
        <v>25160</v>
      </c>
      <c r="N776" s="234">
        <v>21637.599999999999</v>
      </c>
      <c r="O776" s="234" t="s">
        <v>2420</v>
      </c>
      <c r="P776" s="236">
        <v>45932</v>
      </c>
      <c r="Q776" s="244">
        <v>0.70668981481481485</v>
      </c>
    </row>
    <row r="777" spans="1:17" ht="38.25">
      <c r="A777" s="239" t="s">
        <v>2403</v>
      </c>
      <c r="B777" s="240">
        <v>1993</v>
      </c>
      <c r="C777" s="241">
        <v>57731</v>
      </c>
      <c r="D777" s="239" t="s">
        <v>2152</v>
      </c>
      <c r="E777" s="239" t="s">
        <v>403</v>
      </c>
      <c r="F777" s="239" t="s">
        <v>404</v>
      </c>
      <c r="G777" s="239" t="s">
        <v>945</v>
      </c>
      <c r="H777" s="239" t="s">
        <v>51</v>
      </c>
      <c r="I777" s="239" t="s">
        <v>2153</v>
      </c>
      <c r="J777" s="234">
        <v>39830</v>
      </c>
      <c r="K777" s="234">
        <v>14550</v>
      </c>
      <c r="L777" s="242">
        <v>6</v>
      </c>
      <c r="M777" s="308">
        <v>25280</v>
      </c>
      <c r="N777" s="234">
        <v>23763.200000000001</v>
      </c>
      <c r="O777" s="234" t="s">
        <v>2421</v>
      </c>
      <c r="P777" s="236">
        <v>45932</v>
      </c>
      <c r="Q777" s="244">
        <v>0.70879629629629626</v>
      </c>
    </row>
    <row r="778" spans="1:17" ht="38.25">
      <c r="A778" s="239" t="s">
        <v>2404</v>
      </c>
      <c r="B778" s="240">
        <v>1994</v>
      </c>
      <c r="C778" s="241" t="s">
        <v>2376</v>
      </c>
      <c r="D778" s="239" t="s">
        <v>2152</v>
      </c>
      <c r="E778" s="239" t="s">
        <v>390</v>
      </c>
      <c r="F778" s="239" t="s">
        <v>391</v>
      </c>
      <c r="G778" s="239" t="s">
        <v>945</v>
      </c>
      <c r="H778" s="239" t="s">
        <v>51</v>
      </c>
      <c r="I778" s="239" t="s">
        <v>2153</v>
      </c>
      <c r="J778" s="234">
        <v>40780</v>
      </c>
      <c r="K778" s="234">
        <v>15150</v>
      </c>
      <c r="L778" s="242">
        <v>7</v>
      </c>
      <c r="M778" s="308">
        <v>25630</v>
      </c>
      <c r="N778" s="234">
        <v>23835.9</v>
      </c>
      <c r="O778" s="234" t="s">
        <v>2422</v>
      </c>
      <c r="P778" s="236">
        <v>45932</v>
      </c>
      <c r="Q778" s="244">
        <v>0.71363425925925927</v>
      </c>
    </row>
    <row r="779" spans="1:17" ht="38.25">
      <c r="A779" s="239" t="s">
        <v>2405</v>
      </c>
      <c r="B779" s="240">
        <v>2004</v>
      </c>
      <c r="C779" s="241" t="s">
        <v>2357</v>
      </c>
      <c r="D779" s="239" t="s">
        <v>2152</v>
      </c>
      <c r="E779" s="239" t="s">
        <v>780</v>
      </c>
      <c r="F779" s="239" t="s">
        <v>781</v>
      </c>
      <c r="G779" s="239" t="s">
        <v>945</v>
      </c>
      <c r="H779" s="239" t="s">
        <v>51</v>
      </c>
      <c r="I779" s="239" t="s">
        <v>2153</v>
      </c>
      <c r="J779" s="234">
        <v>34630</v>
      </c>
      <c r="K779" s="234">
        <v>14870</v>
      </c>
      <c r="L779" s="242">
        <v>14</v>
      </c>
      <c r="M779" s="308">
        <v>19760</v>
      </c>
      <c r="N779" s="234">
        <v>16993.599999999999</v>
      </c>
      <c r="O779" s="234" t="s">
        <v>2423</v>
      </c>
      <c r="P779" s="236">
        <v>45932</v>
      </c>
      <c r="Q779" s="244">
        <v>0.77135416666666667</v>
      </c>
    </row>
    <row r="780" spans="1:17" ht="38.25">
      <c r="A780" s="239" t="s">
        <v>2406</v>
      </c>
      <c r="B780" s="240">
        <v>2005</v>
      </c>
      <c r="C780" s="241" t="s">
        <v>2357</v>
      </c>
      <c r="D780" s="239" t="s">
        <v>2152</v>
      </c>
      <c r="E780" s="239" t="s">
        <v>372</v>
      </c>
      <c r="F780" s="239" t="s">
        <v>373</v>
      </c>
      <c r="G780" s="239" t="s">
        <v>945</v>
      </c>
      <c r="H780" s="239" t="s">
        <v>51</v>
      </c>
      <c r="I780" s="239" t="s">
        <v>2153</v>
      </c>
      <c r="J780" s="234">
        <v>38450</v>
      </c>
      <c r="K780" s="234">
        <v>14940</v>
      </c>
      <c r="L780" s="242">
        <v>21</v>
      </c>
      <c r="M780" s="308">
        <v>23510</v>
      </c>
      <c r="N780" s="234">
        <v>18572.900000000001</v>
      </c>
      <c r="O780" s="234" t="s">
        <v>2424</v>
      </c>
      <c r="P780" s="236">
        <v>45932</v>
      </c>
      <c r="Q780" s="244">
        <v>0.77380787037037035</v>
      </c>
    </row>
    <row r="781" spans="1:17" ht="38.25">
      <c r="A781" s="239" t="s">
        <v>2407</v>
      </c>
      <c r="B781" s="240">
        <v>2006</v>
      </c>
      <c r="C781" s="241" t="s">
        <v>2357</v>
      </c>
      <c r="D781" s="239" t="s">
        <v>2152</v>
      </c>
      <c r="E781" s="239" t="s">
        <v>858</v>
      </c>
      <c r="F781" s="239" t="s">
        <v>859</v>
      </c>
      <c r="G781" s="239" t="s">
        <v>945</v>
      </c>
      <c r="H781" s="239" t="s">
        <v>51</v>
      </c>
      <c r="I781" s="239" t="s">
        <v>2153</v>
      </c>
      <c r="J781" s="234">
        <v>39040</v>
      </c>
      <c r="K781" s="234">
        <v>14790</v>
      </c>
      <c r="L781" s="242">
        <v>9</v>
      </c>
      <c r="M781" s="308">
        <v>24250</v>
      </c>
      <c r="N781" s="234">
        <v>22067.5</v>
      </c>
      <c r="O781" s="234" t="s">
        <v>2425</v>
      </c>
      <c r="P781" s="236">
        <v>45932</v>
      </c>
      <c r="Q781" s="244">
        <v>0.80822916666666667</v>
      </c>
    </row>
    <row r="782" spans="1:17" ht="38.25">
      <c r="A782" s="239" t="s">
        <v>2408</v>
      </c>
      <c r="B782" s="240">
        <v>1995</v>
      </c>
      <c r="C782" s="241" t="s">
        <v>2357</v>
      </c>
      <c r="D782" s="239" t="s">
        <v>2152</v>
      </c>
      <c r="E782" s="239" t="s">
        <v>392</v>
      </c>
      <c r="F782" s="239" t="s">
        <v>393</v>
      </c>
      <c r="G782" s="239" t="s">
        <v>945</v>
      </c>
      <c r="H782" s="239" t="s">
        <v>51</v>
      </c>
      <c r="I782" s="239" t="s">
        <v>2153</v>
      </c>
      <c r="J782" s="234">
        <v>65180</v>
      </c>
      <c r="K782" s="234">
        <v>24220</v>
      </c>
      <c r="L782" s="242">
        <v>6</v>
      </c>
      <c r="M782" s="308">
        <v>40960</v>
      </c>
      <c r="N782" s="234">
        <v>38502.400000000001</v>
      </c>
      <c r="O782" s="234" t="s">
        <v>2426</v>
      </c>
      <c r="P782" s="236">
        <v>45932</v>
      </c>
      <c r="Q782" s="244">
        <v>0.81994212962962965</v>
      </c>
    </row>
    <row r="783" spans="1:17" ht="38.25">
      <c r="A783" s="239" t="s">
        <v>2409</v>
      </c>
      <c r="B783" s="240">
        <v>1996</v>
      </c>
      <c r="C783" s="241" t="s">
        <v>2357</v>
      </c>
      <c r="D783" s="239" t="s">
        <v>2152</v>
      </c>
      <c r="E783" s="239" t="s">
        <v>374</v>
      </c>
      <c r="F783" s="239" t="s">
        <v>375</v>
      </c>
      <c r="G783" s="239" t="s">
        <v>945</v>
      </c>
      <c r="H783" s="239" t="s">
        <v>51</v>
      </c>
      <c r="I783" s="239" t="s">
        <v>2153</v>
      </c>
      <c r="J783" s="234">
        <v>41130</v>
      </c>
      <c r="K783" s="234">
        <v>15710</v>
      </c>
      <c r="L783" s="242">
        <v>11</v>
      </c>
      <c r="M783" s="308">
        <v>25420</v>
      </c>
      <c r="N783" s="234">
        <v>22623.8</v>
      </c>
      <c r="O783" s="234" t="s">
        <v>2427</v>
      </c>
      <c r="P783" s="236">
        <v>45932</v>
      </c>
      <c r="Q783" s="244">
        <v>0.82481481481481478</v>
      </c>
    </row>
    <row r="784" spans="1:17" ht="38.25">
      <c r="A784" s="239" t="s">
        <v>2410</v>
      </c>
      <c r="B784" s="240">
        <v>2007</v>
      </c>
      <c r="C784" s="241" t="s">
        <v>2357</v>
      </c>
      <c r="D784" s="239" t="s">
        <v>2152</v>
      </c>
      <c r="E784" s="239" t="s">
        <v>377</v>
      </c>
      <c r="F784" s="239" t="s">
        <v>378</v>
      </c>
      <c r="G784" s="239" t="s">
        <v>945</v>
      </c>
      <c r="H784" s="239" t="s">
        <v>51</v>
      </c>
      <c r="I784" s="239" t="s">
        <v>2153</v>
      </c>
      <c r="J784" s="234">
        <v>43570</v>
      </c>
      <c r="K784" s="234">
        <v>15200</v>
      </c>
      <c r="L784" s="242">
        <v>12</v>
      </c>
      <c r="M784" s="308">
        <v>28370</v>
      </c>
      <c r="N784" s="234">
        <v>24965.599999999999</v>
      </c>
      <c r="O784" s="234" t="s">
        <v>2428</v>
      </c>
      <c r="P784" s="236">
        <v>45932</v>
      </c>
      <c r="Q784" s="244">
        <v>0.83410879629629631</v>
      </c>
    </row>
    <row r="785" spans="1:17" ht="38.25">
      <c r="A785" s="239" t="s">
        <v>2411</v>
      </c>
      <c r="B785" s="240">
        <v>1998</v>
      </c>
      <c r="C785" s="241" t="s">
        <v>2357</v>
      </c>
      <c r="D785" s="239" t="s">
        <v>2152</v>
      </c>
      <c r="E785" s="239" t="s">
        <v>866</v>
      </c>
      <c r="F785" s="239" t="s">
        <v>867</v>
      </c>
      <c r="G785" s="239" t="s">
        <v>945</v>
      </c>
      <c r="H785" s="239" t="s">
        <v>51</v>
      </c>
      <c r="I785" s="239" t="s">
        <v>2153</v>
      </c>
      <c r="J785" s="234">
        <v>39340</v>
      </c>
      <c r="K785" s="234">
        <v>14580</v>
      </c>
      <c r="L785" s="242">
        <v>6</v>
      </c>
      <c r="M785" s="308">
        <v>24760</v>
      </c>
      <c r="N785" s="234">
        <v>23274.400000000001</v>
      </c>
      <c r="O785" s="234" t="s">
        <v>2429</v>
      </c>
      <c r="P785" s="236">
        <v>45932</v>
      </c>
      <c r="Q785" s="244">
        <v>0.85892361111111115</v>
      </c>
    </row>
    <row r="786" spans="1:17" ht="38.25">
      <c r="A786" s="239" t="s">
        <v>2412</v>
      </c>
      <c r="B786" s="240">
        <v>2008</v>
      </c>
      <c r="C786" s="241" t="s">
        <v>2357</v>
      </c>
      <c r="D786" s="239" t="s">
        <v>2152</v>
      </c>
      <c r="E786" s="239" t="s">
        <v>410</v>
      </c>
      <c r="F786" s="239" t="s">
        <v>411</v>
      </c>
      <c r="G786" s="239" t="s">
        <v>945</v>
      </c>
      <c r="H786" s="239" t="s">
        <v>51</v>
      </c>
      <c r="I786" s="239" t="s">
        <v>2153</v>
      </c>
      <c r="J786" s="234">
        <v>39790</v>
      </c>
      <c r="K786" s="234">
        <v>15190</v>
      </c>
      <c r="L786" s="242">
        <v>13</v>
      </c>
      <c r="M786" s="308">
        <v>24600</v>
      </c>
      <c r="N786" s="234">
        <v>21402</v>
      </c>
      <c r="O786" s="234" t="s">
        <v>2430</v>
      </c>
      <c r="P786" s="236">
        <v>45932</v>
      </c>
      <c r="Q786" s="244">
        <v>0.87611111111111106</v>
      </c>
    </row>
    <row r="787" spans="1:17" ht="38.25">
      <c r="A787" s="239" t="s">
        <v>2413</v>
      </c>
      <c r="B787" s="240">
        <v>2009</v>
      </c>
      <c r="C787" s="241" t="s">
        <v>2357</v>
      </c>
      <c r="D787" s="239" t="s">
        <v>2152</v>
      </c>
      <c r="E787" s="239" t="s">
        <v>384</v>
      </c>
      <c r="F787" s="239" t="s">
        <v>385</v>
      </c>
      <c r="G787" s="239" t="s">
        <v>945</v>
      </c>
      <c r="H787" s="239" t="s">
        <v>51</v>
      </c>
      <c r="I787" s="239" t="s">
        <v>2153</v>
      </c>
      <c r="J787" s="234">
        <v>36600</v>
      </c>
      <c r="K787" s="234">
        <v>13980</v>
      </c>
      <c r="L787" s="242">
        <v>12</v>
      </c>
      <c r="M787" s="308">
        <v>22620</v>
      </c>
      <c r="N787" s="234">
        <v>19905.599999999999</v>
      </c>
      <c r="O787" s="234" t="s">
        <v>2431</v>
      </c>
      <c r="P787" s="236">
        <v>45932</v>
      </c>
      <c r="Q787" s="244">
        <v>0.87915509259259261</v>
      </c>
    </row>
    <row r="788" spans="1:17" ht="38.25">
      <c r="A788" s="239" t="s">
        <v>2414</v>
      </c>
      <c r="B788" s="240">
        <v>2000</v>
      </c>
      <c r="C788" s="241" t="s">
        <v>2357</v>
      </c>
      <c r="D788" s="239" t="s">
        <v>2152</v>
      </c>
      <c r="E788" s="239" t="s">
        <v>380</v>
      </c>
      <c r="F788" s="239" t="s">
        <v>381</v>
      </c>
      <c r="G788" s="239" t="s">
        <v>945</v>
      </c>
      <c r="H788" s="239" t="s">
        <v>51</v>
      </c>
      <c r="I788" s="239" t="s">
        <v>2153</v>
      </c>
      <c r="J788" s="234">
        <v>40640</v>
      </c>
      <c r="K788" s="234">
        <v>15090</v>
      </c>
      <c r="L788" s="242">
        <v>11</v>
      </c>
      <c r="M788" s="308">
        <v>25550</v>
      </c>
      <c r="N788" s="234">
        <v>22739.5</v>
      </c>
      <c r="O788" s="234" t="s">
        <v>2432</v>
      </c>
      <c r="P788" s="236">
        <v>45932</v>
      </c>
      <c r="Q788" s="244">
        <v>0.90706018518518516</v>
      </c>
    </row>
    <row r="789" spans="1:17" ht="38.25">
      <c r="A789" s="239" t="s">
        <v>2415</v>
      </c>
      <c r="B789" s="240">
        <v>2001</v>
      </c>
      <c r="C789" s="241" t="s">
        <v>2357</v>
      </c>
      <c r="D789" s="239" t="s">
        <v>2152</v>
      </c>
      <c r="E789" s="239" t="s">
        <v>388</v>
      </c>
      <c r="F789" s="239" t="s">
        <v>389</v>
      </c>
      <c r="G789" s="239" t="s">
        <v>945</v>
      </c>
      <c r="H789" s="239" t="s">
        <v>51</v>
      </c>
      <c r="I789" s="239" t="s">
        <v>2153</v>
      </c>
      <c r="J789" s="234">
        <v>56280</v>
      </c>
      <c r="K789" s="234">
        <v>20970</v>
      </c>
      <c r="L789" s="242">
        <v>11</v>
      </c>
      <c r="M789" s="308">
        <v>35310</v>
      </c>
      <c r="N789" s="234">
        <v>31425.9</v>
      </c>
      <c r="O789" s="234" t="s">
        <v>2433</v>
      </c>
      <c r="P789" s="236">
        <v>45932</v>
      </c>
      <c r="Q789" s="244">
        <v>0.94128472222222226</v>
      </c>
    </row>
    <row r="790" spans="1:17" ht="38.25">
      <c r="A790" s="239" t="s">
        <v>2416</v>
      </c>
      <c r="B790" s="240">
        <v>2010</v>
      </c>
      <c r="C790" s="241" t="s">
        <v>2357</v>
      </c>
      <c r="D790" s="239" t="s">
        <v>2152</v>
      </c>
      <c r="E790" s="239" t="s">
        <v>403</v>
      </c>
      <c r="F790" s="239" t="s">
        <v>404</v>
      </c>
      <c r="G790" s="239" t="s">
        <v>945</v>
      </c>
      <c r="H790" s="239" t="s">
        <v>51</v>
      </c>
      <c r="I790" s="239" t="s">
        <v>2153</v>
      </c>
      <c r="J790" s="234">
        <v>38560</v>
      </c>
      <c r="K790" s="234">
        <v>14490</v>
      </c>
      <c r="L790" s="242">
        <v>11</v>
      </c>
      <c r="M790" s="308">
        <v>24070</v>
      </c>
      <c r="N790" s="234">
        <v>21422.3</v>
      </c>
      <c r="O790" s="234" t="s">
        <v>2434</v>
      </c>
      <c r="P790" s="236">
        <v>45932</v>
      </c>
      <c r="Q790" s="244">
        <v>0.95141203703703703</v>
      </c>
    </row>
    <row r="791" spans="1:17" ht="38.25">
      <c r="A791" s="239" t="s">
        <v>2417</v>
      </c>
      <c r="B791" s="240">
        <v>2011</v>
      </c>
      <c r="C791" s="241" t="s">
        <v>2357</v>
      </c>
      <c r="D791" s="239" t="s">
        <v>2152</v>
      </c>
      <c r="E791" s="239" t="s">
        <v>400</v>
      </c>
      <c r="F791" s="239" t="s">
        <v>401</v>
      </c>
      <c r="G791" s="239" t="s">
        <v>945</v>
      </c>
      <c r="H791" s="239" t="s">
        <v>51</v>
      </c>
      <c r="I791" s="239" t="s">
        <v>2153</v>
      </c>
      <c r="J791" s="234">
        <v>38730</v>
      </c>
      <c r="K791" s="234">
        <v>14840</v>
      </c>
      <c r="L791" s="242">
        <v>17</v>
      </c>
      <c r="M791" s="308">
        <v>23890</v>
      </c>
      <c r="N791" s="234">
        <v>19828.7</v>
      </c>
      <c r="O791" s="234" t="s">
        <v>2435</v>
      </c>
      <c r="P791" s="236">
        <v>45932</v>
      </c>
      <c r="Q791" s="244">
        <v>0.96820601851851851</v>
      </c>
    </row>
    <row r="792" spans="1:17" ht="38.25">
      <c r="A792" s="239" t="s">
        <v>2418</v>
      </c>
      <c r="B792" s="240">
        <v>2012</v>
      </c>
      <c r="C792" s="241" t="s">
        <v>2357</v>
      </c>
      <c r="D792" s="239" t="s">
        <v>2152</v>
      </c>
      <c r="E792" s="239" t="s">
        <v>382</v>
      </c>
      <c r="F792" s="239" t="s">
        <v>383</v>
      </c>
      <c r="G792" s="239" t="s">
        <v>945</v>
      </c>
      <c r="H792" s="239" t="s">
        <v>51</v>
      </c>
      <c r="I792" s="239" t="s">
        <v>2153</v>
      </c>
      <c r="J792" s="234">
        <v>38530</v>
      </c>
      <c r="K792" s="234">
        <v>14660</v>
      </c>
      <c r="L792" s="242">
        <v>16</v>
      </c>
      <c r="M792" s="308">
        <v>23870</v>
      </c>
      <c r="N792" s="234">
        <v>20050.8</v>
      </c>
      <c r="O792" s="234" t="s">
        <v>2436</v>
      </c>
      <c r="P792" s="236">
        <v>45932</v>
      </c>
      <c r="Q792" s="244">
        <v>0.97964120370370367</v>
      </c>
    </row>
    <row r="793" spans="1:17" ht="38.25">
      <c r="A793" s="239" t="s">
        <v>2419</v>
      </c>
      <c r="B793" s="240">
        <v>2003</v>
      </c>
      <c r="C793" s="241" t="s">
        <v>2357</v>
      </c>
      <c r="D793" s="239" t="s">
        <v>2152</v>
      </c>
      <c r="E793" s="239" t="s">
        <v>442</v>
      </c>
      <c r="F793" s="239" t="s">
        <v>443</v>
      </c>
      <c r="G793" s="239" t="s">
        <v>945</v>
      </c>
      <c r="H793" s="239" t="s">
        <v>51</v>
      </c>
      <c r="I793" s="239" t="s">
        <v>2153</v>
      </c>
      <c r="J793" s="234">
        <v>35970</v>
      </c>
      <c r="K793" s="234">
        <v>14490</v>
      </c>
      <c r="L793" s="242">
        <v>6</v>
      </c>
      <c r="M793" s="308">
        <v>21480</v>
      </c>
      <c r="N793" s="234">
        <v>20191.2</v>
      </c>
      <c r="O793" s="234" t="s">
        <v>2437</v>
      </c>
      <c r="P793" s="236">
        <v>45932</v>
      </c>
      <c r="Q793" s="244">
        <v>0.99307870370370366</v>
      </c>
    </row>
    <row r="794" spans="1:17" ht="38.25">
      <c r="A794" s="239" t="s">
        <v>2438</v>
      </c>
      <c r="B794" s="240">
        <v>2013</v>
      </c>
      <c r="C794" s="241" t="s">
        <v>2357</v>
      </c>
      <c r="D794" s="239" t="s">
        <v>2152</v>
      </c>
      <c r="E794" s="239" t="s">
        <v>392</v>
      </c>
      <c r="F794" s="239" t="s">
        <v>393</v>
      </c>
      <c r="G794" s="239" t="s">
        <v>945</v>
      </c>
      <c r="H794" s="239" t="s">
        <v>51</v>
      </c>
      <c r="I794" s="239" t="s">
        <v>2153</v>
      </c>
      <c r="J794" s="234">
        <v>63840</v>
      </c>
      <c r="K794" s="234">
        <v>24140</v>
      </c>
      <c r="L794" s="242">
        <v>15</v>
      </c>
      <c r="M794" s="308">
        <v>39700</v>
      </c>
      <c r="N794" s="234">
        <v>33745</v>
      </c>
      <c r="O794" s="234" t="s">
        <v>2439</v>
      </c>
      <c r="P794" s="236">
        <v>45933</v>
      </c>
      <c r="Q794" s="244">
        <v>0.52918981481481486</v>
      </c>
    </row>
    <row r="795" spans="1:17" ht="38.25">
      <c r="A795" s="239" t="s">
        <v>2441</v>
      </c>
      <c r="B795" s="240">
        <v>2017</v>
      </c>
      <c r="C795" s="241" t="s">
        <v>2357</v>
      </c>
      <c r="D795" s="239" t="s">
        <v>2152</v>
      </c>
      <c r="E795" s="239" t="s">
        <v>390</v>
      </c>
      <c r="F795" s="239" t="s">
        <v>391</v>
      </c>
      <c r="G795" s="239" t="s">
        <v>943</v>
      </c>
      <c r="H795" s="239" t="s">
        <v>51</v>
      </c>
      <c r="I795" s="239" t="s">
        <v>2153</v>
      </c>
      <c r="J795" s="234">
        <v>38600</v>
      </c>
      <c r="K795" s="234">
        <v>15070</v>
      </c>
      <c r="L795" s="242">
        <v>18</v>
      </c>
      <c r="M795" s="308">
        <v>23530</v>
      </c>
      <c r="N795" s="234">
        <v>19294.599999999999</v>
      </c>
      <c r="O795" s="234" t="s">
        <v>2442</v>
      </c>
      <c r="P795" s="236">
        <v>45933</v>
      </c>
      <c r="Q795" s="244">
        <v>0.57340277777777782</v>
      </c>
    </row>
    <row r="796" spans="1:17" ht="38.25">
      <c r="A796" s="239" t="s">
        <v>2443</v>
      </c>
      <c r="B796" s="240">
        <v>2018</v>
      </c>
      <c r="C796" s="241" t="s">
        <v>2357</v>
      </c>
      <c r="D796" s="239" t="s">
        <v>2152</v>
      </c>
      <c r="E796" s="239" t="s">
        <v>374</v>
      </c>
      <c r="F796" s="239" t="s">
        <v>375</v>
      </c>
      <c r="G796" s="239" t="s">
        <v>943</v>
      </c>
      <c r="H796" s="239" t="s">
        <v>51</v>
      </c>
      <c r="I796" s="239" t="s">
        <v>2153</v>
      </c>
      <c r="J796" s="234">
        <v>40640</v>
      </c>
      <c r="K796" s="234">
        <v>15650</v>
      </c>
      <c r="L796" s="242">
        <v>12</v>
      </c>
      <c r="M796" s="308">
        <v>24990</v>
      </c>
      <c r="N796" s="234">
        <v>21991.200000000001</v>
      </c>
      <c r="O796" s="234" t="s">
        <v>2444</v>
      </c>
      <c r="P796" s="236">
        <v>45933</v>
      </c>
      <c r="Q796" s="244">
        <v>0.60119212962962965</v>
      </c>
    </row>
    <row r="797" spans="1:17" ht="38.25">
      <c r="A797" s="239" t="s">
        <v>2445</v>
      </c>
      <c r="B797" s="240">
        <v>2019</v>
      </c>
      <c r="C797" s="241" t="s">
        <v>2357</v>
      </c>
      <c r="D797" s="239" t="s">
        <v>2152</v>
      </c>
      <c r="E797" s="239" t="s">
        <v>866</v>
      </c>
      <c r="F797" s="239" t="s">
        <v>867</v>
      </c>
      <c r="G797" s="239" t="s">
        <v>943</v>
      </c>
      <c r="H797" s="239" t="s">
        <v>51</v>
      </c>
      <c r="I797" s="239" t="s">
        <v>2153</v>
      </c>
      <c r="J797" s="234">
        <v>38770</v>
      </c>
      <c r="K797" s="234">
        <v>14580</v>
      </c>
      <c r="L797" s="242">
        <v>13</v>
      </c>
      <c r="M797" s="308">
        <v>24190</v>
      </c>
      <c r="N797" s="234">
        <v>21045.3</v>
      </c>
      <c r="O797" s="234" t="s">
        <v>2446</v>
      </c>
      <c r="P797" s="236">
        <v>45933</v>
      </c>
      <c r="Q797" s="244">
        <v>0.63091435185185185</v>
      </c>
    </row>
    <row r="798" spans="1:17" ht="38.25">
      <c r="A798" s="239" t="s">
        <v>2450</v>
      </c>
      <c r="B798" s="240">
        <v>2026</v>
      </c>
      <c r="C798" s="241" t="s">
        <v>2357</v>
      </c>
      <c r="D798" s="239" t="s">
        <v>2152</v>
      </c>
      <c r="E798" s="239" t="s">
        <v>380</v>
      </c>
      <c r="F798" s="239" t="s">
        <v>381</v>
      </c>
      <c r="G798" s="239" t="s">
        <v>943</v>
      </c>
      <c r="H798" s="239" t="s">
        <v>51</v>
      </c>
      <c r="I798" s="239" t="s">
        <v>2153</v>
      </c>
      <c r="J798" s="234">
        <v>39840</v>
      </c>
      <c r="K798" s="234">
        <v>15050</v>
      </c>
      <c r="L798" s="242">
        <v>10</v>
      </c>
      <c r="M798" s="308">
        <v>24790</v>
      </c>
      <c r="N798" s="234">
        <v>22311</v>
      </c>
      <c r="O798" s="234" t="s">
        <v>2466</v>
      </c>
      <c r="P798" s="236">
        <v>45933</v>
      </c>
      <c r="Q798" s="244">
        <v>0.69163194444444442</v>
      </c>
    </row>
    <row r="799" spans="1:17" ht="38.25">
      <c r="A799" s="239" t="s">
        <v>2451</v>
      </c>
      <c r="B799" s="240">
        <v>2027</v>
      </c>
      <c r="C799" s="241" t="s">
        <v>2357</v>
      </c>
      <c r="D799" s="239" t="s">
        <v>2152</v>
      </c>
      <c r="E799" s="239" t="s">
        <v>372</v>
      </c>
      <c r="F799" s="239" t="s">
        <v>373</v>
      </c>
      <c r="G799" s="239" t="s">
        <v>943</v>
      </c>
      <c r="H799" s="239" t="s">
        <v>51</v>
      </c>
      <c r="I799" s="239" t="s">
        <v>2153</v>
      </c>
      <c r="J799" s="234">
        <v>39140</v>
      </c>
      <c r="K799" s="234">
        <v>14870</v>
      </c>
      <c r="L799" s="242">
        <v>7</v>
      </c>
      <c r="M799" s="308">
        <v>24270</v>
      </c>
      <c r="N799" s="234">
        <v>22571.1</v>
      </c>
      <c r="O799" s="234" t="s">
        <v>2467</v>
      </c>
      <c r="P799" s="236">
        <v>45933</v>
      </c>
      <c r="Q799" s="244">
        <v>0.70598379629629626</v>
      </c>
    </row>
    <row r="800" spans="1:17" ht="38.25">
      <c r="A800" s="239" t="s">
        <v>2452</v>
      </c>
      <c r="B800" s="240">
        <v>2028</v>
      </c>
      <c r="C800" s="241" t="s">
        <v>2357</v>
      </c>
      <c r="D800" s="239" t="s">
        <v>2152</v>
      </c>
      <c r="E800" s="239" t="s">
        <v>388</v>
      </c>
      <c r="F800" s="239" t="s">
        <v>389</v>
      </c>
      <c r="G800" s="239" t="s">
        <v>943</v>
      </c>
      <c r="H800" s="239" t="s">
        <v>51</v>
      </c>
      <c r="I800" s="239" t="s">
        <v>2153</v>
      </c>
      <c r="J800" s="234">
        <v>54420</v>
      </c>
      <c r="K800" s="234">
        <v>20910</v>
      </c>
      <c r="L800" s="242">
        <v>8</v>
      </c>
      <c r="M800" s="308">
        <v>33510</v>
      </c>
      <c r="N800" s="234">
        <v>30829.200000000001</v>
      </c>
      <c r="O800" s="234" t="s">
        <v>2468</v>
      </c>
      <c r="P800" s="236">
        <v>45933</v>
      </c>
      <c r="Q800" s="244">
        <v>0.75510416666666669</v>
      </c>
    </row>
    <row r="801" spans="1:17" ht="38.25">
      <c r="A801" s="239" t="s">
        <v>2453</v>
      </c>
      <c r="B801" s="240">
        <v>2036</v>
      </c>
      <c r="C801" s="241" t="s">
        <v>2357</v>
      </c>
      <c r="D801" s="239" t="s">
        <v>2152</v>
      </c>
      <c r="E801" s="239" t="s">
        <v>382</v>
      </c>
      <c r="F801" s="239" t="s">
        <v>383</v>
      </c>
      <c r="G801" s="239" t="s">
        <v>943</v>
      </c>
      <c r="H801" s="239" t="s">
        <v>51</v>
      </c>
      <c r="I801" s="239" t="s">
        <v>2153</v>
      </c>
      <c r="J801" s="234">
        <v>38250</v>
      </c>
      <c r="K801" s="234">
        <v>14760</v>
      </c>
      <c r="L801" s="242">
        <v>16</v>
      </c>
      <c r="M801" s="308">
        <v>23490</v>
      </c>
      <c r="N801" s="234">
        <v>19731.599999999999</v>
      </c>
      <c r="O801" s="234" t="s">
        <v>2469</v>
      </c>
      <c r="P801" s="236">
        <v>45933</v>
      </c>
      <c r="Q801" s="244">
        <v>0.77542824074074079</v>
      </c>
    </row>
    <row r="802" spans="1:17" ht="38.25">
      <c r="A802" s="239" t="s">
        <v>2454</v>
      </c>
      <c r="B802" s="240">
        <v>2037</v>
      </c>
      <c r="C802" s="241" t="s">
        <v>2357</v>
      </c>
      <c r="D802" s="239" t="s">
        <v>2152</v>
      </c>
      <c r="E802" s="239" t="s">
        <v>384</v>
      </c>
      <c r="F802" s="239" t="s">
        <v>385</v>
      </c>
      <c r="G802" s="239" t="s">
        <v>943</v>
      </c>
      <c r="H802" s="239" t="s">
        <v>51</v>
      </c>
      <c r="I802" s="239" t="s">
        <v>2153</v>
      </c>
      <c r="J802" s="234">
        <v>37280</v>
      </c>
      <c r="K802" s="234">
        <v>13910</v>
      </c>
      <c r="L802" s="242">
        <v>9</v>
      </c>
      <c r="M802" s="308">
        <v>23370</v>
      </c>
      <c r="N802" s="234">
        <v>21266.7</v>
      </c>
      <c r="O802" s="234" t="s">
        <v>2470</v>
      </c>
      <c r="P802" s="236">
        <v>45933</v>
      </c>
      <c r="Q802" s="244">
        <v>0.80134259259259255</v>
      </c>
    </row>
    <row r="803" spans="1:17" ht="38.25">
      <c r="A803" s="239" t="s">
        <v>2455</v>
      </c>
      <c r="B803" s="240">
        <v>2039</v>
      </c>
      <c r="C803" s="241" t="s">
        <v>2357</v>
      </c>
      <c r="D803" s="239" t="s">
        <v>2152</v>
      </c>
      <c r="E803" s="239" t="s">
        <v>442</v>
      </c>
      <c r="F803" s="239" t="s">
        <v>443</v>
      </c>
      <c r="G803" s="239" t="s">
        <v>943</v>
      </c>
      <c r="H803" s="239" t="s">
        <v>51</v>
      </c>
      <c r="I803" s="239" t="s">
        <v>2153</v>
      </c>
      <c r="J803" s="234">
        <v>35150</v>
      </c>
      <c r="K803" s="234">
        <v>14490</v>
      </c>
      <c r="L803" s="242">
        <v>15</v>
      </c>
      <c r="M803" s="308">
        <v>20660</v>
      </c>
      <c r="N803" s="234">
        <v>17561</v>
      </c>
      <c r="O803" s="234" t="s">
        <v>2471</v>
      </c>
      <c r="P803" s="236">
        <v>45933</v>
      </c>
      <c r="Q803" s="244">
        <v>0.84450231481481486</v>
      </c>
    </row>
    <row r="804" spans="1:17" ht="38.25">
      <c r="A804" s="239" t="s">
        <v>2456</v>
      </c>
      <c r="B804" s="240">
        <v>2042</v>
      </c>
      <c r="C804" s="241" t="s">
        <v>2357</v>
      </c>
      <c r="D804" s="239" t="s">
        <v>2152</v>
      </c>
      <c r="E804" s="239" t="s">
        <v>406</v>
      </c>
      <c r="F804" s="239" t="s">
        <v>407</v>
      </c>
      <c r="G804" s="239" t="s">
        <v>943</v>
      </c>
      <c r="H804" s="239" t="s">
        <v>51</v>
      </c>
      <c r="I804" s="239" t="s">
        <v>2153</v>
      </c>
      <c r="J804" s="234">
        <v>40170</v>
      </c>
      <c r="K804" s="234">
        <v>15120</v>
      </c>
      <c r="L804" s="242">
        <v>13</v>
      </c>
      <c r="M804" s="308">
        <v>25050</v>
      </c>
      <c r="N804" s="234">
        <v>21793.5</v>
      </c>
      <c r="O804" s="234" t="s">
        <v>2472</v>
      </c>
      <c r="P804" s="236">
        <v>45933</v>
      </c>
      <c r="Q804" s="244">
        <v>0.88167824074074075</v>
      </c>
    </row>
    <row r="805" spans="1:17" ht="38.25">
      <c r="A805" s="239" t="s">
        <v>2457</v>
      </c>
      <c r="B805" s="240">
        <v>2043</v>
      </c>
      <c r="C805" s="241" t="s">
        <v>2357</v>
      </c>
      <c r="D805" s="239" t="s">
        <v>2152</v>
      </c>
      <c r="E805" s="239" t="s">
        <v>390</v>
      </c>
      <c r="F805" s="239" t="s">
        <v>391</v>
      </c>
      <c r="G805" s="239" t="s">
        <v>943</v>
      </c>
      <c r="H805" s="239" t="s">
        <v>51</v>
      </c>
      <c r="I805" s="239" t="s">
        <v>2153</v>
      </c>
      <c r="J805" s="234">
        <v>40950</v>
      </c>
      <c r="K805" s="234">
        <v>15020</v>
      </c>
      <c r="L805" s="242">
        <v>17</v>
      </c>
      <c r="M805" s="308">
        <v>25930</v>
      </c>
      <c r="N805" s="234">
        <v>21521.9</v>
      </c>
      <c r="O805" s="234" t="s">
        <v>2473</v>
      </c>
      <c r="P805" s="236">
        <v>45933</v>
      </c>
      <c r="Q805" s="244">
        <v>0.90065972222222224</v>
      </c>
    </row>
    <row r="806" spans="1:17" ht="38.25">
      <c r="A806" s="239" t="s">
        <v>2458</v>
      </c>
      <c r="B806" s="240">
        <v>2044</v>
      </c>
      <c r="C806" s="241" t="s">
        <v>2357</v>
      </c>
      <c r="D806" s="239" t="s">
        <v>2152</v>
      </c>
      <c r="E806" s="239" t="s">
        <v>392</v>
      </c>
      <c r="F806" s="239" t="s">
        <v>393</v>
      </c>
      <c r="G806" s="239" t="s">
        <v>943</v>
      </c>
      <c r="H806" s="239" t="s">
        <v>51</v>
      </c>
      <c r="I806" s="239" t="s">
        <v>2153</v>
      </c>
      <c r="J806" s="234">
        <v>64730</v>
      </c>
      <c r="K806" s="234">
        <v>24080</v>
      </c>
      <c r="L806" s="242">
        <v>12</v>
      </c>
      <c r="M806" s="308">
        <v>40650</v>
      </c>
      <c r="N806" s="234">
        <v>35772</v>
      </c>
      <c r="O806" s="234" t="s">
        <v>2474</v>
      </c>
      <c r="P806" s="236">
        <v>45933</v>
      </c>
      <c r="Q806" s="244">
        <v>0.94652777777777775</v>
      </c>
    </row>
    <row r="807" spans="1:17" ht="38.25">
      <c r="A807" s="239" t="s">
        <v>2459</v>
      </c>
      <c r="B807" s="240">
        <v>2030</v>
      </c>
      <c r="C807" s="241" t="s">
        <v>2357</v>
      </c>
      <c r="D807" s="239" t="s">
        <v>2152</v>
      </c>
      <c r="E807" s="239" t="s">
        <v>377</v>
      </c>
      <c r="F807" s="239" t="s">
        <v>378</v>
      </c>
      <c r="G807" s="239" t="s">
        <v>943</v>
      </c>
      <c r="H807" s="239" t="s">
        <v>51</v>
      </c>
      <c r="I807" s="239" t="s">
        <v>2153</v>
      </c>
      <c r="J807" s="234">
        <v>42320</v>
      </c>
      <c r="K807" s="234">
        <v>15130</v>
      </c>
      <c r="L807" s="242">
        <v>7</v>
      </c>
      <c r="M807" s="308">
        <v>27190</v>
      </c>
      <c r="N807" s="234">
        <v>25286.7</v>
      </c>
      <c r="O807" s="234" t="s">
        <v>2475</v>
      </c>
      <c r="P807" s="236">
        <v>45933</v>
      </c>
      <c r="Q807" s="244">
        <v>0.96758101851851852</v>
      </c>
    </row>
    <row r="808" spans="1:17" ht="38.25">
      <c r="A808" s="239" t="s">
        <v>2460</v>
      </c>
      <c r="B808" s="240">
        <v>2031</v>
      </c>
      <c r="C808" s="241" t="s">
        <v>2357</v>
      </c>
      <c r="D808" s="239" t="s">
        <v>2152</v>
      </c>
      <c r="E808" s="239" t="s">
        <v>858</v>
      </c>
      <c r="F808" s="239" t="s">
        <v>859</v>
      </c>
      <c r="G808" s="239" t="s">
        <v>943</v>
      </c>
      <c r="H808" s="239" t="s">
        <v>51</v>
      </c>
      <c r="I808" s="239" t="s">
        <v>2153</v>
      </c>
      <c r="J808" s="234">
        <v>40530</v>
      </c>
      <c r="K808" s="234">
        <v>14720</v>
      </c>
      <c r="L808" s="242">
        <v>10</v>
      </c>
      <c r="M808" s="308">
        <v>25810</v>
      </c>
      <c r="N808" s="234">
        <v>23229</v>
      </c>
      <c r="O808" s="234" t="s">
        <v>2476</v>
      </c>
      <c r="P808" s="236">
        <v>45933</v>
      </c>
      <c r="Q808" s="244">
        <v>0.96979166666666672</v>
      </c>
    </row>
    <row r="809" spans="1:17" ht="38.25">
      <c r="A809" s="239" t="s">
        <v>2461</v>
      </c>
      <c r="B809" s="240">
        <v>2032</v>
      </c>
      <c r="C809" s="241" t="s">
        <v>2357</v>
      </c>
      <c r="D809" s="239" t="s">
        <v>2152</v>
      </c>
      <c r="E809" s="239" t="s">
        <v>403</v>
      </c>
      <c r="F809" s="239" t="s">
        <v>404</v>
      </c>
      <c r="G809" s="239" t="s">
        <v>943</v>
      </c>
      <c r="H809" s="239" t="s">
        <v>51</v>
      </c>
      <c r="I809" s="239" t="s">
        <v>2153</v>
      </c>
      <c r="J809" s="234">
        <v>40010</v>
      </c>
      <c r="K809" s="234">
        <v>14520</v>
      </c>
      <c r="L809" s="242">
        <v>12</v>
      </c>
      <c r="M809" s="308">
        <v>25490</v>
      </c>
      <c r="N809" s="234">
        <v>22431.200000000001</v>
      </c>
      <c r="O809" s="234" t="s">
        <v>2477</v>
      </c>
      <c r="P809" s="236">
        <v>45933</v>
      </c>
      <c r="Q809" s="244">
        <v>0.97159722222222222</v>
      </c>
    </row>
    <row r="810" spans="1:17" ht="38.25">
      <c r="A810" s="239" t="s">
        <v>2462</v>
      </c>
      <c r="B810" s="240">
        <v>2035</v>
      </c>
      <c r="C810" s="241" t="s">
        <v>2357</v>
      </c>
      <c r="D810" s="239" t="s">
        <v>2152</v>
      </c>
      <c r="E810" s="239" t="s">
        <v>410</v>
      </c>
      <c r="F810" s="239" t="s">
        <v>411</v>
      </c>
      <c r="G810" s="239" t="s">
        <v>943</v>
      </c>
      <c r="H810" s="239" t="s">
        <v>51</v>
      </c>
      <c r="I810" s="239" t="s">
        <v>2153</v>
      </c>
      <c r="J810" s="234">
        <v>40370</v>
      </c>
      <c r="K810" s="234">
        <v>15120</v>
      </c>
      <c r="L810" s="242">
        <v>14</v>
      </c>
      <c r="M810" s="308">
        <v>25250</v>
      </c>
      <c r="N810" s="234">
        <v>21715</v>
      </c>
      <c r="O810" s="234" t="s">
        <v>2478</v>
      </c>
      <c r="P810" s="236">
        <v>45933</v>
      </c>
      <c r="Q810" s="244">
        <v>0.98121527777777773</v>
      </c>
    </row>
    <row r="811" spans="1:17" ht="38.25">
      <c r="A811" s="239" t="s">
        <v>2463</v>
      </c>
      <c r="B811" s="240">
        <v>2045</v>
      </c>
      <c r="C811" s="241">
        <v>57732</v>
      </c>
      <c r="D811" s="239" t="s">
        <v>2152</v>
      </c>
      <c r="E811" s="239" t="s">
        <v>374</v>
      </c>
      <c r="F811" s="239" t="s">
        <v>375</v>
      </c>
      <c r="G811" s="239" t="s">
        <v>943</v>
      </c>
      <c r="H811" s="239" t="s">
        <v>51</v>
      </c>
      <c r="I811" s="239" t="s">
        <v>2153</v>
      </c>
      <c r="J811" s="234">
        <v>31590</v>
      </c>
      <c r="K811" s="234">
        <v>15570</v>
      </c>
      <c r="L811" s="242">
        <v>13</v>
      </c>
      <c r="M811" s="308">
        <v>16020</v>
      </c>
      <c r="N811" s="234">
        <v>13937.4</v>
      </c>
      <c r="O811" s="234" t="s">
        <v>2479</v>
      </c>
      <c r="P811" s="236">
        <v>45934</v>
      </c>
      <c r="Q811" s="244">
        <v>0.34287037037037038</v>
      </c>
    </row>
    <row r="812" spans="1:17" ht="38.25">
      <c r="A812" s="239" t="s">
        <v>2481</v>
      </c>
      <c r="B812" s="240">
        <v>2047</v>
      </c>
      <c r="C812" s="241">
        <v>1</v>
      </c>
      <c r="D812" s="239" t="s">
        <v>2482</v>
      </c>
      <c r="E812" s="239" t="s">
        <v>1410</v>
      </c>
      <c r="F812" s="239" t="s">
        <v>437</v>
      </c>
      <c r="G812" s="239" t="s">
        <v>958</v>
      </c>
      <c r="H812" s="239" t="s">
        <v>51</v>
      </c>
      <c r="I812" s="239" t="s">
        <v>2465</v>
      </c>
      <c r="J812" s="234">
        <v>40570</v>
      </c>
      <c r="K812" s="234">
        <v>14980</v>
      </c>
      <c r="L812" s="242">
        <v>27</v>
      </c>
      <c r="M812" s="308">
        <v>25590</v>
      </c>
      <c r="N812" s="234">
        <v>18680.7</v>
      </c>
      <c r="O812" s="234" t="s">
        <v>2513</v>
      </c>
      <c r="P812" s="236">
        <v>45934</v>
      </c>
      <c r="Q812" s="244">
        <v>0.17313657407407407</v>
      </c>
    </row>
    <row r="813" spans="1:17" ht="38.25">
      <c r="A813" s="239" t="s">
        <v>2483</v>
      </c>
      <c r="B813" s="240">
        <v>2048</v>
      </c>
      <c r="C813" s="241">
        <v>2</v>
      </c>
      <c r="D813" s="239" t="s">
        <v>2482</v>
      </c>
      <c r="E813" s="239" t="s">
        <v>439</v>
      </c>
      <c r="F813" s="239" t="s">
        <v>440</v>
      </c>
      <c r="G813" s="239" t="s">
        <v>958</v>
      </c>
      <c r="H813" s="239" t="s">
        <v>51</v>
      </c>
      <c r="I813" s="239" t="s">
        <v>2465</v>
      </c>
      <c r="J813" s="234">
        <v>42870</v>
      </c>
      <c r="K813" s="234">
        <v>15190</v>
      </c>
      <c r="L813" s="242">
        <v>15</v>
      </c>
      <c r="M813" s="308">
        <v>27680</v>
      </c>
      <c r="N813" s="234">
        <v>23528</v>
      </c>
      <c r="O813" s="234" t="s">
        <v>2514</v>
      </c>
      <c r="P813" s="236">
        <v>45934</v>
      </c>
      <c r="Q813" s="244">
        <v>0.17732638888888888</v>
      </c>
    </row>
    <row r="814" spans="1:17" ht="38.25">
      <c r="A814" s="239" t="s">
        <v>2484</v>
      </c>
      <c r="B814" s="240">
        <v>2049</v>
      </c>
      <c r="C814" s="241">
        <v>3</v>
      </c>
      <c r="D814" s="239" t="s">
        <v>2482</v>
      </c>
      <c r="E814" s="239" t="s">
        <v>413</v>
      </c>
      <c r="F814" s="239" t="s">
        <v>414</v>
      </c>
      <c r="G814" s="239" t="s">
        <v>958</v>
      </c>
      <c r="H814" s="239" t="s">
        <v>51</v>
      </c>
      <c r="I814" s="239" t="s">
        <v>2465</v>
      </c>
      <c r="J814" s="234">
        <v>43320</v>
      </c>
      <c r="K814" s="234">
        <v>15070</v>
      </c>
      <c r="L814" s="242">
        <v>15</v>
      </c>
      <c r="M814" s="308">
        <v>28250</v>
      </c>
      <c r="N814" s="234">
        <v>24012.5</v>
      </c>
      <c r="O814" s="234" t="s">
        <v>2515</v>
      </c>
      <c r="P814" s="236">
        <v>45934</v>
      </c>
      <c r="Q814" s="244">
        <v>0.19244212962962962</v>
      </c>
    </row>
    <row r="815" spans="1:17" ht="38.25">
      <c r="A815" s="239" t="s">
        <v>2485</v>
      </c>
      <c r="B815" s="240">
        <v>2050</v>
      </c>
      <c r="C815" s="241">
        <v>4</v>
      </c>
      <c r="D815" s="239" t="s">
        <v>2482</v>
      </c>
      <c r="E815" s="239" t="s">
        <v>432</v>
      </c>
      <c r="F815" s="239" t="s">
        <v>433</v>
      </c>
      <c r="G815" s="239" t="s">
        <v>958</v>
      </c>
      <c r="H815" s="239" t="s">
        <v>51</v>
      </c>
      <c r="I815" s="239" t="s">
        <v>2465</v>
      </c>
      <c r="J815" s="234">
        <v>43110</v>
      </c>
      <c r="K815" s="234">
        <v>15750</v>
      </c>
      <c r="L815" s="242">
        <v>14</v>
      </c>
      <c r="M815" s="308">
        <v>27360</v>
      </c>
      <c r="N815" s="234">
        <v>23529.599999999999</v>
      </c>
      <c r="O815" s="234" t="s">
        <v>2516</v>
      </c>
      <c r="P815" s="236">
        <v>45934</v>
      </c>
      <c r="Q815" s="244">
        <v>0.19556712962962963</v>
      </c>
    </row>
    <row r="816" spans="1:17" ht="38.25">
      <c r="A816" s="239" t="s">
        <v>2486</v>
      </c>
      <c r="B816" s="240">
        <v>2051</v>
      </c>
      <c r="C816" s="241">
        <v>5</v>
      </c>
      <c r="D816" s="239" t="s">
        <v>2482</v>
      </c>
      <c r="E816" s="239" t="s">
        <v>447</v>
      </c>
      <c r="F816" s="239" t="s">
        <v>448</v>
      </c>
      <c r="G816" s="239" t="s">
        <v>958</v>
      </c>
      <c r="H816" s="239" t="s">
        <v>51</v>
      </c>
      <c r="I816" s="239" t="s">
        <v>2465</v>
      </c>
      <c r="J816" s="234">
        <v>49980</v>
      </c>
      <c r="K816" s="234">
        <v>19530</v>
      </c>
      <c r="L816" s="242">
        <v>29</v>
      </c>
      <c r="M816" s="308">
        <v>30450</v>
      </c>
      <c r="N816" s="234">
        <v>21619.5</v>
      </c>
      <c r="O816" s="234" t="s">
        <v>2517</v>
      </c>
      <c r="P816" s="236">
        <v>45934</v>
      </c>
      <c r="Q816" s="244">
        <v>0.2260648148148148</v>
      </c>
    </row>
    <row r="817" spans="1:17" ht="38.25">
      <c r="A817" s="239" t="s">
        <v>2487</v>
      </c>
      <c r="B817" s="240">
        <v>2056</v>
      </c>
      <c r="C817" s="241">
        <v>6</v>
      </c>
      <c r="D817" s="239" t="s">
        <v>2482</v>
      </c>
      <c r="E817" s="239" t="s">
        <v>453</v>
      </c>
      <c r="F817" s="239" t="s">
        <v>454</v>
      </c>
      <c r="G817" s="239" t="s">
        <v>958</v>
      </c>
      <c r="H817" s="239" t="s">
        <v>51</v>
      </c>
      <c r="I817" s="239" t="s">
        <v>2465</v>
      </c>
      <c r="J817" s="234">
        <v>57850</v>
      </c>
      <c r="K817" s="234">
        <v>24260</v>
      </c>
      <c r="L817" s="242">
        <v>15</v>
      </c>
      <c r="M817" s="308">
        <v>33590</v>
      </c>
      <c r="N817" s="234">
        <v>28551.5</v>
      </c>
      <c r="O817" s="234" t="s">
        <v>2518</v>
      </c>
      <c r="P817" s="236">
        <v>45934</v>
      </c>
      <c r="Q817" s="244">
        <v>0.36254629629629631</v>
      </c>
    </row>
    <row r="818" spans="1:17" ht="38.25">
      <c r="A818" s="239" t="s">
        <v>2488</v>
      </c>
      <c r="B818" s="240">
        <v>2057</v>
      </c>
      <c r="C818" s="241">
        <v>7</v>
      </c>
      <c r="D818" s="239" t="s">
        <v>2482</v>
      </c>
      <c r="E818" s="239" t="s">
        <v>456</v>
      </c>
      <c r="F818" s="239" t="s">
        <v>457</v>
      </c>
      <c r="G818" s="239" t="s">
        <v>958</v>
      </c>
      <c r="H818" s="239" t="s">
        <v>51</v>
      </c>
      <c r="I818" s="239" t="s">
        <v>2465</v>
      </c>
      <c r="J818" s="234">
        <v>43910</v>
      </c>
      <c r="K818" s="234">
        <v>15720</v>
      </c>
      <c r="L818" s="242">
        <v>22</v>
      </c>
      <c r="M818" s="308">
        <v>28190</v>
      </c>
      <c r="N818" s="234">
        <v>21988.2</v>
      </c>
      <c r="O818" s="234" t="s">
        <v>2519</v>
      </c>
      <c r="P818" s="236">
        <v>45934</v>
      </c>
      <c r="Q818" s="244">
        <v>0.36520833333333336</v>
      </c>
    </row>
    <row r="819" spans="1:17" ht="38.25">
      <c r="A819" s="239" t="s">
        <v>2489</v>
      </c>
      <c r="B819" s="240">
        <v>2060</v>
      </c>
      <c r="C819" s="241">
        <v>8</v>
      </c>
      <c r="D819" s="239" t="s">
        <v>2482</v>
      </c>
      <c r="E819" s="239" t="s">
        <v>406</v>
      </c>
      <c r="F819" s="239" t="s">
        <v>407</v>
      </c>
      <c r="G819" s="239" t="s">
        <v>958</v>
      </c>
      <c r="H819" s="239" t="s">
        <v>51</v>
      </c>
      <c r="I819" s="239" t="s">
        <v>2465</v>
      </c>
      <c r="J819" s="234">
        <v>40440</v>
      </c>
      <c r="K819" s="234">
        <v>15020</v>
      </c>
      <c r="L819" s="242">
        <v>19</v>
      </c>
      <c r="M819" s="308">
        <v>25420</v>
      </c>
      <c r="N819" s="234">
        <v>20590.2</v>
      </c>
      <c r="O819" s="234" t="s">
        <v>2520</v>
      </c>
      <c r="P819" s="236">
        <v>45934</v>
      </c>
      <c r="Q819" s="244">
        <v>0.40447916666666667</v>
      </c>
    </row>
    <row r="820" spans="1:17" ht="38.25">
      <c r="A820" s="239" t="s">
        <v>2490</v>
      </c>
      <c r="B820" s="240">
        <v>2061</v>
      </c>
      <c r="C820" s="241">
        <v>9</v>
      </c>
      <c r="D820" s="239" t="s">
        <v>2482</v>
      </c>
      <c r="E820" s="239" t="s">
        <v>416</v>
      </c>
      <c r="F820" s="239" t="s">
        <v>417</v>
      </c>
      <c r="G820" s="239" t="s">
        <v>958</v>
      </c>
      <c r="H820" s="239" t="s">
        <v>51</v>
      </c>
      <c r="I820" s="239" t="s">
        <v>2465</v>
      </c>
      <c r="J820" s="234">
        <v>37380</v>
      </c>
      <c r="K820" s="234">
        <v>14800</v>
      </c>
      <c r="L820" s="242">
        <v>23</v>
      </c>
      <c r="M820" s="308">
        <v>22580</v>
      </c>
      <c r="N820" s="234">
        <v>17386.599999999999</v>
      </c>
      <c r="O820" s="234" t="s">
        <v>2521</v>
      </c>
      <c r="P820" s="236">
        <v>45934</v>
      </c>
      <c r="Q820" s="244">
        <v>0.41200231481481481</v>
      </c>
    </row>
    <row r="821" spans="1:17" ht="38.25">
      <c r="A821" s="239" t="s">
        <v>2491</v>
      </c>
      <c r="B821" s="240">
        <v>2064</v>
      </c>
      <c r="C821" s="241">
        <v>2</v>
      </c>
      <c r="D821" s="239" t="s">
        <v>2482</v>
      </c>
      <c r="E821" s="239" t="s">
        <v>372</v>
      </c>
      <c r="F821" s="239" t="s">
        <v>373</v>
      </c>
      <c r="G821" s="239" t="s">
        <v>958</v>
      </c>
      <c r="H821" s="239" t="s">
        <v>51</v>
      </c>
      <c r="I821" s="239" t="s">
        <v>2465</v>
      </c>
      <c r="J821" s="234">
        <v>39350</v>
      </c>
      <c r="K821" s="234">
        <v>15010</v>
      </c>
      <c r="L821" s="242">
        <v>12</v>
      </c>
      <c r="M821" s="308">
        <v>24340</v>
      </c>
      <c r="N821" s="234">
        <v>21419.200000000001</v>
      </c>
      <c r="O821" s="234" t="s">
        <v>2522</v>
      </c>
      <c r="P821" s="236">
        <v>45934</v>
      </c>
      <c r="Q821" s="244">
        <v>0.62392361111111116</v>
      </c>
    </row>
    <row r="822" spans="1:17" ht="38.25">
      <c r="A822" s="239" t="s">
        <v>2492</v>
      </c>
      <c r="B822" s="240">
        <v>2066</v>
      </c>
      <c r="C822" s="241">
        <v>1</v>
      </c>
      <c r="D822" s="239" t="s">
        <v>2482</v>
      </c>
      <c r="E822" s="239" t="s">
        <v>388</v>
      </c>
      <c r="F822" s="239" t="s">
        <v>389</v>
      </c>
      <c r="G822" s="239" t="s">
        <v>958</v>
      </c>
      <c r="H822" s="239" t="s">
        <v>51</v>
      </c>
      <c r="I822" s="239" t="s">
        <v>2465</v>
      </c>
      <c r="J822" s="234">
        <v>55700</v>
      </c>
      <c r="K822" s="234">
        <v>21000</v>
      </c>
      <c r="L822" s="242">
        <v>9</v>
      </c>
      <c r="M822" s="308">
        <v>34700</v>
      </c>
      <c r="N822" s="234">
        <v>31577</v>
      </c>
      <c r="O822" s="234" t="s">
        <v>2523</v>
      </c>
      <c r="P822" s="236">
        <v>45934</v>
      </c>
      <c r="Q822" s="244">
        <v>0.68650462962962966</v>
      </c>
    </row>
    <row r="823" spans="1:17" ht="38.25">
      <c r="A823" s="239" t="s">
        <v>2493</v>
      </c>
      <c r="B823" s="240">
        <v>2067</v>
      </c>
      <c r="C823" s="241">
        <v>3</v>
      </c>
      <c r="D823" s="239" t="s">
        <v>2482</v>
      </c>
      <c r="E823" s="239" t="s">
        <v>858</v>
      </c>
      <c r="F823" s="239" t="s">
        <v>859</v>
      </c>
      <c r="G823" s="239" t="s">
        <v>958</v>
      </c>
      <c r="H823" s="239" t="s">
        <v>51</v>
      </c>
      <c r="I823" s="239" t="s">
        <v>2465</v>
      </c>
      <c r="J823" s="234">
        <v>41050</v>
      </c>
      <c r="K823" s="234">
        <v>14940</v>
      </c>
      <c r="L823" s="242">
        <v>7</v>
      </c>
      <c r="M823" s="308">
        <v>26110</v>
      </c>
      <c r="N823" s="234">
        <v>24282.3</v>
      </c>
      <c r="O823" s="234" t="s">
        <v>2524</v>
      </c>
      <c r="P823" s="236">
        <v>45934</v>
      </c>
      <c r="Q823" s="244">
        <v>0.70549768518518519</v>
      </c>
    </row>
    <row r="824" spans="1:17" ht="38.25">
      <c r="A824" s="239" t="s">
        <v>2494</v>
      </c>
      <c r="B824" s="240">
        <v>2068</v>
      </c>
      <c r="C824" s="241">
        <v>4</v>
      </c>
      <c r="D824" s="239" t="s">
        <v>2482</v>
      </c>
      <c r="E824" s="239" t="s">
        <v>400</v>
      </c>
      <c r="F824" s="239" t="s">
        <v>401</v>
      </c>
      <c r="G824" s="239" t="s">
        <v>958</v>
      </c>
      <c r="H824" s="239" t="s">
        <v>51</v>
      </c>
      <c r="I824" s="239" t="s">
        <v>2465</v>
      </c>
      <c r="J824" s="234">
        <v>39460</v>
      </c>
      <c r="K824" s="234">
        <v>14810</v>
      </c>
      <c r="L824" s="242">
        <v>12</v>
      </c>
      <c r="M824" s="308">
        <v>24650</v>
      </c>
      <c r="N824" s="234">
        <v>21692</v>
      </c>
      <c r="O824" s="234" t="s">
        <v>2525</v>
      </c>
      <c r="P824" s="236">
        <v>45934</v>
      </c>
      <c r="Q824" s="244">
        <v>0.71769675925925924</v>
      </c>
    </row>
    <row r="825" spans="1:17" ht="38.25">
      <c r="A825" s="239" t="s">
        <v>2495</v>
      </c>
      <c r="B825" s="240">
        <v>2069</v>
      </c>
      <c r="C825" s="241">
        <v>8</v>
      </c>
      <c r="D825" s="239" t="s">
        <v>2482</v>
      </c>
      <c r="E825" s="239" t="s">
        <v>866</v>
      </c>
      <c r="F825" s="239" t="s">
        <v>867</v>
      </c>
      <c r="G825" s="239" t="s">
        <v>958</v>
      </c>
      <c r="H825" s="239" t="s">
        <v>51</v>
      </c>
      <c r="I825" s="239" t="s">
        <v>2465</v>
      </c>
      <c r="J825" s="234">
        <v>38800</v>
      </c>
      <c r="K825" s="234">
        <v>14550</v>
      </c>
      <c r="L825" s="242">
        <v>8</v>
      </c>
      <c r="M825" s="308">
        <v>24250</v>
      </c>
      <c r="N825" s="234">
        <v>22310</v>
      </c>
      <c r="O825" s="234" t="s">
        <v>2526</v>
      </c>
      <c r="P825" s="236">
        <v>45934</v>
      </c>
      <c r="Q825" s="244">
        <v>0.80497685185185186</v>
      </c>
    </row>
    <row r="826" spans="1:17" ht="38.25">
      <c r="A826" s="239" t="s">
        <v>2496</v>
      </c>
      <c r="B826" s="240">
        <v>2070</v>
      </c>
      <c r="C826" s="241">
        <v>9</v>
      </c>
      <c r="D826" s="239" t="s">
        <v>2482</v>
      </c>
      <c r="E826" s="239" t="s">
        <v>380</v>
      </c>
      <c r="F826" s="239" t="s">
        <v>381</v>
      </c>
      <c r="G826" s="239" t="s">
        <v>958</v>
      </c>
      <c r="H826" s="239" t="s">
        <v>51</v>
      </c>
      <c r="I826" s="239" t="s">
        <v>2465</v>
      </c>
      <c r="J826" s="234">
        <v>40960</v>
      </c>
      <c r="K826" s="234">
        <v>15130</v>
      </c>
      <c r="L826" s="242">
        <v>12</v>
      </c>
      <c r="M826" s="308">
        <v>25830</v>
      </c>
      <c r="N826" s="234">
        <v>22730.400000000001</v>
      </c>
      <c r="O826" s="234" t="s">
        <v>2527</v>
      </c>
      <c r="P826" s="236">
        <v>45934</v>
      </c>
      <c r="Q826" s="244">
        <v>0.80839120370370365</v>
      </c>
    </row>
    <row r="827" spans="1:17" ht="38.25">
      <c r="A827" s="239" t="s">
        <v>2497</v>
      </c>
      <c r="B827" s="240">
        <v>2071</v>
      </c>
      <c r="C827" s="241">
        <v>5</v>
      </c>
      <c r="D827" s="239" t="s">
        <v>2482</v>
      </c>
      <c r="E827" s="239" t="s">
        <v>392</v>
      </c>
      <c r="F827" s="239" t="s">
        <v>393</v>
      </c>
      <c r="G827" s="239" t="s">
        <v>958</v>
      </c>
      <c r="H827" s="239" t="s">
        <v>51</v>
      </c>
      <c r="I827" s="239" t="s">
        <v>2465</v>
      </c>
      <c r="J827" s="234">
        <v>65020</v>
      </c>
      <c r="K827" s="234">
        <v>24160</v>
      </c>
      <c r="L827" s="242">
        <v>12</v>
      </c>
      <c r="M827" s="308">
        <v>40860</v>
      </c>
      <c r="N827" s="234">
        <v>35956.800000000003</v>
      </c>
      <c r="O827" s="234" t="s">
        <v>2528</v>
      </c>
      <c r="P827" s="236">
        <v>45934</v>
      </c>
      <c r="Q827" s="244">
        <v>0.86171296296296296</v>
      </c>
    </row>
    <row r="828" spans="1:17" ht="38.25">
      <c r="A828" s="239" t="s">
        <v>2498</v>
      </c>
      <c r="B828" s="240">
        <v>2072</v>
      </c>
      <c r="C828" s="241">
        <v>6</v>
      </c>
      <c r="D828" s="239" t="s">
        <v>2482</v>
      </c>
      <c r="E828" s="239" t="s">
        <v>374</v>
      </c>
      <c r="F828" s="239" t="s">
        <v>375</v>
      </c>
      <c r="G828" s="239" t="s">
        <v>958</v>
      </c>
      <c r="H828" s="239" t="s">
        <v>51</v>
      </c>
      <c r="I828" s="239" t="s">
        <v>2465</v>
      </c>
      <c r="J828" s="234">
        <v>40330</v>
      </c>
      <c r="K828" s="234">
        <v>15700</v>
      </c>
      <c r="L828" s="242">
        <v>6</v>
      </c>
      <c r="M828" s="308">
        <v>24630</v>
      </c>
      <c r="N828" s="234">
        <v>23152.2</v>
      </c>
      <c r="O828" s="234" t="s">
        <v>2529</v>
      </c>
      <c r="P828" s="236">
        <v>45934</v>
      </c>
      <c r="Q828" s="244">
        <v>0.90922453703703698</v>
      </c>
    </row>
    <row r="829" spans="1:17" ht="38.25">
      <c r="A829" s="239" t="s">
        <v>2499</v>
      </c>
      <c r="B829" s="240">
        <v>2073</v>
      </c>
      <c r="C829" s="241">
        <v>7</v>
      </c>
      <c r="D829" s="239" t="s">
        <v>2482</v>
      </c>
      <c r="E829" s="239" t="s">
        <v>384</v>
      </c>
      <c r="F829" s="239" t="s">
        <v>385</v>
      </c>
      <c r="G829" s="239" t="s">
        <v>958</v>
      </c>
      <c r="H829" s="239" t="s">
        <v>51</v>
      </c>
      <c r="I829" s="239" t="s">
        <v>2465</v>
      </c>
      <c r="J829" s="234">
        <v>37300</v>
      </c>
      <c r="K829" s="234">
        <v>13890</v>
      </c>
      <c r="L829" s="242">
        <v>11</v>
      </c>
      <c r="M829" s="308">
        <v>23410</v>
      </c>
      <c r="N829" s="234">
        <v>20834.900000000001</v>
      </c>
      <c r="O829" s="234" t="s">
        <v>2530</v>
      </c>
      <c r="P829" s="236">
        <v>45934</v>
      </c>
      <c r="Q829" s="244">
        <v>0.91612268518518514</v>
      </c>
    </row>
    <row r="830" spans="1:17" ht="38.25">
      <c r="A830" s="239" t="s">
        <v>2500</v>
      </c>
      <c r="B830" s="240">
        <v>2074</v>
      </c>
      <c r="C830" s="241">
        <v>13</v>
      </c>
      <c r="D830" s="239" t="s">
        <v>2482</v>
      </c>
      <c r="E830" s="239" t="s">
        <v>1410</v>
      </c>
      <c r="F830" s="239" t="s">
        <v>437</v>
      </c>
      <c r="G830" s="239" t="s">
        <v>958</v>
      </c>
      <c r="H830" s="239" t="s">
        <v>51</v>
      </c>
      <c r="I830" s="239" t="s">
        <v>2465</v>
      </c>
      <c r="J830" s="234">
        <v>40380</v>
      </c>
      <c r="K830" s="234">
        <v>14890</v>
      </c>
      <c r="L830" s="242">
        <v>5</v>
      </c>
      <c r="M830" s="308">
        <v>25490</v>
      </c>
      <c r="N830" s="234">
        <v>24215.5</v>
      </c>
      <c r="O830" s="234" t="s">
        <v>2531</v>
      </c>
      <c r="P830" s="236">
        <v>45935</v>
      </c>
      <c r="Q830" s="244">
        <v>2.4733796296296295E-2</v>
      </c>
    </row>
    <row r="831" spans="1:17" ht="38.25">
      <c r="A831" s="239" t="s">
        <v>2501</v>
      </c>
      <c r="B831" s="240">
        <v>2075</v>
      </c>
      <c r="C831" s="241">
        <v>15</v>
      </c>
      <c r="D831" s="239" t="s">
        <v>2482</v>
      </c>
      <c r="E831" s="239" t="s">
        <v>439</v>
      </c>
      <c r="F831" s="239" t="s">
        <v>440</v>
      </c>
      <c r="G831" s="239" t="s">
        <v>958</v>
      </c>
      <c r="H831" s="239" t="s">
        <v>51</v>
      </c>
      <c r="I831" s="239" t="s">
        <v>2465</v>
      </c>
      <c r="J831" s="234">
        <v>43210</v>
      </c>
      <c r="K831" s="234">
        <v>15110</v>
      </c>
      <c r="L831" s="242">
        <v>18</v>
      </c>
      <c r="M831" s="308">
        <v>28100</v>
      </c>
      <c r="N831" s="234">
        <v>23042</v>
      </c>
      <c r="O831" s="234" t="s">
        <v>2532</v>
      </c>
      <c r="P831" s="236">
        <v>45935</v>
      </c>
      <c r="Q831" s="244">
        <v>2.8171296296296295E-2</v>
      </c>
    </row>
    <row r="832" spans="1:17" ht="38.25">
      <c r="A832" s="239" t="s">
        <v>2502</v>
      </c>
      <c r="B832" s="240">
        <v>2077</v>
      </c>
      <c r="C832" s="241">
        <v>10</v>
      </c>
      <c r="D832" s="239" t="s">
        <v>2482</v>
      </c>
      <c r="E832" s="239" t="s">
        <v>432</v>
      </c>
      <c r="F832" s="239" t="s">
        <v>433</v>
      </c>
      <c r="G832" s="239" t="s">
        <v>958</v>
      </c>
      <c r="H832" s="239" t="s">
        <v>51</v>
      </c>
      <c r="I832" s="239" t="s">
        <v>2465</v>
      </c>
      <c r="J832" s="234">
        <v>43730</v>
      </c>
      <c r="K832" s="234">
        <v>15760</v>
      </c>
      <c r="L832" s="242">
        <v>8</v>
      </c>
      <c r="M832" s="308">
        <v>27970</v>
      </c>
      <c r="N832" s="234">
        <v>25732.400000000001</v>
      </c>
      <c r="O832" s="234" t="s">
        <v>2533</v>
      </c>
      <c r="P832" s="236">
        <v>45935</v>
      </c>
      <c r="Q832" s="244">
        <v>9.2199074074074072E-2</v>
      </c>
    </row>
    <row r="833" spans="1:17" ht="38.25">
      <c r="A833" s="239" t="s">
        <v>2503</v>
      </c>
      <c r="B833" s="240">
        <v>2078</v>
      </c>
      <c r="C833" s="241">
        <v>11</v>
      </c>
      <c r="D833" s="239" t="s">
        <v>2482</v>
      </c>
      <c r="E833" s="239" t="s">
        <v>377</v>
      </c>
      <c r="F833" s="239" t="s">
        <v>378</v>
      </c>
      <c r="G833" s="239" t="s">
        <v>960</v>
      </c>
      <c r="H833" s="239" t="s">
        <v>51</v>
      </c>
      <c r="I833" s="239" t="s">
        <v>2465</v>
      </c>
      <c r="J833" s="234">
        <v>42740</v>
      </c>
      <c r="K833" s="234">
        <v>15120</v>
      </c>
      <c r="L833" s="242">
        <v>16</v>
      </c>
      <c r="M833" s="308">
        <v>27620</v>
      </c>
      <c r="N833" s="234">
        <v>23200.799999999999</v>
      </c>
      <c r="O833" s="234" t="s">
        <v>2534</v>
      </c>
      <c r="P833" s="236">
        <v>45935</v>
      </c>
      <c r="Q833" s="244">
        <v>9.5289351851851847E-2</v>
      </c>
    </row>
    <row r="834" spans="1:17" ht="38.25">
      <c r="A834" s="239" t="s">
        <v>2504</v>
      </c>
      <c r="B834" s="240">
        <v>2079</v>
      </c>
      <c r="C834" s="241">
        <v>12</v>
      </c>
      <c r="D834" s="239" t="s">
        <v>2482</v>
      </c>
      <c r="E834" s="239" t="s">
        <v>447</v>
      </c>
      <c r="F834" s="239" t="s">
        <v>448</v>
      </c>
      <c r="G834" s="239" t="s">
        <v>960</v>
      </c>
      <c r="H834" s="239" t="s">
        <v>51</v>
      </c>
      <c r="I834" s="239" t="s">
        <v>2465</v>
      </c>
      <c r="J834" s="234">
        <v>54350</v>
      </c>
      <c r="K834" s="234">
        <v>19420</v>
      </c>
      <c r="L834" s="242">
        <v>21</v>
      </c>
      <c r="M834" s="308">
        <v>34930</v>
      </c>
      <c r="N834" s="234">
        <v>27594.7</v>
      </c>
      <c r="O834" s="234" t="s">
        <v>2535</v>
      </c>
      <c r="P834" s="236">
        <v>45935</v>
      </c>
      <c r="Q834" s="244">
        <v>0.15796296296296297</v>
      </c>
    </row>
    <row r="835" spans="1:17" ht="38.25">
      <c r="A835" s="239" t="s">
        <v>2505</v>
      </c>
      <c r="B835" s="240">
        <v>2082</v>
      </c>
      <c r="C835" s="241">
        <v>18</v>
      </c>
      <c r="D835" s="239" t="s">
        <v>2482</v>
      </c>
      <c r="E835" s="239" t="s">
        <v>416</v>
      </c>
      <c r="F835" s="239" t="s">
        <v>417</v>
      </c>
      <c r="G835" s="239" t="s">
        <v>960</v>
      </c>
      <c r="H835" s="239" t="s">
        <v>51</v>
      </c>
      <c r="I835" s="239" t="s">
        <v>2465</v>
      </c>
      <c r="J835" s="234">
        <v>38520</v>
      </c>
      <c r="K835" s="234">
        <v>14740</v>
      </c>
      <c r="L835" s="242">
        <v>51</v>
      </c>
      <c r="M835" s="308">
        <v>23780</v>
      </c>
      <c r="N835" s="234">
        <v>11652.2</v>
      </c>
      <c r="O835" s="234" t="s">
        <v>2536</v>
      </c>
      <c r="P835" s="236">
        <v>45935</v>
      </c>
      <c r="Q835" s="244">
        <v>0.29170138888888891</v>
      </c>
    </row>
    <row r="836" spans="1:17" ht="38.25">
      <c r="A836" s="239" t="s">
        <v>2506</v>
      </c>
      <c r="B836" s="240">
        <v>2084</v>
      </c>
      <c r="C836" s="241">
        <v>17</v>
      </c>
      <c r="D836" s="239" t="s">
        <v>2482</v>
      </c>
      <c r="E836" s="239" t="s">
        <v>456</v>
      </c>
      <c r="F836" s="239" t="s">
        <v>457</v>
      </c>
      <c r="G836" s="239" t="s">
        <v>960</v>
      </c>
      <c r="H836" s="239" t="s">
        <v>51</v>
      </c>
      <c r="I836" s="239" t="s">
        <v>2465</v>
      </c>
      <c r="J836" s="234">
        <v>44230</v>
      </c>
      <c r="K836" s="234">
        <v>15680</v>
      </c>
      <c r="L836" s="242">
        <v>30</v>
      </c>
      <c r="M836" s="308">
        <v>28550</v>
      </c>
      <c r="N836" s="234">
        <v>19985</v>
      </c>
      <c r="O836" s="234" t="s">
        <v>2537</v>
      </c>
      <c r="P836" s="236">
        <v>45935</v>
      </c>
      <c r="Q836" s="244">
        <v>0.35700231481481481</v>
      </c>
    </row>
    <row r="837" spans="1:17" ht="38.25">
      <c r="A837" s="239" t="s">
        <v>2507</v>
      </c>
      <c r="B837" s="240">
        <v>2085</v>
      </c>
      <c r="C837" s="241">
        <v>16</v>
      </c>
      <c r="D837" s="239" t="s">
        <v>2482</v>
      </c>
      <c r="E837" s="239" t="s">
        <v>453</v>
      </c>
      <c r="F837" s="239" t="s">
        <v>454</v>
      </c>
      <c r="G837" s="239" t="s">
        <v>960</v>
      </c>
      <c r="H837" s="239" t="s">
        <v>51</v>
      </c>
      <c r="I837" s="239" t="s">
        <v>2465</v>
      </c>
      <c r="J837" s="234">
        <v>58110</v>
      </c>
      <c r="K837" s="234">
        <v>24240</v>
      </c>
      <c r="L837" s="242">
        <v>21</v>
      </c>
      <c r="M837" s="308">
        <v>33870</v>
      </c>
      <c r="N837" s="234">
        <v>26757.3</v>
      </c>
      <c r="O837" s="234" t="s">
        <v>2538</v>
      </c>
      <c r="P837" s="236">
        <v>45935</v>
      </c>
      <c r="Q837" s="244">
        <v>0.36046296296296299</v>
      </c>
    </row>
    <row r="838" spans="1:17" ht="38.25">
      <c r="A838" s="239" t="s">
        <v>2508</v>
      </c>
      <c r="B838" s="240">
        <v>2086</v>
      </c>
      <c r="C838" s="241">
        <v>19</v>
      </c>
      <c r="D838" s="239" t="s">
        <v>2482</v>
      </c>
      <c r="E838" s="239" t="s">
        <v>403</v>
      </c>
      <c r="F838" s="239" t="s">
        <v>404</v>
      </c>
      <c r="G838" s="239" t="s">
        <v>960</v>
      </c>
      <c r="H838" s="239" t="s">
        <v>51</v>
      </c>
      <c r="I838" s="239" t="s">
        <v>2465</v>
      </c>
      <c r="J838" s="234">
        <v>39990</v>
      </c>
      <c r="K838" s="234">
        <v>14650</v>
      </c>
      <c r="L838" s="242">
        <v>28</v>
      </c>
      <c r="M838" s="308">
        <v>25340</v>
      </c>
      <c r="N838" s="234">
        <v>18244.8</v>
      </c>
      <c r="O838" s="234" t="s">
        <v>2539</v>
      </c>
      <c r="P838" s="236">
        <v>45935</v>
      </c>
      <c r="Q838" s="244">
        <v>0.36888888888888888</v>
      </c>
    </row>
    <row r="839" spans="1:17" ht="38.25">
      <c r="A839" s="239" t="s">
        <v>2509</v>
      </c>
      <c r="B839" s="240">
        <v>2087</v>
      </c>
      <c r="C839" s="241">
        <v>20</v>
      </c>
      <c r="D839" s="239" t="s">
        <v>2482</v>
      </c>
      <c r="E839" s="239" t="s">
        <v>406</v>
      </c>
      <c r="F839" s="239" t="s">
        <v>407</v>
      </c>
      <c r="G839" s="239" t="s">
        <v>960</v>
      </c>
      <c r="H839" s="239" t="s">
        <v>51</v>
      </c>
      <c r="I839" s="239" t="s">
        <v>2465</v>
      </c>
      <c r="J839" s="234">
        <v>39750</v>
      </c>
      <c r="K839" s="234">
        <v>14980</v>
      </c>
      <c r="L839" s="242">
        <v>12</v>
      </c>
      <c r="M839" s="308">
        <v>24770</v>
      </c>
      <c r="N839" s="234">
        <v>21797.599999999999</v>
      </c>
      <c r="O839" s="234" t="s">
        <v>2540</v>
      </c>
      <c r="P839" s="236">
        <v>45935</v>
      </c>
      <c r="Q839" s="244">
        <v>0.38923611111111112</v>
      </c>
    </row>
    <row r="840" spans="1:17" ht="38.25">
      <c r="A840" s="239" t="s">
        <v>2464</v>
      </c>
      <c r="B840" s="240">
        <v>2080</v>
      </c>
      <c r="C840" s="241">
        <v>14</v>
      </c>
      <c r="D840" s="239" t="s">
        <v>2482</v>
      </c>
      <c r="E840" s="239" t="s">
        <v>410</v>
      </c>
      <c r="F840" s="239" t="s">
        <v>411</v>
      </c>
      <c r="G840" s="239" t="s">
        <v>960</v>
      </c>
      <c r="H840" s="239" t="s">
        <v>51</v>
      </c>
      <c r="I840" s="239" t="s">
        <v>2465</v>
      </c>
      <c r="J840" s="234">
        <v>38630</v>
      </c>
      <c r="K840" s="234">
        <v>15240</v>
      </c>
      <c r="L840" s="242">
        <v>26</v>
      </c>
      <c r="M840" s="308">
        <v>23390</v>
      </c>
      <c r="N840" s="234">
        <v>17308.599999999999</v>
      </c>
      <c r="O840" s="234" t="s">
        <v>2480</v>
      </c>
      <c r="P840" s="236">
        <v>45935</v>
      </c>
      <c r="Q840" s="244">
        <v>0.50200231481481483</v>
      </c>
    </row>
    <row r="841" spans="1:17" ht="51">
      <c r="A841" s="239" t="s">
        <v>2510</v>
      </c>
      <c r="B841" s="240">
        <v>2102</v>
      </c>
      <c r="C841" s="241">
        <v>7776</v>
      </c>
      <c r="D841" s="239" t="s">
        <v>2511</v>
      </c>
      <c r="E841" s="239" t="s">
        <v>783</v>
      </c>
      <c r="F841" s="239" t="s">
        <v>784</v>
      </c>
      <c r="G841" s="239" t="s">
        <v>933</v>
      </c>
      <c r="H841" s="239" t="s">
        <v>51</v>
      </c>
      <c r="I841" s="239" t="s">
        <v>2512</v>
      </c>
      <c r="J841" s="234">
        <v>40310</v>
      </c>
      <c r="K841" s="234">
        <v>14620</v>
      </c>
      <c r="L841" s="242">
        <v>11</v>
      </c>
      <c r="M841" s="239">
        <v>25690</v>
      </c>
      <c r="N841" s="240">
        <v>22864.1</v>
      </c>
      <c r="O841" s="241" t="s">
        <v>2541</v>
      </c>
      <c r="P841" s="239">
        <v>45935</v>
      </c>
      <c r="Q841" s="239">
        <v>0.84831018518518519</v>
      </c>
    </row>
    <row r="842" spans="1:17" ht="38.25">
      <c r="A842" s="239" t="s">
        <v>2545</v>
      </c>
      <c r="B842" s="240">
        <v>2092</v>
      </c>
      <c r="C842" s="241">
        <v>1</v>
      </c>
      <c r="D842" s="239" t="s">
        <v>2482</v>
      </c>
      <c r="E842" s="239" t="s">
        <v>382</v>
      </c>
      <c r="F842" s="239" t="s">
        <v>383</v>
      </c>
      <c r="G842" s="239" t="s">
        <v>962</v>
      </c>
      <c r="H842" s="239" t="s">
        <v>971</v>
      </c>
      <c r="I842" s="239" t="s">
        <v>2465</v>
      </c>
      <c r="J842" s="234">
        <v>38960</v>
      </c>
      <c r="K842" s="234">
        <v>14640</v>
      </c>
      <c r="L842" s="242">
        <v>11</v>
      </c>
      <c r="M842" s="239">
        <v>24320</v>
      </c>
      <c r="N842" s="240">
        <v>21644.799999999999</v>
      </c>
      <c r="O842" s="241" t="s">
        <v>2577</v>
      </c>
      <c r="P842" s="239">
        <v>45935</v>
      </c>
      <c r="Q842" s="239">
        <v>0.56376157407407412</v>
      </c>
    </row>
    <row r="843" spans="1:17" ht="38.25">
      <c r="A843" s="239" t="s">
        <v>2546</v>
      </c>
      <c r="B843" s="240">
        <v>2094</v>
      </c>
      <c r="C843" s="241">
        <v>8</v>
      </c>
      <c r="D843" s="239" t="s">
        <v>2482</v>
      </c>
      <c r="E843" s="239" t="s">
        <v>858</v>
      </c>
      <c r="F843" s="239" t="s">
        <v>859</v>
      </c>
      <c r="G843" s="239" t="s">
        <v>962</v>
      </c>
      <c r="H843" s="239" t="s">
        <v>971</v>
      </c>
      <c r="I843" s="239" t="s">
        <v>2465</v>
      </c>
      <c r="J843" s="234">
        <v>40580</v>
      </c>
      <c r="K843" s="234">
        <v>14900</v>
      </c>
      <c r="L843" s="242">
        <v>11</v>
      </c>
      <c r="M843" s="239">
        <v>25680</v>
      </c>
      <c r="N843" s="240">
        <v>22855.200000000001</v>
      </c>
      <c r="O843" s="241" t="s">
        <v>2578</v>
      </c>
      <c r="P843" s="239">
        <v>45935</v>
      </c>
      <c r="Q843" s="239">
        <v>0.60978009259259258</v>
      </c>
    </row>
    <row r="844" spans="1:17" ht="38.25">
      <c r="A844" s="239" t="s">
        <v>2547</v>
      </c>
      <c r="B844" s="240">
        <v>2095</v>
      </c>
      <c r="C844" s="241">
        <v>9</v>
      </c>
      <c r="D844" s="239" t="s">
        <v>2482</v>
      </c>
      <c r="E844" s="239" t="s">
        <v>388</v>
      </c>
      <c r="F844" s="239" t="s">
        <v>389</v>
      </c>
      <c r="G844" s="239" t="s">
        <v>962</v>
      </c>
      <c r="H844" s="239" t="s">
        <v>971</v>
      </c>
      <c r="I844" s="239" t="s">
        <v>2465</v>
      </c>
      <c r="J844" s="234">
        <v>63510</v>
      </c>
      <c r="K844" s="234">
        <v>21300</v>
      </c>
      <c r="L844" s="242">
        <v>10</v>
      </c>
      <c r="M844" s="239">
        <v>42210</v>
      </c>
      <c r="N844" s="240">
        <v>37989</v>
      </c>
      <c r="O844" s="241" t="s">
        <v>2579</v>
      </c>
      <c r="P844" s="239">
        <v>45935</v>
      </c>
      <c r="Q844" s="239">
        <v>0.66753472222222221</v>
      </c>
    </row>
    <row r="845" spans="1:17" ht="38.25">
      <c r="A845" s="239" t="s">
        <v>2548</v>
      </c>
      <c r="B845" s="240">
        <v>2096</v>
      </c>
      <c r="C845" s="241">
        <v>2</v>
      </c>
      <c r="D845" s="239" t="s">
        <v>2482</v>
      </c>
      <c r="E845" s="239" t="s">
        <v>400</v>
      </c>
      <c r="F845" s="239" t="s">
        <v>401</v>
      </c>
      <c r="G845" s="239" t="s">
        <v>962</v>
      </c>
      <c r="H845" s="239" t="s">
        <v>971</v>
      </c>
      <c r="I845" s="239" t="s">
        <v>2465</v>
      </c>
      <c r="J845" s="234">
        <v>39540</v>
      </c>
      <c r="K845" s="234">
        <v>14900</v>
      </c>
      <c r="L845" s="242">
        <v>18</v>
      </c>
      <c r="M845" s="239">
        <v>24640</v>
      </c>
      <c r="N845" s="240">
        <v>20204.8</v>
      </c>
      <c r="O845" s="241" t="s">
        <v>2580</v>
      </c>
      <c r="P845" s="239">
        <v>45935</v>
      </c>
      <c r="Q845" s="239">
        <v>0.698125</v>
      </c>
    </row>
    <row r="846" spans="1:17" ht="38.25">
      <c r="A846" s="239" t="s">
        <v>2549</v>
      </c>
      <c r="B846" s="240">
        <v>2097</v>
      </c>
      <c r="C846" s="241">
        <v>3</v>
      </c>
      <c r="D846" s="239" t="s">
        <v>2482</v>
      </c>
      <c r="E846" s="239" t="s">
        <v>390</v>
      </c>
      <c r="F846" s="239" t="s">
        <v>391</v>
      </c>
      <c r="G846" s="239" t="s">
        <v>962</v>
      </c>
      <c r="H846" s="239" t="s">
        <v>971</v>
      </c>
      <c r="I846" s="239" t="s">
        <v>2465</v>
      </c>
      <c r="J846" s="234">
        <v>41540</v>
      </c>
      <c r="K846" s="234">
        <v>15150</v>
      </c>
      <c r="L846" s="242">
        <v>7</v>
      </c>
      <c r="M846" s="239">
        <v>26390</v>
      </c>
      <c r="N846" s="240">
        <v>24542.7</v>
      </c>
      <c r="O846" s="241" t="s">
        <v>2581</v>
      </c>
      <c r="P846" s="239">
        <v>45935</v>
      </c>
      <c r="Q846" s="239">
        <v>0.78111111111111109</v>
      </c>
    </row>
    <row r="847" spans="1:17" ht="38.25">
      <c r="A847" s="239" t="s">
        <v>2550</v>
      </c>
      <c r="B847" s="240">
        <v>2098</v>
      </c>
      <c r="C847" s="241">
        <v>4</v>
      </c>
      <c r="D847" s="239" t="s">
        <v>2482</v>
      </c>
      <c r="E847" s="239" t="s">
        <v>432</v>
      </c>
      <c r="F847" s="239" t="s">
        <v>433</v>
      </c>
      <c r="G847" s="239" t="s">
        <v>962</v>
      </c>
      <c r="H847" s="239" t="s">
        <v>971</v>
      </c>
      <c r="I847" s="239" t="s">
        <v>2465</v>
      </c>
      <c r="J847" s="234">
        <v>42660</v>
      </c>
      <c r="K847" s="234">
        <v>15800</v>
      </c>
      <c r="L847" s="242">
        <v>13</v>
      </c>
      <c r="M847" s="239">
        <v>26860</v>
      </c>
      <c r="N847" s="240">
        <v>23368.2</v>
      </c>
      <c r="O847" s="241" t="s">
        <v>2582</v>
      </c>
      <c r="P847" s="239">
        <v>45935</v>
      </c>
      <c r="Q847" s="239">
        <v>0.78582175925925923</v>
      </c>
    </row>
    <row r="848" spans="1:17" ht="38.25">
      <c r="A848" s="239" t="s">
        <v>2551</v>
      </c>
      <c r="B848" s="240">
        <v>2099</v>
      </c>
      <c r="C848" s="241">
        <v>7</v>
      </c>
      <c r="D848" s="239" t="s">
        <v>2482</v>
      </c>
      <c r="E848" s="239" t="s">
        <v>372</v>
      </c>
      <c r="F848" s="239" t="s">
        <v>373</v>
      </c>
      <c r="G848" s="239" t="s">
        <v>962</v>
      </c>
      <c r="H848" s="239" t="s">
        <v>971</v>
      </c>
      <c r="I848" s="239" t="s">
        <v>2465</v>
      </c>
      <c r="J848" s="234">
        <v>39450</v>
      </c>
      <c r="K848" s="234">
        <v>15010</v>
      </c>
      <c r="L848" s="242">
        <v>16</v>
      </c>
      <c r="M848" s="308">
        <v>24440</v>
      </c>
      <c r="N848" s="234">
        <v>20529.599999999999</v>
      </c>
      <c r="O848" s="234" t="s">
        <v>2583</v>
      </c>
      <c r="P848" s="236">
        <v>45935</v>
      </c>
      <c r="Q848" s="244">
        <v>0.80844907407407407</v>
      </c>
    </row>
    <row r="849" spans="1:17" ht="38.25">
      <c r="A849" s="239" t="s">
        <v>2552</v>
      </c>
      <c r="B849" s="240">
        <v>2100</v>
      </c>
      <c r="C849" s="241">
        <v>5</v>
      </c>
      <c r="D849" s="239" t="s">
        <v>2482</v>
      </c>
      <c r="E849" s="239" t="s">
        <v>1410</v>
      </c>
      <c r="F849" s="239" t="s">
        <v>437</v>
      </c>
      <c r="G849" s="239" t="s">
        <v>962</v>
      </c>
      <c r="H849" s="239" t="s">
        <v>971</v>
      </c>
      <c r="I849" s="239" t="s">
        <v>2465</v>
      </c>
      <c r="J849" s="234">
        <v>40810</v>
      </c>
      <c r="K849" s="234">
        <v>15010</v>
      </c>
      <c r="L849" s="242">
        <v>8</v>
      </c>
      <c r="M849" s="308">
        <v>25800</v>
      </c>
      <c r="N849" s="234">
        <v>23736</v>
      </c>
      <c r="O849" s="234" t="s">
        <v>2584</v>
      </c>
      <c r="P849" s="236">
        <v>45935</v>
      </c>
      <c r="Q849" s="244">
        <v>0.84150462962962957</v>
      </c>
    </row>
    <row r="850" spans="1:17" ht="38.25">
      <c r="A850" s="239" t="s">
        <v>2553</v>
      </c>
      <c r="B850" s="240">
        <v>2101</v>
      </c>
      <c r="C850" s="241">
        <v>6</v>
      </c>
      <c r="D850" s="239" t="s">
        <v>2482</v>
      </c>
      <c r="E850" s="239" t="s">
        <v>439</v>
      </c>
      <c r="F850" s="239" t="s">
        <v>440</v>
      </c>
      <c r="G850" s="239" t="s">
        <v>962</v>
      </c>
      <c r="H850" s="239" t="s">
        <v>971</v>
      </c>
      <c r="I850" s="239" t="s">
        <v>2465</v>
      </c>
      <c r="J850" s="234">
        <v>42010</v>
      </c>
      <c r="K850" s="234">
        <v>15260</v>
      </c>
      <c r="L850" s="242">
        <v>8</v>
      </c>
      <c r="M850" s="308">
        <v>26750</v>
      </c>
      <c r="N850" s="234">
        <v>24610</v>
      </c>
      <c r="O850" s="234" t="s">
        <v>2585</v>
      </c>
      <c r="P850" s="236">
        <v>45935</v>
      </c>
      <c r="Q850" s="244">
        <v>0.84494212962962967</v>
      </c>
    </row>
    <row r="851" spans="1:17" ht="38.25">
      <c r="A851" s="239" t="s">
        <v>2554</v>
      </c>
      <c r="B851" s="240">
        <v>2104</v>
      </c>
      <c r="C851" s="241">
        <v>10</v>
      </c>
      <c r="D851" s="239" t="s">
        <v>2482</v>
      </c>
      <c r="E851" s="239" t="s">
        <v>392</v>
      </c>
      <c r="F851" s="239" t="s">
        <v>393</v>
      </c>
      <c r="G851" s="239" t="s">
        <v>962</v>
      </c>
      <c r="H851" s="239" t="s">
        <v>971</v>
      </c>
      <c r="I851" s="239" t="s">
        <v>2465</v>
      </c>
      <c r="J851" s="234">
        <v>65350</v>
      </c>
      <c r="K851" s="234">
        <v>24070</v>
      </c>
      <c r="L851" s="242">
        <v>8</v>
      </c>
      <c r="M851" s="308">
        <v>41280</v>
      </c>
      <c r="N851" s="234">
        <v>37977.599999999999</v>
      </c>
      <c r="O851" s="234" t="s">
        <v>2586</v>
      </c>
      <c r="P851" s="236">
        <v>45935</v>
      </c>
      <c r="Q851" s="244">
        <v>0.91951388888888885</v>
      </c>
    </row>
    <row r="852" spans="1:17" ht="38.25">
      <c r="A852" s="239" t="s">
        <v>2555</v>
      </c>
      <c r="B852" s="240">
        <v>2105</v>
      </c>
      <c r="C852" s="241">
        <v>11</v>
      </c>
      <c r="D852" s="239" t="s">
        <v>2482</v>
      </c>
      <c r="E852" s="239" t="s">
        <v>377</v>
      </c>
      <c r="F852" s="239" t="s">
        <v>378</v>
      </c>
      <c r="G852" s="239" t="s">
        <v>962</v>
      </c>
      <c r="H852" s="239" t="s">
        <v>971</v>
      </c>
      <c r="I852" s="239" t="s">
        <v>2465</v>
      </c>
      <c r="J852" s="234">
        <v>42790</v>
      </c>
      <c r="K852" s="234">
        <v>15190</v>
      </c>
      <c r="L852" s="242">
        <v>9</v>
      </c>
      <c r="M852" s="308">
        <v>27600</v>
      </c>
      <c r="N852" s="234">
        <v>25116</v>
      </c>
      <c r="O852" s="234" t="s">
        <v>2587</v>
      </c>
      <c r="P852" s="236">
        <v>45935</v>
      </c>
      <c r="Q852" s="244">
        <v>0.9753356481481481</v>
      </c>
    </row>
    <row r="853" spans="1:17" ht="38.25">
      <c r="A853" s="239" t="s">
        <v>2556</v>
      </c>
      <c r="B853" s="240">
        <v>2107</v>
      </c>
      <c r="C853" s="241">
        <v>12</v>
      </c>
      <c r="D853" s="239" t="s">
        <v>2482</v>
      </c>
      <c r="E853" s="239" t="s">
        <v>410</v>
      </c>
      <c r="F853" s="239" t="s">
        <v>411</v>
      </c>
      <c r="G853" s="239" t="s">
        <v>962</v>
      </c>
      <c r="H853" s="239" t="s">
        <v>971</v>
      </c>
      <c r="I853" s="239" t="s">
        <v>2465</v>
      </c>
      <c r="J853" s="234">
        <v>40000</v>
      </c>
      <c r="K853" s="234">
        <v>15290</v>
      </c>
      <c r="L853" s="242">
        <v>22</v>
      </c>
      <c r="M853" s="308">
        <v>24710</v>
      </c>
      <c r="N853" s="234">
        <v>19273.8</v>
      </c>
      <c r="O853" s="234" t="s">
        <v>2588</v>
      </c>
      <c r="P853" s="236">
        <v>45936</v>
      </c>
      <c r="Q853" s="244">
        <v>0.48399305555555555</v>
      </c>
    </row>
    <row r="854" spans="1:17" ht="38.25">
      <c r="A854" s="239" t="s">
        <v>2557</v>
      </c>
      <c r="B854" s="240">
        <v>2108</v>
      </c>
      <c r="C854" s="241">
        <v>13</v>
      </c>
      <c r="D854" s="239" t="s">
        <v>2482</v>
      </c>
      <c r="E854" s="239" t="s">
        <v>447</v>
      </c>
      <c r="F854" s="239" t="s">
        <v>448</v>
      </c>
      <c r="G854" s="239" t="s">
        <v>962</v>
      </c>
      <c r="H854" s="239" t="s">
        <v>971</v>
      </c>
      <c r="I854" s="239" t="s">
        <v>2465</v>
      </c>
      <c r="J854" s="234">
        <v>53310</v>
      </c>
      <c r="K854" s="234">
        <v>19420</v>
      </c>
      <c r="L854" s="242">
        <v>7</v>
      </c>
      <c r="M854" s="308">
        <v>33890</v>
      </c>
      <c r="N854" s="234">
        <v>31517.7</v>
      </c>
      <c r="O854" s="234" t="s">
        <v>2589</v>
      </c>
      <c r="P854" s="236">
        <v>45936</v>
      </c>
      <c r="Q854" s="244">
        <v>0.56043981481481486</v>
      </c>
    </row>
    <row r="855" spans="1:17" ht="38.25">
      <c r="A855" s="239" t="s">
        <v>2558</v>
      </c>
      <c r="B855" s="240">
        <v>2109</v>
      </c>
      <c r="C855" s="241">
        <v>14</v>
      </c>
      <c r="D855" s="239" t="s">
        <v>2482</v>
      </c>
      <c r="E855" s="239" t="s">
        <v>453</v>
      </c>
      <c r="F855" s="239" t="s">
        <v>454</v>
      </c>
      <c r="G855" s="239" t="s">
        <v>962</v>
      </c>
      <c r="H855" s="239" t="s">
        <v>971</v>
      </c>
      <c r="I855" s="239" t="s">
        <v>2465</v>
      </c>
      <c r="J855" s="234">
        <v>57980</v>
      </c>
      <c r="K855" s="234">
        <v>24220</v>
      </c>
      <c r="L855" s="242">
        <v>12</v>
      </c>
      <c r="M855" s="308">
        <v>33760</v>
      </c>
      <c r="N855" s="234">
        <v>29708.799999999999</v>
      </c>
      <c r="O855" s="234" t="s">
        <v>2590</v>
      </c>
      <c r="P855" s="236">
        <v>45936</v>
      </c>
      <c r="Q855" s="244">
        <v>0.60469907407407408</v>
      </c>
    </row>
    <row r="856" spans="1:17" ht="38.25">
      <c r="A856" s="239" t="s">
        <v>2559</v>
      </c>
      <c r="B856" s="240">
        <v>2110</v>
      </c>
      <c r="C856" s="241">
        <v>15</v>
      </c>
      <c r="D856" s="239" t="s">
        <v>2482</v>
      </c>
      <c r="E856" s="239" t="s">
        <v>456</v>
      </c>
      <c r="F856" s="239" t="s">
        <v>457</v>
      </c>
      <c r="G856" s="239" t="s">
        <v>962</v>
      </c>
      <c r="H856" s="239" t="s">
        <v>971</v>
      </c>
      <c r="I856" s="239" t="s">
        <v>2465</v>
      </c>
      <c r="J856" s="234">
        <v>44690</v>
      </c>
      <c r="K856" s="234">
        <v>15670</v>
      </c>
      <c r="L856" s="242">
        <v>11</v>
      </c>
      <c r="M856" s="308">
        <v>29020</v>
      </c>
      <c r="N856" s="234">
        <v>25827.8</v>
      </c>
      <c r="O856" s="234" t="s">
        <v>2591</v>
      </c>
      <c r="P856" s="236">
        <v>45936</v>
      </c>
      <c r="Q856" s="244">
        <v>0.61938657407407405</v>
      </c>
    </row>
    <row r="857" spans="1:17" ht="38.25">
      <c r="A857" s="239" t="s">
        <v>2560</v>
      </c>
      <c r="B857" s="240">
        <v>2111</v>
      </c>
      <c r="C857" s="241">
        <v>16</v>
      </c>
      <c r="D857" s="239" t="s">
        <v>2482</v>
      </c>
      <c r="E857" s="239" t="s">
        <v>416</v>
      </c>
      <c r="F857" s="239" t="s">
        <v>417</v>
      </c>
      <c r="G857" s="239" t="s">
        <v>962</v>
      </c>
      <c r="H857" s="239" t="s">
        <v>971</v>
      </c>
      <c r="I857" s="239" t="s">
        <v>2465</v>
      </c>
      <c r="J857" s="234">
        <v>39120</v>
      </c>
      <c r="K857" s="234">
        <v>14710</v>
      </c>
      <c r="L857" s="242">
        <v>12</v>
      </c>
      <c r="M857" s="308">
        <v>24410</v>
      </c>
      <c r="N857" s="234">
        <v>21480.799999999999</v>
      </c>
      <c r="O857" s="234" t="s">
        <v>2592</v>
      </c>
      <c r="P857" s="236">
        <v>45936</v>
      </c>
      <c r="Q857" s="244">
        <v>0.66476851851851848</v>
      </c>
    </row>
    <row r="858" spans="1:17" ht="51">
      <c r="A858" s="239" t="s">
        <v>2566</v>
      </c>
      <c r="B858" s="240">
        <v>2133</v>
      </c>
      <c r="C858" s="241">
        <v>7812</v>
      </c>
      <c r="D858" s="239" t="s">
        <v>2511</v>
      </c>
      <c r="E858" s="239" t="s">
        <v>794</v>
      </c>
      <c r="F858" s="239" t="s">
        <v>795</v>
      </c>
      <c r="G858" s="239" t="s">
        <v>933</v>
      </c>
      <c r="H858" s="239" t="s">
        <v>51</v>
      </c>
      <c r="I858" s="239" t="s">
        <v>2512</v>
      </c>
      <c r="J858" s="234">
        <v>42180</v>
      </c>
      <c r="K858" s="234">
        <v>16120</v>
      </c>
      <c r="L858" s="242">
        <v>5</v>
      </c>
      <c r="M858" s="308">
        <v>26060</v>
      </c>
      <c r="N858" s="234">
        <v>24757</v>
      </c>
      <c r="O858" s="234" t="s">
        <v>2598</v>
      </c>
      <c r="P858" s="236">
        <v>45936</v>
      </c>
      <c r="Q858" s="244">
        <v>0.72598379629629628</v>
      </c>
    </row>
    <row r="859" spans="1:17" ht="38.25">
      <c r="A859" s="239" t="s">
        <v>2561</v>
      </c>
      <c r="B859" s="240">
        <v>2113</v>
      </c>
      <c r="C859" s="241">
        <v>17</v>
      </c>
      <c r="D859" s="239" t="s">
        <v>2482</v>
      </c>
      <c r="E859" s="239" t="s">
        <v>403</v>
      </c>
      <c r="F859" s="239" t="s">
        <v>404</v>
      </c>
      <c r="G859" s="239" t="s">
        <v>962</v>
      </c>
      <c r="H859" s="239" t="s">
        <v>971</v>
      </c>
      <c r="I859" s="239" t="s">
        <v>2465</v>
      </c>
      <c r="J859" s="234">
        <v>39800</v>
      </c>
      <c r="K859" s="234">
        <v>14640</v>
      </c>
      <c r="L859" s="242">
        <v>15</v>
      </c>
      <c r="M859" s="308">
        <v>25160</v>
      </c>
      <c r="N859" s="234">
        <v>21386</v>
      </c>
      <c r="O859" s="234" t="s">
        <v>2593</v>
      </c>
      <c r="P859" s="236">
        <v>45936</v>
      </c>
      <c r="Q859" s="244">
        <v>0.75709490740740737</v>
      </c>
    </row>
    <row r="860" spans="1:17" ht="38.25">
      <c r="A860" s="239" t="s">
        <v>2562</v>
      </c>
      <c r="B860" s="240">
        <v>2114</v>
      </c>
      <c r="C860" s="241">
        <v>18</v>
      </c>
      <c r="D860" s="239" t="s">
        <v>2482</v>
      </c>
      <c r="E860" s="239" t="s">
        <v>406</v>
      </c>
      <c r="F860" s="239" t="s">
        <v>407</v>
      </c>
      <c r="G860" s="239" t="s">
        <v>962</v>
      </c>
      <c r="H860" s="239" t="s">
        <v>971</v>
      </c>
      <c r="I860" s="239" t="s">
        <v>2465</v>
      </c>
      <c r="J860" s="234">
        <v>39980</v>
      </c>
      <c r="K860" s="234">
        <v>15230</v>
      </c>
      <c r="L860" s="242">
        <v>9</v>
      </c>
      <c r="M860" s="308">
        <v>24750</v>
      </c>
      <c r="N860" s="234">
        <v>22522.5</v>
      </c>
      <c r="O860" s="234" t="s">
        <v>2594</v>
      </c>
      <c r="P860" s="236">
        <v>45936</v>
      </c>
      <c r="Q860" s="244">
        <v>0.75937500000000002</v>
      </c>
    </row>
    <row r="861" spans="1:17" ht="51">
      <c r="A861" s="239" t="s">
        <v>2567</v>
      </c>
      <c r="B861" s="240">
        <v>2135</v>
      </c>
      <c r="C861" s="241">
        <v>7814</v>
      </c>
      <c r="D861" s="239" t="s">
        <v>2511</v>
      </c>
      <c r="E861" s="239" t="s">
        <v>791</v>
      </c>
      <c r="F861" s="239" t="s">
        <v>792</v>
      </c>
      <c r="G861" s="239" t="s">
        <v>933</v>
      </c>
      <c r="H861" s="239" t="s">
        <v>51</v>
      </c>
      <c r="I861" s="239" t="s">
        <v>2512</v>
      </c>
      <c r="J861" s="234">
        <v>41270</v>
      </c>
      <c r="K861" s="234">
        <v>14960</v>
      </c>
      <c r="L861" s="242">
        <v>5</v>
      </c>
      <c r="M861" s="308">
        <v>26310</v>
      </c>
      <c r="N861" s="234">
        <v>24994.5</v>
      </c>
      <c r="O861" s="234" t="s">
        <v>2599</v>
      </c>
      <c r="P861" s="236">
        <v>45936</v>
      </c>
      <c r="Q861" s="244">
        <v>0.76910879629629625</v>
      </c>
    </row>
    <row r="862" spans="1:17" ht="38.25">
      <c r="A862" s="239" t="s">
        <v>2563</v>
      </c>
      <c r="B862" s="240">
        <v>2115</v>
      </c>
      <c r="C862" s="241">
        <v>19</v>
      </c>
      <c r="D862" s="239" t="s">
        <v>2482</v>
      </c>
      <c r="E862" s="239" t="s">
        <v>780</v>
      </c>
      <c r="F862" s="239" t="s">
        <v>781</v>
      </c>
      <c r="G862" s="239" t="s">
        <v>962</v>
      </c>
      <c r="H862" s="239" t="s">
        <v>42</v>
      </c>
      <c r="I862" s="239" t="s">
        <v>2465</v>
      </c>
      <c r="J862" s="234">
        <v>37540</v>
      </c>
      <c r="K862" s="234">
        <v>14980</v>
      </c>
      <c r="L862" s="242">
        <v>15</v>
      </c>
      <c r="M862" s="308">
        <v>22560</v>
      </c>
      <c r="N862" s="234">
        <v>19176</v>
      </c>
      <c r="O862" s="234" t="s">
        <v>2595</v>
      </c>
      <c r="P862" s="236">
        <v>45936</v>
      </c>
      <c r="Q862" s="244">
        <v>0.80144675925925923</v>
      </c>
    </row>
    <row r="863" spans="1:17" ht="51">
      <c r="A863" s="239" t="s">
        <v>2568</v>
      </c>
      <c r="B863" s="240">
        <v>2136</v>
      </c>
      <c r="C863" s="241">
        <v>7815</v>
      </c>
      <c r="D863" s="239" t="s">
        <v>2511</v>
      </c>
      <c r="E863" s="239" t="s">
        <v>786</v>
      </c>
      <c r="F863" s="239" t="s">
        <v>787</v>
      </c>
      <c r="G863" s="239" t="s">
        <v>933</v>
      </c>
      <c r="H863" s="239" t="s">
        <v>51</v>
      </c>
      <c r="I863" s="239" t="s">
        <v>2512</v>
      </c>
      <c r="J863" s="234">
        <v>36090</v>
      </c>
      <c r="K863" s="234">
        <v>13980</v>
      </c>
      <c r="L863" s="242">
        <v>5</v>
      </c>
      <c r="M863" s="308">
        <v>22110</v>
      </c>
      <c r="N863" s="234">
        <v>21004.5</v>
      </c>
      <c r="O863" s="234" t="s">
        <v>2600</v>
      </c>
      <c r="P863" s="236">
        <v>45936</v>
      </c>
      <c r="Q863" s="244">
        <v>0.82207175925925924</v>
      </c>
    </row>
    <row r="864" spans="1:17" ht="38.25">
      <c r="A864" s="239" t="s">
        <v>2564</v>
      </c>
      <c r="B864" s="240">
        <v>2116</v>
      </c>
      <c r="C864" s="241">
        <v>20</v>
      </c>
      <c r="D864" s="239" t="s">
        <v>2482</v>
      </c>
      <c r="E864" s="239" t="s">
        <v>442</v>
      </c>
      <c r="F864" s="239" t="s">
        <v>443</v>
      </c>
      <c r="G864" s="239" t="s">
        <v>962</v>
      </c>
      <c r="H864" s="239" t="s">
        <v>42</v>
      </c>
      <c r="I864" s="239" t="s">
        <v>2465</v>
      </c>
      <c r="J864" s="234">
        <v>35640</v>
      </c>
      <c r="K864" s="234">
        <v>14560</v>
      </c>
      <c r="L864" s="242">
        <v>9</v>
      </c>
      <c r="M864" s="308">
        <v>21080</v>
      </c>
      <c r="N864" s="234">
        <v>19182.8</v>
      </c>
      <c r="O864" s="234" t="s">
        <v>2596</v>
      </c>
      <c r="P864" s="236">
        <v>45936</v>
      </c>
      <c r="Q864" s="244">
        <v>0.85381944444444446</v>
      </c>
    </row>
    <row r="865" spans="1:17" ht="38.25">
      <c r="A865" s="239" t="s">
        <v>2565</v>
      </c>
      <c r="B865" s="240">
        <v>2120</v>
      </c>
      <c r="C865" s="241">
        <v>21</v>
      </c>
      <c r="D865" s="239" t="s">
        <v>2482</v>
      </c>
      <c r="E865" s="239" t="s">
        <v>374</v>
      </c>
      <c r="F865" s="239" t="s">
        <v>375</v>
      </c>
      <c r="G865" s="239" t="s">
        <v>962</v>
      </c>
      <c r="H865" s="239" t="s">
        <v>42</v>
      </c>
      <c r="I865" s="239" t="s">
        <v>2465</v>
      </c>
      <c r="J865" s="234">
        <v>42180</v>
      </c>
      <c r="K865" s="234">
        <v>15570</v>
      </c>
      <c r="L865" s="242">
        <v>7</v>
      </c>
      <c r="M865" s="308">
        <v>26610</v>
      </c>
      <c r="N865" s="234">
        <v>24747.3</v>
      </c>
      <c r="O865" s="234" t="s">
        <v>2597</v>
      </c>
      <c r="P865" s="236">
        <v>45936</v>
      </c>
      <c r="Q865" s="244">
        <v>0.88549768518518523</v>
      </c>
    </row>
    <row r="866" spans="1:17" ht="51">
      <c r="A866" s="239" t="s">
        <v>2569</v>
      </c>
      <c r="B866" s="240">
        <v>2131</v>
      </c>
      <c r="C866" s="241">
        <v>7810</v>
      </c>
      <c r="D866" s="239" t="s">
        <v>2511</v>
      </c>
      <c r="E866" s="239" t="s">
        <v>388</v>
      </c>
      <c r="F866" s="239" t="s">
        <v>389</v>
      </c>
      <c r="G866" s="239" t="s">
        <v>933</v>
      </c>
      <c r="H866" s="239" t="s">
        <v>51</v>
      </c>
      <c r="I866" s="239" t="s">
        <v>2512</v>
      </c>
      <c r="J866" s="234">
        <v>62860</v>
      </c>
      <c r="K866" s="234">
        <v>21250</v>
      </c>
      <c r="L866" s="242">
        <v>1</v>
      </c>
      <c r="M866" s="308">
        <v>41610</v>
      </c>
      <c r="N866" s="234">
        <v>41193.9</v>
      </c>
      <c r="O866" s="234" t="s">
        <v>2601</v>
      </c>
      <c r="P866" s="236">
        <v>45936</v>
      </c>
      <c r="Q866" s="244">
        <v>0.94401620370370365</v>
      </c>
    </row>
    <row r="867" spans="1:17" ht="51">
      <c r="A867" s="239" t="s">
        <v>2570</v>
      </c>
      <c r="B867" s="240">
        <v>2139</v>
      </c>
      <c r="C867" s="241">
        <v>7823</v>
      </c>
      <c r="D867" s="239" t="s">
        <v>2511</v>
      </c>
      <c r="E867" s="239" t="s">
        <v>400</v>
      </c>
      <c r="F867" s="239" t="s">
        <v>401</v>
      </c>
      <c r="G867" s="239" t="s">
        <v>933</v>
      </c>
      <c r="H867" s="239" t="s">
        <v>51</v>
      </c>
      <c r="I867" s="239" t="s">
        <v>2512</v>
      </c>
      <c r="J867" s="234">
        <v>37970</v>
      </c>
      <c r="K867" s="234">
        <v>14720</v>
      </c>
      <c r="L867" s="242">
        <v>4</v>
      </c>
      <c r="M867" s="308">
        <v>23250</v>
      </c>
      <c r="N867" s="234">
        <v>22320</v>
      </c>
      <c r="O867" s="234" t="s">
        <v>2602</v>
      </c>
      <c r="P867" s="236">
        <v>45936</v>
      </c>
      <c r="Q867" s="244">
        <v>0.96501157407407412</v>
      </c>
    </row>
    <row r="868" spans="1:17" ht="51">
      <c r="A868" s="239" t="s">
        <v>2571</v>
      </c>
      <c r="B868" s="240">
        <v>2140</v>
      </c>
      <c r="C868" s="241">
        <v>7824</v>
      </c>
      <c r="D868" s="239" t="s">
        <v>2511</v>
      </c>
      <c r="E868" s="239" t="s">
        <v>382</v>
      </c>
      <c r="F868" s="239" t="s">
        <v>383</v>
      </c>
      <c r="G868" s="239" t="s">
        <v>933</v>
      </c>
      <c r="H868" s="239" t="s">
        <v>51</v>
      </c>
      <c r="I868" s="239" t="s">
        <v>2512</v>
      </c>
      <c r="J868" s="234">
        <v>37130</v>
      </c>
      <c r="K868" s="234">
        <v>14560</v>
      </c>
      <c r="L868" s="242">
        <v>4</v>
      </c>
      <c r="M868" s="308">
        <v>22570</v>
      </c>
      <c r="N868" s="234">
        <v>21667.200000000001</v>
      </c>
      <c r="O868" s="234" t="s">
        <v>2603</v>
      </c>
      <c r="P868" s="236">
        <v>45936</v>
      </c>
      <c r="Q868" s="244">
        <v>0.96745370370370365</v>
      </c>
    </row>
    <row r="869" spans="1:17" ht="51">
      <c r="A869" s="239" t="s">
        <v>2572</v>
      </c>
      <c r="B869" s="240">
        <v>2132</v>
      </c>
      <c r="C869" s="241">
        <v>7811</v>
      </c>
      <c r="D869" s="239" t="s">
        <v>2511</v>
      </c>
      <c r="E869" s="239" t="s">
        <v>841</v>
      </c>
      <c r="F869" s="239" t="s">
        <v>845</v>
      </c>
      <c r="G869" s="239" t="s">
        <v>933</v>
      </c>
      <c r="H869" s="239" t="s">
        <v>51</v>
      </c>
      <c r="I869" s="239" t="s">
        <v>2512</v>
      </c>
      <c r="J869" s="234">
        <v>43480</v>
      </c>
      <c r="K869" s="234">
        <v>15890</v>
      </c>
      <c r="L869" s="242">
        <v>4</v>
      </c>
      <c r="M869" s="308">
        <v>27590</v>
      </c>
      <c r="N869" s="234">
        <v>26486.400000000001</v>
      </c>
      <c r="O869" s="234" t="s">
        <v>2604</v>
      </c>
      <c r="P869" s="236">
        <v>45936</v>
      </c>
      <c r="Q869" s="244">
        <v>0.99045138888888884</v>
      </c>
    </row>
    <row r="870" spans="1:17" ht="51">
      <c r="A870" s="239" t="s">
        <v>2573</v>
      </c>
      <c r="B870" s="240">
        <v>2142</v>
      </c>
      <c r="C870" s="241">
        <v>7829</v>
      </c>
      <c r="D870" s="239" t="s">
        <v>2511</v>
      </c>
      <c r="E870" s="239" t="s">
        <v>462</v>
      </c>
      <c r="F870" s="239" t="s">
        <v>463</v>
      </c>
      <c r="G870" s="239" t="s">
        <v>933</v>
      </c>
      <c r="H870" s="239" t="s">
        <v>51</v>
      </c>
      <c r="I870" s="239" t="s">
        <v>2512</v>
      </c>
      <c r="J870" s="234">
        <v>40780</v>
      </c>
      <c r="K870" s="234">
        <v>16330</v>
      </c>
      <c r="L870" s="242">
        <v>6</v>
      </c>
      <c r="M870" s="308">
        <v>24450</v>
      </c>
      <c r="N870" s="234">
        <v>22983</v>
      </c>
      <c r="O870" s="234" t="s">
        <v>2605</v>
      </c>
      <c r="P870" s="236">
        <v>45937</v>
      </c>
      <c r="Q870" s="244">
        <v>0.17793981481481483</v>
      </c>
    </row>
    <row r="871" spans="1:17" ht="51">
      <c r="A871" s="239" t="s">
        <v>2574</v>
      </c>
      <c r="B871" s="240">
        <v>2143</v>
      </c>
      <c r="C871" s="241">
        <v>7828</v>
      </c>
      <c r="D871" s="239" t="s">
        <v>2511</v>
      </c>
      <c r="E871" s="239" t="s">
        <v>432</v>
      </c>
      <c r="F871" s="239" t="s">
        <v>433</v>
      </c>
      <c r="G871" s="239" t="s">
        <v>933</v>
      </c>
      <c r="H871" s="239" t="s">
        <v>51</v>
      </c>
      <c r="I871" s="239" t="s">
        <v>2512</v>
      </c>
      <c r="J871" s="234">
        <v>42870</v>
      </c>
      <c r="K871" s="234">
        <v>15700</v>
      </c>
      <c r="L871" s="242">
        <v>5</v>
      </c>
      <c r="M871" s="308">
        <v>27170</v>
      </c>
      <c r="N871" s="234">
        <v>25811.5</v>
      </c>
      <c r="O871" s="234" t="s">
        <v>2606</v>
      </c>
      <c r="P871" s="236">
        <v>45937</v>
      </c>
      <c r="Q871" s="244">
        <v>0.21415509259259261</v>
      </c>
    </row>
    <row r="872" spans="1:17" ht="51">
      <c r="A872" s="239" t="s">
        <v>2575</v>
      </c>
      <c r="B872" s="240">
        <v>2144</v>
      </c>
      <c r="C872" s="241">
        <v>7776</v>
      </c>
      <c r="D872" s="239" t="s">
        <v>2511</v>
      </c>
      <c r="E872" s="239" t="s">
        <v>783</v>
      </c>
      <c r="F872" s="239" t="s">
        <v>784</v>
      </c>
      <c r="G872" s="239" t="s">
        <v>933</v>
      </c>
      <c r="H872" s="239" t="s">
        <v>51</v>
      </c>
      <c r="I872" s="239" t="s">
        <v>2512</v>
      </c>
      <c r="J872" s="234">
        <v>39200</v>
      </c>
      <c r="K872" s="234">
        <v>14380</v>
      </c>
      <c r="L872" s="242">
        <v>7</v>
      </c>
      <c r="M872" s="308">
        <v>24820</v>
      </c>
      <c r="N872" s="234">
        <v>23082.6</v>
      </c>
      <c r="O872" s="234" t="s">
        <v>2607</v>
      </c>
      <c r="P872" s="236">
        <v>45937</v>
      </c>
      <c r="Q872" s="244">
        <v>0.27879629629629632</v>
      </c>
    </row>
    <row r="873" spans="1:17" ht="51">
      <c r="A873" s="239" t="s">
        <v>2576</v>
      </c>
      <c r="B873" s="240">
        <v>2145</v>
      </c>
      <c r="C873" s="241">
        <v>7843</v>
      </c>
      <c r="D873" s="239" t="s">
        <v>2511</v>
      </c>
      <c r="E873" s="239" t="s">
        <v>377</v>
      </c>
      <c r="F873" s="239" t="s">
        <v>378</v>
      </c>
      <c r="G873" s="239" t="s">
        <v>933</v>
      </c>
      <c r="H873" s="239" t="s">
        <v>51</v>
      </c>
      <c r="I873" s="239" t="s">
        <v>2512</v>
      </c>
      <c r="J873" s="234">
        <v>42760</v>
      </c>
      <c r="K873" s="234">
        <v>15080</v>
      </c>
      <c r="L873" s="242">
        <v>6</v>
      </c>
      <c r="M873" s="308">
        <v>27680</v>
      </c>
      <c r="N873" s="234">
        <v>26019.200000000001</v>
      </c>
      <c r="O873" s="234" t="s">
        <v>2608</v>
      </c>
      <c r="P873" s="236">
        <v>45937</v>
      </c>
      <c r="Q873" s="244">
        <v>0.28645833333333331</v>
      </c>
    </row>
    <row r="874" spans="1:17" ht="51">
      <c r="A874" s="239" t="s">
        <v>2609</v>
      </c>
      <c r="B874" s="240">
        <v>2147</v>
      </c>
      <c r="C874" s="241">
        <v>7847</v>
      </c>
      <c r="D874" s="239" t="s">
        <v>2511</v>
      </c>
      <c r="E874" s="239" t="s">
        <v>472</v>
      </c>
      <c r="F874" s="239" t="s">
        <v>473</v>
      </c>
      <c r="G874" s="239" t="s">
        <v>933</v>
      </c>
      <c r="H874" s="239" t="s">
        <v>51</v>
      </c>
      <c r="I874" s="239" t="s">
        <v>2512</v>
      </c>
      <c r="J874" s="234">
        <v>41170</v>
      </c>
      <c r="K874" s="234">
        <v>16480</v>
      </c>
      <c r="L874" s="242">
        <v>6</v>
      </c>
      <c r="M874" s="308">
        <v>24690</v>
      </c>
      <c r="N874" s="234">
        <v>23208.6</v>
      </c>
      <c r="O874" s="234" t="s">
        <v>2610</v>
      </c>
      <c r="P874" s="236">
        <v>45937</v>
      </c>
      <c r="Q874" s="244">
        <v>0.39565972222222223</v>
      </c>
    </row>
    <row r="875" spans="1:17" ht="51">
      <c r="A875" s="239" t="s">
        <v>2611</v>
      </c>
      <c r="B875" s="240">
        <v>2148</v>
      </c>
      <c r="C875" s="241">
        <v>7848</v>
      </c>
      <c r="D875" s="239" t="s">
        <v>2511</v>
      </c>
      <c r="E875" s="239" t="s">
        <v>475</v>
      </c>
      <c r="F875" s="239" t="s">
        <v>476</v>
      </c>
      <c r="G875" s="239" t="s">
        <v>933</v>
      </c>
      <c r="H875" s="239" t="s">
        <v>51</v>
      </c>
      <c r="I875" s="239" t="s">
        <v>2512</v>
      </c>
      <c r="J875" s="234">
        <v>41130</v>
      </c>
      <c r="K875" s="234">
        <v>16370</v>
      </c>
      <c r="L875" s="242">
        <v>4</v>
      </c>
      <c r="M875" s="308">
        <v>24760</v>
      </c>
      <c r="N875" s="234">
        <v>23769.599999999999</v>
      </c>
      <c r="O875" s="234" t="s">
        <v>2612</v>
      </c>
      <c r="P875" s="236">
        <v>45937</v>
      </c>
      <c r="Q875" s="244">
        <v>0.41173611111111114</v>
      </c>
    </row>
    <row r="876" spans="1:17" ht="38.25">
      <c r="A876" s="239" t="s">
        <v>2613</v>
      </c>
      <c r="B876" s="240">
        <v>2156</v>
      </c>
      <c r="C876" s="241">
        <v>1</v>
      </c>
      <c r="D876" s="239" t="s">
        <v>2482</v>
      </c>
      <c r="E876" s="239" t="s">
        <v>392</v>
      </c>
      <c r="F876" s="239" t="s">
        <v>393</v>
      </c>
      <c r="G876" s="239" t="s">
        <v>960</v>
      </c>
      <c r="H876" s="239" t="s">
        <v>51</v>
      </c>
      <c r="I876" s="239" t="s">
        <v>2465</v>
      </c>
      <c r="J876" s="234">
        <v>64650</v>
      </c>
      <c r="K876" s="234">
        <v>24150</v>
      </c>
      <c r="L876" s="242">
        <v>4</v>
      </c>
      <c r="M876" s="308">
        <v>40500</v>
      </c>
      <c r="N876" s="234">
        <v>38880</v>
      </c>
      <c r="O876" s="234" t="s">
        <v>2631</v>
      </c>
      <c r="P876" s="236">
        <v>45937</v>
      </c>
      <c r="Q876" s="244">
        <v>0.60785879629629624</v>
      </c>
    </row>
    <row r="877" spans="1:17" ht="38.25">
      <c r="A877" s="239" t="s">
        <v>2614</v>
      </c>
      <c r="B877" s="240">
        <v>2157</v>
      </c>
      <c r="C877" s="241">
        <v>2</v>
      </c>
      <c r="D877" s="239" t="s">
        <v>2482</v>
      </c>
      <c r="E877" s="239" t="s">
        <v>390</v>
      </c>
      <c r="F877" s="239" t="s">
        <v>391</v>
      </c>
      <c r="G877" s="239" t="s">
        <v>960</v>
      </c>
      <c r="H877" s="239" t="s">
        <v>51</v>
      </c>
      <c r="I877" s="239" t="s">
        <v>2465</v>
      </c>
      <c r="J877" s="234">
        <v>40870</v>
      </c>
      <c r="K877" s="234">
        <v>15130</v>
      </c>
      <c r="L877" s="242">
        <v>6</v>
      </c>
      <c r="M877" s="308">
        <v>25740</v>
      </c>
      <c r="N877" s="234">
        <v>24195.599999999999</v>
      </c>
      <c r="O877" s="234" t="s">
        <v>2632</v>
      </c>
      <c r="P877" s="236">
        <v>45937</v>
      </c>
      <c r="Q877" s="244">
        <v>0.61480324074074078</v>
      </c>
    </row>
    <row r="878" spans="1:17" ht="38.25">
      <c r="A878" s="239" t="s">
        <v>2615</v>
      </c>
      <c r="B878" s="240">
        <v>2159</v>
      </c>
      <c r="C878" s="241">
        <v>3</v>
      </c>
      <c r="D878" s="239" t="s">
        <v>2482</v>
      </c>
      <c r="E878" s="239" t="s">
        <v>858</v>
      </c>
      <c r="F878" s="239" t="s">
        <v>859</v>
      </c>
      <c r="G878" s="239" t="s">
        <v>960</v>
      </c>
      <c r="H878" s="239" t="s">
        <v>51</v>
      </c>
      <c r="I878" s="239" t="s">
        <v>2465</v>
      </c>
      <c r="J878" s="234">
        <v>40600</v>
      </c>
      <c r="K878" s="234">
        <v>14960</v>
      </c>
      <c r="L878" s="242">
        <v>9</v>
      </c>
      <c r="M878" s="308">
        <v>25640</v>
      </c>
      <c r="N878" s="234">
        <v>23332.400000000001</v>
      </c>
      <c r="O878" s="234" t="s">
        <v>2633</v>
      </c>
      <c r="P878" s="236">
        <v>45937</v>
      </c>
      <c r="Q878" s="244">
        <v>0.64803240740740742</v>
      </c>
    </row>
    <row r="879" spans="1:17" ht="38.25">
      <c r="A879" s="239" t="s">
        <v>2616</v>
      </c>
      <c r="B879" s="240">
        <v>2164</v>
      </c>
      <c r="C879" s="241">
        <v>4</v>
      </c>
      <c r="D879" s="239" t="s">
        <v>2482</v>
      </c>
      <c r="E879" s="239" t="s">
        <v>456</v>
      </c>
      <c r="F879" s="239" t="s">
        <v>457</v>
      </c>
      <c r="G879" s="239" t="s">
        <v>960</v>
      </c>
      <c r="H879" s="239" t="s">
        <v>51</v>
      </c>
      <c r="I879" s="239" t="s">
        <v>2465</v>
      </c>
      <c r="J879" s="234">
        <v>45180</v>
      </c>
      <c r="K879" s="234">
        <v>15840</v>
      </c>
      <c r="L879" s="242">
        <v>5</v>
      </c>
      <c r="M879" s="308">
        <v>29340</v>
      </c>
      <c r="N879" s="234">
        <v>27873</v>
      </c>
      <c r="O879" s="234" t="s">
        <v>2634</v>
      </c>
      <c r="P879" s="236">
        <v>45937</v>
      </c>
      <c r="Q879" s="244">
        <v>0.74315972222222226</v>
      </c>
    </row>
    <row r="880" spans="1:17" ht="38.25">
      <c r="A880" s="239" t="s">
        <v>2617</v>
      </c>
      <c r="B880" s="240">
        <v>2165</v>
      </c>
      <c r="C880" s="241">
        <v>5</v>
      </c>
      <c r="D880" s="239" t="s">
        <v>2482</v>
      </c>
      <c r="E880" s="239" t="s">
        <v>413</v>
      </c>
      <c r="F880" s="239" t="s">
        <v>414</v>
      </c>
      <c r="G880" s="239" t="s">
        <v>960</v>
      </c>
      <c r="H880" s="239" t="s">
        <v>51</v>
      </c>
      <c r="I880" s="239" t="s">
        <v>2465</v>
      </c>
      <c r="J880" s="234">
        <v>44360</v>
      </c>
      <c r="K880" s="234">
        <v>15080</v>
      </c>
      <c r="L880" s="242">
        <v>10</v>
      </c>
      <c r="M880" s="308">
        <v>29280</v>
      </c>
      <c r="N880" s="234">
        <v>26352</v>
      </c>
      <c r="O880" s="234" t="s">
        <v>2635</v>
      </c>
      <c r="P880" s="236">
        <v>45937</v>
      </c>
      <c r="Q880" s="244">
        <v>0.74709490740740736</v>
      </c>
    </row>
    <row r="881" spans="1:17" ht="38.25">
      <c r="A881" s="239" t="s">
        <v>2618</v>
      </c>
      <c r="B881" s="240">
        <v>2166</v>
      </c>
      <c r="C881" s="241">
        <v>6</v>
      </c>
      <c r="D881" s="239" t="s">
        <v>2482</v>
      </c>
      <c r="E881" s="239" t="s">
        <v>429</v>
      </c>
      <c r="F881" s="239" t="s">
        <v>430</v>
      </c>
      <c r="G881" s="239" t="s">
        <v>960</v>
      </c>
      <c r="H881" s="239" t="s">
        <v>51</v>
      </c>
      <c r="I881" s="239" t="s">
        <v>2465</v>
      </c>
      <c r="J881" s="234">
        <v>39660</v>
      </c>
      <c r="K881" s="234">
        <v>14410</v>
      </c>
      <c r="L881" s="242">
        <v>14</v>
      </c>
      <c r="M881" s="308">
        <v>25250</v>
      </c>
      <c r="N881" s="234">
        <v>21715</v>
      </c>
      <c r="O881" s="234" t="s">
        <v>2636</v>
      </c>
      <c r="P881" s="236">
        <v>45937</v>
      </c>
      <c r="Q881" s="244">
        <v>0.77041666666666664</v>
      </c>
    </row>
    <row r="882" spans="1:17" ht="38.25">
      <c r="A882" s="239" t="s">
        <v>2619</v>
      </c>
      <c r="B882" s="240">
        <v>2169</v>
      </c>
      <c r="C882" s="241">
        <v>7</v>
      </c>
      <c r="D882" s="239" t="s">
        <v>2482</v>
      </c>
      <c r="E882" s="239" t="s">
        <v>447</v>
      </c>
      <c r="F882" s="239" t="s">
        <v>448</v>
      </c>
      <c r="G882" s="239" t="s">
        <v>960</v>
      </c>
      <c r="H882" s="239" t="s">
        <v>51</v>
      </c>
      <c r="I882" s="239" t="s">
        <v>2465</v>
      </c>
      <c r="J882" s="234">
        <v>51660</v>
      </c>
      <c r="K882" s="234">
        <v>19570</v>
      </c>
      <c r="L882" s="242">
        <v>8</v>
      </c>
      <c r="M882" s="308">
        <v>32090</v>
      </c>
      <c r="N882" s="234">
        <v>29522.799999999999</v>
      </c>
      <c r="O882" s="234" t="s">
        <v>2637</v>
      </c>
      <c r="P882" s="236">
        <v>45937</v>
      </c>
      <c r="Q882" s="244">
        <v>0.80981481481481477</v>
      </c>
    </row>
    <row r="883" spans="1:17" ht="38.25">
      <c r="A883" s="239" t="s">
        <v>2620</v>
      </c>
      <c r="B883" s="240">
        <v>2175</v>
      </c>
      <c r="C883" s="241">
        <v>12</v>
      </c>
      <c r="D883" s="239" t="s">
        <v>2482</v>
      </c>
      <c r="E883" s="239" t="s">
        <v>866</v>
      </c>
      <c r="F883" s="239" t="s">
        <v>867</v>
      </c>
      <c r="G883" s="239" t="s">
        <v>960</v>
      </c>
      <c r="H883" s="239" t="s">
        <v>51</v>
      </c>
      <c r="I883" s="239" t="s">
        <v>2465</v>
      </c>
      <c r="J883" s="234">
        <v>37170</v>
      </c>
      <c r="K883" s="234">
        <v>14570</v>
      </c>
      <c r="L883" s="242">
        <v>8</v>
      </c>
      <c r="M883" s="308">
        <v>22600</v>
      </c>
      <c r="N883" s="234">
        <v>20792</v>
      </c>
      <c r="O883" s="234" t="s">
        <v>2638</v>
      </c>
      <c r="P883" s="236">
        <v>45937</v>
      </c>
      <c r="Q883" s="244">
        <v>0.81785879629629632</v>
      </c>
    </row>
    <row r="884" spans="1:17" ht="38.25">
      <c r="A884" s="239" t="s">
        <v>2621</v>
      </c>
      <c r="B884" s="240">
        <v>2176</v>
      </c>
      <c r="C884" s="241">
        <v>11</v>
      </c>
      <c r="D884" s="239" t="s">
        <v>2482</v>
      </c>
      <c r="E884" s="239" t="s">
        <v>406</v>
      </c>
      <c r="F884" s="239" t="s">
        <v>407</v>
      </c>
      <c r="G884" s="239" t="s">
        <v>960</v>
      </c>
      <c r="H884" s="239" t="s">
        <v>51</v>
      </c>
      <c r="I884" s="239" t="s">
        <v>2465</v>
      </c>
      <c r="J884" s="234">
        <v>39720</v>
      </c>
      <c r="K884" s="234">
        <v>15120</v>
      </c>
      <c r="L884" s="242">
        <v>16</v>
      </c>
      <c r="M884" s="308">
        <v>24600</v>
      </c>
      <c r="N884" s="234">
        <v>20664</v>
      </c>
      <c r="O884" s="234" t="s">
        <v>2639</v>
      </c>
      <c r="P884" s="236">
        <v>45937</v>
      </c>
      <c r="Q884" s="244">
        <v>0.82283564814814814</v>
      </c>
    </row>
    <row r="885" spans="1:17" ht="38.25">
      <c r="A885" s="239" t="s">
        <v>2622</v>
      </c>
      <c r="B885" s="240">
        <v>2177</v>
      </c>
      <c r="C885" s="241">
        <v>13</v>
      </c>
      <c r="D885" s="239" t="s">
        <v>2482</v>
      </c>
      <c r="E885" s="239" t="s">
        <v>380</v>
      </c>
      <c r="F885" s="239" t="s">
        <v>381</v>
      </c>
      <c r="G885" s="239" t="s">
        <v>960</v>
      </c>
      <c r="H885" s="239" t="s">
        <v>51</v>
      </c>
      <c r="I885" s="239" t="s">
        <v>2465</v>
      </c>
      <c r="J885" s="234">
        <v>39490</v>
      </c>
      <c r="K885" s="234">
        <v>15120</v>
      </c>
      <c r="L885" s="242">
        <v>15</v>
      </c>
      <c r="M885" s="308">
        <v>24370</v>
      </c>
      <c r="N885" s="234">
        <v>20714.5</v>
      </c>
      <c r="O885" s="234" t="s">
        <v>2640</v>
      </c>
      <c r="P885" s="236">
        <v>45937</v>
      </c>
      <c r="Q885" s="244">
        <v>0.85478009259259258</v>
      </c>
    </row>
    <row r="886" spans="1:17" ht="38.25">
      <c r="A886" s="239" t="s">
        <v>2623</v>
      </c>
      <c r="B886" s="240">
        <v>2170</v>
      </c>
      <c r="C886" s="241">
        <v>8</v>
      </c>
      <c r="D886" s="239" t="s">
        <v>2482</v>
      </c>
      <c r="E886" s="239" t="s">
        <v>416</v>
      </c>
      <c r="F886" s="239" t="s">
        <v>417</v>
      </c>
      <c r="G886" s="239" t="s">
        <v>960</v>
      </c>
      <c r="H886" s="239" t="s">
        <v>51</v>
      </c>
      <c r="I886" s="239" t="s">
        <v>2465</v>
      </c>
      <c r="J886" s="234">
        <v>40270</v>
      </c>
      <c r="K886" s="234">
        <v>14800</v>
      </c>
      <c r="L886" s="242">
        <v>15</v>
      </c>
      <c r="M886" s="308">
        <v>25470</v>
      </c>
      <c r="N886" s="234">
        <v>21649.5</v>
      </c>
      <c r="O886" s="234" t="s">
        <v>2641</v>
      </c>
      <c r="P886" s="236">
        <v>45937</v>
      </c>
      <c r="Q886" s="244">
        <v>0.88678240740740744</v>
      </c>
    </row>
    <row r="887" spans="1:17" ht="38.25">
      <c r="A887" s="239" t="s">
        <v>2624</v>
      </c>
      <c r="B887" s="240">
        <v>2172</v>
      </c>
      <c r="C887" s="241">
        <v>9</v>
      </c>
      <c r="D887" s="239" t="s">
        <v>2482</v>
      </c>
      <c r="E887" s="239" t="s">
        <v>420</v>
      </c>
      <c r="F887" s="239" t="s">
        <v>421</v>
      </c>
      <c r="G887" s="239" t="s">
        <v>960</v>
      </c>
      <c r="H887" s="239" t="s">
        <v>51</v>
      </c>
      <c r="I887" s="239" t="s">
        <v>2465</v>
      </c>
      <c r="J887" s="234">
        <v>38530</v>
      </c>
      <c r="K887" s="234">
        <v>14940</v>
      </c>
      <c r="L887" s="242">
        <v>7</v>
      </c>
      <c r="M887" s="308">
        <v>23590</v>
      </c>
      <c r="N887" s="234">
        <v>21938.7</v>
      </c>
      <c r="O887" s="234" t="s">
        <v>2642</v>
      </c>
      <c r="P887" s="236">
        <v>45937</v>
      </c>
      <c r="Q887" s="244">
        <v>0.88931712962962961</v>
      </c>
    </row>
    <row r="888" spans="1:17" ht="38.25">
      <c r="A888" s="239" t="s">
        <v>2625</v>
      </c>
      <c r="B888" s="240">
        <v>2174</v>
      </c>
      <c r="C888" s="241">
        <v>10</v>
      </c>
      <c r="D888" s="239" t="s">
        <v>2482</v>
      </c>
      <c r="E888" s="239" t="s">
        <v>403</v>
      </c>
      <c r="F888" s="239" t="s">
        <v>404</v>
      </c>
      <c r="G888" s="239" t="s">
        <v>960</v>
      </c>
      <c r="H888" s="239" t="s">
        <v>51</v>
      </c>
      <c r="I888" s="239" t="s">
        <v>2465</v>
      </c>
      <c r="J888" s="234">
        <v>40510</v>
      </c>
      <c r="K888" s="234">
        <v>14550</v>
      </c>
      <c r="L888" s="242">
        <v>12</v>
      </c>
      <c r="M888" s="308">
        <v>25960</v>
      </c>
      <c r="N888" s="234">
        <v>22844.799999999999</v>
      </c>
      <c r="O888" s="234" t="s">
        <v>2643</v>
      </c>
      <c r="P888" s="236">
        <v>45937</v>
      </c>
      <c r="Q888" s="244">
        <v>0.89660879629629631</v>
      </c>
    </row>
    <row r="889" spans="1:17" ht="38.25">
      <c r="A889" s="239" t="s">
        <v>2626</v>
      </c>
      <c r="B889" s="240">
        <v>2179</v>
      </c>
      <c r="C889" s="241">
        <v>14</v>
      </c>
      <c r="D889" s="239" t="s">
        <v>2482</v>
      </c>
      <c r="E889" s="239" t="s">
        <v>453</v>
      </c>
      <c r="F889" s="239" t="s">
        <v>454</v>
      </c>
      <c r="G889" s="239" t="s">
        <v>960</v>
      </c>
      <c r="H889" s="239" t="s">
        <v>51</v>
      </c>
      <c r="I889" s="239" t="s">
        <v>2465</v>
      </c>
      <c r="J889" s="234">
        <v>64150</v>
      </c>
      <c r="K889" s="234">
        <v>24560</v>
      </c>
      <c r="L889" s="242">
        <v>17</v>
      </c>
      <c r="M889" s="308">
        <v>39590</v>
      </c>
      <c r="N889" s="234">
        <v>32859.699999999997</v>
      </c>
      <c r="O889" s="234" t="s">
        <v>2644</v>
      </c>
      <c r="P889" s="236">
        <v>45937</v>
      </c>
      <c r="Q889" s="244">
        <v>0.94292824074074078</v>
      </c>
    </row>
    <row r="890" spans="1:17" ht="38.25">
      <c r="A890" s="239" t="s">
        <v>2627</v>
      </c>
      <c r="B890" s="240">
        <v>2180</v>
      </c>
      <c r="C890" s="241">
        <v>15</v>
      </c>
      <c r="D890" s="239" t="s">
        <v>2482</v>
      </c>
      <c r="E890" s="239" t="s">
        <v>388</v>
      </c>
      <c r="F890" s="239" t="s">
        <v>389</v>
      </c>
      <c r="G890" s="239" t="s">
        <v>960</v>
      </c>
      <c r="H890" s="239" t="s">
        <v>51</v>
      </c>
      <c r="I890" s="239" t="s">
        <v>2465</v>
      </c>
      <c r="J890" s="234">
        <v>62530</v>
      </c>
      <c r="K890" s="234">
        <v>21380</v>
      </c>
      <c r="L890" s="242">
        <v>20</v>
      </c>
      <c r="M890" s="308">
        <v>41150</v>
      </c>
      <c r="N890" s="234">
        <v>32920</v>
      </c>
      <c r="O890" s="234" t="s">
        <v>2645</v>
      </c>
      <c r="P890" s="236">
        <v>45937</v>
      </c>
      <c r="Q890" s="244">
        <v>0.98364583333333333</v>
      </c>
    </row>
    <row r="891" spans="1:17" ht="38.25">
      <c r="A891" s="239" t="s">
        <v>2628</v>
      </c>
      <c r="B891" s="240">
        <v>2181</v>
      </c>
      <c r="C891" s="241">
        <v>16</v>
      </c>
      <c r="D891" s="239" t="s">
        <v>2482</v>
      </c>
      <c r="E891" s="239" t="s">
        <v>1305</v>
      </c>
      <c r="F891" s="239" t="s">
        <v>1306</v>
      </c>
      <c r="G891" s="239" t="s">
        <v>960</v>
      </c>
      <c r="H891" s="239" t="s">
        <v>51</v>
      </c>
      <c r="I891" s="239" t="s">
        <v>2465</v>
      </c>
      <c r="J891" s="234">
        <v>36870</v>
      </c>
      <c r="K891" s="234">
        <v>14780</v>
      </c>
      <c r="L891" s="242">
        <v>19</v>
      </c>
      <c r="M891" s="308">
        <v>22090</v>
      </c>
      <c r="N891" s="234">
        <v>17892.900000000001</v>
      </c>
      <c r="O891" s="234" t="s">
        <v>2646</v>
      </c>
      <c r="P891" s="236">
        <v>45938</v>
      </c>
      <c r="Q891" s="244">
        <v>0.14049768518518518</v>
      </c>
    </row>
    <row r="892" spans="1:17" ht="38.25">
      <c r="A892" s="239" t="s">
        <v>2629</v>
      </c>
      <c r="B892" s="240">
        <v>2182</v>
      </c>
      <c r="C892" s="241">
        <v>17</v>
      </c>
      <c r="D892" s="239" t="s">
        <v>2482</v>
      </c>
      <c r="E892" s="239" t="s">
        <v>432</v>
      </c>
      <c r="F892" s="239" t="s">
        <v>433</v>
      </c>
      <c r="G892" s="239" t="s">
        <v>960</v>
      </c>
      <c r="H892" s="239" t="s">
        <v>51</v>
      </c>
      <c r="I892" s="239" t="s">
        <v>2465</v>
      </c>
      <c r="J892" s="234">
        <v>41690</v>
      </c>
      <c r="K892" s="234">
        <v>15810</v>
      </c>
      <c r="L892" s="242">
        <v>9</v>
      </c>
      <c r="M892" s="308">
        <v>25880</v>
      </c>
      <c r="N892" s="234">
        <v>23550.799999999999</v>
      </c>
      <c r="O892" s="234" t="s">
        <v>2647</v>
      </c>
      <c r="P892" s="236">
        <v>45938</v>
      </c>
      <c r="Q892" s="244">
        <v>0.17439814814814814</v>
      </c>
    </row>
    <row r="893" spans="1:17" ht="38.25">
      <c r="A893" s="239" t="s">
        <v>2630</v>
      </c>
      <c r="B893" s="240">
        <v>2184</v>
      </c>
      <c r="C893" s="241">
        <v>18</v>
      </c>
      <c r="D893" s="239" t="s">
        <v>2482</v>
      </c>
      <c r="E893" s="239" t="s">
        <v>377</v>
      </c>
      <c r="F893" s="239" t="s">
        <v>378</v>
      </c>
      <c r="G893" s="239" t="s">
        <v>960</v>
      </c>
      <c r="H893" s="239" t="s">
        <v>51</v>
      </c>
      <c r="I893" s="239" t="s">
        <v>2465</v>
      </c>
      <c r="J893" s="234">
        <v>41670</v>
      </c>
      <c r="K893" s="234">
        <v>15240</v>
      </c>
      <c r="L893" s="242">
        <v>22</v>
      </c>
      <c r="M893" s="308">
        <v>26430</v>
      </c>
      <c r="N893" s="234">
        <v>20615.400000000001</v>
      </c>
      <c r="O893" s="234" t="s">
        <v>2648</v>
      </c>
      <c r="P893" s="236">
        <v>45938</v>
      </c>
      <c r="Q893" s="244">
        <v>0.31699074074074074</v>
      </c>
    </row>
    <row r="894" spans="1:17" ht="38.25">
      <c r="A894" s="239" t="s">
        <v>2650</v>
      </c>
      <c r="B894" s="240">
        <v>2185</v>
      </c>
      <c r="C894" s="241">
        <v>19</v>
      </c>
      <c r="D894" s="239" t="s">
        <v>2482</v>
      </c>
      <c r="E894" s="239" t="s">
        <v>400</v>
      </c>
      <c r="F894" s="239" t="s">
        <v>401</v>
      </c>
      <c r="G894" s="239" t="s">
        <v>960</v>
      </c>
      <c r="H894" s="239" t="s">
        <v>51</v>
      </c>
      <c r="I894" s="239" t="s">
        <v>2465</v>
      </c>
      <c r="J894" s="234">
        <v>39650</v>
      </c>
      <c r="K894" s="234">
        <v>14830</v>
      </c>
      <c r="L894" s="242">
        <v>16</v>
      </c>
      <c r="M894" s="308">
        <v>24820</v>
      </c>
      <c r="N894" s="234">
        <v>20848.8</v>
      </c>
      <c r="O894" s="234" t="s">
        <v>2651</v>
      </c>
      <c r="P894" s="236">
        <v>45938</v>
      </c>
      <c r="Q894" s="244">
        <v>0.41600694444444447</v>
      </c>
    </row>
    <row r="895" spans="1:17" ht="38.25">
      <c r="A895" s="239" t="s">
        <v>2658</v>
      </c>
      <c r="B895" s="240">
        <v>2186</v>
      </c>
      <c r="C895" s="241">
        <v>21</v>
      </c>
      <c r="D895" s="239" t="s">
        <v>2482</v>
      </c>
      <c r="E895" s="239" t="s">
        <v>442</v>
      </c>
      <c r="F895" s="239" t="s">
        <v>443</v>
      </c>
      <c r="G895" s="239" t="s">
        <v>960</v>
      </c>
      <c r="H895" s="239" t="s">
        <v>51</v>
      </c>
      <c r="I895" s="239" t="s">
        <v>2465</v>
      </c>
      <c r="J895" s="234">
        <v>34960</v>
      </c>
      <c r="K895" s="234">
        <v>14490</v>
      </c>
      <c r="L895" s="242">
        <v>24</v>
      </c>
      <c r="M895" s="308">
        <v>20470</v>
      </c>
      <c r="N895" s="234">
        <v>15557.2</v>
      </c>
      <c r="O895" s="234" t="s">
        <v>2659</v>
      </c>
      <c r="P895" s="236">
        <v>45938</v>
      </c>
      <c r="Q895" s="244">
        <v>0.43585648148148148</v>
      </c>
    </row>
    <row r="896" spans="1:17" ht="38.25">
      <c r="A896" s="239" t="s">
        <v>2652</v>
      </c>
      <c r="B896" s="240">
        <v>2188</v>
      </c>
      <c r="C896" s="241">
        <v>20</v>
      </c>
      <c r="D896" s="239" t="s">
        <v>2482</v>
      </c>
      <c r="E896" s="239" t="s">
        <v>382</v>
      </c>
      <c r="F896" s="239" t="s">
        <v>383</v>
      </c>
      <c r="G896" s="239" t="s">
        <v>960</v>
      </c>
      <c r="H896" s="239" t="s">
        <v>51</v>
      </c>
      <c r="I896" s="239" t="s">
        <v>2465</v>
      </c>
      <c r="J896" s="234">
        <v>36690</v>
      </c>
      <c r="K896" s="234">
        <v>14680</v>
      </c>
      <c r="L896" s="242">
        <v>12</v>
      </c>
      <c r="M896" s="308">
        <v>22010</v>
      </c>
      <c r="N896" s="234">
        <v>19368.8</v>
      </c>
      <c r="O896" s="234" t="s">
        <v>2653</v>
      </c>
      <c r="P896" s="236">
        <v>45938</v>
      </c>
      <c r="Q896" s="244">
        <v>0.45699074074074075</v>
      </c>
    </row>
    <row r="897" spans="1:17" ht="38.25">
      <c r="A897" s="239" t="s">
        <v>2654</v>
      </c>
      <c r="B897" s="240">
        <v>2187</v>
      </c>
      <c r="C897" s="241">
        <v>22</v>
      </c>
      <c r="D897" s="239" t="s">
        <v>2482</v>
      </c>
      <c r="E897" s="239" t="s">
        <v>780</v>
      </c>
      <c r="F897" s="239" t="s">
        <v>781</v>
      </c>
      <c r="G897" s="239" t="s">
        <v>962</v>
      </c>
      <c r="H897" s="239" t="s">
        <v>42</v>
      </c>
      <c r="I897" s="239" t="s">
        <v>2465</v>
      </c>
      <c r="J897" s="234">
        <v>37310</v>
      </c>
      <c r="K897" s="234">
        <v>14970</v>
      </c>
      <c r="L897" s="242">
        <v>13</v>
      </c>
      <c r="M897" s="308">
        <v>22340</v>
      </c>
      <c r="N897" s="234">
        <v>19435.8</v>
      </c>
      <c r="O897" s="234" t="s">
        <v>2655</v>
      </c>
      <c r="P897" s="236">
        <v>45938</v>
      </c>
      <c r="Q897" s="244">
        <v>0.49396990740740743</v>
      </c>
    </row>
    <row r="898" spans="1:17" ht="38.25">
      <c r="A898" s="239" t="s">
        <v>2656</v>
      </c>
      <c r="B898" s="240">
        <v>2189</v>
      </c>
      <c r="C898" s="241">
        <v>23</v>
      </c>
      <c r="D898" s="239" t="s">
        <v>2482</v>
      </c>
      <c r="E898" s="239" t="s">
        <v>384</v>
      </c>
      <c r="F898" s="239" t="s">
        <v>385</v>
      </c>
      <c r="G898" s="239" t="s">
        <v>962</v>
      </c>
      <c r="H898" s="239" t="s">
        <v>42</v>
      </c>
      <c r="I898" s="239" t="s">
        <v>2465</v>
      </c>
      <c r="J898" s="234">
        <v>36970</v>
      </c>
      <c r="K898" s="234">
        <v>13930</v>
      </c>
      <c r="L898" s="242">
        <v>18</v>
      </c>
      <c r="M898" s="308">
        <v>23040</v>
      </c>
      <c r="N898" s="234">
        <v>18892.8</v>
      </c>
      <c r="O898" s="234" t="s">
        <v>2657</v>
      </c>
      <c r="P898" s="236">
        <v>45938</v>
      </c>
      <c r="Q898" s="244">
        <v>0.53266203703703707</v>
      </c>
    </row>
    <row r="899" spans="1:17" ht="38.25">
      <c r="A899" s="239" t="s">
        <v>2660</v>
      </c>
      <c r="B899" s="240">
        <v>2191</v>
      </c>
      <c r="C899" s="241">
        <v>24</v>
      </c>
      <c r="D899" s="239" t="s">
        <v>2482</v>
      </c>
      <c r="E899" s="239" t="s">
        <v>372</v>
      </c>
      <c r="F899" s="239" t="s">
        <v>373</v>
      </c>
      <c r="G899" s="239" t="s">
        <v>962</v>
      </c>
      <c r="H899" s="239" t="s">
        <v>42</v>
      </c>
      <c r="I899" s="239" t="s">
        <v>2465</v>
      </c>
      <c r="J899" s="234">
        <v>39190</v>
      </c>
      <c r="K899" s="234">
        <v>15110</v>
      </c>
      <c r="L899" s="242">
        <v>9</v>
      </c>
      <c r="M899" s="308">
        <v>24080</v>
      </c>
      <c r="N899" s="234">
        <v>21912.799999999999</v>
      </c>
      <c r="O899" s="234" t="s">
        <v>2683</v>
      </c>
      <c r="P899" s="236">
        <v>45938</v>
      </c>
      <c r="Q899" s="244">
        <v>0.61144675925925929</v>
      </c>
    </row>
    <row r="900" spans="1:17" ht="38.25">
      <c r="A900" s="239" t="s">
        <v>2661</v>
      </c>
      <c r="B900" s="240">
        <v>2192</v>
      </c>
      <c r="C900" s="241">
        <v>25</v>
      </c>
      <c r="D900" s="239" t="s">
        <v>2482</v>
      </c>
      <c r="E900" s="239" t="s">
        <v>858</v>
      </c>
      <c r="F900" s="239" t="s">
        <v>859</v>
      </c>
      <c r="G900" s="239" t="s">
        <v>962</v>
      </c>
      <c r="H900" s="239" t="s">
        <v>42</v>
      </c>
      <c r="I900" s="239" t="s">
        <v>2465</v>
      </c>
      <c r="J900" s="234">
        <v>42070</v>
      </c>
      <c r="K900" s="234">
        <v>14900</v>
      </c>
      <c r="L900" s="242">
        <v>9</v>
      </c>
      <c r="M900" s="308">
        <v>27170</v>
      </c>
      <c r="N900" s="234">
        <v>24724.7</v>
      </c>
      <c r="O900" s="234" t="s">
        <v>2684</v>
      </c>
      <c r="P900" s="236">
        <v>45938</v>
      </c>
      <c r="Q900" s="244">
        <v>0.645625</v>
      </c>
    </row>
    <row r="901" spans="1:17" ht="38.25">
      <c r="A901" s="239" t="s">
        <v>2662</v>
      </c>
      <c r="B901" s="240">
        <v>2198</v>
      </c>
      <c r="C901" s="241">
        <v>27</v>
      </c>
      <c r="D901" s="239" t="s">
        <v>2482</v>
      </c>
      <c r="E901" s="239" t="s">
        <v>410</v>
      </c>
      <c r="F901" s="239" t="s">
        <v>411</v>
      </c>
      <c r="G901" s="239" t="s">
        <v>962</v>
      </c>
      <c r="H901" s="239" t="s">
        <v>42</v>
      </c>
      <c r="I901" s="239" t="s">
        <v>2465</v>
      </c>
      <c r="J901" s="234">
        <v>42650</v>
      </c>
      <c r="K901" s="234">
        <v>15250</v>
      </c>
      <c r="L901" s="242">
        <v>10</v>
      </c>
      <c r="M901" s="308">
        <v>27400</v>
      </c>
      <c r="N901" s="234">
        <v>24660</v>
      </c>
      <c r="O901" s="234" t="s">
        <v>2685</v>
      </c>
      <c r="P901" s="236">
        <v>45938</v>
      </c>
      <c r="Q901" s="244">
        <v>0.66734953703703703</v>
      </c>
    </row>
    <row r="902" spans="1:17" ht="38.25">
      <c r="A902" s="239" t="s">
        <v>2663</v>
      </c>
      <c r="B902" s="240">
        <v>2209</v>
      </c>
      <c r="C902" s="241">
        <v>4</v>
      </c>
      <c r="D902" s="239" t="s">
        <v>2482</v>
      </c>
      <c r="E902" s="239" t="s">
        <v>447</v>
      </c>
      <c r="F902" s="239" t="s">
        <v>448</v>
      </c>
      <c r="G902" s="239" t="s">
        <v>962</v>
      </c>
      <c r="H902" s="239" t="s">
        <v>42</v>
      </c>
      <c r="I902" s="239" t="s">
        <v>2465</v>
      </c>
      <c r="J902" s="234">
        <v>43020</v>
      </c>
      <c r="K902" s="234">
        <v>19460</v>
      </c>
      <c r="L902" s="242">
        <v>8</v>
      </c>
      <c r="M902" s="308">
        <v>23560</v>
      </c>
      <c r="N902" s="234">
        <v>21675.200000000001</v>
      </c>
      <c r="O902" s="234" t="s">
        <v>2686</v>
      </c>
      <c r="P902" s="236">
        <v>45938</v>
      </c>
      <c r="Q902" s="244">
        <v>0.68945601851851857</v>
      </c>
    </row>
    <row r="903" spans="1:17" ht="38.25">
      <c r="A903" s="239" t="s">
        <v>2664</v>
      </c>
      <c r="B903" s="240">
        <v>2200</v>
      </c>
      <c r="C903" s="241">
        <v>26</v>
      </c>
      <c r="D903" s="239" t="s">
        <v>2482</v>
      </c>
      <c r="E903" s="239" t="s">
        <v>374</v>
      </c>
      <c r="F903" s="239" t="s">
        <v>375</v>
      </c>
      <c r="G903" s="239" t="s">
        <v>962</v>
      </c>
      <c r="H903" s="239" t="s">
        <v>42</v>
      </c>
      <c r="I903" s="239" t="s">
        <v>2465</v>
      </c>
      <c r="J903" s="234">
        <v>40100</v>
      </c>
      <c r="K903" s="234">
        <v>15720</v>
      </c>
      <c r="L903" s="242">
        <v>9</v>
      </c>
      <c r="M903" s="308">
        <v>24380</v>
      </c>
      <c r="N903" s="234">
        <v>22185.8</v>
      </c>
      <c r="O903" s="234" t="s">
        <v>2687</v>
      </c>
      <c r="P903" s="236">
        <v>45938</v>
      </c>
      <c r="Q903" s="244">
        <v>0.71231481481481485</v>
      </c>
    </row>
    <row r="904" spans="1:17" ht="38.25">
      <c r="A904" s="239" t="s">
        <v>2665</v>
      </c>
      <c r="B904" s="240">
        <v>2210</v>
      </c>
      <c r="C904" s="241">
        <v>3</v>
      </c>
      <c r="D904" s="239" t="s">
        <v>2482</v>
      </c>
      <c r="E904" s="239" t="s">
        <v>429</v>
      </c>
      <c r="F904" s="239" t="s">
        <v>430</v>
      </c>
      <c r="G904" s="239" t="s">
        <v>962</v>
      </c>
      <c r="H904" s="239" t="s">
        <v>42</v>
      </c>
      <c r="I904" s="239" t="s">
        <v>2465</v>
      </c>
      <c r="J904" s="234">
        <v>41080</v>
      </c>
      <c r="K904" s="234">
        <v>14320</v>
      </c>
      <c r="L904" s="242">
        <v>11</v>
      </c>
      <c r="M904" s="308">
        <v>26760</v>
      </c>
      <c r="N904" s="234">
        <v>23816.400000000001</v>
      </c>
      <c r="O904" s="234" t="s">
        <v>2688</v>
      </c>
      <c r="P904" s="236">
        <v>45938</v>
      </c>
      <c r="Q904" s="244">
        <v>0.72807870370370376</v>
      </c>
    </row>
    <row r="905" spans="1:17" ht="38.25">
      <c r="A905" s="239" t="s">
        <v>2666</v>
      </c>
      <c r="B905" s="240">
        <v>2212</v>
      </c>
      <c r="C905" s="241">
        <v>5</v>
      </c>
      <c r="D905" s="239" t="s">
        <v>2482</v>
      </c>
      <c r="E905" s="239" t="s">
        <v>392</v>
      </c>
      <c r="F905" s="239" t="s">
        <v>393</v>
      </c>
      <c r="G905" s="239" t="s">
        <v>962</v>
      </c>
      <c r="H905" s="239" t="s">
        <v>42</v>
      </c>
      <c r="I905" s="239" t="s">
        <v>2465</v>
      </c>
      <c r="J905" s="234">
        <v>49570</v>
      </c>
      <c r="K905" s="234">
        <v>24060</v>
      </c>
      <c r="L905" s="242">
        <v>11</v>
      </c>
      <c r="M905" s="308">
        <v>25510</v>
      </c>
      <c r="N905" s="234">
        <v>22703.9</v>
      </c>
      <c r="O905" s="234" t="s">
        <v>2689</v>
      </c>
      <c r="P905" s="236">
        <v>45938</v>
      </c>
      <c r="Q905" s="244">
        <v>0.76126157407407402</v>
      </c>
    </row>
    <row r="906" spans="1:17" ht="38.25">
      <c r="A906" s="239" t="s">
        <v>2667</v>
      </c>
      <c r="B906" s="240">
        <v>2201</v>
      </c>
      <c r="C906" s="241">
        <v>28</v>
      </c>
      <c r="D906" s="239" t="s">
        <v>2482</v>
      </c>
      <c r="E906" s="239" t="s">
        <v>456</v>
      </c>
      <c r="F906" s="239" t="s">
        <v>457</v>
      </c>
      <c r="G906" s="239" t="s">
        <v>962</v>
      </c>
      <c r="H906" s="239" t="s">
        <v>42</v>
      </c>
      <c r="I906" s="239" t="s">
        <v>2465</v>
      </c>
      <c r="J906" s="234">
        <v>45650</v>
      </c>
      <c r="K906" s="234">
        <v>15740</v>
      </c>
      <c r="L906" s="242">
        <v>9</v>
      </c>
      <c r="M906" s="308">
        <v>29910</v>
      </c>
      <c r="N906" s="234">
        <v>27218.1</v>
      </c>
      <c r="O906" s="234" t="s">
        <v>2690</v>
      </c>
      <c r="P906" s="236">
        <v>45938</v>
      </c>
      <c r="Q906" s="244">
        <v>0.80146990740740742</v>
      </c>
    </row>
    <row r="907" spans="1:17" ht="38.25">
      <c r="A907" s="239" t="s">
        <v>2668</v>
      </c>
      <c r="B907" s="240">
        <v>2213</v>
      </c>
      <c r="C907" s="241">
        <v>6</v>
      </c>
      <c r="D907" s="239" t="s">
        <v>2482</v>
      </c>
      <c r="E907" s="239" t="s">
        <v>416</v>
      </c>
      <c r="F907" s="239" t="s">
        <v>417</v>
      </c>
      <c r="G907" s="239" t="s">
        <v>962</v>
      </c>
      <c r="H907" s="239" t="s">
        <v>42</v>
      </c>
      <c r="I907" s="239" t="s">
        <v>2465</v>
      </c>
      <c r="J907" s="234">
        <v>40390</v>
      </c>
      <c r="K907" s="234">
        <v>14710</v>
      </c>
      <c r="L907" s="242">
        <v>8</v>
      </c>
      <c r="M907" s="308">
        <v>25680</v>
      </c>
      <c r="N907" s="234">
        <v>23625.599999999999</v>
      </c>
      <c r="O907" s="234" t="s">
        <v>2691</v>
      </c>
      <c r="P907" s="236">
        <v>45938</v>
      </c>
      <c r="Q907" s="244">
        <v>0.8077199074074074</v>
      </c>
    </row>
    <row r="908" spans="1:17" ht="38.25">
      <c r="A908" s="239" t="s">
        <v>2669</v>
      </c>
      <c r="B908" s="240">
        <v>2214</v>
      </c>
      <c r="C908" s="241">
        <v>7</v>
      </c>
      <c r="D908" s="239" t="s">
        <v>2482</v>
      </c>
      <c r="E908" s="239" t="s">
        <v>420</v>
      </c>
      <c r="F908" s="239" t="s">
        <v>421</v>
      </c>
      <c r="G908" s="239" t="s">
        <v>962</v>
      </c>
      <c r="H908" s="239" t="s">
        <v>42</v>
      </c>
      <c r="I908" s="239" t="s">
        <v>2465</v>
      </c>
      <c r="J908" s="234">
        <v>37450</v>
      </c>
      <c r="K908" s="234">
        <v>14890</v>
      </c>
      <c r="L908" s="242">
        <v>13</v>
      </c>
      <c r="M908" s="308">
        <v>22560</v>
      </c>
      <c r="N908" s="234">
        <v>19627.2</v>
      </c>
      <c r="O908" s="234" t="s">
        <v>2692</v>
      </c>
      <c r="P908" s="236">
        <v>45938</v>
      </c>
      <c r="Q908" s="244">
        <v>0.81223379629629633</v>
      </c>
    </row>
    <row r="909" spans="1:17" ht="38.25">
      <c r="A909" s="239" t="s">
        <v>2670</v>
      </c>
      <c r="B909" s="240">
        <v>2205</v>
      </c>
      <c r="C909" s="241">
        <v>29</v>
      </c>
      <c r="D909" s="239" t="s">
        <v>2482</v>
      </c>
      <c r="E909" s="239" t="s">
        <v>1410</v>
      </c>
      <c r="F909" s="239" t="s">
        <v>437</v>
      </c>
      <c r="G909" s="239" t="s">
        <v>962</v>
      </c>
      <c r="H909" s="239" t="s">
        <v>42</v>
      </c>
      <c r="I909" s="239" t="s">
        <v>2465</v>
      </c>
      <c r="J909" s="234">
        <v>42240</v>
      </c>
      <c r="K909" s="234">
        <v>15060</v>
      </c>
      <c r="L909" s="242">
        <v>6</v>
      </c>
      <c r="M909" s="308">
        <v>27180</v>
      </c>
      <c r="N909" s="234">
        <v>25549.200000000001</v>
      </c>
      <c r="O909" s="234" t="s">
        <v>2693</v>
      </c>
      <c r="P909" s="236">
        <v>45938</v>
      </c>
      <c r="Q909" s="244">
        <v>0.82106481481481486</v>
      </c>
    </row>
    <row r="910" spans="1:17" ht="38.25">
      <c r="A910" s="239" t="s">
        <v>2671</v>
      </c>
      <c r="B910" s="240">
        <v>2215</v>
      </c>
      <c r="C910" s="241">
        <v>8</v>
      </c>
      <c r="D910" s="239" t="s">
        <v>2482</v>
      </c>
      <c r="E910" s="239" t="s">
        <v>453</v>
      </c>
      <c r="F910" s="239" t="s">
        <v>454</v>
      </c>
      <c r="G910" s="239" t="s">
        <v>962</v>
      </c>
      <c r="H910" s="239" t="s">
        <v>42</v>
      </c>
      <c r="I910" s="239" t="s">
        <v>2465</v>
      </c>
      <c r="J910" s="234">
        <v>54820</v>
      </c>
      <c r="K910" s="234">
        <v>24430</v>
      </c>
      <c r="L910" s="242">
        <v>9</v>
      </c>
      <c r="M910" s="308">
        <v>30390</v>
      </c>
      <c r="N910" s="234">
        <v>27654.9</v>
      </c>
      <c r="O910" s="234" t="s">
        <v>2694</v>
      </c>
      <c r="P910" s="236">
        <v>45938</v>
      </c>
      <c r="Q910" s="244">
        <v>0.8247916666666667</v>
      </c>
    </row>
    <row r="911" spans="1:17" ht="38.25">
      <c r="A911" s="239" t="s">
        <v>2672</v>
      </c>
      <c r="B911" s="240">
        <v>2206</v>
      </c>
      <c r="C911" s="241">
        <v>1</v>
      </c>
      <c r="D911" s="239" t="s">
        <v>2482</v>
      </c>
      <c r="E911" s="239" t="s">
        <v>439</v>
      </c>
      <c r="F911" s="239" t="s">
        <v>440</v>
      </c>
      <c r="G911" s="239" t="s">
        <v>962</v>
      </c>
      <c r="H911" s="239" t="s">
        <v>42</v>
      </c>
      <c r="I911" s="239" t="s">
        <v>2465</v>
      </c>
      <c r="J911" s="234">
        <v>44060</v>
      </c>
      <c r="K911" s="234">
        <v>15210</v>
      </c>
      <c r="L911" s="242">
        <v>9</v>
      </c>
      <c r="M911" s="308">
        <v>28850</v>
      </c>
      <c r="N911" s="234">
        <v>26253.5</v>
      </c>
      <c r="O911" s="234" t="s">
        <v>2695</v>
      </c>
      <c r="P911" s="236">
        <v>45938</v>
      </c>
      <c r="Q911" s="244">
        <v>0.85246527777777781</v>
      </c>
    </row>
    <row r="912" spans="1:17" ht="38.25">
      <c r="A912" s="239" t="s">
        <v>2673</v>
      </c>
      <c r="B912" s="240">
        <v>2216</v>
      </c>
      <c r="C912" s="241" t="s">
        <v>2674</v>
      </c>
      <c r="D912" s="239" t="s">
        <v>2482</v>
      </c>
      <c r="E912" s="239" t="s">
        <v>403</v>
      </c>
      <c r="F912" s="239" t="s">
        <v>404</v>
      </c>
      <c r="G912" s="239" t="s">
        <v>962</v>
      </c>
      <c r="H912" s="239" t="s">
        <v>42</v>
      </c>
      <c r="I912" s="239" t="s">
        <v>2465</v>
      </c>
      <c r="J912" s="234">
        <v>36240</v>
      </c>
      <c r="K912" s="234">
        <v>14630</v>
      </c>
      <c r="L912" s="242">
        <v>10</v>
      </c>
      <c r="M912" s="308">
        <v>21610</v>
      </c>
      <c r="N912" s="234">
        <v>19449</v>
      </c>
      <c r="O912" s="234" t="s">
        <v>2696</v>
      </c>
      <c r="P912" s="236">
        <v>45938</v>
      </c>
      <c r="Q912" s="244">
        <v>0.88843749999999999</v>
      </c>
    </row>
    <row r="913" spans="1:17" ht="38.25">
      <c r="A913" s="239" t="s">
        <v>2675</v>
      </c>
      <c r="B913" s="240">
        <v>2207</v>
      </c>
      <c r="C913" s="241">
        <v>2</v>
      </c>
      <c r="D913" s="239" t="s">
        <v>2482</v>
      </c>
      <c r="E913" s="239" t="s">
        <v>413</v>
      </c>
      <c r="F913" s="239" t="s">
        <v>414</v>
      </c>
      <c r="G913" s="239" t="s">
        <v>962</v>
      </c>
      <c r="H913" s="239" t="s">
        <v>42</v>
      </c>
      <c r="I913" s="239" t="s">
        <v>2465</v>
      </c>
      <c r="J913" s="234">
        <v>43910</v>
      </c>
      <c r="K913" s="234">
        <v>14980</v>
      </c>
      <c r="L913" s="242">
        <v>7</v>
      </c>
      <c r="M913" s="308">
        <v>28930</v>
      </c>
      <c r="N913" s="234">
        <v>26904.9</v>
      </c>
      <c r="O913" s="234" t="s">
        <v>2697</v>
      </c>
      <c r="P913" s="236">
        <v>45938</v>
      </c>
      <c r="Q913" s="244">
        <v>0.90553240740740737</v>
      </c>
    </row>
    <row r="914" spans="1:17" ht="38.25">
      <c r="A914" s="239" t="s">
        <v>2676</v>
      </c>
      <c r="B914" s="240">
        <v>2217</v>
      </c>
      <c r="C914" s="241">
        <v>11</v>
      </c>
      <c r="D914" s="239" t="s">
        <v>2482</v>
      </c>
      <c r="E914" s="239" t="s">
        <v>432</v>
      </c>
      <c r="F914" s="239" t="s">
        <v>433</v>
      </c>
      <c r="G914" s="239" t="s">
        <v>962</v>
      </c>
      <c r="H914" s="239" t="s">
        <v>42</v>
      </c>
      <c r="I914" s="239" t="s">
        <v>2465</v>
      </c>
      <c r="J914" s="234">
        <v>36620</v>
      </c>
      <c r="K914" s="234">
        <v>15900</v>
      </c>
      <c r="L914" s="242">
        <v>16</v>
      </c>
      <c r="M914" s="308">
        <v>20720</v>
      </c>
      <c r="N914" s="234">
        <v>17404.8</v>
      </c>
      <c r="O914" s="234" t="s">
        <v>2698</v>
      </c>
      <c r="P914" s="236">
        <v>45938</v>
      </c>
      <c r="Q914" s="244">
        <v>0.94206018518518519</v>
      </c>
    </row>
    <row r="915" spans="1:17" ht="38.25">
      <c r="A915" s="239" t="s">
        <v>2677</v>
      </c>
      <c r="B915" s="240">
        <v>2218</v>
      </c>
      <c r="C915" s="241">
        <v>10</v>
      </c>
      <c r="D915" s="239" t="s">
        <v>2482</v>
      </c>
      <c r="E915" s="239" t="s">
        <v>406</v>
      </c>
      <c r="F915" s="239" t="s">
        <v>407</v>
      </c>
      <c r="G915" s="239" t="s">
        <v>962</v>
      </c>
      <c r="H915" s="239" t="s">
        <v>42</v>
      </c>
      <c r="I915" s="239" t="s">
        <v>2465</v>
      </c>
      <c r="J915" s="234">
        <v>36600</v>
      </c>
      <c r="K915" s="234">
        <v>15060</v>
      </c>
      <c r="L915" s="242">
        <v>8</v>
      </c>
      <c r="M915" s="308">
        <v>21540</v>
      </c>
      <c r="N915" s="234">
        <v>19816.8</v>
      </c>
      <c r="O915" s="234" t="s">
        <v>2699</v>
      </c>
      <c r="P915" s="236">
        <v>45938</v>
      </c>
      <c r="Q915" s="244">
        <v>0.95040509259259254</v>
      </c>
    </row>
    <row r="916" spans="1:17" ht="38.25">
      <c r="A916" s="239" t="s">
        <v>2678</v>
      </c>
      <c r="B916" s="240">
        <v>2220</v>
      </c>
      <c r="C916" s="241">
        <v>12</v>
      </c>
      <c r="D916" s="239" t="s">
        <v>2482</v>
      </c>
      <c r="E916" s="239" t="s">
        <v>1305</v>
      </c>
      <c r="F916" s="239" t="s">
        <v>1306</v>
      </c>
      <c r="G916" s="239" t="s">
        <v>962</v>
      </c>
      <c r="H916" s="239" t="s">
        <v>42</v>
      </c>
      <c r="I916" s="239" t="s">
        <v>2465</v>
      </c>
      <c r="J916" s="234">
        <v>33910</v>
      </c>
      <c r="K916" s="234">
        <v>14680</v>
      </c>
      <c r="L916" s="242">
        <v>5</v>
      </c>
      <c r="M916" s="308">
        <v>19230</v>
      </c>
      <c r="N916" s="234">
        <v>18268.5</v>
      </c>
      <c r="O916" s="234" t="s">
        <v>2700</v>
      </c>
      <c r="P916" s="236">
        <v>45938</v>
      </c>
      <c r="Q916" s="244">
        <v>0.95369212962962968</v>
      </c>
    </row>
    <row r="917" spans="1:17" ht="38.25">
      <c r="A917" s="239" t="s">
        <v>2679</v>
      </c>
      <c r="B917" s="240">
        <v>2221</v>
      </c>
      <c r="C917" s="241">
        <v>19</v>
      </c>
      <c r="D917" s="239" t="s">
        <v>2482</v>
      </c>
      <c r="E917" s="239" t="s">
        <v>400</v>
      </c>
      <c r="F917" s="239" t="s">
        <v>401</v>
      </c>
      <c r="G917" s="239" t="s">
        <v>962</v>
      </c>
      <c r="H917" s="239" t="s">
        <v>42</v>
      </c>
      <c r="I917" s="239" t="s">
        <v>2465</v>
      </c>
      <c r="J917" s="234">
        <v>30970</v>
      </c>
      <c r="K917" s="234">
        <v>14760</v>
      </c>
      <c r="L917" s="242">
        <v>12</v>
      </c>
      <c r="M917" s="308">
        <v>16210</v>
      </c>
      <c r="N917" s="234">
        <v>14264.8</v>
      </c>
      <c r="O917" s="234" t="s">
        <v>2701</v>
      </c>
      <c r="P917" s="236">
        <v>45938</v>
      </c>
      <c r="Q917" s="244">
        <v>0.95575231481481482</v>
      </c>
    </row>
    <row r="918" spans="1:17" ht="38.25">
      <c r="A918" s="239" t="s">
        <v>2680</v>
      </c>
      <c r="B918" s="240">
        <v>2222</v>
      </c>
      <c r="C918" s="241">
        <v>18</v>
      </c>
      <c r="D918" s="239" t="s">
        <v>2482</v>
      </c>
      <c r="E918" s="239" t="s">
        <v>377</v>
      </c>
      <c r="F918" s="239" t="s">
        <v>378</v>
      </c>
      <c r="G918" s="239" t="s">
        <v>962</v>
      </c>
      <c r="H918" s="239" t="s">
        <v>42</v>
      </c>
      <c r="I918" s="239" t="s">
        <v>2465</v>
      </c>
      <c r="J918" s="234">
        <v>35060</v>
      </c>
      <c r="K918" s="234">
        <v>15160</v>
      </c>
      <c r="L918" s="242">
        <v>17</v>
      </c>
      <c r="M918" s="308">
        <v>19900</v>
      </c>
      <c r="N918" s="234">
        <v>16517</v>
      </c>
      <c r="O918" s="234" t="s">
        <v>2702</v>
      </c>
      <c r="P918" s="236">
        <v>45938</v>
      </c>
      <c r="Q918" s="244">
        <v>0.95767361111111116</v>
      </c>
    </row>
    <row r="919" spans="1:17" ht="51">
      <c r="A919" s="239" t="s">
        <v>2681</v>
      </c>
      <c r="B919" s="240">
        <v>2224</v>
      </c>
      <c r="C919" s="241">
        <v>7951</v>
      </c>
      <c r="D919" s="239" t="s">
        <v>2511</v>
      </c>
      <c r="E919" s="239" t="s">
        <v>794</v>
      </c>
      <c r="F919" s="239" t="s">
        <v>795</v>
      </c>
      <c r="G919" s="239" t="s">
        <v>933</v>
      </c>
      <c r="H919" s="239" t="s">
        <v>51</v>
      </c>
      <c r="I919" s="239" t="s">
        <v>2512</v>
      </c>
      <c r="J919" s="234">
        <v>43310</v>
      </c>
      <c r="K919" s="234">
        <v>16150</v>
      </c>
      <c r="L919" s="242">
        <v>5</v>
      </c>
      <c r="M919" s="308">
        <v>27160</v>
      </c>
      <c r="N919" s="234">
        <v>25802</v>
      </c>
      <c r="O919" s="234" t="s">
        <v>2703</v>
      </c>
      <c r="P919" s="236">
        <v>45939</v>
      </c>
      <c r="Q919" s="244">
        <v>0.38232638888888887</v>
      </c>
    </row>
    <row r="920" spans="1:17" ht="51">
      <c r="A920" s="239" t="s">
        <v>2682</v>
      </c>
      <c r="B920" s="240">
        <v>2225</v>
      </c>
      <c r="C920" s="241">
        <v>7952</v>
      </c>
      <c r="D920" s="239" t="s">
        <v>2511</v>
      </c>
      <c r="E920" s="239" t="s">
        <v>841</v>
      </c>
      <c r="F920" s="239" t="s">
        <v>845</v>
      </c>
      <c r="G920" s="239" t="s">
        <v>933</v>
      </c>
      <c r="H920" s="239" t="s">
        <v>51</v>
      </c>
      <c r="I920" s="239" t="s">
        <v>2512</v>
      </c>
      <c r="J920" s="234">
        <v>43110</v>
      </c>
      <c r="K920" s="234">
        <v>15940</v>
      </c>
      <c r="L920" s="242">
        <v>5</v>
      </c>
      <c r="M920" s="308">
        <v>27170</v>
      </c>
      <c r="N920" s="234">
        <v>25811.5</v>
      </c>
      <c r="O920" s="234" t="s">
        <v>2704</v>
      </c>
      <c r="P920" s="236">
        <v>45939</v>
      </c>
      <c r="Q920" s="244">
        <v>0.41390046296296296</v>
      </c>
    </row>
    <row r="921" spans="1:17" ht="51">
      <c r="A921" s="239" t="s">
        <v>2705</v>
      </c>
      <c r="B921" s="240">
        <v>2227</v>
      </c>
      <c r="C921" s="241">
        <v>7853</v>
      </c>
      <c r="D921" s="239" t="s">
        <v>2511</v>
      </c>
      <c r="E921" s="239" t="s">
        <v>786</v>
      </c>
      <c r="F921" s="239" t="s">
        <v>787</v>
      </c>
      <c r="G921" s="239" t="s">
        <v>933</v>
      </c>
      <c r="H921" s="239" t="s">
        <v>51</v>
      </c>
      <c r="I921" s="239" t="s">
        <v>2512</v>
      </c>
      <c r="J921" s="234">
        <v>36340</v>
      </c>
      <c r="K921" s="234">
        <v>14030</v>
      </c>
      <c r="L921" s="242">
        <v>10</v>
      </c>
      <c r="M921" s="308">
        <v>22310</v>
      </c>
      <c r="N921" s="234">
        <v>20079</v>
      </c>
      <c r="O921" s="234" t="s">
        <v>2707</v>
      </c>
      <c r="P921" s="236">
        <v>45939</v>
      </c>
      <c r="Q921" s="244">
        <v>0.46078703703703705</v>
      </c>
    </row>
    <row r="922" spans="1:17" ht="51">
      <c r="A922" s="239" t="s">
        <v>2706</v>
      </c>
      <c r="B922" s="240">
        <v>2231</v>
      </c>
      <c r="C922" s="241">
        <v>7955</v>
      </c>
      <c r="D922" s="239" t="s">
        <v>2511</v>
      </c>
      <c r="E922" s="239" t="s">
        <v>783</v>
      </c>
      <c r="F922" s="239" t="s">
        <v>784</v>
      </c>
      <c r="G922" s="239" t="s">
        <v>933</v>
      </c>
      <c r="H922" s="239" t="s">
        <v>51</v>
      </c>
      <c r="I922" s="239" t="s">
        <v>2512</v>
      </c>
      <c r="J922" s="234">
        <v>39920</v>
      </c>
      <c r="K922" s="234">
        <v>14700</v>
      </c>
      <c r="L922" s="242">
        <v>10</v>
      </c>
      <c r="M922" s="308">
        <v>25220</v>
      </c>
      <c r="N922" s="234">
        <v>22698</v>
      </c>
      <c r="O922" s="234" t="s">
        <v>2708</v>
      </c>
      <c r="P922" s="236">
        <v>45939</v>
      </c>
      <c r="Q922" s="244">
        <v>0.48475694444444445</v>
      </c>
    </row>
    <row r="923" spans="1:17" ht="51">
      <c r="A923" s="239" t="s">
        <v>2713</v>
      </c>
      <c r="B923" s="240">
        <v>2232</v>
      </c>
      <c r="C923" s="241">
        <v>7954</v>
      </c>
      <c r="D923" s="239" t="s">
        <v>2511</v>
      </c>
      <c r="E923" s="239" t="s">
        <v>791</v>
      </c>
      <c r="F923" s="239" t="s">
        <v>792</v>
      </c>
      <c r="G923" s="239" t="s">
        <v>933</v>
      </c>
      <c r="H923" s="239" t="s">
        <v>51</v>
      </c>
      <c r="I923" s="239" t="s">
        <v>2512</v>
      </c>
      <c r="J923" s="234">
        <v>41100</v>
      </c>
      <c r="K923" s="234">
        <v>15060</v>
      </c>
      <c r="L923" s="242">
        <v>5</v>
      </c>
      <c r="M923" s="308">
        <v>26040</v>
      </c>
      <c r="N923" s="234">
        <v>24738</v>
      </c>
      <c r="O923" s="234" t="s">
        <v>2714</v>
      </c>
      <c r="P923" s="236">
        <v>45939</v>
      </c>
      <c r="Q923" s="244">
        <v>0.55004629629629631</v>
      </c>
    </row>
    <row r="924" spans="1:17" ht="51">
      <c r="A924" s="239" t="s">
        <v>2715</v>
      </c>
      <c r="B924" s="240">
        <v>2234</v>
      </c>
      <c r="C924" s="241">
        <v>7958</v>
      </c>
      <c r="D924" s="239" t="s">
        <v>2511</v>
      </c>
      <c r="E924" s="239" t="s">
        <v>1397</v>
      </c>
      <c r="F924" s="239" t="s">
        <v>1398</v>
      </c>
      <c r="G924" s="239" t="s">
        <v>933</v>
      </c>
      <c r="H924" s="239" t="s">
        <v>51</v>
      </c>
      <c r="I924" s="239" t="s">
        <v>2512</v>
      </c>
      <c r="J924" s="234">
        <v>42410</v>
      </c>
      <c r="K924" s="234">
        <v>17130</v>
      </c>
      <c r="L924" s="242">
        <v>10</v>
      </c>
      <c r="M924" s="308">
        <v>25280</v>
      </c>
      <c r="N924" s="234">
        <v>22752</v>
      </c>
      <c r="O924" s="234" t="s">
        <v>2716</v>
      </c>
      <c r="P924" s="236">
        <v>45939</v>
      </c>
      <c r="Q924" s="244">
        <v>0.59049768518518519</v>
      </c>
    </row>
    <row r="925" spans="1:17" ht="51">
      <c r="A925" s="239" t="s">
        <v>2717</v>
      </c>
      <c r="B925" s="240">
        <v>2236</v>
      </c>
      <c r="C925" s="241">
        <v>7959</v>
      </c>
      <c r="D925" s="239" t="s">
        <v>2511</v>
      </c>
      <c r="E925" s="239" t="s">
        <v>1403</v>
      </c>
      <c r="F925" s="239" t="s">
        <v>1404</v>
      </c>
      <c r="G925" s="239" t="s">
        <v>933</v>
      </c>
      <c r="H925" s="239" t="s">
        <v>51</v>
      </c>
      <c r="I925" s="239" t="s">
        <v>2512</v>
      </c>
      <c r="J925" s="234">
        <v>39830</v>
      </c>
      <c r="K925" s="234">
        <v>14980</v>
      </c>
      <c r="L925" s="242">
        <v>9</v>
      </c>
      <c r="M925" s="308">
        <v>24850</v>
      </c>
      <c r="N925" s="234">
        <v>22613.5</v>
      </c>
      <c r="O925" s="234" t="s">
        <v>2718</v>
      </c>
      <c r="P925" s="236">
        <v>45939</v>
      </c>
      <c r="Q925" s="244">
        <v>0.62175925925925923</v>
      </c>
    </row>
    <row r="926" spans="1:17" ht="51">
      <c r="A926" s="239" t="s">
        <v>2719</v>
      </c>
      <c r="B926" s="240">
        <v>2237</v>
      </c>
      <c r="C926" s="241">
        <v>7960</v>
      </c>
      <c r="D926" s="239" t="s">
        <v>2511</v>
      </c>
      <c r="E926" s="239" t="s">
        <v>1400</v>
      </c>
      <c r="F926" s="239" t="s">
        <v>1401</v>
      </c>
      <c r="G926" s="239" t="s">
        <v>933</v>
      </c>
      <c r="H926" s="239" t="s">
        <v>51</v>
      </c>
      <c r="I926" s="239" t="s">
        <v>2512</v>
      </c>
      <c r="J926" s="234">
        <v>37100</v>
      </c>
      <c r="K926" s="234">
        <v>14760</v>
      </c>
      <c r="L926" s="242">
        <v>5</v>
      </c>
      <c r="M926" s="308">
        <v>22340</v>
      </c>
      <c r="N926" s="234">
        <v>21223</v>
      </c>
      <c r="O926" s="234" t="s">
        <v>2720</v>
      </c>
      <c r="P926" s="236">
        <v>45939</v>
      </c>
      <c r="Q926" s="244">
        <v>0.67379629629629634</v>
      </c>
    </row>
    <row r="927" spans="1:17" ht="51">
      <c r="A927" s="239" t="s">
        <v>2721</v>
      </c>
      <c r="B927" s="240">
        <v>2238</v>
      </c>
      <c r="C927" s="241">
        <v>7961</v>
      </c>
      <c r="D927" s="239" t="s">
        <v>2511</v>
      </c>
      <c r="E927" s="239" t="s">
        <v>462</v>
      </c>
      <c r="F927" s="239" t="s">
        <v>463</v>
      </c>
      <c r="G927" s="239" t="s">
        <v>933</v>
      </c>
      <c r="H927" s="239" t="s">
        <v>51</v>
      </c>
      <c r="I927" s="239" t="s">
        <v>2512</v>
      </c>
      <c r="J927" s="234">
        <v>40670</v>
      </c>
      <c r="K927" s="234">
        <v>16330</v>
      </c>
      <c r="L927" s="242">
        <v>11</v>
      </c>
      <c r="M927" s="308">
        <v>24340</v>
      </c>
      <c r="N927" s="234">
        <v>21662.6</v>
      </c>
      <c r="O927" s="234" t="s">
        <v>2722</v>
      </c>
      <c r="P927" s="236">
        <v>45939</v>
      </c>
      <c r="Q927" s="244">
        <v>0.69252314814814819</v>
      </c>
    </row>
    <row r="928" spans="1:17" ht="51">
      <c r="A928" s="239" t="s">
        <v>2723</v>
      </c>
      <c r="B928" s="240">
        <v>2240</v>
      </c>
      <c r="C928" s="241">
        <v>7962</v>
      </c>
      <c r="D928" s="239" t="s">
        <v>2511</v>
      </c>
      <c r="E928" s="239" t="s">
        <v>472</v>
      </c>
      <c r="F928" s="239" t="s">
        <v>473</v>
      </c>
      <c r="G928" s="239" t="s">
        <v>933</v>
      </c>
      <c r="H928" s="239" t="s">
        <v>51</v>
      </c>
      <c r="I928" s="239" t="s">
        <v>2512</v>
      </c>
      <c r="J928" s="234">
        <v>39060</v>
      </c>
      <c r="K928" s="234">
        <v>16560</v>
      </c>
      <c r="L928" s="242">
        <v>13</v>
      </c>
      <c r="M928" s="308">
        <v>22500</v>
      </c>
      <c r="N928" s="234">
        <v>19575</v>
      </c>
      <c r="O928" s="234" t="s">
        <v>2724</v>
      </c>
      <c r="P928" s="236">
        <v>45939</v>
      </c>
      <c r="Q928" s="244">
        <v>0.73079861111111111</v>
      </c>
    </row>
    <row r="929" spans="1:17" ht="51">
      <c r="A929" s="239" t="s">
        <v>2725</v>
      </c>
      <c r="B929" s="240">
        <v>2241</v>
      </c>
      <c r="C929" s="241">
        <v>7963</v>
      </c>
      <c r="D929" s="239" t="s">
        <v>2511</v>
      </c>
      <c r="E929" s="239" t="s">
        <v>475</v>
      </c>
      <c r="F929" s="239" t="s">
        <v>476</v>
      </c>
      <c r="G929" s="239" t="s">
        <v>933</v>
      </c>
      <c r="H929" s="239" t="s">
        <v>51</v>
      </c>
      <c r="I929" s="239" t="s">
        <v>2512</v>
      </c>
      <c r="J929" s="234">
        <v>39900</v>
      </c>
      <c r="K929" s="234">
        <v>16470</v>
      </c>
      <c r="L929" s="242">
        <v>12</v>
      </c>
      <c r="M929" s="308">
        <v>23430</v>
      </c>
      <c r="N929" s="234">
        <v>20618.400000000001</v>
      </c>
      <c r="O929" s="234" t="s">
        <v>2726</v>
      </c>
      <c r="P929" s="236">
        <v>45939</v>
      </c>
      <c r="Q929" s="244">
        <v>0.76209490740740737</v>
      </c>
    </row>
    <row r="930" spans="1:17" ht="51">
      <c r="A930" s="239" t="s">
        <v>2727</v>
      </c>
      <c r="B930" s="240">
        <v>2243</v>
      </c>
      <c r="C930" s="241">
        <v>7974</v>
      </c>
      <c r="D930" s="239" t="s">
        <v>2511</v>
      </c>
      <c r="E930" s="239" t="s">
        <v>388</v>
      </c>
      <c r="F930" s="239" t="s">
        <v>389</v>
      </c>
      <c r="G930" s="239" t="s">
        <v>933</v>
      </c>
      <c r="H930" s="239" t="s">
        <v>51</v>
      </c>
      <c r="I930" s="239" t="s">
        <v>2512</v>
      </c>
      <c r="J930" s="234">
        <v>60510</v>
      </c>
      <c r="K930" s="234">
        <v>21280</v>
      </c>
      <c r="L930" s="242">
        <v>13</v>
      </c>
      <c r="M930" s="308">
        <v>39230</v>
      </c>
      <c r="N930" s="234">
        <v>34130.1</v>
      </c>
      <c r="O930" s="234" t="s">
        <v>2728</v>
      </c>
      <c r="P930" s="236">
        <v>45939</v>
      </c>
      <c r="Q930" s="244">
        <v>0.90314814814814814</v>
      </c>
    </row>
    <row r="931" spans="1:17" ht="51">
      <c r="A931" s="239" t="s">
        <v>2729</v>
      </c>
      <c r="B931" s="240">
        <v>2244</v>
      </c>
      <c r="C931" s="241">
        <v>7975</v>
      </c>
      <c r="D931" s="239" t="s">
        <v>2511</v>
      </c>
      <c r="E931" s="239" t="s">
        <v>413</v>
      </c>
      <c r="F931" s="239" t="s">
        <v>414</v>
      </c>
      <c r="G931" s="239" t="s">
        <v>933</v>
      </c>
      <c r="H931" s="239" t="s">
        <v>51</v>
      </c>
      <c r="I931" s="239" t="s">
        <v>2512</v>
      </c>
      <c r="J931" s="234">
        <v>43940</v>
      </c>
      <c r="K931" s="234">
        <v>14990</v>
      </c>
      <c r="L931" s="242">
        <v>8</v>
      </c>
      <c r="M931" s="308">
        <v>28950</v>
      </c>
      <c r="N931" s="234">
        <v>26634</v>
      </c>
      <c r="O931" s="234" t="s">
        <v>2730</v>
      </c>
      <c r="P931" s="236">
        <v>45939</v>
      </c>
      <c r="Q931" s="244">
        <v>0.90959490740740745</v>
      </c>
    </row>
    <row r="932" spans="1:17" ht="51">
      <c r="A932" s="239" t="s">
        <v>2731</v>
      </c>
      <c r="B932" s="240">
        <v>2245</v>
      </c>
      <c r="C932" s="241">
        <v>7977</v>
      </c>
      <c r="D932" s="239" t="s">
        <v>2511</v>
      </c>
      <c r="E932" s="239" t="s">
        <v>1410</v>
      </c>
      <c r="F932" s="239" t="s">
        <v>437</v>
      </c>
      <c r="G932" s="239" t="s">
        <v>933</v>
      </c>
      <c r="H932" s="239" t="s">
        <v>51</v>
      </c>
      <c r="I932" s="239" t="s">
        <v>2512</v>
      </c>
      <c r="J932" s="234">
        <v>41370</v>
      </c>
      <c r="K932" s="234">
        <v>14910</v>
      </c>
      <c r="L932" s="242">
        <v>9</v>
      </c>
      <c r="M932" s="308">
        <v>26460</v>
      </c>
      <c r="N932" s="234">
        <v>24078.6</v>
      </c>
      <c r="O932" s="234" t="s">
        <v>2732</v>
      </c>
      <c r="P932" s="236">
        <v>45939</v>
      </c>
      <c r="Q932" s="244">
        <v>0.95679398148148154</v>
      </c>
    </row>
    <row r="933" spans="1:17" ht="51">
      <c r="A933" s="239" t="s">
        <v>2733</v>
      </c>
      <c r="B933" s="240">
        <v>2246</v>
      </c>
      <c r="C933" s="241">
        <v>7978</v>
      </c>
      <c r="D933" s="239" t="s">
        <v>2511</v>
      </c>
      <c r="E933" s="239" t="s">
        <v>439</v>
      </c>
      <c r="F933" s="239" t="s">
        <v>440</v>
      </c>
      <c r="G933" s="239" t="s">
        <v>933</v>
      </c>
      <c r="H933" s="239" t="s">
        <v>51</v>
      </c>
      <c r="I933" s="239" t="s">
        <v>2512</v>
      </c>
      <c r="J933" s="234">
        <v>43900</v>
      </c>
      <c r="K933" s="234">
        <v>15050</v>
      </c>
      <c r="L933" s="242">
        <v>14</v>
      </c>
      <c r="M933" s="308">
        <v>28850</v>
      </c>
      <c r="N933" s="234">
        <v>24811</v>
      </c>
      <c r="O933" s="234" t="s">
        <v>2734</v>
      </c>
      <c r="P933" s="236">
        <v>45939</v>
      </c>
      <c r="Q933" s="244">
        <v>0.96245370370370376</v>
      </c>
    </row>
    <row r="934" spans="1:17" ht="51">
      <c r="A934" s="239" t="s">
        <v>2735</v>
      </c>
      <c r="B934" s="240">
        <v>2247</v>
      </c>
      <c r="C934" s="241">
        <v>7982</v>
      </c>
      <c r="D934" s="239" t="s">
        <v>2511</v>
      </c>
      <c r="E934" s="239" t="s">
        <v>392</v>
      </c>
      <c r="F934" s="239" t="s">
        <v>393</v>
      </c>
      <c r="G934" s="239" t="s">
        <v>933</v>
      </c>
      <c r="H934" s="239" t="s">
        <v>51</v>
      </c>
      <c r="I934" s="239" t="s">
        <v>2512</v>
      </c>
      <c r="J934" s="234">
        <v>64040</v>
      </c>
      <c r="K934" s="234">
        <v>24020</v>
      </c>
      <c r="L934" s="242">
        <v>14</v>
      </c>
      <c r="M934" s="308">
        <v>40020</v>
      </c>
      <c r="N934" s="234">
        <v>34417.199999999997</v>
      </c>
      <c r="O934" s="234" t="s">
        <v>2736</v>
      </c>
      <c r="P934" s="236">
        <v>45939</v>
      </c>
      <c r="Q934" s="244">
        <v>0.97313657407407406</v>
      </c>
    </row>
    <row r="935" spans="1:17" ht="51">
      <c r="A935" s="239" t="s">
        <v>2737</v>
      </c>
      <c r="B935" s="240">
        <v>2248</v>
      </c>
      <c r="C935" s="241">
        <v>7987</v>
      </c>
      <c r="D935" s="239" t="s">
        <v>2511</v>
      </c>
      <c r="E935" s="239" t="s">
        <v>447</v>
      </c>
      <c r="F935" s="239" t="s">
        <v>448</v>
      </c>
      <c r="G935" s="239" t="s">
        <v>933</v>
      </c>
      <c r="H935" s="239" t="s">
        <v>51</v>
      </c>
      <c r="I935" s="239" t="s">
        <v>2512</v>
      </c>
      <c r="J935" s="234">
        <v>50900</v>
      </c>
      <c r="K935" s="234">
        <v>19430</v>
      </c>
      <c r="L935" s="242">
        <v>12</v>
      </c>
      <c r="M935" s="308">
        <v>31470</v>
      </c>
      <c r="N935" s="234">
        <v>27693.599999999999</v>
      </c>
      <c r="O935" s="234" t="s">
        <v>2738</v>
      </c>
      <c r="P935" s="236">
        <v>45939</v>
      </c>
      <c r="Q935" s="244">
        <v>0.98133101851851856</v>
      </c>
    </row>
    <row r="936" spans="1:17" ht="51">
      <c r="A936" s="239" t="s">
        <v>2739</v>
      </c>
      <c r="B936" s="240">
        <v>2249</v>
      </c>
      <c r="C936" s="241">
        <v>7993</v>
      </c>
      <c r="D936" s="239" t="s">
        <v>2511</v>
      </c>
      <c r="E936" s="239" t="s">
        <v>374</v>
      </c>
      <c r="F936" s="239" t="s">
        <v>375</v>
      </c>
      <c r="G936" s="239" t="s">
        <v>933</v>
      </c>
      <c r="H936" s="239" t="s">
        <v>51</v>
      </c>
      <c r="I936" s="239" t="s">
        <v>2512</v>
      </c>
      <c r="J936" s="234">
        <v>40210</v>
      </c>
      <c r="K936" s="234">
        <v>15610</v>
      </c>
      <c r="L936" s="242">
        <v>12</v>
      </c>
      <c r="M936" s="308">
        <v>24600</v>
      </c>
      <c r="N936" s="234">
        <v>21648</v>
      </c>
      <c r="O936" s="234" t="s">
        <v>2740</v>
      </c>
      <c r="P936" s="236">
        <v>45940</v>
      </c>
      <c r="Q936" s="244">
        <v>0.16127314814814814</v>
      </c>
    </row>
    <row r="937" spans="1:17" ht="51">
      <c r="A937" s="239" t="s">
        <v>2741</v>
      </c>
      <c r="B937" s="240">
        <v>2250</v>
      </c>
      <c r="C937" s="241">
        <v>7994</v>
      </c>
      <c r="D937" s="239" t="s">
        <v>2511</v>
      </c>
      <c r="E937" s="239" t="s">
        <v>858</v>
      </c>
      <c r="F937" s="239" t="s">
        <v>859</v>
      </c>
      <c r="G937" s="239" t="s">
        <v>933</v>
      </c>
      <c r="H937" s="239" t="s">
        <v>51</v>
      </c>
      <c r="I937" s="239" t="s">
        <v>2512</v>
      </c>
      <c r="J937" s="234">
        <v>39940</v>
      </c>
      <c r="K937" s="234">
        <v>14910</v>
      </c>
      <c r="L937" s="242">
        <v>13</v>
      </c>
      <c r="M937" s="308">
        <v>25030</v>
      </c>
      <c r="N937" s="234">
        <v>21776.1</v>
      </c>
      <c r="O937" s="234" t="s">
        <v>2742</v>
      </c>
      <c r="P937" s="236">
        <v>45940</v>
      </c>
      <c r="Q937" s="244">
        <v>0.18836805555555555</v>
      </c>
    </row>
    <row r="938" spans="1:17" ht="51">
      <c r="A938" s="239" t="s">
        <v>2743</v>
      </c>
      <c r="B938" s="240">
        <v>2251</v>
      </c>
      <c r="C938" s="241">
        <v>7995</v>
      </c>
      <c r="D938" s="239" t="s">
        <v>2511</v>
      </c>
      <c r="E938" s="239" t="s">
        <v>372</v>
      </c>
      <c r="F938" s="239" t="s">
        <v>373</v>
      </c>
      <c r="G938" s="239" t="s">
        <v>933</v>
      </c>
      <c r="H938" s="239" t="s">
        <v>51</v>
      </c>
      <c r="I938" s="239" t="s">
        <v>2512</v>
      </c>
      <c r="J938" s="234">
        <v>36810</v>
      </c>
      <c r="K938" s="234">
        <v>14910</v>
      </c>
      <c r="L938" s="242">
        <v>16</v>
      </c>
      <c r="M938" s="308">
        <v>21900</v>
      </c>
      <c r="N938" s="234">
        <v>18396</v>
      </c>
      <c r="O938" s="234" t="s">
        <v>2744</v>
      </c>
      <c r="P938" s="236">
        <v>45940</v>
      </c>
      <c r="Q938" s="244">
        <v>0.22765046296296296</v>
      </c>
    </row>
    <row r="939" spans="1:17" ht="51">
      <c r="A939" s="239" t="s">
        <v>2745</v>
      </c>
      <c r="B939" s="240">
        <v>2252</v>
      </c>
      <c r="C939" s="241">
        <v>7998</v>
      </c>
      <c r="D939" s="239" t="s">
        <v>2511</v>
      </c>
      <c r="E939" s="239" t="s">
        <v>453</v>
      </c>
      <c r="F939" s="239" t="s">
        <v>454</v>
      </c>
      <c r="G939" s="239" t="s">
        <v>933</v>
      </c>
      <c r="H939" s="239" t="s">
        <v>51</v>
      </c>
      <c r="I939" s="239" t="s">
        <v>2512</v>
      </c>
      <c r="J939" s="234">
        <v>64690</v>
      </c>
      <c r="K939" s="234">
        <v>24450</v>
      </c>
      <c r="L939" s="242">
        <v>7</v>
      </c>
      <c r="M939" s="308">
        <v>40240</v>
      </c>
      <c r="N939" s="234">
        <v>37423.199999999997</v>
      </c>
      <c r="O939" s="234" t="s">
        <v>2746</v>
      </c>
      <c r="P939" s="236">
        <v>45940</v>
      </c>
      <c r="Q939" s="244">
        <v>0.31422453703703701</v>
      </c>
    </row>
    <row r="940" spans="1:17" ht="51">
      <c r="A940" s="239" t="s">
        <v>2747</v>
      </c>
      <c r="B940" s="240">
        <v>2253</v>
      </c>
      <c r="C940" s="241">
        <v>7999</v>
      </c>
      <c r="D940" s="239" t="s">
        <v>2511</v>
      </c>
      <c r="E940" s="239" t="s">
        <v>456</v>
      </c>
      <c r="F940" s="239" t="s">
        <v>457</v>
      </c>
      <c r="G940" s="239" t="s">
        <v>933</v>
      </c>
      <c r="H940" s="239" t="s">
        <v>51</v>
      </c>
      <c r="I940" s="239" t="s">
        <v>2512</v>
      </c>
      <c r="J940" s="234">
        <v>44900</v>
      </c>
      <c r="K940" s="234">
        <v>15720</v>
      </c>
      <c r="L940" s="242">
        <v>16</v>
      </c>
      <c r="M940" s="308">
        <v>29180</v>
      </c>
      <c r="N940" s="234">
        <v>24511.200000000001</v>
      </c>
      <c r="O940" s="234" t="s">
        <v>2748</v>
      </c>
      <c r="P940" s="236" t="s">
        <v>2749</v>
      </c>
      <c r="Q940" s="244">
        <v>0.37872685185185184</v>
      </c>
    </row>
    <row r="941" spans="1:17" ht="51">
      <c r="A941" s="239" t="s">
        <v>2750</v>
      </c>
      <c r="B941" s="240">
        <v>2254</v>
      </c>
      <c r="C941" s="241">
        <v>8000</v>
      </c>
      <c r="D941" s="239" t="s">
        <v>2511</v>
      </c>
      <c r="E941" s="239" t="s">
        <v>432</v>
      </c>
      <c r="F941" s="239" t="s">
        <v>433</v>
      </c>
      <c r="G941" s="239" t="s">
        <v>933</v>
      </c>
      <c r="H941" s="239" t="s">
        <v>51</v>
      </c>
      <c r="I941" s="239" t="s">
        <v>2512</v>
      </c>
      <c r="J941" s="234">
        <v>41590</v>
      </c>
      <c r="K941" s="234">
        <v>15670</v>
      </c>
      <c r="L941" s="242">
        <v>14</v>
      </c>
      <c r="M941" s="308">
        <v>25920</v>
      </c>
      <c r="N941" s="234">
        <v>22291.200000000001</v>
      </c>
      <c r="O941" s="234" t="s">
        <v>2751</v>
      </c>
      <c r="P941" s="236" t="s">
        <v>2749</v>
      </c>
      <c r="Q941" s="244">
        <v>0.42834490740740738</v>
      </c>
    </row>
    <row r="942" spans="1:17" ht="51">
      <c r="A942" s="239" t="s">
        <v>2752</v>
      </c>
      <c r="B942" s="240">
        <v>2255</v>
      </c>
      <c r="C942" s="241">
        <v>8005</v>
      </c>
      <c r="D942" s="239" t="s">
        <v>2511</v>
      </c>
      <c r="E942" s="239" t="s">
        <v>377</v>
      </c>
      <c r="F942" s="239" t="s">
        <v>378</v>
      </c>
      <c r="G942" s="239" t="s">
        <v>933</v>
      </c>
      <c r="H942" s="239" t="s">
        <v>51</v>
      </c>
      <c r="I942" s="239" t="s">
        <v>2512</v>
      </c>
      <c r="J942" s="234">
        <v>43180</v>
      </c>
      <c r="K942" s="234">
        <v>15080</v>
      </c>
      <c r="L942" s="242">
        <v>8</v>
      </c>
      <c r="M942" s="308">
        <v>28100</v>
      </c>
      <c r="N942" s="234">
        <v>25852</v>
      </c>
      <c r="O942" s="234" t="s">
        <v>2753</v>
      </c>
      <c r="P942" s="236" t="s">
        <v>2749</v>
      </c>
      <c r="Q942" s="244">
        <v>0.45899305555555553</v>
      </c>
    </row>
    <row r="943" spans="1:17" ht="51">
      <c r="A943" s="239" t="s">
        <v>2754</v>
      </c>
      <c r="B943" s="240">
        <v>2256</v>
      </c>
      <c r="C943" s="241">
        <v>8006</v>
      </c>
      <c r="D943" s="239" t="s">
        <v>2511</v>
      </c>
      <c r="E943" s="239" t="s">
        <v>410</v>
      </c>
      <c r="F943" s="239" t="s">
        <v>411</v>
      </c>
      <c r="G943" s="239" t="s">
        <v>933</v>
      </c>
      <c r="H943" s="239" t="s">
        <v>51</v>
      </c>
      <c r="I943" s="239" t="s">
        <v>2512</v>
      </c>
      <c r="J943" s="234">
        <v>40820</v>
      </c>
      <c r="K943" s="234">
        <v>15050</v>
      </c>
      <c r="L943" s="242">
        <v>7</v>
      </c>
      <c r="M943" s="308">
        <v>25770</v>
      </c>
      <c r="N943" s="234">
        <v>23966.1</v>
      </c>
      <c r="O943" s="234" t="s">
        <v>2755</v>
      </c>
      <c r="P943" s="236">
        <v>45940</v>
      </c>
      <c r="Q943" s="244">
        <v>0.48751157407407408</v>
      </c>
    </row>
    <row r="944" spans="1:17" ht="51">
      <c r="A944" s="239" t="s">
        <v>2756</v>
      </c>
      <c r="B944" s="240">
        <v>2257</v>
      </c>
      <c r="C944" s="241">
        <v>8007</v>
      </c>
      <c r="D944" s="239" t="s">
        <v>2511</v>
      </c>
      <c r="E944" s="239" t="s">
        <v>794</v>
      </c>
      <c r="F944" s="239" t="s">
        <v>795</v>
      </c>
      <c r="G944" s="239" t="s">
        <v>933</v>
      </c>
      <c r="H944" s="239" t="s">
        <v>51</v>
      </c>
      <c r="I944" s="239" t="s">
        <v>2512</v>
      </c>
      <c r="J944" s="234">
        <v>43140</v>
      </c>
      <c r="K944" s="234">
        <v>15940</v>
      </c>
      <c r="L944" s="242">
        <v>23</v>
      </c>
      <c r="M944" s="308">
        <v>27200</v>
      </c>
      <c r="N944" s="234">
        <v>20944</v>
      </c>
      <c r="O944" s="234" t="s">
        <v>2817</v>
      </c>
      <c r="P944" s="236">
        <v>45940</v>
      </c>
      <c r="Q944" s="244">
        <v>0.56777777777777783</v>
      </c>
    </row>
    <row r="945" spans="1:17" ht="51">
      <c r="A945" s="239" t="s">
        <v>2757</v>
      </c>
      <c r="B945" s="240">
        <v>2259</v>
      </c>
      <c r="C945" s="241">
        <v>8010</v>
      </c>
      <c r="D945" s="239" t="s">
        <v>2511</v>
      </c>
      <c r="E945" s="239" t="s">
        <v>841</v>
      </c>
      <c r="F945" s="239" t="s">
        <v>845</v>
      </c>
      <c r="G945" s="239" t="s">
        <v>933</v>
      </c>
      <c r="H945" s="239" t="s">
        <v>51</v>
      </c>
      <c r="I945" s="239" t="s">
        <v>2512</v>
      </c>
      <c r="J945" s="234">
        <v>42450</v>
      </c>
      <c r="K945" s="234">
        <v>15720</v>
      </c>
      <c r="L945" s="242">
        <v>9</v>
      </c>
      <c r="M945" s="308">
        <v>26730</v>
      </c>
      <c r="N945" s="234">
        <v>24324.3</v>
      </c>
      <c r="O945" s="234" t="s">
        <v>2818</v>
      </c>
      <c r="P945" s="236">
        <v>45940</v>
      </c>
      <c r="Q945" s="244">
        <v>0.57343750000000004</v>
      </c>
    </row>
    <row r="946" spans="1:17" ht="51">
      <c r="A946" s="239" t="s">
        <v>2758</v>
      </c>
      <c r="B946" s="240">
        <v>2262</v>
      </c>
      <c r="C946" s="241">
        <v>8012</v>
      </c>
      <c r="D946" s="239" t="s">
        <v>2511</v>
      </c>
      <c r="E946" s="239" t="s">
        <v>786</v>
      </c>
      <c r="F946" s="239" t="s">
        <v>787</v>
      </c>
      <c r="G946" s="239" t="s">
        <v>933</v>
      </c>
      <c r="H946" s="239" t="s">
        <v>51</v>
      </c>
      <c r="I946" s="239" t="s">
        <v>2512</v>
      </c>
      <c r="J946" s="234">
        <v>36100</v>
      </c>
      <c r="K946" s="234">
        <v>13800</v>
      </c>
      <c r="L946" s="242">
        <v>10</v>
      </c>
      <c r="M946" s="308">
        <v>22300</v>
      </c>
      <c r="N946" s="234">
        <v>20070</v>
      </c>
      <c r="O946" s="234" t="s">
        <v>2819</v>
      </c>
      <c r="P946" s="236">
        <v>45940</v>
      </c>
      <c r="Q946" s="244">
        <v>0.62427083333333333</v>
      </c>
    </row>
    <row r="947" spans="1:17" ht="51">
      <c r="A947" s="239" t="s">
        <v>2759</v>
      </c>
      <c r="B947" s="240">
        <v>2265</v>
      </c>
      <c r="C947" s="241">
        <v>8017</v>
      </c>
      <c r="D947" s="239" t="s">
        <v>2511</v>
      </c>
      <c r="E947" s="239" t="s">
        <v>783</v>
      </c>
      <c r="F947" s="239" t="s">
        <v>784</v>
      </c>
      <c r="G947" s="239" t="s">
        <v>933</v>
      </c>
      <c r="H947" s="239" t="s">
        <v>51</v>
      </c>
      <c r="I947" s="239" t="s">
        <v>2512</v>
      </c>
      <c r="J947" s="234">
        <v>39530</v>
      </c>
      <c r="K947" s="234">
        <v>14450</v>
      </c>
      <c r="L947" s="242">
        <v>13</v>
      </c>
      <c r="M947" s="308">
        <v>25080</v>
      </c>
      <c r="N947" s="234">
        <v>21819.599999999999</v>
      </c>
      <c r="O947" s="234" t="s">
        <v>2820</v>
      </c>
      <c r="P947" s="236">
        <v>45940</v>
      </c>
      <c r="Q947" s="244">
        <v>0.63224537037037032</v>
      </c>
    </row>
    <row r="948" spans="1:17" ht="51">
      <c r="A948" s="239" t="s">
        <v>2760</v>
      </c>
      <c r="B948" s="240">
        <v>2266</v>
      </c>
      <c r="C948" s="241">
        <v>8019</v>
      </c>
      <c r="D948" s="239" t="s">
        <v>2511</v>
      </c>
      <c r="E948" s="239" t="s">
        <v>791</v>
      </c>
      <c r="F948" s="239" t="s">
        <v>792</v>
      </c>
      <c r="G948" s="239" t="s">
        <v>933</v>
      </c>
      <c r="H948" s="239" t="s">
        <v>51</v>
      </c>
      <c r="I948" s="239" t="s">
        <v>2512</v>
      </c>
      <c r="J948" s="234">
        <v>40370</v>
      </c>
      <c r="K948" s="234">
        <v>14810</v>
      </c>
      <c r="L948" s="242">
        <v>6</v>
      </c>
      <c r="M948" s="308">
        <v>25560</v>
      </c>
      <c r="N948" s="234">
        <v>24026.400000000001</v>
      </c>
      <c r="O948" s="234" t="s">
        <v>2821</v>
      </c>
      <c r="P948" s="236">
        <v>45940</v>
      </c>
      <c r="Q948" s="244">
        <v>0.70285879629629633</v>
      </c>
    </row>
    <row r="949" spans="1:17" ht="51">
      <c r="A949" s="239" t="s">
        <v>2761</v>
      </c>
      <c r="B949" s="240">
        <v>2267</v>
      </c>
      <c r="C949" s="241">
        <v>8028</v>
      </c>
      <c r="D949" s="239" t="s">
        <v>2511</v>
      </c>
      <c r="E949" s="239" t="s">
        <v>1397</v>
      </c>
      <c r="F949" s="239" t="s">
        <v>1398</v>
      </c>
      <c r="G949" s="239" t="s">
        <v>933</v>
      </c>
      <c r="H949" s="239" t="s">
        <v>51</v>
      </c>
      <c r="I949" s="239" t="s">
        <v>2512</v>
      </c>
      <c r="J949" s="234">
        <v>44620</v>
      </c>
      <c r="K949" s="234">
        <v>17090</v>
      </c>
      <c r="L949" s="242">
        <v>4</v>
      </c>
      <c r="M949" s="308">
        <v>27530</v>
      </c>
      <c r="N949" s="234">
        <v>26428.799999999999</v>
      </c>
      <c r="O949" s="234" t="s">
        <v>2822</v>
      </c>
      <c r="P949" s="236">
        <v>45940</v>
      </c>
      <c r="Q949" s="244">
        <v>0.74209490740740736</v>
      </c>
    </row>
    <row r="950" spans="1:17" ht="51">
      <c r="A950" s="239" t="s">
        <v>2762</v>
      </c>
      <c r="B950" s="240">
        <v>2269</v>
      </c>
      <c r="C950" s="241">
        <v>8029</v>
      </c>
      <c r="D950" s="239" t="s">
        <v>2511</v>
      </c>
      <c r="E950" s="239" t="s">
        <v>1403</v>
      </c>
      <c r="F950" s="239" t="s">
        <v>1404</v>
      </c>
      <c r="G950" s="239" t="s">
        <v>933</v>
      </c>
      <c r="H950" s="239" t="s">
        <v>51</v>
      </c>
      <c r="I950" s="239" t="s">
        <v>2512</v>
      </c>
      <c r="J950" s="234">
        <v>39260</v>
      </c>
      <c r="K950" s="234">
        <v>15000</v>
      </c>
      <c r="L950" s="242">
        <v>15</v>
      </c>
      <c r="M950" s="308">
        <v>24260</v>
      </c>
      <c r="N950" s="234">
        <v>20621</v>
      </c>
      <c r="O950" s="234" t="s">
        <v>2823</v>
      </c>
      <c r="P950" s="236">
        <v>45940</v>
      </c>
      <c r="Q950" s="244">
        <v>0.82376157407407402</v>
      </c>
    </row>
    <row r="951" spans="1:17" ht="51">
      <c r="A951" s="239" t="s">
        <v>2763</v>
      </c>
      <c r="B951" s="240">
        <v>2270</v>
      </c>
      <c r="C951" s="241">
        <v>8030</v>
      </c>
      <c r="D951" s="239" t="s">
        <v>2511</v>
      </c>
      <c r="E951" s="239" t="s">
        <v>1400</v>
      </c>
      <c r="F951" s="239" t="s">
        <v>1401</v>
      </c>
      <c r="G951" s="239" t="s">
        <v>931</v>
      </c>
      <c r="H951" s="239" t="s">
        <v>51</v>
      </c>
      <c r="I951" s="239" t="s">
        <v>2512</v>
      </c>
      <c r="J951" s="234">
        <v>37000</v>
      </c>
      <c r="K951" s="234">
        <v>14770</v>
      </c>
      <c r="L951" s="242">
        <v>12</v>
      </c>
      <c r="M951" s="308">
        <v>22230</v>
      </c>
      <c r="N951" s="234">
        <v>19562.400000000001</v>
      </c>
      <c r="O951" s="234" t="s">
        <v>2824</v>
      </c>
      <c r="P951" s="236">
        <v>45940</v>
      </c>
      <c r="Q951" s="244">
        <v>0.82922453703703702</v>
      </c>
    </row>
    <row r="952" spans="1:17" ht="51">
      <c r="A952" s="239" t="s">
        <v>2764</v>
      </c>
      <c r="B952" s="240">
        <v>2272</v>
      </c>
      <c r="C952" s="241">
        <v>8035</v>
      </c>
      <c r="D952" s="239" t="s">
        <v>2511</v>
      </c>
      <c r="E952" s="239" t="s">
        <v>462</v>
      </c>
      <c r="F952" s="239" t="s">
        <v>463</v>
      </c>
      <c r="G952" s="239" t="s">
        <v>931</v>
      </c>
      <c r="H952" s="239" t="s">
        <v>51</v>
      </c>
      <c r="I952" s="239" t="s">
        <v>2512</v>
      </c>
      <c r="J952" s="234">
        <v>40260</v>
      </c>
      <c r="K952" s="234">
        <v>16390</v>
      </c>
      <c r="L952" s="242">
        <v>4</v>
      </c>
      <c r="M952" s="308">
        <v>23870</v>
      </c>
      <c r="N952" s="234">
        <v>22915.200000000001</v>
      </c>
      <c r="O952" s="234" t="s">
        <v>2825</v>
      </c>
      <c r="P952" s="236">
        <v>45940</v>
      </c>
      <c r="Q952" s="244">
        <v>0.85824074074074075</v>
      </c>
    </row>
    <row r="953" spans="1:17" ht="51">
      <c r="A953" s="239" t="s">
        <v>2765</v>
      </c>
      <c r="B953" s="240">
        <v>2273</v>
      </c>
      <c r="C953" s="241">
        <v>8036</v>
      </c>
      <c r="D953" s="239" t="s">
        <v>2511</v>
      </c>
      <c r="E953" s="239" t="s">
        <v>472</v>
      </c>
      <c r="F953" s="239" t="s">
        <v>473</v>
      </c>
      <c r="G953" s="239" t="s">
        <v>931</v>
      </c>
      <c r="H953" s="239" t="s">
        <v>51</v>
      </c>
      <c r="I953" s="239" t="s">
        <v>2512</v>
      </c>
      <c r="J953" s="234">
        <v>41390</v>
      </c>
      <c r="K953" s="234">
        <v>16500</v>
      </c>
      <c r="L953" s="242">
        <v>7</v>
      </c>
      <c r="M953" s="308">
        <v>24890</v>
      </c>
      <c r="N953" s="234">
        <v>23147.7</v>
      </c>
      <c r="O953" s="234" t="s">
        <v>2826</v>
      </c>
      <c r="P953" s="236">
        <v>45940</v>
      </c>
      <c r="Q953" s="244">
        <v>0.92861111111111116</v>
      </c>
    </row>
    <row r="954" spans="1:17" ht="51">
      <c r="A954" s="239" t="s">
        <v>2766</v>
      </c>
      <c r="B954" s="240">
        <v>2276</v>
      </c>
      <c r="C954" s="241">
        <v>8037</v>
      </c>
      <c r="D954" s="239" t="s">
        <v>2511</v>
      </c>
      <c r="E954" s="239" t="s">
        <v>475</v>
      </c>
      <c r="F954" s="239" t="s">
        <v>476</v>
      </c>
      <c r="G954" s="239" t="s">
        <v>931</v>
      </c>
      <c r="H954" s="239" t="s">
        <v>51</v>
      </c>
      <c r="I954" s="239" t="s">
        <v>2512</v>
      </c>
      <c r="J954" s="234">
        <v>40310</v>
      </c>
      <c r="K954" s="234">
        <v>16450</v>
      </c>
      <c r="L954" s="242">
        <v>8</v>
      </c>
      <c r="M954" s="308">
        <v>23860</v>
      </c>
      <c r="N954" s="234">
        <v>21951.200000000001</v>
      </c>
      <c r="O954" s="234" t="s">
        <v>2827</v>
      </c>
      <c r="P954" s="236">
        <v>45940</v>
      </c>
      <c r="Q954" s="244">
        <v>0.96302083333333333</v>
      </c>
    </row>
    <row r="955" spans="1:17" ht="51">
      <c r="A955" s="239" t="s">
        <v>2767</v>
      </c>
      <c r="B955" s="240">
        <v>2277</v>
      </c>
      <c r="C955" s="241">
        <v>8041</v>
      </c>
      <c r="D955" s="239" t="s">
        <v>2511</v>
      </c>
      <c r="E955" s="239" t="s">
        <v>429</v>
      </c>
      <c r="F955" s="239" t="s">
        <v>430</v>
      </c>
      <c r="G955" s="239" t="s">
        <v>931</v>
      </c>
      <c r="H955" s="239" t="s">
        <v>51</v>
      </c>
      <c r="I955" s="239" t="s">
        <v>2512</v>
      </c>
      <c r="J955" s="234">
        <v>40760</v>
      </c>
      <c r="K955" s="234">
        <v>14360</v>
      </c>
      <c r="L955" s="242">
        <v>9</v>
      </c>
      <c r="M955" s="308">
        <v>26400</v>
      </c>
      <c r="N955" s="234">
        <v>24024</v>
      </c>
      <c r="O955" s="234" t="s">
        <v>2828</v>
      </c>
      <c r="P955" s="236">
        <v>45940</v>
      </c>
      <c r="Q955" s="244">
        <v>0.98318287037037033</v>
      </c>
    </row>
    <row r="956" spans="1:17" ht="51">
      <c r="A956" s="239" t="s">
        <v>2768</v>
      </c>
      <c r="B956" s="240">
        <v>2278</v>
      </c>
      <c r="C956" s="241">
        <v>8044</v>
      </c>
      <c r="D956" s="239" t="s">
        <v>2511</v>
      </c>
      <c r="E956" s="239" t="s">
        <v>420</v>
      </c>
      <c r="F956" s="239" t="s">
        <v>421</v>
      </c>
      <c r="G956" s="239" t="s">
        <v>931</v>
      </c>
      <c r="H956" s="239" t="s">
        <v>51</v>
      </c>
      <c r="I956" s="239" t="s">
        <v>2512</v>
      </c>
      <c r="J956" s="234">
        <v>37080</v>
      </c>
      <c r="K956" s="234">
        <v>14970</v>
      </c>
      <c r="L956" s="242">
        <v>8</v>
      </c>
      <c r="M956" s="308">
        <v>22110</v>
      </c>
      <c r="N956" s="234">
        <v>20341.2</v>
      </c>
      <c r="O956" s="234" t="s">
        <v>2829</v>
      </c>
      <c r="P956" s="236">
        <v>45941</v>
      </c>
      <c r="Q956" s="244">
        <v>0.10600694444444445</v>
      </c>
    </row>
    <row r="957" spans="1:17" ht="51">
      <c r="A957" s="239" t="s">
        <v>2769</v>
      </c>
      <c r="B957" s="240">
        <v>2279</v>
      </c>
      <c r="C957" s="241">
        <v>8043</v>
      </c>
      <c r="D957" s="239" t="s">
        <v>2511</v>
      </c>
      <c r="E957" s="239" t="s">
        <v>416</v>
      </c>
      <c r="F957" s="239" t="s">
        <v>417</v>
      </c>
      <c r="G957" s="239" t="s">
        <v>931</v>
      </c>
      <c r="H957" s="239" t="s">
        <v>51</v>
      </c>
      <c r="I957" s="239" t="s">
        <v>2512</v>
      </c>
      <c r="J957" s="234">
        <v>38710</v>
      </c>
      <c r="K957" s="234">
        <v>14800</v>
      </c>
      <c r="L957" s="242">
        <v>9</v>
      </c>
      <c r="M957" s="308">
        <v>23910</v>
      </c>
      <c r="N957" s="234">
        <v>21758.1</v>
      </c>
      <c r="O957" s="234" t="s">
        <v>2830</v>
      </c>
      <c r="P957" s="236">
        <v>45941</v>
      </c>
      <c r="Q957" s="244">
        <v>0.12760416666666666</v>
      </c>
    </row>
    <row r="958" spans="1:17" ht="51">
      <c r="A958" s="239" t="s">
        <v>2770</v>
      </c>
      <c r="B958" s="240">
        <v>2280</v>
      </c>
      <c r="C958" s="241">
        <v>8046</v>
      </c>
      <c r="D958" s="239" t="s">
        <v>2511</v>
      </c>
      <c r="E958" s="239" t="s">
        <v>413</v>
      </c>
      <c r="F958" s="239" t="s">
        <v>414</v>
      </c>
      <c r="G958" s="239" t="s">
        <v>931</v>
      </c>
      <c r="H958" s="239" t="s">
        <v>51</v>
      </c>
      <c r="I958" s="239" t="s">
        <v>2512</v>
      </c>
      <c r="J958" s="234">
        <v>43140</v>
      </c>
      <c r="K958" s="234">
        <v>14990</v>
      </c>
      <c r="L958" s="242">
        <v>6</v>
      </c>
      <c r="M958" s="308">
        <v>28150</v>
      </c>
      <c r="N958" s="234">
        <v>26461</v>
      </c>
      <c r="O958" s="234" t="s">
        <v>2831</v>
      </c>
      <c r="P958" s="236">
        <v>45941</v>
      </c>
      <c r="Q958" s="244">
        <v>0.17427083333333335</v>
      </c>
    </row>
    <row r="959" spans="1:17" ht="51">
      <c r="A959" s="239" t="s">
        <v>2771</v>
      </c>
      <c r="B959" s="240">
        <v>2281</v>
      </c>
      <c r="C959" s="241">
        <v>8055</v>
      </c>
      <c r="D959" s="239" t="s">
        <v>2511</v>
      </c>
      <c r="E959" s="239" t="s">
        <v>1410</v>
      </c>
      <c r="F959" s="239" t="s">
        <v>437</v>
      </c>
      <c r="G959" s="239" t="s">
        <v>931</v>
      </c>
      <c r="H959" s="239" t="s">
        <v>51</v>
      </c>
      <c r="I959" s="239" t="s">
        <v>2512</v>
      </c>
      <c r="J959" s="234">
        <v>41040</v>
      </c>
      <c r="K959" s="234">
        <v>14840</v>
      </c>
      <c r="L959" s="242">
        <v>5</v>
      </c>
      <c r="M959" s="308">
        <v>26200</v>
      </c>
      <c r="N959" s="234">
        <v>24890</v>
      </c>
      <c r="O959" s="234" t="s">
        <v>2832</v>
      </c>
      <c r="P959" s="236">
        <v>45941</v>
      </c>
      <c r="Q959" s="244">
        <v>0.43278935185185186</v>
      </c>
    </row>
    <row r="960" spans="1:17" ht="51">
      <c r="A960" s="239" t="s">
        <v>2772</v>
      </c>
      <c r="B960" s="240">
        <v>2282</v>
      </c>
      <c r="C960" s="241">
        <v>8054</v>
      </c>
      <c r="D960" s="239" t="s">
        <v>2511</v>
      </c>
      <c r="E960" s="239" t="s">
        <v>439</v>
      </c>
      <c r="F960" s="239" t="s">
        <v>440</v>
      </c>
      <c r="G960" s="239" t="s">
        <v>931</v>
      </c>
      <c r="H960" s="239" t="s">
        <v>51</v>
      </c>
      <c r="I960" s="239" t="s">
        <v>2512</v>
      </c>
      <c r="J960" s="234">
        <v>43820</v>
      </c>
      <c r="K960" s="234">
        <v>15060</v>
      </c>
      <c r="L960" s="242">
        <v>8</v>
      </c>
      <c r="M960" s="308">
        <v>28760</v>
      </c>
      <c r="N960" s="234">
        <v>26459.200000000001</v>
      </c>
      <c r="O960" s="234" t="s">
        <v>2833</v>
      </c>
      <c r="P960" s="236">
        <v>45941</v>
      </c>
      <c r="Q960" s="244">
        <v>0.45319444444444446</v>
      </c>
    </row>
    <row r="961" spans="1:17" ht="51">
      <c r="A961" s="239" t="s">
        <v>2773</v>
      </c>
      <c r="B961" s="240">
        <v>2283</v>
      </c>
      <c r="C961" s="241">
        <v>8069</v>
      </c>
      <c r="D961" s="239" t="s">
        <v>2511</v>
      </c>
      <c r="E961" s="239" t="s">
        <v>406</v>
      </c>
      <c r="F961" s="239" t="s">
        <v>407</v>
      </c>
      <c r="G961" s="239" t="s">
        <v>931</v>
      </c>
      <c r="H961" s="239" t="s">
        <v>51</v>
      </c>
      <c r="I961" s="239" t="s">
        <v>2512</v>
      </c>
      <c r="J961" s="234">
        <v>39210</v>
      </c>
      <c r="K961" s="234">
        <v>15130</v>
      </c>
      <c r="L961" s="242">
        <v>11</v>
      </c>
      <c r="M961" s="308">
        <v>24080</v>
      </c>
      <c r="N961" s="234">
        <v>21431.200000000001</v>
      </c>
      <c r="O961" s="234" t="s">
        <v>2834</v>
      </c>
      <c r="P961" s="236">
        <v>45941</v>
      </c>
      <c r="Q961" s="244">
        <v>0.46783564814814815</v>
      </c>
    </row>
    <row r="962" spans="1:17" ht="51">
      <c r="A962" s="239" t="s">
        <v>2774</v>
      </c>
      <c r="B962" s="240">
        <v>2285</v>
      </c>
      <c r="C962" s="241">
        <v>8059</v>
      </c>
      <c r="D962" s="239" t="s">
        <v>2511</v>
      </c>
      <c r="E962" s="239" t="s">
        <v>388</v>
      </c>
      <c r="F962" s="239" t="s">
        <v>389</v>
      </c>
      <c r="G962" s="239" t="s">
        <v>931</v>
      </c>
      <c r="H962" s="239" t="s">
        <v>51</v>
      </c>
      <c r="I962" s="239" t="s">
        <v>2512</v>
      </c>
      <c r="J962" s="234">
        <v>62730</v>
      </c>
      <c r="K962" s="234">
        <v>21170</v>
      </c>
      <c r="L962" s="242">
        <v>8</v>
      </c>
      <c r="M962" s="308">
        <v>41560</v>
      </c>
      <c r="N962" s="234">
        <v>38235.199999999997</v>
      </c>
      <c r="O962" s="234" t="s">
        <v>2835</v>
      </c>
      <c r="P962" s="236">
        <v>45941</v>
      </c>
      <c r="Q962" s="244">
        <v>0.56305555555555553</v>
      </c>
    </row>
    <row r="963" spans="1:17" ht="51">
      <c r="A963" s="239" t="s">
        <v>2775</v>
      </c>
      <c r="B963" s="240">
        <v>2286</v>
      </c>
      <c r="C963" s="241">
        <v>8072</v>
      </c>
      <c r="D963" s="239" t="s">
        <v>2511</v>
      </c>
      <c r="E963" s="239" t="s">
        <v>372</v>
      </c>
      <c r="F963" s="239" t="s">
        <v>373</v>
      </c>
      <c r="G963" s="239" t="s">
        <v>931</v>
      </c>
      <c r="H963" s="239" t="s">
        <v>51</v>
      </c>
      <c r="I963" s="239" t="s">
        <v>2512</v>
      </c>
      <c r="J963" s="234">
        <v>38730</v>
      </c>
      <c r="K963" s="234">
        <v>14950</v>
      </c>
      <c r="L963" s="242">
        <v>9</v>
      </c>
      <c r="M963" s="308">
        <v>23780</v>
      </c>
      <c r="N963" s="234">
        <v>21639.8</v>
      </c>
      <c r="O963" s="234" t="s">
        <v>2836</v>
      </c>
      <c r="P963" s="236">
        <v>45941</v>
      </c>
      <c r="Q963" s="244">
        <v>0.56994212962962965</v>
      </c>
    </row>
    <row r="964" spans="1:17" ht="51">
      <c r="A964" s="239" t="s">
        <v>2776</v>
      </c>
      <c r="B964" s="240">
        <v>2289</v>
      </c>
      <c r="C964" s="241">
        <v>8073</v>
      </c>
      <c r="D964" s="239" t="s">
        <v>2511</v>
      </c>
      <c r="E964" s="239" t="s">
        <v>858</v>
      </c>
      <c r="F964" s="239" t="s">
        <v>859</v>
      </c>
      <c r="G964" s="239" t="s">
        <v>931</v>
      </c>
      <c r="H964" s="239" t="s">
        <v>51</v>
      </c>
      <c r="I964" s="239" t="s">
        <v>2512</v>
      </c>
      <c r="J964" s="234">
        <v>39790</v>
      </c>
      <c r="K964" s="234">
        <v>14850</v>
      </c>
      <c r="L964" s="242">
        <v>7</v>
      </c>
      <c r="M964" s="308">
        <v>24940</v>
      </c>
      <c r="N964" s="234">
        <v>23194.2</v>
      </c>
      <c r="O964" s="234" t="s">
        <v>2837</v>
      </c>
      <c r="P964" s="236">
        <v>45941</v>
      </c>
      <c r="Q964" s="244">
        <v>0.61135416666666664</v>
      </c>
    </row>
    <row r="965" spans="1:17" ht="51">
      <c r="A965" s="239" t="s">
        <v>2777</v>
      </c>
      <c r="B965" s="240">
        <v>2291</v>
      </c>
      <c r="C965" s="241">
        <v>8076</v>
      </c>
      <c r="D965" s="239" t="s">
        <v>2511</v>
      </c>
      <c r="E965" s="239" t="s">
        <v>447</v>
      </c>
      <c r="F965" s="239" t="s">
        <v>448</v>
      </c>
      <c r="G965" s="239" t="s">
        <v>931</v>
      </c>
      <c r="H965" s="239" t="s">
        <v>51</v>
      </c>
      <c r="I965" s="239" t="s">
        <v>2512</v>
      </c>
      <c r="J965" s="234">
        <v>50680</v>
      </c>
      <c r="K965" s="234">
        <v>19290</v>
      </c>
      <c r="L965" s="242">
        <v>7</v>
      </c>
      <c r="M965" s="308">
        <v>31390</v>
      </c>
      <c r="N965" s="234">
        <v>29192.7</v>
      </c>
      <c r="O965" s="234" t="s">
        <v>2838</v>
      </c>
      <c r="P965" s="236">
        <v>45941</v>
      </c>
      <c r="Q965" s="244">
        <v>0.66356481481481477</v>
      </c>
    </row>
    <row r="966" spans="1:17" ht="51">
      <c r="A966" s="239" t="s">
        <v>2778</v>
      </c>
      <c r="B966" s="240">
        <v>2294</v>
      </c>
      <c r="C966" s="241">
        <v>8083</v>
      </c>
      <c r="D966" s="239" t="s">
        <v>2511</v>
      </c>
      <c r="E966" s="239" t="s">
        <v>432</v>
      </c>
      <c r="F966" s="239" t="s">
        <v>433</v>
      </c>
      <c r="G966" s="239" t="s">
        <v>931</v>
      </c>
      <c r="H966" s="239" t="s">
        <v>51</v>
      </c>
      <c r="I966" s="239" t="s">
        <v>2512</v>
      </c>
      <c r="J966" s="234">
        <v>43880</v>
      </c>
      <c r="K966" s="234">
        <v>15650</v>
      </c>
      <c r="L966" s="242">
        <v>8</v>
      </c>
      <c r="M966" s="308">
        <v>28230</v>
      </c>
      <c r="N966" s="234">
        <v>25971.599999999999</v>
      </c>
      <c r="O966" s="234" t="s">
        <v>2839</v>
      </c>
      <c r="P966" s="236">
        <v>45941</v>
      </c>
      <c r="Q966" s="244">
        <v>0.68500000000000005</v>
      </c>
    </row>
    <row r="967" spans="1:17" ht="51">
      <c r="A967" s="239" t="s">
        <v>2779</v>
      </c>
      <c r="B967" s="240">
        <v>2301</v>
      </c>
      <c r="C967" s="241">
        <v>8093</v>
      </c>
      <c r="D967" s="239" t="s">
        <v>2511</v>
      </c>
      <c r="E967" s="239" t="s">
        <v>374</v>
      </c>
      <c r="F967" s="239" t="s">
        <v>375</v>
      </c>
      <c r="G967" s="239" t="s">
        <v>931</v>
      </c>
      <c r="H967" s="239" t="s">
        <v>51</v>
      </c>
      <c r="I967" s="239" t="s">
        <v>2512</v>
      </c>
      <c r="J967" s="234">
        <v>40130</v>
      </c>
      <c r="K967" s="234">
        <v>15580</v>
      </c>
      <c r="L967" s="242">
        <v>8</v>
      </c>
      <c r="M967" s="308">
        <v>24550</v>
      </c>
      <c r="N967" s="234">
        <v>22586</v>
      </c>
      <c r="O967" s="234" t="s">
        <v>2840</v>
      </c>
      <c r="P967" s="236">
        <v>45941</v>
      </c>
      <c r="Q967" s="244">
        <v>0.81895833333333334</v>
      </c>
    </row>
    <row r="968" spans="1:17" ht="38.25">
      <c r="A968" s="239" t="s">
        <v>2780</v>
      </c>
      <c r="B968" s="240">
        <v>2302</v>
      </c>
      <c r="C968" s="241">
        <v>1</v>
      </c>
      <c r="D968" s="239" t="s">
        <v>2482</v>
      </c>
      <c r="E968" s="239" t="s">
        <v>372</v>
      </c>
      <c r="F968" s="239" t="s">
        <v>373</v>
      </c>
      <c r="G968" s="239" t="s">
        <v>960</v>
      </c>
      <c r="H968" s="239" t="s">
        <v>51</v>
      </c>
      <c r="I968" s="239" t="s">
        <v>2465</v>
      </c>
      <c r="J968" s="234">
        <v>38700</v>
      </c>
      <c r="K968" s="234">
        <v>15120</v>
      </c>
      <c r="L968" s="242">
        <v>7</v>
      </c>
      <c r="M968" s="308">
        <v>23580</v>
      </c>
      <c r="N968" s="234">
        <v>21929.4</v>
      </c>
      <c r="O968" s="234" t="s">
        <v>2841</v>
      </c>
      <c r="P968" s="236">
        <v>45941</v>
      </c>
      <c r="Q968" s="244">
        <v>0.85878472222222224</v>
      </c>
    </row>
    <row r="969" spans="1:17" ht="51">
      <c r="A969" s="239" t="s">
        <v>2781</v>
      </c>
      <c r="B969" s="240">
        <v>2303</v>
      </c>
      <c r="C969" s="241">
        <v>9430</v>
      </c>
      <c r="D969" s="239" t="s">
        <v>2511</v>
      </c>
      <c r="E969" s="239" t="s">
        <v>794</v>
      </c>
      <c r="F969" s="239" t="s">
        <v>795</v>
      </c>
      <c r="G969" s="239" t="s">
        <v>931</v>
      </c>
      <c r="H969" s="239" t="s">
        <v>51</v>
      </c>
      <c r="I969" s="239" t="s">
        <v>2512</v>
      </c>
      <c r="J969" s="234">
        <v>42180</v>
      </c>
      <c r="K969" s="234">
        <v>16000</v>
      </c>
      <c r="L969" s="242">
        <v>6</v>
      </c>
      <c r="M969" s="308">
        <v>26180</v>
      </c>
      <c r="N969" s="234">
        <v>24609.200000000001</v>
      </c>
      <c r="O969" s="234" t="s">
        <v>2842</v>
      </c>
      <c r="P969" s="236">
        <v>45941</v>
      </c>
      <c r="Q969" s="244">
        <v>0.87451388888888892</v>
      </c>
    </row>
    <row r="970" spans="1:17" ht="51">
      <c r="A970" s="239" t="s">
        <v>2782</v>
      </c>
      <c r="B970" s="240">
        <v>2296</v>
      </c>
      <c r="C970" s="241">
        <v>8085</v>
      </c>
      <c r="D970" s="239" t="s">
        <v>2511</v>
      </c>
      <c r="E970" s="239" t="s">
        <v>453</v>
      </c>
      <c r="F970" s="239" t="s">
        <v>454</v>
      </c>
      <c r="G970" s="239" t="s">
        <v>931</v>
      </c>
      <c r="H970" s="239" t="s">
        <v>51</v>
      </c>
      <c r="I970" s="239" t="s">
        <v>2512</v>
      </c>
      <c r="J970" s="234">
        <v>65180</v>
      </c>
      <c r="K970" s="234">
        <v>24450</v>
      </c>
      <c r="L970" s="242">
        <v>6</v>
      </c>
      <c r="M970" s="308">
        <v>40730</v>
      </c>
      <c r="N970" s="234">
        <v>38286.199999999997</v>
      </c>
      <c r="O970" s="234" t="s">
        <v>2843</v>
      </c>
      <c r="P970" s="236">
        <v>45941</v>
      </c>
      <c r="Q970" s="244">
        <v>0.89439814814814811</v>
      </c>
    </row>
    <row r="971" spans="1:17" ht="51">
      <c r="A971" s="239" t="s">
        <v>2783</v>
      </c>
      <c r="B971" s="240">
        <v>2297</v>
      </c>
      <c r="C971" s="241">
        <v>8086</v>
      </c>
      <c r="D971" s="239" t="s">
        <v>2511</v>
      </c>
      <c r="E971" s="239" t="s">
        <v>456</v>
      </c>
      <c r="F971" s="239" t="s">
        <v>457</v>
      </c>
      <c r="G971" s="239" t="s">
        <v>931</v>
      </c>
      <c r="H971" s="239" t="s">
        <v>51</v>
      </c>
      <c r="I971" s="239" t="s">
        <v>2512</v>
      </c>
      <c r="J971" s="234">
        <v>45260</v>
      </c>
      <c r="K971" s="234">
        <v>15650</v>
      </c>
      <c r="L971" s="242">
        <v>7</v>
      </c>
      <c r="M971" s="308">
        <v>29610</v>
      </c>
      <c r="N971" s="234">
        <v>27537.3</v>
      </c>
      <c r="O971" s="234" t="s">
        <v>2844</v>
      </c>
      <c r="P971" s="236">
        <v>45941</v>
      </c>
      <c r="Q971" s="244">
        <v>0.90188657407407402</v>
      </c>
    </row>
    <row r="972" spans="1:17" ht="38.25">
      <c r="A972" s="239" t="s">
        <v>2784</v>
      </c>
      <c r="B972" s="240">
        <v>2305</v>
      </c>
      <c r="C972" s="241">
        <v>3</v>
      </c>
      <c r="D972" s="239" t="s">
        <v>2482</v>
      </c>
      <c r="E972" s="239" t="s">
        <v>2053</v>
      </c>
      <c r="F972" s="239" t="s">
        <v>2054</v>
      </c>
      <c r="G972" s="239" t="s">
        <v>960</v>
      </c>
      <c r="H972" s="239" t="s">
        <v>51</v>
      </c>
      <c r="I972" s="239" t="s">
        <v>2465</v>
      </c>
      <c r="J972" s="234">
        <v>31230</v>
      </c>
      <c r="K972" s="234">
        <v>14400</v>
      </c>
      <c r="L972" s="242">
        <v>7</v>
      </c>
      <c r="M972" s="308">
        <v>16830</v>
      </c>
      <c r="N972" s="234">
        <v>15651.9</v>
      </c>
      <c r="O972" s="234" t="s">
        <v>2845</v>
      </c>
      <c r="P972" s="236">
        <v>45941</v>
      </c>
      <c r="Q972" s="244">
        <v>0.90912037037037041</v>
      </c>
    </row>
    <row r="973" spans="1:17" ht="38.25">
      <c r="A973" s="239" t="s">
        <v>2785</v>
      </c>
      <c r="B973" s="240">
        <v>2306</v>
      </c>
      <c r="C973" s="241">
        <v>2</v>
      </c>
      <c r="D973" s="239" t="s">
        <v>2482</v>
      </c>
      <c r="E973" s="239" t="s">
        <v>1978</v>
      </c>
      <c r="F973" s="239" t="s">
        <v>1979</v>
      </c>
      <c r="G973" s="239" t="s">
        <v>960</v>
      </c>
      <c r="H973" s="239" t="s">
        <v>51</v>
      </c>
      <c r="I973" s="239" t="s">
        <v>2465</v>
      </c>
      <c r="J973" s="234">
        <v>19190</v>
      </c>
      <c r="K973" s="234">
        <v>9570</v>
      </c>
      <c r="L973" s="242">
        <v>10</v>
      </c>
      <c r="M973" s="308">
        <v>9620</v>
      </c>
      <c r="N973" s="234">
        <v>8658</v>
      </c>
      <c r="O973" s="234" t="s">
        <v>2846</v>
      </c>
      <c r="P973" s="236">
        <v>45941</v>
      </c>
      <c r="Q973" s="244">
        <v>0.91731481481481481</v>
      </c>
    </row>
    <row r="974" spans="1:17" ht="38.25">
      <c r="A974" s="239" t="s">
        <v>2786</v>
      </c>
      <c r="B974" s="240">
        <v>2299</v>
      </c>
      <c r="C974" s="241">
        <v>4</v>
      </c>
      <c r="D974" s="239" t="s">
        <v>2482</v>
      </c>
      <c r="E974" s="239" t="s">
        <v>384</v>
      </c>
      <c r="F974" s="239" t="s">
        <v>385</v>
      </c>
      <c r="G974" s="239" t="s">
        <v>960</v>
      </c>
      <c r="H974" s="239" t="s">
        <v>51</v>
      </c>
      <c r="I974" s="239" t="s">
        <v>2465</v>
      </c>
      <c r="J974" s="234">
        <v>36750</v>
      </c>
      <c r="K974" s="234">
        <v>13990</v>
      </c>
      <c r="L974" s="242">
        <v>7</v>
      </c>
      <c r="M974" s="308">
        <v>22760</v>
      </c>
      <c r="N974" s="234">
        <v>21166.799999999999</v>
      </c>
      <c r="O974" s="234" t="s">
        <v>2847</v>
      </c>
      <c r="P974" s="236">
        <v>45941</v>
      </c>
      <c r="Q974" s="244">
        <v>0.92628472222222225</v>
      </c>
    </row>
    <row r="975" spans="1:17" ht="38.25">
      <c r="A975" s="239" t="s">
        <v>2787</v>
      </c>
      <c r="B975" s="240">
        <v>2298</v>
      </c>
      <c r="C975" s="241">
        <v>2</v>
      </c>
      <c r="D975" s="239" t="s">
        <v>2482</v>
      </c>
      <c r="E975" s="239" t="s">
        <v>406</v>
      </c>
      <c r="F975" s="239" t="s">
        <v>407</v>
      </c>
      <c r="G975" s="239" t="s">
        <v>960</v>
      </c>
      <c r="H975" s="239" t="s">
        <v>51</v>
      </c>
      <c r="I975" s="239" t="s">
        <v>2465</v>
      </c>
      <c r="J975" s="234">
        <v>39250</v>
      </c>
      <c r="K975" s="234">
        <v>15020</v>
      </c>
      <c r="L975" s="242">
        <v>9</v>
      </c>
      <c r="M975" s="308">
        <v>24230</v>
      </c>
      <c r="N975" s="234">
        <v>22049.3</v>
      </c>
      <c r="O975" s="234" t="s">
        <v>2848</v>
      </c>
      <c r="P975" s="236">
        <v>45941</v>
      </c>
      <c r="Q975" s="244">
        <v>0.94177083333333333</v>
      </c>
    </row>
    <row r="976" spans="1:17" ht="38.25">
      <c r="A976" s="239" t="s">
        <v>2788</v>
      </c>
      <c r="B976" s="240">
        <v>2300</v>
      </c>
      <c r="C976" s="241">
        <v>3</v>
      </c>
      <c r="D976" s="239" t="s">
        <v>2482</v>
      </c>
      <c r="E976" s="239" t="s">
        <v>410</v>
      </c>
      <c r="F976" s="239" t="s">
        <v>411</v>
      </c>
      <c r="G976" s="239" t="s">
        <v>960</v>
      </c>
      <c r="H976" s="239" t="s">
        <v>51</v>
      </c>
      <c r="I976" s="239" t="s">
        <v>2465</v>
      </c>
      <c r="J976" s="234">
        <v>40230</v>
      </c>
      <c r="K976" s="234">
        <v>15230</v>
      </c>
      <c r="L976" s="242">
        <v>8</v>
      </c>
      <c r="M976" s="308">
        <v>25000</v>
      </c>
      <c r="N976" s="234">
        <v>23000</v>
      </c>
      <c r="O976" s="234" t="s">
        <v>2849</v>
      </c>
      <c r="P976" s="236">
        <v>45941</v>
      </c>
      <c r="Q976" s="244">
        <v>0.96438657407407402</v>
      </c>
    </row>
    <row r="977" spans="1:17" ht="51">
      <c r="A977" s="239" t="s">
        <v>2789</v>
      </c>
      <c r="B977" s="240">
        <v>2307</v>
      </c>
      <c r="C977" s="241">
        <v>8091</v>
      </c>
      <c r="D977" s="239" t="s">
        <v>2511</v>
      </c>
      <c r="E977" s="239" t="s">
        <v>403</v>
      </c>
      <c r="F977" s="239" t="s">
        <v>404</v>
      </c>
      <c r="G977" s="239" t="s">
        <v>931</v>
      </c>
      <c r="H977" s="239" t="s">
        <v>51</v>
      </c>
      <c r="I977" s="239" t="s">
        <v>2512</v>
      </c>
      <c r="J977" s="234">
        <v>38350</v>
      </c>
      <c r="K977" s="234">
        <v>14520</v>
      </c>
      <c r="L977" s="242">
        <v>14</v>
      </c>
      <c r="M977" s="308">
        <v>23830</v>
      </c>
      <c r="N977" s="234">
        <v>20493.8</v>
      </c>
      <c r="O977" s="234" t="s">
        <v>2850</v>
      </c>
      <c r="P977" s="236">
        <v>45941</v>
      </c>
      <c r="Q977" s="244">
        <v>0.99631944444444442</v>
      </c>
    </row>
    <row r="978" spans="1:17" ht="38.25">
      <c r="A978" s="239" t="s">
        <v>2790</v>
      </c>
      <c r="B978" s="240">
        <v>2313</v>
      </c>
      <c r="C978" s="241">
        <v>7</v>
      </c>
      <c r="D978" s="239" t="s">
        <v>2482</v>
      </c>
      <c r="E978" s="239" t="s">
        <v>858</v>
      </c>
      <c r="F978" s="239" t="s">
        <v>859</v>
      </c>
      <c r="G978" s="239" t="s">
        <v>960</v>
      </c>
      <c r="H978" s="239" t="s">
        <v>51</v>
      </c>
      <c r="I978" s="239" t="s">
        <v>2465</v>
      </c>
      <c r="J978" s="234">
        <v>21960</v>
      </c>
      <c r="K978" s="234">
        <v>14840</v>
      </c>
      <c r="L978" s="242">
        <v>21</v>
      </c>
      <c r="M978" s="308">
        <v>7120</v>
      </c>
      <c r="N978" s="234">
        <v>5624.8</v>
      </c>
      <c r="O978" s="234" t="s">
        <v>2851</v>
      </c>
      <c r="P978" s="236">
        <v>45942</v>
      </c>
      <c r="Q978" s="244">
        <v>7.1261574074074074E-2</v>
      </c>
    </row>
    <row r="979" spans="1:17" ht="51">
      <c r="A979" s="239" t="s">
        <v>2791</v>
      </c>
      <c r="B979" s="240">
        <v>2309</v>
      </c>
      <c r="C979" s="241">
        <v>9444</v>
      </c>
      <c r="D979" s="239" t="s">
        <v>2511</v>
      </c>
      <c r="E979" s="239" t="s">
        <v>425</v>
      </c>
      <c r="F979" s="239" t="s">
        <v>426</v>
      </c>
      <c r="G979" s="239" t="s">
        <v>931</v>
      </c>
      <c r="H979" s="239" t="s">
        <v>51</v>
      </c>
      <c r="I979" s="239" t="s">
        <v>2512</v>
      </c>
      <c r="J979" s="234">
        <v>50600</v>
      </c>
      <c r="K979" s="234">
        <v>18710</v>
      </c>
      <c r="L979" s="242">
        <v>12</v>
      </c>
      <c r="M979" s="308">
        <v>31890</v>
      </c>
      <c r="N979" s="234">
        <v>28063.200000000001</v>
      </c>
      <c r="O979" s="234" t="s">
        <v>2852</v>
      </c>
      <c r="P979" s="236">
        <v>45942</v>
      </c>
      <c r="Q979" s="244">
        <v>0.21207175925925925</v>
      </c>
    </row>
    <row r="980" spans="1:17" ht="51">
      <c r="A980" s="239" t="s">
        <v>2792</v>
      </c>
      <c r="B980" s="240">
        <v>2312</v>
      </c>
      <c r="C980" s="241">
        <v>9445</v>
      </c>
      <c r="D980" s="239" t="s">
        <v>2511</v>
      </c>
      <c r="E980" s="239" t="s">
        <v>2793</v>
      </c>
      <c r="F980" s="239" t="s">
        <v>2794</v>
      </c>
      <c r="G980" s="239" t="s">
        <v>931</v>
      </c>
      <c r="H980" s="239" t="s">
        <v>51</v>
      </c>
      <c r="I980" s="239" t="s">
        <v>2512</v>
      </c>
      <c r="J980" s="234">
        <v>47990</v>
      </c>
      <c r="K980" s="234">
        <v>17490</v>
      </c>
      <c r="L980" s="242">
        <v>7</v>
      </c>
      <c r="M980" s="308">
        <v>30500</v>
      </c>
      <c r="N980" s="234">
        <v>28365</v>
      </c>
      <c r="O980" s="234" t="s">
        <v>2853</v>
      </c>
      <c r="P980" s="236">
        <v>45942</v>
      </c>
      <c r="Q980" s="244">
        <v>0.31880787037037039</v>
      </c>
    </row>
    <row r="981" spans="1:17" ht="51">
      <c r="A981" s="239" t="s">
        <v>2795</v>
      </c>
      <c r="B981" s="240">
        <v>2315</v>
      </c>
      <c r="C981" s="241">
        <v>9449</v>
      </c>
      <c r="D981" s="239" t="s">
        <v>2511</v>
      </c>
      <c r="E981" s="239" t="s">
        <v>390</v>
      </c>
      <c r="F981" s="239" t="s">
        <v>391</v>
      </c>
      <c r="G981" s="239" t="s">
        <v>931</v>
      </c>
      <c r="H981" s="239" t="s">
        <v>51</v>
      </c>
      <c r="I981" s="239" t="s">
        <v>2512</v>
      </c>
      <c r="J981" s="234">
        <v>41170</v>
      </c>
      <c r="K981" s="234">
        <v>15030</v>
      </c>
      <c r="L981" s="242">
        <v>8</v>
      </c>
      <c r="M981" s="308">
        <v>26140</v>
      </c>
      <c r="N981" s="234">
        <v>24048.799999999999</v>
      </c>
      <c r="O981" s="234" t="s">
        <v>2854</v>
      </c>
      <c r="P981" s="236">
        <v>45942</v>
      </c>
      <c r="Q981" s="244">
        <v>0.36527777777777776</v>
      </c>
    </row>
    <row r="982" spans="1:17" ht="51">
      <c r="A982" s="239" t="s">
        <v>2796</v>
      </c>
      <c r="B982" s="240">
        <v>2314</v>
      </c>
      <c r="C982" s="241">
        <v>9450</v>
      </c>
      <c r="D982" s="239" t="s">
        <v>2511</v>
      </c>
      <c r="E982" s="239" t="s">
        <v>392</v>
      </c>
      <c r="F982" s="239" t="s">
        <v>393</v>
      </c>
      <c r="G982" s="239" t="s">
        <v>931</v>
      </c>
      <c r="H982" s="239" t="s">
        <v>51</v>
      </c>
      <c r="I982" s="239" t="s">
        <v>2512</v>
      </c>
      <c r="J982" s="234">
        <v>64080</v>
      </c>
      <c r="K982" s="234">
        <v>24130</v>
      </c>
      <c r="L982" s="242">
        <v>10</v>
      </c>
      <c r="M982" s="308">
        <v>39950</v>
      </c>
      <c r="N982" s="234">
        <v>35955</v>
      </c>
      <c r="O982" s="234" t="s">
        <v>2855</v>
      </c>
      <c r="P982" s="236">
        <v>45942</v>
      </c>
      <c r="Q982" s="244">
        <v>0.41921296296296295</v>
      </c>
    </row>
    <row r="983" spans="1:17" ht="51">
      <c r="A983" s="239" t="s">
        <v>2797</v>
      </c>
      <c r="B983" s="240">
        <v>2317</v>
      </c>
      <c r="C983" s="241">
        <v>9453</v>
      </c>
      <c r="D983" s="239" t="s">
        <v>2511</v>
      </c>
      <c r="E983" s="239" t="s">
        <v>400</v>
      </c>
      <c r="F983" s="239" t="s">
        <v>401</v>
      </c>
      <c r="G983" s="239" t="s">
        <v>931</v>
      </c>
      <c r="H983" s="239" t="s">
        <v>51</v>
      </c>
      <c r="I983" s="239" t="s">
        <v>2512</v>
      </c>
      <c r="J983" s="234">
        <v>39390</v>
      </c>
      <c r="K983" s="234">
        <v>14780</v>
      </c>
      <c r="L983" s="242">
        <v>16</v>
      </c>
      <c r="M983" s="308">
        <v>24610</v>
      </c>
      <c r="N983" s="234">
        <v>20672.400000000001</v>
      </c>
      <c r="O983" s="234" t="s">
        <v>2856</v>
      </c>
      <c r="P983" s="236">
        <v>45942</v>
      </c>
      <c r="Q983" s="244">
        <v>0.44967592592592592</v>
      </c>
    </row>
    <row r="984" spans="1:17" ht="51">
      <c r="A984" s="239" t="s">
        <v>2798</v>
      </c>
      <c r="B984" s="240">
        <v>2318</v>
      </c>
      <c r="C984" s="241">
        <v>9455</v>
      </c>
      <c r="D984" s="239" t="s">
        <v>2511</v>
      </c>
      <c r="E984" s="239" t="s">
        <v>382</v>
      </c>
      <c r="F984" s="239" t="s">
        <v>383</v>
      </c>
      <c r="G984" s="239" t="s">
        <v>931</v>
      </c>
      <c r="H984" s="239" t="s">
        <v>51</v>
      </c>
      <c r="I984" s="239" t="s">
        <v>2512</v>
      </c>
      <c r="J984" s="234">
        <v>37380</v>
      </c>
      <c r="K984" s="234">
        <v>14610</v>
      </c>
      <c r="L984" s="242">
        <v>13</v>
      </c>
      <c r="M984" s="308">
        <v>22770</v>
      </c>
      <c r="N984" s="234">
        <v>19809.900000000001</v>
      </c>
      <c r="O984" s="234" t="s">
        <v>2857</v>
      </c>
      <c r="P984" s="236">
        <v>45942</v>
      </c>
      <c r="Q984" s="244">
        <v>0.47895833333333332</v>
      </c>
    </row>
    <row r="985" spans="1:17" ht="51">
      <c r="A985" s="239" t="s">
        <v>2799</v>
      </c>
      <c r="B985" s="240">
        <v>2320</v>
      </c>
      <c r="C985" s="241">
        <v>9459</v>
      </c>
      <c r="D985" s="239" t="s">
        <v>2511</v>
      </c>
      <c r="E985" s="239" t="s">
        <v>783</v>
      </c>
      <c r="F985" s="239" t="s">
        <v>784</v>
      </c>
      <c r="G985" s="239" t="s">
        <v>931</v>
      </c>
      <c r="H985" s="239" t="s">
        <v>51</v>
      </c>
      <c r="I985" s="239" t="s">
        <v>2512</v>
      </c>
      <c r="J985" s="234">
        <v>38580</v>
      </c>
      <c r="K985" s="234">
        <v>14490</v>
      </c>
      <c r="L985" s="242">
        <v>12</v>
      </c>
      <c r="M985" s="308">
        <v>24090</v>
      </c>
      <c r="N985" s="234">
        <v>21199.200000000001</v>
      </c>
      <c r="O985" s="234" t="s">
        <v>2858</v>
      </c>
      <c r="P985" s="236">
        <v>45942</v>
      </c>
      <c r="Q985" s="244">
        <v>0.5080324074074074</v>
      </c>
    </row>
    <row r="986" spans="1:17" ht="51">
      <c r="A986" s="239" t="s">
        <v>2800</v>
      </c>
      <c r="B986" s="240">
        <v>2321</v>
      </c>
      <c r="C986" s="241">
        <v>9462</v>
      </c>
      <c r="D986" s="239" t="s">
        <v>2511</v>
      </c>
      <c r="E986" s="239" t="s">
        <v>1305</v>
      </c>
      <c r="F986" s="239" t="s">
        <v>1306</v>
      </c>
      <c r="G986" s="239" t="s">
        <v>931</v>
      </c>
      <c r="H986" s="239" t="s">
        <v>51</v>
      </c>
      <c r="I986" s="239" t="s">
        <v>2512</v>
      </c>
      <c r="J986" s="234">
        <v>35980</v>
      </c>
      <c r="K986" s="234">
        <v>14780</v>
      </c>
      <c r="L986" s="242">
        <v>7</v>
      </c>
      <c r="M986" s="308">
        <v>21200</v>
      </c>
      <c r="N986" s="234">
        <v>19716</v>
      </c>
      <c r="O986" s="234" t="s">
        <v>2859</v>
      </c>
      <c r="P986" s="236">
        <v>45942</v>
      </c>
      <c r="Q986" s="244">
        <v>0.55402777777777779</v>
      </c>
    </row>
    <row r="987" spans="1:17" ht="51">
      <c r="A987" s="239" t="s">
        <v>2801</v>
      </c>
      <c r="B987" s="240">
        <v>2323</v>
      </c>
      <c r="C987" s="241">
        <v>9410</v>
      </c>
      <c r="D987" s="239" t="s">
        <v>2511</v>
      </c>
      <c r="E987" s="239" t="s">
        <v>786</v>
      </c>
      <c r="F987" s="239" t="s">
        <v>787</v>
      </c>
      <c r="G987" s="239" t="s">
        <v>931</v>
      </c>
      <c r="H987" s="239" t="s">
        <v>51</v>
      </c>
      <c r="I987" s="239" t="s">
        <v>2512</v>
      </c>
      <c r="J987" s="234">
        <v>35870</v>
      </c>
      <c r="K987" s="234">
        <v>13850</v>
      </c>
      <c r="L987" s="242">
        <v>9</v>
      </c>
      <c r="M987" s="308">
        <v>22020</v>
      </c>
      <c r="N987" s="234">
        <v>20038.2</v>
      </c>
      <c r="O987" s="234" t="s">
        <v>2860</v>
      </c>
      <c r="P987" s="236">
        <v>45942</v>
      </c>
      <c r="Q987" s="244">
        <v>0.57966435185185183</v>
      </c>
    </row>
    <row r="988" spans="1:17" ht="51">
      <c r="A988" s="239" t="s">
        <v>2802</v>
      </c>
      <c r="B988" s="240">
        <v>2326</v>
      </c>
      <c r="C988" s="241">
        <v>9411</v>
      </c>
      <c r="D988" s="239" t="s">
        <v>2511</v>
      </c>
      <c r="E988" s="239" t="s">
        <v>780</v>
      </c>
      <c r="F988" s="239" t="s">
        <v>781</v>
      </c>
      <c r="G988" s="239" t="s">
        <v>931</v>
      </c>
      <c r="H988" s="239" t="s">
        <v>51</v>
      </c>
      <c r="I988" s="239" t="s">
        <v>2512</v>
      </c>
      <c r="J988" s="234">
        <v>37320</v>
      </c>
      <c r="K988" s="234">
        <v>14940</v>
      </c>
      <c r="L988" s="242">
        <v>10</v>
      </c>
      <c r="M988" s="308">
        <v>22380</v>
      </c>
      <c r="N988" s="234">
        <v>20142</v>
      </c>
      <c r="O988" s="234" t="s">
        <v>2861</v>
      </c>
      <c r="P988" s="236">
        <v>45942</v>
      </c>
      <c r="Q988" s="244">
        <v>0.64105324074074077</v>
      </c>
    </row>
    <row r="989" spans="1:17" ht="51">
      <c r="A989" s="239" t="s">
        <v>2803</v>
      </c>
      <c r="B989" s="240">
        <v>2334</v>
      </c>
      <c r="C989" s="241">
        <v>9417</v>
      </c>
      <c r="D989" s="239" t="s">
        <v>2511</v>
      </c>
      <c r="E989" s="239" t="s">
        <v>1400</v>
      </c>
      <c r="F989" s="239" t="s">
        <v>1401</v>
      </c>
      <c r="G989" s="239" t="s">
        <v>931</v>
      </c>
      <c r="H989" s="239" t="s">
        <v>51</v>
      </c>
      <c r="I989" s="239" t="s">
        <v>2512</v>
      </c>
      <c r="J989" s="234">
        <v>36170</v>
      </c>
      <c r="K989" s="234">
        <v>14740</v>
      </c>
      <c r="L989" s="242">
        <v>6</v>
      </c>
      <c r="M989" s="308">
        <v>21430</v>
      </c>
      <c r="N989" s="234">
        <v>20144.2</v>
      </c>
      <c r="O989" s="234" t="s">
        <v>2862</v>
      </c>
      <c r="P989" s="236">
        <v>45942</v>
      </c>
      <c r="Q989" s="244">
        <v>0.64484953703703707</v>
      </c>
    </row>
    <row r="990" spans="1:17" ht="51">
      <c r="A990" s="239" t="s">
        <v>2804</v>
      </c>
      <c r="B990" s="240">
        <v>2327</v>
      </c>
      <c r="C990" s="241">
        <v>9412</v>
      </c>
      <c r="D990" s="239" t="s">
        <v>2511</v>
      </c>
      <c r="E990" s="239" t="s">
        <v>442</v>
      </c>
      <c r="F990" s="239" t="s">
        <v>443</v>
      </c>
      <c r="G990" s="239" t="s">
        <v>931</v>
      </c>
      <c r="H990" s="239" t="s">
        <v>51</v>
      </c>
      <c r="I990" s="239" t="s">
        <v>2512</v>
      </c>
      <c r="J990" s="234">
        <v>35520</v>
      </c>
      <c r="K990" s="234">
        <v>14470</v>
      </c>
      <c r="L990" s="242">
        <v>10</v>
      </c>
      <c r="M990" s="308">
        <v>21050</v>
      </c>
      <c r="N990" s="234">
        <v>18945</v>
      </c>
      <c r="O990" s="234" t="s">
        <v>2863</v>
      </c>
      <c r="P990" s="236">
        <v>45942</v>
      </c>
      <c r="Q990" s="244">
        <v>0.6623148148148148</v>
      </c>
    </row>
    <row r="991" spans="1:17" ht="51">
      <c r="A991" s="239" t="s">
        <v>2805</v>
      </c>
      <c r="B991" s="240">
        <v>2328</v>
      </c>
      <c r="C991" s="241">
        <v>9413</v>
      </c>
      <c r="D991" s="239" t="s">
        <v>2511</v>
      </c>
      <c r="E991" s="239" t="s">
        <v>841</v>
      </c>
      <c r="F991" s="239" t="s">
        <v>845</v>
      </c>
      <c r="G991" s="239" t="s">
        <v>931</v>
      </c>
      <c r="H991" s="239" t="s">
        <v>51</v>
      </c>
      <c r="I991" s="239" t="s">
        <v>2512</v>
      </c>
      <c r="J991" s="234">
        <v>42540</v>
      </c>
      <c r="K991" s="234">
        <v>15940</v>
      </c>
      <c r="L991" s="242">
        <v>8</v>
      </c>
      <c r="M991" s="308">
        <v>26600</v>
      </c>
      <c r="N991" s="234">
        <v>24472</v>
      </c>
      <c r="O991" s="234" t="s">
        <v>2864</v>
      </c>
      <c r="P991" s="236">
        <v>45942</v>
      </c>
      <c r="Q991" s="244">
        <v>0.70082175925925927</v>
      </c>
    </row>
    <row r="992" spans="1:17" ht="51">
      <c r="A992" s="239" t="s">
        <v>2806</v>
      </c>
      <c r="B992" s="240">
        <v>2333</v>
      </c>
      <c r="C992" s="241">
        <v>9416</v>
      </c>
      <c r="D992" s="239" t="s">
        <v>2511</v>
      </c>
      <c r="E992" s="239" t="s">
        <v>1403</v>
      </c>
      <c r="F992" s="239" t="s">
        <v>1404</v>
      </c>
      <c r="G992" s="239" t="s">
        <v>931</v>
      </c>
      <c r="H992" s="239" t="s">
        <v>51</v>
      </c>
      <c r="I992" s="239" t="s">
        <v>2512</v>
      </c>
      <c r="J992" s="234">
        <v>38860</v>
      </c>
      <c r="K992" s="234">
        <v>14960</v>
      </c>
      <c r="L992" s="242">
        <v>7</v>
      </c>
      <c r="M992" s="308">
        <v>23900</v>
      </c>
      <c r="N992" s="234">
        <v>22227</v>
      </c>
      <c r="O992" s="234" t="s">
        <v>2865</v>
      </c>
      <c r="P992" s="236">
        <v>45942</v>
      </c>
      <c r="Q992" s="244">
        <v>0.72916666666666663</v>
      </c>
    </row>
    <row r="993" spans="1:17" ht="51">
      <c r="A993" s="239" t="s">
        <v>2807</v>
      </c>
      <c r="B993" s="240">
        <v>2342</v>
      </c>
      <c r="C993" s="241">
        <v>9476</v>
      </c>
      <c r="D993" s="239" t="s">
        <v>2511</v>
      </c>
      <c r="E993" s="239" t="s">
        <v>380</v>
      </c>
      <c r="F993" s="239" t="s">
        <v>381</v>
      </c>
      <c r="G993" s="239" t="s">
        <v>931</v>
      </c>
      <c r="H993" s="239" t="s">
        <v>51</v>
      </c>
      <c r="I993" s="239" t="s">
        <v>2512</v>
      </c>
      <c r="J993" s="234">
        <v>39290</v>
      </c>
      <c r="K993" s="234">
        <v>15100</v>
      </c>
      <c r="L993" s="242">
        <v>12</v>
      </c>
      <c r="M993" s="308">
        <v>24190</v>
      </c>
      <c r="N993" s="234">
        <v>21287.200000000001</v>
      </c>
      <c r="O993" s="234" t="s">
        <v>2866</v>
      </c>
      <c r="P993" s="236">
        <v>45942</v>
      </c>
      <c r="Q993" s="244">
        <v>0.85971064814814813</v>
      </c>
    </row>
    <row r="994" spans="1:17" ht="51">
      <c r="A994" s="239" t="s">
        <v>2808</v>
      </c>
      <c r="B994" s="240">
        <v>2343</v>
      </c>
      <c r="C994" s="241">
        <v>9504</v>
      </c>
      <c r="D994" s="239" t="s">
        <v>2511</v>
      </c>
      <c r="E994" s="239" t="s">
        <v>462</v>
      </c>
      <c r="F994" s="239" t="s">
        <v>463</v>
      </c>
      <c r="G994" s="239" t="s">
        <v>931</v>
      </c>
      <c r="H994" s="239" t="s">
        <v>51</v>
      </c>
      <c r="I994" s="239" t="s">
        <v>2512</v>
      </c>
      <c r="J994" s="234">
        <v>39920</v>
      </c>
      <c r="K994" s="234">
        <v>16350</v>
      </c>
      <c r="L994" s="242">
        <v>7</v>
      </c>
      <c r="M994" s="308">
        <v>23570</v>
      </c>
      <c r="N994" s="234">
        <v>21920.1</v>
      </c>
      <c r="O994" s="234" t="s">
        <v>2867</v>
      </c>
      <c r="P994" s="236">
        <v>45942</v>
      </c>
      <c r="Q994" s="244">
        <v>0.8899421296296296</v>
      </c>
    </row>
    <row r="995" spans="1:17" ht="51">
      <c r="A995" s="239" t="s">
        <v>2809</v>
      </c>
      <c r="B995" s="240">
        <v>2335</v>
      </c>
      <c r="C995" s="241">
        <v>9415</v>
      </c>
      <c r="D995" s="239" t="s">
        <v>2511</v>
      </c>
      <c r="E995" s="239" t="s">
        <v>1397</v>
      </c>
      <c r="F995" s="239" t="s">
        <v>1398</v>
      </c>
      <c r="G995" s="239" t="s">
        <v>931</v>
      </c>
      <c r="H995" s="239" t="s">
        <v>51</v>
      </c>
      <c r="I995" s="239" t="s">
        <v>2512</v>
      </c>
      <c r="J995" s="234">
        <v>43410</v>
      </c>
      <c r="K995" s="234">
        <v>17080</v>
      </c>
      <c r="L995" s="242">
        <v>6</v>
      </c>
      <c r="M995" s="308">
        <v>26330</v>
      </c>
      <c r="N995" s="234">
        <v>24750.2</v>
      </c>
      <c r="O995" s="234" t="s">
        <v>2868</v>
      </c>
      <c r="P995" s="236">
        <v>45942</v>
      </c>
      <c r="Q995" s="244">
        <v>0.90989583333333335</v>
      </c>
    </row>
    <row r="996" spans="1:17" ht="51">
      <c r="A996" s="239" t="s">
        <v>2810</v>
      </c>
      <c r="B996" s="240">
        <v>2336</v>
      </c>
      <c r="C996" s="241">
        <v>9419</v>
      </c>
      <c r="D996" s="239" t="s">
        <v>2511</v>
      </c>
      <c r="E996" s="239" t="s">
        <v>791</v>
      </c>
      <c r="F996" s="239" t="s">
        <v>792</v>
      </c>
      <c r="G996" s="239" t="s">
        <v>931</v>
      </c>
      <c r="H996" s="239" t="s">
        <v>51</v>
      </c>
      <c r="I996" s="239" t="s">
        <v>2512</v>
      </c>
      <c r="J996" s="234">
        <v>40210</v>
      </c>
      <c r="K996" s="234">
        <v>14880</v>
      </c>
      <c r="L996" s="242">
        <v>4</v>
      </c>
      <c r="M996" s="308">
        <v>25330</v>
      </c>
      <c r="N996" s="234">
        <v>24316.799999999999</v>
      </c>
      <c r="O996" s="234" t="s">
        <v>2869</v>
      </c>
      <c r="P996" s="236">
        <v>45942</v>
      </c>
      <c r="Q996" s="244">
        <v>0.91810185185185189</v>
      </c>
    </row>
    <row r="997" spans="1:17" ht="51">
      <c r="A997" s="239" t="s">
        <v>2811</v>
      </c>
      <c r="B997" s="240">
        <v>2344</v>
      </c>
      <c r="C997" s="241">
        <v>9505</v>
      </c>
      <c r="D997" s="239" t="s">
        <v>2511</v>
      </c>
      <c r="E997" s="239" t="s">
        <v>794</v>
      </c>
      <c r="F997" s="239" t="s">
        <v>795</v>
      </c>
      <c r="G997" s="239" t="s">
        <v>931</v>
      </c>
      <c r="H997" s="239" t="s">
        <v>51</v>
      </c>
      <c r="I997" s="239" t="s">
        <v>2512</v>
      </c>
      <c r="J997" s="234">
        <v>42460</v>
      </c>
      <c r="K997" s="234">
        <v>16030</v>
      </c>
      <c r="L997" s="242">
        <v>7</v>
      </c>
      <c r="M997" s="308">
        <v>26430</v>
      </c>
      <c r="N997" s="234">
        <v>24579.9</v>
      </c>
      <c r="O997" s="234" t="s">
        <v>2870</v>
      </c>
      <c r="P997" s="236">
        <v>45942</v>
      </c>
      <c r="Q997" s="244">
        <v>0.93090277777777775</v>
      </c>
    </row>
    <row r="998" spans="1:17" ht="51">
      <c r="A998" s="239" t="s">
        <v>2812</v>
      </c>
      <c r="B998" s="240">
        <v>2338</v>
      </c>
      <c r="C998" s="241">
        <v>9470</v>
      </c>
      <c r="D998" s="239" t="s">
        <v>2511</v>
      </c>
      <c r="E998" s="239" t="s">
        <v>413</v>
      </c>
      <c r="F998" s="239" t="s">
        <v>414</v>
      </c>
      <c r="G998" s="239" t="s">
        <v>931</v>
      </c>
      <c r="H998" s="239" t="s">
        <v>51</v>
      </c>
      <c r="I998" s="239" t="s">
        <v>2512</v>
      </c>
      <c r="J998" s="234">
        <v>42970</v>
      </c>
      <c r="K998" s="234">
        <v>14970</v>
      </c>
      <c r="L998" s="242">
        <v>7</v>
      </c>
      <c r="M998" s="308">
        <v>28000</v>
      </c>
      <c r="N998" s="234">
        <v>26040</v>
      </c>
      <c r="O998" s="234" t="s">
        <v>2871</v>
      </c>
      <c r="P998" s="236">
        <v>45942</v>
      </c>
      <c r="Q998" s="244">
        <v>0.95416666666666672</v>
      </c>
    </row>
    <row r="999" spans="1:17" ht="51">
      <c r="A999" s="239" t="s">
        <v>2813</v>
      </c>
      <c r="B999" s="240">
        <v>2341</v>
      </c>
      <c r="C999" s="241">
        <v>8041</v>
      </c>
      <c r="D999" s="239" t="s">
        <v>2511</v>
      </c>
      <c r="E999" s="239" t="s">
        <v>429</v>
      </c>
      <c r="F999" s="239" t="s">
        <v>430</v>
      </c>
      <c r="G999" s="239" t="s">
        <v>931</v>
      </c>
      <c r="H999" s="239" t="s">
        <v>51</v>
      </c>
      <c r="I999" s="239" t="s">
        <v>2512</v>
      </c>
      <c r="J999" s="234">
        <v>39970</v>
      </c>
      <c r="K999" s="234">
        <v>14400</v>
      </c>
      <c r="L999" s="242">
        <v>12</v>
      </c>
      <c r="M999" s="308">
        <v>25570</v>
      </c>
      <c r="N999" s="234">
        <v>22501.599999999999</v>
      </c>
      <c r="O999" s="234" t="s">
        <v>2872</v>
      </c>
      <c r="P999" s="236">
        <v>45942</v>
      </c>
      <c r="Q999" s="244">
        <v>0.97731481481481486</v>
      </c>
    </row>
    <row r="1000" spans="1:17" ht="51">
      <c r="A1000" s="239" t="s">
        <v>2814</v>
      </c>
      <c r="B1000" s="240">
        <v>2346</v>
      </c>
      <c r="C1000" s="241">
        <v>9506</v>
      </c>
      <c r="D1000" s="239" t="s">
        <v>2511</v>
      </c>
      <c r="E1000" s="239" t="s">
        <v>472</v>
      </c>
      <c r="F1000" s="239" t="s">
        <v>473</v>
      </c>
      <c r="G1000" s="239" t="s">
        <v>931</v>
      </c>
      <c r="H1000" s="239" t="s">
        <v>51</v>
      </c>
      <c r="I1000" s="239" t="s">
        <v>2512</v>
      </c>
      <c r="J1000" s="234">
        <v>40740</v>
      </c>
      <c r="K1000" s="234">
        <v>16450</v>
      </c>
      <c r="L1000" s="242">
        <v>7</v>
      </c>
      <c r="M1000" s="308">
        <v>24290</v>
      </c>
      <c r="N1000" s="234">
        <v>22589.7</v>
      </c>
      <c r="O1000" s="234" t="s">
        <v>2873</v>
      </c>
      <c r="P1000" s="236">
        <v>45943</v>
      </c>
      <c r="Q1000" s="244">
        <v>0.20355324074074074</v>
      </c>
    </row>
    <row r="1001" spans="1:17" ht="51">
      <c r="A1001" s="239" t="s">
        <v>2815</v>
      </c>
      <c r="B1001" s="240">
        <v>2347</v>
      </c>
      <c r="C1001" s="241">
        <v>9507</v>
      </c>
      <c r="D1001" s="239" t="s">
        <v>2511</v>
      </c>
      <c r="E1001" s="239" t="s">
        <v>475</v>
      </c>
      <c r="F1001" s="239" t="s">
        <v>476</v>
      </c>
      <c r="G1001" s="239" t="s">
        <v>931</v>
      </c>
      <c r="H1001" s="239" t="s">
        <v>51</v>
      </c>
      <c r="I1001" s="239" t="s">
        <v>2512</v>
      </c>
      <c r="J1001" s="234">
        <v>40490</v>
      </c>
      <c r="K1001" s="234">
        <v>16400</v>
      </c>
      <c r="L1001" s="242">
        <v>9</v>
      </c>
      <c r="M1001" s="308">
        <v>24090</v>
      </c>
      <c r="N1001" s="234">
        <v>21921.9</v>
      </c>
      <c r="O1001" s="234" t="s">
        <v>2874</v>
      </c>
      <c r="P1001" s="236">
        <v>45943</v>
      </c>
      <c r="Q1001" s="244">
        <v>0.2588773148148148</v>
      </c>
    </row>
    <row r="1002" spans="1:17" ht="51">
      <c r="A1002" s="239" t="s">
        <v>2816</v>
      </c>
      <c r="B1002" s="240">
        <v>2348</v>
      </c>
      <c r="C1002" s="241">
        <v>9559</v>
      </c>
      <c r="D1002" s="239" t="s">
        <v>2511</v>
      </c>
      <c r="E1002" s="239" t="s">
        <v>841</v>
      </c>
      <c r="F1002" s="239" t="s">
        <v>845</v>
      </c>
      <c r="G1002" s="239" t="s">
        <v>931</v>
      </c>
      <c r="H1002" s="239" t="s">
        <v>51</v>
      </c>
      <c r="I1002" s="239" t="s">
        <v>2512</v>
      </c>
      <c r="J1002" s="234">
        <v>37520</v>
      </c>
      <c r="K1002" s="234">
        <v>15680</v>
      </c>
      <c r="L1002" s="242">
        <v>16</v>
      </c>
      <c r="M1002" s="308">
        <v>21840</v>
      </c>
      <c r="N1002" s="234">
        <v>18345.599999999999</v>
      </c>
      <c r="O1002" s="234" t="s">
        <v>2875</v>
      </c>
      <c r="P1002" s="236">
        <v>45943</v>
      </c>
      <c r="Q1002" s="244">
        <v>0.33381944444444445</v>
      </c>
    </row>
    <row r="1003" spans="1:17" ht="38.25">
      <c r="A1003" s="239" t="s">
        <v>2878</v>
      </c>
      <c r="B1003" s="240">
        <v>2350</v>
      </c>
      <c r="C1003" s="241">
        <v>1</v>
      </c>
      <c r="D1003" s="239" t="s">
        <v>2482</v>
      </c>
      <c r="E1003" s="239" t="s">
        <v>1305</v>
      </c>
      <c r="F1003" s="239" t="s">
        <v>1306</v>
      </c>
      <c r="G1003" s="239" t="s">
        <v>960</v>
      </c>
      <c r="H1003" s="239" t="s">
        <v>51</v>
      </c>
      <c r="I1003" s="239" t="s">
        <v>2465</v>
      </c>
      <c r="J1003" s="234">
        <v>35650</v>
      </c>
      <c r="K1003" s="234">
        <v>14740</v>
      </c>
      <c r="L1003" s="242">
        <v>29</v>
      </c>
      <c r="M1003" s="308">
        <v>20910</v>
      </c>
      <c r="N1003" s="234">
        <v>14846.1</v>
      </c>
      <c r="O1003" s="234" t="s">
        <v>2879</v>
      </c>
      <c r="P1003" s="236">
        <v>45943</v>
      </c>
      <c r="Q1003" s="244">
        <v>0.9233217592592593</v>
      </c>
    </row>
    <row r="1004" spans="1:17" ht="38.25">
      <c r="A1004" s="239" t="s">
        <v>2880</v>
      </c>
      <c r="B1004" s="240">
        <v>2351</v>
      </c>
      <c r="C1004" s="241">
        <v>1</v>
      </c>
      <c r="D1004" s="239" t="s">
        <v>2881</v>
      </c>
      <c r="E1004" s="239" t="s">
        <v>439</v>
      </c>
      <c r="F1004" s="239" t="s">
        <v>440</v>
      </c>
      <c r="G1004" s="239" t="s">
        <v>949</v>
      </c>
      <c r="H1004" s="239" t="s">
        <v>51</v>
      </c>
      <c r="I1004" s="239" t="s">
        <v>2882</v>
      </c>
      <c r="J1004" s="234">
        <v>40030</v>
      </c>
      <c r="K1004" s="234">
        <v>15160</v>
      </c>
      <c r="L1004" s="242">
        <v>5</v>
      </c>
      <c r="M1004" s="308">
        <v>24870</v>
      </c>
      <c r="N1004" s="234">
        <v>23626.5</v>
      </c>
      <c r="O1004" s="234" t="s">
        <v>2885</v>
      </c>
      <c r="P1004" s="236">
        <v>45943</v>
      </c>
      <c r="Q1004" s="244">
        <v>0.5961805555555556</v>
      </c>
    </row>
    <row r="1005" spans="1:17" ht="38.25">
      <c r="A1005" s="239" t="s">
        <v>2883</v>
      </c>
      <c r="B1005" s="240">
        <v>2353</v>
      </c>
      <c r="C1005" s="241">
        <v>2</v>
      </c>
      <c r="D1005" s="239" t="s">
        <v>2881</v>
      </c>
      <c r="E1005" s="239" t="s">
        <v>432</v>
      </c>
      <c r="F1005" s="239" t="s">
        <v>433</v>
      </c>
      <c r="G1005" s="239" t="s">
        <v>142</v>
      </c>
      <c r="H1005" s="239" t="s">
        <v>42</v>
      </c>
      <c r="I1005" s="239" t="s">
        <v>2882</v>
      </c>
      <c r="J1005" s="234">
        <v>41510</v>
      </c>
      <c r="K1005" s="234">
        <v>15790</v>
      </c>
      <c r="L1005" s="242">
        <v>5</v>
      </c>
      <c r="M1005" s="308">
        <v>25720</v>
      </c>
      <c r="N1005" s="234">
        <v>24434</v>
      </c>
      <c r="O1005" s="234" t="s">
        <v>2886</v>
      </c>
      <c r="P1005" s="236">
        <v>45943</v>
      </c>
      <c r="Q1005" s="244">
        <v>0.72349537037037037</v>
      </c>
    </row>
    <row r="1006" spans="1:17" ht="38.25">
      <c r="A1006" s="239" t="s">
        <v>2884</v>
      </c>
      <c r="B1006" s="240">
        <v>2355</v>
      </c>
      <c r="C1006" s="241">
        <v>3</v>
      </c>
      <c r="D1006" s="239" t="s">
        <v>2881</v>
      </c>
      <c r="E1006" s="239" t="s">
        <v>1410</v>
      </c>
      <c r="F1006" s="239" t="s">
        <v>437</v>
      </c>
      <c r="G1006" s="239" t="s">
        <v>144</v>
      </c>
      <c r="H1006" s="239" t="s">
        <v>51</v>
      </c>
      <c r="I1006" s="239" t="s">
        <v>2882</v>
      </c>
      <c r="J1006" s="234">
        <v>39040</v>
      </c>
      <c r="K1006" s="234">
        <v>15070</v>
      </c>
      <c r="L1006" s="242">
        <v>5</v>
      </c>
      <c r="M1006" s="308">
        <v>23970</v>
      </c>
      <c r="N1006" s="234">
        <v>22771.5</v>
      </c>
      <c r="O1006" s="234" t="s">
        <v>2887</v>
      </c>
      <c r="P1006" s="236">
        <v>45943</v>
      </c>
      <c r="Q1006" s="244">
        <v>0.80504629629629632</v>
      </c>
    </row>
    <row r="1007" spans="1:17" ht="38.25">
      <c r="A1007" s="239" t="s">
        <v>2889</v>
      </c>
      <c r="B1007" s="240">
        <v>2363</v>
      </c>
      <c r="C1007" s="241">
        <v>4</v>
      </c>
      <c r="D1007" s="239" t="s">
        <v>2881</v>
      </c>
      <c r="E1007" s="239" t="s">
        <v>384</v>
      </c>
      <c r="F1007" s="239" t="s">
        <v>385</v>
      </c>
      <c r="G1007" s="239" t="s">
        <v>142</v>
      </c>
      <c r="H1007" s="239" t="s">
        <v>42</v>
      </c>
      <c r="I1007" s="239" t="s">
        <v>2882</v>
      </c>
      <c r="J1007" s="234">
        <v>36500</v>
      </c>
      <c r="K1007" s="234">
        <v>13950</v>
      </c>
      <c r="L1007" s="242">
        <v>15</v>
      </c>
      <c r="M1007" s="308">
        <v>22550</v>
      </c>
      <c r="N1007" s="234">
        <v>19167.5</v>
      </c>
      <c r="O1007" s="234" t="s">
        <v>2897</v>
      </c>
      <c r="P1007" s="236">
        <v>45945</v>
      </c>
      <c r="Q1007" s="244">
        <v>0.95442129629629635</v>
      </c>
    </row>
    <row r="1008" spans="1:17" ht="38.25">
      <c r="A1008" s="239" t="s">
        <v>2890</v>
      </c>
      <c r="B1008" s="240">
        <v>2364</v>
      </c>
      <c r="C1008" s="241">
        <v>5</v>
      </c>
      <c r="D1008" s="239" t="s">
        <v>2881</v>
      </c>
      <c r="E1008" s="239" t="s">
        <v>866</v>
      </c>
      <c r="F1008" s="239" t="s">
        <v>867</v>
      </c>
      <c r="G1008" s="239" t="s">
        <v>142</v>
      </c>
      <c r="H1008" s="239" t="s">
        <v>42</v>
      </c>
      <c r="I1008" s="239" t="s">
        <v>2882</v>
      </c>
      <c r="J1008" s="234">
        <v>39090</v>
      </c>
      <c r="K1008" s="234">
        <v>14640</v>
      </c>
      <c r="L1008" s="242">
        <v>12</v>
      </c>
      <c r="M1008" s="308">
        <v>24450</v>
      </c>
      <c r="N1008" s="234">
        <v>21516</v>
      </c>
      <c r="O1008" s="234" t="s">
        <v>2898</v>
      </c>
      <c r="P1008" s="236">
        <v>45945</v>
      </c>
      <c r="Q1008" s="244">
        <v>0.95634259259259258</v>
      </c>
    </row>
    <row r="1009" spans="1:17" ht="38.25">
      <c r="A1009" s="239" t="s">
        <v>2891</v>
      </c>
      <c r="B1009" s="240">
        <v>2365</v>
      </c>
      <c r="C1009" s="241">
        <v>6</v>
      </c>
      <c r="D1009" s="239" t="s">
        <v>2881</v>
      </c>
      <c r="E1009" s="239" t="s">
        <v>369</v>
      </c>
      <c r="F1009" s="239" t="s">
        <v>370</v>
      </c>
      <c r="G1009" s="239" t="s">
        <v>142</v>
      </c>
      <c r="H1009" s="239" t="s">
        <v>42</v>
      </c>
      <c r="I1009" s="239" t="s">
        <v>2882</v>
      </c>
      <c r="J1009" s="234">
        <v>38780</v>
      </c>
      <c r="K1009" s="234">
        <v>15250</v>
      </c>
      <c r="L1009" s="242">
        <v>9</v>
      </c>
      <c r="M1009" s="308">
        <v>23530</v>
      </c>
      <c r="N1009" s="234">
        <v>21412.3</v>
      </c>
      <c r="O1009" s="234" t="s">
        <v>2899</v>
      </c>
      <c r="P1009" s="236">
        <v>45945</v>
      </c>
      <c r="Q1009" s="244">
        <v>0.97150462962962958</v>
      </c>
    </row>
    <row r="1010" spans="1:17" ht="38.25">
      <c r="A1010" s="239" t="s">
        <v>2892</v>
      </c>
      <c r="B1010" s="240">
        <v>2366</v>
      </c>
      <c r="C1010" s="241">
        <v>7</v>
      </c>
      <c r="D1010" s="239" t="s">
        <v>2881</v>
      </c>
      <c r="E1010" s="239" t="s">
        <v>380</v>
      </c>
      <c r="F1010" s="239" t="s">
        <v>381</v>
      </c>
      <c r="G1010" s="239" t="s">
        <v>142</v>
      </c>
      <c r="H1010" s="239" t="s">
        <v>42</v>
      </c>
      <c r="I1010" s="239" t="s">
        <v>2882</v>
      </c>
      <c r="J1010" s="234">
        <v>41350</v>
      </c>
      <c r="K1010" s="234">
        <v>15190</v>
      </c>
      <c r="L1010" s="242">
        <v>6</v>
      </c>
      <c r="M1010" s="308">
        <v>26160</v>
      </c>
      <c r="N1010" s="234">
        <v>24590.400000000001</v>
      </c>
      <c r="O1010" s="234" t="s">
        <v>2900</v>
      </c>
      <c r="P1010" s="236">
        <v>45945</v>
      </c>
      <c r="Q1010" s="244">
        <v>0.9751967592592593</v>
      </c>
    </row>
    <row r="1011" spans="1:17" ht="38.25">
      <c r="A1011" s="239" t="s">
        <v>2893</v>
      </c>
      <c r="B1011" s="240">
        <v>2367</v>
      </c>
      <c r="C1011" s="241">
        <v>8</v>
      </c>
      <c r="D1011" s="239" t="s">
        <v>2881</v>
      </c>
      <c r="E1011" s="239" t="s">
        <v>374</v>
      </c>
      <c r="F1011" s="239" t="s">
        <v>375</v>
      </c>
      <c r="G1011" s="239" t="s">
        <v>142</v>
      </c>
      <c r="H1011" s="239" t="s">
        <v>42</v>
      </c>
      <c r="I1011" s="239" t="s">
        <v>2882</v>
      </c>
      <c r="J1011" s="234">
        <v>41760</v>
      </c>
      <c r="K1011" s="234">
        <v>15730</v>
      </c>
      <c r="L1011" s="242">
        <v>13</v>
      </c>
      <c r="M1011" s="308">
        <v>26030</v>
      </c>
      <c r="N1011" s="234">
        <v>22646.1</v>
      </c>
      <c r="O1011" s="234" t="s">
        <v>2901</v>
      </c>
      <c r="P1011" s="236">
        <v>45946</v>
      </c>
      <c r="Q1011" s="244">
        <v>0.26377314814814817</v>
      </c>
    </row>
    <row r="1012" spans="1:17" ht="38.25">
      <c r="A1012" s="239" t="s">
        <v>2894</v>
      </c>
      <c r="B1012" s="240">
        <v>2368</v>
      </c>
      <c r="C1012" s="241">
        <v>9</v>
      </c>
      <c r="D1012" s="239" t="s">
        <v>2881</v>
      </c>
      <c r="E1012" s="239" t="s">
        <v>858</v>
      </c>
      <c r="F1012" s="239" t="s">
        <v>859</v>
      </c>
      <c r="G1012" s="239" t="s">
        <v>142</v>
      </c>
      <c r="H1012" s="239" t="s">
        <v>42</v>
      </c>
      <c r="I1012" s="239" t="s">
        <v>2882</v>
      </c>
      <c r="J1012" s="234">
        <v>42560</v>
      </c>
      <c r="K1012" s="234">
        <v>14950</v>
      </c>
      <c r="L1012" s="242">
        <v>8</v>
      </c>
      <c r="M1012" s="308">
        <v>27610</v>
      </c>
      <c r="N1012" s="234">
        <v>25401.200000000001</v>
      </c>
      <c r="O1012" s="234" t="s">
        <v>2902</v>
      </c>
      <c r="P1012" s="236">
        <v>45946</v>
      </c>
      <c r="Q1012" s="244">
        <v>0.26579861111111114</v>
      </c>
    </row>
    <row r="1013" spans="1:17" ht="38.25">
      <c r="A1013" s="239" t="s">
        <v>2895</v>
      </c>
      <c r="B1013" s="240">
        <v>2369</v>
      </c>
      <c r="C1013" s="241">
        <v>10</v>
      </c>
      <c r="D1013" s="239" t="s">
        <v>2881</v>
      </c>
      <c r="E1013" s="239" t="s">
        <v>1305</v>
      </c>
      <c r="F1013" s="239" t="s">
        <v>1306</v>
      </c>
      <c r="G1013" s="239" t="s">
        <v>142</v>
      </c>
      <c r="H1013" s="239" t="s">
        <v>42</v>
      </c>
      <c r="I1013" s="239" t="s">
        <v>2882</v>
      </c>
      <c r="J1013" s="234">
        <v>38420</v>
      </c>
      <c r="K1013" s="234">
        <v>14800</v>
      </c>
      <c r="L1013" s="242">
        <v>17</v>
      </c>
      <c r="M1013" s="308">
        <v>23620</v>
      </c>
      <c r="N1013" s="234">
        <v>19604.599999999999</v>
      </c>
      <c r="O1013" s="234" t="s">
        <v>2903</v>
      </c>
      <c r="P1013" s="236">
        <v>45946</v>
      </c>
      <c r="Q1013" s="244">
        <v>0.26831018518518518</v>
      </c>
    </row>
    <row r="1014" spans="1:17" ht="38.25">
      <c r="A1014" s="239" t="s">
        <v>2896</v>
      </c>
      <c r="B1014" s="240">
        <v>2370</v>
      </c>
      <c r="C1014" s="241">
        <v>11</v>
      </c>
      <c r="D1014" s="239" t="s">
        <v>2881</v>
      </c>
      <c r="E1014" s="239" t="s">
        <v>372</v>
      </c>
      <c r="F1014" s="239" t="s">
        <v>373</v>
      </c>
      <c r="G1014" s="239" t="s">
        <v>142</v>
      </c>
      <c r="H1014" s="239" t="s">
        <v>42</v>
      </c>
      <c r="I1014" s="239" t="s">
        <v>2882</v>
      </c>
      <c r="J1014" s="234">
        <v>40190</v>
      </c>
      <c r="K1014" s="234">
        <v>15040</v>
      </c>
      <c r="L1014" s="242">
        <v>10</v>
      </c>
      <c r="M1014" s="308">
        <v>25150</v>
      </c>
      <c r="N1014" s="234">
        <v>22635</v>
      </c>
      <c r="O1014" s="234" t="s">
        <v>2904</v>
      </c>
      <c r="P1014" s="236">
        <v>45946</v>
      </c>
      <c r="Q1014" s="244">
        <v>0.31918981481481479</v>
      </c>
    </row>
    <row r="1015" spans="1:17" ht="38.25">
      <c r="A1015" s="239" t="s">
        <v>2905</v>
      </c>
      <c r="B1015" s="240">
        <v>2371</v>
      </c>
      <c r="C1015" s="241">
        <v>12</v>
      </c>
      <c r="D1015" s="239" t="s">
        <v>2881</v>
      </c>
      <c r="E1015" s="239" t="s">
        <v>377</v>
      </c>
      <c r="F1015" s="239" t="s">
        <v>378</v>
      </c>
      <c r="G1015" s="239" t="s">
        <v>142</v>
      </c>
      <c r="H1015" s="239" t="s">
        <v>42</v>
      </c>
      <c r="I1015" s="239" t="s">
        <v>2882</v>
      </c>
      <c r="J1015" s="234">
        <v>43730</v>
      </c>
      <c r="K1015" s="234">
        <v>15240</v>
      </c>
      <c r="L1015" s="242">
        <v>9</v>
      </c>
      <c r="M1015" s="308">
        <v>28490</v>
      </c>
      <c r="N1015" s="234">
        <v>25925.9</v>
      </c>
      <c r="O1015" s="234" t="s">
        <v>2906</v>
      </c>
      <c r="P1015" s="236" t="s">
        <v>2907</v>
      </c>
      <c r="Q1015" s="244">
        <v>0.42292824074074076</v>
      </c>
    </row>
    <row r="1016" spans="1:17" ht="38.25">
      <c r="A1016" s="239" t="s">
        <v>2908</v>
      </c>
      <c r="B1016" s="240">
        <v>2373</v>
      </c>
      <c r="C1016" s="241">
        <v>14</v>
      </c>
      <c r="D1016" s="239" t="s">
        <v>2881</v>
      </c>
      <c r="E1016" s="239" t="s">
        <v>400</v>
      </c>
      <c r="F1016" s="239" t="s">
        <v>401</v>
      </c>
      <c r="G1016" s="239" t="s">
        <v>142</v>
      </c>
      <c r="H1016" s="239" t="s">
        <v>42</v>
      </c>
      <c r="I1016" s="239" t="s">
        <v>2882</v>
      </c>
      <c r="J1016" s="234">
        <v>39590</v>
      </c>
      <c r="K1016" s="234">
        <v>14910</v>
      </c>
      <c r="L1016" s="242">
        <v>16</v>
      </c>
      <c r="M1016" s="308">
        <v>24680</v>
      </c>
      <c r="N1016" s="234">
        <v>20731.2</v>
      </c>
      <c r="O1016" s="234" t="s">
        <v>2910</v>
      </c>
      <c r="P1016" s="236" t="s">
        <v>2911</v>
      </c>
      <c r="Q1016" s="244">
        <v>0.26962962962962961</v>
      </c>
    </row>
    <row r="1017" spans="1:17" ht="38.25">
      <c r="A1017" s="239" t="s">
        <v>2909</v>
      </c>
      <c r="B1017" s="240">
        <v>2372</v>
      </c>
      <c r="C1017" s="241">
        <v>13</v>
      </c>
      <c r="D1017" s="239" t="s">
        <v>2881</v>
      </c>
      <c r="E1017" s="239" t="s">
        <v>410</v>
      </c>
      <c r="F1017" s="239" t="s">
        <v>411</v>
      </c>
      <c r="G1017" s="239" t="s">
        <v>142</v>
      </c>
      <c r="H1017" s="239" t="s">
        <v>42</v>
      </c>
      <c r="I1017" s="239" t="s">
        <v>2882</v>
      </c>
      <c r="J1017" s="234">
        <v>40790</v>
      </c>
      <c r="K1017" s="234">
        <v>15300</v>
      </c>
      <c r="L1017" s="242">
        <v>13</v>
      </c>
      <c r="M1017" s="308">
        <v>25490</v>
      </c>
      <c r="N1017" s="234">
        <v>22176.3</v>
      </c>
      <c r="O1017" s="234" t="s">
        <v>2913</v>
      </c>
      <c r="P1017" s="236" t="s">
        <v>2912</v>
      </c>
      <c r="Q1017" s="244">
        <v>0.43327546296296299</v>
      </c>
    </row>
    <row r="1018" spans="1:17" ht="38.25">
      <c r="A1018" s="239" t="s">
        <v>2914</v>
      </c>
      <c r="B1018" s="240">
        <v>2378</v>
      </c>
      <c r="C1018" s="241">
        <v>15</v>
      </c>
      <c r="D1018" s="239" t="s">
        <v>2881</v>
      </c>
      <c r="E1018" s="239" t="s">
        <v>425</v>
      </c>
      <c r="F1018" s="239" t="s">
        <v>426</v>
      </c>
      <c r="G1018" s="239" t="s">
        <v>142</v>
      </c>
      <c r="H1018" s="239" t="s">
        <v>42</v>
      </c>
      <c r="I1018" s="239" t="s">
        <v>2882</v>
      </c>
      <c r="J1018" s="234">
        <v>50820</v>
      </c>
      <c r="K1018" s="234">
        <v>18920</v>
      </c>
      <c r="L1018" s="242">
        <v>12</v>
      </c>
      <c r="M1018" s="308">
        <v>31900</v>
      </c>
      <c r="N1018" s="234">
        <v>28072</v>
      </c>
      <c r="O1018" s="234" t="s">
        <v>2915</v>
      </c>
      <c r="P1018" s="236" t="s">
        <v>2916</v>
      </c>
      <c r="Q1018" s="244">
        <v>0.50679398148148147</v>
      </c>
    </row>
    <row r="1019" spans="1:17" ht="38.25">
      <c r="A1019" s="239" t="s">
        <v>2918</v>
      </c>
      <c r="B1019" s="240">
        <v>2380</v>
      </c>
      <c r="C1019" s="241">
        <v>16</v>
      </c>
      <c r="D1019" s="239" t="s">
        <v>2881</v>
      </c>
      <c r="E1019" s="239" t="s">
        <v>2793</v>
      </c>
      <c r="F1019" s="239" t="s">
        <v>2794</v>
      </c>
      <c r="G1019" s="239" t="s">
        <v>142</v>
      </c>
      <c r="H1019" s="239" t="s">
        <v>42</v>
      </c>
      <c r="I1019" s="239" t="s">
        <v>2882</v>
      </c>
      <c r="J1019" s="234">
        <v>49390</v>
      </c>
      <c r="K1019" s="234">
        <v>17650</v>
      </c>
      <c r="L1019" s="242">
        <v>13</v>
      </c>
      <c r="M1019" s="308">
        <v>31740</v>
      </c>
      <c r="N1019" s="234">
        <v>27613.8</v>
      </c>
      <c r="O1019" s="234" t="s">
        <v>2931</v>
      </c>
      <c r="P1019" s="236">
        <v>45946</v>
      </c>
      <c r="Q1019" s="244">
        <v>0.59687500000000004</v>
      </c>
    </row>
    <row r="1020" spans="1:17" ht="38.25">
      <c r="A1020" s="239" t="s">
        <v>2919</v>
      </c>
      <c r="B1020" s="240">
        <v>2385</v>
      </c>
      <c r="C1020" s="241">
        <v>17</v>
      </c>
      <c r="D1020" s="239" t="s">
        <v>2881</v>
      </c>
      <c r="E1020" s="239" t="s">
        <v>388</v>
      </c>
      <c r="F1020" s="239" t="s">
        <v>389</v>
      </c>
      <c r="G1020" s="239" t="s">
        <v>142</v>
      </c>
      <c r="H1020" s="239" t="s">
        <v>42</v>
      </c>
      <c r="I1020" s="239" t="s">
        <v>2882</v>
      </c>
      <c r="J1020" s="234">
        <v>63670</v>
      </c>
      <c r="K1020" s="234">
        <v>21410</v>
      </c>
      <c r="L1020" s="242">
        <v>10</v>
      </c>
      <c r="M1020" s="308">
        <v>42260</v>
      </c>
      <c r="N1020" s="234">
        <v>38034</v>
      </c>
      <c r="O1020" s="234" t="s">
        <v>2932</v>
      </c>
      <c r="P1020" s="236">
        <v>45946</v>
      </c>
      <c r="Q1020" s="244">
        <v>0.6909143518518519</v>
      </c>
    </row>
    <row r="1021" spans="1:17" ht="38.25">
      <c r="A1021" s="239" t="s">
        <v>2920</v>
      </c>
      <c r="B1021" s="240">
        <v>2387</v>
      </c>
      <c r="C1021" s="241">
        <v>18</v>
      </c>
      <c r="D1021" s="239" t="s">
        <v>2881</v>
      </c>
      <c r="E1021" s="239" t="s">
        <v>416</v>
      </c>
      <c r="F1021" s="239" t="s">
        <v>417</v>
      </c>
      <c r="G1021" s="239" t="s">
        <v>142</v>
      </c>
      <c r="H1021" s="239" t="s">
        <v>42</v>
      </c>
      <c r="I1021" s="239" t="s">
        <v>2882</v>
      </c>
      <c r="J1021" s="234">
        <v>40550</v>
      </c>
      <c r="K1021" s="234">
        <v>14940</v>
      </c>
      <c r="L1021" s="242">
        <v>13</v>
      </c>
      <c r="M1021" s="308">
        <v>25610</v>
      </c>
      <c r="N1021" s="234">
        <v>22280.7</v>
      </c>
      <c r="O1021" s="234" t="s">
        <v>2933</v>
      </c>
      <c r="P1021" s="236">
        <v>45946</v>
      </c>
      <c r="Q1021" s="244">
        <v>0.69467592592592597</v>
      </c>
    </row>
    <row r="1022" spans="1:17" ht="38.25">
      <c r="A1022" s="239" t="s">
        <v>2921</v>
      </c>
      <c r="B1022" s="240">
        <v>2388</v>
      </c>
      <c r="C1022" s="241">
        <v>20</v>
      </c>
      <c r="D1022" s="239" t="s">
        <v>2881</v>
      </c>
      <c r="E1022" s="239" t="s">
        <v>420</v>
      </c>
      <c r="F1022" s="239" t="s">
        <v>421</v>
      </c>
      <c r="G1022" s="239" t="s">
        <v>142</v>
      </c>
      <c r="H1022" s="239" t="s">
        <v>42</v>
      </c>
      <c r="I1022" s="239" t="s">
        <v>2882</v>
      </c>
      <c r="J1022" s="234">
        <v>35970</v>
      </c>
      <c r="K1022" s="234">
        <v>15110</v>
      </c>
      <c r="L1022" s="242">
        <v>15</v>
      </c>
      <c r="M1022" s="308">
        <v>20860</v>
      </c>
      <c r="N1022" s="234">
        <v>17731</v>
      </c>
      <c r="O1022" s="234" t="s">
        <v>2934</v>
      </c>
      <c r="P1022" s="236">
        <v>45946</v>
      </c>
      <c r="Q1022" s="244">
        <v>0.7049305555555555</v>
      </c>
    </row>
    <row r="1023" spans="1:17" ht="38.25">
      <c r="A1023" s="239" t="s">
        <v>2922</v>
      </c>
      <c r="B1023" s="240">
        <v>2389</v>
      </c>
      <c r="C1023" s="241">
        <v>19</v>
      </c>
      <c r="D1023" s="239" t="s">
        <v>2881</v>
      </c>
      <c r="E1023" s="239" t="s">
        <v>456</v>
      </c>
      <c r="F1023" s="239" t="s">
        <v>457</v>
      </c>
      <c r="G1023" s="239" t="s">
        <v>142</v>
      </c>
      <c r="H1023" s="239" t="s">
        <v>42</v>
      </c>
      <c r="I1023" s="239" t="s">
        <v>2882</v>
      </c>
      <c r="J1023" s="234">
        <v>47070</v>
      </c>
      <c r="K1023" s="234">
        <v>15930</v>
      </c>
      <c r="L1023" s="242">
        <v>17</v>
      </c>
      <c r="M1023" s="308">
        <v>31140</v>
      </c>
      <c r="N1023" s="234">
        <v>25846.2</v>
      </c>
      <c r="O1023" s="234" t="s">
        <v>2935</v>
      </c>
      <c r="P1023" s="236">
        <v>45946</v>
      </c>
      <c r="Q1023" s="244">
        <v>0.71958333333333335</v>
      </c>
    </row>
    <row r="1024" spans="1:17" ht="38.25">
      <c r="A1024" s="239" t="s">
        <v>2923</v>
      </c>
      <c r="B1024" s="240">
        <v>2395</v>
      </c>
      <c r="C1024" s="241">
        <v>25</v>
      </c>
      <c r="D1024" s="239" t="s">
        <v>2881</v>
      </c>
      <c r="E1024" s="239" t="s">
        <v>413</v>
      </c>
      <c r="F1024" s="239" t="s">
        <v>414</v>
      </c>
      <c r="G1024" s="239" t="s">
        <v>142</v>
      </c>
      <c r="H1024" s="239" t="s">
        <v>42</v>
      </c>
      <c r="I1024" s="239" t="s">
        <v>2882</v>
      </c>
      <c r="J1024" s="234">
        <v>43820</v>
      </c>
      <c r="K1024" s="234">
        <v>15240</v>
      </c>
      <c r="L1024" s="242">
        <v>6</v>
      </c>
      <c r="M1024" s="308">
        <v>28580</v>
      </c>
      <c r="N1024" s="234">
        <v>26865.200000000001</v>
      </c>
      <c r="O1024" s="234" t="s">
        <v>2936</v>
      </c>
      <c r="P1024" s="236">
        <v>45946</v>
      </c>
      <c r="Q1024" s="244">
        <v>0.79379629629629633</v>
      </c>
    </row>
    <row r="1025" spans="1:17" ht="38.25">
      <c r="A1025" s="239" t="s">
        <v>2924</v>
      </c>
      <c r="B1025" s="240">
        <v>2390</v>
      </c>
      <c r="C1025" s="241">
        <v>22</v>
      </c>
      <c r="D1025" s="239" t="s">
        <v>2881</v>
      </c>
      <c r="E1025" s="239" t="s">
        <v>447</v>
      </c>
      <c r="F1025" s="239" t="s">
        <v>448</v>
      </c>
      <c r="G1025" s="239" t="s">
        <v>142</v>
      </c>
      <c r="H1025" s="239" t="s">
        <v>42</v>
      </c>
      <c r="I1025" s="239" t="s">
        <v>2882</v>
      </c>
      <c r="J1025" s="234">
        <v>53680</v>
      </c>
      <c r="K1025" s="234">
        <v>19660</v>
      </c>
      <c r="L1025" s="242">
        <v>17</v>
      </c>
      <c r="M1025" s="308">
        <v>34020</v>
      </c>
      <c r="N1025" s="234">
        <v>28236.6</v>
      </c>
      <c r="O1025" s="234" t="s">
        <v>2937</v>
      </c>
      <c r="P1025" s="236">
        <v>45946</v>
      </c>
      <c r="Q1025" s="244">
        <v>0.80554398148148143</v>
      </c>
    </row>
    <row r="1026" spans="1:17" ht="38.25">
      <c r="A1026" s="239" t="s">
        <v>2925</v>
      </c>
      <c r="B1026" s="240">
        <v>2396</v>
      </c>
      <c r="C1026" s="241">
        <v>24</v>
      </c>
      <c r="D1026" s="239" t="s">
        <v>2881</v>
      </c>
      <c r="E1026" s="239" t="s">
        <v>390</v>
      </c>
      <c r="F1026" s="239" t="s">
        <v>391</v>
      </c>
      <c r="G1026" s="239" t="s">
        <v>142</v>
      </c>
      <c r="H1026" s="239" t="s">
        <v>42</v>
      </c>
      <c r="I1026" s="239" t="s">
        <v>2882</v>
      </c>
      <c r="J1026" s="234">
        <v>39450</v>
      </c>
      <c r="K1026" s="234">
        <v>15180</v>
      </c>
      <c r="L1026" s="242">
        <v>10</v>
      </c>
      <c r="M1026" s="308">
        <v>24270</v>
      </c>
      <c r="N1026" s="234">
        <v>21843</v>
      </c>
      <c r="O1026" s="234" t="s">
        <v>2938</v>
      </c>
      <c r="P1026" s="236">
        <v>45946</v>
      </c>
      <c r="Q1026" s="244">
        <v>0.82395833333333335</v>
      </c>
    </row>
    <row r="1027" spans="1:17" ht="38.25">
      <c r="A1027" s="239" t="s">
        <v>2926</v>
      </c>
      <c r="B1027" s="240">
        <v>2398</v>
      </c>
      <c r="C1027" s="241">
        <v>27</v>
      </c>
      <c r="D1027" s="239" t="s">
        <v>2881</v>
      </c>
      <c r="E1027" s="239" t="s">
        <v>429</v>
      </c>
      <c r="F1027" s="239" t="s">
        <v>430</v>
      </c>
      <c r="G1027" s="239" t="s">
        <v>142</v>
      </c>
      <c r="H1027" s="239" t="s">
        <v>42</v>
      </c>
      <c r="I1027" s="239" t="s">
        <v>2882</v>
      </c>
      <c r="J1027" s="234">
        <v>42810</v>
      </c>
      <c r="K1027" s="234">
        <v>14600</v>
      </c>
      <c r="L1027" s="242">
        <v>12</v>
      </c>
      <c r="M1027" s="308">
        <v>28210</v>
      </c>
      <c r="N1027" s="234">
        <v>24824.799999999999</v>
      </c>
      <c r="O1027" s="234" t="s">
        <v>2939</v>
      </c>
      <c r="P1027" s="236">
        <v>45946</v>
      </c>
      <c r="Q1027" s="244">
        <v>0.88284722222222223</v>
      </c>
    </row>
    <row r="1028" spans="1:17" ht="38.25">
      <c r="A1028" s="239" t="s">
        <v>2927</v>
      </c>
      <c r="B1028" s="240">
        <v>2399</v>
      </c>
      <c r="C1028" s="241">
        <v>26</v>
      </c>
      <c r="D1028" s="239" t="s">
        <v>2881</v>
      </c>
      <c r="E1028" s="239" t="s">
        <v>1410</v>
      </c>
      <c r="F1028" s="239" t="s">
        <v>437</v>
      </c>
      <c r="G1028" s="239" t="s">
        <v>142</v>
      </c>
      <c r="H1028" s="239" t="s">
        <v>42</v>
      </c>
      <c r="I1028" s="239" t="s">
        <v>2882</v>
      </c>
      <c r="J1028" s="234">
        <v>42560</v>
      </c>
      <c r="K1028" s="234">
        <v>15130</v>
      </c>
      <c r="L1028" s="242">
        <v>9</v>
      </c>
      <c r="M1028" s="308">
        <v>27430</v>
      </c>
      <c r="N1028" s="234">
        <v>24961.3</v>
      </c>
      <c r="O1028" s="234" t="s">
        <v>2940</v>
      </c>
      <c r="P1028" s="236">
        <v>45946</v>
      </c>
      <c r="Q1028" s="244">
        <v>0.88990740740740737</v>
      </c>
    </row>
    <row r="1029" spans="1:17" ht="38.25">
      <c r="A1029" s="239" t="s">
        <v>2928</v>
      </c>
      <c r="B1029" s="240">
        <v>2393</v>
      </c>
      <c r="C1029" s="241">
        <v>21</v>
      </c>
      <c r="D1029" s="239" t="s">
        <v>2881</v>
      </c>
      <c r="E1029" s="239" t="s">
        <v>453</v>
      </c>
      <c r="F1029" s="239" t="s">
        <v>454</v>
      </c>
      <c r="G1029" s="239" t="s">
        <v>142</v>
      </c>
      <c r="H1029" s="239" t="s">
        <v>42</v>
      </c>
      <c r="I1029" s="239" t="s">
        <v>2882</v>
      </c>
      <c r="J1029" s="234">
        <v>64850</v>
      </c>
      <c r="K1029" s="234">
        <v>24610</v>
      </c>
      <c r="L1029" s="242">
        <v>6</v>
      </c>
      <c r="M1029" s="308">
        <v>40240</v>
      </c>
      <c r="N1029" s="234">
        <v>37825.599999999999</v>
      </c>
      <c r="O1029" s="234" t="s">
        <v>2941</v>
      </c>
      <c r="P1029" s="236">
        <v>45946</v>
      </c>
      <c r="Q1029" s="244">
        <v>0.90525462962962966</v>
      </c>
    </row>
    <row r="1030" spans="1:17" ht="38.25">
      <c r="A1030" s="239" t="s">
        <v>2929</v>
      </c>
      <c r="B1030" s="240">
        <v>2401</v>
      </c>
      <c r="C1030" s="241">
        <v>28</v>
      </c>
      <c r="D1030" s="239" t="s">
        <v>2881</v>
      </c>
      <c r="E1030" s="239" t="s">
        <v>439</v>
      </c>
      <c r="F1030" s="239" t="s">
        <v>440</v>
      </c>
      <c r="G1030" s="239" t="s">
        <v>142</v>
      </c>
      <c r="H1030" s="239" t="s">
        <v>42</v>
      </c>
      <c r="I1030" s="239" t="s">
        <v>2882</v>
      </c>
      <c r="J1030" s="234">
        <v>43310</v>
      </c>
      <c r="K1030" s="234">
        <v>15310</v>
      </c>
      <c r="L1030" s="242">
        <v>12</v>
      </c>
      <c r="M1030" s="308">
        <v>28000</v>
      </c>
      <c r="N1030" s="234">
        <v>24640</v>
      </c>
      <c r="O1030" s="234" t="s">
        <v>2942</v>
      </c>
      <c r="P1030" s="236">
        <v>45946</v>
      </c>
      <c r="Q1030" s="244">
        <v>0.94466435185185182</v>
      </c>
    </row>
    <row r="1031" spans="1:17" ht="38.25">
      <c r="A1031" s="239" t="s">
        <v>2930</v>
      </c>
      <c r="B1031" s="240">
        <v>2394</v>
      </c>
      <c r="C1031" s="241">
        <v>23</v>
      </c>
      <c r="D1031" s="239" t="s">
        <v>2881</v>
      </c>
      <c r="E1031" s="239" t="s">
        <v>392</v>
      </c>
      <c r="F1031" s="239" t="s">
        <v>393</v>
      </c>
      <c r="G1031" s="239" t="s">
        <v>142</v>
      </c>
      <c r="H1031" s="239" t="s">
        <v>42</v>
      </c>
      <c r="I1031" s="239" t="s">
        <v>2882</v>
      </c>
      <c r="J1031" s="234">
        <v>63210</v>
      </c>
      <c r="K1031" s="234">
        <v>24240</v>
      </c>
      <c r="L1031" s="242">
        <v>17</v>
      </c>
      <c r="M1031" s="308">
        <v>38970</v>
      </c>
      <c r="N1031" s="234">
        <v>32345.1</v>
      </c>
      <c r="O1031" s="234" t="s">
        <v>2943</v>
      </c>
      <c r="P1031" s="236">
        <v>45946</v>
      </c>
      <c r="Q1031" s="244">
        <v>0.98298611111111112</v>
      </c>
    </row>
    <row r="1032" spans="1:17" ht="38.25">
      <c r="A1032" s="239" t="s">
        <v>2944</v>
      </c>
      <c r="B1032" s="240">
        <v>2403</v>
      </c>
      <c r="C1032" s="241">
        <v>30</v>
      </c>
      <c r="D1032" s="239" t="s">
        <v>2881</v>
      </c>
      <c r="E1032" s="239" t="s">
        <v>384</v>
      </c>
      <c r="F1032" s="239" t="s">
        <v>385</v>
      </c>
      <c r="G1032" s="239" t="s">
        <v>142</v>
      </c>
      <c r="H1032" s="239" t="s">
        <v>42</v>
      </c>
      <c r="I1032" s="239" t="s">
        <v>2882</v>
      </c>
      <c r="J1032" s="234">
        <v>36800</v>
      </c>
      <c r="K1032" s="234">
        <v>13980</v>
      </c>
      <c r="L1032" s="242">
        <v>17</v>
      </c>
      <c r="M1032" s="308">
        <v>22820</v>
      </c>
      <c r="N1032" s="234">
        <v>18940.599999999999</v>
      </c>
      <c r="O1032" s="234" t="s">
        <v>2948</v>
      </c>
      <c r="P1032" s="236">
        <v>45946</v>
      </c>
      <c r="Q1032" s="244">
        <v>0.99006944444444445</v>
      </c>
    </row>
    <row r="1033" spans="1:17" ht="38.25">
      <c r="A1033" s="239" t="s">
        <v>2945</v>
      </c>
      <c r="B1033" s="240">
        <v>2405</v>
      </c>
      <c r="C1033" s="241">
        <v>31</v>
      </c>
      <c r="D1033" s="239" t="s">
        <v>2881</v>
      </c>
      <c r="E1033" s="239" t="s">
        <v>410</v>
      </c>
      <c r="F1033" s="239" t="s">
        <v>411</v>
      </c>
      <c r="G1033" s="239" t="s">
        <v>142</v>
      </c>
      <c r="H1033" s="239" t="s">
        <v>42</v>
      </c>
      <c r="I1033" s="239" t="s">
        <v>2882</v>
      </c>
      <c r="J1033" s="234">
        <v>37870</v>
      </c>
      <c r="K1033" s="234">
        <v>15230</v>
      </c>
      <c r="L1033" s="242">
        <v>14</v>
      </c>
      <c r="M1033" s="308">
        <v>22640</v>
      </c>
      <c r="N1033" s="234">
        <v>19470.400000000001</v>
      </c>
      <c r="O1033" s="234" t="s">
        <v>2949</v>
      </c>
      <c r="P1033" s="236">
        <v>45947</v>
      </c>
      <c r="Q1033" s="244">
        <v>0.45648148148148149</v>
      </c>
    </row>
    <row r="1034" spans="1:17" ht="38.25">
      <c r="A1034" s="239" t="s">
        <v>2946</v>
      </c>
      <c r="B1034" s="240">
        <v>2402</v>
      </c>
      <c r="C1034" s="241">
        <v>29</v>
      </c>
      <c r="D1034" s="239" t="s">
        <v>2881</v>
      </c>
      <c r="E1034" s="239" t="s">
        <v>382</v>
      </c>
      <c r="F1034" s="239" t="s">
        <v>383</v>
      </c>
      <c r="G1034" s="239" t="s">
        <v>142</v>
      </c>
      <c r="H1034" s="239" t="s">
        <v>42</v>
      </c>
      <c r="I1034" s="239" t="s">
        <v>2882</v>
      </c>
      <c r="J1034" s="234">
        <v>37530</v>
      </c>
      <c r="K1034" s="234">
        <v>14680</v>
      </c>
      <c r="L1034" s="242">
        <v>16</v>
      </c>
      <c r="M1034" s="308">
        <v>22850</v>
      </c>
      <c r="N1034" s="234">
        <v>19194</v>
      </c>
      <c r="O1034" s="234" t="s">
        <v>2950</v>
      </c>
      <c r="P1034" s="236">
        <v>45946</v>
      </c>
      <c r="Q1034" s="244">
        <v>0.95704861111111106</v>
      </c>
    </row>
    <row r="1035" spans="1:17" ht="38.25">
      <c r="A1035" s="239" t="s">
        <v>2947</v>
      </c>
      <c r="B1035" s="240">
        <v>2406</v>
      </c>
      <c r="C1035" s="241">
        <v>32</v>
      </c>
      <c r="D1035" s="239" t="s">
        <v>2881</v>
      </c>
      <c r="E1035" s="239" t="s">
        <v>1305</v>
      </c>
      <c r="F1035" s="239" t="s">
        <v>1306</v>
      </c>
      <c r="G1035" s="239" t="s">
        <v>142</v>
      </c>
      <c r="H1035" s="239" t="s">
        <v>42</v>
      </c>
      <c r="I1035" s="239" t="s">
        <v>2882</v>
      </c>
      <c r="J1035" s="234">
        <v>37820</v>
      </c>
      <c r="K1035" s="234">
        <v>14860</v>
      </c>
      <c r="L1035" s="242">
        <v>9</v>
      </c>
      <c r="M1035" s="308">
        <v>22960</v>
      </c>
      <c r="N1035" s="234">
        <v>20893.599999999999</v>
      </c>
      <c r="O1035" s="234" t="s">
        <v>2951</v>
      </c>
      <c r="P1035" s="236">
        <v>45947</v>
      </c>
      <c r="Q1035" s="244">
        <v>0.5034143518518519</v>
      </c>
    </row>
    <row r="1036" spans="1:17" ht="38.25">
      <c r="A1036" s="239" t="s">
        <v>2952</v>
      </c>
      <c r="B1036" s="240">
        <v>2407</v>
      </c>
      <c r="C1036" s="241">
        <v>33</v>
      </c>
      <c r="D1036" s="239" t="s">
        <v>2881</v>
      </c>
      <c r="E1036" s="239" t="s">
        <v>858</v>
      </c>
      <c r="F1036" s="239" t="s">
        <v>859</v>
      </c>
      <c r="G1036" s="239" t="s">
        <v>142</v>
      </c>
      <c r="H1036" s="239" t="s">
        <v>42</v>
      </c>
      <c r="I1036" s="239" t="s">
        <v>2882</v>
      </c>
      <c r="J1036" s="234">
        <v>41270</v>
      </c>
      <c r="K1036" s="234">
        <v>14850</v>
      </c>
      <c r="L1036" s="242">
        <v>15</v>
      </c>
      <c r="M1036" s="308">
        <v>26420</v>
      </c>
      <c r="N1036" s="234">
        <v>22457</v>
      </c>
      <c r="O1036" s="234" t="s">
        <v>2953</v>
      </c>
      <c r="P1036" s="236">
        <v>45947</v>
      </c>
      <c r="Q1036" s="244">
        <v>0.5738657407407407</v>
      </c>
    </row>
    <row r="1037" spans="1:17" ht="38.25">
      <c r="A1037" s="239" t="s">
        <v>2998</v>
      </c>
      <c r="B1037" s="240">
        <v>2408</v>
      </c>
      <c r="C1037" s="241">
        <v>34</v>
      </c>
      <c r="D1037" s="239" t="s">
        <v>2881</v>
      </c>
      <c r="E1037" s="239" t="s">
        <v>403</v>
      </c>
      <c r="F1037" s="239" t="s">
        <v>404</v>
      </c>
      <c r="G1037" s="239" t="s">
        <v>142</v>
      </c>
      <c r="H1037" s="239" t="s">
        <v>42</v>
      </c>
      <c r="I1037" s="239" t="s">
        <v>2882</v>
      </c>
      <c r="J1037" s="234">
        <v>39310</v>
      </c>
      <c r="K1037" s="234">
        <v>14660</v>
      </c>
      <c r="L1037" s="242">
        <v>15</v>
      </c>
      <c r="M1037" s="308">
        <v>24650</v>
      </c>
      <c r="N1037" s="234">
        <v>20952.5</v>
      </c>
      <c r="O1037" s="234" t="s">
        <v>2999</v>
      </c>
      <c r="P1037" s="236">
        <v>45947</v>
      </c>
      <c r="Q1037" s="244">
        <v>0.63953703703703701</v>
      </c>
    </row>
    <row r="1038" spans="1:17" ht="38.25">
      <c r="A1038" s="239" t="s">
        <v>2954</v>
      </c>
      <c r="B1038" s="240">
        <v>2409</v>
      </c>
      <c r="C1038" s="241">
        <v>35</v>
      </c>
      <c r="D1038" s="239" t="s">
        <v>2881</v>
      </c>
      <c r="E1038" s="239" t="s">
        <v>406</v>
      </c>
      <c r="F1038" s="239" t="s">
        <v>407</v>
      </c>
      <c r="G1038" s="239" t="s">
        <v>142</v>
      </c>
      <c r="H1038" s="239" t="s">
        <v>42</v>
      </c>
      <c r="I1038" s="239" t="s">
        <v>2882</v>
      </c>
      <c r="J1038" s="234">
        <v>39690</v>
      </c>
      <c r="K1038" s="234">
        <v>15260</v>
      </c>
      <c r="L1038" s="242">
        <v>15</v>
      </c>
      <c r="M1038" s="308">
        <v>24430</v>
      </c>
      <c r="N1038" s="234">
        <v>20765.5</v>
      </c>
      <c r="O1038" s="234" t="s">
        <v>3000</v>
      </c>
      <c r="P1038" s="236">
        <v>45947</v>
      </c>
      <c r="Q1038" s="244">
        <v>0.67479166666666668</v>
      </c>
    </row>
    <row r="1039" spans="1:17" ht="38.25">
      <c r="A1039" s="239" t="s">
        <v>2955</v>
      </c>
      <c r="B1039" s="240">
        <v>2410</v>
      </c>
      <c r="C1039" s="241">
        <v>36</v>
      </c>
      <c r="D1039" s="239" t="s">
        <v>2881</v>
      </c>
      <c r="E1039" s="239" t="s">
        <v>380</v>
      </c>
      <c r="F1039" s="239" t="s">
        <v>381</v>
      </c>
      <c r="G1039" s="239" t="s">
        <v>142</v>
      </c>
      <c r="H1039" s="239" t="s">
        <v>42</v>
      </c>
      <c r="I1039" s="239" t="s">
        <v>2882</v>
      </c>
      <c r="J1039" s="234">
        <v>39480</v>
      </c>
      <c r="K1039" s="234">
        <v>15210</v>
      </c>
      <c r="L1039" s="242">
        <v>12</v>
      </c>
      <c r="M1039" s="308">
        <v>24270</v>
      </c>
      <c r="N1039" s="234">
        <v>21357.599999999999</v>
      </c>
      <c r="O1039" s="234" t="s">
        <v>3001</v>
      </c>
      <c r="P1039" s="236">
        <v>45947</v>
      </c>
      <c r="Q1039" s="244">
        <v>0.72744212962962962</v>
      </c>
    </row>
    <row r="1040" spans="1:17" ht="38.25">
      <c r="A1040" s="239" t="s">
        <v>2956</v>
      </c>
      <c r="B1040" s="240">
        <v>2412</v>
      </c>
      <c r="C1040" s="241">
        <v>39</v>
      </c>
      <c r="D1040" s="239" t="s">
        <v>2881</v>
      </c>
      <c r="E1040" s="239" t="s">
        <v>400</v>
      </c>
      <c r="F1040" s="239" t="s">
        <v>401</v>
      </c>
      <c r="G1040" s="239" t="s">
        <v>142</v>
      </c>
      <c r="H1040" s="239" t="s">
        <v>42</v>
      </c>
      <c r="I1040" s="239" t="s">
        <v>2882</v>
      </c>
      <c r="J1040" s="234">
        <v>39070</v>
      </c>
      <c r="K1040" s="234">
        <v>14820</v>
      </c>
      <c r="L1040" s="242">
        <v>13</v>
      </c>
      <c r="M1040" s="308">
        <v>24250</v>
      </c>
      <c r="N1040" s="234">
        <v>21097.5</v>
      </c>
      <c r="O1040" s="234" t="s">
        <v>3002</v>
      </c>
      <c r="P1040" s="236">
        <v>45947</v>
      </c>
      <c r="Q1040" s="244">
        <v>0.77545138888888887</v>
      </c>
    </row>
    <row r="1041" spans="1:17" ht="38.25">
      <c r="A1041" s="239" t="s">
        <v>2957</v>
      </c>
      <c r="B1041" s="240">
        <v>2420</v>
      </c>
      <c r="C1041" s="241">
        <v>37</v>
      </c>
      <c r="D1041" s="239" t="s">
        <v>2881</v>
      </c>
      <c r="E1041" s="239" t="s">
        <v>442</v>
      </c>
      <c r="F1041" s="239" t="s">
        <v>443</v>
      </c>
      <c r="G1041" s="239" t="s">
        <v>142</v>
      </c>
      <c r="H1041" s="239" t="s">
        <v>42</v>
      </c>
      <c r="I1041" s="239" t="s">
        <v>2882</v>
      </c>
      <c r="J1041" s="234">
        <v>35460</v>
      </c>
      <c r="K1041" s="234">
        <v>14470</v>
      </c>
      <c r="L1041" s="242">
        <v>11</v>
      </c>
      <c r="M1041" s="308">
        <v>20990</v>
      </c>
      <c r="N1041" s="234">
        <v>18681.099999999999</v>
      </c>
      <c r="O1041" s="234" t="s">
        <v>3003</v>
      </c>
      <c r="P1041" s="236">
        <v>45947</v>
      </c>
      <c r="Q1041" s="244">
        <v>0.94475694444444447</v>
      </c>
    </row>
    <row r="1042" spans="1:17" ht="38.25">
      <c r="A1042" s="239" t="s">
        <v>2958</v>
      </c>
      <c r="B1042" s="240">
        <v>2422</v>
      </c>
      <c r="C1042" s="241">
        <v>38</v>
      </c>
      <c r="D1042" s="239" t="s">
        <v>2881</v>
      </c>
      <c r="E1042" s="239" t="s">
        <v>780</v>
      </c>
      <c r="F1042" s="239" t="s">
        <v>781</v>
      </c>
      <c r="G1042" s="239" t="s">
        <v>142</v>
      </c>
      <c r="H1042" s="239" t="s">
        <v>42</v>
      </c>
      <c r="I1042" s="239" t="s">
        <v>2882</v>
      </c>
      <c r="J1042" s="234">
        <v>38040</v>
      </c>
      <c r="K1042" s="234">
        <v>14950</v>
      </c>
      <c r="L1042" s="242">
        <v>9</v>
      </c>
      <c r="M1042" s="308">
        <v>23090</v>
      </c>
      <c r="N1042" s="234">
        <v>21011.9</v>
      </c>
      <c r="O1042" s="234" t="s">
        <v>3004</v>
      </c>
      <c r="P1042" s="236">
        <v>45947</v>
      </c>
      <c r="Q1042" s="244">
        <v>0.94658564814814816</v>
      </c>
    </row>
    <row r="1043" spans="1:17" ht="38.25">
      <c r="A1043" s="239" t="s">
        <v>2959</v>
      </c>
      <c r="B1043" s="240">
        <v>2423</v>
      </c>
      <c r="C1043" s="241">
        <v>40</v>
      </c>
      <c r="D1043" s="239" t="s">
        <v>2881</v>
      </c>
      <c r="E1043" s="239" t="s">
        <v>377</v>
      </c>
      <c r="F1043" s="239" t="s">
        <v>378</v>
      </c>
      <c r="G1043" s="239" t="s">
        <v>142</v>
      </c>
      <c r="H1043" s="239" t="s">
        <v>42</v>
      </c>
      <c r="I1043" s="239" t="s">
        <v>2882</v>
      </c>
      <c r="J1043" s="234">
        <v>43530</v>
      </c>
      <c r="K1043" s="234">
        <v>15170</v>
      </c>
      <c r="L1043" s="242">
        <v>7</v>
      </c>
      <c r="M1043" s="308">
        <v>28360</v>
      </c>
      <c r="N1043" s="234">
        <v>26374.799999999999</v>
      </c>
      <c r="O1043" s="234" t="s">
        <v>3005</v>
      </c>
      <c r="P1043" s="236">
        <v>45947</v>
      </c>
      <c r="Q1043" s="244">
        <v>0.94803240740740746</v>
      </c>
    </row>
    <row r="1044" spans="1:17" ht="38.25">
      <c r="A1044" s="239" t="s">
        <v>2960</v>
      </c>
      <c r="B1044" s="240">
        <v>2425</v>
      </c>
      <c r="C1044" s="241">
        <v>41</v>
      </c>
      <c r="D1044" s="239" t="s">
        <v>2881</v>
      </c>
      <c r="E1044" s="239" t="s">
        <v>372</v>
      </c>
      <c r="F1044" s="239" t="s">
        <v>373</v>
      </c>
      <c r="G1044" s="239" t="s">
        <v>142</v>
      </c>
      <c r="H1044" s="239" t="s">
        <v>42</v>
      </c>
      <c r="I1044" s="239" t="s">
        <v>2882</v>
      </c>
      <c r="J1044" s="234">
        <v>40890</v>
      </c>
      <c r="K1044" s="234">
        <v>15100</v>
      </c>
      <c r="L1044" s="242">
        <v>9</v>
      </c>
      <c r="M1044" s="308">
        <v>25790</v>
      </c>
      <c r="N1044" s="234">
        <v>23468.9</v>
      </c>
      <c r="O1044" s="234" t="s">
        <v>3006</v>
      </c>
      <c r="P1044" s="236">
        <v>45947</v>
      </c>
      <c r="Q1044" s="244">
        <v>0.96652777777777776</v>
      </c>
    </row>
    <row r="1045" spans="1:17" ht="38.25">
      <c r="A1045" s="239" t="s">
        <v>2961</v>
      </c>
      <c r="B1045" s="240">
        <v>2426</v>
      </c>
      <c r="C1045" s="241">
        <v>1</v>
      </c>
      <c r="D1045" s="239" t="s">
        <v>2482</v>
      </c>
      <c r="E1045" s="239" t="s">
        <v>382</v>
      </c>
      <c r="F1045" s="239" t="s">
        <v>383</v>
      </c>
      <c r="G1045" s="239" t="s">
        <v>962</v>
      </c>
      <c r="H1045" s="239" t="s">
        <v>51</v>
      </c>
      <c r="I1045" s="239" t="s">
        <v>2465</v>
      </c>
      <c r="J1045" s="234">
        <v>38270</v>
      </c>
      <c r="K1045" s="234">
        <v>14850</v>
      </c>
      <c r="L1045" s="242">
        <v>34</v>
      </c>
      <c r="M1045" s="308">
        <v>23420</v>
      </c>
      <c r="N1045" s="234">
        <v>15457.2</v>
      </c>
      <c r="O1045" s="234" t="s">
        <v>3007</v>
      </c>
      <c r="P1045" s="236">
        <v>45947</v>
      </c>
      <c r="Q1045" s="244">
        <v>0.83613425925925922</v>
      </c>
    </row>
    <row r="1046" spans="1:17" ht="51">
      <c r="A1046" s="239" t="s">
        <v>2962</v>
      </c>
      <c r="B1046" s="240">
        <v>2428</v>
      </c>
      <c r="C1046" s="241">
        <v>10008</v>
      </c>
      <c r="D1046" s="239" t="s">
        <v>2511</v>
      </c>
      <c r="E1046" s="239" t="s">
        <v>462</v>
      </c>
      <c r="F1046" s="239" t="s">
        <v>463</v>
      </c>
      <c r="G1046" s="239" t="s">
        <v>933</v>
      </c>
      <c r="H1046" s="239" t="s">
        <v>51</v>
      </c>
      <c r="I1046" s="239" t="s">
        <v>2512</v>
      </c>
      <c r="J1046" s="234">
        <v>41210</v>
      </c>
      <c r="K1046" s="234">
        <v>16330</v>
      </c>
      <c r="L1046" s="242">
        <v>18</v>
      </c>
      <c r="M1046" s="308">
        <v>24880</v>
      </c>
      <c r="N1046" s="234">
        <v>20401.599999999999</v>
      </c>
      <c r="O1046" s="234" t="s">
        <v>3008</v>
      </c>
      <c r="P1046" s="236">
        <v>45947</v>
      </c>
      <c r="Q1046" s="244">
        <v>0.87108796296296298</v>
      </c>
    </row>
    <row r="1047" spans="1:17" ht="38.25">
      <c r="A1047" s="239" t="s">
        <v>2963</v>
      </c>
      <c r="B1047" s="240">
        <v>2429</v>
      </c>
      <c r="C1047" s="241">
        <v>42</v>
      </c>
      <c r="D1047" s="239" t="s">
        <v>2881</v>
      </c>
      <c r="E1047" s="239" t="s">
        <v>374</v>
      </c>
      <c r="F1047" s="239" t="s">
        <v>375</v>
      </c>
      <c r="G1047" s="239" t="s">
        <v>142</v>
      </c>
      <c r="H1047" s="239" t="s">
        <v>42</v>
      </c>
      <c r="I1047" s="239" t="s">
        <v>2882</v>
      </c>
      <c r="J1047" s="234">
        <v>42020</v>
      </c>
      <c r="K1047" s="234">
        <v>15700</v>
      </c>
      <c r="L1047" s="242">
        <v>10</v>
      </c>
      <c r="M1047" s="308">
        <v>26320</v>
      </c>
      <c r="N1047" s="234">
        <v>23688</v>
      </c>
      <c r="O1047" s="234" t="s">
        <v>3009</v>
      </c>
      <c r="P1047" s="236">
        <v>45947</v>
      </c>
      <c r="Q1047" s="244">
        <v>0.88450231481481478</v>
      </c>
    </row>
    <row r="1048" spans="1:17" ht="38.25">
      <c r="A1048" s="239" t="s">
        <v>2964</v>
      </c>
      <c r="B1048" s="240">
        <v>2430</v>
      </c>
      <c r="C1048" s="241">
        <v>43</v>
      </c>
      <c r="D1048" s="239" t="s">
        <v>2881</v>
      </c>
      <c r="E1048" s="239" t="s">
        <v>866</v>
      </c>
      <c r="F1048" s="239" t="s">
        <v>867</v>
      </c>
      <c r="G1048" s="239" t="s">
        <v>142</v>
      </c>
      <c r="H1048" s="239" t="s">
        <v>42</v>
      </c>
      <c r="I1048" s="239" t="s">
        <v>2882</v>
      </c>
      <c r="J1048" s="234">
        <v>38530</v>
      </c>
      <c r="K1048" s="234">
        <v>14580</v>
      </c>
      <c r="L1048" s="242">
        <v>8</v>
      </c>
      <c r="M1048" s="308">
        <v>23950</v>
      </c>
      <c r="N1048" s="234">
        <v>22034</v>
      </c>
      <c r="O1048" s="234" t="s">
        <v>3010</v>
      </c>
      <c r="P1048" s="236">
        <v>45947</v>
      </c>
      <c r="Q1048" s="244">
        <v>0.90847222222222224</v>
      </c>
    </row>
    <row r="1049" spans="1:17" ht="38.25">
      <c r="A1049" s="239" t="s">
        <v>2965</v>
      </c>
      <c r="B1049" s="240">
        <v>2432</v>
      </c>
      <c r="C1049" s="241">
        <v>44</v>
      </c>
      <c r="D1049" s="239" t="s">
        <v>2881</v>
      </c>
      <c r="E1049" s="239" t="s">
        <v>369</v>
      </c>
      <c r="F1049" s="239" t="s">
        <v>370</v>
      </c>
      <c r="G1049" s="239" t="s">
        <v>142</v>
      </c>
      <c r="H1049" s="239" t="s">
        <v>42</v>
      </c>
      <c r="I1049" s="239" t="s">
        <v>2882</v>
      </c>
      <c r="J1049" s="234">
        <v>37660</v>
      </c>
      <c r="K1049" s="234">
        <v>15240</v>
      </c>
      <c r="L1049" s="242">
        <v>10</v>
      </c>
      <c r="M1049" s="308">
        <v>22420</v>
      </c>
      <c r="N1049" s="234">
        <v>20178</v>
      </c>
      <c r="O1049" s="234" t="s">
        <v>3011</v>
      </c>
      <c r="P1049" s="236">
        <v>45947</v>
      </c>
      <c r="Q1049" s="244">
        <v>0.94988425925925923</v>
      </c>
    </row>
    <row r="1050" spans="1:17" ht="38.25">
      <c r="A1050" s="239" t="s">
        <v>2966</v>
      </c>
      <c r="B1050" s="240">
        <v>2434</v>
      </c>
      <c r="C1050" s="241">
        <v>45</v>
      </c>
      <c r="D1050" s="239" t="s">
        <v>2881</v>
      </c>
      <c r="E1050" s="239" t="s">
        <v>425</v>
      </c>
      <c r="F1050" s="239" t="s">
        <v>426</v>
      </c>
      <c r="G1050" s="239" t="s">
        <v>142</v>
      </c>
      <c r="H1050" s="239" t="s">
        <v>42</v>
      </c>
      <c r="I1050" s="239" t="s">
        <v>2882</v>
      </c>
      <c r="J1050" s="234">
        <v>50510</v>
      </c>
      <c r="K1050" s="234">
        <v>18770</v>
      </c>
      <c r="L1050" s="242">
        <v>8</v>
      </c>
      <c r="M1050" s="308">
        <v>31740</v>
      </c>
      <c r="N1050" s="234">
        <v>29200.799999999999</v>
      </c>
      <c r="O1050" s="234" t="s">
        <v>3012</v>
      </c>
      <c r="P1050" s="236">
        <v>45948</v>
      </c>
      <c r="Q1050" s="244">
        <v>0.30563657407407407</v>
      </c>
    </row>
    <row r="1051" spans="1:17" ht="38.25">
      <c r="A1051" s="239" t="s">
        <v>2967</v>
      </c>
      <c r="B1051" s="240">
        <v>2435</v>
      </c>
      <c r="C1051" s="241">
        <v>46</v>
      </c>
      <c r="D1051" s="239" t="s">
        <v>2881</v>
      </c>
      <c r="E1051" s="239" t="s">
        <v>2793</v>
      </c>
      <c r="F1051" s="239" t="s">
        <v>2794</v>
      </c>
      <c r="G1051" s="239" t="s">
        <v>142</v>
      </c>
      <c r="H1051" s="239" t="s">
        <v>42</v>
      </c>
      <c r="I1051" s="239" t="s">
        <v>2882</v>
      </c>
      <c r="J1051" s="234">
        <v>47860</v>
      </c>
      <c r="K1051" s="234">
        <v>17550</v>
      </c>
      <c r="L1051" s="242">
        <v>9</v>
      </c>
      <c r="M1051" s="308">
        <v>30310</v>
      </c>
      <c r="N1051" s="234">
        <v>27582.1</v>
      </c>
      <c r="O1051" s="234" t="s">
        <v>3013</v>
      </c>
      <c r="P1051" s="236">
        <v>45948</v>
      </c>
      <c r="Q1051" s="244">
        <v>0.3072685185185185</v>
      </c>
    </row>
    <row r="1052" spans="1:17" ht="38.25">
      <c r="A1052" s="239" t="s">
        <v>2968</v>
      </c>
      <c r="B1052" s="240">
        <v>2436</v>
      </c>
      <c r="C1052" s="241">
        <v>2</v>
      </c>
      <c r="D1052" s="239" t="s">
        <v>2881</v>
      </c>
      <c r="E1052" s="239" t="s">
        <v>432</v>
      </c>
      <c r="F1052" s="239" t="s">
        <v>433</v>
      </c>
      <c r="G1052" s="239" t="s">
        <v>142</v>
      </c>
      <c r="H1052" s="239" t="s">
        <v>42</v>
      </c>
      <c r="I1052" s="239" t="s">
        <v>2882</v>
      </c>
      <c r="J1052" s="234">
        <v>43740</v>
      </c>
      <c r="K1052" s="234">
        <v>15820</v>
      </c>
      <c r="L1052" s="242">
        <v>13</v>
      </c>
      <c r="M1052" s="308">
        <v>27920</v>
      </c>
      <c r="N1052" s="234">
        <v>24290.400000000001</v>
      </c>
      <c r="O1052" s="234" t="s">
        <v>3014</v>
      </c>
      <c r="P1052" s="236">
        <v>45948</v>
      </c>
      <c r="Q1052" s="244">
        <v>0.34866898148148145</v>
      </c>
    </row>
    <row r="1053" spans="1:17" ht="38.25">
      <c r="A1053" s="239" t="s">
        <v>2969</v>
      </c>
      <c r="B1053" s="240">
        <v>2437</v>
      </c>
      <c r="C1053" s="241">
        <v>48</v>
      </c>
      <c r="D1053" s="239" t="s">
        <v>2881</v>
      </c>
      <c r="E1053" s="239" t="s">
        <v>388</v>
      </c>
      <c r="F1053" s="239" t="s">
        <v>389</v>
      </c>
      <c r="G1053" s="239" t="s">
        <v>144</v>
      </c>
      <c r="H1053" s="239" t="s">
        <v>42</v>
      </c>
      <c r="I1053" s="239" t="s">
        <v>2882</v>
      </c>
      <c r="J1053" s="234">
        <v>62760</v>
      </c>
      <c r="K1053" s="234">
        <v>21360</v>
      </c>
      <c r="L1053" s="242">
        <v>14</v>
      </c>
      <c r="M1053" s="308">
        <v>41400</v>
      </c>
      <c r="N1053" s="234">
        <v>35604</v>
      </c>
      <c r="O1053" s="234" t="s">
        <v>3015</v>
      </c>
      <c r="P1053" s="236">
        <v>45948</v>
      </c>
      <c r="Q1053" s="244">
        <v>0.42172453703703705</v>
      </c>
    </row>
    <row r="1054" spans="1:17" ht="38.25">
      <c r="A1054" s="239" t="s">
        <v>2970</v>
      </c>
      <c r="B1054" s="240">
        <v>2439</v>
      </c>
      <c r="C1054" s="241">
        <v>49</v>
      </c>
      <c r="D1054" s="239" t="s">
        <v>2881</v>
      </c>
      <c r="E1054" s="239" t="s">
        <v>456</v>
      </c>
      <c r="F1054" s="239" t="s">
        <v>457</v>
      </c>
      <c r="G1054" s="239" t="s">
        <v>144</v>
      </c>
      <c r="H1054" s="239" t="s">
        <v>42</v>
      </c>
      <c r="I1054" s="239" t="s">
        <v>2882</v>
      </c>
      <c r="J1054" s="234">
        <v>46500</v>
      </c>
      <c r="K1054" s="234">
        <v>15850</v>
      </c>
      <c r="L1054" s="242">
        <v>11</v>
      </c>
      <c r="M1054" s="308">
        <v>30650</v>
      </c>
      <c r="N1054" s="234">
        <v>27278.5</v>
      </c>
      <c r="O1054" s="234" t="s">
        <v>3016</v>
      </c>
      <c r="P1054" s="236">
        <v>45948</v>
      </c>
      <c r="Q1054" s="244">
        <v>0.49502314814814813</v>
      </c>
    </row>
    <row r="1055" spans="1:17" ht="38.25">
      <c r="A1055" s="239" t="s">
        <v>2971</v>
      </c>
      <c r="B1055" s="240">
        <v>2445</v>
      </c>
      <c r="C1055" s="241">
        <v>50</v>
      </c>
      <c r="D1055" s="239" t="s">
        <v>2881</v>
      </c>
      <c r="E1055" s="239" t="s">
        <v>447</v>
      </c>
      <c r="F1055" s="239" t="s">
        <v>448</v>
      </c>
      <c r="G1055" s="239" t="s">
        <v>144</v>
      </c>
      <c r="H1055" s="239" t="s">
        <v>42</v>
      </c>
      <c r="I1055" s="239" t="s">
        <v>2882</v>
      </c>
      <c r="J1055" s="234">
        <v>54440</v>
      </c>
      <c r="K1055" s="234">
        <v>19540</v>
      </c>
      <c r="L1055" s="242">
        <v>16</v>
      </c>
      <c r="M1055" s="308">
        <v>34900</v>
      </c>
      <c r="N1055" s="234">
        <v>29316</v>
      </c>
      <c r="O1055" s="234" t="s">
        <v>3017</v>
      </c>
      <c r="P1055" s="236">
        <v>45948</v>
      </c>
      <c r="Q1055" s="244">
        <v>0.58468750000000003</v>
      </c>
    </row>
    <row r="1056" spans="1:17" ht="38.25">
      <c r="A1056" s="239" t="s">
        <v>2972</v>
      </c>
      <c r="B1056" s="240">
        <v>2446</v>
      </c>
      <c r="C1056" s="241">
        <v>51</v>
      </c>
      <c r="D1056" s="239" t="s">
        <v>2881</v>
      </c>
      <c r="E1056" s="239" t="s">
        <v>453</v>
      </c>
      <c r="F1056" s="239" t="s">
        <v>454</v>
      </c>
      <c r="G1056" s="239" t="s">
        <v>144</v>
      </c>
      <c r="H1056" s="239" t="s">
        <v>42</v>
      </c>
      <c r="I1056" s="239" t="s">
        <v>2882</v>
      </c>
      <c r="J1056" s="234">
        <v>64490</v>
      </c>
      <c r="K1056" s="234">
        <v>24530</v>
      </c>
      <c r="L1056" s="242">
        <v>8</v>
      </c>
      <c r="M1056" s="308">
        <v>39960</v>
      </c>
      <c r="N1056" s="234">
        <v>36763.199999999997</v>
      </c>
      <c r="O1056" s="234" t="s">
        <v>3018</v>
      </c>
      <c r="P1056" s="236">
        <v>45948</v>
      </c>
      <c r="Q1056" s="244">
        <v>0.72026620370370376</v>
      </c>
    </row>
    <row r="1057" spans="1:17" ht="38.25">
      <c r="A1057" s="239" t="s">
        <v>2973</v>
      </c>
      <c r="B1057" s="240">
        <v>2448</v>
      </c>
      <c r="C1057" s="241">
        <v>53</v>
      </c>
      <c r="D1057" s="239" t="s">
        <v>2881</v>
      </c>
      <c r="E1057" s="239" t="s">
        <v>413</v>
      </c>
      <c r="F1057" s="239" t="s">
        <v>414</v>
      </c>
      <c r="G1057" s="239" t="s">
        <v>144</v>
      </c>
      <c r="H1057" s="239" t="s">
        <v>42</v>
      </c>
      <c r="I1057" s="239" t="s">
        <v>2882</v>
      </c>
      <c r="J1057" s="234">
        <v>43460</v>
      </c>
      <c r="K1057" s="234">
        <v>15070</v>
      </c>
      <c r="L1057" s="242">
        <v>13</v>
      </c>
      <c r="M1057" s="308">
        <v>28390</v>
      </c>
      <c r="N1057" s="234">
        <v>24699.3</v>
      </c>
      <c r="O1057" s="234" t="s">
        <v>3019</v>
      </c>
      <c r="P1057" s="236">
        <v>45948</v>
      </c>
      <c r="Q1057" s="244">
        <v>0.72921296296296301</v>
      </c>
    </row>
    <row r="1058" spans="1:17" ht="38.25">
      <c r="A1058" s="239" t="s">
        <v>2974</v>
      </c>
      <c r="B1058" s="240">
        <v>2449</v>
      </c>
      <c r="C1058" s="241">
        <v>52</v>
      </c>
      <c r="D1058" s="239" t="s">
        <v>2881</v>
      </c>
      <c r="E1058" s="239" t="s">
        <v>392</v>
      </c>
      <c r="F1058" s="239" t="s">
        <v>393</v>
      </c>
      <c r="G1058" s="239" t="s">
        <v>144</v>
      </c>
      <c r="H1058" s="239" t="s">
        <v>42</v>
      </c>
      <c r="I1058" s="239" t="s">
        <v>2882</v>
      </c>
      <c r="J1058" s="234">
        <v>60950</v>
      </c>
      <c r="K1058" s="234">
        <v>24240</v>
      </c>
      <c r="L1058" s="242">
        <v>50</v>
      </c>
      <c r="M1058" s="308">
        <v>36710</v>
      </c>
      <c r="N1058" s="234">
        <v>18355</v>
      </c>
      <c r="O1058" s="234" t="s">
        <v>3020</v>
      </c>
      <c r="P1058" s="236">
        <v>45948</v>
      </c>
      <c r="Q1058" s="244">
        <v>0.84384259259259264</v>
      </c>
    </row>
    <row r="1059" spans="1:17" ht="38.25">
      <c r="A1059" s="239" t="s">
        <v>2975</v>
      </c>
      <c r="B1059" s="240">
        <v>2450</v>
      </c>
      <c r="C1059" s="241">
        <v>54</v>
      </c>
      <c r="D1059" s="239" t="s">
        <v>2881</v>
      </c>
      <c r="E1059" s="239" t="s">
        <v>429</v>
      </c>
      <c r="F1059" s="239" t="s">
        <v>430</v>
      </c>
      <c r="G1059" s="239" t="s">
        <v>144</v>
      </c>
      <c r="H1059" s="239" t="s">
        <v>42</v>
      </c>
      <c r="I1059" s="239" t="s">
        <v>2882</v>
      </c>
      <c r="J1059" s="234">
        <v>41100</v>
      </c>
      <c r="K1059" s="234">
        <v>14440</v>
      </c>
      <c r="L1059" s="242">
        <v>10</v>
      </c>
      <c r="M1059" s="308">
        <v>26660</v>
      </c>
      <c r="N1059" s="234">
        <v>23994</v>
      </c>
      <c r="O1059" s="234" t="s">
        <v>3021</v>
      </c>
      <c r="P1059" s="236">
        <v>45948</v>
      </c>
      <c r="Q1059" s="244">
        <v>0.88429398148148153</v>
      </c>
    </row>
    <row r="1060" spans="1:17" ht="38.25">
      <c r="A1060" s="239" t="s">
        <v>2976</v>
      </c>
      <c r="B1060" s="240">
        <v>2451</v>
      </c>
      <c r="C1060" s="241">
        <v>55</v>
      </c>
      <c r="D1060" s="239" t="s">
        <v>2881</v>
      </c>
      <c r="E1060" s="239" t="s">
        <v>1410</v>
      </c>
      <c r="F1060" s="239" t="s">
        <v>437</v>
      </c>
      <c r="G1060" s="239" t="s">
        <v>144</v>
      </c>
      <c r="H1060" s="239" t="s">
        <v>42</v>
      </c>
      <c r="I1060" s="239" t="s">
        <v>2882</v>
      </c>
      <c r="J1060" s="234">
        <v>40580</v>
      </c>
      <c r="K1060" s="234">
        <v>15010</v>
      </c>
      <c r="L1060" s="242">
        <v>11</v>
      </c>
      <c r="M1060" s="308">
        <v>25570</v>
      </c>
      <c r="N1060" s="234">
        <v>22757.3</v>
      </c>
      <c r="O1060" s="234" t="s">
        <v>3022</v>
      </c>
      <c r="P1060" s="236">
        <v>45948</v>
      </c>
      <c r="Q1060" s="244">
        <v>0.98107638888888893</v>
      </c>
    </row>
    <row r="1061" spans="1:17" ht="38.25">
      <c r="A1061" s="239" t="s">
        <v>2977</v>
      </c>
      <c r="B1061" s="240">
        <v>2453</v>
      </c>
      <c r="C1061" s="241">
        <v>56</v>
      </c>
      <c r="D1061" s="239" t="s">
        <v>2881</v>
      </c>
      <c r="E1061" s="239" t="s">
        <v>439</v>
      </c>
      <c r="F1061" s="239" t="s">
        <v>440</v>
      </c>
      <c r="G1061" s="239" t="s">
        <v>144</v>
      </c>
      <c r="H1061" s="239" t="s">
        <v>42</v>
      </c>
      <c r="I1061" s="239" t="s">
        <v>2882</v>
      </c>
      <c r="J1061" s="234">
        <v>41980</v>
      </c>
      <c r="K1061" s="234">
        <v>15250</v>
      </c>
      <c r="L1061" s="242">
        <v>39</v>
      </c>
      <c r="M1061" s="308">
        <v>26730</v>
      </c>
      <c r="N1061" s="234">
        <v>16305.3</v>
      </c>
      <c r="O1061" s="234" t="s">
        <v>3023</v>
      </c>
      <c r="P1061" s="236">
        <v>45948</v>
      </c>
      <c r="Q1061" s="244">
        <v>0.98533564814814811</v>
      </c>
    </row>
    <row r="1062" spans="1:17" ht="38.25">
      <c r="A1062" s="239" t="s">
        <v>2978</v>
      </c>
      <c r="B1062" s="240">
        <v>2454</v>
      </c>
      <c r="C1062" s="241">
        <v>57</v>
      </c>
      <c r="D1062" s="239" t="s">
        <v>2881</v>
      </c>
      <c r="E1062" s="239" t="s">
        <v>1305</v>
      </c>
      <c r="F1062" s="239" t="s">
        <v>1306</v>
      </c>
      <c r="G1062" s="239" t="s">
        <v>144</v>
      </c>
      <c r="H1062" s="239" t="s">
        <v>42</v>
      </c>
      <c r="I1062" s="239" t="s">
        <v>2882</v>
      </c>
      <c r="J1062" s="234">
        <v>36080</v>
      </c>
      <c r="K1062" s="234">
        <v>14880</v>
      </c>
      <c r="L1062" s="242">
        <v>24</v>
      </c>
      <c r="M1062" s="308">
        <v>21200</v>
      </c>
      <c r="N1062" s="234">
        <v>16112</v>
      </c>
      <c r="O1062" s="234" t="s">
        <v>3024</v>
      </c>
      <c r="P1062" s="236">
        <v>45948</v>
      </c>
      <c r="Q1062" s="244">
        <v>0.69712962962962965</v>
      </c>
    </row>
    <row r="1063" spans="1:17" ht="38.25">
      <c r="A1063" s="239" t="s">
        <v>2979</v>
      </c>
      <c r="B1063" s="240">
        <v>2455</v>
      </c>
      <c r="C1063" s="241">
        <v>59</v>
      </c>
      <c r="D1063" s="239" t="s">
        <v>2881</v>
      </c>
      <c r="E1063" s="239" t="s">
        <v>406</v>
      </c>
      <c r="F1063" s="239" t="s">
        <v>407</v>
      </c>
      <c r="G1063" s="239" t="s">
        <v>144</v>
      </c>
      <c r="H1063" s="239" t="s">
        <v>42</v>
      </c>
      <c r="I1063" s="239" t="s">
        <v>2882</v>
      </c>
      <c r="J1063" s="234">
        <v>40240</v>
      </c>
      <c r="K1063" s="234">
        <v>15140</v>
      </c>
      <c r="L1063" s="242">
        <v>27</v>
      </c>
      <c r="M1063" s="308">
        <v>25100</v>
      </c>
      <c r="N1063" s="234">
        <v>18323</v>
      </c>
      <c r="O1063" s="234" t="s">
        <v>3025</v>
      </c>
      <c r="P1063" s="236">
        <v>45948</v>
      </c>
      <c r="Q1063" s="244">
        <v>0.77342592592592596</v>
      </c>
    </row>
    <row r="1064" spans="1:17" ht="38.25">
      <c r="A1064" s="239" t="s">
        <v>2980</v>
      </c>
      <c r="B1064" s="240">
        <v>2456</v>
      </c>
      <c r="C1064" s="241">
        <v>58</v>
      </c>
      <c r="D1064" s="239" t="s">
        <v>2881</v>
      </c>
      <c r="E1064" s="239" t="s">
        <v>403</v>
      </c>
      <c r="F1064" s="239" t="s">
        <v>404</v>
      </c>
      <c r="G1064" s="239" t="s">
        <v>144</v>
      </c>
      <c r="H1064" s="239" t="s">
        <v>42</v>
      </c>
      <c r="I1064" s="239" t="s">
        <v>2882</v>
      </c>
      <c r="J1064" s="234">
        <v>39560</v>
      </c>
      <c r="K1064" s="234">
        <v>14640</v>
      </c>
      <c r="L1064" s="242">
        <v>17</v>
      </c>
      <c r="M1064" s="308">
        <v>24920</v>
      </c>
      <c r="N1064" s="234">
        <v>20683.599999999999</v>
      </c>
      <c r="O1064" s="234" t="s">
        <v>3026</v>
      </c>
      <c r="P1064" s="236">
        <v>45948</v>
      </c>
      <c r="Q1064" s="244">
        <v>0.80018518518518522</v>
      </c>
    </row>
    <row r="1065" spans="1:17" ht="38.25">
      <c r="A1065" s="239" t="s">
        <v>2981</v>
      </c>
      <c r="B1065" s="240">
        <v>2457</v>
      </c>
      <c r="C1065" s="241">
        <v>60</v>
      </c>
      <c r="D1065" s="239" t="s">
        <v>2881</v>
      </c>
      <c r="E1065" s="239" t="s">
        <v>380</v>
      </c>
      <c r="F1065" s="239" t="s">
        <v>381</v>
      </c>
      <c r="G1065" s="239" t="s">
        <v>144</v>
      </c>
      <c r="H1065" s="239" t="s">
        <v>42</v>
      </c>
      <c r="I1065" s="239" t="s">
        <v>2882</v>
      </c>
      <c r="J1065" s="234">
        <v>40410</v>
      </c>
      <c r="K1065" s="234">
        <v>15220</v>
      </c>
      <c r="L1065" s="242">
        <v>4</v>
      </c>
      <c r="M1065" s="308">
        <v>25190</v>
      </c>
      <c r="N1065" s="234">
        <v>24182.400000000001</v>
      </c>
      <c r="O1065" s="234" t="s">
        <v>3027</v>
      </c>
      <c r="P1065" s="236">
        <v>45948</v>
      </c>
      <c r="Q1065" s="244">
        <v>0.81745370370370374</v>
      </c>
    </row>
    <row r="1066" spans="1:17" ht="38.25">
      <c r="A1066" s="239" t="s">
        <v>2982</v>
      </c>
      <c r="B1066" s="240">
        <v>2458</v>
      </c>
      <c r="C1066" s="241">
        <v>1</v>
      </c>
      <c r="D1066" s="239" t="s">
        <v>2482</v>
      </c>
      <c r="E1066" s="239" t="s">
        <v>384</v>
      </c>
      <c r="F1066" s="239" t="s">
        <v>385</v>
      </c>
      <c r="G1066" s="239" t="s">
        <v>962</v>
      </c>
      <c r="H1066" s="239" t="s">
        <v>51</v>
      </c>
      <c r="I1066" s="239" t="s">
        <v>2465</v>
      </c>
      <c r="J1066" s="234">
        <v>36250</v>
      </c>
      <c r="K1066" s="234">
        <v>14020</v>
      </c>
      <c r="L1066" s="242">
        <v>34</v>
      </c>
      <c r="M1066" s="308">
        <v>22230</v>
      </c>
      <c r="N1066" s="234">
        <v>14671.8</v>
      </c>
      <c r="O1066" s="234" t="s">
        <v>3028</v>
      </c>
      <c r="P1066" s="236">
        <v>45948</v>
      </c>
      <c r="Q1066" s="244">
        <v>0.82346064814814812</v>
      </c>
    </row>
    <row r="1067" spans="1:17" ht="38.25">
      <c r="A1067" s="239" t="s">
        <v>2983</v>
      </c>
      <c r="B1067" s="240">
        <v>2460</v>
      </c>
      <c r="C1067" s="241">
        <v>61</v>
      </c>
      <c r="D1067" s="239" t="s">
        <v>2881</v>
      </c>
      <c r="E1067" s="239" t="s">
        <v>377</v>
      </c>
      <c r="F1067" s="239" t="s">
        <v>378</v>
      </c>
      <c r="G1067" s="239" t="s">
        <v>144</v>
      </c>
      <c r="H1067" s="239" t="s">
        <v>42</v>
      </c>
      <c r="I1067" s="239" t="s">
        <v>2882</v>
      </c>
      <c r="J1067" s="234">
        <v>42550</v>
      </c>
      <c r="K1067" s="234">
        <v>15310</v>
      </c>
      <c r="L1067" s="242">
        <v>10</v>
      </c>
      <c r="M1067" s="308">
        <v>27240</v>
      </c>
      <c r="N1067" s="234">
        <v>24516</v>
      </c>
      <c r="O1067" s="234" t="s">
        <v>3029</v>
      </c>
      <c r="P1067" s="236">
        <v>45948</v>
      </c>
      <c r="Q1067" s="244">
        <v>0.89388888888888884</v>
      </c>
    </row>
    <row r="1068" spans="1:17" ht="38.25">
      <c r="A1068" s="239" t="s">
        <v>2984</v>
      </c>
      <c r="B1068" s="240">
        <v>2461</v>
      </c>
      <c r="C1068" s="241">
        <v>62</v>
      </c>
      <c r="D1068" s="239" t="s">
        <v>2881</v>
      </c>
      <c r="E1068" s="239" t="s">
        <v>372</v>
      </c>
      <c r="F1068" s="239" t="s">
        <v>373</v>
      </c>
      <c r="G1068" s="239" t="s">
        <v>144</v>
      </c>
      <c r="H1068" s="239" t="s">
        <v>42</v>
      </c>
      <c r="I1068" s="239" t="s">
        <v>2882</v>
      </c>
      <c r="J1068" s="234">
        <v>37430</v>
      </c>
      <c r="K1068" s="234">
        <v>15010</v>
      </c>
      <c r="L1068" s="242">
        <v>17</v>
      </c>
      <c r="M1068" s="308">
        <v>22420</v>
      </c>
      <c r="N1068" s="234">
        <v>18608.599999999999</v>
      </c>
      <c r="O1068" s="234" t="s">
        <v>3030</v>
      </c>
      <c r="P1068" s="236">
        <v>45948</v>
      </c>
      <c r="Q1068" s="244">
        <v>0.90969907407407402</v>
      </c>
    </row>
    <row r="1069" spans="1:17" ht="38.25">
      <c r="A1069" s="239" t="s">
        <v>2985</v>
      </c>
      <c r="B1069" s="240">
        <v>2463</v>
      </c>
      <c r="C1069" s="241">
        <v>2</v>
      </c>
      <c r="D1069" s="239" t="s">
        <v>2482</v>
      </c>
      <c r="E1069" s="239" t="s">
        <v>425</v>
      </c>
      <c r="F1069" s="239" t="s">
        <v>426</v>
      </c>
      <c r="G1069" s="239" t="s">
        <v>962</v>
      </c>
      <c r="H1069" s="239" t="s">
        <v>51</v>
      </c>
      <c r="I1069" s="239" t="s">
        <v>2465</v>
      </c>
      <c r="J1069" s="234">
        <v>51770</v>
      </c>
      <c r="K1069" s="234">
        <v>18860</v>
      </c>
      <c r="L1069" s="242">
        <v>25</v>
      </c>
      <c r="M1069" s="308">
        <v>32910</v>
      </c>
      <c r="N1069" s="234">
        <v>24682.5</v>
      </c>
      <c r="O1069" s="234" t="s">
        <v>3031</v>
      </c>
      <c r="P1069" s="236">
        <v>45948</v>
      </c>
      <c r="Q1069" s="244">
        <v>0.97157407407407403</v>
      </c>
    </row>
    <row r="1070" spans="1:17" ht="38.25">
      <c r="A1070" s="239" t="s">
        <v>2986</v>
      </c>
      <c r="B1070" s="240">
        <v>2464</v>
      </c>
      <c r="C1070" s="241">
        <v>63</v>
      </c>
      <c r="D1070" s="239" t="s">
        <v>2881</v>
      </c>
      <c r="E1070" s="239" t="s">
        <v>780</v>
      </c>
      <c r="F1070" s="239" t="s">
        <v>781</v>
      </c>
      <c r="G1070" s="239" t="s">
        <v>144</v>
      </c>
      <c r="H1070" s="239" t="s">
        <v>42</v>
      </c>
      <c r="I1070" s="239" t="s">
        <v>2882</v>
      </c>
      <c r="J1070" s="234">
        <v>36350</v>
      </c>
      <c r="K1070" s="234">
        <v>14960</v>
      </c>
      <c r="L1070" s="242">
        <v>7</v>
      </c>
      <c r="M1070" s="308">
        <v>21390</v>
      </c>
      <c r="N1070" s="234">
        <v>19892.7</v>
      </c>
      <c r="O1070" s="234" t="s">
        <v>3032</v>
      </c>
      <c r="P1070" s="236">
        <v>45948</v>
      </c>
      <c r="Q1070" s="244">
        <v>0.99834490740740744</v>
      </c>
    </row>
    <row r="1071" spans="1:17" ht="38.25">
      <c r="A1071" s="239" t="s">
        <v>2987</v>
      </c>
      <c r="B1071" s="240">
        <v>2465</v>
      </c>
      <c r="C1071" s="241">
        <v>64</v>
      </c>
      <c r="D1071" s="239" t="s">
        <v>2881</v>
      </c>
      <c r="E1071" s="239" t="s">
        <v>442</v>
      </c>
      <c r="F1071" s="239" t="s">
        <v>443</v>
      </c>
      <c r="G1071" s="239" t="s">
        <v>144</v>
      </c>
      <c r="H1071" s="239" t="s">
        <v>42</v>
      </c>
      <c r="I1071" s="239" t="s">
        <v>2882</v>
      </c>
      <c r="J1071" s="234">
        <v>35300</v>
      </c>
      <c r="K1071" s="234">
        <v>14520</v>
      </c>
      <c r="L1071" s="242">
        <v>39</v>
      </c>
      <c r="M1071" s="308">
        <v>20780</v>
      </c>
      <c r="N1071" s="234">
        <v>12675.8</v>
      </c>
      <c r="O1071" s="234" t="s">
        <v>3033</v>
      </c>
      <c r="P1071" s="236">
        <v>45949</v>
      </c>
      <c r="Q1071" s="244">
        <v>0.45310185185185187</v>
      </c>
    </row>
    <row r="1072" spans="1:17" ht="38.25">
      <c r="A1072" s="239" t="s">
        <v>2988</v>
      </c>
      <c r="B1072" s="240">
        <v>2466</v>
      </c>
      <c r="C1072" s="241">
        <v>70</v>
      </c>
      <c r="D1072" s="239" t="s">
        <v>2881</v>
      </c>
      <c r="E1072" s="239" t="s">
        <v>374</v>
      </c>
      <c r="F1072" s="239" t="s">
        <v>375</v>
      </c>
      <c r="G1072" s="239" t="s">
        <v>144</v>
      </c>
      <c r="H1072" s="239" t="s">
        <v>42</v>
      </c>
      <c r="I1072" s="239" t="s">
        <v>2882</v>
      </c>
      <c r="J1072" s="234">
        <v>39400</v>
      </c>
      <c r="K1072" s="234">
        <v>15610</v>
      </c>
      <c r="L1072" s="242">
        <v>7</v>
      </c>
      <c r="M1072" s="308">
        <v>23790</v>
      </c>
      <c r="N1072" s="234">
        <v>22124.7</v>
      </c>
      <c r="O1072" s="234" t="s">
        <v>3034</v>
      </c>
      <c r="P1072" s="236">
        <v>45949</v>
      </c>
      <c r="Q1072" s="244">
        <v>0.45891203703703703</v>
      </c>
    </row>
    <row r="1073" spans="1:17" ht="38.25">
      <c r="A1073" s="239" t="s">
        <v>2989</v>
      </c>
      <c r="B1073" s="240">
        <v>2467</v>
      </c>
      <c r="C1073" s="241">
        <v>3</v>
      </c>
      <c r="D1073" s="239" t="s">
        <v>2482</v>
      </c>
      <c r="E1073" s="239" t="s">
        <v>2793</v>
      </c>
      <c r="F1073" s="239" t="s">
        <v>2794</v>
      </c>
      <c r="G1073" s="239" t="s">
        <v>962</v>
      </c>
      <c r="H1073" s="239" t="s">
        <v>51</v>
      </c>
      <c r="I1073" s="239" t="s">
        <v>2465</v>
      </c>
      <c r="J1073" s="234">
        <v>26720</v>
      </c>
      <c r="K1073" s="234">
        <v>17640</v>
      </c>
      <c r="L1073" s="242">
        <v>5</v>
      </c>
      <c r="M1073" s="308">
        <v>9080</v>
      </c>
      <c r="N1073" s="234">
        <v>8626</v>
      </c>
      <c r="O1073" s="234" t="s">
        <v>3035</v>
      </c>
      <c r="P1073" s="236">
        <v>45949</v>
      </c>
      <c r="Q1073" s="244">
        <v>0.57828703703703699</v>
      </c>
    </row>
    <row r="1074" spans="1:17" ht="38.25">
      <c r="A1074" s="239" t="s">
        <v>2990</v>
      </c>
      <c r="B1074" s="240">
        <v>2468</v>
      </c>
      <c r="C1074" s="241">
        <v>66</v>
      </c>
      <c r="D1074" s="239" t="s">
        <v>2881</v>
      </c>
      <c r="E1074" s="239" t="s">
        <v>400</v>
      </c>
      <c r="F1074" s="239" t="s">
        <v>401</v>
      </c>
      <c r="G1074" s="239" t="s">
        <v>144</v>
      </c>
      <c r="H1074" s="239" t="s">
        <v>42</v>
      </c>
      <c r="I1074" s="239" t="s">
        <v>2882</v>
      </c>
      <c r="J1074" s="234">
        <v>40080</v>
      </c>
      <c r="K1074" s="234">
        <v>14840</v>
      </c>
      <c r="L1074" s="242">
        <v>6</v>
      </c>
      <c r="M1074" s="308">
        <v>25240</v>
      </c>
      <c r="N1074" s="234">
        <v>23725.599999999999</v>
      </c>
      <c r="O1074" s="234" t="s">
        <v>3036</v>
      </c>
      <c r="P1074" s="236">
        <v>45949</v>
      </c>
      <c r="Q1074" s="244">
        <v>0.47119212962962964</v>
      </c>
    </row>
    <row r="1075" spans="1:17" ht="38.25">
      <c r="A1075" s="239" t="s">
        <v>2991</v>
      </c>
      <c r="B1075" s="240">
        <v>2469</v>
      </c>
      <c r="C1075" s="241">
        <v>65</v>
      </c>
      <c r="D1075" s="239" t="s">
        <v>2881</v>
      </c>
      <c r="E1075" s="239" t="s">
        <v>432</v>
      </c>
      <c r="F1075" s="239" t="s">
        <v>433</v>
      </c>
      <c r="G1075" s="239" t="s">
        <v>144</v>
      </c>
      <c r="H1075" s="239" t="s">
        <v>51</v>
      </c>
      <c r="I1075" s="239" t="s">
        <v>2882</v>
      </c>
      <c r="J1075" s="234">
        <v>44210</v>
      </c>
      <c r="K1075" s="234">
        <v>15900</v>
      </c>
      <c r="L1075" s="242">
        <v>6</v>
      </c>
      <c r="M1075" s="308">
        <v>28310</v>
      </c>
      <c r="N1075" s="234">
        <v>26611.4</v>
      </c>
      <c r="O1075" s="234" t="s">
        <v>3037</v>
      </c>
      <c r="P1075" s="236">
        <v>45949</v>
      </c>
      <c r="Q1075" s="244">
        <v>0.14712962962962964</v>
      </c>
    </row>
    <row r="1076" spans="1:17" ht="38.25">
      <c r="A1076" s="239" t="s">
        <v>2992</v>
      </c>
      <c r="B1076" s="240">
        <v>2470</v>
      </c>
      <c r="C1076" s="241">
        <v>67</v>
      </c>
      <c r="D1076" s="239" t="s">
        <v>2881</v>
      </c>
      <c r="E1076" s="239" t="s">
        <v>382</v>
      </c>
      <c r="F1076" s="239" t="s">
        <v>383</v>
      </c>
      <c r="G1076" s="239" t="s">
        <v>144</v>
      </c>
      <c r="H1076" s="239" t="s">
        <v>51</v>
      </c>
      <c r="I1076" s="239" t="s">
        <v>2882</v>
      </c>
      <c r="J1076" s="234">
        <v>35440</v>
      </c>
      <c r="K1076" s="234">
        <v>14760</v>
      </c>
      <c r="L1076" s="242">
        <v>10</v>
      </c>
      <c r="M1076" s="308">
        <v>20680</v>
      </c>
      <c r="N1076" s="234">
        <v>18612</v>
      </c>
      <c r="O1076" s="234" t="s">
        <v>3038</v>
      </c>
      <c r="P1076" s="236">
        <v>45949</v>
      </c>
      <c r="Q1076" s="244">
        <v>0.6622569444444445</v>
      </c>
    </row>
    <row r="1077" spans="1:17" ht="38.25">
      <c r="A1077" s="239" t="s">
        <v>2993</v>
      </c>
      <c r="B1077" s="240">
        <v>2471</v>
      </c>
      <c r="C1077" s="241">
        <v>69</v>
      </c>
      <c r="D1077" s="239" t="s">
        <v>2881</v>
      </c>
      <c r="E1077" s="239" t="s">
        <v>416</v>
      </c>
      <c r="F1077" s="239" t="s">
        <v>417</v>
      </c>
      <c r="G1077" s="239" t="s">
        <v>144</v>
      </c>
      <c r="H1077" s="239" t="s">
        <v>51</v>
      </c>
      <c r="I1077" s="239" t="s">
        <v>2882</v>
      </c>
      <c r="J1077" s="234">
        <v>39110</v>
      </c>
      <c r="K1077" s="234">
        <v>14800</v>
      </c>
      <c r="L1077" s="242">
        <v>9</v>
      </c>
      <c r="M1077" s="308">
        <v>24310</v>
      </c>
      <c r="N1077" s="234">
        <v>22122.1</v>
      </c>
      <c r="O1077" s="234" t="s">
        <v>3039</v>
      </c>
      <c r="P1077" s="236">
        <v>45949</v>
      </c>
      <c r="Q1077" s="244">
        <v>0.1917824074074074</v>
      </c>
    </row>
    <row r="1078" spans="1:17" ht="38.25">
      <c r="A1078" s="239" t="s">
        <v>2994</v>
      </c>
      <c r="B1078" s="240">
        <v>2472</v>
      </c>
      <c r="C1078" s="241">
        <v>68</v>
      </c>
      <c r="D1078" s="239" t="s">
        <v>2881</v>
      </c>
      <c r="E1078" s="239" t="s">
        <v>420</v>
      </c>
      <c r="F1078" s="239" t="s">
        <v>421</v>
      </c>
      <c r="G1078" s="239" t="s">
        <v>144</v>
      </c>
      <c r="H1078" s="239" t="s">
        <v>51</v>
      </c>
      <c r="I1078" s="239" t="s">
        <v>2882</v>
      </c>
      <c r="J1078" s="234">
        <v>37550</v>
      </c>
      <c r="K1078" s="234">
        <v>14980</v>
      </c>
      <c r="L1078" s="242">
        <v>11</v>
      </c>
      <c r="M1078" s="308">
        <v>22570</v>
      </c>
      <c r="N1078" s="234">
        <v>20087.3</v>
      </c>
      <c r="O1078" s="234" t="s">
        <v>3040</v>
      </c>
      <c r="P1078" s="236">
        <v>45949</v>
      </c>
      <c r="Q1078" s="244">
        <v>0.71518518518518515</v>
      </c>
    </row>
    <row r="1079" spans="1:17" ht="38.25">
      <c r="A1079" s="239" t="s">
        <v>2995</v>
      </c>
      <c r="B1079" s="240">
        <v>2480</v>
      </c>
      <c r="C1079" s="241">
        <v>1</v>
      </c>
      <c r="D1079" s="239" t="s">
        <v>2482</v>
      </c>
      <c r="E1079" s="239" t="s">
        <v>456</v>
      </c>
      <c r="F1079" s="239" t="s">
        <v>457</v>
      </c>
      <c r="G1079" s="239" t="s">
        <v>962</v>
      </c>
      <c r="H1079" s="239" t="s">
        <v>51</v>
      </c>
      <c r="I1079" s="239" t="s">
        <v>2465</v>
      </c>
      <c r="J1079" s="234">
        <v>47940</v>
      </c>
      <c r="K1079" s="234">
        <v>15740</v>
      </c>
      <c r="L1079" s="242">
        <v>22</v>
      </c>
      <c r="M1079" s="308">
        <v>32200</v>
      </c>
      <c r="N1079" s="234">
        <v>25116</v>
      </c>
      <c r="O1079" s="234" t="s">
        <v>3041</v>
      </c>
      <c r="P1079" s="236">
        <v>45949</v>
      </c>
      <c r="Q1079" s="244">
        <v>0.8106944444444445</v>
      </c>
    </row>
    <row r="1080" spans="1:17" ht="38.25">
      <c r="A1080" s="239" t="s">
        <v>2996</v>
      </c>
      <c r="B1080" s="240">
        <v>2481</v>
      </c>
      <c r="C1080" s="241">
        <v>2</v>
      </c>
      <c r="D1080" s="239" t="s">
        <v>2482</v>
      </c>
      <c r="E1080" s="239" t="s">
        <v>866</v>
      </c>
      <c r="F1080" s="239" t="s">
        <v>867</v>
      </c>
      <c r="G1080" s="239" t="s">
        <v>962</v>
      </c>
      <c r="H1080" s="239" t="s">
        <v>51</v>
      </c>
      <c r="I1080" s="239" t="s">
        <v>2465</v>
      </c>
      <c r="J1080" s="234">
        <v>38970</v>
      </c>
      <c r="K1080" s="234">
        <v>14620</v>
      </c>
      <c r="L1080" s="242">
        <v>26</v>
      </c>
      <c r="M1080" s="308">
        <v>24350</v>
      </c>
      <c r="N1080" s="234">
        <v>18019</v>
      </c>
      <c r="O1080" s="234" t="s">
        <v>3042</v>
      </c>
      <c r="P1080" s="236">
        <v>45949</v>
      </c>
      <c r="Q1080" s="244">
        <v>0.86512731481481486</v>
      </c>
    </row>
    <row r="1081" spans="1:17" ht="38.25">
      <c r="A1081" s="239" t="s">
        <v>2997</v>
      </c>
      <c r="B1081" s="240">
        <v>2483</v>
      </c>
      <c r="C1081" s="241">
        <v>3</v>
      </c>
      <c r="D1081" s="239" t="s">
        <v>2482</v>
      </c>
      <c r="E1081" s="239" t="s">
        <v>369</v>
      </c>
      <c r="F1081" s="239" t="s">
        <v>370</v>
      </c>
      <c r="G1081" s="239" t="s">
        <v>962</v>
      </c>
      <c r="H1081" s="239" t="s">
        <v>51</v>
      </c>
      <c r="I1081" s="239" t="s">
        <v>2465</v>
      </c>
      <c r="J1081" s="234">
        <v>39260</v>
      </c>
      <c r="K1081" s="234">
        <v>15280</v>
      </c>
      <c r="L1081" s="242">
        <v>37</v>
      </c>
      <c r="M1081" s="308">
        <v>23980</v>
      </c>
      <c r="N1081" s="234">
        <v>15107.4</v>
      </c>
      <c r="O1081" s="234" t="s">
        <v>3043</v>
      </c>
      <c r="P1081" s="236">
        <v>45949</v>
      </c>
      <c r="Q1081" s="244">
        <v>0.86671296296296296</v>
      </c>
    </row>
    <row r="1082" spans="1:17" ht="38.25">
      <c r="A1082" s="239" t="s">
        <v>3045</v>
      </c>
      <c r="B1082" s="240">
        <v>2488</v>
      </c>
      <c r="C1082" s="241">
        <v>5</v>
      </c>
      <c r="D1082" s="239" t="s">
        <v>2482</v>
      </c>
      <c r="E1082" s="239" t="s">
        <v>453</v>
      </c>
      <c r="F1082" s="239" t="s">
        <v>454</v>
      </c>
      <c r="G1082" s="239" t="s">
        <v>962</v>
      </c>
      <c r="H1082" s="239" t="s">
        <v>51</v>
      </c>
      <c r="I1082" s="239" t="s">
        <v>2465</v>
      </c>
      <c r="J1082" s="234">
        <v>55660</v>
      </c>
      <c r="K1082" s="234">
        <v>24700</v>
      </c>
      <c r="L1082" s="242">
        <v>7</v>
      </c>
      <c r="M1082" s="308">
        <v>30960</v>
      </c>
      <c r="N1082" s="234">
        <v>28792.799999999999</v>
      </c>
      <c r="O1082" s="234" t="s">
        <v>3059</v>
      </c>
      <c r="P1082" s="236">
        <v>45950</v>
      </c>
      <c r="Q1082" s="244">
        <v>0.73434027777777777</v>
      </c>
    </row>
    <row r="1083" spans="1:17" ht="38.25">
      <c r="A1083" s="239" t="s">
        <v>3046</v>
      </c>
      <c r="B1083" s="240">
        <v>2489</v>
      </c>
      <c r="C1083" s="241">
        <v>72</v>
      </c>
      <c r="D1083" s="239" t="s">
        <v>2881</v>
      </c>
      <c r="E1083" s="239" t="s">
        <v>429</v>
      </c>
      <c r="F1083" s="239" t="s">
        <v>430</v>
      </c>
      <c r="G1083" s="239" t="s">
        <v>949</v>
      </c>
      <c r="H1083" s="239" t="s">
        <v>51</v>
      </c>
      <c r="I1083" s="239" t="s">
        <v>2882</v>
      </c>
      <c r="J1083" s="234">
        <v>39880</v>
      </c>
      <c r="K1083" s="234">
        <v>14610</v>
      </c>
      <c r="L1083" s="242">
        <v>10</v>
      </c>
      <c r="M1083" s="308">
        <v>25270</v>
      </c>
      <c r="N1083" s="234">
        <v>22743</v>
      </c>
      <c r="O1083" s="234" t="s">
        <v>3060</v>
      </c>
      <c r="P1083" s="236">
        <v>45950</v>
      </c>
      <c r="Q1083" s="244">
        <v>0.73581018518518515</v>
      </c>
    </row>
    <row r="1084" spans="1:17" ht="38.25">
      <c r="A1084" s="239" t="s">
        <v>3047</v>
      </c>
      <c r="B1084" s="240">
        <v>2486</v>
      </c>
      <c r="C1084" s="241">
        <v>4</v>
      </c>
      <c r="D1084" s="239" t="s">
        <v>2482</v>
      </c>
      <c r="E1084" s="239" t="s">
        <v>858</v>
      </c>
      <c r="F1084" s="239" t="s">
        <v>859</v>
      </c>
      <c r="G1084" s="239" t="s">
        <v>962</v>
      </c>
      <c r="H1084" s="239" t="s">
        <v>51</v>
      </c>
      <c r="I1084" s="239" t="s">
        <v>2465</v>
      </c>
      <c r="J1084" s="234">
        <v>42460</v>
      </c>
      <c r="K1084" s="234">
        <v>15530</v>
      </c>
      <c r="L1084" s="242">
        <v>16</v>
      </c>
      <c r="M1084" s="308">
        <v>26930</v>
      </c>
      <c r="N1084" s="234">
        <v>22621.200000000001</v>
      </c>
      <c r="O1084" s="234" t="s">
        <v>3061</v>
      </c>
      <c r="P1084" s="236">
        <v>45950</v>
      </c>
      <c r="Q1084" s="244">
        <v>0.78447916666666662</v>
      </c>
    </row>
    <row r="1085" spans="1:17" ht="38.25">
      <c r="A1085" s="239" t="s">
        <v>3048</v>
      </c>
      <c r="B1085" s="240">
        <v>2487</v>
      </c>
      <c r="C1085" s="241">
        <v>71</v>
      </c>
      <c r="D1085" s="239" t="s">
        <v>2881</v>
      </c>
      <c r="E1085" s="239" t="s">
        <v>447</v>
      </c>
      <c r="F1085" s="239" t="s">
        <v>448</v>
      </c>
      <c r="G1085" s="239" t="s">
        <v>962</v>
      </c>
      <c r="H1085" s="239" t="s">
        <v>51</v>
      </c>
      <c r="I1085" s="239" t="s">
        <v>2882</v>
      </c>
      <c r="J1085" s="234">
        <v>39270</v>
      </c>
      <c r="K1085" s="234">
        <v>16020</v>
      </c>
      <c r="L1085" s="242">
        <v>7</v>
      </c>
      <c r="M1085" s="308">
        <v>23250</v>
      </c>
      <c r="N1085" s="234">
        <v>21622.5</v>
      </c>
      <c r="O1085" s="234" t="s">
        <v>3062</v>
      </c>
      <c r="P1085" s="236">
        <v>45950</v>
      </c>
      <c r="Q1085" s="244">
        <v>0.80239583333333331</v>
      </c>
    </row>
    <row r="1086" spans="1:17" ht="38.25">
      <c r="A1086" s="239" t="s">
        <v>3049</v>
      </c>
      <c r="B1086" s="240">
        <v>2490</v>
      </c>
      <c r="C1086" s="241">
        <v>75</v>
      </c>
      <c r="D1086" s="239" t="s">
        <v>2881</v>
      </c>
      <c r="E1086" s="239" t="s">
        <v>1410</v>
      </c>
      <c r="F1086" s="239" t="s">
        <v>437</v>
      </c>
      <c r="G1086" s="239" t="s">
        <v>949</v>
      </c>
      <c r="H1086" s="239" t="s">
        <v>51</v>
      </c>
      <c r="I1086" s="239" t="s">
        <v>2882</v>
      </c>
      <c r="J1086" s="234">
        <v>40450</v>
      </c>
      <c r="K1086" s="234">
        <v>15170</v>
      </c>
      <c r="L1086" s="242">
        <v>8</v>
      </c>
      <c r="M1086" s="308">
        <v>25280</v>
      </c>
      <c r="N1086" s="234">
        <v>23257.599999999999</v>
      </c>
      <c r="O1086" s="234" t="s">
        <v>3063</v>
      </c>
      <c r="P1086" s="236">
        <v>45950</v>
      </c>
      <c r="Q1086" s="244">
        <v>0.82315972222222222</v>
      </c>
    </row>
    <row r="1087" spans="1:17" ht="38.25">
      <c r="A1087" s="239" t="s">
        <v>3050</v>
      </c>
      <c r="B1087" s="240">
        <v>2491</v>
      </c>
      <c r="C1087" s="241">
        <v>76</v>
      </c>
      <c r="D1087" s="239" t="s">
        <v>2881</v>
      </c>
      <c r="E1087" s="239" t="s">
        <v>439</v>
      </c>
      <c r="F1087" s="239" t="s">
        <v>440</v>
      </c>
      <c r="G1087" s="239" t="s">
        <v>949</v>
      </c>
      <c r="H1087" s="239" t="s">
        <v>51</v>
      </c>
      <c r="I1087" s="239" t="s">
        <v>2882</v>
      </c>
      <c r="J1087" s="234">
        <v>43540</v>
      </c>
      <c r="K1087" s="234">
        <v>15370</v>
      </c>
      <c r="L1087" s="242">
        <v>15</v>
      </c>
      <c r="M1087" s="308">
        <v>28170</v>
      </c>
      <c r="N1087" s="234">
        <v>23944.5</v>
      </c>
      <c r="O1087" s="234" t="s">
        <v>3064</v>
      </c>
      <c r="P1087" s="236">
        <v>45950</v>
      </c>
      <c r="Q1087" s="244">
        <v>0.82811342592592596</v>
      </c>
    </row>
    <row r="1088" spans="1:17" ht="38.25">
      <c r="A1088" s="239" t="s">
        <v>3051</v>
      </c>
      <c r="B1088" s="240">
        <v>2493</v>
      </c>
      <c r="C1088" s="241">
        <v>6</v>
      </c>
      <c r="D1088" s="239" t="s">
        <v>2482</v>
      </c>
      <c r="E1088" s="239" t="s">
        <v>413</v>
      </c>
      <c r="F1088" s="239" t="s">
        <v>414</v>
      </c>
      <c r="G1088" s="239" t="s">
        <v>962</v>
      </c>
      <c r="H1088" s="239" t="s">
        <v>51</v>
      </c>
      <c r="I1088" s="239" t="s">
        <v>2465</v>
      </c>
      <c r="J1088" s="234">
        <v>42980</v>
      </c>
      <c r="K1088" s="234">
        <v>15150</v>
      </c>
      <c r="L1088" s="242">
        <v>15</v>
      </c>
      <c r="M1088" s="308">
        <v>27830</v>
      </c>
      <c r="N1088" s="234">
        <v>23655.5</v>
      </c>
      <c r="O1088" s="234" t="s">
        <v>3065</v>
      </c>
      <c r="P1088" s="236">
        <v>45950</v>
      </c>
      <c r="Q1088" s="244">
        <v>0.84231481481481485</v>
      </c>
    </row>
    <row r="1089" spans="1:17" ht="38.25">
      <c r="A1089" s="239" t="s">
        <v>3052</v>
      </c>
      <c r="B1089" s="240">
        <v>2495</v>
      </c>
      <c r="C1089" s="241">
        <v>7</v>
      </c>
      <c r="D1089" s="239" t="s">
        <v>2482</v>
      </c>
      <c r="E1089" s="239" t="s">
        <v>392</v>
      </c>
      <c r="F1089" s="239" t="s">
        <v>393</v>
      </c>
      <c r="G1089" s="239" t="s">
        <v>962</v>
      </c>
      <c r="H1089" s="239" t="s">
        <v>51</v>
      </c>
      <c r="I1089" s="239" t="s">
        <v>2465</v>
      </c>
      <c r="J1089" s="234">
        <v>49850</v>
      </c>
      <c r="K1089" s="234">
        <v>24270</v>
      </c>
      <c r="L1089" s="242">
        <v>36</v>
      </c>
      <c r="M1089" s="308">
        <v>25580</v>
      </c>
      <c r="N1089" s="234">
        <v>16371.2</v>
      </c>
      <c r="O1089" s="234" t="s">
        <v>3066</v>
      </c>
      <c r="P1089" s="236">
        <v>45950</v>
      </c>
      <c r="Q1089" s="244">
        <v>0.87361111111111112</v>
      </c>
    </row>
    <row r="1090" spans="1:17" ht="38.25">
      <c r="A1090" s="239" t="s">
        <v>3053</v>
      </c>
      <c r="B1090" s="240">
        <v>2497</v>
      </c>
      <c r="C1090" s="241">
        <v>8</v>
      </c>
      <c r="D1090" s="239" t="s">
        <v>2482</v>
      </c>
      <c r="E1090" s="239" t="s">
        <v>380</v>
      </c>
      <c r="F1090" s="239" t="s">
        <v>381</v>
      </c>
      <c r="G1090" s="239" t="s">
        <v>962</v>
      </c>
      <c r="H1090" s="239" t="s">
        <v>51</v>
      </c>
      <c r="I1090" s="239" t="s">
        <v>2465</v>
      </c>
      <c r="J1090" s="234">
        <v>37800</v>
      </c>
      <c r="K1090" s="234">
        <v>15370</v>
      </c>
      <c r="L1090" s="242">
        <v>37</v>
      </c>
      <c r="M1090" s="308">
        <v>22430</v>
      </c>
      <c r="N1090" s="234">
        <v>14130.9</v>
      </c>
      <c r="O1090" s="234" t="s">
        <v>3067</v>
      </c>
      <c r="P1090" s="236">
        <v>45950</v>
      </c>
      <c r="Q1090" s="244">
        <v>0.89875000000000005</v>
      </c>
    </row>
    <row r="1091" spans="1:17" ht="38.25">
      <c r="A1091" s="239" t="s">
        <v>3054</v>
      </c>
      <c r="B1091" s="240">
        <v>2498</v>
      </c>
      <c r="C1091" s="241">
        <v>77</v>
      </c>
      <c r="D1091" s="239" t="s">
        <v>2881</v>
      </c>
      <c r="E1091" s="239" t="s">
        <v>416</v>
      </c>
      <c r="F1091" s="239" t="s">
        <v>417</v>
      </c>
      <c r="G1091" s="239" t="s">
        <v>949</v>
      </c>
      <c r="H1091" s="239" t="s">
        <v>51</v>
      </c>
      <c r="I1091" s="239" t="s">
        <v>2882</v>
      </c>
      <c r="J1091" s="234">
        <v>38280</v>
      </c>
      <c r="K1091" s="234">
        <v>15030</v>
      </c>
      <c r="L1091" s="242">
        <v>22</v>
      </c>
      <c r="M1091" s="308">
        <v>23250</v>
      </c>
      <c r="N1091" s="234">
        <v>18135</v>
      </c>
      <c r="O1091" s="234" t="s">
        <v>3068</v>
      </c>
      <c r="P1091" s="236">
        <v>45950</v>
      </c>
      <c r="Q1091" s="244">
        <v>0.90313657407407411</v>
      </c>
    </row>
    <row r="1092" spans="1:17" ht="38.25">
      <c r="A1092" s="239" t="s">
        <v>3055</v>
      </c>
      <c r="B1092" s="240">
        <v>2499</v>
      </c>
      <c r="C1092" s="241">
        <v>78</v>
      </c>
      <c r="D1092" s="239" t="s">
        <v>2881</v>
      </c>
      <c r="E1092" s="239" t="s">
        <v>420</v>
      </c>
      <c r="F1092" s="239" t="s">
        <v>421</v>
      </c>
      <c r="G1092" s="239" t="s">
        <v>949</v>
      </c>
      <c r="H1092" s="239" t="s">
        <v>51</v>
      </c>
      <c r="I1092" s="239" t="s">
        <v>2882</v>
      </c>
      <c r="J1092" s="234">
        <v>36970</v>
      </c>
      <c r="K1092" s="234">
        <v>15200</v>
      </c>
      <c r="L1092" s="242">
        <v>11</v>
      </c>
      <c r="M1092" s="308">
        <v>21770</v>
      </c>
      <c r="N1092" s="234">
        <v>19375.3</v>
      </c>
      <c r="O1092" s="234" t="s">
        <v>3069</v>
      </c>
      <c r="P1092" s="236">
        <v>45950</v>
      </c>
      <c r="Q1092" s="244">
        <v>0.90567129629629628</v>
      </c>
    </row>
    <row r="1093" spans="1:17" ht="38.25">
      <c r="A1093" s="239" t="s">
        <v>3056</v>
      </c>
      <c r="B1093" s="240">
        <v>2501</v>
      </c>
      <c r="C1093" s="241">
        <v>79</v>
      </c>
      <c r="D1093" s="239" t="s">
        <v>2881</v>
      </c>
      <c r="E1093" s="239" t="s">
        <v>456</v>
      </c>
      <c r="F1093" s="239" t="s">
        <v>457</v>
      </c>
      <c r="G1093" s="239" t="s">
        <v>949</v>
      </c>
      <c r="H1093" s="239" t="s">
        <v>51</v>
      </c>
      <c r="I1093" s="239" t="s">
        <v>2882</v>
      </c>
      <c r="J1093" s="234">
        <v>45180</v>
      </c>
      <c r="K1093" s="234">
        <v>16220</v>
      </c>
      <c r="L1093" s="242">
        <v>12</v>
      </c>
      <c r="M1093" s="308">
        <v>28960</v>
      </c>
      <c r="N1093" s="234">
        <v>25484.799999999999</v>
      </c>
      <c r="O1093" s="234" t="s">
        <v>3070</v>
      </c>
      <c r="P1093" s="236">
        <v>45950</v>
      </c>
      <c r="Q1093" s="244">
        <v>0.97228009259259263</v>
      </c>
    </row>
    <row r="1094" spans="1:17" ht="38.25">
      <c r="A1094" s="239" t="s">
        <v>3057</v>
      </c>
      <c r="B1094" s="240">
        <v>2502</v>
      </c>
      <c r="C1094" s="241">
        <v>80</v>
      </c>
      <c r="D1094" s="239" t="s">
        <v>2881</v>
      </c>
      <c r="E1094" s="239" t="s">
        <v>377</v>
      </c>
      <c r="F1094" s="239" t="s">
        <v>378</v>
      </c>
      <c r="G1094" s="239" t="s">
        <v>949</v>
      </c>
      <c r="H1094" s="239" t="s">
        <v>51</v>
      </c>
      <c r="I1094" s="239" t="s">
        <v>2882</v>
      </c>
      <c r="J1094" s="234">
        <v>40060</v>
      </c>
      <c r="K1094" s="234">
        <v>15290</v>
      </c>
      <c r="L1094" s="242">
        <v>11</v>
      </c>
      <c r="M1094" s="308">
        <v>24770</v>
      </c>
      <c r="N1094" s="234">
        <v>22045.3</v>
      </c>
      <c r="O1094" s="234" t="s">
        <v>3071</v>
      </c>
      <c r="P1094" s="236">
        <v>45950</v>
      </c>
      <c r="Q1094" s="244">
        <v>0.97901620370370368</v>
      </c>
    </row>
    <row r="1095" spans="1:17" ht="38.25">
      <c r="A1095" s="239" t="s">
        <v>3058</v>
      </c>
      <c r="B1095" s="240">
        <v>2503</v>
      </c>
      <c r="C1095" s="241">
        <v>81</v>
      </c>
      <c r="D1095" s="239" t="s">
        <v>2881</v>
      </c>
      <c r="E1095" s="239" t="s">
        <v>384</v>
      </c>
      <c r="F1095" s="239" t="s">
        <v>385</v>
      </c>
      <c r="G1095" s="239" t="s">
        <v>949</v>
      </c>
      <c r="H1095" s="239" t="s">
        <v>51</v>
      </c>
      <c r="I1095" s="239" t="s">
        <v>2882</v>
      </c>
      <c r="J1095" s="234">
        <v>35000</v>
      </c>
      <c r="K1095" s="234">
        <v>14040</v>
      </c>
      <c r="L1095" s="242">
        <v>17</v>
      </c>
      <c r="M1095" s="308">
        <v>20960</v>
      </c>
      <c r="N1095" s="234">
        <v>17396.8</v>
      </c>
      <c r="O1095" s="234" t="s">
        <v>3072</v>
      </c>
      <c r="P1095" s="236">
        <v>45951</v>
      </c>
      <c r="Q1095" s="244">
        <v>0.33921296296296294</v>
      </c>
    </row>
    <row r="1096" spans="1:17" ht="38.25">
      <c r="A1096" s="239" t="s">
        <v>3073</v>
      </c>
      <c r="B1096" s="240">
        <v>2504</v>
      </c>
      <c r="C1096" s="241">
        <v>82</v>
      </c>
      <c r="D1096" s="239" t="s">
        <v>2881</v>
      </c>
      <c r="E1096" s="239" t="s">
        <v>400</v>
      </c>
      <c r="F1096" s="239" t="s">
        <v>401</v>
      </c>
      <c r="G1096" s="239" t="s">
        <v>949</v>
      </c>
      <c r="H1096" s="239" t="s">
        <v>51</v>
      </c>
      <c r="I1096" s="239" t="s">
        <v>2882</v>
      </c>
      <c r="J1096" s="234">
        <v>37350</v>
      </c>
      <c r="K1096" s="234">
        <v>14880</v>
      </c>
      <c r="L1096" s="242">
        <v>19</v>
      </c>
      <c r="M1096" s="308">
        <v>22470</v>
      </c>
      <c r="N1096" s="234">
        <v>18200.7</v>
      </c>
      <c r="O1096" s="234" t="s">
        <v>3075</v>
      </c>
      <c r="P1096" s="236">
        <v>45951</v>
      </c>
      <c r="Q1096" s="244">
        <v>0.36873842592592593</v>
      </c>
    </row>
    <row r="1097" spans="1:17" ht="38.25">
      <c r="A1097" s="239" t="s">
        <v>3074</v>
      </c>
      <c r="B1097" s="240">
        <v>2505</v>
      </c>
      <c r="C1097" s="241">
        <v>83</v>
      </c>
      <c r="D1097" s="239" t="s">
        <v>2881</v>
      </c>
      <c r="E1097" s="239" t="s">
        <v>866</v>
      </c>
      <c r="F1097" s="239" t="s">
        <v>867</v>
      </c>
      <c r="G1097" s="239" t="s">
        <v>949</v>
      </c>
      <c r="H1097" s="239" t="s">
        <v>51</v>
      </c>
      <c r="I1097" s="239" t="s">
        <v>2882</v>
      </c>
      <c r="J1097" s="234">
        <v>38050</v>
      </c>
      <c r="K1097" s="234">
        <v>14640</v>
      </c>
      <c r="L1097" s="242">
        <v>12</v>
      </c>
      <c r="M1097" s="308">
        <v>23410</v>
      </c>
      <c r="N1097" s="234">
        <v>20600.8</v>
      </c>
      <c r="O1097" s="234" t="s">
        <v>3076</v>
      </c>
      <c r="P1097" s="236">
        <v>45951</v>
      </c>
      <c r="Q1097" s="244">
        <v>0.40203703703703703</v>
      </c>
    </row>
    <row r="1098" spans="1:17" ht="38.25">
      <c r="A1098" s="239" t="s">
        <v>3077</v>
      </c>
      <c r="B1098" s="240">
        <v>2507</v>
      </c>
      <c r="C1098" s="241">
        <v>84</v>
      </c>
      <c r="D1098" s="239" t="s">
        <v>2881</v>
      </c>
      <c r="E1098" s="239" t="s">
        <v>369</v>
      </c>
      <c r="F1098" s="239" t="s">
        <v>370</v>
      </c>
      <c r="G1098" s="239" t="s">
        <v>949</v>
      </c>
      <c r="H1098" s="239" t="s">
        <v>51</v>
      </c>
      <c r="I1098" s="239" t="s">
        <v>2882</v>
      </c>
      <c r="J1098" s="234">
        <v>37520</v>
      </c>
      <c r="K1098" s="234">
        <v>15320</v>
      </c>
      <c r="L1098" s="242">
        <v>19</v>
      </c>
      <c r="M1098" s="308">
        <v>22200</v>
      </c>
      <c r="N1098" s="234">
        <v>17982</v>
      </c>
      <c r="O1098" s="234" t="s">
        <v>3079</v>
      </c>
      <c r="P1098" s="236">
        <v>45951</v>
      </c>
      <c r="Q1098" s="244">
        <v>0.44084490740740739</v>
      </c>
    </row>
    <row r="1099" spans="1:17" ht="38.25">
      <c r="A1099" s="239" t="s">
        <v>3078</v>
      </c>
      <c r="B1099" s="240">
        <v>2508</v>
      </c>
      <c r="C1099" s="241">
        <v>85</v>
      </c>
      <c r="D1099" s="239" t="s">
        <v>2881</v>
      </c>
      <c r="E1099" s="239" t="s">
        <v>447</v>
      </c>
      <c r="F1099" s="239" t="s">
        <v>448</v>
      </c>
      <c r="G1099" s="239" t="s">
        <v>949</v>
      </c>
      <c r="H1099" s="239" t="s">
        <v>51</v>
      </c>
      <c r="I1099" s="239" t="s">
        <v>2882</v>
      </c>
      <c r="J1099" s="234">
        <v>40140</v>
      </c>
      <c r="K1099" s="234">
        <v>15910</v>
      </c>
      <c r="L1099" s="242">
        <v>15</v>
      </c>
      <c r="M1099" s="308">
        <v>24230</v>
      </c>
      <c r="N1099" s="234">
        <v>20595.5</v>
      </c>
      <c r="O1099" s="234" t="s">
        <v>3080</v>
      </c>
      <c r="P1099" s="236">
        <v>45951</v>
      </c>
      <c r="Q1099" s="244">
        <v>0.46416666666666667</v>
      </c>
    </row>
    <row r="1100" spans="1:17" ht="38.25">
      <c r="A1100" s="239" t="s">
        <v>3081</v>
      </c>
      <c r="B1100" s="240">
        <v>2509</v>
      </c>
      <c r="C1100" s="241">
        <v>86</v>
      </c>
      <c r="D1100" s="239" t="s">
        <v>2881</v>
      </c>
      <c r="E1100" s="239" t="s">
        <v>858</v>
      </c>
      <c r="F1100" s="239" t="s">
        <v>859</v>
      </c>
      <c r="G1100" s="239" t="s">
        <v>949</v>
      </c>
      <c r="H1100" s="239" t="s">
        <v>51</v>
      </c>
      <c r="I1100" s="239" t="s">
        <v>2882</v>
      </c>
      <c r="J1100" s="234">
        <v>40400</v>
      </c>
      <c r="K1100" s="234">
        <v>15280</v>
      </c>
      <c r="L1100" s="242">
        <v>26</v>
      </c>
      <c r="M1100" s="308">
        <v>25120</v>
      </c>
      <c r="N1100" s="234">
        <v>18588.8</v>
      </c>
      <c r="O1100" s="234" t="s">
        <v>3082</v>
      </c>
      <c r="P1100" s="236">
        <v>45951</v>
      </c>
      <c r="Q1100" s="244">
        <v>0.51131944444444444</v>
      </c>
    </row>
    <row r="1101" spans="1:17" ht="38.25">
      <c r="A1101" s="239" t="s">
        <v>3083</v>
      </c>
      <c r="B1101" s="240">
        <v>2511</v>
      </c>
      <c r="C1101" s="241">
        <v>87</v>
      </c>
      <c r="D1101" s="239" t="s">
        <v>2881</v>
      </c>
      <c r="E1101" s="239" t="s">
        <v>429</v>
      </c>
      <c r="F1101" s="239" t="s">
        <v>430</v>
      </c>
      <c r="G1101" s="239" t="s">
        <v>949</v>
      </c>
      <c r="H1101" s="239" t="s">
        <v>51</v>
      </c>
      <c r="I1101" s="239" t="s">
        <v>2882</v>
      </c>
      <c r="J1101" s="234">
        <v>40870</v>
      </c>
      <c r="K1101" s="234">
        <v>14480</v>
      </c>
      <c r="L1101" s="242">
        <v>16</v>
      </c>
      <c r="M1101" s="308">
        <v>26390</v>
      </c>
      <c r="N1101" s="234">
        <v>22167.599999999999</v>
      </c>
      <c r="O1101" s="234" t="s">
        <v>3084</v>
      </c>
      <c r="P1101" s="236">
        <v>45951</v>
      </c>
      <c r="Q1101" s="244">
        <v>0.55056712962962961</v>
      </c>
    </row>
    <row r="1102" spans="1:17" ht="38.25">
      <c r="A1102" s="239" t="s">
        <v>3085</v>
      </c>
      <c r="B1102" s="240">
        <v>2513</v>
      </c>
      <c r="C1102" s="241">
        <v>88</v>
      </c>
      <c r="D1102" s="239" t="s">
        <v>2881</v>
      </c>
      <c r="E1102" s="239" t="s">
        <v>442</v>
      </c>
      <c r="F1102" s="239" t="s">
        <v>443</v>
      </c>
      <c r="G1102" s="239" t="s">
        <v>949</v>
      </c>
      <c r="H1102" s="239" t="s">
        <v>51</v>
      </c>
      <c r="I1102" s="239" t="s">
        <v>2882</v>
      </c>
      <c r="J1102" s="234">
        <v>34330</v>
      </c>
      <c r="K1102" s="234">
        <v>14710</v>
      </c>
      <c r="L1102" s="242">
        <v>18</v>
      </c>
      <c r="M1102" s="308">
        <v>19620</v>
      </c>
      <c r="N1102" s="234">
        <v>16088.4</v>
      </c>
      <c r="O1102" s="234" t="s">
        <v>3087</v>
      </c>
      <c r="P1102" s="236">
        <v>45951</v>
      </c>
      <c r="Q1102" s="244">
        <v>0.59554398148148147</v>
      </c>
    </row>
    <row r="1103" spans="1:17" ht="38.25">
      <c r="A1103" s="239" t="s">
        <v>3086</v>
      </c>
      <c r="B1103" s="240">
        <v>2518</v>
      </c>
      <c r="C1103" s="241">
        <v>89</v>
      </c>
      <c r="D1103" s="239" t="s">
        <v>2881</v>
      </c>
      <c r="E1103" s="239" t="s">
        <v>780</v>
      </c>
      <c r="F1103" s="239" t="s">
        <v>781</v>
      </c>
      <c r="G1103" s="239" t="s">
        <v>949</v>
      </c>
      <c r="H1103" s="239" t="s">
        <v>51</v>
      </c>
      <c r="I1103" s="239" t="s">
        <v>2882</v>
      </c>
      <c r="J1103" s="234">
        <v>34900</v>
      </c>
      <c r="K1103" s="234">
        <v>15120</v>
      </c>
      <c r="L1103" s="242">
        <v>13</v>
      </c>
      <c r="M1103" s="308">
        <v>19780</v>
      </c>
      <c r="N1103" s="234">
        <v>17208.599999999999</v>
      </c>
      <c r="O1103" s="234" t="s">
        <v>3088</v>
      </c>
      <c r="P1103" s="236">
        <v>45951</v>
      </c>
      <c r="Q1103" s="244">
        <v>0.63010416666666669</v>
      </c>
    </row>
    <row r="1104" spans="1:17" ht="38.25">
      <c r="A1104" s="239" t="s">
        <v>3089</v>
      </c>
      <c r="B1104" s="240">
        <v>2521</v>
      </c>
      <c r="C1104" s="241">
        <v>1</v>
      </c>
      <c r="D1104" s="239" t="s">
        <v>2482</v>
      </c>
      <c r="E1104" s="239" t="s">
        <v>390</v>
      </c>
      <c r="F1104" s="239" t="s">
        <v>391</v>
      </c>
      <c r="G1104" s="239" t="s">
        <v>960</v>
      </c>
      <c r="H1104" s="239" t="s">
        <v>51</v>
      </c>
      <c r="I1104" s="239" t="s">
        <v>2465</v>
      </c>
      <c r="J1104" s="234">
        <v>39290</v>
      </c>
      <c r="K1104" s="234">
        <v>15090</v>
      </c>
      <c r="L1104" s="242">
        <v>27</v>
      </c>
      <c r="M1104" s="308">
        <v>24200</v>
      </c>
      <c r="N1104" s="234">
        <v>17666</v>
      </c>
      <c r="O1104" s="234" t="s">
        <v>3106</v>
      </c>
      <c r="P1104" s="236">
        <v>45951</v>
      </c>
      <c r="Q1104" s="244">
        <v>0.66387731481481482</v>
      </c>
    </row>
    <row r="1105" spans="1:17" ht="38.25">
      <c r="A1105" s="239" t="s">
        <v>3090</v>
      </c>
      <c r="B1105" s="240">
        <v>2523</v>
      </c>
      <c r="C1105" s="241">
        <v>92</v>
      </c>
      <c r="D1105" s="239" t="s">
        <v>2881</v>
      </c>
      <c r="E1105" s="239" t="s">
        <v>374</v>
      </c>
      <c r="F1105" s="239" t="s">
        <v>375</v>
      </c>
      <c r="G1105" s="239" t="s">
        <v>949</v>
      </c>
      <c r="H1105" s="239" t="s">
        <v>51</v>
      </c>
      <c r="I1105" s="239" t="s">
        <v>2882</v>
      </c>
      <c r="J1105" s="234">
        <v>39510</v>
      </c>
      <c r="K1105" s="234">
        <v>15800</v>
      </c>
      <c r="L1105" s="242">
        <v>5</v>
      </c>
      <c r="M1105" s="308">
        <v>23710</v>
      </c>
      <c r="N1105" s="234">
        <v>22524.5</v>
      </c>
      <c r="O1105" s="234" t="s">
        <v>3107</v>
      </c>
      <c r="P1105" s="236">
        <v>45951</v>
      </c>
      <c r="Q1105" s="244">
        <v>0.71260416666666671</v>
      </c>
    </row>
    <row r="1106" spans="1:17" ht="38.25">
      <c r="A1106" s="239" t="s">
        <v>3091</v>
      </c>
      <c r="B1106" s="240">
        <v>2524</v>
      </c>
      <c r="C1106" s="241">
        <v>90</v>
      </c>
      <c r="D1106" s="239" t="s">
        <v>2881</v>
      </c>
      <c r="E1106" s="239" t="s">
        <v>1410</v>
      </c>
      <c r="F1106" s="239" t="s">
        <v>437</v>
      </c>
      <c r="G1106" s="239" t="s">
        <v>949</v>
      </c>
      <c r="H1106" s="239" t="s">
        <v>51</v>
      </c>
      <c r="I1106" s="239" t="s">
        <v>2882</v>
      </c>
      <c r="J1106" s="234">
        <v>39990</v>
      </c>
      <c r="K1106" s="234">
        <v>15210</v>
      </c>
      <c r="L1106" s="242">
        <v>7</v>
      </c>
      <c r="M1106" s="308">
        <v>24780</v>
      </c>
      <c r="N1106" s="234">
        <v>23045.4</v>
      </c>
      <c r="O1106" s="234" t="s">
        <v>3108</v>
      </c>
      <c r="P1106" s="236">
        <v>45951</v>
      </c>
      <c r="Q1106" s="244">
        <v>0.77542824074074079</v>
      </c>
    </row>
    <row r="1107" spans="1:17" ht="38.25">
      <c r="A1107" s="239" t="s">
        <v>3092</v>
      </c>
      <c r="B1107" s="240">
        <v>2527</v>
      </c>
      <c r="C1107" s="241">
        <v>94</v>
      </c>
      <c r="D1107" s="239" t="s">
        <v>2881</v>
      </c>
      <c r="E1107" s="239" t="s">
        <v>416</v>
      </c>
      <c r="F1107" s="239" t="s">
        <v>417</v>
      </c>
      <c r="G1107" s="239" t="s">
        <v>949</v>
      </c>
      <c r="H1107" s="239" t="s">
        <v>51</v>
      </c>
      <c r="I1107" s="239" t="s">
        <v>2882</v>
      </c>
      <c r="J1107" s="234">
        <v>39240</v>
      </c>
      <c r="K1107" s="234">
        <v>15010</v>
      </c>
      <c r="L1107" s="242">
        <v>13</v>
      </c>
      <c r="M1107" s="308">
        <v>24230</v>
      </c>
      <c r="N1107" s="234">
        <v>21080.1</v>
      </c>
      <c r="O1107" s="234" t="s">
        <v>3109</v>
      </c>
      <c r="P1107" s="236">
        <v>45951</v>
      </c>
      <c r="Q1107" s="244">
        <v>0.78217592592592589</v>
      </c>
    </row>
    <row r="1108" spans="1:17" ht="38.25">
      <c r="A1108" s="239" t="s">
        <v>3093</v>
      </c>
      <c r="B1108" s="240">
        <v>2528</v>
      </c>
      <c r="C1108" s="241">
        <v>95</v>
      </c>
      <c r="D1108" s="239" t="s">
        <v>2881</v>
      </c>
      <c r="E1108" s="239" t="s">
        <v>420</v>
      </c>
      <c r="F1108" s="239" t="s">
        <v>421</v>
      </c>
      <c r="G1108" s="239" t="s">
        <v>949</v>
      </c>
      <c r="H1108" s="239" t="s">
        <v>51</v>
      </c>
      <c r="I1108" s="239" t="s">
        <v>2882</v>
      </c>
      <c r="J1108" s="234">
        <v>37070</v>
      </c>
      <c r="K1108" s="234">
        <v>15020</v>
      </c>
      <c r="L1108" s="242">
        <v>21</v>
      </c>
      <c r="M1108" s="308">
        <v>22050</v>
      </c>
      <c r="N1108" s="234">
        <v>17419.5</v>
      </c>
      <c r="O1108" s="234" t="s">
        <v>3110</v>
      </c>
      <c r="P1108" s="236">
        <v>45951</v>
      </c>
      <c r="Q1108" s="244">
        <v>0.7855092592592593</v>
      </c>
    </row>
    <row r="1109" spans="1:17" ht="38.25">
      <c r="A1109" s="239" t="s">
        <v>3094</v>
      </c>
      <c r="B1109" s="240">
        <v>2525</v>
      </c>
      <c r="C1109" s="241">
        <v>91</v>
      </c>
      <c r="D1109" s="239" t="s">
        <v>2881</v>
      </c>
      <c r="E1109" s="239" t="s">
        <v>439</v>
      </c>
      <c r="F1109" s="239" t="s">
        <v>440</v>
      </c>
      <c r="G1109" s="239" t="s">
        <v>949</v>
      </c>
      <c r="H1109" s="239" t="s">
        <v>51</v>
      </c>
      <c r="I1109" s="239" t="s">
        <v>2882</v>
      </c>
      <c r="J1109" s="234">
        <v>42050</v>
      </c>
      <c r="K1109" s="234">
        <v>15420</v>
      </c>
      <c r="L1109" s="242">
        <v>28</v>
      </c>
      <c r="M1109" s="308">
        <v>26630</v>
      </c>
      <c r="N1109" s="234">
        <v>19173.599999999999</v>
      </c>
      <c r="O1109" s="234" t="s">
        <v>3111</v>
      </c>
      <c r="P1109" s="236">
        <v>45951</v>
      </c>
      <c r="Q1109" s="244">
        <v>0.82890046296296294</v>
      </c>
    </row>
    <row r="1110" spans="1:17" ht="38.25">
      <c r="A1110" s="239" t="s">
        <v>3095</v>
      </c>
      <c r="B1110" s="240">
        <v>2530</v>
      </c>
      <c r="C1110" s="241">
        <v>97</v>
      </c>
      <c r="D1110" s="239" t="s">
        <v>2881</v>
      </c>
      <c r="E1110" s="239" t="s">
        <v>377</v>
      </c>
      <c r="F1110" s="239" t="s">
        <v>378</v>
      </c>
      <c r="G1110" s="239" t="s">
        <v>949</v>
      </c>
      <c r="H1110" s="239" t="s">
        <v>51</v>
      </c>
      <c r="I1110" s="239" t="s">
        <v>2882</v>
      </c>
      <c r="J1110" s="234">
        <v>42430</v>
      </c>
      <c r="K1110" s="234">
        <v>15310</v>
      </c>
      <c r="L1110" s="242">
        <v>7</v>
      </c>
      <c r="M1110" s="308">
        <v>27120</v>
      </c>
      <c r="N1110" s="234">
        <v>25221.599999999999</v>
      </c>
      <c r="O1110" s="234" t="s">
        <v>3112</v>
      </c>
      <c r="P1110" s="236">
        <v>45951</v>
      </c>
      <c r="Q1110" s="244">
        <v>0.85187500000000005</v>
      </c>
    </row>
    <row r="1111" spans="1:17" ht="51">
      <c r="A1111" s="239" t="s">
        <v>3096</v>
      </c>
      <c r="B1111" s="240">
        <v>2531</v>
      </c>
      <c r="C1111" s="241">
        <v>10324</v>
      </c>
      <c r="D1111" s="239" t="s">
        <v>2511</v>
      </c>
      <c r="E1111" s="239" t="s">
        <v>462</v>
      </c>
      <c r="F1111" s="239" t="s">
        <v>463</v>
      </c>
      <c r="G1111" s="239" t="s">
        <v>931</v>
      </c>
      <c r="H1111" s="239" t="s">
        <v>51</v>
      </c>
      <c r="I1111" s="239" t="s">
        <v>2512</v>
      </c>
      <c r="J1111" s="234">
        <v>39440</v>
      </c>
      <c r="K1111" s="234">
        <v>16350</v>
      </c>
      <c r="L1111" s="242">
        <v>15</v>
      </c>
      <c r="M1111" s="308">
        <v>23090</v>
      </c>
      <c r="N1111" s="234">
        <v>19626.5</v>
      </c>
      <c r="O1111" s="234" t="s">
        <v>3113</v>
      </c>
      <c r="P1111" s="236">
        <v>45951</v>
      </c>
      <c r="Q1111" s="244">
        <v>0.85491898148148149</v>
      </c>
    </row>
    <row r="1112" spans="1:17" ht="38.25">
      <c r="A1112" s="239" t="s">
        <v>3097</v>
      </c>
      <c r="B1112" s="240">
        <v>2526</v>
      </c>
      <c r="C1112" s="241">
        <v>93</v>
      </c>
      <c r="D1112" s="239" t="s">
        <v>2881</v>
      </c>
      <c r="E1112" s="239" t="s">
        <v>413</v>
      </c>
      <c r="F1112" s="239" t="s">
        <v>414</v>
      </c>
      <c r="G1112" s="239" t="s">
        <v>949</v>
      </c>
      <c r="H1112" s="239" t="s">
        <v>51</v>
      </c>
      <c r="I1112" s="239" t="s">
        <v>2882</v>
      </c>
      <c r="J1112" s="234">
        <v>42910</v>
      </c>
      <c r="K1112" s="234">
        <v>15260</v>
      </c>
      <c r="L1112" s="242">
        <v>7</v>
      </c>
      <c r="M1112" s="308">
        <v>27650</v>
      </c>
      <c r="N1112" s="234">
        <v>25714.5</v>
      </c>
      <c r="O1112" s="234" t="s">
        <v>3114</v>
      </c>
      <c r="P1112" s="236">
        <v>45951</v>
      </c>
      <c r="Q1112" s="244">
        <v>0.88744212962962965</v>
      </c>
    </row>
    <row r="1113" spans="1:17" ht="51">
      <c r="A1113" s="239" t="s">
        <v>3098</v>
      </c>
      <c r="B1113" s="240">
        <v>2532</v>
      </c>
      <c r="C1113" s="241">
        <v>10325</v>
      </c>
      <c r="D1113" s="239" t="s">
        <v>2511</v>
      </c>
      <c r="E1113" s="239" t="s">
        <v>472</v>
      </c>
      <c r="F1113" s="239" t="s">
        <v>473</v>
      </c>
      <c r="G1113" s="239" t="s">
        <v>931</v>
      </c>
      <c r="H1113" s="239" t="s">
        <v>51</v>
      </c>
      <c r="I1113" s="239" t="s">
        <v>2512</v>
      </c>
      <c r="J1113" s="234">
        <v>40740</v>
      </c>
      <c r="K1113" s="234">
        <v>16460</v>
      </c>
      <c r="L1113" s="242">
        <v>11</v>
      </c>
      <c r="M1113" s="308">
        <v>24280</v>
      </c>
      <c r="N1113" s="234">
        <v>21609.200000000001</v>
      </c>
      <c r="O1113" s="234" t="s">
        <v>3115</v>
      </c>
      <c r="P1113" s="236">
        <v>45951</v>
      </c>
      <c r="Q1113" s="244">
        <v>0.88846064814814818</v>
      </c>
    </row>
    <row r="1114" spans="1:17" ht="38.25">
      <c r="A1114" s="239" t="s">
        <v>3099</v>
      </c>
      <c r="B1114" s="240">
        <v>2533</v>
      </c>
      <c r="C1114" s="241">
        <v>96</v>
      </c>
      <c r="D1114" s="239" t="s">
        <v>2881</v>
      </c>
      <c r="E1114" s="239" t="s">
        <v>456</v>
      </c>
      <c r="F1114" s="239" t="s">
        <v>457</v>
      </c>
      <c r="G1114" s="239" t="s">
        <v>949</v>
      </c>
      <c r="H1114" s="239" t="s">
        <v>51</v>
      </c>
      <c r="I1114" s="239" t="s">
        <v>2882</v>
      </c>
      <c r="J1114" s="234">
        <v>45390</v>
      </c>
      <c r="K1114" s="234">
        <v>16090</v>
      </c>
      <c r="L1114" s="242">
        <v>12</v>
      </c>
      <c r="M1114" s="308">
        <v>29300</v>
      </c>
      <c r="N1114" s="234">
        <v>25784</v>
      </c>
      <c r="O1114" s="234" t="s">
        <v>3116</v>
      </c>
      <c r="P1114" s="236">
        <v>45951</v>
      </c>
      <c r="Q1114" s="244">
        <v>0.89613425925925927</v>
      </c>
    </row>
    <row r="1115" spans="1:17" ht="51">
      <c r="A1115" s="239" t="s">
        <v>3100</v>
      </c>
      <c r="B1115" s="240">
        <v>2535</v>
      </c>
      <c r="C1115" s="241">
        <v>10327</v>
      </c>
      <c r="D1115" s="239" t="s">
        <v>2511</v>
      </c>
      <c r="E1115" s="239" t="s">
        <v>841</v>
      </c>
      <c r="F1115" s="239" t="s">
        <v>845</v>
      </c>
      <c r="G1115" s="239" t="s">
        <v>931</v>
      </c>
      <c r="H1115" s="239" t="s">
        <v>51</v>
      </c>
      <c r="I1115" s="239" t="s">
        <v>2512</v>
      </c>
      <c r="J1115" s="234">
        <v>41850</v>
      </c>
      <c r="K1115" s="234">
        <v>15910</v>
      </c>
      <c r="L1115" s="242">
        <v>9</v>
      </c>
      <c r="M1115" s="308">
        <v>25940</v>
      </c>
      <c r="N1115" s="234">
        <v>23605.4</v>
      </c>
      <c r="O1115" s="234" t="s">
        <v>3117</v>
      </c>
      <c r="P1115" s="236">
        <v>45951</v>
      </c>
      <c r="Q1115" s="244">
        <v>0.9538888888888889</v>
      </c>
    </row>
    <row r="1116" spans="1:17" ht="51">
      <c r="A1116" s="239" t="s">
        <v>3101</v>
      </c>
      <c r="B1116" s="240">
        <v>2536</v>
      </c>
      <c r="C1116" s="241">
        <v>10326</v>
      </c>
      <c r="D1116" s="239" t="s">
        <v>2511</v>
      </c>
      <c r="E1116" s="239" t="s">
        <v>791</v>
      </c>
      <c r="F1116" s="239" t="s">
        <v>792</v>
      </c>
      <c r="G1116" s="239" t="s">
        <v>931</v>
      </c>
      <c r="H1116" s="239" t="s">
        <v>51</v>
      </c>
      <c r="I1116" s="239" t="s">
        <v>2512</v>
      </c>
      <c r="J1116" s="234">
        <v>39980</v>
      </c>
      <c r="K1116" s="234">
        <v>14970</v>
      </c>
      <c r="L1116" s="242">
        <v>14</v>
      </c>
      <c r="M1116" s="308">
        <v>25010</v>
      </c>
      <c r="N1116" s="234">
        <v>21508.6</v>
      </c>
      <c r="O1116" s="234" t="s">
        <v>3118</v>
      </c>
      <c r="P1116" s="236">
        <v>45951</v>
      </c>
      <c r="Q1116" s="244">
        <v>0.95731481481481484</v>
      </c>
    </row>
    <row r="1117" spans="1:17" ht="51">
      <c r="A1117" s="239" t="s">
        <v>3102</v>
      </c>
      <c r="B1117" s="240">
        <v>2537</v>
      </c>
      <c r="C1117" s="241">
        <v>10328</v>
      </c>
      <c r="D1117" s="239" t="s">
        <v>2511</v>
      </c>
      <c r="E1117" s="239" t="s">
        <v>794</v>
      </c>
      <c r="F1117" s="239" t="s">
        <v>795</v>
      </c>
      <c r="G1117" s="239" t="s">
        <v>931</v>
      </c>
      <c r="H1117" s="239" t="s">
        <v>51</v>
      </c>
      <c r="I1117" s="239" t="s">
        <v>2512</v>
      </c>
      <c r="J1117" s="234">
        <v>40600</v>
      </c>
      <c r="K1117" s="234">
        <v>16140</v>
      </c>
      <c r="L1117" s="242">
        <v>8</v>
      </c>
      <c r="M1117" s="308">
        <v>24460</v>
      </c>
      <c r="N1117" s="234">
        <v>22503.200000000001</v>
      </c>
      <c r="O1117" s="234" t="s">
        <v>3119</v>
      </c>
      <c r="P1117" s="236">
        <v>45951</v>
      </c>
      <c r="Q1117" s="244">
        <v>0.99585648148148154</v>
      </c>
    </row>
    <row r="1118" spans="1:17" ht="51">
      <c r="A1118" s="239" t="s">
        <v>3103</v>
      </c>
      <c r="B1118" s="240">
        <v>2540</v>
      </c>
      <c r="C1118" s="241">
        <v>10329</v>
      </c>
      <c r="D1118" s="239" t="s">
        <v>2511</v>
      </c>
      <c r="E1118" s="239" t="s">
        <v>786</v>
      </c>
      <c r="F1118" s="239" t="s">
        <v>787</v>
      </c>
      <c r="G1118" s="239" t="s">
        <v>931</v>
      </c>
      <c r="H1118" s="239" t="s">
        <v>51</v>
      </c>
      <c r="I1118" s="239" t="s">
        <v>2512</v>
      </c>
      <c r="J1118" s="234">
        <v>35810</v>
      </c>
      <c r="K1118" s="234">
        <v>13990</v>
      </c>
      <c r="L1118" s="242">
        <v>9</v>
      </c>
      <c r="M1118" s="308">
        <v>21820</v>
      </c>
      <c r="N1118" s="234">
        <v>19856.2</v>
      </c>
      <c r="O1118" s="234" t="s">
        <v>3120</v>
      </c>
      <c r="P1118" s="236">
        <v>45952</v>
      </c>
      <c r="Q1118" s="244">
        <v>0.28307870370370369</v>
      </c>
    </row>
    <row r="1119" spans="1:17" ht="51">
      <c r="A1119" s="239" t="s">
        <v>3104</v>
      </c>
      <c r="B1119" s="240">
        <v>2541</v>
      </c>
      <c r="C1119" s="241">
        <v>10343</v>
      </c>
      <c r="D1119" s="239" t="s">
        <v>2511</v>
      </c>
      <c r="E1119" s="239" t="s">
        <v>783</v>
      </c>
      <c r="F1119" s="239" t="s">
        <v>784</v>
      </c>
      <c r="G1119" s="239" t="s">
        <v>931</v>
      </c>
      <c r="H1119" s="239" t="s">
        <v>51</v>
      </c>
      <c r="I1119" s="239" t="s">
        <v>2512</v>
      </c>
      <c r="J1119" s="234">
        <v>38400</v>
      </c>
      <c r="K1119" s="234">
        <v>14640</v>
      </c>
      <c r="L1119" s="242">
        <v>10</v>
      </c>
      <c r="M1119" s="308">
        <v>23760</v>
      </c>
      <c r="N1119" s="234">
        <v>21384</v>
      </c>
      <c r="O1119" s="234" t="s">
        <v>3121</v>
      </c>
      <c r="P1119" s="236">
        <v>45952</v>
      </c>
      <c r="Q1119" s="244">
        <v>0.33589120370370368</v>
      </c>
    </row>
    <row r="1120" spans="1:17" ht="51">
      <c r="A1120" s="239" t="s">
        <v>3105</v>
      </c>
      <c r="B1120" s="240">
        <v>2542</v>
      </c>
      <c r="C1120" s="241">
        <v>10335</v>
      </c>
      <c r="D1120" s="239" t="s">
        <v>2511</v>
      </c>
      <c r="E1120" s="239" t="s">
        <v>380</v>
      </c>
      <c r="F1120" s="239" t="s">
        <v>381</v>
      </c>
      <c r="G1120" s="239" t="s">
        <v>931</v>
      </c>
      <c r="H1120" s="239" t="s">
        <v>51</v>
      </c>
      <c r="I1120" s="239" t="s">
        <v>2512</v>
      </c>
      <c r="J1120" s="234">
        <v>39480</v>
      </c>
      <c r="K1120" s="234">
        <v>15210</v>
      </c>
      <c r="L1120" s="242">
        <v>17</v>
      </c>
      <c r="M1120" s="308">
        <v>24270</v>
      </c>
      <c r="N1120" s="234">
        <v>20144.099999999999</v>
      </c>
      <c r="O1120" s="234" t="s">
        <v>3122</v>
      </c>
      <c r="P1120" s="236">
        <v>45952</v>
      </c>
      <c r="Q1120" s="244">
        <v>0.36730324074074072</v>
      </c>
    </row>
    <row r="1121" spans="1:17" ht="51">
      <c r="A1121" s="239" t="s">
        <v>3124</v>
      </c>
      <c r="B1121" s="240">
        <v>2544</v>
      </c>
      <c r="C1121" s="241">
        <v>10338</v>
      </c>
      <c r="D1121" s="239" t="s">
        <v>2511</v>
      </c>
      <c r="E1121" s="239" t="s">
        <v>1397</v>
      </c>
      <c r="F1121" s="239" t="s">
        <v>1398</v>
      </c>
      <c r="G1121" s="239" t="s">
        <v>931</v>
      </c>
      <c r="H1121" s="239" t="s">
        <v>51</v>
      </c>
      <c r="I1121" s="239" t="s">
        <v>2512</v>
      </c>
      <c r="J1121" s="234">
        <v>42400</v>
      </c>
      <c r="K1121" s="234">
        <v>17160</v>
      </c>
      <c r="L1121" s="242">
        <v>16</v>
      </c>
      <c r="M1121" s="308">
        <v>25240</v>
      </c>
      <c r="N1121" s="234">
        <v>21201.599999999999</v>
      </c>
      <c r="O1121" s="234" t="s">
        <v>3125</v>
      </c>
      <c r="P1121" s="236">
        <v>45952</v>
      </c>
      <c r="Q1121" s="244">
        <v>0.42568287037037039</v>
      </c>
    </row>
    <row r="1122" spans="1:17" ht="51">
      <c r="A1122" s="239" t="s">
        <v>3126</v>
      </c>
      <c r="B1122" s="240">
        <v>2545</v>
      </c>
      <c r="C1122" s="241">
        <v>10348</v>
      </c>
      <c r="D1122" s="239" t="s">
        <v>2511</v>
      </c>
      <c r="E1122" s="239" t="s">
        <v>1400</v>
      </c>
      <c r="F1122" s="239" t="s">
        <v>1401</v>
      </c>
      <c r="G1122" s="239" t="s">
        <v>931</v>
      </c>
      <c r="H1122" s="239" t="s">
        <v>51</v>
      </c>
      <c r="I1122" s="239" t="s">
        <v>2512</v>
      </c>
      <c r="J1122" s="234">
        <v>36500</v>
      </c>
      <c r="K1122" s="234">
        <v>14750</v>
      </c>
      <c r="L1122" s="242">
        <v>6</v>
      </c>
      <c r="M1122" s="308">
        <v>21750</v>
      </c>
      <c r="N1122" s="234">
        <v>20445</v>
      </c>
      <c r="O1122" s="234" t="s">
        <v>3127</v>
      </c>
      <c r="P1122" s="236">
        <v>45952</v>
      </c>
      <c r="Q1122" s="244">
        <v>0.54418981481481477</v>
      </c>
    </row>
    <row r="1123" spans="1:17" ht="51">
      <c r="A1123" s="239" t="s">
        <v>3128</v>
      </c>
      <c r="B1123" s="240">
        <v>2546</v>
      </c>
      <c r="C1123" s="241">
        <v>10350</v>
      </c>
      <c r="D1123" s="239" t="s">
        <v>2511</v>
      </c>
      <c r="E1123" s="239" t="s">
        <v>1403</v>
      </c>
      <c r="F1123" s="239" t="s">
        <v>1404</v>
      </c>
      <c r="G1123" s="239" t="s">
        <v>931</v>
      </c>
      <c r="H1123" s="239" t="s">
        <v>51</v>
      </c>
      <c r="I1123" s="239" t="s">
        <v>2512</v>
      </c>
      <c r="J1123" s="234">
        <v>38610</v>
      </c>
      <c r="K1123" s="234">
        <v>15040</v>
      </c>
      <c r="L1123" s="242">
        <v>14</v>
      </c>
      <c r="M1123" s="308">
        <v>23570</v>
      </c>
      <c r="N1123" s="234">
        <v>20270.2</v>
      </c>
      <c r="O1123" s="234" t="s">
        <v>3129</v>
      </c>
      <c r="P1123" s="236">
        <v>45952</v>
      </c>
      <c r="Q1123" s="244">
        <v>0.54840277777777779</v>
      </c>
    </row>
    <row r="1124" spans="1:17" ht="51">
      <c r="A1124" s="239" t="s">
        <v>3130</v>
      </c>
      <c r="B1124" s="240">
        <v>2548</v>
      </c>
      <c r="C1124" s="241">
        <v>10351</v>
      </c>
      <c r="D1124" s="239" t="s">
        <v>2511</v>
      </c>
      <c r="E1124" s="239" t="s">
        <v>453</v>
      </c>
      <c r="F1124" s="239" t="s">
        <v>454</v>
      </c>
      <c r="G1124" s="239" t="s">
        <v>931</v>
      </c>
      <c r="H1124" s="239" t="s">
        <v>51</v>
      </c>
      <c r="I1124" s="239" t="s">
        <v>2512</v>
      </c>
      <c r="J1124" s="234">
        <v>65670</v>
      </c>
      <c r="K1124" s="234">
        <v>24580</v>
      </c>
      <c r="L1124" s="242">
        <v>25</v>
      </c>
      <c r="M1124" s="308">
        <v>41090</v>
      </c>
      <c r="N1124" s="234">
        <v>30817.5</v>
      </c>
      <c r="O1124" s="234" t="s">
        <v>3131</v>
      </c>
      <c r="P1124" s="236">
        <v>45952</v>
      </c>
      <c r="Q1124" s="244">
        <v>0.62260416666666663</v>
      </c>
    </row>
    <row r="1125" spans="1:17" ht="51">
      <c r="A1125" s="239" t="s">
        <v>3132</v>
      </c>
      <c r="B1125" s="240">
        <v>2550</v>
      </c>
      <c r="C1125" s="241">
        <v>10364</v>
      </c>
      <c r="D1125" s="239" t="s">
        <v>2511</v>
      </c>
      <c r="E1125" s="239" t="s">
        <v>2793</v>
      </c>
      <c r="F1125" s="239" t="s">
        <v>2794</v>
      </c>
      <c r="G1125" s="239" t="s">
        <v>931</v>
      </c>
      <c r="H1125" s="239" t="s">
        <v>51</v>
      </c>
      <c r="I1125" s="239" t="s">
        <v>2512</v>
      </c>
      <c r="J1125" s="234">
        <v>47450</v>
      </c>
      <c r="K1125" s="234">
        <v>17540</v>
      </c>
      <c r="L1125" s="242">
        <v>18</v>
      </c>
      <c r="M1125" s="308">
        <v>29910</v>
      </c>
      <c r="N1125" s="234">
        <v>24526.2</v>
      </c>
      <c r="O1125" s="234" t="s">
        <v>3153</v>
      </c>
      <c r="P1125" s="236">
        <v>45952</v>
      </c>
      <c r="Q1125" s="244">
        <v>0.63103009259259257</v>
      </c>
    </row>
    <row r="1126" spans="1:17" ht="38.25">
      <c r="A1126" s="239" t="s">
        <v>3152</v>
      </c>
      <c r="B1126" s="240">
        <v>2534</v>
      </c>
      <c r="C1126" s="241">
        <v>2</v>
      </c>
      <c r="D1126" s="239" t="s">
        <v>2482</v>
      </c>
      <c r="E1126" s="239" t="s">
        <v>388</v>
      </c>
      <c r="F1126" s="239" t="s">
        <v>389</v>
      </c>
      <c r="G1126" s="239" t="s">
        <v>960</v>
      </c>
      <c r="H1126" s="239" t="s">
        <v>42</v>
      </c>
      <c r="I1126" s="239" t="s">
        <v>2465</v>
      </c>
      <c r="J1126" s="234">
        <v>27570</v>
      </c>
      <c r="K1126" s="234">
        <v>21520</v>
      </c>
      <c r="L1126" s="242">
        <v>12</v>
      </c>
      <c r="M1126" s="308">
        <v>6050</v>
      </c>
      <c r="N1126" s="234">
        <v>5324</v>
      </c>
      <c r="O1126" s="234" t="s">
        <v>3154</v>
      </c>
      <c r="P1126" s="236">
        <v>45951</v>
      </c>
      <c r="Q1126" s="244">
        <v>0.9228587962962963</v>
      </c>
    </row>
    <row r="1127" spans="1:17" ht="51">
      <c r="A1127" s="239" t="s">
        <v>3133</v>
      </c>
      <c r="B1127" s="240">
        <v>2551</v>
      </c>
      <c r="C1127" s="241">
        <v>10361</v>
      </c>
      <c r="D1127" s="239" t="s">
        <v>2511</v>
      </c>
      <c r="E1127" s="239" t="s">
        <v>425</v>
      </c>
      <c r="F1127" s="239" t="s">
        <v>426</v>
      </c>
      <c r="G1127" s="239" t="s">
        <v>931</v>
      </c>
      <c r="H1127" s="239" t="s">
        <v>51</v>
      </c>
      <c r="I1127" s="239" t="s">
        <v>2512</v>
      </c>
      <c r="J1127" s="234">
        <v>51140</v>
      </c>
      <c r="K1127" s="234">
        <v>18760</v>
      </c>
      <c r="L1127" s="242">
        <v>12</v>
      </c>
      <c r="M1127" s="308">
        <v>32380</v>
      </c>
      <c r="N1127" s="234">
        <v>28494.400000000001</v>
      </c>
      <c r="O1127" s="234" t="s">
        <v>3155</v>
      </c>
      <c r="P1127" s="236">
        <v>45952</v>
      </c>
      <c r="Q1127" s="244">
        <v>0.69916666666666671</v>
      </c>
    </row>
    <row r="1128" spans="1:17" ht="51">
      <c r="A1128" s="239" t="s">
        <v>3134</v>
      </c>
      <c r="B1128" s="240">
        <v>2554</v>
      </c>
      <c r="C1128" s="241">
        <v>10401</v>
      </c>
      <c r="D1128" s="239" t="s">
        <v>2511</v>
      </c>
      <c r="E1128" s="239" t="s">
        <v>388</v>
      </c>
      <c r="F1128" s="239" t="s">
        <v>389</v>
      </c>
      <c r="G1128" s="239" t="s">
        <v>931</v>
      </c>
      <c r="H1128" s="239" t="s">
        <v>51</v>
      </c>
      <c r="I1128" s="239" t="s">
        <v>2512</v>
      </c>
      <c r="J1128" s="234">
        <v>62070</v>
      </c>
      <c r="K1128" s="234">
        <v>21360</v>
      </c>
      <c r="L1128" s="242">
        <v>7</v>
      </c>
      <c r="M1128" s="308">
        <v>40710</v>
      </c>
      <c r="N1128" s="234">
        <v>37860.300000000003</v>
      </c>
      <c r="O1128" s="234" t="s">
        <v>3156</v>
      </c>
      <c r="P1128" s="236">
        <v>45952</v>
      </c>
      <c r="Q1128" s="244">
        <v>0.80445601851851856</v>
      </c>
    </row>
    <row r="1129" spans="1:17" ht="51">
      <c r="A1129" s="239" t="s">
        <v>3135</v>
      </c>
      <c r="B1129" s="240">
        <v>2555</v>
      </c>
      <c r="C1129" s="241">
        <v>10384</v>
      </c>
      <c r="D1129" s="239" t="s">
        <v>2511</v>
      </c>
      <c r="E1129" s="239" t="s">
        <v>429</v>
      </c>
      <c r="F1129" s="239" t="s">
        <v>430</v>
      </c>
      <c r="G1129" s="239" t="s">
        <v>931</v>
      </c>
      <c r="H1129" s="239" t="s">
        <v>51</v>
      </c>
      <c r="I1129" s="239" t="s">
        <v>2512</v>
      </c>
      <c r="J1129" s="234">
        <v>42030</v>
      </c>
      <c r="K1129" s="234">
        <v>14450</v>
      </c>
      <c r="L1129" s="242">
        <v>19</v>
      </c>
      <c r="M1129" s="308">
        <v>27580</v>
      </c>
      <c r="N1129" s="234">
        <v>22339.8</v>
      </c>
      <c r="O1129" s="234" t="s">
        <v>3157</v>
      </c>
      <c r="P1129" s="236">
        <v>45952</v>
      </c>
      <c r="Q1129" s="244">
        <v>0.80650462962962965</v>
      </c>
    </row>
    <row r="1130" spans="1:17" ht="38.25">
      <c r="A1130" s="239" t="s">
        <v>3136</v>
      </c>
      <c r="B1130" s="240">
        <v>2556</v>
      </c>
      <c r="C1130" s="241">
        <v>1</v>
      </c>
      <c r="D1130" s="239" t="s">
        <v>2482</v>
      </c>
      <c r="E1130" s="239" t="s">
        <v>382</v>
      </c>
      <c r="F1130" s="239" t="s">
        <v>383</v>
      </c>
      <c r="G1130" s="239" t="s">
        <v>960</v>
      </c>
      <c r="H1130" s="239" t="s">
        <v>51</v>
      </c>
      <c r="I1130" s="239" t="s">
        <v>2465</v>
      </c>
      <c r="J1130" s="234">
        <v>38420</v>
      </c>
      <c r="K1130" s="234">
        <v>14750</v>
      </c>
      <c r="L1130" s="242">
        <v>13</v>
      </c>
      <c r="M1130" s="308">
        <v>23670</v>
      </c>
      <c r="N1130" s="234">
        <v>20592.900000000001</v>
      </c>
      <c r="O1130" s="234" t="s">
        <v>3158</v>
      </c>
      <c r="P1130" s="236">
        <v>45952</v>
      </c>
      <c r="Q1130" s="244">
        <v>0.81998842592592591</v>
      </c>
    </row>
    <row r="1131" spans="1:17" ht="51">
      <c r="A1131" s="239" t="s">
        <v>3137</v>
      </c>
      <c r="B1131" s="240">
        <v>2557</v>
      </c>
      <c r="C1131" s="241">
        <v>10371</v>
      </c>
      <c r="D1131" s="239" t="s">
        <v>2511</v>
      </c>
      <c r="E1131" s="239" t="s">
        <v>475</v>
      </c>
      <c r="F1131" s="239" t="s">
        <v>476</v>
      </c>
      <c r="G1131" s="239" t="s">
        <v>931</v>
      </c>
      <c r="H1131" s="239" t="s">
        <v>51</v>
      </c>
      <c r="I1131" s="239" t="s">
        <v>2512</v>
      </c>
      <c r="J1131" s="234">
        <v>40550</v>
      </c>
      <c r="K1131" s="234">
        <v>16210</v>
      </c>
      <c r="L1131" s="242">
        <v>11</v>
      </c>
      <c r="M1131" s="308">
        <v>24340</v>
      </c>
      <c r="N1131" s="234">
        <v>21662.6</v>
      </c>
      <c r="O1131" s="234" t="s">
        <v>3159</v>
      </c>
      <c r="P1131" s="236">
        <v>45952</v>
      </c>
      <c r="Q1131" s="244">
        <v>0.86532407407407408</v>
      </c>
    </row>
    <row r="1132" spans="1:17" ht="38.25">
      <c r="A1132" s="239" t="s">
        <v>3138</v>
      </c>
      <c r="B1132" s="240">
        <v>2558</v>
      </c>
      <c r="C1132" s="241">
        <v>2</v>
      </c>
      <c r="D1132" s="239" t="s">
        <v>2482</v>
      </c>
      <c r="E1132" s="239" t="s">
        <v>400</v>
      </c>
      <c r="F1132" s="239" t="s">
        <v>401</v>
      </c>
      <c r="G1132" s="239" t="s">
        <v>958</v>
      </c>
      <c r="H1132" s="239" t="s">
        <v>51</v>
      </c>
      <c r="I1132" s="239" t="s">
        <v>2465</v>
      </c>
      <c r="J1132" s="234">
        <v>39860</v>
      </c>
      <c r="K1132" s="234">
        <v>14870</v>
      </c>
      <c r="L1132" s="242">
        <v>15</v>
      </c>
      <c r="M1132" s="308">
        <v>24990</v>
      </c>
      <c r="N1132" s="234">
        <v>21241.5</v>
      </c>
      <c r="O1132" s="234" t="s">
        <v>3160</v>
      </c>
      <c r="P1132" s="236">
        <v>45952</v>
      </c>
      <c r="Q1132" s="244">
        <v>0.89553240740740736</v>
      </c>
    </row>
    <row r="1133" spans="1:17" ht="51">
      <c r="A1133" s="239" t="s">
        <v>3139</v>
      </c>
      <c r="B1133" s="240">
        <v>2562</v>
      </c>
      <c r="C1133" s="241">
        <v>10386</v>
      </c>
      <c r="D1133" s="239" t="s">
        <v>2511</v>
      </c>
      <c r="E1133" s="239" t="s">
        <v>447</v>
      </c>
      <c r="F1133" s="239" t="s">
        <v>448</v>
      </c>
      <c r="G1133" s="239" t="s">
        <v>931</v>
      </c>
      <c r="H1133" s="239" t="s">
        <v>51</v>
      </c>
      <c r="I1133" s="239" t="s">
        <v>2512</v>
      </c>
      <c r="J1133" s="234">
        <v>52800</v>
      </c>
      <c r="K1133" s="234">
        <v>19540</v>
      </c>
      <c r="L1133" s="242">
        <v>5</v>
      </c>
      <c r="M1133" s="308">
        <v>33260</v>
      </c>
      <c r="N1133" s="234">
        <v>31597</v>
      </c>
      <c r="O1133" s="234" t="s">
        <v>3161</v>
      </c>
      <c r="P1133" s="236">
        <v>45952</v>
      </c>
      <c r="Q1133" s="244">
        <v>0.89708333333333334</v>
      </c>
    </row>
    <row r="1134" spans="1:17" ht="51">
      <c r="A1134" s="239" t="s">
        <v>3140</v>
      </c>
      <c r="B1134" s="240">
        <v>2563</v>
      </c>
      <c r="C1134" s="241">
        <v>10388</v>
      </c>
      <c r="D1134" s="239" t="s">
        <v>2511</v>
      </c>
      <c r="E1134" s="239" t="s">
        <v>392</v>
      </c>
      <c r="F1134" s="239" t="s">
        <v>393</v>
      </c>
      <c r="G1134" s="239" t="s">
        <v>931</v>
      </c>
      <c r="H1134" s="239" t="s">
        <v>51</v>
      </c>
      <c r="I1134" s="239" t="s">
        <v>2512</v>
      </c>
      <c r="J1134" s="234">
        <v>64590</v>
      </c>
      <c r="K1134" s="234">
        <v>24190</v>
      </c>
      <c r="L1134" s="242">
        <v>5</v>
      </c>
      <c r="M1134" s="308">
        <v>40400</v>
      </c>
      <c r="N1134" s="234">
        <v>38380</v>
      </c>
      <c r="O1134" s="234" t="s">
        <v>3162</v>
      </c>
      <c r="P1134" s="236">
        <v>45952</v>
      </c>
      <c r="Q1134" s="244">
        <v>0.93177083333333333</v>
      </c>
    </row>
    <row r="1135" spans="1:17" ht="51">
      <c r="A1135" s="239" t="s">
        <v>3141</v>
      </c>
      <c r="B1135" s="240">
        <v>2564</v>
      </c>
      <c r="C1135" s="241">
        <v>10389</v>
      </c>
      <c r="D1135" s="239" t="s">
        <v>2511</v>
      </c>
      <c r="E1135" s="239" t="s">
        <v>390</v>
      </c>
      <c r="F1135" s="239" t="s">
        <v>391</v>
      </c>
      <c r="G1135" s="239" t="s">
        <v>931</v>
      </c>
      <c r="H1135" s="239" t="s">
        <v>51</v>
      </c>
      <c r="I1135" s="239" t="s">
        <v>2512</v>
      </c>
      <c r="J1135" s="234">
        <v>38780</v>
      </c>
      <c r="K1135" s="234">
        <v>15030</v>
      </c>
      <c r="L1135" s="242">
        <v>13</v>
      </c>
      <c r="M1135" s="308">
        <v>23750</v>
      </c>
      <c r="N1135" s="234">
        <v>20662.5</v>
      </c>
      <c r="O1135" s="234" t="s">
        <v>3163</v>
      </c>
      <c r="P1135" s="236">
        <v>45952</v>
      </c>
      <c r="Q1135" s="244">
        <v>0.93313657407407402</v>
      </c>
    </row>
    <row r="1136" spans="1:17" ht="38.25">
      <c r="A1136" s="239" t="s">
        <v>3142</v>
      </c>
      <c r="B1136" s="240">
        <v>2559</v>
      </c>
      <c r="C1136" s="241">
        <v>3</v>
      </c>
      <c r="D1136" s="239" t="s">
        <v>2482</v>
      </c>
      <c r="E1136" s="239" t="s">
        <v>384</v>
      </c>
      <c r="F1136" s="239" t="s">
        <v>385</v>
      </c>
      <c r="G1136" s="239" t="s">
        <v>958</v>
      </c>
      <c r="H1136" s="239" t="s">
        <v>51</v>
      </c>
      <c r="I1136" s="239" t="s">
        <v>2465</v>
      </c>
      <c r="J1136" s="234">
        <v>36500</v>
      </c>
      <c r="K1136" s="234">
        <v>13990</v>
      </c>
      <c r="L1136" s="242">
        <v>12</v>
      </c>
      <c r="M1136" s="308">
        <v>22510</v>
      </c>
      <c r="N1136" s="234">
        <v>19808.8</v>
      </c>
      <c r="O1136" s="234" t="s">
        <v>3164</v>
      </c>
      <c r="P1136" s="236">
        <v>45952</v>
      </c>
      <c r="Q1136" s="244">
        <v>0.94521990740740736</v>
      </c>
    </row>
    <row r="1137" spans="1:17" ht="38.25">
      <c r="A1137" s="239" t="s">
        <v>3143</v>
      </c>
      <c r="B1137" s="240">
        <v>2565</v>
      </c>
      <c r="C1137" s="241">
        <v>4</v>
      </c>
      <c r="D1137" s="239" t="s">
        <v>2482</v>
      </c>
      <c r="E1137" s="239" t="s">
        <v>780</v>
      </c>
      <c r="F1137" s="239" t="s">
        <v>781</v>
      </c>
      <c r="G1137" s="239" t="s">
        <v>958</v>
      </c>
      <c r="H1137" s="239" t="s">
        <v>51</v>
      </c>
      <c r="I1137" s="239" t="s">
        <v>2465</v>
      </c>
      <c r="J1137" s="234">
        <v>36950</v>
      </c>
      <c r="K1137" s="234">
        <v>15050</v>
      </c>
      <c r="L1137" s="242">
        <v>22</v>
      </c>
      <c r="M1137" s="308">
        <v>21900</v>
      </c>
      <c r="N1137" s="234">
        <v>17082</v>
      </c>
      <c r="O1137" s="234" t="s">
        <v>3165</v>
      </c>
      <c r="P1137" s="236">
        <v>45952</v>
      </c>
      <c r="Q1137" s="244">
        <v>0.95365740740740745</v>
      </c>
    </row>
    <row r="1138" spans="1:17" ht="51">
      <c r="A1138" s="239" t="s">
        <v>3144</v>
      </c>
      <c r="B1138" s="240">
        <v>2560</v>
      </c>
      <c r="C1138" s="241">
        <v>10387</v>
      </c>
      <c r="D1138" s="239" t="s">
        <v>2511</v>
      </c>
      <c r="E1138" s="239" t="s">
        <v>858</v>
      </c>
      <c r="F1138" s="239" t="s">
        <v>859</v>
      </c>
      <c r="G1138" s="239" t="s">
        <v>931</v>
      </c>
      <c r="H1138" s="239" t="s">
        <v>51</v>
      </c>
      <c r="I1138" s="239" t="s">
        <v>2512</v>
      </c>
      <c r="J1138" s="234">
        <v>43350</v>
      </c>
      <c r="K1138" s="234">
        <v>14990</v>
      </c>
      <c r="L1138" s="242">
        <v>16</v>
      </c>
      <c r="M1138" s="308">
        <v>28360</v>
      </c>
      <c r="N1138" s="234">
        <v>23822.400000000001</v>
      </c>
      <c r="O1138" s="234" t="s">
        <v>3166</v>
      </c>
      <c r="P1138" s="236">
        <v>45952</v>
      </c>
      <c r="Q1138" s="244">
        <v>0.97885416666666669</v>
      </c>
    </row>
    <row r="1139" spans="1:17" ht="38.25">
      <c r="A1139" s="239" t="s">
        <v>3145</v>
      </c>
      <c r="B1139" s="240">
        <v>2566</v>
      </c>
      <c r="C1139" s="241">
        <v>5</v>
      </c>
      <c r="D1139" s="239" t="s">
        <v>2482</v>
      </c>
      <c r="E1139" s="239" t="s">
        <v>442</v>
      </c>
      <c r="F1139" s="239" t="s">
        <v>443</v>
      </c>
      <c r="G1139" s="239" t="s">
        <v>958</v>
      </c>
      <c r="H1139" s="239" t="s">
        <v>51</v>
      </c>
      <c r="I1139" s="239" t="s">
        <v>2465</v>
      </c>
      <c r="J1139" s="234">
        <v>36060</v>
      </c>
      <c r="K1139" s="234">
        <v>14640</v>
      </c>
      <c r="L1139" s="242">
        <v>29</v>
      </c>
      <c r="M1139" s="308">
        <v>21420</v>
      </c>
      <c r="N1139" s="234">
        <v>15208.2</v>
      </c>
      <c r="O1139" s="234" t="s">
        <v>3167</v>
      </c>
      <c r="P1139" s="236">
        <v>45953</v>
      </c>
      <c r="Q1139" s="244">
        <v>0.31112268518518521</v>
      </c>
    </row>
    <row r="1140" spans="1:17" ht="51">
      <c r="A1140" s="239" t="s">
        <v>3146</v>
      </c>
      <c r="B1140" s="240">
        <v>2567</v>
      </c>
      <c r="C1140" s="241">
        <v>10390</v>
      </c>
      <c r="D1140" s="239" t="s">
        <v>2511</v>
      </c>
      <c r="E1140" s="239" t="s">
        <v>866</v>
      </c>
      <c r="F1140" s="239" t="s">
        <v>867</v>
      </c>
      <c r="G1140" s="239" t="s">
        <v>933</v>
      </c>
      <c r="H1140" s="239" t="s">
        <v>51</v>
      </c>
      <c r="I1140" s="239" t="s">
        <v>2512</v>
      </c>
      <c r="J1140" s="234">
        <v>38200</v>
      </c>
      <c r="K1140" s="234">
        <v>14520</v>
      </c>
      <c r="L1140" s="242">
        <v>6</v>
      </c>
      <c r="M1140" s="308">
        <v>23680</v>
      </c>
      <c r="N1140" s="234">
        <v>22259.200000000001</v>
      </c>
      <c r="O1140" s="234" t="s">
        <v>3168</v>
      </c>
      <c r="P1140" s="236">
        <v>45953</v>
      </c>
      <c r="Q1140" s="244">
        <v>0.34415509259259258</v>
      </c>
    </row>
    <row r="1141" spans="1:17" ht="51">
      <c r="A1141" s="239" t="s">
        <v>3147</v>
      </c>
      <c r="B1141" s="240">
        <v>2568</v>
      </c>
      <c r="C1141" s="241">
        <v>10391</v>
      </c>
      <c r="D1141" s="239" t="s">
        <v>2511</v>
      </c>
      <c r="E1141" s="239" t="s">
        <v>369</v>
      </c>
      <c r="F1141" s="239" t="s">
        <v>370</v>
      </c>
      <c r="G1141" s="239" t="s">
        <v>933</v>
      </c>
      <c r="H1141" s="239" t="s">
        <v>51</v>
      </c>
      <c r="I1141" s="239" t="s">
        <v>2512</v>
      </c>
      <c r="J1141" s="234">
        <v>38670</v>
      </c>
      <c r="K1141" s="234">
        <v>15160</v>
      </c>
      <c r="L1141" s="242">
        <v>14</v>
      </c>
      <c r="M1141" s="308">
        <v>23510</v>
      </c>
      <c r="N1141" s="234">
        <v>20218.599999999999</v>
      </c>
      <c r="O1141" s="234" t="s">
        <v>3169</v>
      </c>
      <c r="P1141" s="236">
        <v>45953</v>
      </c>
      <c r="Q1141" s="244">
        <v>0.39528935185185188</v>
      </c>
    </row>
    <row r="1142" spans="1:17" ht="38.25">
      <c r="A1142" s="239" t="s">
        <v>3148</v>
      </c>
      <c r="B1142" s="240">
        <v>2569</v>
      </c>
      <c r="C1142" s="241">
        <v>6</v>
      </c>
      <c r="D1142" s="239" t="s">
        <v>2482</v>
      </c>
      <c r="E1142" s="239" t="s">
        <v>453</v>
      </c>
      <c r="F1142" s="239" t="s">
        <v>454</v>
      </c>
      <c r="G1142" s="239" t="s">
        <v>962</v>
      </c>
      <c r="H1142" s="239" t="s">
        <v>51</v>
      </c>
      <c r="I1142" s="239" t="s">
        <v>2465</v>
      </c>
      <c r="J1142" s="234">
        <v>65700</v>
      </c>
      <c r="K1142" s="234">
        <v>24510</v>
      </c>
      <c r="L1142" s="242">
        <v>16</v>
      </c>
      <c r="M1142" s="308">
        <v>41190</v>
      </c>
      <c r="N1142" s="234">
        <v>34599.599999999999</v>
      </c>
      <c r="O1142" s="234" t="s">
        <v>3170</v>
      </c>
      <c r="P1142" s="236">
        <v>45953</v>
      </c>
      <c r="Q1142" s="244">
        <v>0.47027777777777779</v>
      </c>
    </row>
    <row r="1143" spans="1:17" ht="51">
      <c r="A1143" s="239" t="s">
        <v>3149</v>
      </c>
      <c r="B1143" s="240">
        <v>2570</v>
      </c>
      <c r="C1143" s="241">
        <v>10392</v>
      </c>
      <c r="D1143" s="239" t="s">
        <v>2511</v>
      </c>
      <c r="E1143" s="239" t="s">
        <v>1410</v>
      </c>
      <c r="F1143" s="239" t="s">
        <v>437</v>
      </c>
      <c r="G1143" s="239" t="s">
        <v>931</v>
      </c>
      <c r="H1143" s="239" t="s">
        <v>51</v>
      </c>
      <c r="I1143" s="239" t="s">
        <v>2512</v>
      </c>
      <c r="J1143" s="234">
        <v>40890</v>
      </c>
      <c r="K1143" s="234">
        <v>14910</v>
      </c>
      <c r="L1143" s="242">
        <v>5</v>
      </c>
      <c r="M1143" s="308">
        <v>25980</v>
      </c>
      <c r="N1143" s="234">
        <v>24681</v>
      </c>
      <c r="O1143" s="234" t="s">
        <v>3171</v>
      </c>
      <c r="P1143" s="236">
        <v>45953</v>
      </c>
      <c r="Q1143" s="244">
        <v>0.47747685185185185</v>
      </c>
    </row>
    <row r="1144" spans="1:17" ht="51">
      <c r="A1144" s="239" t="s">
        <v>3150</v>
      </c>
      <c r="B1144" s="240">
        <v>2571</v>
      </c>
      <c r="C1144" s="241">
        <v>10393</v>
      </c>
      <c r="D1144" s="239" t="s">
        <v>2511</v>
      </c>
      <c r="E1144" s="239" t="s">
        <v>439</v>
      </c>
      <c r="F1144" s="239" t="s">
        <v>440</v>
      </c>
      <c r="G1144" s="239" t="s">
        <v>931</v>
      </c>
      <c r="H1144" s="239" t="s">
        <v>51</v>
      </c>
      <c r="I1144" s="239" t="s">
        <v>2512</v>
      </c>
      <c r="J1144" s="234">
        <v>43700</v>
      </c>
      <c r="K1144" s="234">
        <v>15110</v>
      </c>
      <c r="L1144" s="242">
        <v>9</v>
      </c>
      <c r="M1144" s="308">
        <v>28590</v>
      </c>
      <c r="N1144" s="234">
        <v>26016.9</v>
      </c>
      <c r="O1144" s="234" t="s">
        <v>3172</v>
      </c>
      <c r="P1144" s="236">
        <v>45953</v>
      </c>
      <c r="Q1144" s="244">
        <v>0.54116898148148151</v>
      </c>
    </row>
    <row r="1145" spans="1:17" ht="51">
      <c r="A1145" s="239" t="s">
        <v>3151</v>
      </c>
      <c r="B1145" s="240">
        <v>2572</v>
      </c>
      <c r="C1145" s="241">
        <v>10394</v>
      </c>
      <c r="D1145" s="239" t="s">
        <v>2511</v>
      </c>
      <c r="E1145" s="239" t="s">
        <v>413</v>
      </c>
      <c r="F1145" s="239" t="s">
        <v>414</v>
      </c>
      <c r="G1145" s="239" t="s">
        <v>931</v>
      </c>
      <c r="H1145" s="239" t="s">
        <v>51</v>
      </c>
      <c r="I1145" s="239" t="s">
        <v>2512</v>
      </c>
      <c r="J1145" s="234">
        <v>44290</v>
      </c>
      <c r="K1145" s="234">
        <v>15070</v>
      </c>
      <c r="L1145" s="242">
        <v>10</v>
      </c>
      <c r="M1145" s="308">
        <v>29220</v>
      </c>
      <c r="N1145" s="234">
        <v>26298</v>
      </c>
      <c r="O1145" s="234" t="s">
        <v>3173</v>
      </c>
      <c r="P1145" s="236">
        <v>45953</v>
      </c>
      <c r="Q1145" s="244">
        <v>0.55680555555555555</v>
      </c>
    </row>
    <row r="1146" spans="1:17" ht="38.25">
      <c r="A1146" s="239" t="s">
        <v>3174</v>
      </c>
      <c r="B1146" s="240">
        <v>2589</v>
      </c>
      <c r="C1146" s="241">
        <v>7</v>
      </c>
      <c r="D1146" s="239" t="s">
        <v>2482</v>
      </c>
      <c r="E1146" s="239" t="s">
        <v>1397</v>
      </c>
      <c r="F1146" s="239" t="s">
        <v>1398</v>
      </c>
      <c r="G1146" s="239" t="s">
        <v>960</v>
      </c>
      <c r="H1146" s="239" t="s">
        <v>51</v>
      </c>
      <c r="I1146" s="239" t="s">
        <v>2465</v>
      </c>
      <c r="J1146" s="234">
        <v>43490</v>
      </c>
      <c r="K1146" s="234">
        <v>17250</v>
      </c>
      <c r="L1146" s="242">
        <v>5</v>
      </c>
      <c r="M1146" s="308">
        <v>26240</v>
      </c>
      <c r="N1146" s="234">
        <v>24928</v>
      </c>
      <c r="O1146" s="234" t="s">
        <v>3178</v>
      </c>
      <c r="P1146" s="236">
        <v>45953</v>
      </c>
      <c r="Q1146" s="244">
        <v>0.59020833333333333</v>
      </c>
    </row>
    <row r="1147" spans="1:17" ht="38.25">
      <c r="A1147" s="239" t="s">
        <v>3175</v>
      </c>
      <c r="B1147" s="240">
        <v>2575</v>
      </c>
      <c r="C1147" s="241">
        <v>11</v>
      </c>
      <c r="D1147" s="239" t="s">
        <v>2482</v>
      </c>
      <c r="E1147" s="239" t="s">
        <v>382</v>
      </c>
      <c r="F1147" s="239" t="s">
        <v>383</v>
      </c>
      <c r="G1147" s="239" t="s">
        <v>962</v>
      </c>
      <c r="H1147" s="239" t="s">
        <v>42</v>
      </c>
      <c r="I1147" s="239" t="s">
        <v>2465</v>
      </c>
      <c r="J1147" s="234">
        <v>29340</v>
      </c>
      <c r="K1147" s="234">
        <v>14730</v>
      </c>
      <c r="L1147" s="242">
        <v>9</v>
      </c>
      <c r="M1147" s="308">
        <v>14610</v>
      </c>
      <c r="N1147" s="234">
        <v>13295.1</v>
      </c>
      <c r="O1147" s="234" t="s">
        <v>3179</v>
      </c>
      <c r="P1147" s="236">
        <v>45953</v>
      </c>
      <c r="Q1147" s="244">
        <v>0.67501157407407408</v>
      </c>
    </row>
    <row r="1148" spans="1:17" ht="38.25">
      <c r="A1148" s="239" t="s">
        <v>3176</v>
      </c>
      <c r="B1148" s="240">
        <v>2590</v>
      </c>
      <c r="C1148" s="241">
        <v>9</v>
      </c>
      <c r="D1148" s="239" t="s">
        <v>2482</v>
      </c>
      <c r="E1148" s="239" t="s">
        <v>1403</v>
      </c>
      <c r="F1148" s="239" t="s">
        <v>1404</v>
      </c>
      <c r="G1148" s="239" t="s">
        <v>960</v>
      </c>
      <c r="H1148" s="239" t="s">
        <v>42</v>
      </c>
      <c r="I1148" s="239" t="s">
        <v>2465</v>
      </c>
      <c r="J1148" s="234">
        <v>39370</v>
      </c>
      <c r="K1148" s="234">
        <v>15070</v>
      </c>
      <c r="L1148" s="242">
        <v>24</v>
      </c>
      <c r="M1148" s="308">
        <v>24300</v>
      </c>
      <c r="N1148" s="234">
        <v>18468</v>
      </c>
      <c r="O1148" s="234" t="s">
        <v>3180</v>
      </c>
      <c r="P1148" s="236">
        <v>45953</v>
      </c>
      <c r="Q1148" s="244">
        <v>0.98018518518518516</v>
      </c>
    </row>
    <row r="1149" spans="1:17" ht="38.25">
      <c r="A1149" s="239" t="s">
        <v>3177</v>
      </c>
      <c r="B1149" s="240">
        <v>2591</v>
      </c>
      <c r="C1149" s="241">
        <v>8</v>
      </c>
      <c r="D1149" s="239" t="s">
        <v>2482</v>
      </c>
      <c r="E1149" s="239" t="s">
        <v>1400</v>
      </c>
      <c r="F1149" s="239" t="s">
        <v>1401</v>
      </c>
      <c r="G1149" s="239" t="s">
        <v>960</v>
      </c>
      <c r="H1149" s="239" t="s">
        <v>42</v>
      </c>
      <c r="I1149" s="239" t="s">
        <v>2465</v>
      </c>
      <c r="J1149" s="234">
        <v>37650</v>
      </c>
      <c r="K1149" s="234">
        <v>14960</v>
      </c>
      <c r="L1149" s="242">
        <v>10</v>
      </c>
      <c r="M1149" s="308">
        <v>22690</v>
      </c>
      <c r="N1149" s="234">
        <v>20421</v>
      </c>
      <c r="O1149" s="234" t="s">
        <v>3181</v>
      </c>
      <c r="P1149" s="236">
        <v>45953</v>
      </c>
      <c r="Q1149" s="244">
        <v>0.98828703703703702</v>
      </c>
    </row>
    <row r="1150" spans="1:17" ht="51">
      <c r="A1150" s="239" t="s">
        <v>3182</v>
      </c>
      <c r="B1150" s="240">
        <v>2592</v>
      </c>
      <c r="C1150" s="241">
        <v>10402</v>
      </c>
      <c r="D1150" s="239" t="s">
        <v>2511</v>
      </c>
      <c r="E1150" s="239" t="s">
        <v>377</v>
      </c>
      <c r="F1150" s="239" t="s">
        <v>378</v>
      </c>
      <c r="G1150" s="239" t="s">
        <v>931</v>
      </c>
      <c r="H1150" s="239" t="s">
        <v>51</v>
      </c>
      <c r="I1150" s="239" t="s">
        <v>2512</v>
      </c>
      <c r="J1150" s="234">
        <v>43410</v>
      </c>
      <c r="K1150" s="234">
        <v>15310</v>
      </c>
      <c r="L1150" s="242">
        <v>21</v>
      </c>
      <c r="M1150" s="308">
        <v>28100</v>
      </c>
      <c r="N1150" s="234">
        <v>22199</v>
      </c>
      <c r="O1150" s="234" t="s">
        <v>3253</v>
      </c>
      <c r="P1150" s="236">
        <v>45953</v>
      </c>
      <c r="Q1150" s="244">
        <v>0.61534722222222227</v>
      </c>
    </row>
    <row r="1151" spans="1:17" ht="51">
      <c r="A1151" s="239" t="s">
        <v>3183</v>
      </c>
      <c r="B1151" s="240">
        <v>2573</v>
      </c>
      <c r="C1151" s="241">
        <v>10395</v>
      </c>
      <c r="D1151" s="239" t="s">
        <v>2511</v>
      </c>
      <c r="E1151" s="239" t="s">
        <v>410</v>
      </c>
      <c r="F1151" s="239" t="s">
        <v>411</v>
      </c>
      <c r="G1151" s="239" t="s">
        <v>931</v>
      </c>
      <c r="H1151" s="239" t="s">
        <v>51</v>
      </c>
      <c r="I1151" s="239" t="s">
        <v>2512</v>
      </c>
      <c r="J1151" s="234">
        <v>39800</v>
      </c>
      <c r="K1151" s="234">
        <v>15050</v>
      </c>
      <c r="L1151" s="242">
        <v>12</v>
      </c>
      <c r="M1151" s="308">
        <v>24750</v>
      </c>
      <c r="N1151" s="234">
        <v>21780</v>
      </c>
      <c r="O1151" s="234" t="s">
        <v>3254</v>
      </c>
      <c r="P1151" s="236">
        <v>45953</v>
      </c>
      <c r="Q1151" s="244">
        <v>0.66893518518518513</v>
      </c>
    </row>
    <row r="1152" spans="1:17" ht="51">
      <c r="A1152" s="239" t="s">
        <v>3184</v>
      </c>
      <c r="B1152" s="240">
        <v>2576</v>
      </c>
      <c r="C1152" s="241">
        <v>10396</v>
      </c>
      <c r="D1152" s="239" t="s">
        <v>2511</v>
      </c>
      <c r="E1152" s="239" t="s">
        <v>432</v>
      </c>
      <c r="F1152" s="239" t="s">
        <v>433</v>
      </c>
      <c r="G1152" s="239" t="s">
        <v>931</v>
      </c>
      <c r="H1152" s="239" t="s">
        <v>51</v>
      </c>
      <c r="I1152" s="239" t="s">
        <v>2512</v>
      </c>
      <c r="J1152" s="234">
        <v>44690</v>
      </c>
      <c r="K1152" s="234">
        <v>15780</v>
      </c>
      <c r="L1152" s="242">
        <v>12</v>
      </c>
      <c r="M1152" s="308">
        <v>28910</v>
      </c>
      <c r="N1152" s="234">
        <v>25440.799999999999</v>
      </c>
      <c r="O1152" s="234" t="s">
        <v>3255</v>
      </c>
      <c r="P1152" s="236">
        <v>45953</v>
      </c>
      <c r="Q1152" s="244">
        <v>0.67984953703703699</v>
      </c>
    </row>
    <row r="1153" spans="1:17" ht="51">
      <c r="A1153" s="239" t="s">
        <v>3185</v>
      </c>
      <c r="B1153" s="240">
        <v>2593</v>
      </c>
      <c r="C1153" s="241">
        <v>10404</v>
      </c>
      <c r="D1153" s="239" t="s">
        <v>2511</v>
      </c>
      <c r="E1153" s="239" t="s">
        <v>462</v>
      </c>
      <c r="F1153" s="239" t="s">
        <v>463</v>
      </c>
      <c r="G1153" s="239" t="s">
        <v>931</v>
      </c>
      <c r="H1153" s="239" t="s">
        <v>51</v>
      </c>
      <c r="I1153" s="239" t="s">
        <v>2512</v>
      </c>
      <c r="J1153" s="234">
        <v>40070</v>
      </c>
      <c r="K1153" s="234">
        <v>16520</v>
      </c>
      <c r="L1153" s="242">
        <v>17</v>
      </c>
      <c r="M1153" s="308">
        <v>23550</v>
      </c>
      <c r="N1153" s="234">
        <v>19546.5</v>
      </c>
      <c r="O1153" s="234" t="s">
        <v>3256</v>
      </c>
      <c r="P1153" s="236">
        <v>45953</v>
      </c>
      <c r="Q1153" s="244">
        <v>0.68814814814814818</v>
      </c>
    </row>
    <row r="1154" spans="1:17" ht="51">
      <c r="A1154" s="239" t="s">
        <v>3186</v>
      </c>
      <c r="B1154" s="240">
        <v>2594</v>
      </c>
      <c r="C1154" s="241">
        <v>10405</v>
      </c>
      <c r="D1154" s="239" t="s">
        <v>2511</v>
      </c>
      <c r="E1154" s="239" t="s">
        <v>472</v>
      </c>
      <c r="F1154" s="239" t="s">
        <v>473</v>
      </c>
      <c r="G1154" s="239" t="s">
        <v>931</v>
      </c>
      <c r="H1154" s="239" t="s">
        <v>51</v>
      </c>
      <c r="I1154" s="239" t="s">
        <v>2512</v>
      </c>
      <c r="J1154" s="234">
        <v>39890</v>
      </c>
      <c r="K1154" s="234">
        <v>16580</v>
      </c>
      <c r="L1154" s="242">
        <v>23</v>
      </c>
      <c r="M1154" s="308">
        <v>23310</v>
      </c>
      <c r="N1154" s="234">
        <v>17948.7</v>
      </c>
      <c r="O1154" s="234" t="s">
        <v>3257</v>
      </c>
      <c r="P1154" s="236">
        <v>45953</v>
      </c>
      <c r="Q1154" s="244">
        <v>0.69128472222222226</v>
      </c>
    </row>
    <row r="1155" spans="1:17" ht="51">
      <c r="A1155" s="239" t="s">
        <v>3187</v>
      </c>
      <c r="B1155" s="240">
        <v>2580</v>
      </c>
      <c r="C1155" s="241">
        <v>10397</v>
      </c>
      <c r="D1155" s="239" t="s">
        <v>2511</v>
      </c>
      <c r="E1155" s="239" t="s">
        <v>403</v>
      </c>
      <c r="F1155" s="239" t="s">
        <v>404</v>
      </c>
      <c r="G1155" s="239" t="s">
        <v>931</v>
      </c>
      <c r="H1155" s="239" t="s">
        <v>51</v>
      </c>
      <c r="I1155" s="239" t="s">
        <v>2512</v>
      </c>
      <c r="J1155" s="234">
        <v>39390</v>
      </c>
      <c r="K1155" s="234">
        <v>14580</v>
      </c>
      <c r="L1155" s="242">
        <v>28</v>
      </c>
      <c r="M1155" s="308">
        <v>24810</v>
      </c>
      <c r="N1155" s="234">
        <v>17863.2</v>
      </c>
      <c r="O1155" s="234" t="s">
        <v>3258</v>
      </c>
      <c r="P1155" s="236">
        <v>45953</v>
      </c>
      <c r="Q1155" s="244">
        <v>0.73032407407407407</v>
      </c>
    </row>
    <row r="1156" spans="1:17" ht="51">
      <c r="A1156" s="239" t="s">
        <v>3188</v>
      </c>
      <c r="B1156" s="240">
        <v>2581</v>
      </c>
      <c r="C1156" s="241">
        <v>10398</v>
      </c>
      <c r="D1156" s="239" t="s">
        <v>2511</v>
      </c>
      <c r="E1156" s="239" t="s">
        <v>406</v>
      </c>
      <c r="F1156" s="239" t="s">
        <v>407</v>
      </c>
      <c r="G1156" s="239" t="s">
        <v>931</v>
      </c>
      <c r="H1156" s="239" t="s">
        <v>51</v>
      </c>
      <c r="I1156" s="239" t="s">
        <v>2512</v>
      </c>
      <c r="J1156" s="234">
        <v>39540</v>
      </c>
      <c r="K1156" s="234">
        <v>15120</v>
      </c>
      <c r="L1156" s="242">
        <v>21</v>
      </c>
      <c r="M1156" s="308">
        <v>24420</v>
      </c>
      <c r="N1156" s="234">
        <v>19291.8</v>
      </c>
      <c r="O1156" s="234" t="s">
        <v>3259</v>
      </c>
      <c r="P1156" s="236">
        <v>45953</v>
      </c>
      <c r="Q1156" s="244">
        <v>0.7361226851851852</v>
      </c>
    </row>
    <row r="1157" spans="1:17" ht="51">
      <c r="A1157" s="239" t="s">
        <v>3189</v>
      </c>
      <c r="B1157" s="240">
        <v>2595</v>
      </c>
      <c r="C1157" s="241">
        <v>98</v>
      </c>
      <c r="D1157" s="239" t="s">
        <v>2881</v>
      </c>
      <c r="E1157" s="239" t="s">
        <v>475</v>
      </c>
      <c r="F1157" s="239" t="s">
        <v>476</v>
      </c>
      <c r="G1157" s="239" t="s">
        <v>144</v>
      </c>
      <c r="H1157" s="239" t="s">
        <v>51</v>
      </c>
      <c r="I1157" s="239" t="s">
        <v>2882</v>
      </c>
      <c r="J1157" s="234">
        <v>42440</v>
      </c>
      <c r="K1157" s="234">
        <v>16580</v>
      </c>
      <c r="L1157" s="242">
        <v>9</v>
      </c>
      <c r="M1157" s="308">
        <v>25860</v>
      </c>
      <c r="N1157" s="234">
        <v>23532.6</v>
      </c>
      <c r="O1157" s="234" t="s">
        <v>3260</v>
      </c>
      <c r="P1157" s="236">
        <v>45953</v>
      </c>
      <c r="Q1157" s="244">
        <v>0.77003472222222225</v>
      </c>
    </row>
    <row r="1158" spans="1:17" ht="38.25">
      <c r="A1158" s="239" t="s">
        <v>3190</v>
      </c>
      <c r="B1158" s="240">
        <v>2596</v>
      </c>
      <c r="C1158" s="241">
        <v>101</v>
      </c>
      <c r="D1158" s="239" t="s">
        <v>2881</v>
      </c>
      <c r="E1158" s="239" t="s">
        <v>429</v>
      </c>
      <c r="F1158" s="239" t="s">
        <v>430</v>
      </c>
      <c r="G1158" s="239" t="s">
        <v>957</v>
      </c>
      <c r="H1158" s="239" t="s">
        <v>51</v>
      </c>
      <c r="I1158" s="239" t="s">
        <v>2882</v>
      </c>
      <c r="J1158" s="234">
        <v>41720</v>
      </c>
      <c r="K1158" s="234">
        <v>14690</v>
      </c>
      <c r="L1158" s="242">
        <v>20</v>
      </c>
      <c r="M1158" s="308">
        <v>27030</v>
      </c>
      <c r="N1158" s="234">
        <v>21624</v>
      </c>
      <c r="O1158" s="234" t="s">
        <v>3261</v>
      </c>
      <c r="P1158" s="236">
        <v>45953</v>
      </c>
      <c r="Q1158" s="244">
        <v>0.80258101851851849</v>
      </c>
    </row>
    <row r="1159" spans="1:17" ht="51">
      <c r="A1159" s="239" t="s">
        <v>3191</v>
      </c>
      <c r="B1159" s="240">
        <v>2597</v>
      </c>
      <c r="C1159" s="241">
        <v>10406</v>
      </c>
      <c r="D1159" s="239" t="s">
        <v>2511</v>
      </c>
      <c r="E1159" s="239" t="s">
        <v>456</v>
      </c>
      <c r="F1159" s="239" t="s">
        <v>457</v>
      </c>
      <c r="G1159" s="239" t="s">
        <v>931</v>
      </c>
      <c r="H1159" s="239" t="s">
        <v>51</v>
      </c>
      <c r="I1159" s="239" t="s">
        <v>2512</v>
      </c>
      <c r="J1159" s="234">
        <v>47500</v>
      </c>
      <c r="K1159" s="234">
        <v>15870</v>
      </c>
      <c r="L1159" s="242">
        <v>12</v>
      </c>
      <c r="M1159" s="308">
        <v>31630</v>
      </c>
      <c r="N1159" s="234">
        <v>27834.400000000001</v>
      </c>
      <c r="O1159" s="234" t="s">
        <v>3262</v>
      </c>
      <c r="P1159" s="236">
        <v>45953</v>
      </c>
      <c r="Q1159" s="244">
        <v>0.82261574074074073</v>
      </c>
    </row>
    <row r="1160" spans="1:17" ht="51">
      <c r="A1160" s="239" t="s">
        <v>3192</v>
      </c>
      <c r="B1160" s="240">
        <v>2599</v>
      </c>
      <c r="C1160" s="241">
        <v>10422</v>
      </c>
      <c r="D1160" s="239" t="s">
        <v>2511</v>
      </c>
      <c r="E1160" s="239" t="s">
        <v>841</v>
      </c>
      <c r="F1160" s="239" t="s">
        <v>845</v>
      </c>
      <c r="G1160" s="239" t="s">
        <v>931</v>
      </c>
      <c r="H1160" s="239" t="s">
        <v>51</v>
      </c>
      <c r="I1160" s="239" t="s">
        <v>2512</v>
      </c>
      <c r="J1160" s="234">
        <v>42510</v>
      </c>
      <c r="K1160" s="234">
        <v>15760</v>
      </c>
      <c r="L1160" s="242">
        <v>6</v>
      </c>
      <c r="M1160" s="308">
        <v>26750</v>
      </c>
      <c r="N1160" s="234">
        <v>25145</v>
      </c>
      <c r="O1160" s="234" t="s">
        <v>3263</v>
      </c>
      <c r="P1160" s="236">
        <v>45953</v>
      </c>
      <c r="Q1160" s="244">
        <v>0.85024305555555557</v>
      </c>
    </row>
    <row r="1161" spans="1:17" ht="38.25">
      <c r="A1161" s="239" t="s">
        <v>3193</v>
      </c>
      <c r="B1161" s="240">
        <v>2600</v>
      </c>
      <c r="C1161" s="241">
        <v>99</v>
      </c>
      <c r="D1161" s="239" t="s">
        <v>2881</v>
      </c>
      <c r="E1161" s="239" t="s">
        <v>783</v>
      </c>
      <c r="F1161" s="239" t="s">
        <v>784</v>
      </c>
      <c r="G1161" s="239" t="s">
        <v>949</v>
      </c>
      <c r="H1161" s="239" t="s">
        <v>51</v>
      </c>
      <c r="I1161" s="239" t="s">
        <v>2882</v>
      </c>
      <c r="J1161" s="234">
        <v>39310</v>
      </c>
      <c r="K1161" s="234">
        <v>14640</v>
      </c>
      <c r="L1161" s="242">
        <v>13</v>
      </c>
      <c r="M1161" s="308">
        <v>24670</v>
      </c>
      <c r="N1161" s="234">
        <v>21462.9</v>
      </c>
      <c r="O1161" s="234" t="s">
        <v>3264</v>
      </c>
      <c r="P1161" s="236">
        <v>45953</v>
      </c>
      <c r="Q1161" s="244">
        <v>0.86001157407407403</v>
      </c>
    </row>
    <row r="1162" spans="1:17" ht="51">
      <c r="A1162" s="239" t="s">
        <v>3194</v>
      </c>
      <c r="B1162" s="240">
        <v>2601</v>
      </c>
      <c r="C1162" s="241">
        <v>10429</v>
      </c>
      <c r="D1162" s="239" t="s">
        <v>2511</v>
      </c>
      <c r="E1162" s="239" t="s">
        <v>794</v>
      </c>
      <c r="F1162" s="239" t="s">
        <v>795</v>
      </c>
      <c r="G1162" s="239" t="s">
        <v>931</v>
      </c>
      <c r="H1162" s="239" t="s">
        <v>51</v>
      </c>
      <c r="I1162" s="239" t="s">
        <v>2512</v>
      </c>
      <c r="J1162" s="234">
        <v>42490</v>
      </c>
      <c r="K1162" s="234">
        <v>16080</v>
      </c>
      <c r="L1162" s="242">
        <v>9</v>
      </c>
      <c r="M1162" s="308">
        <v>26410</v>
      </c>
      <c r="N1162" s="234">
        <v>24033.1</v>
      </c>
      <c r="O1162" s="234" t="s">
        <v>3265</v>
      </c>
      <c r="P1162" s="236">
        <v>45953</v>
      </c>
      <c r="Q1162" s="244">
        <v>0.86293981481481485</v>
      </c>
    </row>
    <row r="1163" spans="1:17" ht="51">
      <c r="A1163" s="239" t="s">
        <v>3195</v>
      </c>
      <c r="B1163" s="240">
        <v>2603</v>
      </c>
      <c r="C1163" s="241">
        <v>10424</v>
      </c>
      <c r="D1163" s="239" t="s">
        <v>2511</v>
      </c>
      <c r="E1163" s="239" t="s">
        <v>791</v>
      </c>
      <c r="F1163" s="239" t="s">
        <v>792</v>
      </c>
      <c r="G1163" s="239" t="s">
        <v>931</v>
      </c>
      <c r="H1163" s="239" t="s">
        <v>51</v>
      </c>
      <c r="I1163" s="239" t="s">
        <v>2512</v>
      </c>
      <c r="J1163" s="234">
        <v>40770</v>
      </c>
      <c r="K1163" s="234">
        <v>14910</v>
      </c>
      <c r="L1163" s="242">
        <v>22</v>
      </c>
      <c r="M1163" s="308">
        <v>25860</v>
      </c>
      <c r="N1163" s="234">
        <v>20170.8</v>
      </c>
      <c r="O1163" s="234" t="s">
        <v>3266</v>
      </c>
      <c r="P1163" s="236">
        <v>45953</v>
      </c>
      <c r="Q1163" s="244">
        <v>0.8858449074074074</v>
      </c>
    </row>
    <row r="1164" spans="1:17" ht="38.25">
      <c r="A1164" s="239" t="s">
        <v>3196</v>
      </c>
      <c r="B1164" s="240">
        <v>2604</v>
      </c>
      <c r="C1164" s="241">
        <v>100</v>
      </c>
      <c r="D1164" s="239" t="s">
        <v>2881</v>
      </c>
      <c r="E1164" s="239" t="s">
        <v>786</v>
      </c>
      <c r="F1164" s="239" t="s">
        <v>787</v>
      </c>
      <c r="G1164" s="239" t="s">
        <v>951</v>
      </c>
      <c r="H1164" s="239" t="s">
        <v>51</v>
      </c>
      <c r="I1164" s="239" t="s">
        <v>2882</v>
      </c>
      <c r="J1164" s="234">
        <v>35540</v>
      </c>
      <c r="K1164" s="234">
        <v>13860</v>
      </c>
      <c r="L1164" s="242">
        <v>18</v>
      </c>
      <c r="M1164" s="308">
        <v>21680</v>
      </c>
      <c r="N1164" s="234">
        <v>17777.599999999999</v>
      </c>
      <c r="O1164" s="234" t="s">
        <v>3267</v>
      </c>
      <c r="P1164" s="236">
        <v>45953</v>
      </c>
      <c r="Q1164" s="244">
        <v>0.90038194444444442</v>
      </c>
    </row>
    <row r="1165" spans="1:17" ht="51">
      <c r="A1165" s="239" t="s">
        <v>3197</v>
      </c>
      <c r="B1165" s="240">
        <v>2605</v>
      </c>
      <c r="C1165" s="241">
        <v>10592</v>
      </c>
      <c r="D1165" s="239" t="s">
        <v>2511</v>
      </c>
      <c r="E1165" s="239" t="s">
        <v>380</v>
      </c>
      <c r="F1165" s="239" t="s">
        <v>381</v>
      </c>
      <c r="G1165" s="239" t="s">
        <v>931</v>
      </c>
      <c r="H1165" s="239" t="s">
        <v>51</v>
      </c>
      <c r="I1165" s="239" t="s">
        <v>2512</v>
      </c>
      <c r="J1165" s="234">
        <v>40040</v>
      </c>
      <c r="K1165" s="234">
        <v>15100</v>
      </c>
      <c r="L1165" s="242">
        <v>12</v>
      </c>
      <c r="M1165" s="308">
        <v>24940</v>
      </c>
      <c r="N1165" s="234">
        <v>21947.200000000001</v>
      </c>
      <c r="O1165" s="234" t="s">
        <v>3268</v>
      </c>
      <c r="P1165" s="236">
        <v>45953</v>
      </c>
      <c r="Q1165" s="244">
        <v>0.90763888888888888</v>
      </c>
    </row>
    <row r="1166" spans="1:17" ht="51">
      <c r="A1166" s="239" t="s">
        <v>3198</v>
      </c>
      <c r="B1166" s="240">
        <v>2584</v>
      </c>
      <c r="C1166" s="241">
        <v>10399</v>
      </c>
      <c r="D1166" s="239" t="s">
        <v>2511</v>
      </c>
      <c r="E1166" s="239" t="s">
        <v>416</v>
      </c>
      <c r="F1166" s="239" t="s">
        <v>417</v>
      </c>
      <c r="G1166" s="239" t="s">
        <v>931</v>
      </c>
      <c r="H1166" s="239" t="s">
        <v>51</v>
      </c>
      <c r="I1166" s="239" t="s">
        <v>2512</v>
      </c>
      <c r="J1166" s="234">
        <v>38940</v>
      </c>
      <c r="K1166" s="234">
        <v>14770</v>
      </c>
      <c r="L1166" s="242">
        <v>4</v>
      </c>
      <c r="M1166" s="308">
        <v>24170</v>
      </c>
      <c r="N1166" s="234">
        <v>23203.200000000001</v>
      </c>
      <c r="O1166" s="234" t="s">
        <v>3269</v>
      </c>
      <c r="P1166" s="236">
        <v>45953</v>
      </c>
      <c r="Q1166" s="244">
        <v>0.97496527777777775</v>
      </c>
    </row>
    <row r="1167" spans="1:17" ht="51">
      <c r="A1167" s="239" t="s">
        <v>3199</v>
      </c>
      <c r="B1167" s="240">
        <v>2587</v>
      </c>
      <c r="C1167" s="241">
        <v>10400</v>
      </c>
      <c r="D1167" s="239" t="s">
        <v>2511</v>
      </c>
      <c r="E1167" s="239" t="s">
        <v>420</v>
      </c>
      <c r="F1167" s="239" t="s">
        <v>421</v>
      </c>
      <c r="G1167" s="239" t="s">
        <v>931</v>
      </c>
      <c r="H1167" s="239" t="s">
        <v>51</v>
      </c>
      <c r="I1167" s="239" t="s">
        <v>2512</v>
      </c>
      <c r="J1167" s="234">
        <v>38070</v>
      </c>
      <c r="K1167" s="234">
        <v>15030</v>
      </c>
      <c r="L1167" s="242">
        <v>7</v>
      </c>
      <c r="M1167" s="308">
        <v>23040</v>
      </c>
      <c r="N1167" s="234">
        <v>21427.200000000001</v>
      </c>
      <c r="O1167" s="234" t="s">
        <v>3270</v>
      </c>
      <c r="P1167" s="236">
        <v>45953</v>
      </c>
      <c r="Q1167" s="244">
        <v>0.97718749999999999</v>
      </c>
    </row>
    <row r="1168" spans="1:17" ht="51">
      <c r="A1168" s="239" t="s">
        <v>3200</v>
      </c>
      <c r="B1168" s="240">
        <v>2606</v>
      </c>
      <c r="C1168" s="241">
        <v>10643</v>
      </c>
      <c r="D1168" s="239" t="s">
        <v>2511</v>
      </c>
      <c r="E1168" s="239" t="s">
        <v>372</v>
      </c>
      <c r="F1168" s="239" t="s">
        <v>373</v>
      </c>
      <c r="G1168" s="239" t="s">
        <v>931</v>
      </c>
      <c r="H1168" s="239" t="s">
        <v>51</v>
      </c>
      <c r="I1168" s="239" t="s">
        <v>2512</v>
      </c>
      <c r="J1168" s="234">
        <v>39190</v>
      </c>
      <c r="K1168" s="234">
        <v>15080</v>
      </c>
      <c r="L1168" s="242">
        <v>26</v>
      </c>
      <c r="M1168" s="308">
        <v>24110</v>
      </c>
      <c r="N1168" s="234">
        <v>17841.400000000001</v>
      </c>
      <c r="O1168" s="234" t="s">
        <v>3271</v>
      </c>
      <c r="P1168" s="236">
        <v>45954</v>
      </c>
      <c r="Q1168" s="244">
        <v>0.61634259259259261</v>
      </c>
    </row>
    <row r="1169" spans="1:17" ht="51">
      <c r="A1169" s="239" t="s">
        <v>3201</v>
      </c>
      <c r="B1169" s="240">
        <v>2607</v>
      </c>
      <c r="C1169" s="241">
        <v>10653</v>
      </c>
      <c r="D1169" s="239" t="s">
        <v>2511</v>
      </c>
      <c r="E1169" s="239" t="s">
        <v>447</v>
      </c>
      <c r="F1169" s="239" t="s">
        <v>448</v>
      </c>
      <c r="G1169" s="239" t="s">
        <v>931</v>
      </c>
      <c r="H1169" s="239" t="s">
        <v>51</v>
      </c>
      <c r="I1169" s="239" t="s">
        <v>2512</v>
      </c>
      <c r="J1169" s="234">
        <v>35510</v>
      </c>
      <c r="K1169" s="234">
        <v>19560</v>
      </c>
      <c r="L1169" s="242">
        <v>16</v>
      </c>
      <c r="M1169" s="308">
        <v>15950</v>
      </c>
      <c r="N1169" s="234">
        <v>13398</v>
      </c>
      <c r="O1169" s="234" t="s">
        <v>3272</v>
      </c>
      <c r="P1169" s="236">
        <v>45954</v>
      </c>
      <c r="Q1169" s="244">
        <v>0.62886574074074075</v>
      </c>
    </row>
    <row r="1170" spans="1:17" ht="51">
      <c r="A1170" s="239" t="s">
        <v>3202</v>
      </c>
      <c r="B1170" s="240">
        <v>2613</v>
      </c>
      <c r="C1170" s="241">
        <v>10630</v>
      </c>
      <c r="D1170" s="239" t="s">
        <v>2511</v>
      </c>
      <c r="E1170" s="239" t="s">
        <v>1978</v>
      </c>
      <c r="F1170" s="239" t="s">
        <v>1979</v>
      </c>
      <c r="G1170" s="239" t="s">
        <v>933</v>
      </c>
      <c r="H1170" s="239" t="s">
        <v>42</v>
      </c>
      <c r="I1170" s="239" t="s">
        <v>2512</v>
      </c>
      <c r="J1170" s="234">
        <v>25770</v>
      </c>
      <c r="K1170" s="234">
        <v>14250</v>
      </c>
      <c r="L1170" s="242">
        <v>24</v>
      </c>
      <c r="M1170" s="308">
        <v>11520</v>
      </c>
      <c r="N1170" s="234">
        <v>8755.2000000000007</v>
      </c>
      <c r="O1170" s="234" t="s">
        <v>3273</v>
      </c>
      <c r="P1170" s="236">
        <v>45954</v>
      </c>
      <c r="Q1170" s="244">
        <v>0.63517361111111115</v>
      </c>
    </row>
    <row r="1171" spans="1:17" ht="38.25">
      <c r="A1171" s="239" t="s">
        <v>3203</v>
      </c>
      <c r="B1171" s="240">
        <v>2614</v>
      </c>
      <c r="C1171" s="241">
        <v>104</v>
      </c>
      <c r="D1171" s="239" t="s">
        <v>2881</v>
      </c>
      <c r="E1171" s="239" t="s">
        <v>369</v>
      </c>
      <c r="F1171" s="239" t="s">
        <v>370</v>
      </c>
      <c r="G1171" s="239" t="s">
        <v>144</v>
      </c>
      <c r="H1171" s="239" t="s">
        <v>51</v>
      </c>
      <c r="I1171" s="239" t="s">
        <v>2882</v>
      </c>
      <c r="J1171" s="234">
        <v>39360</v>
      </c>
      <c r="K1171" s="234">
        <v>15280</v>
      </c>
      <c r="L1171" s="242">
        <v>6</v>
      </c>
      <c r="M1171" s="308">
        <v>24080</v>
      </c>
      <c r="N1171" s="234">
        <v>22635.200000000001</v>
      </c>
      <c r="O1171" s="234" t="s">
        <v>3274</v>
      </c>
      <c r="P1171" s="236">
        <v>45954</v>
      </c>
      <c r="Q1171" s="244">
        <v>0.69314814814814818</v>
      </c>
    </row>
    <row r="1172" spans="1:17" ht="38.25">
      <c r="A1172" s="239" t="s">
        <v>3204</v>
      </c>
      <c r="B1172" s="240">
        <v>2615</v>
      </c>
      <c r="C1172" s="241">
        <v>107</v>
      </c>
      <c r="D1172" s="239" t="s">
        <v>2881</v>
      </c>
      <c r="E1172" s="239" t="s">
        <v>390</v>
      </c>
      <c r="F1172" s="239" t="s">
        <v>391</v>
      </c>
      <c r="G1172" s="239" t="s">
        <v>144</v>
      </c>
      <c r="H1172" s="239" t="s">
        <v>51</v>
      </c>
      <c r="I1172" s="239" t="s">
        <v>2882</v>
      </c>
      <c r="J1172" s="234">
        <v>39860</v>
      </c>
      <c r="K1172" s="234">
        <v>15190</v>
      </c>
      <c r="L1172" s="242">
        <v>7</v>
      </c>
      <c r="M1172" s="308">
        <v>24670</v>
      </c>
      <c r="N1172" s="234">
        <v>22943.1</v>
      </c>
      <c r="O1172" s="234" t="s">
        <v>3275</v>
      </c>
      <c r="P1172" s="236">
        <v>45954</v>
      </c>
      <c r="Q1172" s="244">
        <v>0.71164351851851848</v>
      </c>
    </row>
    <row r="1173" spans="1:17" ht="38.25">
      <c r="A1173" s="239" t="s">
        <v>3205</v>
      </c>
      <c r="B1173" s="240">
        <v>2617</v>
      </c>
      <c r="C1173" s="241">
        <v>105</v>
      </c>
      <c r="D1173" s="239" t="s">
        <v>2881</v>
      </c>
      <c r="E1173" s="239" t="s">
        <v>442</v>
      </c>
      <c r="F1173" s="239" t="s">
        <v>443</v>
      </c>
      <c r="G1173" s="239" t="s">
        <v>144</v>
      </c>
      <c r="H1173" s="239" t="s">
        <v>51</v>
      </c>
      <c r="I1173" s="239" t="s">
        <v>2882</v>
      </c>
      <c r="J1173" s="234">
        <v>35770</v>
      </c>
      <c r="K1173" s="234">
        <v>14630</v>
      </c>
      <c r="L1173" s="242">
        <v>7</v>
      </c>
      <c r="M1173" s="308">
        <v>21140</v>
      </c>
      <c r="N1173" s="234">
        <v>19660.2</v>
      </c>
      <c r="O1173" s="234" t="s">
        <v>3276</v>
      </c>
      <c r="P1173" s="236">
        <v>45954</v>
      </c>
      <c r="Q1173" s="244">
        <v>0.75366898148148154</v>
      </c>
    </row>
    <row r="1174" spans="1:17" ht="38.25">
      <c r="A1174" s="239" t="s">
        <v>3206</v>
      </c>
      <c r="B1174" s="240">
        <v>2618</v>
      </c>
      <c r="C1174" s="241">
        <v>102</v>
      </c>
      <c r="D1174" s="239" t="s">
        <v>2881</v>
      </c>
      <c r="E1174" s="239" t="s">
        <v>432</v>
      </c>
      <c r="F1174" s="239" t="s">
        <v>433</v>
      </c>
      <c r="G1174" s="239" t="s">
        <v>144</v>
      </c>
      <c r="H1174" s="239" t="s">
        <v>51</v>
      </c>
      <c r="I1174" s="239" t="s">
        <v>2882</v>
      </c>
      <c r="J1174" s="234">
        <v>47420</v>
      </c>
      <c r="K1174" s="234">
        <v>15920</v>
      </c>
      <c r="L1174" s="242">
        <v>7</v>
      </c>
      <c r="M1174" s="308">
        <v>31500</v>
      </c>
      <c r="N1174" s="234">
        <v>29295</v>
      </c>
      <c r="O1174" s="234" t="s">
        <v>3277</v>
      </c>
      <c r="P1174" s="236">
        <v>45954</v>
      </c>
      <c r="Q1174" s="244">
        <v>0.76005787037037043</v>
      </c>
    </row>
    <row r="1175" spans="1:17" ht="38.25">
      <c r="A1175" s="239" t="s">
        <v>3207</v>
      </c>
      <c r="B1175" s="240">
        <v>2623</v>
      </c>
      <c r="C1175" s="241">
        <v>110</v>
      </c>
      <c r="D1175" s="239" t="s">
        <v>2881</v>
      </c>
      <c r="E1175" s="239" t="s">
        <v>439</v>
      </c>
      <c r="F1175" s="239" t="s">
        <v>440</v>
      </c>
      <c r="G1175" s="239" t="s">
        <v>144</v>
      </c>
      <c r="H1175" s="239" t="s">
        <v>51</v>
      </c>
      <c r="I1175" s="239" t="s">
        <v>2882</v>
      </c>
      <c r="J1175" s="234">
        <v>43580</v>
      </c>
      <c r="K1175" s="234">
        <v>15320</v>
      </c>
      <c r="L1175" s="242">
        <v>5</v>
      </c>
      <c r="M1175" s="308">
        <v>28260</v>
      </c>
      <c r="N1175" s="234">
        <v>26847</v>
      </c>
      <c r="O1175" s="234" t="s">
        <v>3278</v>
      </c>
      <c r="P1175" s="236">
        <v>45954</v>
      </c>
      <c r="Q1175" s="244">
        <v>0.78944444444444439</v>
      </c>
    </row>
    <row r="1176" spans="1:17" ht="38.25">
      <c r="A1176" s="239" t="s">
        <v>3208</v>
      </c>
      <c r="B1176" s="240">
        <v>2620</v>
      </c>
      <c r="C1176" s="241">
        <v>109</v>
      </c>
      <c r="D1176" s="239" t="s">
        <v>2881</v>
      </c>
      <c r="E1176" s="239" t="s">
        <v>1410</v>
      </c>
      <c r="F1176" s="239" t="s">
        <v>437</v>
      </c>
      <c r="G1176" s="239" t="s">
        <v>144</v>
      </c>
      <c r="H1176" s="239" t="s">
        <v>51</v>
      </c>
      <c r="I1176" s="239" t="s">
        <v>2882</v>
      </c>
      <c r="J1176" s="234">
        <v>42450</v>
      </c>
      <c r="K1176" s="234">
        <v>15120</v>
      </c>
      <c r="L1176" s="242">
        <v>8</v>
      </c>
      <c r="M1176" s="308">
        <v>27330</v>
      </c>
      <c r="N1176" s="234">
        <v>25143.599999999999</v>
      </c>
      <c r="O1176" s="234" t="s">
        <v>3279</v>
      </c>
      <c r="P1176" s="236">
        <v>45954</v>
      </c>
      <c r="Q1176" s="244">
        <v>0.81222222222222218</v>
      </c>
    </row>
    <row r="1177" spans="1:17" ht="38.25">
      <c r="A1177" s="239" t="s">
        <v>3209</v>
      </c>
      <c r="B1177" s="240">
        <v>2624</v>
      </c>
      <c r="C1177" s="241">
        <v>111</v>
      </c>
      <c r="D1177" s="239" t="s">
        <v>2881</v>
      </c>
      <c r="E1177" s="239" t="s">
        <v>413</v>
      </c>
      <c r="F1177" s="239" t="s">
        <v>414</v>
      </c>
      <c r="G1177" s="239" t="s">
        <v>144</v>
      </c>
      <c r="H1177" s="239" t="s">
        <v>51</v>
      </c>
      <c r="I1177" s="239" t="s">
        <v>2882</v>
      </c>
      <c r="J1177" s="234">
        <v>45360</v>
      </c>
      <c r="K1177" s="234">
        <v>15180</v>
      </c>
      <c r="L1177" s="242">
        <v>6</v>
      </c>
      <c r="M1177" s="308">
        <v>30180</v>
      </c>
      <c r="N1177" s="234">
        <v>28369.200000000001</v>
      </c>
      <c r="O1177" s="234" t="s">
        <v>3280</v>
      </c>
      <c r="P1177" s="236">
        <v>45954</v>
      </c>
      <c r="Q1177" s="244">
        <v>0.84603009259259254</v>
      </c>
    </row>
    <row r="1178" spans="1:17" ht="38.25">
      <c r="A1178" s="239" t="s">
        <v>3210</v>
      </c>
      <c r="B1178" s="240">
        <v>2625</v>
      </c>
      <c r="C1178" s="241">
        <v>106</v>
      </c>
      <c r="D1178" s="239" t="s">
        <v>2881</v>
      </c>
      <c r="E1178" s="239" t="s">
        <v>392</v>
      </c>
      <c r="F1178" s="239" t="s">
        <v>393</v>
      </c>
      <c r="G1178" s="239" t="s">
        <v>144</v>
      </c>
      <c r="H1178" s="239" t="s">
        <v>51</v>
      </c>
      <c r="I1178" s="239" t="s">
        <v>2882</v>
      </c>
      <c r="J1178" s="234">
        <v>65370</v>
      </c>
      <c r="K1178" s="234">
        <v>24190</v>
      </c>
      <c r="L1178" s="242">
        <v>10</v>
      </c>
      <c r="M1178" s="308">
        <v>41180</v>
      </c>
      <c r="N1178" s="234">
        <v>37062</v>
      </c>
      <c r="O1178" s="234" t="s">
        <v>3281</v>
      </c>
      <c r="P1178" s="236">
        <v>45954</v>
      </c>
      <c r="Q1178" s="244">
        <v>0.8746990740740741</v>
      </c>
    </row>
    <row r="1179" spans="1:17" ht="51">
      <c r="A1179" s="239" t="s">
        <v>3211</v>
      </c>
      <c r="B1179" s="240">
        <v>2621</v>
      </c>
      <c r="C1179" s="241">
        <v>108</v>
      </c>
      <c r="D1179" s="239" t="s">
        <v>2881</v>
      </c>
      <c r="E1179" s="239" t="s">
        <v>475</v>
      </c>
      <c r="F1179" s="239" t="s">
        <v>476</v>
      </c>
      <c r="G1179" s="239" t="s">
        <v>144</v>
      </c>
      <c r="H1179" s="239" t="s">
        <v>51</v>
      </c>
      <c r="I1179" s="239" t="s">
        <v>2882</v>
      </c>
      <c r="J1179" s="234">
        <v>42930</v>
      </c>
      <c r="K1179" s="234">
        <v>16560</v>
      </c>
      <c r="L1179" s="242">
        <v>9</v>
      </c>
      <c r="M1179" s="308">
        <v>26370</v>
      </c>
      <c r="N1179" s="234">
        <v>23996.7</v>
      </c>
      <c r="O1179" s="234" t="s">
        <v>3282</v>
      </c>
      <c r="P1179" s="236">
        <v>45954</v>
      </c>
      <c r="Q1179" s="244">
        <v>0.8903240740740741</v>
      </c>
    </row>
    <row r="1180" spans="1:17" ht="38.25">
      <c r="A1180" s="239" t="s">
        <v>3212</v>
      </c>
      <c r="B1180" s="240">
        <v>2626</v>
      </c>
      <c r="C1180" s="241">
        <v>112</v>
      </c>
      <c r="D1180" s="239" t="s">
        <v>2881</v>
      </c>
      <c r="E1180" s="239" t="s">
        <v>429</v>
      </c>
      <c r="F1180" s="239" t="s">
        <v>430</v>
      </c>
      <c r="G1180" s="239" t="s">
        <v>144</v>
      </c>
      <c r="H1180" s="239" t="s">
        <v>51</v>
      </c>
      <c r="I1180" s="239" t="s">
        <v>2882</v>
      </c>
      <c r="J1180" s="234">
        <v>43030</v>
      </c>
      <c r="K1180" s="234">
        <v>14520</v>
      </c>
      <c r="L1180" s="242">
        <v>13</v>
      </c>
      <c r="M1180" s="308">
        <v>28510</v>
      </c>
      <c r="N1180" s="234">
        <v>24803.7</v>
      </c>
      <c r="O1180" s="234" t="s">
        <v>3283</v>
      </c>
      <c r="P1180" s="236">
        <v>45954</v>
      </c>
      <c r="Q1180" s="244">
        <v>0.90620370370370373</v>
      </c>
    </row>
    <row r="1181" spans="1:17" ht="38.25">
      <c r="A1181" s="239" t="s">
        <v>3213</v>
      </c>
      <c r="B1181" s="240">
        <v>2629</v>
      </c>
      <c r="C1181" s="241">
        <v>115</v>
      </c>
      <c r="D1181" s="239" t="s">
        <v>2881</v>
      </c>
      <c r="E1181" s="239" t="s">
        <v>416</v>
      </c>
      <c r="F1181" s="239" t="s">
        <v>417</v>
      </c>
      <c r="G1181" s="239" t="s">
        <v>144</v>
      </c>
      <c r="H1181" s="239" t="s">
        <v>51</v>
      </c>
      <c r="I1181" s="239" t="s">
        <v>2882</v>
      </c>
      <c r="J1181" s="234">
        <v>39760</v>
      </c>
      <c r="K1181" s="234">
        <v>14960</v>
      </c>
      <c r="L1181" s="242">
        <v>8</v>
      </c>
      <c r="M1181" s="308">
        <v>24800</v>
      </c>
      <c r="N1181" s="234">
        <v>22816</v>
      </c>
      <c r="O1181" s="234" t="s">
        <v>3284</v>
      </c>
      <c r="P1181" s="236">
        <v>45955</v>
      </c>
      <c r="Q1181" s="244">
        <v>9.3587962962962956E-2</v>
      </c>
    </row>
    <row r="1182" spans="1:17" ht="38.25">
      <c r="A1182" s="239" t="s">
        <v>3214</v>
      </c>
      <c r="B1182" s="240">
        <v>2630</v>
      </c>
      <c r="C1182" s="241">
        <v>114</v>
      </c>
      <c r="D1182" s="239" t="s">
        <v>2881</v>
      </c>
      <c r="E1182" s="239" t="s">
        <v>456</v>
      </c>
      <c r="F1182" s="239" t="s">
        <v>457</v>
      </c>
      <c r="G1182" s="239" t="s">
        <v>144</v>
      </c>
      <c r="H1182" s="239" t="s">
        <v>51</v>
      </c>
      <c r="I1182" s="239" t="s">
        <v>2882</v>
      </c>
      <c r="J1182" s="234">
        <v>48380</v>
      </c>
      <c r="K1182" s="234">
        <v>16100</v>
      </c>
      <c r="L1182" s="242">
        <v>5</v>
      </c>
      <c r="M1182" s="308">
        <v>32280</v>
      </c>
      <c r="N1182" s="234">
        <v>30666</v>
      </c>
      <c r="O1182" s="234" t="s">
        <v>3285</v>
      </c>
      <c r="P1182" s="236">
        <v>45955</v>
      </c>
      <c r="Q1182" s="244">
        <v>0.12350694444444445</v>
      </c>
    </row>
    <row r="1183" spans="1:17" ht="38.25">
      <c r="A1183" s="239" t="s">
        <v>3215</v>
      </c>
      <c r="B1183" s="240">
        <v>2631</v>
      </c>
      <c r="C1183" s="241">
        <v>103</v>
      </c>
      <c r="D1183" s="239" t="s">
        <v>2881</v>
      </c>
      <c r="E1183" s="239" t="s">
        <v>388</v>
      </c>
      <c r="F1183" s="239" t="s">
        <v>389</v>
      </c>
      <c r="G1183" s="239" t="s">
        <v>144</v>
      </c>
      <c r="H1183" s="239" t="s">
        <v>51</v>
      </c>
      <c r="I1183" s="239" t="s">
        <v>2882</v>
      </c>
      <c r="J1183" s="234">
        <v>65510</v>
      </c>
      <c r="K1183" s="234">
        <v>21340</v>
      </c>
      <c r="L1183" s="242">
        <v>9</v>
      </c>
      <c r="M1183" s="308">
        <v>44170</v>
      </c>
      <c r="N1183" s="234">
        <v>40194.699999999997</v>
      </c>
      <c r="O1183" s="234" t="s">
        <v>3286</v>
      </c>
      <c r="P1183" s="236">
        <v>45955</v>
      </c>
      <c r="Q1183" s="244">
        <v>0.21094907407407407</v>
      </c>
    </row>
    <row r="1184" spans="1:17" ht="38.25">
      <c r="A1184" s="239" t="s">
        <v>3216</v>
      </c>
      <c r="B1184" s="240">
        <v>2632</v>
      </c>
      <c r="C1184" s="241">
        <v>116</v>
      </c>
      <c r="D1184" s="239" t="s">
        <v>2881</v>
      </c>
      <c r="E1184" s="239" t="s">
        <v>420</v>
      </c>
      <c r="F1184" s="239" t="s">
        <v>421</v>
      </c>
      <c r="G1184" s="239" t="s">
        <v>949</v>
      </c>
      <c r="H1184" s="239" t="s">
        <v>51</v>
      </c>
      <c r="I1184" s="239" t="s">
        <v>2882</v>
      </c>
      <c r="J1184" s="234">
        <v>36960</v>
      </c>
      <c r="K1184" s="234">
        <v>15100</v>
      </c>
      <c r="L1184" s="242">
        <v>36</v>
      </c>
      <c r="M1184" s="308">
        <v>21860</v>
      </c>
      <c r="N1184" s="234">
        <v>13990.4</v>
      </c>
      <c r="O1184" s="234" t="s">
        <v>3287</v>
      </c>
      <c r="P1184" s="236">
        <v>45955</v>
      </c>
      <c r="Q1184" s="244">
        <v>0.32381944444444444</v>
      </c>
    </row>
    <row r="1185" spans="1:17" ht="38.25">
      <c r="A1185" s="239" t="s">
        <v>3217</v>
      </c>
      <c r="B1185" s="240">
        <v>2633</v>
      </c>
      <c r="C1185" s="241">
        <v>113</v>
      </c>
      <c r="D1185" s="239" t="s">
        <v>2881</v>
      </c>
      <c r="E1185" s="239" t="s">
        <v>453</v>
      </c>
      <c r="F1185" s="239" t="s">
        <v>454</v>
      </c>
      <c r="G1185" s="239" t="s">
        <v>949</v>
      </c>
      <c r="H1185" s="239" t="s">
        <v>51</v>
      </c>
      <c r="I1185" s="239" t="s">
        <v>2882</v>
      </c>
      <c r="J1185" s="234">
        <v>65120</v>
      </c>
      <c r="K1185" s="234">
        <v>24710</v>
      </c>
      <c r="L1185" s="242">
        <v>20</v>
      </c>
      <c r="M1185" s="308">
        <v>40410</v>
      </c>
      <c r="N1185" s="234">
        <v>32328</v>
      </c>
      <c r="O1185" s="234" t="s">
        <v>3288</v>
      </c>
      <c r="P1185" s="236">
        <v>45955</v>
      </c>
      <c r="Q1185" s="244">
        <v>0.32738425925925924</v>
      </c>
    </row>
    <row r="1186" spans="1:17" ht="38.25">
      <c r="A1186" s="239" t="s">
        <v>3218</v>
      </c>
      <c r="B1186" s="240">
        <v>2634</v>
      </c>
      <c r="C1186" s="241">
        <v>117</v>
      </c>
      <c r="D1186" s="239" t="s">
        <v>2881</v>
      </c>
      <c r="E1186" s="239" t="s">
        <v>400</v>
      </c>
      <c r="F1186" s="239" t="s">
        <v>401</v>
      </c>
      <c r="G1186" s="239" t="s">
        <v>949</v>
      </c>
      <c r="H1186" s="239" t="s">
        <v>51</v>
      </c>
      <c r="I1186" s="239" t="s">
        <v>2882</v>
      </c>
      <c r="J1186" s="234">
        <v>40430</v>
      </c>
      <c r="K1186" s="234">
        <v>14910</v>
      </c>
      <c r="L1186" s="242">
        <v>15</v>
      </c>
      <c r="M1186" s="308">
        <v>25520</v>
      </c>
      <c r="N1186" s="234">
        <v>21692</v>
      </c>
      <c r="O1186" s="234" t="s">
        <v>3289</v>
      </c>
      <c r="P1186" s="236">
        <v>45955</v>
      </c>
      <c r="Q1186" s="244">
        <v>0.36861111111111111</v>
      </c>
    </row>
    <row r="1187" spans="1:17" ht="38.25">
      <c r="A1187" s="239" t="s">
        <v>3219</v>
      </c>
      <c r="B1187" s="240">
        <v>2635</v>
      </c>
      <c r="C1187" s="241">
        <v>118</v>
      </c>
      <c r="D1187" s="239" t="s">
        <v>2881</v>
      </c>
      <c r="E1187" s="239" t="s">
        <v>382</v>
      </c>
      <c r="F1187" s="239" t="s">
        <v>383</v>
      </c>
      <c r="G1187" s="239" t="s">
        <v>949</v>
      </c>
      <c r="H1187" s="239" t="s">
        <v>51</v>
      </c>
      <c r="I1187" s="239" t="s">
        <v>2882</v>
      </c>
      <c r="J1187" s="234">
        <v>36670</v>
      </c>
      <c r="K1187" s="234">
        <v>14860</v>
      </c>
      <c r="L1187" s="242">
        <v>27</v>
      </c>
      <c r="M1187" s="308">
        <v>21810</v>
      </c>
      <c r="N1187" s="234">
        <v>15921.3</v>
      </c>
      <c r="O1187" s="234" t="s">
        <v>3290</v>
      </c>
      <c r="P1187" s="236">
        <v>45955</v>
      </c>
      <c r="Q1187" s="244">
        <v>0.40012731481481484</v>
      </c>
    </row>
    <row r="1188" spans="1:17" ht="38.25">
      <c r="A1188" s="239" t="s">
        <v>3220</v>
      </c>
      <c r="B1188" s="240">
        <v>2636</v>
      </c>
      <c r="C1188" s="241">
        <v>119</v>
      </c>
      <c r="D1188" s="239" t="s">
        <v>2881</v>
      </c>
      <c r="E1188" s="239" t="s">
        <v>841</v>
      </c>
      <c r="F1188" s="239" t="s">
        <v>845</v>
      </c>
      <c r="G1188" s="239" t="s">
        <v>949</v>
      </c>
      <c r="H1188" s="239" t="s">
        <v>51</v>
      </c>
      <c r="I1188" s="239" t="s">
        <v>2882</v>
      </c>
      <c r="J1188" s="234">
        <v>41660</v>
      </c>
      <c r="K1188" s="234">
        <v>15900</v>
      </c>
      <c r="L1188" s="242">
        <v>9</v>
      </c>
      <c r="M1188" s="308">
        <v>25760</v>
      </c>
      <c r="N1188" s="234">
        <v>23441.599999999999</v>
      </c>
      <c r="O1188" s="234" t="s">
        <v>3291</v>
      </c>
      <c r="P1188" s="236">
        <v>45955</v>
      </c>
      <c r="Q1188" s="244">
        <v>0.42601851851851852</v>
      </c>
    </row>
    <row r="1189" spans="1:17" ht="38.25">
      <c r="A1189" s="239" t="s">
        <v>3221</v>
      </c>
      <c r="B1189" s="240">
        <v>2637</v>
      </c>
      <c r="C1189" s="241">
        <v>120</v>
      </c>
      <c r="D1189" s="239" t="s">
        <v>2881</v>
      </c>
      <c r="E1189" s="239" t="s">
        <v>425</v>
      </c>
      <c r="F1189" s="239" t="s">
        <v>426</v>
      </c>
      <c r="G1189" s="239" t="s">
        <v>949</v>
      </c>
      <c r="H1189" s="239" t="s">
        <v>51</v>
      </c>
      <c r="I1189" s="239" t="s">
        <v>2882</v>
      </c>
      <c r="J1189" s="234">
        <v>47570</v>
      </c>
      <c r="K1189" s="234">
        <v>18960</v>
      </c>
      <c r="L1189" s="242">
        <v>13</v>
      </c>
      <c r="M1189" s="308">
        <v>28610</v>
      </c>
      <c r="N1189" s="234">
        <v>24890.7</v>
      </c>
      <c r="O1189" s="234" t="s">
        <v>3292</v>
      </c>
      <c r="P1189" s="236">
        <v>45955</v>
      </c>
      <c r="Q1189" s="244">
        <v>0.47685185185185186</v>
      </c>
    </row>
    <row r="1190" spans="1:17" ht="38.25">
      <c r="A1190" s="239" t="s">
        <v>3222</v>
      </c>
      <c r="B1190" s="240">
        <v>2638</v>
      </c>
      <c r="C1190" s="241">
        <v>122</v>
      </c>
      <c r="D1190" s="239" t="s">
        <v>2881</v>
      </c>
      <c r="E1190" s="239" t="s">
        <v>384</v>
      </c>
      <c r="F1190" s="239" t="s">
        <v>385</v>
      </c>
      <c r="G1190" s="239" t="s">
        <v>949</v>
      </c>
      <c r="H1190" s="239" t="s">
        <v>51</v>
      </c>
      <c r="I1190" s="239" t="s">
        <v>2882</v>
      </c>
      <c r="J1190" s="234">
        <v>35900</v>
      </c>
      <c r="K1190" s="234">
        <v>14090</v>
      </c>
      <c r="L1190" s="242">
        <v>9</v>
      </c>
      <c r="M1190" s="308">
        <v>21810</v>
      </c>
      <c r="N1190" s="234">
        <v>19847.099999999999</v>
      </c>
      <c r="O1190" s="234" t="s">
        <v>3293</v>
      </c>
      <c r="P1190" s="236">
        <v>45955</v>
      </c>
      <c r="Q1190" s="244">
        <v>0.51138888888888889</v>
      </c>
    </row>
    <row r="1191" spans="1:17" ht="38.25">
      <c r="A1191" s="239" t="s">
        <v>3223</v>
      </c>
      <c r="B1191" s="240">
        <v>2639</v>
      </c>
      <c r="C1191" s="241">
        <v>121</v>
      </c>
      <c r="D1191" s="239" t="s">
        <v>2881</v>
      </c>
      <c r="E1191" s="239" t="s">
        <v>2793</v>
      </c>
      <c r="F1191" s="239" t="s">
        <v>2794</v>
      </c>
      <c r="G1191" s="239" t="s">
        <v>949</v>
      </c>
      <c r="H1191" s="239" t="s">
        <v>51</v>
      </c>
      <c r="I1191" s="239" t="s">
        <v>2882</v>
      </c>
      <c r="J1191" s="234">
        <v>47350</v>
      </c>
      <c r="K1191" s="234">
        <v>17730</v>
      </c>
      <c r="L1191" s="242">
        <v>14</v>
      </c>
      <c r="M1191" s="308">
        <v>29620</v>
      </c>
      <c r="N1191" s="234">
        <v>25473.200000000001</v>
      </c>
      <c r="O1191" s="234" t="s">
        <v>3294</v>
      </c>
      <c r="P1191" s="236">
        <v>45955</v>
      </c>
      <c r="Q1191" s="244">
        <v>0.56344907407407407</v>
      </c>
    </row>
    <row r="1192" spans="1:17" ht="38.25">
      <c r="A1192" s="239" t="s">
        <v>3224</v>
      </c>
      <c r="B1192" s="240">
        <v>2642</v>
      </c>
      <c r="C1192" s="241">
        <v>123</v>
      </c>
      <c r="D1192" s="239" t="s">
        <v>2881</v>
      </c>
      <c r="E1192" s="239" t="s">
        <v>783</v>
      </c>
      <c r="F1192" s="239" t="s">
        <v>784</v>
      </c>
      <c r="G1192" s="239" t="s">
        <v>949</v>
      </c>
      <c r="H1192" s="239" t="s">
        <v>51</v>
      </c>
      <c r="I1192" s="239" t="s">
        <v>2882</v>
      </c>
      <c r="J1192" s="234">
        <v>39590</v>
      </c>
      <c r="K1192" s="234">
        <v>14630</v>
      </c>
      <c r="L1192" s="242">
        <v>7</v>
      </c>
      <c r="M1192" s="308">
        <v>24960</v>
      </c>
      <c r="N1192" s="234">
        <v>23212.799999999999</v>
      </c>
      <c r="O1192" s="234" t="s">
        <v>3295</v>
      </c>
      <c r="P1192" s="236">
        <v>45955</v>
      </c>
      <c r="Q1192" s="244">
        <v>0.61107638888888893</v>
      </c>
    </row>
    <row r="1193" spans="1:17" ht="38.25">
      <c r="A1193" s="239" t="s">
        <v>3225</v>
      </c>
      <c r="B1193" s="240">
        <v>2644</v>
      </c>
      <c r="C1193" s="241">
        <v>124</v>
      </c>
      <c r="D1193" s="239" t="s">
        <v>2881</v>
      </c>
      <c r="E1193" s="239" t="s">
        <v>403</v>
      </c>
      <c r="F1193" s="239" t="s">
        <v>404</v>
      </c>
      <c r="G1193" s="239" t="s">
        <v>949</v>
      </c>
      <c r="H1193" s="239" t="s">
        <v>51</v>
      </c>
      <c r="I1193" s="239" t="s">
        <v>2882</v>
      </c>
      <c r="J1193" s="234">
        <v>40220</v>
      </c>
      <c r="K1193" s="234">
        <v>14710</v>
      </c>
      <c r="L1193" s="242">
        <v>11</v>
      </c>
      <c r="M1193" s="308">
        <v>25510</v>
      </c>
      <c r="N1193" s="234">
        <v>22703.9</v>
      </c>
      <c r="O1193" s="234" t="s">
        <v>3296</v>
      </c>
      <c r="P1193" s="236">
        <v>45955</v>
      </c>
      <c r="Q1193" s="244">
        <v>0.65311342592592592</v>
      </c>
    </row>
    <row r="1194" spans="1:17" ht="38.25">
      <c r="A1194" s="239" t="s">
        <v>3226</v>
      </c>
      <c r="B1194" s="240">
        <v>2645</v>
      </c>
      <c r="C1194" s="241">
        <v>125</v>
      </c>
      <c r="D1194" s="239" t="s">
        <v>2881</v>
      </c>
      <c r="E1194" s="239" t="s">
        <v>406</v>
      </c>
      <c r="F1194" s="239" t="s">
        <v>407</v>
      </c>
      <c r="G1194" s="239" t="s">
        <v>949</v>
      </c>
      <c r="H1194" s="239" t="s">
        <v>51</v>
      </c>
      <c r="I1194" s="239" t="s">
        <v>2882</v>
      </c>
      <c r="J1194" s="234">
        <v>39450</v>
      </c>
      <c r="K1194" s="234">
        <v>15280</v>
      </c>
      <c r="L1194" s="242">
        <v>9</v>
      </c>
      <c r="M1194" s="308">
        <v>24170</v>
      </c>
      <c r="N1194" s="234">
        <v>21994.7</v>
      </c>
      <c r="O1194" s="234" t="s">
        <v>3297</v>
      </c>
      <c r="P1194" s="236">
        <v>45955</v>
      </c>
      <c r="Q1194" s="244">
        <v>0.67835648148148153</v>
      </c>
    </row>
    <row r="1195" spans="1:17" ht="38.25">
      <c r="A1195" s="239" t="s">
        <v>3227</v>
      </c>
      <c r="B1195" s="240">
        <v>2646</v>
      </c>
      <c r="C1195" s="241">
        <v>126</v>
      </c>
      <c r="D1195" s="239" t="s">
        <v>2881</v>
      </c>
      <c r="E1195" s="239" t="s">
        <v>794</v>
      </c>
      <c r="F1195" s="239" t="s">
        <v>795</v>
      </c>
      <c r="G1195" s="239" t="s">
        <v>949</v>
      </c>
      <c r="H1195" s="239" t="s">
        <v>51</v>
      </c>
      <c r="I1195" s="239" t="s">
        <v>2882</v>
      </c>
      <c r="J1195" s="234">
        <v>42790</v>
      </c>
      <c r="K1195" s="234">
        <v>16240</v>
      </c>
      <c r="L1195" s="242">
        <v>11</v>
      </c>
      <c r="M1195" s="308">
        <v>26550</v>
      </c>
      <c r="N1195" s="234">
        <v>23629.5</v>
      </c>
      <c r="O1195" s="234" t="s">
        <v>3298</v>
      </c>
      <c r="P1195" s="236">
        <v>45955</v>
      </c>
      <c r="Q1195" s="244">
        <v>0.74700231481481483</v>
      </c>
    </row>
    <row r="1196" spans="1:17" ht="38.25">
      <c r="A1196" s="239" t="s">
        <v>3228</v>
      </c>
      <c r="B1196" s="240">
        <v>2648</v>
      </c>
      <c r="C1196" s="241">
        <v>127</v>
      </c>
      <c r="D1196" s="239" t="s">
        <v>2881</v>
      </c>
      <c r="E1196" s="239" t="s">
        <v>791</v>
      </c>
      <c r="F1196" s="239" t="s">
        <v>792</v>
      </c>
      <c r="G1196" s="239" t="s">
        <v>949</v>
      </c>
      <c r="H1196" s="239" t="s">
        <v>51</v>
      </c>
      <c r="I1196" s="239" t="s">
        <v>2882</v>
      </c>
      <c r="J1196" s="234">
        <v>40190</v>
      </c>
      <c r="K1196" s="234">
        <v>15090</v>
      </c>
      <c r="L1196" s="242">
        <v>8</v>
      </c>
      <c r="M1196" s="308">
        <v>25100</v>
      </c>
      <c r="N1196" s="234">
        <v>23092</v>
      </c>
      <c r="O1196" s="234" t="s">
        <v>3299</v>
      </c>
      <c r="P1196" s="236">
        <v>45955</v>
      </c>
      <c r="Q1196" s="244">
        <v>0.80040509259259263</v>
      </c>
    </row>
    <row r="1197" spans="1:17" ht="38.25">
      <c r="A1197" s="239" t="s">
        <v>3229</v>
      </c>
      <c r="B1197" s="240">
        <v>2650</v>
      </c>
      <c r="C1197" s="241">
        <v>128</v>
      </c>
      <c r="D1197" s="239" t="s">
        <v>2881</v>
      </c>
      <c r="E1197" s="239" t="s">
        <v>786</v>
      </c>
      <c r="F1197" s="239" t="s">
        <v>787</v>
      </c>
      <c r="G1197" s="239" t="s">
        <v>949</v>
      </c>
      <c r="H1197" s="239" t="s">
        <v>51</v>
      </c>
      <c r="I1197" s="239" t="s">
        <v>2882</v>
      </c>
      <c r="J1197" s="234">
        <v>34860</v>
      </c>
      <c r="K1197" s="234">
        <v>13990</v>
      </c>
      <c r="L1197" s="242">
        <v>9</v>
      </c>
      <c r="M1197" s="308">
        <v>20870</v>
      </c>
      <c r="N1197" s="234">
        <v>18991.7</v>
      </c>
      <c r="O1197" s="234" t="s">
        <v>3300</v>
      </c>
      <c r="P1197" s="236">
        <v>45955</v>
      </c>
      <c r="Q1197" s="244">
        <v>0.81790509259259259</v>
      </c>
    </row>
    <row r="1198" spans="1:17" ht="38.25">
      <c r="A1198" s="239" t="s">
        <v>3230</v>
      </c>
      <c r="B1198" s="240">
        <v>2652</v>
      </c>
      <c r="C1198" s="241">
        <v>129</v>
      </c>
      <c r="D1198" s="239" t="s">
        <v>2881</v>
      </c>
      <c r="E1198" s="239" t="s">
        <v>380</v>
      </c>
      <c r="F1198" s="239" t="s">
        <v>381</v>
      </c>
      <c r="G1198" s="239" t="s">
        <v>949</v>
      </c>
      <c r="H1198" s="239" t="s">
        <v>51</v>
      </c>
      <c r="I1198" s="239" t="s">
        <v>2882</v>
      </c>
      <c r="J1198" s="234">
        <v>39070</v>
      </c>
      <c r="K1198" s="234">
        <v>15260</v>
      </c>
      <c r="L1198" s="242">
        <v>15</v>
      </c>
      <c r="M1198" s="308">
        <v>23810</v>
      </c>
      <c r="N1198" s="234">
        <v>20238.5</v>
      </c>
      <c r="O1198" s="234" t="s">
        <v>3301</v>
      </c>
      <c r="P1198" s="236">
        <v>45955</v>
      </c>
      <c r="Q1198" s="244">
        <v>0.91032407407407412</v>
      </c>
    </row>
    <row r="1199" spans="1:17" ht="38.25">
      <c r="A1199" s="239" t="s">
        <v>3231</v>
      </c>
      <c r="B1199" s="240">
        <v>2655</v>
      </c>
      <c r="C1199" s="241">
        <v>131</v>
      </c>
      <c r="D1199" s="239" t="s">
        <v>2881</v>
      </c>
      <c r="E1199" s="239" t="s">
        <v>372</v>
      </c>
      <c r="F1199" s="239" t="s">
        <v>373</v>
      </c>
      <c r="G1199" s="239" t="s">
        <v>949</v>
      </c>
      <c r="H1199" s="239" t="s">
        <v>51</v>
      </c>
      <c r="I1199" s="239" t="s">
        <v>2882</v>
      </c>
      <c r="J1199" s="234">
        <v>37840</v>
      </c>
      <c r="K1199" s="234">
        <v>15190</v>
      </c>
      <c r="L1199" s="242">
        <v>11</v>
      </c>
      <c r="M1199" s="308">
        <v>22650</v>
      </c>
      <c r="N1199" s="234">
        <v>20158.5</v>
      </c>
      <c r="O1199" s="234" t="s">
        <v>3302</v>
      </c>
      <c r="P1199" s="236">
        <v>45955</v>
      </c>
      <c r="Q1199" s="244">
        <v>0.97458333333333336</v>
      </c>
    </row>
    <row r="1200" spans="1:17" ht="38.25">
      <c r="A1200" s="239" t="s">
        <v>3232</v>
      </c>
      <c r="B1200" s="240">
        <v>2654</v>
      </c>
      <c r="C1200" s="241">
        <v>130</v>
      </c>
      <c r="D1200" s="239" t="s">
        <v>2881</v>
      </c>
      <c r="E1200" s="239" t="s">
        <v>447</v>
      </c>
      <c r="F1200" s="239" t="s">
        <v>448</v>
      </c>
      <c r="G1200" s="239" t="s">
        <v>949</v>
      </c>
      <c r="H1200" s="239" t="s">
        <v>51</v>
      </c>
      <c r="I1200" s="239" t="s">
        <v>2882</v>
      </c>
      <c r="J1200" s="234">
        <v>47720</v>
      </c>
      <c r="K1200" s="234">
        <v>19870</v>
      </c>
      <c r="L1200" s="242">
        <v>25</v>
      </c>
      <c r="M1200" s="308">
        <v>27850</v>
      </c>
      <c r="N1200" s="234">
        <v>20887.5</v>
      </c>
      <c r="O1200" s="234" t="s">
        <v>3303</v>
      </c>
      <c r="P1200" s="236">
        <v>45955</v>
      </c>
      <c r="Q1200" s="244">
        <v>0.99812500000000004</v>
      </c>
    </row>
    <row r="1201" spans="1:17" ht="38.25">
      <c r="A1201" s="239" t="s">
        <v>3233</v>
      </c>
      <c r="B1201" s="240">
        <v>2656</v>
      </c>
      <c r="C1201" s="241">
        <v>132</v>
      </c>
      <c r="D1201" s="239" t="s">
        <v>2881</v>
      </c>
      <c r="E1201" s="239" t="s">
        <v>369</v>
      </c>
      <c r="F1201" s="239" t="s">
        <v>370</v>
      </c>
      <c r="G1201" s="239" t="s">
        <v>949</v>
      </c>
      <c r="H1201" s="239" t="s">
        <v>51</v>
      </c>
      <c r="I1201" s="239" t="s">
        <v>2882</v>
      </c>
      <c r="J1201" s="234">
        <v>38140</v>
      </c>
      <c r="K1201" s="234">
        <v>15310</v>
      </c>
      <c r="L1201" s="242">
        <v>18</v>
      </c>
      <c r="M1201" s="308">
        <v>22830</v>
      </c>
      <c r="N1201" s="234">
        <v>18720.599999999999</v>
      </c>
      <c r="O1201" s="234" t="s">
        <v>3304</v>
      </c>
      <c r="P1201" s="236">
        <v>45956</v>
      </c>
      <c r="Q1201" s="244">
        <v>5.890046296296296E-2</v>
      </c>
    </row>
    <row r="1202" spans="1:17" ht="38.25">
      <c r="A1202" s="239" t="s">
        <v>3234</v>
      </c>
      <c r="B1202" s="240">
        <v>2657</v>
      </c>
      <c r="C1202" s="241">
        <v>133</v>
      </c>
      <c r="D1202" s="239" t="s">
        <v>2881</v>
      </c>
      <c r="E1202" s="239" t="s">
        <v>432</v>
      </c>
      <c r="F1202" s="239" t="s">
        <v>433</v>
      </c>
      <c r="G1202" s="239" t="s">
        <v>949</v>
      </c>
      <c r="H1202" s="239" t="s">
        <v>51</v>
      </c>
      <c r="I1202" s="239" t="s">
        <v>2882</v>
      </c>
      <c r="J1202" s="234">
        <v>42840</v>
      </c>
      <c r="K1202" s="234">
        <v>16220</v>
      </c>
      <c r="L1202" s="242">
        <v>12</v>
      </c>
      <c r="M1202" s="308">
        <v>26620</v>
      </c>
      <c r="N1202" s="234">
        <v>23425.599999999999</v>
      </c>
      <c r="O1202" s="234" t="s">
        <v>3305</v>
      </c>
      <c r="P1202" s="236">
        <v>45956</v>
      </c>
      <c r="Q1202" s="244">
        <v>9.9131944444444439E-2</v>
      </c>
    </row>
    <row r="1203" spans="1:17" ht="38.25">
      <c r="A1203" s="239" t="s">
        <v>3235</v>
      </c>
      <c r="B1203" s="240">
        <v>2659</v>
      </c>
      <c r="C1203" s="241">
        <v>134</v>
      </c>
      <c r="D1203" s="239" t="s">
        <v>2881</v>
      </c>
      <c r="E1203" s="239" t="s">
        <v>1410</v>
      </c>
      <c r="F1203" s="239" t="s">
        <v>437</v>
      </c>
      <c r="G1203" s="239" t="s">
        <v>949</v>
      </c>
      <c r="H1203" s="239" t="s">
        <v>51</v>
      </c>
      <c r="I1203" s="239" t="s">
        <v>2882</v>
      </c>
      <c r="J1203" s="234">
        <v>40760</v>
      </c>
      <c r="K1203" s="234">
        <v>15190</v>
      </c>
      <c r="L1203" s="242">
        <v>6</v>
      </c>
      <c r="M1203" s="308">
        <v>25570</v>
      </c>
      <c r="N1203" s="234">
        <v>24035.8</v>
      </c>
      <c r="O1203" s="234" t="s">
        <v>3306</v>
      </c>
      <c r="P1203" s="236">
        <v>45956</v>
      </c>
      <c r="Q1203" s="244">
        <v>0.14722222222222223</v>
      </c>
    </row>
    <row r="1204" spans="1:17" ht="38.25">
      <c r="A1204" s="239" t="s">
        <v>3236</v>
      </c>
      <c r="B1204" s="240">
        <v>2660</v>
      </c>
      <c r="C1204" s="241">
        <v>135</v>
      </c>
      <c r="D1204" s="239" t="s">
        <v>2881</v>
      </c>
      <c r="E1204" s="239" t="s">
        <v>439</v>
      </c>
      <c r="F1204" s="239" t="s">
        <v>440</v>
      </c>
      <c r="G1204" s="239" t="s">
        <v>949</v>
      </c>
      <c r="H1204" s="239" t="s">
        <v>51</v>
      </c>
      <c r="I1204" s="239" t="s">
        <v>2882</v>
      </c>
      <c r="J1204" s="234">
        <v>42230</v>
      </c>
      <c r="K1204" s="234">
        <v>15350</v>
      </c>
      <c r="L1204" s="242">
        <v>11</v>
      </c>
      <c r="M1204" s="308">
        <v>26880</v>
      </c>
      <c r="N1204" s="234">
        <v>23923.200000000001</v>
      </c>
      <c r="O1204" s="234" t="s">
        <v>3307</v>
      </c>
      <c r="P1204" s="236">
        <v>45956</v>
      </c>
      <c r="Q1204" s="244">
        <v>0.17199074074074075</v>
      </c>
    </row>
    <row r="1205" spans="1:17" ht="38.25">
      <c r="A1205" s="239" t="s">
        <v>3237</v>
      </c>
      <c r="B1205" s="240">
        <v>2661</v>
      </c>
      <c r="C1205" s="241">
        <v>136</v>
      </c>
      <c r="D1205" s="239" t="s">
        <v>2881</v>
      </c>
      <c r="E1205" s="239" t="s">
        <v>413</v>
      </c>
      <c r="F1205" s="239" t="s">
        <v>414</v>
      </c>
      <c r="G1205" s="239" t="s">
        <v>949</v>
      </c>
      <c r="H1205" s="239" t="s">
        <v>51</v>
      </c>
      <c r="I1205" s="239" t="s">
        <v>2882</v>
      </c>
      <c r="J1205" s="234">
        <v>42640</v>
      </c>
      <c r="K1205" s="234">
        <v>15310</v>
      </c>
      <c r="L1205" s="242">
        <v>16</v>
      </c>
      <c r="M1205" s="308">
        <v>27330</v>
      </c>
      <c r="N1205" s="234">
        <v>22957.200000000001</v>
      </c>
      <c r="O1205" s="234" t="s">
        <v>3308</v>
      </c>
      <c r="P1205" s="236">
        <v>45956</v>
      </c>
      <c r="Q1205" s="244">
        <v>0.21300925925925926</v>
      </c>
    </row>
    <row r="1206" spans="1:17" ht="38.25">
      <c r="A1206" s="239" t="s">
        <v>3238</v>
      </c>
      <c r="B1206" s="240">
        <v>2662</v>
      </c>
      <c r="C1206" s="241">
        <v>137</v>
      </c>
      <c r="D1206" s="239" t="s">
        <v>2881</v>
      </c>
      <c r="E1206" s="239" t="s">
        <v>429</v>
      </c>
      <c r="F1206" s="239" t="s">
        <v>430</v>
      </c>
      <c r="G1206" s="239" t="s">
        <v>949</v>
      </c>
      <c r="H1206" s="239" t="s">
        <v>51</v>
      </c>
      <c r="I1206" s="239" t="s">
        <v>2882</v>
      </c>
      <c r="J1206" s="234">
        <v>41830</v>
      </c>
      <c r="K1206" s="234">
        <v>14660</v>
      </c>
      <c r="L1206" s="242">
        <v>5</v>
      </c>
      <c r="M1206" s="308">
        <v>27170</v>
      </c>
      <c r="N1206" s="234">
        <v>25811.5</v>
      </c>
      <c r="O1206" s="234" t="s">
        <v>3309</v>
      </c>
      <c r="P1206" s="236">
        <v>45956</v>
      </c>
      <c r="Q1206" s="244">
        <v>0.25864583333333335</v>
      </c>
    </row>
    <row r="1207" spans="1:17" ht="38.25">
      <c r="A1207" s="239" t="s">
        <v>3239</v>
      </c>
      <c r="B1207" s="240">
        <v>2663</v>
      </c>
      <c r="C1207" s="241">
        <v>138</v>
      </c>
      <c r="D1207" s="239" t="s">
        <v>2881</v>
      </c>
      <c r="E1207" s="239" t="s">
        <v>416</v>
      </c>
      <c r="F1207" s="239" t="s">
        <v>417</v>
      </c>
      <c r="G1207" s="239" t="s">
        <v>949</v>
      </c>
      <c r="H1207" s="239" t="s">
        <v>51</v>
      </c>
      <c r="I1207" s="239" t="s">
        <v>2882</v>
      </c>
      <c r="J1207" s="234">
        <v>39500</v>
      </c>
      <c r="K1207" s="234">
        <v>14960</v>
      </c>
      <c r="L1207" s="242">
        <v>17</v>
      </c>
      <c r="M1207" s="308">
        <v>24540</v>
      </c>
      <c r="N1207" s="234">
        <v>20368.2</v>
      </c>
      <c r="O1207" s="234" t="s">
        <v>3310</v>
      </c>
      <c r="P1207" s="236">
        <v>45956</v>
      </c>
      <c r="Q1207" s="244">
        <v>0.27349537037037036</v>
      </c>
    </row>
    <row r="1208" spans="1:17" ht="38.25">
      <c r="A1208" s="239" t="s">
        <v>3240</v>
      </c>
      <c r="B1208" s="240">
        <v>2674</v>
      </c>
      <c r="C1208" s="241">
        <v>147</v>
      </c>
      <c r="D1208" s="239" t="s">
        <v>2881</v>
      </c>
      <c r="E1208" s="239" t="s">
        <v>382</v>
      </c>
      <c r="F1208" s="239" t="s">
        <v>383</v>
      </c>
      <c r="G1208" s="239" t="s">
        <v>949</v>
      </c>
      <c r="H1208" s="239" t="s">
        <v>51</v>
      </c>
      <c r="I1208" s="239" t="s">
        <v>2882</v>
      </c>
      <c r="J1208" s="234">
        <v>37950</v>
      </c>
      <c r="K1208" s="234">
        <v>14920</v>
      </c>
      <c r="L1208" s="242">
        <v>12</v>
      </c>
      <c r="M1208" s="308">
        <v>23030</v>
      </c>
      <c r="N1208" s="234">
        <v>20266.400000000001</v>
      </c>
      <c r="O1208" s="234" t="s">
        <v>3311</v>
      </c>
      <c r="P1208" s="236">
        <v>45956</v>
      </c>
      <c r="Q1208" s="244">
        <v>0.40121527777777777</v>
      </c>
    </row>
    <row r="1209" spans="1:17" ht="38.25">
      <c r="A1209" s="239" t="s">
        <v>3241</v>
      </c>
      <c r="B1209" s="240">
        <v>2664</v>
      </c>
      <c r="C1209" s="241">
        <v>139</v>
      </c>
      <c r="D1209" s="239" t="s">
        <v>2881</v>
      </c>
      <c r="E1209" s="239" t="s">
        <v>456</v>
      </c>
      <c r="F1209" s="239" t="s">
        <v>457</v>
      </c>
      <c r="G1209" s="239" t="s">
        <v>949</v>
      </c>
      <c r="H1209" s="239" t="s">
        <v>51</v>
      </c>
      <c r="I1209" s="239" t="s">
        <v>2882</v>
      </c>
      <c r="J1209" s="234">
        <v>47160</v>
      </c>
      <c r="K1209" s="234">
        <v>16140</v>
      </c>
      <c r="L1209" s="242">
        <v>10</v>
      </c>
      <c r="M1209" s="308">
        <v>31020</v>
      </c>
      <c r="N1209" s="234">
        <v>27918</v>
      </c>
      <c r="O1209" s="234" t="s">
        <v>3312</v>
      </c>
      <c r="P1209" s="236">
        <v>45956</v>
      </c>
      <c r="Q1209" s="244">
        <v>0.42575231481481479</v>
      </c>
    </row>
    <row r="1210" spans="1:17" ht="38.25">
      <c r="A1210" s="239" t="s">
        <v>3242</v>
      </c>
      <c r="B1210" s="240">
        <v>2665</v>
      </c>
      <c r="C1210" s="241">
        <v>116</v>
      </c>
      <c r="D1210" s="239" t="s">
        <v>2881</v>
      </c>
      <c r="E1210" s="239" t="s">
        <v>420</v>
      </c>
      <c r="F1210" s="239" t="s">
        <v>421</v>
      </c>
      <c r="G1210" s="239" t="s">
        <v>949</v>
      </c>
      <c r="H1210" s="239" t="s">
        <v>51</v>
      </c>
      <c r="I1210" s="239" t="s">
        <v>2882</v>
      </c>
      <c r="J1210" s="234">
        <v>37460</v>
      </c>
      <c r="K1210" s="234">
        <v>15070</v>
      </c>
      <c r="L1210" s="242">
        <v>9</v>
      </c>
      <c r="M1210" s="308">
        <v>22390</v>
      </c>
      <c r="N1210" s="234">
        <v>20374.900000000001</v>
      </c>
      <c r="O1210" s="234" t="s">
        <v>3313</v>
      </c>
      <c r="P1210" s="236">
        <v>45956</v>
      </c>
      <c r="Q1210" s="244">
        <v>0.46865740740740741</v>
      </c>
    </row>
    <row r="1211" spans="1:17" ht="38.25">
      <c r="A1211" s="239" t="s">
        <v>3243</v>
      </c>
      <c r="B1211" s="240">
        <v>2676</v>
      </c>
      <c r="C1211" s="241">
        <v>148</v>
      </c>
      <c r="D1211" s="239" t="s">
        <v>2881</v>
      </c>
      <c r="E1211" s="239" t="s">
        <v>390</v>
      </c>
      <c r="F1211" s="239" t="s">
        <v>391</v>
      </c>
      <c r="G1211" s="239" t="s">
        <v>949</v>
      </c>
      <c r="H1211" s="239" t="s">
        <v>51</v>
      </c>
      <c r="I1211" s="239" t="s">
        <v>2882</v>
      </c>
      <c r="J1211" s="234">
        <v>38650</v>
      </c>
      <c r="K1211" s="234">
        <v>15170</v>
      </c>
      <c r="L1211" s="242">
        <v>15</v>
      </c>
      <c r="M1211" s="308">
        <v>23480</v>
      </c>
      <c r="N1211" s="234">
        <v>19958</v>
      </c>
      <c r="O1211" s="234" t="s">
        <v>3314</v>
      </c>
      <c r="P1211" s="236">
        <v>45956</v>
      </c>
      <c r="Q1211" s="244">
        <v>0.5201041666666667</v>
      </c>
    </row>
    <row r="1212" spans="1:17" ht="38.25">
      <c r="A1212" s="239" t="s">
        <v>3244</v>
      </c>
      <c r="B1212" s="240">
        <v>2666</v>
      </c>
      <c r="C1212" s="241">
        <v>143</v>
      </c>
      <c r="D1212" s="239" t="s">
        <v>2881</v>
      </c>
      <c r="E1212" s="239" t="s">
        <v>841</v>
      </c>
      <c r="F1212" s="239" t="s">
        <v>845</v>
      </c>
      <c r="G1212" s="239" t="s">
        <v>949</v>
      </c>
      <c r="H1212" s="239" t="s">
        <v>51</v>
      </c>
      <c r="I1212" s="239" t="s">
        <v>2882</v>
      </c>
      <c r="J1212" s="234">
        <v>39580</v>
      </c>
      <c r="K1212" s="234">
        <v>15960</v>
      </c>
      <c r="L1212" s="242">
        <v>14</v>
      </c>
      <c r="M1212" s="308">
        <v>23620</v>
      </c>
      <c r="N1212" s="234">
        <v>20313.2</v>
      </c>
      <c r="O1212" s="234" t="s">
        <v>3315</v>
      </c>
      <c r="P1212" s="236">
        <v>45956</v>
      </c>
      <c r="Q1212" s="244">
        <v>0.54145833333333337</v>
      </c>
    </row>
    <row r="1213" spans="1:17" ht="38.25">
      <c r="A1213" s="239" t="s">
        <v>3245</v>
      </c>
      <c r="B1213" s="240">
        <v>2679</v>
      </c>
      <c r="C1213" s="241">
        <v>150</v>
      </c>
      <c r="D1213" s="239" t="s">
        <v>2881</v>
      </c>
      <c r="E1213" s="239" t="s">
        <v>783</v>
      </c>
      <c r="F1213" s="239" t="s">
        <v>784</v>
      </c>
      <c r="G1213" s="239" t="s">
        <v>949</v>
      </c>
      <c r="H1213" s="239" t="s">
        <v>51</v>
      </c>
      <c r="I1213" s="239" t="s">
        <v>2882</v>
      </c>
      <c r="J1213" s="234">
        <v>38380</v>
      </c>
      <c r="K1213" s="234">
        <v>14800</v>
      </c>
      <c r="L1213" s="242">
        <v>20</v>
      </c>
      <c r="M1213" s="308">
        <v>23580</v>
      </c>
      <c r="N1213" s="234">
        <v>18864</v>
      </c>
      <c r="O1213" s="234" t="s">
        <v>3316</v>
      </c>
      <c r="P1213" s="236">
        <v>45956</v>
      </c>
      <c r="Q1213" s="244">
        <v>0.54622685185185182</v>
      </c>
    </row>
    <row r="1214" spans="1:17" ht="38.25">
      <c r="A1214" s="239" t="s">
        <v>3246</v>
      </c>
      <c r="B1214" s="240">
        <v>2681</v>
      </c>
      <c r="C1214" s="241">
        <v>151</v>
      </c>
      <c r="D1214" s="239" t="s">
        <v>2881</v>
      </c>
      <c r="E1214" s="239" t="s">
        <v>794</v>
      </c>
      <c r="F1214" s="239" t="s">
        <v>795</v>
      </c>
      <c r="G1214" s="239" t="s">
        <v>949</v>
      </c>
      <c r="H1214" s="239" t="s">
        <v>51</v>
      </c>
      <c r="I1214" s="239" t="s">
        <v>2882</v>
      </c>
      <c r="J1214" s="234">
        <v>40120</v>
      </c>
      <c r="K1214" s="234">
        <v>16280</v>
      </c>
      <c r="L1214" s="242">
        <v>10</v>
      </c>
      <c r="M1214" s="308">
        <v>23840</v>
      </c>
      <c r="N1214" s="234">
        <v>21456</v>
      </c>
      <c r="O1214" s="234" t="s">
        <v>3317</v>
      </c>
      <c r="P1214" s="236">
        <v>45956</v>
      </c>
      <c r="Q1214" s="244">
        <v>0.56576388888888884</v>
      </c>
    </row>
    <row r="1215" spans="1:17" ht="38.25">
      <c r="A1215" s="239" t="s">
        <v>3247</v>
      </c>
      <c r="B1215" s="240">
        <v>2668</v>
      </c>
      <c r="C1215" s="241">
        <v>142</v>
      </c>
      <c r="D1215" s="239" t="s">
        <v>2881</v>
      </c>
      <c r="E1215" s="239" t="s">
        <v>453</v>
      </c>
      <c r="F1215" s="239" t="s">
        <v>454</v>
      </c>
      <c r="G1215" s="239" t="s">
        <v>949</v>
      </c>
      <c r="H1215" s="239" t="s">
        <v>51</v>
      </c>
      <c r="I1215" s="239" t="s">
        <v>2882</v>
      </c>
      <c r="J1215" s="234">
        <v>60070</v>
      </c>
      <c r="K1215" s="234">
        <v>24880</v>
      </c>
      <c r="L1215" s="242">
        <v>19</v>
      </c>
      <c r="M1215" s="308">
        <v>35190</v>
      </c>
      <c r="N1215" s="234">
        <v>28503.9</v>
      </c>
      <c r="O1215" s="234" t="s">
        <v>3318</v>
      </c>
      <c r="P1215" s="236">
        <v>45956</v>
      </c>
      <c r="Q1215" s="244">
        <v>0.61303240740740739</v>
      </c>
    </row>
    <row r="1216" spans="1:17" ht="38.25">
      <c r="A1216" s="239" t="s">
        <v>3248</v>
      </c>
      <c r="B1216" s="240">
        <v>2682</v>
      </c>
      <c r="C1216" s="241">
        <v>152</v>
      </c>
      <c r="D1216" s="239" t="s">
        <v>2881</v>
      </c>
      <c r="E1216" s="239" t="s">
        <v>403</v>
      </c>
      <c r="F1216" s="239" t="s">
        <v>404</v>
      </c>
      <c r="G1216" s="239" t="s">
        <v>949</v>
      </c>
      <c r="H1216" s="239" t="s">
        <v>51</v>
      </c>
      <c r="I1216" s="239" t="s">
        <v>2882</v>
      </c>
      <c r="J1216" s="234">
        <v>38970</v>
      </c>
      <c r="K1216" s="234">
        <v>14770</v>
      </c>
      <c r="L1216" s="242">
        <v>21</v>
      </c>
      <c r="M1216" s="308">
        <v>24200</v>
      </c>
      <c r="N1216" s="234">
        <v>19118</v>
      </c>
      <c r="O1216" s="234" t="s">
        <v>3319</v>
      </c>
      <c r="P1216" s="236">
        <v>45956</v>
      </c>
      <c r="Q1216" s="244">
        <v>0.62569444444444444</v>
      </c>
    </row>
    <row r="1217" spans="1:17" ht="38.25">
      <c r="A1217" s="239" t="s">
        <v>3249</v>
      </c>
      <c r="B1217" s="240">
        <v>2669</v>
      </c>
      <c r="C1217" s="241">
        <v>140</v>
      </c>
      <c r="D1217" s="239" t="s">
        <v>2881</v>
      </c>
      <c r="E1217" s="239" t="s">
        <v>388</v>
      </c>
      <c r="F1217" s="239" t="s">
        <v>389</v>
      </c>
      <c r="G1217" s="239" t="s">
        <v>949</v>
      </c>
      <c r="H1217" s="239" t="s">
        <v>51</v>
      </c>
      <c r="I1217" s="239" t="s">
        <v>2882</v>
      </c>
      <c r="J1217" s="234">
        <v>57650</v>
      </c>
      <c r="K1217" s="234">
        <v>21550</v>
      </c>
      <c r="L1217" s="242">
        <v>12</v>
      </c>
      <c r="M1217" s="308">
        <v>36100</v>
      </c>
      <c r="N1217" s="234">
        <v>31768</v>
      </c>
      <c r="O1217" s="234" t="s">
        <v>3320</v>
      </c>
      <c r="P1217" s="236">
        <v>45956</v>
      </c>
      <c r="Q1217" s="244">
        <v>0.70170138888888889</v>
      </c>
    </row>
    <row r="1218" spans="1:17" ht="38.25">
      <c r="A1218" s="239" t="s">
        <v>3250</v>
      </c>
      <c r="B1218" s="240">
        <v>2670</v>
      </c>
      <c r="C1218" s="241">
        <v>144</v>
      </c>
      <c r="D1218" s="239" t="s">
        <v>2881</v>
      </c>
      <c r="E1218" s="239" t="s">
        <v>858</v>
      </c>
      <c r="F1218" s="239" t="s">
        <v>859</v>
      </c>
      <c r="G1218" s="239" t="s">
        <v>949</v>
      </c>
      <c r="H1218" s="239" t="s">
        <v>51</v>
      </c>
      <c r="I1218" s="239" t="s">
        <v>2882</v>
      </c>
      <c r="J1218" s="234">
        <v>41370</v>
      </c>
      <c r="K1218" s="234">
        <v>15080</v>
      </c>
      <c r="L1218" s="242">
        <v>14</v>
      </c>
      <c r="M1218" s="308">
        <v>26290</v>
      </c>
      <c r="N1218" s="234">
        <v>22609.4</v>
      </c>
      <c r="O1218" s="234" t="s">
        <v>3321</v>
      </c>
      <c r="P1218" s="236">
        <v>45956</v>
      </c>
      <c r="Q1218" s="244">
        <v>0.82151620370370371</v>
      </c>
    </row>
    <row r="1219" spans="1:17" ht="38.25">
      <c r="A1219" s="239" t="s">
        <v>3251</v>
      </c>
      <c r="B1219" s="240">
        <v>2671</v>
      </c>
      <c r="C1219" s="241">
        <v>145</v>
      </c>
      <c r="D1219" s="239" t="s">
        <v>2881</v>
      </c>
      <c r="E1219" s="239" t="s">
        <v>400</v>
      </c>
      <c r="F1219" s="239" t="s">
        <v>401</v>
      </c>
      <c r="G1219" s="239" t="s">
        <v>949</v>
      </c>
      <c r="H1219" s="239" t="s">
        <v>51</v>
      </c>
      <c r="I1219" s="239" t="s">
        <v>2882</v>
      </c>
      <c r="J1219" s="234">
        <v>39590</v>
      </c>
      <c r="K1219" s="234">
        <v>14960</v>
      </c>
      <c r="L1219" s="242">
        <v>16</v>
      </c>
      <c r="M1219" s="308">
        <v>24630</v>
      </c>
      <c r="N1219" s="234">
        <v>20689.2</v>
      </c>
      <c r="O1219" s="234" t="s">
        <v>3322</v>
      </c>
      <c r="P1219" s="236">
        <v>45956</v>
      </c>
      <c r="Q1219" s="244">
        <v>0.89861111111111114</v>
      </c>
    </row>
    <row r="1220" spans="1:17" ht="38.25">
      <c r="A1220" s="239" t="s">
        <v>3411</v>
      </c>
      <c r="B1220" s="240">
        <v>2683</v>
      </c>
      <c r="C1220" s="241">
        <v>149</v>
      </c>
      <c r="D1220" s="239" t="s">
        <v>2881</v>
      </c>
      <c r="E1220" s="239" t="s">
        <v>392</v>
      </c>
      <c r="F1220" s="239" t="s">
        <v>393</v>
      </c>
      <c r="G1220" s="239" t="s">
        <v>951</v>
      </c>
      <c r="H1220" s="239" t="s">
        <v>51</v>
      </c>
      <c r="I1220" s="239" t="s">
        <v>2882</v>
      </c>
      <c r="J1220" s="234">
        <v>62600</v>
      </c>
      <c r="K1220" s="234">
        <v>24250</v>
      </c>
      <c r="L1220" s="242">
        <v>18</v>
      </c>
      <c r="M1220" s="308">
        <v>38350</v>
      </c>
      <c r="N1220" s="234">
        <v>31447</v>
      </c>
      <c r="O1220" s="234" t="s">
        <v>3414</v>
      </c>
      <c r="P1220" s="236">
        <v>45956</v>
      </c>
      <c r="Q1220" s="244">
        <v>0.74039351851851853</v>
      </c>
    </row>
    <row r="1221" spans="1:17" ht="38.25">
      <c r="A1221" s="239" t="s">
        <v>3412</v>
      </c>
      <c r="B1221" s="240">
        <v>2685</v>
      </c>
      <c r="C1221" s="241">
        <v>154</v>
      </c>
      <c r="D1221" s="239" t="s">
        <v>2881</v>
      </c>
      <c r="E1221" s="239" t="s">
        <v>442</v>
      </c>
      <c r="F1221" s="239" t="s">
        <v>443</v>
      </c>
      <c r="G1221" s="239" t="s">
        <v>951</v>
      </c>
      <c r="H1221" s="239" t="s">
        <v>51</v>
      </c>
      <c r="I1221" s="239" t="s">
        <v>2882</v>
      </c>
      <c r="J1221" s="234">
        <v>34980</v>
      </c>
      <c r="K1221" s="234">
        <v>14840</v>
      </c>
      <c r="L1221" s="242">
        <v>18</v>
      </c>
      <c r="M1221" s="308">
        <v>20140</v>
      </c>
      <c r="N1221" s="234">
        <v>16514.8</v>
      </c>
      <c r="O1221" s="234" t="s">
        <v>3415</v>
      </c>
      <c r="P1221" s="236">
        <v>45956</v>
      </c>
      <c r="Q1221" s="244">
        <v>0.7729166666666667</v>
      </c>
    </row>
    <row r="1222" spans="1:17" ht="38.25">
      <c r="A1222" s="239" t="s">
        <v>3413</v>
      </c>
      <c r="B1222" s="240">
        <v>2686</v>
      </c>
      <c r="C1222" s="241">
        <v>155</v>
      </c>
      <c r="D1222" s="239" t="s">
        <v>2881</v>
      </c>
      <c r="E1222" s="239" t="s">
        <v>786</v>
      </c>
      <c r="F1222" s="239" t="s">
        <v>787</v>
      </c>
      <c r="G1222" s="239" t="s">
        <v>951</v>
      </c>
      <c r="H1222" s="239" t="s">
        <v>51</v>
      </c>
      <c r="I1222" s="239" t="s">
        <v>2882</v>
      </c>
      <c r="J1222" s="234">
        <v>36390</v>
      </c>
      <c r="K1222" s="234">
        <v>14210</v>
      </c>
      <c r="L1222" s="242">
        <v>5</v>
      </c>
      <c r="M1222" s="308">
        <v>22180</v>
      </c>
      <c r="N1222" s="234">
        <v>21071</v>
      </c>
      <c r="O1222" s="234" t="s">
        <v>3416</v>
      </c>
      <c r="P1222" s="236">
        <v>45956</v>
      </c>
      <c r="Q1222" s="244">
        <v>0.79262731481481485</v>
      </c>
    </row>
    <row r="1223" spans="1:17" ht="38.25">
      <c r="A1223" s="239" t="s">
        <v>3252</v>
      </c>
      <c r="B1223" s="240">
        <v>2672</v>
      </c>
      <c r="C1223" s="241">
        <v>146</v>
      </c>
      <c r="D1223" s="239" t="s">
        <v>2881</v>
      </c>
      <c r="E1223" s="239" t="s">
        <v>410</v>
      </c>
      <c r="F1223" s="239" t="s">
        <v>411</v>
      </c>
      <c r="G1223" s="239" t="s">
        <v>949</v>
      </c>
      <c r="H1223" s="239" t="s">
        <v>51</v>
      </c>
      <c r="I1223" s="239" t="s">
        <v>2882</v>
      </c>
      <c r="J1223" s="234">
        <v>39870</v>
      </c>
      <c r="K1223" s="234">
        <v>15470</v>
      </c>
      <c r="L1223" s="242">
        <v>17</v>
      </c>
      <c r="M1223" s="308">
        <v>24400</v>
      </c>
      <c r="N1223" s="234">
        <v>20252</v>
      </c>
      <c r="O1223" s="234" t="s">
        <v>3323</v>
      </c>
      <c r="P1223" s="236">
        <v>45956</v>
      </c>
      <c r="Q1223" s="244">
        <v>0.9508564814814815</v>
      </c>
    </row>
    <row r="1224" spans="1:17" ht="38.25">
      <c r="A1224" s="239" t="s">
        <v>3325</v>
      </c>
      <c r="B1224" s="240">
        <v>2688</v>
      </c>
      <c r="C1224" s="241">
        <v>153</v>
      </c>
      <c r="D1224" s="239" t="s">
        <v>2881</v>
      </c>
      <c r="E1224" s="239" t="s">
        <v>791</v>
      </c>
      <c r="F1224" s="239" t="s">
        <v>792</v>
      </c>
      <c r="G1224" s="239" t="s">
        <v>951</v>
      </c>
      <c r="H1224" s="239" t="s">
        <v>51</v>
      </c>
      <c r="I1224" s="239" t="s">
        <v>2882</v>
      </c>
      <c r="J1224" s="234">
        <v>39260</v>
      </c>
      <c r="K1224" s="234">
        <v>15160</v>
      </c>
      <c r="L1224" s="242">
        <v>5</v>
      </c>
      <c r="M1224" s="308">
        <v>24100</v>
      </c>
      <c r="N1224" s="234">
        <v>22895</v>
      </c>
      <c r="O1224" s="234" t="s">
        <v>3347</v>
      </c>
      <c r="P1224" s="236">
        <v>45956</v>
      </c>
      <c r="Q1224" s="244">
        <v>0.82187500000000002</v>
      </c>
    </row>
    <row r="1225" spans="1:17" ht="38.25">
      <c r="A1225" s="239" t="s">
        <v>3326</v>
      </c>
      <c r="B1225" s="240">
        <v>2689</v>
      </c>
      <c r="C1225" s="241">
        <v>157</v>
      </c>
      <c r="D1225" s="239" t="s">
        <v>2881</v>
      </c>
      <c r="E1225" s="239" t="s">
        <v>372</v>
      </c>
      <c r="F1225" s="239" t="s">
        <v>373</v>
      </c>
      <c r="G1225" s="239" t="s">
        <v>951</v>
      </c>
      <c r="H1225" s="239" t="s">
        <v>51</v>
      </c>
      <c r="I1225" s="239" t="s">
        <v>2882</v>
      </c>
      <c r="J1225" s="234">
        <v>39280</v>
      </c>
      <c r="K1225" s="234">
        <v>15360</v>
      </c>
      <c r="L1225" s="242">
        <v>10</v>
      </c>
      <c r="M1225" s="308">
        <v>23920</v>
      </c>
      <c r="N1225" s="234">
        <v>21528</v>
      </c>
      <c r="O1225" s="234" t="s">
        <v>3348</v>
      </c>
      <c r="P1225" s="236">
        <v>45956</v>
      </c>
      <c r="Q1225" s="244">
        <v>0.86689814814814814</v>
      </c>
    </row>
    <row r="1226" spans="1:17" ht="38.25">
      <c r="A1226" s="239" t="s">
        <v>3327</v>
      </c>
      <c r="B1226" s="240">
        <v>2691</v>
      </c>
      <c r="C1226" s="241">
        <v>156</v>
      </c>
      <c r="D1226" s="239" t="s">
        <v>2881</v>
      </c>
      <c r="E1226" s="239" t="s">
        <v>447</v>
      </c>
      <c r="F1226" s="239" t="s">
        <v>448</v>
      </c>
      <c r="G1226" s="239" t="s">
        <v>951</v>
      </c>
      <c r="H1226" s="239" t="s">
        <v>51</v>
      </c>
      <c r="I1226" s="239" t="s">
        <v>2882</v>
      </c>
      <c r="J1226" s="234">
        <v>53440</v>
      </c>
      <c r="K1226" s="234">
        <v>19890</v>
      </c>
      <c r="L1226" s="242">
        <v>11</v>
      </c>
      <c r="M1226" s="308">
        <v>33550</v>
      </c>
      <c r="N1226" s="234">
        <v>29859.5</v>
      </c>
      <c r="O1226" s="234" t="s">
        <v>3349</v>
      </c>
      <c r="P1226" s="236">
        <v>45956</v>
      </c>
      <c r="Q1226" s="244">
        <v>0.91052083333333333</v>
      </c>
    </row>
    <row r="1227" spans="1:17" ht="38.25">
      <c r="A1227" s="239" t="s">
        <v>3328</v>
      </c>
      <c r="B1227" s="240">
        <v>2707</v>
      </c>
      <c r="C1227" s="241">
        <v>164</v>
      </c>
      <c r="D1227" s="239" t="s">
        <v>2881</v>
      </c>
      <c r="E1227" s="239" t="s">
        <v>425</v>
      </c>
      <c r="F1227" s="239" t="s">
        <v>426</v>
      </c>
      <c r="G1227" s="239" t="s">
        <v>951</v>
      </c>
      <c r="H1227" s="239" t="s">
        <v>51</v>
      </c>
      <c r="I1227" s="239" t="s">
        <v>2882</v>
      </c>
      <c r="J1227" s="234">
        <v>50770</v>
      </c>
      <c r="K1227" s="234">
        <v>18900</v>
      </c>
      <c r="L1227" s="242">
        <v>5</v>
      </c>
      <c r="M1227" s="308">
        <v>31870</v>
      </c>
      <c r="N1227" s="234">
        <v>30276.5</v>
      </c>
      <c r="O1227" s="234" t="s">
        <v>3350</v>
      </c>
      <c r="P1227" s="236">
        <v>45957</v>
      </c>
      <c r="Q1227" s="244">
        <v>0.56570601851851854</v>
      </c>
    </row>
    <row r="1228" spans="1:17" ht="38.25">
      <c r="A1228" s="239" t="s">
        <v>3329</v>
      </c>
      <c r="B1228" s="240">
        <v>2712</v>
      </c>
      <c r="C1228" s="241">
        <v>165</v>
      </c>
      <c r="D1228" s="239" t="s">
        <v>2881</v>
      </c>
      <c r="E1228" s="239" t="s">
        <v>416</v>
      </c>
      <c r="F1228" s="239" t="s">
        <v>417</v>
      </c>
      <c r="G1228" s="239" t="s">
        <v>951</v>
      </c>
      <c r="H1228" s="239" t="s">
        <v>51</v>
      </c>
      <c r="I1228" s="239" t="s">
        <v>2882</v>
      </c>
      <c r="J1228" s="234">
        <v>39960</v>
      </c>
      <c r="K1228" s="234">
        <v>15130</v>
      </c>
      <c r="L1228" s="242">
        <v>7</v>
      </c>
      <c r="M1228" s="308">
        <v>24830</v>
      </c>
      <c r="N1228" s="234">
        <v>23091.9</v>
      </c>
      <c r="O1228" s="234" t="s">
        <v>3351</v>
      </c>
      <c r="P1228" s="236">
        <v>45957</v>
      </c>
      <c r="Q1228" s="244">
        <v>0.63666666666666671</v>
      </c>
    </row>
    <row r="1229" spans="1:17" ht="38.25">
      <c r="A1229" s="239" t="s">
        <v>3330</v>
      </c>
      <c r="B1229" s="240">
        <v>2713</v>
      </c>
      <c r="C1229" s="241">
        <v>166</v>
      </c>
      <c r="D1229" s="239" t="s">
        <v>2881</v>
      </c>
      <c r="E1229" s="239" t="s">
        <v>420</v>
      </c>
      <c r="F1229" s="239" t="s">
        <v>421</v>
      </c>
      <c r="G1229" s="239" t="s">
        <v>951</v>
      </c>
      <c r="H1229" s="239" t="s">
        <v>51</v>
      </c>
      <c r="I1229" s="239" t="s">
        <v>2882</v>
      </c>
      <c r="J1229" s="234">
        <v>38270</v>
      </c>
      <c r="K1229" s="234">
        <v>15200</v>
      </c>
      <c r="L1229" s="242">
        <v>9</v>
      </c>
      <c r="M1229" s="308">
        <v>23070</v>
      </c>
      <c r="N1229" s="234">
        <v>20993.7</v>
      </c>
      <c r="O1229" s="234" t="s">
        <v>3352</v>
      </c>
      <c r="P1229" s="236">
        <v>45957</v>
      </c>
      <c r="Q1229" s="244">
        <v>0.64280092592592597</v>
      </c>
    </row>
    <row r="1230" spans="1:17" ht="38.25">
      <c r="A1230" s="239" t="s">
        <v>3331</v>
      </c>
      <c r="B1230" s="240">
        <v>2692</v>
      </c>
      <c r="C1230" s="241">
        <v>159</v>
      </c>
      <c r="D1230" s="239" t="s">
        <v>2881</v>
      </c>
      <c r="E1230" s="239" t="s">
        <v>1410</v>
      </c>
      <c r="F1230" s="239" t="s">
        <v>437</v>
      </c>
      <c r="G1230" s="239" t="s">
        <v>951</v>
      </c>
      <c r="H1230" s="239" t="s">
        <v>51</v>
      </c>
      <c r="I1230" s="239" t="s">
        <v>2882</v>
      </c>
      <c r="J1230" s="234">
        <v>41170</v>
      </c>
      <c r="K1230" s="234">
        <v>15440</v>
      </c>
      <c r="L1230" s="242">
        <v>8</v>
      </c>
      <c r="M1230" s="308">
        <v>25730</v>
      </c>
      <c r="N1230" s="234">
        <v>23671.599999999999</v>
      </c>
      <c r="O1230" s="234" t="s">
        <v>3353</v>
      </c>
      <c r="P1230" s="236">
        <v>45957</v>
      </c>
      <c r="Q1230" s="244">
        <v>0.66787037037037034</v>
      </c>
    </row>
    <row r="1231" spans="1:17" ht="38.25">
      <c r="A1231" s="239" t="s">
        <v>3332</v>
      </c>
      <c r="B1231" s="240">
        <v>2695</v>
      </c>
      <c r="C1231" s="241">
        <v>160</v>
      </c>
      <c r="D1231" s="239" t="s">
        <v>2881</v>
      </c>
      <c r="E1231" s="239" t="s">
        <v>439</v>
      </c>
      <c r="F1231" s="239" t="s">
        <v>440</v>
      </c>
      <c r="G1231" s="239" t="s">
        <v>951</v>
      </c>
      <c r="H1231" s="239" t="s">
        <v>51</v>
      </c>
      <c r="I1231" s="239" t="s">
        <v>2882</v>
      </c>
      <c r="J1231" s="234">
        <v>43410</v>
      </c>
      <c r="K1231" s="234">
        <v>15450</v>
      </c>
      <c r="L1231" s="242">
        <v>9</v>
      </c>
      <c r="M1231" s="308">
        <v>27960</v>
      </c>
      <c r="N1231" s="234">
        <v>25443.599999999999</v>
      </c>
      <c r="O1231" s="234" t="s">
        <v>3354</v>
      </c>
      <c r="P1231" s="236">
        <v>45957</v>
      </c>
      <c r="Q1231" s="244">
        <v>0.70783564814814814</v>
      </c>
    </row>
    <row r="1232" spans="1:17" ht="38.25">
      <c r="A1232" s="239" t="s">
        <v>3333</v>
      </c>
      <c r="B1232" s="240">
        <v>2715</v>
      </c>
      <c r="C1232" s="241">
        <v>167</v>
      </c>
      <c r="D1232" s="239" t="s">
        <v>2881</v>
      </c>
      <c r="E1232" s="239" t="s">
        <v>456</v>
      </c>
      <c r="F1232" s="239" t="s">
        <v>457</v>
      </c>
      <c r="G1232" s="239" t="s">
        <v>951</v>
      </c>
      <c r="H1232" s="239" t="s">
        <v>51</v>
      </c>
      <c r="I1232" s="239" t="s">
        <v>2882</v>
      </c>
      <c r="J1232" s="234">
        <v>47940</v>
      </c>
      <c r="K1232" s="234">
        <v>16130</v>
      </c>
      <c r="L1232" s="242">
        <v>10</v>
      </c>
      <c r="M1232" s="308">
        <v>31810</v>
      </c>
      <c r="N1232" s="234">
        <v>28629</v>
      </c>
      <c r="O1232" s="234" t="s">
        <v>3355</v>
      </c>
      <c r="P1232" s="236">
        <v>45957</v>
      </c>
      <c r="Q1232" s="244">
        <v>0.71717592592592594</v>
      </c>
    </row>
    <row r="1233" spans="1:17" ht="38.25">
      <c r="A1233" s="239" t="s">
        <v>3334</v>
      </c>
      <c r="B1233" s="240">
        <v>2694</v>
      </c>
      <c r="C1233" s="241">
        <v>158</v>
      </c>
      <c r="D1233" s="239" t="s">
        <v>2881</v>
      </c>
      <c r="E1233" s="239" t="s">
        <v>432</v>
      </c>
      <c r="F1233" s="239" t="s">
        <v>433</v>
      </c>
      <c r="G1233" s="239" t="s">
        <v>951</v>
      </c>
      <c r="H1233" s="239" t="s">
        <v>51</v>
      </c>
      <c r="I1233" s="239" t="s">
        <v>2882</v>
      </c>
      <c r="J1233" s="234">
        <v>43310</v>
      </c>
      <c r="K1233" s="234">
        <v>15910</v>
      </c>
      <c r="L1233" s="242">
        <v>8</v>
      </c>
      <c r="M1233" s="308">
        <v>27400</v>
      </c>
      <c r="N1233" s="234">
        <v>25208</v>
      </c>
      <c r="O1233" s="234" t="s">
        <v>3356</v>
      </c>
      <c r="P1233" s="236">
        <v>45957</v>
      </c>
      <c r="Q1233" s="244">
        <v>0.75207175925925929</v>
      </c>
    </row>
    <row r="1234" spans="1:17" ht="38.25">
      <c r="A1234" s="239" t="s">
        <v>3335</v>
      </c>
      <c r="B1234" s="240">
        <v>2716</v>
      </c>
      <c r="C1234" s="241">
        <v>168</v>
      </c>
      <c r="D1234" s="239" t="s">
        <v>2881</v>
      </c>
      <c r="E1234" s="239" t="s">
        <v>377</v>
      </c>
      <c r="F1234" s="239" t="s">
        <v>378</v>
      </c>
      <c r="G1234" s="239" t="s">
        <v>951</v>
      </c>
      <c r="H1234" s="239" t="s">
        <v>51</v>
      </c>
      <c r="I1234" s="239" t="s">
        <v>2882</v>
      </c>
      <c r="J1234" s="234">
        <v>43360</v>
      </c>
      <c r="K1234" s="234">
        <v>15450</v>
      </c>
      <c r="L1234" s="242">
        <v>11</v>
      </c>
      <c r="M1234" s="308">
        <v>27910</v>
      </c>
      <c r="N1234" s="234">
        <v>24839.9</v>
      </c>
      <c r="O1234" s="234" t="s">
        <v>3357</v>
      </c>
      <c r="P1234" s="236">
        <v>45957</v>
      </c>
      <c r="Q1234" s="244">
        <v>0.75918981481481485</v>
      </c>
    </row>
    <row r="1235" spans="1:17" ht="38.25">
      <c r="A1235" s="239" t="s">
        <v>3336</v>
      </c>
      <c r="B1235" s="240">
        <v>2718</v>
      </c>
      <c r="C1235" s="241">
        <v>169</v>
      </c>
      <c r="D1235" s="239" t="s">
        <v>2881</v>
      </c>
      <c r="E1235" s="239" t="s">
        <v>841</v>
      </c>
      <c r="F1235" s="239" t="s">
        <v>845</v>
      </c>
      <c r="G1235" s="239" t="s">
        <v>951</v>
      </c>
      <c r="H1235" s="239" t="s">
        <v>51</v>
      </c>
      <c r="I1235" s="239" t="s">
        <v>2882</v>
      </c>
      <c r="J1235" s="234">
        <v>41890</v>
      </c>
      <c r="K1235" s="234">
        <v>16080</v>
      </c>
      <c r="L1235" s="242">
        <v>9</v>
      </c>
      <c r="M1235" s="308">
        <v>25810</v>
      </c>
      <c r="N1235" s="234">
        <v>23487.1</v>
      </c>
      <c r="O1235" s="234" t="s">
        <v>3358</v>
      </c>
      <c r="P1235" s="236">
        <v>45957</v>
      </c>
      <c r="Q1235" s="244">
        <v>0.81497685185185187</v>
      </c>
    </row>
    <row r="1236" spans="1:17" ht="38.25">
      <c r="A1236" s="239" t="s">
        <v>3337</v>
      </c>
      <c r="B1236" s="240">
        <v>2719</v>
      </c>
      <c r="C1236" s="241">
        <v>170</v>
      </c>
      <c r="D1236" s="239" t="s">
        <v>2881</v>
      </c>
      <c r="E1236" s="239" t="s">
        <v>453</v>
      </c>
      <c r="F1236" s="239" t="s">
        <v>454</v>
      </c>
      <c r="G1236" s="239" t="s">
        <v>951</v>
      </c>
      <c r="H1236" s="239" t="s">
        <v>51</v>
      </c>
      <c r="I1236" s="239" t="s">
        <v>2882</v>
      </c>
      <c r="J1236" s="234">
        <v>66710</v>
      </c>
      <c r="K1236" s="234">
        <v>24970</v>
      </c>
      <c r="L1236" s="242">
        <v>14</v>
      </c>
      <c r="M1236" s="308">
        <v>41740</v>
      </c>
      <c r="N1236" s="234">
        <v>35896.400000000001</v>
      </c>
      <c r="O1236" s="234" t="s">
        <v>3359</v>
      </c>
      <c r="P1236" s="236">
        <v>45957</v>
      </c>
      <c r="Q1236" s="244">
        <v>0.82071759259259258</v>
      </c>
    </row>
    <row r="1237" spans="1:17" ht="38.25">
      <c r="A1237" s="239" t="s">
        <v>3338</v>
      </c>
      <c r="B1237" s="240">
        <v>2697</v>
      </c>
      <c r="C1237" s="241">
        <v>161</v>
      </c>
      <c r="D1237" s="239" t="s">
        <v>2881</v>
      </c>
      <c r="E1237" s="239" t="s">
        <v>413</v>
      </c>
      <c r="F1237" s="239" t="s">
        <v>414</v>
      </c>
      <c r="G1237" s="239" t="s">
        <v>951</v>
      </c>
      <c r="H1237" s="239" t="s">
        <v>51</v>
      </c>
      <c r="I1237" s="239" t="s">
        <v>2882</v>
      </c>
      <c r="J1237" s="234">
        <v>43460</v>
      </c>
      <c r="K1237" s="234">
        <v>15230</v>
      </c>
      <c r="L1237" s="242">
        <v>9</v>
      </c>
      <c r="M1237" s="308">
        <v>28230</v>
      </c>
      <c r="N1237" s="234">
        <v>25689.3</v>
      </c>
      <c r="O1237" s="234" t="s">
        <v>3360</v>
      </c>
      <c r="P1237" s="236">
        <v>45957</v>
      </c>
      <c r="Q1237" s="244">
        <v>0.83293981481481483</v>
      </c>
    </row>
    <row r="1238" spans="1:17" ht="38.25">
      <c r="A1238" s="239" t="s">
        <v>3339</v>
      </c>
      <c r="B1238" s="240">
        <v>2720</v>
      </c>
      <c r="C1238" s="241">
        <v>173</v>
      </c>
      <c r="D1238" s="239" t="s">
        <v>2881</v>
      </c>
      <c r="E1238" s="239" t="s">
        <v>858</v>
      </c>
      <c r="F1238" s="239" t="s">
        <v>859</v>
      </c>
      <c r="G1238" s="239" t="s">
        <v>951</v>
      </c>
      <c r="H1238" s="239" t="s">
        <v>51</v>
      </c>
      <c r="I1238" s="239" t="s">
        <v>2882</v>
      </c>
      <c r="J1238" s="234">
        <v>40500</v>
      </c>
      <c r="K1238" s="234">
        <v>15220</v>
      </c>
      <c r="L1238" s="242">
        <v>8</v>
      </c>
      <c r="M1238" s="308">
        <v>25280</v>
      </c>
      <c r="N1238" s="234">
        <v>23257.599999999999</v>
      </c>
      <c r="O1238" s="234" t="s">
        <v>3361</v>
      </c>
      <c r="P1238" s="236">
        <v>45957</v>
      </c>
      <c r="Q1238" s="244">
        <v>0.86630787037037038</v>
      </c>
    </row>
    <row r="1239" spans="1:17" ht="38.25">
      <c r="A1239" s="239" t="s">
        <v>3340</v>
      </c>
      <c r="B1239" s="240">
        <v>2698</v>
      </c>
      <c r="C1239" s="241">
        <v>162</v>
      </c>
      <c r="D1239" s="239" t="s">
        <v>2881</v>
      </c>
      <c r="E1239" s="239" t="s">
        <v>429</v>
      </c>
      <c r="F1239" s="239" t="s">
        <v>430</v>
      </c>
      <c r="G1239" s="239" t="s">
        <v>951</v>
      </c>
      <c r="H1239" s="239" t="s">
        <v>51</v>
      </c>
      <c r="I1239" s="239" t="s">
        <v>2882</v>
      </c>
      <c r="J1239" s="234">
        <v>40650</v>
      </c>
      <c r="K1239" s="234">
        <v>14530</v>
      </c>
      <c r="L1239" s="242">
        <v>11</v>
      </c>
      <c r="M1239" s="308">
        <v>26120</v>
      </c>
      <c r="N1239" s="234">
        <v>23246.799999999999</v>
      </c>
      <c r="O1239" s="234" t="s">
        <v>3362</v>
      </c>
      <c r="P1239" s="236">
        <v>45957</v>
      </c>
      <c r="Q1239" s="244">
        <v>0.88167824074074075</v>
      </c>
    </row>
    <row r="1240" spans="1:17" ht="38.25">
      <c r="A1240" s="239" t="s">
        <v>3341</v>
      </c>
      <c r="B1240" s="240">
        <v>2703</v>
      </c>
      <c r="C1240" s="241">
        <v>163</v>
      </c>
      <c r="D1240" s="239" t="s">
        <v>2881</v>
      </c>
      <c r="E1240" s="239" t="s">
        <v>369</v>
      </c>
      <c r="F1240" s="239" t="s">
        <v>370</v>
      </c>
      <c r="G1240" s="239" t="s">
        <v>951</v>
      </c>
      <c r="H1240" s="239" t="s">
        <v>51</v>
      </c>
      <c r="I1240" s="239" t="s">
        <v>2882</v>
      </c>
      <c r="J1240" s="234">
        <v>38230</v>
      </c>
      <c r="K1240" s="234">
        <v>15680</v>
      </c>
      <c r="L1240" s="242">
        <v>7</v>
      </c>
      <c r="M1240" s="308">
        <v>22550</v>
      </c>
      <c r="N1240" s="234">
        <v>20971.5</v>
      </c>
      <c r="O1240" s="234" t="s">
        <v>3363</v>
      </c>
      <c r="P1240" s="236">
        <v>45957</v>
      </c>
      <c r="Q1240" s="244">
        <v>0.8900231481481482</v>
      </c>
    </row>
    <row r="1241" spans="1:17" ht="38.25">
      <c r="A1241" s="239" t="s">
        <v>3342</v>
      </c>
      <c r="B1241" s="240">
        <v>2721</v>
      </c>
      <c r="C1241" s="241">
        <v>174</v>
      </c>
      <c r="D1241" s="239" t="s">
        <v>2881</v>
      </c>
      <c r="E1241" s="239" t="s">
        <v>400</v>
      </c>
      <c r="F1241" s="239" t="s">
        <v>401</v>
      </c>
      <c r="G1241" s="239" t="s">
        <v>951</v>
      </c>
      <c r="H1241" s="239" t="s">
        <v>51</v>
      </c>
      <c r="I1241" s="239" t="s">
        <v>2882</v>
      </c>
      <c r="J1241" s="234">
        <v>37930</v>
      </c>
      <c r="K1241" s="234">
        <v>14950</v>
      </c>
      <c r="L1241" s="242">
        <v>6</v>
      </c>
      <c r="M1241" s="308">
        <v>22980</v>
      </c>
      <c r="N1241" s="234">
        <v>21601.200000000001</v>
      </c>
      <c r="O1241" s="234" t="s">
        <v>3364</v>
      </c>
      <c r="P1241" s="236">
        <v>45957</v>
      </c>
      <c r="Q1241" s="244">
        <v>0.89701388888888889</v>
      </c>
    </row>
    <row r="1242" spans="1:17" ht="38.25">
      <c r="A1242" s="239" t="s">
        <v>3343</v>
      </c>
      <c r="B1242" s="240">
        <v>2722</v>
      </c>
      <c r="C1242" s="241">
        <v>172</v>
      </c>
      <c r="D1242" s="239" t="s">
        <v>2881</v>
      </c>
      <c r="E1242" s="239" t="s">
        <v>388</v>
      </c>
      <c r="F1242" s="239" t="s">
        <v>389</v>
      </c>
      <c r="G1242" s="239" t="s">
        <v>951</v>
      </c>
      <c r="H1242" s="239" t="s">
        <v>51</v>
      </c>
      <c r="I1242" s="239" t="s">
        <v>2882</v>
      </c>
      <c r="J1242" s="234">
        <v>62830</v>
      </c>
      <c r="K1242" s="234">
        <v>21410</v>
      </c>
      <c r="L1242" s="242">
        <v>16</v>
      </c>
      <c r="M1242" s="308">
        <v>41420</v>
      </c>
      <c r="N1242" s="234">
        <v>34792.800000000003</v>
      </c>
      <c r="O1242" s="234" t="s">
        <v>3365</v>
      </c>
      <c r="P1242" s="236">
        <v>45957</v>
      </c>
      <c r="Q1242" s="244">
        <v>0.93425925925925923</v>
      </c>
    </row>
    <row r="1243" spans="1:17" ht="38.25">
      <c r="A1243" s="239" t="s">
        <v>3344</v>
      </c>
      <c r="B1243" s="240">
        <v>2724</v>
      </c>
      <c r="C1243" s="241">
        <v>175</v>
      </c>
      <c r="D1243" s="239" t="s">
        <v>2881</v>
      </c>
      <c r="E1243" s="239" t="s">
        <v>382</v>
      </c>
      <c r="F1243" s="239" t="s">
        <v>383</v>
      </c>
      <c r="G1243" s="239" t="s">
        <v>951</v>
      </c>
      <c r="H1243" s="239" t="s">
        <v>51</v>
      </c>
      <c r="I1243" s="239" t="s">
        <v>2882</v>
      </c>
      <c r="J1243" s="234">
        <v>36980</v>
      </c>
      <c r="K1243" s="234">
        <v>14950</v>
      </c>
      <c r="L1243" s="242">
        <v>6</v>
      </c>
      <c r="M1243" s="308">
        <v>22030</v>
      </c>
      <c r="N1243" s="234">
        <v>20708.2</v>
      </c>
      <c r="O1243" s="234" t="s">
        <v>3366</v>
      </c>
      <c r="P1243" s="236">
        <v>45957</v>
      </c>
      <c r="Q1243" s="244">
        <v>0.98054398148148147</v>
      </c>
    </row>
    <row r="1244" spans="1:17" ht="38.25">
      <c r="A1244" s="239" t="s">
        <v>3345</v>
      </c>
      <c r="B1244" s="240">
        <v>2725</v>
      </c>
      <c r="C1244" s="241">
        <v>176</v>
      </c>
      <c r="D1244" s="239" t="s">
        <v>2881</v>
      </c>
      <c r="E1244" s="239" t="s">
        <v>783</v>
      </c>
      <c r="F1244" s="239" t="s">
        <v>784</v>
      </c>
      <c r="G1244" s="239" t="s">
        <v>951</v>
      </c>
      <c r="H1244" s="239" t="s">
        <v>51</v>
      </c>
      <c r="I1244" s="239" t="s">
        <v>2882</v>
      </c>
      <c r="J1244" s="234">
        <v>39170</v>
      </c>
      <c r="K1244" s="234">
        <v>14840</v>
      </c>
      <c r="L1244" s="242">
        <v>5</v>
      </c>
      <c r="M1244" s="308">
        <v>24330</v>
      </c>
      <c r="N1244" s="234">
        <v>23113.5</v>
      </c>
      <c r="O1244" s="234" t="s">
        <v>3367</v>
      </c>
      <c r="P1244" s="236">
        <v>45957</v>
      </c>
      <c r="Q1244" s="244">
        <v>0.98990740740740746</v>
      </c>
    </row>
    <row r="1245" spans="1:17" ht="38.25">
      <c r="A1245" s="239" t="s">
        <v>3346</v>
      </c>
      <c r="B1245" s="240">
        <v>2727</v>
      </c>
      <c r="C1245" s="241">
        <v>177</v>
      </c>
      <c r="D1245" s="239" t="s">
        <v>2881</v>
      </c>
      <c r="E1245" s="239" t="s">
        <v>794</v>
      </c>
      <c r="F1245" s="239" t="s">
        <v>795</v>
      </c>
      <c r="G1245" s="239" t="s">
        <v>951</v>
      </c>
      <c r="H1245" s="239" t="s">
        <v>51</v>
      </c>
      <c r="I1245" s="239" t="s">
        <v>2882</v>
      </c>
      <c r="J1245" s="234">
        <v>39930</v>
      </c>
      <c r="K1245" s="234">
        <v>16150</v>
      </c>
      <c r="L1245" s="242">
        <v>8</v>
      </c>
      <c r="M1245" s="308">
        <v>23780</v>
      </c>
      <c r="N1245" s="234">
        <v>21877.599999999999</v>
      </c>
      <c r="O1245" s="234" t="s">
        <v>3368</v>
      </c>
      <c r="P1245" s="236">
        <v>45958</v>
      </c>
      <c r="Q1245" s="244">
        <v>0.47607638888888887</v>
      </c>
    </row>
    <row r="1246" spans="1:17" ht="38.25">
      <c r="A1246" s="239" t="s">
        <v>3369</v>
      </c>
      <c r="B1246" s="240">
        <v>2743</v>
      </c>
      <c r="C1246" s="241">
        <v>188</v>
      </c>
      <c r="D1246" s="239" t="s">
        <v>2881</v>
      </c>
      <c r="E1246" s="239" t="s">
        <v>866</v>
      </c>
      <c r="F1246" s="239" t="s">
        <v>867</v>
      </c>
      <c r="G1246" s="239" t="s">
        <v>951</v>
      </c>
      <c r="H1246" s="239" t="s">
        <v>51</v>
      </c>
      <c r="I1246" s="239" t="s">
        <v>2882</v>
      </c>
      <c r="J1246" s="234">
        <v>38980</v>
      </c>
      <c r="K1246" s="234">
        <v>14630</v>
      </c>
      <c r="L1246" s="242">
        <v>10</v>
      </c>
      <c r="M1246" s="308">
        <v>24350</v>
      </c>
      <c r="N1246" s="234">
        <v>21915</v>
      </c>
      <c r="O1246" s="234" t="s">
        <v>3390</v>
      </c>
      <c r="P1246" s="236">
        <v>45958</v>
      </c>
      <c r="Q1246" s="244">
        <v>0.41238425925925926</v>
      </c>
    </row>
    <row r="1247" spans="1:17" ht="38.25">
      <c r="A1247" s="239" t="s">
        <v>3370</v>
      </c>
      <c r="B1247" s="240">
        <v>2747</v>
      </c>
      <c r="C1247" s="241">
        <v>190</v>
      </c>
      <c r="D1247" s="239" t="s">
        <v>2881</v>
      </c>
      <c r="E1247" s="239" t="s">
        <v>1410</v>
      </c>
      <c r="F1247" s="239" t="s">
        <v>437</v>
      </c>
      <c r="G1247" s="239" t="s">
        <v>951</v>
      </c>
      <c r="H1247" s="239" t="s">
        <v>51</v>
      </c>
      <c r="I1247" s="239" t="s">
        <v>2882</v>
      </c>
      <c r="J1247" s="234">
        <v>40840</v>
      </c>
      <c r="K1247" s="234">
        <v>15090</v>
      </c>
      <c r="L1247" s="242">
        <v>7</v>
      </c>
      <c r="M1247" s="308">
        <v>25750</v>
      </c>
      <c r="N1247" s="234">
        <v>23947.5</v>
      </c>
      <c r="O1247" s="234" t="s">
        <v>3391</v>
      </c>
      <c r="P1247" s="236">
        <v>45958</v>
      </c>
      <c r="Q1247" s="244">
        <v>0.50657407407407407</v>
      </c>
    </row>
    <row r="1248" spans="1:17" ht="38.25">
      <c r="A1248" s="239" t="s">
        <v>3371</v>
      </c>
      <c r="B1248" s="240">
        <v>2748</v>
      </c>
      <c r="C1248" s="241">
        <v>158</v>
      </c>
      <c r="D1248" s="239" t="s">
        <v>2881</v>
      </c>
      <c r="E1248" s="239" t="s">
        <v>432</v>
      </c>
      <c r="F1248" s="239" t="s">
        <v>433</v>
      </c>
      <c r="G1248" s="239" t="s">
        <v>951</v>
      </c>
      <c r="H1248" s="239" t="s">
        <v>51</v>
      </c>
      <c r="I1248" s="239" t="s">
        <v>2882</v>
      </c>
      <c r="J1248" s="234">
        <v>43030</v>
      </c>
      <c r="K1248" s="234">
        <v>15910</v>
      </c>
      <c r="L1248" s="242">
        <v>14</v>
      </c>
      <c r="M1248" s="308">
        <v>27120</v>
      </c>
      <c r="N1248" s="234">
        <v>23323.200000000001</v>
      </c>
      <c r="O1248" s="234" t="s">
        <v>3392</v>
      </c>
      <c r="P1248" s="236">
        <v>45958</v>
      </c>
      <c r="Q1248" s="244">
        <v>0.5294444444444445</v>
      </c>
    </row>
    <row r="1249" spans="1:17" ht="38.25">
      <c r="A1249" s="239" t="s">
        <v>3372</v>
      </c>
      <c r="B1249" s="240">
        <v>2728</v>
      </c>
      <c r="C1249" s="241">
        <v>178</v>
      </c>
      <c r="D1249" s="239" t="s">
        <v>2881</v>
      </c>
      <c r="E1249" s="239" t="s">
        <v>403</v>
      </c>
      <c r="F1249" s="239" t="s">
        <v>404</v>
      </c>
      <c r="G1249" s="239" t="s">
        <v>951</v>
      </c>
      <c r="H1249" s="239" t="s">
        <v>51</v>
      </c>
      <c r="I1249" s="239" t="s">
        <v>2882</v>
      </c>
      <c r="J1249" s="234">
        <v>39210</v>
      </c>
      <c r="K1249" s="234">
        <v>14730</v>
      </c>
      <c r="L1249" s="242">
        <v>10</v>
      </c>
      <c r="M1249" s="308">
        <v>24480</v>
      </c>
      <c r="N1249" s="234">
        <v>22032</v>
      </c>
      <c r="O1249" s="234" t="s">
        <v>3393</v>
      </c>
      <c r="P1249" s="236">
        <v>45958</v>
      </c>
      <c r="Q1249" s="244">
        <v>0.56790509259259259</v>
      </c>
    </row>
    <row r="1250" spans="1:17" ht="38.25">
      <c r="A1250" s="239" t="s">
        <v>3373</v>
      </c>
      <c r="B1250" s="240">
        <v>2730</v>
      </c>
      <c r="C1250" s="241">
        <v>179</v>
      </c>
      <c r="D1250" s="239" t="s">
        <v>2881</v>
      </c>
      <c r="E1250" s="239" t="s">
        <v>384</v>
      </c>
      <c r="F1250" s="239" t="s">
        <v>385</v>
      </c>
      <c r="G1250" s="239" t="s">
        <v>951</v>
      </c>
      <c r="H1250" s="239" t="s">
        <v>51</v>
      </c>
      <c r="I1250" s="239" t="s">
        <v>2882</v>
      </c>
      <c r="J1250" s="234">
        <v>35840</v>
      </c>
      <c r="K1250" s="234">
        <v>14030</v>
      </c>
      <c r="L1250" s="242">
        <v>32</v>
      </c>
      <c r="M1250" s="308">
        <v>21810</v>
      </c>
      <c r="N1250" s="234">
        <v>14830.8</v>
      </c>
      <c r="O1250" s="234" t="s">
        <v>3394</v>
      </c>
      <c r="P1250" s="236">
        <v>45958</v>
      </c>
      <c r="Q1250" s="244">
        <v>0.57699074074074075</v>
      </c>
    </row>
    <row r="1251" spans="1:17" ht="38.25">
      <c r="A1251" s="239" t="s">
        <v>3374</v>
      </c>
      <c r="B1251" s="240">
        <v>2733</v>
      </c>
      <c r="C1251" s="241">
        <v>180</v>
      </c>
      <c r="D1251" s="239" t="s">
        <v>2881</v>
      </c>
      <c r="E1251" s="239" t="s">
        <v>390</v>
      </c>
      <c r="F1251" s="239" t="s">
        <v>391</v>
      </c>
      <c r="G1251" s="239" t="s">
        <v>951</v>
      </c>
      <c r="H1251" s="239" t="s">
        <v>51</v>
      </c>
      <c r="I1251" s="239" t="s">
        <v>2882</v>
      </c>
      <c r="J1251" s="234">
        <v>39030</v>
      </c>
      <c r="K1251" s="234">
        <v>15220</v>
      </c>
      <c r="L1251" s="242">
        <v>8</v>
      </c>
      <c r="M1251" s="308">
        <v>23810</v>
      </c>
      <c r="N1251" s="234">
        <v>21905.200000000001</v>
      </c>
      <c r="O1251" s="234" t="s">
        <v>3395</v>
      </c>
      <c r="P1251" s="236">
        <v>45958</v>
      </c>
      <c r="Q1251" s="244">
        <v>0.58483796296296298</v>
      </c>
    </row>
    <row r="1252" spans="1:17" ht="38.25">
      <c r="A1252" s="239" t="s">
        <v>3375</v>
      </c>
      <c r="B1252" s="240">
        <v>2734</v>
      </c>
      <c r="C1252" s="241">
        <v>182</v>
      </c>
      <c r="D1252" s="239" t="s">
        <v>2881</v>
      </c>
      <c r="E1252" s="239" t="s">
        <v>786</v>
      </c>
      <c r="F1252" s="239" t="s">
        <v>787</v>
      </c>
      <c r="G1252" s="239" t="s">
        <v>951</v>
      </c>
      <c r="H1252" s="239" t="s">
        <v>51</v>
      </c>
      <c r="I1252" s="239" t="s">
        <v>2882</v>
      </c>
      <c r="J1252" s="234">
        <v>35240</v>
      </c>
      <c r="K1252" s="234">
        <v>14150</v>
      </c>
      <c r="L1252" s="242">
        <v>18</v>
      </c>
      <c r="M1252" s="308">
        <v>21090</v>
      </c>
      <c r="N1252" s="234">
        <v>17293.8</v>
      </c>
      <c r="O1252" s="234" t="s">
        <v>3396</v>
      </c>
      <c r="P1252" s="236">
        <v>45958</v>
      </c>
      <c r="Q1252" s="244">
        <v>0.61599537037037033</v>
      </c>
    </row>
    <row r="1253" spans="1:17" ht="38.25">
      <c r="A1253" s="239" t="s">
        <v>3376</v>
      </c>
      <c r="B1253" s="240">
        <v>2735</v>
      </c>
      <c r="C1253" s="241">
        <v>183</v>
      </c>
      <c r="D1253" s="239" t="s">
        <v>2881</v>
      </c>
      <c r="E1253" s="239" t="s">
        <v>380</v>
      </c>
      <c r="F1253" s="239" t="s">
        <v>381</v>
      </c>
      <c r="G1253" s="239" t="s">
        <v>951</v>
      </c>
      <c r="H1253" s="239" t="s">
        <v>51</v>
      </c>
      <c r="I1253" s="239" t="s">
        <v>2882</v>
      </c>
      <c r="J1253" s="234">
        <v>39530</v>
      </c>
      <c r="K1253" s="234">
        <v>15200</v>
      </c>
      <c r="L1253" s="242">
        <v>20</v>
      </c>
      <c r="M1253" s="308">
        <v>24330</v>
      </c>
      <c r="N1253" s="234">
        <v>19464</v>
      </c>
      <c r="O1253" s="234" t="s">
        <v>3397</v>
      </c>
      <c r="P1253" s="236">
        <v>45958</v>
      </c>
      <c r="Q1253" s="244">
        <v>0.69082175925925926</v>
      </c>
    </row>
    <row r="1254" spans="1:17" ht="38.25">
      <c r="A1254" s="239" t="s">
        <v>3377</v>
      </c>
      <c r="B1254" s="240">
        <v>2736</v>
      </c>
      <c r="C1254" s="241">
        <v>171</v>
      </c>
      <c r="D1254" s="239" t="s">
        <v>2881</v>
      </c>
      <c r="E1254" s="239" t="s">
        <v>406</v>
      </c>
      <c r="F1254" s="239" t="s">
        <v>407</v>
      </c>
      <c r="G1254" s="239" t="s">
        <v>951</v>
      </c>
      <c r="H1254" s="239" t="s">
        <v>51</v>
      </c>
      <c r="I1254" s="239" t="s">
        <v>2882</v>
      </c>
      <c r="J1254" s="234">
        <v>39290</v>
      </c>
      <c r="K1254" s="234">
        <v>15280</v>
      </c>
      <c r="L1254" s="242">
        <v>27</v>
      </c>
      <c r="M1254" s="308">
        <v>24010</v>
      </c>
      <c r="N1254" s="234">
        <v>17527.3</v>
      </c>
      <c r="O1254" s="234" t="s">
        <v>3398</v>
      </c>
      <c r="P1254" s="236">
        <v>45958</v>
      </c>
      <c r="Q1254" s="244">
        <v>0.70065972222222217</v>
      </c>
    </row>
    <row r="1255" spans="1:17" ht="51">
      <c r="A1255" s="239" t="s">
        <v>3378</v>
      </c>
      <c r="B1255" s="240">
        <v>2755</v>
      </c>
      <c r="C1255" s="241">
        <v>8206</v>
      </c>
      <c r="D1255" s="239" t="s">
        <v>2511</v>
      </c>
      <c r="E1255" s="239" t="s">
        <v>2053</v>
      </c>
      <c r="F1255" s="239" t="s">
        <v>2054</v>
      </c>
      <c r="G1255" s="239" t="s">
        <v>933</v>
      </c>
      <c r="H1255" s="239" t="s">
        <v>42</v>
      </c>
      <c r="I1255" s="239" t="s">
        <v>2512</v>
      </c>
      <c r="J1255" s="234">
        <v>30390</v>
      </c>
      <c r="K1255" s="234">
        <v>14430</v>
      </c>
      <c r="L1255" s="242">
        <v>17</v>
      </c>
      <c r="M1255" s="308">
        <v>15960</v>
      </c>
      <c r="N1255" s="234">
        <v>13246.8</v>
      </c>
      <c r="O1255" s="234" t="s">
        <v>3399</v>
      </c>
      <c r="P1255" s="236">
        <v>45958</v>
      </c>
      <c r="Q1255" s="244">
        <v>0.7534953703703704</v>
      </c>
    </row>
    <row r="1256" spans="1:17" ht="38.25">
      <c r="A1256" s="239" t="s">
        <v>3379</v>
      </c>
      <c r="B1256" s="240">
        <v>2737</v>
      </c>
      <c r="C1256" s="241">
        <v>184</v>
      </c>
      <c r="D1256" s="239" t="s">
        <v>2881</v>
      </c>
      <c r="E1256" s="239" t="s">
        <v>791</v>
      </c>
      <c r="F1256" s="239" t="s">
        <v>792</v>
      </c>
      <c r="G1256" s="239" t="s">
        <v>951</v>
      </c>
      <c r="H1256" s="239" t="s">
        <v>51</v>
      </c>
      <c r="I1256" s="239" t="s">
        <v>2882</v>
      </c>
      <c r="J1256" s="234">
        <v>40110</v>
      </c>
      <c r="K1256" s="234">
        <v>15070</v>
      </c>
      <c r="L1256" s="242">
        <v>14</v>
      </c>
      <c r="M1256" s="308">
        <v>25040</v>
      </c>
      <c r="N1256" s="234">
        <v>21534.400000000001</v>
      </c>
      <c r="O1256" s="234" t="s">
        <v>3400</v>
      </c>
      <c r="P1256" s="236">
        <v>45958</v>
      </c>
      <c r="Q1256" s="244">
        <v>0.76497685185185182</v>
      </c>
    </row>
    <row r="1257" spans="1:17" ht="38.25">
      <c r="A1257" s="239" t="s">
        <v>3380</v>
      </c>
      <c r="B1257" s="240">
        <v>2738</v>
      </c>
      <c r="C1257" s="241">
        <v>185</v>
      </c>
      <c r="D1257" s="239" t="s">
        <v>2881</v>
      </c>
      <c r="E1257" s="239" t="s">
        <v>2793</v>
      </c>
      <c r="F1257" s="239" t="s">
        <v>2794</v>
      </c>
      <c r="G1257" s="239" t="s">
        <v>951</v>
      </c>
      <c r="H1257" s="239" t="s">
        <v>51</v>
      </c>
      <c r="I1257" s="239" t="s">
        <v>2882</v>
      </c>
      <c r="J1257" s="234">
        <v>47920</v>
      </c>
      <c r="K1257" s="234">
        <v>17670</v>
      </c>
      <c r="L1257" s="242">
        <v>11</v>
      </c>
      <c r="M1257" s="308">
        <v>30250</v>
      </c>
      <c r="N1257" s="234">
        <v>26922.5</v>
      </c>
      <c r="O1257" s="234" t="s">
        <v>3401</v>
      </c>
      <c r="P1257" s="236">
        <v>45958</v>
      </c>
      <c r="Q1257" s="244">
        <v>0.79776620370370366</v>
      </c>
    </row>
    <row r="1258" spans="1:17" ht="38.25">
      <c r="A1258" s="239" t="s">
        <v>3381</v>
      </c>
      <c r="B1258" s="240">
        <v>2739</v>
      </c>
      <c r="C1258" s="241">
        <v>186</v>
      </c>
      <c r="D1258" s="239" t="s">
        <v>2881</v>
      </c>
      <c r="E1258" s="239" t="s">
        <v>410</v>
      </c>
      <c r="F1258" s="239" t="s">
        <v>411</v>
      </c>
      <c r="G1258" s="239" t="s">
        <v>951</v>
      </c>
      <c r="H1258" s="239" t="s">
        <v>51</v>
      </c>
      <c r="I1258" s="239" t="s">
        <v>2882</v>
      </c>
      <c r="J1258" s="234">
        <v>38550</v>
      </c>
      <c r="K1258" s="234">
        <v>15300</v>
      </c>
      <c r="L1258" s="242">
        <v>12</v>
      </c>
      <c r="M1258" s="308">
        <v>23250</v>
      </c>
      <c r="N1258" s="234">
        <v>20460</v>
      </c>
      <c r="O1258" s="234" t="s">
        <v>3402</v>
      </c>
      <c r="P1258" s="236">
        <v>45958</v>
      </c>
      <c r="Q1258" s="244">
        <v>0.83902777777777782</v>
      </c>
    </row>
    <row r="1259" spans="1:17" ht="38.25">
      <c r="A1259" s="239" t="s">
        <v>3382</v>
      </c>
      <c r="B1259" s="240">
        <v>2758</v>
      </c>
      <c r="C1259" s="241">
        <v>203</v>
      </c>
      <c r="D1259" s="239" t="s">
        <v>2881</v>
      </c>
      <c r="E1259" s="239" t="s">
        <v>382</v>
      </c>
      <c r="F1259" s="239" t="s">
        <v>383</v>
      </c>
      <c r="G1259" s="239" t="s">
        <v>957</v>
      </c>
      <c r="H1259" s="239" t="s">
        <v>51</v>
      </c>
      <c r="I1259" s="239" t="s">
        <v>2882</v>
      </c>
      <c r="J1259" s="234">
        <v>34500</v>
      </c>
      <c r="K1259" s="234">
        <v>14970</v>
      </c>
      <c r="L1259" s="242">
        <v>5</v>
      </c>
      <c r="M1259" s="308">
        <v>19530</v>
      </c>
      <c r="N1259" s="234">
        <v>18553.5</v>
      </c>
      <c r="O1259" s="234" t="s">
        <v>3403</v>
      </c>
      <c r="P1259" s="236">
        <v>45958</v>
      </c>
      <c r="Q1259" s="244">
        <v>0.93586805555555552</v>
      </c>
    </row>
    <row r="1260" spans="1:17" ht="38.25">
      <c r="A1260" s="239" t="s">
        <v>3383</v>
      </c>
      <c r="B1260" s="240">
        <v>2740</v>
      </c>
      <c r="C1260" s="241">
        <v>187</v>
      </c>
      <c r="D1260" s="239" t="s">
        <v>2881</v>
      </c>
      <c r="E1260" s="239" t="s">
        <v>447</v>
      </c>
      <c r="F1260" s="239" t="s">
        <v>448</v>
      </c>
      <c r="G1260" s="239" t="s">
        <v>951</v>
      </c>
      <c r="H1260" s="239" t="s">
        <v>51</v>
      </c>
      <c r="I1260" s="239" t="s">
        <v>2882</v>
      </c>
      <c r="J1260" s="234">
        <v>52090</v>
      </c>
      <c r="K1260" s="234">
        <v>19730</v>
      </c>
      <c r="L1260" s="242">
        <v>9</v>
      </c>
      <c r="M1260" s="308">
        <v>32360</v>
      </c>
      <c r="N1260" s="234">
        <v>29447.599999999999</v>
      </c>
      <c r="O1260" s="234" t="s">
        <v>3404</v>
      </c>
      <c r="P1260" s="236">
        <v>45958</v>
      </c>
      <c r="Q1260" s="244">
        <v>0.95626157407407408</v>
      </c>
    </row>
    <row r="1261" spans="1:17" ht="38.25">
      <c r="A1261" s="239" t="s">
        <v>3384</v>
      </c>
      <c r="B1261" s="240">
        <v>2746</v>
      </c>
      <c r="C1261" s="241">
        <v>189</v>
      </c>
      <c r="D1261" s="239" t="s">
        <v>2881</v>
      </c>
      <c r="E1261" s="239" t="s">
        <v>372</v>
      </c>
      <c r="F1261" s="239" t="s">
        <v>373</v>
      </c>
      <c r="G1261" s="239" t="s">
        <v>951</v>
      </c>
      <c r="H1261" s="239" t="s">
        <v>51</v>
      </c>
      <c r="I1261" s="239" t="s">
        <v>2882</v>
      </c>
      <c r="J1261" s="234">
        <v>38570</v>
      </c>
      <c r="K1261" s="234">
        <v>15160</v>
      </c>
      <c r="L1261" s="242">
        <v>10</v>
      </c>
      <c r="M1261" s="308">
        <v>23410</v>
      </c>
      <c r="N1261" s="234">
        <v>21069</v>
      </c>
      <c r="O1261" s="234" t="s">
        <v>3405</v>
      </c>
      <c r="P1261" s="236">
        <v>45958</v>
      </c>
      <c r="Q1261" s="244">
        <v>0.97607638888888892</v>
      </c>
    </row>
    <row r="1262" spans="1:17" ht="38.25">
      <c r="A1262" s="239" t="s">
        <v>3385</v>
      </c>
      <c r="B1262" s="240">
        <v>2761</v>
      </c>
      <c r="C1262" s="241">
        <v>196</v>
      </c>
      <c r="D1262" s="239" t="s">
        <v>2881</v>
      </c>
      <c r="E1262" s="239" t="s">
        <v>456</v>
      </c>
      <c r="F1262" s="239" t="s">
        <v>457</v>
      </c>
      <c r="G1262" s="239" t="s">
        <v>951</v>
      </c>
      <c r="H1262" s="239" t="s">
        <v>51</v>
      </c>
      <c r="I1262" s="239" t="s">
        <v>2882</v>
      </c>
      <c r="J1262" s="234">
        <v>43680</v>
      </c>
      <c r="K1262" s="234">
        <v>16350</v>
      </c>
      <c r="L1262" s="242">
        <v>12</v>
      </c>
      <c r="M1262" s="308">
        <v>27330</v>
      </c>
      <c r="N1262" s="234">
        <v>24050.400000000001</v>
      </c>
      <c r="O1262" s="234" t="s">
        <v>3406</v>
      </c>
      <c r="P1262" s="236">
        <v>45958</v>
      </c>
      <c r="Q1262" s="244">
        <v>0.98690972222222217</v>
      </c>
    </row>
    <row r="1263" spans="1:17" ht="38.25">
      <c r="A1263" s="239" t="s">
        <v>3386</v>
      </c>
      <c r="B1263" s="240">
        <v>2762</v>
      </c>
      <c r="C1263" s="241">
        <v>193</v>
      </c>
      <c r="D1263" s="239" t="s">
        <v>2881</v>
      </c>
      <c r="E1263" s="239" t="s">
        <v>413</v>
      </c>
      <c r="F1263" s="239" t="s">
        <v>414</v>
      </c>
      <c r="G1263" s="239" t="s">
        <v>957</v>
      </c>
      <c r="H1263" s="239" t="s">
        <v>51</v>
      </c>
      <c r="I1263" s="239" t="s">
        <v>2882</v>
      </c>
      <c r="J1263" s="234">
        <v>39000</v>
      </c>
      <c r="K1263" s="234">
        <v>15240</v>
      </c>
      <c r="L1263" s="242">
        <v>14</v>
      </c>
      <c r="M1263" s="308">
        <v>23760</v>
      </c>
      <c r="N1263" s="234">
        <v>20433.599999999999</v>
      </c>
      <c r="O1263" s="234" t="s">
        <v>3407</v>
      </c>
      <c r="P1263" s="236">
        <v>45959</v>
      </c>
      <c r="Q1263" s="244">
        <v>0.2089699074074074</v>
      </c>
    </row>
    <row r="1264" spans="1:17" ht="38.25">
      <c r="A1264" s="239" t="s">
        <v>3387</v>
      </c>
      <c r="B1264" s="240">
        <v>2763</v>
      </c>
      <c r="C1264" s="241">
        <v>192</v>
      </c>
      <c r="D1264" s="239" t="s">
        <v>2881</v>
      </c>
      <c r="E1264" s="239" t="s">
        <v>439</v>
      </c>
      <c r="F1264" s="239" t="s">
        <v>440</v>
      </c>
      <c r="G1264" s="239" t="s">
        <v>957</v>
      </c>
      <c r="H1264" s="239" t="s">
        <v>51</v>
      </c>
      <c r="I1264" s="239" t="s">
        <v>2882</v>
      </c>
      <c r="J1264" s="234">
        <v>39910</v>
      </c>
      <c r="K1264" s="234">
        <v>15280</v>
      </c>
      <c r="L1264" s="242">
        <v>21</v>
      </c>
      <c r="M1264" s="308">
        <v>24630</v>
      </c>
      <c r="N1264" s="234">
        <v>19457.7</v>
      </c>
      <c r="O1264" s="234" t="s">
        <v>3408</v>
      </c>
      <c r="P1264" s="236">
        <v>45959</v>
      </c>
      <c r="Q1264" s="244">
        <v>0.23854166666666668</v>
      </c>
    </row>
    <row r="1265" spans="1:17" ht="38.25">
      <c r="A1265" s="239" t="s">
        <v>3388</v>
      </c>
      <c r="B1265" s="240">
        <v>2764</v>
      </c>
      <c r="C1265" s="241">
        <v>162</v>
      </c>
      <c r="D1265" s="239" t="s">
        <v>2881</v>
      </c>
      <c r="E1265" s="239" t="s">
        <v>429</v>
      </c>
      <c r="F1265" s="239" t="s">
        <v>430</v>
      </c>
      <c r="G1265" s="239" t="s">
        <v>957</v>
      </c>
      <c r="H1265" s="239" t="s">
        <v>51</v>
      </c>
      <c r="I1265" s="239" t="s">
        <v>2882</v>
      </c>
      <c r="J1265" s="234">
        <v>37630</v>
      </c>
      <c r="K1265" s="234">
        <v>14510</v>
      </c>
      <c r="L1265" s="242">
        <v>20</v>
      </c>
      <c r="M1265" s="308">
        <v>23120</v>
      </c>
      <c r="N1265" s="234">
        <v>18496</v>
      </c>
      <c r="O1265" s="234" t="s">
        <v>3409</v>
      </c>
      <c r="P1265" s="236">
        <v>45959</v>
      </c>
      <c r="Q1265" s="244">
        <v>0.27795138888888887</v>
      </c>
    </row>
    <row r="1266" spans="1:17" ht="38.25">
      <c r="A1266" s="239" t="s">
        <v>3389</v>
      </c>
      <c r="B1266" s="240">
        <v>2765</v>
      </c>
      <c r="C1266" s="241">
        <v>181</v>
      </c>
      <c r="D1266" s="239" t="s">
        <v>2881</v>
      </c>
      <c r="E1266" s="239" t="s">
        <v>392</v>
      </c>
      <c r="F1266" s="239" t="s">
        <v>393</v>
      </c>
      <c r="G1266" s="239" t="s">
        <v>957</v>
      </c>
      <c r="H1266" s="239" t="s">
        <v>51</v>
      </c>
      <c r="I1266" s="239" t="s">
        <v>2882</v>
      </c>
      <c r="J1266" s="234">
        <v>43510</v>
      </c>
      <c r="K1266" s="234">
        <v>24180</v>
      </c>
      <c r="L1266" s="242">
        <v>4</v>
      </c>
      <c r="M1266" s="308">
        <v>19330</v>
      </c>
      <c r="N1266" s="234">
        <v>18556.8</v>
      </c>
      <c r="O1266" s="234" t="s">
        <v>3410</v>
      </c>
      <c r="P1266" s="236">
        <v>45959</v>
      </c>
      <c r="Q1266" s="244">
        <v>0.32881944444444444</v>
      </c>
    </row>
    <row r="1267" spans="1:17" ht="38.25">
      <c r="A1267" s="239" t="s">
        <v>3417</v>
      </c>
      <c r="B1267" s="240">
        <v>2766</v>
      </c>
      <c r="C1267" s="241">
        <v>195</v>
      </c>
      <c r="D1267" s="239" t="s">
        <v>2881</v>
      </c>
      <c r="E1267" s="239" t="s">
        <v>369</v>
      </c>
      <c r="F1267" s="239" t="s">
        <v>370</v>
      </c>
      <c r="G1267" s="239" t="s">
        <v>957</v>
      </c>
      <c r="H1267" s="239" t="s">
        <v>51</v>
      </c>
      <c r="I1267" s="239" t="s">
        <v>2882</v>
      </c>
      <c r="J1267" s="234">
        <v>36500</v>
      </c>
      <c r="K1267" s="234">
        <v>15380</v>
      </c>
      <c r="L1267" s="242">
        <v>6</v>
      </c>
      <c r="M1267" s="308">
        <v>21120</v>
      </c>
      <c r="N1267" s="234">
        <v>19852.8</v>
      </c>
      <c r="O1267" s="234" t="s">
        <v>3418</v>
      </c>
      <c r="P1267" s="236">
        <v>45959</v>
      </c>
      <c r="Q1267" s="244">
        <v>0.3659027777777778</v>
      </c>
    </row>
    <row r="1268" spans="1:17" ht="38.25">
      <c r="A1268" s="239" t="s">
        <v>3421</v>
      </c>
      <c r="B1268" s="240">
        <v>2776</v>
      </c>
      <c r="C1268" s="241">
        <v>199</v>
      </c>
      <c r="D1268" s="239" t="s">
        <v>2881</v>
      </c>
      <c r="E1268" s="239" t="s">
        <v>453</v>
      </c>
      <c r="F1268" s="239" t="s">
        <v>454</v>
      </c>
      <c r="G1268" s="239" t="s">
        <v>957</v>
      </c>
      <c r="H1268" s="239" t="s">
        <v>51</v>
      </c>
      <c r="I1268" s="239" t="s">
        <v>2882</v>
      </c>
      <c r="J1268" s="234">
        <v>64100</v>
      </c>
      <c r="K1268" s="234">
        <v>24740</v>
      </c>
      <c r="L1268" s="242">
        <v>7</v>
      </c>
      <c r="M1268" s="308">
        <v>39360</v>
      </c>
      <c r="N1268" s="234">
        <v>36604.800000000003</v>
      </c>
      <c r="O1268" s="234" t="s">
        <v>3433</v>
      </c>
      <c r="P1268" s="236">
        <v>45959</v>
      </c>
      <c r="Q1268" s="244">
        <v>0.80137731481481478</v>
      </c>
    </row>
    <row r="1269" spans="1:17" ht="38.25">
      <c r="A1269" s="239" t="s">
        <v>3422</v>
      </c>
      <c r="B1269" s="240">
        <v>2772</v>
      </c>
      <c r="C1269" s="241">
        <v>197</v>
      </c>
      <c r="D1269" s="239" t="s">
        <v>2881</v>
      </c>
      <c r="E1269" s="239" t="s">
        <v>377</v>
      </c>
      <c r="F1269" s="239" t="s">
        <v>378</v>
      </c>
      <c r="G1269" s="239" t="s">
        <v>957</v>
      </c>
      <c r="H1269" s="239" t="s">
        <v>51</v>
      </c>
      <c r="I1269" s="239" t="s">
        <v>2882</v>
      </c>
      <c r="J1269" s="234">
        <v>38740</v>
      </c>
      <c r="K1269" s="234">
        <v>15430</v>
      </c>
      <c r="L1269" s="242">
        <v>12</v>
      </c>
      <c r="M1269" s="308">
        <v>23310</v>
      </c>
      <c r="N1269" s="234">
        <v>20512.8</v>
      </c>
      <c r="O1269" s="234" t="s">
        <v>3434</v>
      </c>
      <c r="P1269" s="236">
        <v>45959</v>
      </c>
      <c r="Q1269" s="244">
        <v>0.84081018518518513</v>
      </c>
    </row>
    <row r="1270" spans="1:17" ht="38.25">
      <c r="A1270" s="239" t="s">
        <v>3423</v>
      </c>
      <c r="B1270" s="240">
        <v>2777</v>
      </c>
      <c r="C1270" s="241">
        <v>202</v>
      </c>
      <c r="D1270" s="239" t="s">
        <v>2881</v>
      </c>
      <c r="E1270" s="239" t="s">
        <v>425</v>
      </c>
      <c r="F1270" s="239" t="s">
        <v>426</v>
      </c>
      <c r="G1270" s="239" t="s">
        <v>957</v>
      </c>
      <c r="H1270" s="239" t="s">
        <v>51</v>
      </c>
      <c r="I1270" s="239" t="s">
        <v>2882</v>
      </c>
      <c r="J1270" s="234">
        <v>50270</v>
      </c>
      <c r="K1270" s="234">
        <v>18920</v>
      </c>
      <c r="L1270" s="242">
        <v>9</v>
      </c>
      <c r="M1270" s="308">
        <v>31350</v>
      </c>
      <c r="N1270" s="234">
        <v>28528.5</v>
      </c>
      <c r="O1270" s="234" t="s">
        <v>3435</v>
      </c>
      <c r="P1270" s="236">
        <v>45959</v>
      </c>
      <c r="Q1270" s="244">
        <v>0.86379629629629628</v>
      </c>
    </row>
    <row r="1271" spans="1:17" ht="38.25">
      <c r="A1271" s="239" t="s">
        <v>3424</v>
      </c>
      <c r="B1271" s="240">
        <v>2773</v>
      </c>
      <c r="C1271" s="241">
        <v>198</v>
      </c>
      <c r="D1271" s="239" t="s">
        <v>2881</v>
      </c>
      <c r="E1271" s="239" t="s">
        <v>841</v>
      </c>
      <c r="F1271" s="239" t="s">
        <v>845</v>
      </c>
      <c r="G1271" s="239" t="s">
        <v>957</v>
      </c>
      <c r="H1271" s="239" t="s">
        <v>51</v>
      </c>
      <c r="I1271" s="239" t="s">
        <v>2882</v>
      </c>
      <c r="J1271" s="234">
        <v>39210</v>
      </c>
      <c r="K1271" s="234">
        <v>15840</v>
      </c>
      <c r="L1271" s="242">
        <v>6</v>
      </c>
      <c r="M1271" s="308">
        <v>23370</v>
      </c>
      <c r="N1271" s="234">
        <v>21967.8</v>
      </c>
      <c r="O1271" s="234" t="s">
        <v>3436</v>
      </c>
      <c r="P1271" s="236">
        <v>45959</v>
      </c>
      <c r="Q1271" s="244">
        <v>0.88774305555555555</v>
      </c>
    </row>
    <row r="1272" spans="1:17" ht="38.25">
      <c r="A1272" s="239" t="s">
        <v>3425</v>
      </c>
      <c r="B1272" s="240">
        <v>2778</v>
      </c>
      <c r="C1272" s="241">
        <v>205</v>
      </c>
      <c r="D1272" s="239" t="s">
        <v>2881</v>
      </c>
      <c r="E1272" s="239" t="s">
        <v>783</v>
      </c>
      <c r="F1272" s="239" t="s">
        <v>784</v>
      </c>
      <c r="G1272" s="239" t="s">
        <v>957</v>
      </c>
      <c r="H1272" s="239" t="s">
        <v>51</v>
      </c>
      <c r="I1272" s="239" t="s">
        <v>2882</v>
      </c>
      <c r="J1272" s="234">
        <v>38130</v>
      </c>
      <c r="K1272" s="234">
        <v>14880</v>
      </c>
      <c r="L1272" s="242">
        <v>7</v>
      </c>
      <c r="M1272" s="308">
        <v>23250</v>
      </c>
      <c r="N1272" s="234">
        <v>21622.5</v>
      </c>
      <c r="O1272" s="234" t="s">
        <v>3437</v>
      </c>
      <c r="P1272" s="236">
        <v>45959</v>
      </c>
      <c r="Q1272" s="244">
        <v>0.90342592592592597</v>
      </c>
    </row>
    <row r="1273" spans="1:17" ht="38.25">
      <c r="A1273" s="239" t="s">
        <v>3426</v>
      </c>
      <c r="B1273" s="240">
        <v>2779</v>
      </c>
      <c r="C1273" s="241">
        <v>206</v>
      </c>
      <c r="D1273" s="239" t="s">
        <v>2881</v>
      </c>
      <c r="E1273" s="239" t="s">
        <v>794</v>
      </c>
      <c r="F1273" s="239" t="s">
        <v>795</v>
      </c>
      <c r="G1273" s="239" t="s">
        <v>957</v>
      </c>
      <c r="H1273" s="239" t="s">
        <v>51</v>
      </c>
      <c r="I1273" s="239" t="s">
        <v>2882</v>
      </c>
      <c r="J1273" s="234">
        <v>41100</v>
      </c>
      <c r="K1273" s="234">
        <v>16280</v>
      </c>
      <c r="L1273" s="242">
        <v>14</v>
      </c>
      <c r="M1273" s="308">
        <v>24820</v>
      </c>
      <c r="N1273" s="234">
        <v>21345.200000000001</v>
      </c>
      <c r="O1273" s="234" t="s">
        <v>3438</v>
      </c>
      <c r="P1273" s="236">
        <v>45959</v>
      </c>
      <c r="Q1273" s="244">
        <v>0.93129629629629629</v>
      </c>
    </row>
    <row r="1274" spans="1:17" ht="38.25">
      <c r="A1274" s="239" t="s">
        <v>3427</v>
      </c>
      <c r="B1274" s="240">
        <v>2774</v>
      </c>
      <c r="C1274" s="241">
        <v>200</v>
      </c>
      <c r="D1274" s="239" t="s">
        <v>2881</v>
      </c>
      <c r="E1274" s="239" t="s">
        <v>858</v>
      </c>
      <c r="F1274" s="239" t="s">
        <v>859</v>
      </c>
      <c r="G1274" s="239" t="s">
        <v>957</v>
      </c>
      <c r="H1274" s="239" t="s">
        <v>51</v>
      </c>
      <c r="I1274" s="239" t="s">
        <v>2882</v>
      </c>
      <c r="J1274" s="234">
        <v>39740</v>
      </c>
      <c r="K1274" s="234">
        <v>15150</v>
      </c>
      <c r="L1274" s="242">
        <v>14</v>
      </c>
      <c r="M1274" s="308">
        <v>24590</v>
      </c>
      <c r="N1274" s="234">
        <v>21147.4</v>
      </c>
      <c r="O1274" s="234" t="s">
        <v>3439</v>
      </c>
      <c r="P1274" s="236">
        <v>45959</v>
      </c>
      <c r="Q1274" s="244">
        <v>0.95656249999999998</v>
      </c>
    </row>
    <row r="1275" spans="1:17" ht="38.25">
      <c r="A1275" s="239" t="s">
        <v>3428</v>
      </c>
      <c r="B1275" s="240">
        <v>2780</v>
      </c>
      <c r="C1275" s="241">
        <v>204</v>
      </c>
      <c r="D1275" s="239" t="s">
        <v>2881</v>
      </c>
      <c r="E1275" s="239" t="s">
        <v>786</v>
      </c>
      <c r="F1275" s="239" t="s">
        <v>787</v>
      </c>
      <c r="G1275" s="239" t="s">
        <v>957</v>
      </c>
      <c r="H1275" s="239" t="s">
        <v>51</v>
      </c>
      <c r="I1275" s="239" t="s">
        <v>2882</v>
      </c>
      <c r="J1275" s="234">
        <v>35310</v>
      </c>
      <c r="K1275" s="234">
        <v>14100</v>
      </c>
      <c r="L1275" s="242">
        <v>22</v>
      </c>
      <c r="M1275" s="308">
        <v>21210</v>
      </c>
      <c r="N1275" s="234">
        <v>16543.8</v>
      </c>
      <c r="O1275" s="234" t="s">
        <v>3440</v>
      </c>
      <c r="P1275" s="236">
        <v>45959</v>
      </c>
      <c r="Q1275" s="244">
        <v>0.9589699074074074</v>
      </c>
    </row>
    <row r="1276" spans="1:17" ht="38.25">
      <c r="A1276" s="239" t="s">
        <v>3429</v>
      </c>
      <c r="B1276" s="240">
        <v>2775</v>
      </c>
      <c r="C1276" s="241">
        <v>201</v>
      </c>
      <c r="D1276" s="239" t="s">
        <v>2881</v>
      </c>
      <c r="E1276" s="239" t="s">
        <v>400</v>
      </c>
      <c r="F1276" s="239" t="s">
        <v>401</v>
      </c>
      <c r="G1276" s="239" t="s">
        <v>957</v>
      </c>
      <c r="H1276" s="239" t="s">
        <v>51</v>
      </c>
      <c r="I1276" s="239" t="s">
        <v>2882</v>
      </c>
      <c r="J1276" s="234">
        <v>37990</v>
      </c>
      <c r="K1276" s="234">
        <v>15020</v>
      </c>
      <c r="L1276" s="242">
        <v>14</v>
      </c>
      <c r="M1276" s="308">
        <v>22970</v>
      </c>
      <c r="N1276" s="234">
        <v>19754.2</v>
      </c>
      <c r="O1276" s="234" t="s">
        <v>3441</v>
      </c>
      <c r="P1276" s="236">
        <v>45959</v>
      </c>
      <c r="Q1276" s="244">
        <v>0.97304398148148152</v>
      </c>
    </row>
    <row r="1277" spans="1:17" ht="38.25">
      <c r="A1277" s="239" t="s">
        <v>3430</v>
      </c>
      <c r="B1277" s="240">
        <v>2781</v>
      </c>
      <c r="C1277" s="241">
        <v>207</v>
      </c>
      <c r="D1277" s="239" t="s">
        <v>2881</v>
      </c>
      <c r="E1277" s="239" t="s">
        <v>416</v>
      </c>
      <c r="F1277" s="239" t="s">
        <v>417</v>
      </c>
      <c r="G1277" s="239" t="s">
        <v>957</v>
      </c>
      <c r="H1277" s="239" t="s">
        <v>51</v>
      </c>
      <c r="I1277" s="239" t="s">
        <v>2882</v>
      </c>
      <c r="J1277" s="234">
        <v>39290</v>
      </c>
      <c r="K1277" s="234">
        <v>14960</v>
      </c>
      <c r="L1277" s="242">
        <v>14</v>
      </c>
      <c r="M1277" s="308">
        <v>24330</v>
      </c>
      <c r="N1277" s="234">
        <v>20923.8</v>
      </c>
      <c r="O1277" s="234" t="s">
        <v>3442</v>
      </c>
      <c r="P1277" s="236">
        <v>45960</v>
      </c>
      <c r="Q1277" s="244">
        <v>0.23609953703703704</v>
      </c>
    </row>
    <row r="1278" spans="1:17" ht="38.25">
      <c r="A1278" s="239" t="s">
        <v>3431</v>
      </c>
      <c r="B1278" s="240">
        <v>2782</v>
      </c>
      <c r="C1278" s="241">
        <v>208</v>
      </c>
      <c r="D1278" s="239" t="s">
        <v>2881</v>
      </c>
      <c r="E1278" s="239" t="s">
        <v>420</v>
      </c>
      <c r="F1278" s="239" t="s">
        <v>421</v>
      </c>
      <c r="G1278" s="239" t="s">
        <v>957</v>
      </c>
      <c r="H1278" s="239" t="s">
        <v>51</v>
      </c>
      <c r="I1278" s="239" t="s">
        <v>2882</v>
      </c>
      <c r="J1278" s="234">
        <v>36590</v>
      </c>
      <c r="K1278" s="234">
        <v>15100</v>
      </c>
      <c r="L1278" s="242">
        <v>24</v>
      </c>
      <c r="M1278" s="308">
        <v>21490</v>
      </c>
      <c r="N1278" s="234">
        <v>16332.4</v>
      </c>
      <c r="O1278" s="234" t="s">
        <v>3443</v>
      </c>
      <c r="P1278" s="236">
        <v>45960</v>
      </c>
      <c r="Q1278" s="244">
        <v>0.26628472222222221</v>
      </c>
    </row>
    <row r="1279" spans="1:17" ht="38.25">
      <c r="A1279" s="239" t="s">
        <v>3432</v>
      </c>
      <c r="B1279" s="240">
        <v>2783</v>
      </c>
      <c r="C1279" s="241">
        <v>209</v>
      </c>
      <c r="D1279" s="239" t="s">
        <v>2881</v>
      </c>
      <c r="E1279" s="239" t="s">
        <v>791</v>
      </c>
      <c r="F1279" s="239" t="s">
        <v>792</v>
      </c>
      <c r="G1279" s="239" t="s">
        <v>957</v>
      </c>
      <c r="H1279" s="239" t="s">
        <v>51</v>
      </c>
      <c r="I1279" s="239" t="s">
        <v>2882</v>
      </c>
      <c r="J1279" s="234">
        <v>39010</v>
      </c>
      <c r="K1279" s="234">
        <v>15210</v>
      </c>
      <c r="L1279" s="242">
        <v>21</v>
      </c>
      <c r="M1279" s="308">
        <v>23800</v>
      </c>
      <c r="N1279" s="234">
        <v>18802</v>
      </c>
      <c r="O1279" s="234" t="s">
        <v>3444</v>
      </c>
      <c r="P1279" s="236">
        <v>45960</v>
      </c>
      <c r="Q1279" s="244">
        <v>0.32611111111111113</v>
      </c>
    </row>
    <row r="1280" spans="1:17" ht="38.25">
      <c r="A1280" s="239" t="s">
        <v>3445</v>
      </c>
      <c r="B1280" s="240">
        <v>2784</v>
      </c>
      <c r="C1280" s="241">
        <v>211</v>
      </c>
      <c r="D1280" s="239" t="s">
        <v>2881</v>
      </c>
      <c r="E1280" s="239" t="s">
        <v>390</v>
      </c>
      <c r="F1280" s="239" t="s">
        <v>391</v>
      </c>
      <c r="G1280" s="239" t="s">
        <v>957</v>
      </c>
      <c r="H1280" s="239" t="s">
        <v>51</v>
      </c>
      <c r="I1280" s="239" t="s">
        <v>2882</v>
      </c>
      <c r="J1280" s="234">
        <v>38810</v>
      </c>
      <c r="K1280" s="234">
        <v>15190</v>
      </c>
      <c r="L1280" s="242">
        <v>12</v>
      </c>
      <c r="M1280" s="308">
        <v>23620</v>
      </c>
      <c r="N1280" s="234">
        <v>20785.599999999999</v>
      </c>
      <c r="O1280" s="234" t="s">
        <v>3446</v>
      </c>
      <c r="P1280" s="236">
        <v>45960</v>
      </c>
      <c r="Q1280" s="244">
        <v>0.36452546296296295</v>
      </c>
    </row>
    <row r="1281" spans="1:17" ht="38.25">
      <c r="A1281" s="239" t="s">
        <v>3447</v>
      </c>
      <c r="B1281" s="240">
        <v>2785</v>
      </c>
      <c r="C1281" s="241">
        <v>210</v>
      </c>
      <c r="D1281" s="239" t="s">
        <v>2881</v>
      </c>
      <c r="E1281" s="239" t="s">
        <v>388</v>
      </c>
      <c r="F1281" s="239" t="s">
        <v>389</v>
      </c>
      <c r="G1281" s="239" t="s">
        <v>957</v>
      </c>
      <c r="H1281" s="239" t="s">
        <v>51</v>
      </c>
      <c r="I1281" s="239" t="s">
        <v>2882</v>
      </c>
      <c r="J1281" s="234">
        <v>59920</v>
      </c>
      <c r="K1281" s="234">
        <v>21330</v>
      </c>
      <c r="L1281" s="242">
        <v>24</v>
      </c>
      <c r="M1281" s="308">
        <v>38590</v>
      </c>
      <c r="N1281" s="234">
        <v>29328.400000000001</v>
      </c>
      <c r="O1281" s="234" t="s">
        <v>3448</v>
      </c>
      <c r="P1281" s="236">
        <v>45960</v>
      </c>
      <c r="Q1281" s="244">
        <v>0.43748842592592591</v>
      </c>
    </row>
    <row r="1282" spans="1:17" ht="38.25">
      <c r="A1282" s="239" t="s">
        <v>3449</v>
      </c>
      <c r="B1282" s="240">
        <v>2786</v>
      </c>
      <c r="C1282" s="241">
        <v>212</v>
      </c>
      <c r="D1282" s="239" t="s">
        <v>2881</v>
      </c>
      <c r="E1282" s="239" t="s">
        <v>447</v>
      </c>
      <c r="F1282" s="239" t="s">
        <v>448</v>
      </c>
      <c r="G1282" s="239" t="s">
        <v>957</v>
      </c>
      <c r="H1282" s="239" t="s">
        <v>51</v>
      </c>
      <c r="I1282" s="239" t="s">
        <v>2882</v>
      </c>
      <c r="J1282" s="234">
        <v>52000</v>
      </c>
      <c r="K1282" s="234">
        <v>19590</v>
      </c>
      <c r="L1282" s="242">
        <v>8</v>
      </c>
      <c r="M1282" s="308">
        <v>32410</v>
      </c>
      <c r="N1282" s="234">
        <v>29817.200000000001</v>
      </c>
      <c r="O1282" s="234" t="s">
        <v>3451</v>
      </c>
      <c r="P1282" s="236">
        <v>45960</v>
      </c>
      <c r="Q1282" s="244">
        <v>0.53208333333333335</v>
      </c>
    </row>
    <row r="1283" spans="1:17" ht="38.25">
      <c r="A1283" s="239" t="s">
        <v>3450</v>
      </c>
      <c r="B1283" s="240">
        <v>2787</v>
      </c>
      <c r="C1283" s="241">
        <v>213</v>
      </c>
      <c r="D1283" s="239" t="s">
        <v>2881</v>
      </c>
      <c r="E1283" s="239" t="s">
        <v>372</v>
      </c>
      <c r="F1283" s="239" t="s">
        <v>373</v>
      </c>
      <c r="G1283" s="239" t="s">
        <v>957</v>
      </c>
      <c r="H1283" s="239" t="s">
        <v>51</v>
      </c>
      <c r="I1283" s="239" t="s">
        <v>2882</v>
      </c>
      <c r="J1283" s="234">
        <v>38140</v>
      </c>
      <c r="K1283" s="234">
        <v>15080</v>
      </c>
      <c r="L1283" s="242">
        <v>11</v>
      </c>
      <c r="M1283" s="308">
        <v>23060</v>
      </c>
      <c r="N1283" s="234">
        <v>20523.400000000001</v>
      </c>
      <c r="O1283" s="234" t="s">
        <v>3452</v>
      </c>
      <c r="P1283" s="236">
        <v>45960</v>
      </c>
      <c r="Q1283" s="244">
        <v>0.53396990740740746</v>
      </c>
    </row>
    <row r="1284" spans="1:17" ht="38.25">
      <c r="A1284" s="239" t="s">
        <v>3453</v>
      </c>
      <c r="B1284" s="240">
        <v>2788</v>
      </c>
      <c r="C1284" s="241">
        <v>215</v>
      </c>
      <c r="D1284" s="239" t="s">
        <v>2881</v>
      </c>
      <c r="E1284" s="239" t="s">
        <v>432</v>
      </c>
      <c r="F1284" s="239" t="s">
        <v>433</v>
      </c>
      <c r="G1284" s="239" t="s">
        <v>957</v>
      </c>
      <c r="H1284" s="239" t="s">
        <v>51</v>
      </c>
      <c r="I1284" s="239" t="s">
        <v>2882</v>
      </c>
      <c r="J1284" s="234">
        <v>43040</v>
      </c>
      <c r="K1284" s="234">
        <v>16020</v>
      </c>
      <c r="L1284" s="242">
        <v>15</v>
      </c>
      <c r="M1284" s="308">
        <v>27020</v>
      </c>
      <c r="N1284" s="234">
        <v>22967</v>
      </c>
      <c r="O1284" s="234" t="s">
        <v>3454</v>
      </c>
      <c r="P1284" s="236">
        <v>45960</v>
      </c>
      <c r="Q1284" s="244">
        <v>0.59915509259259259</v>
      </c>
    </row>
    <row r="1285" spans="1:17" ht="38.25">
      <c r="A1285" s="239" t="s">
        <v>3455</v>
      </c>
      <c r="B1285" s="240">
        <v>2790</v>
      </c>
      <c r="C1285" s="241">
        <v>214</v>
      </c>
      <c r="D1285" s="239" t="s">
        <v>2881</v>
      </c>
      <c r="E1285" s="239" t="s">
        <v>413</v>
      </c>
      <c r="F1285" s="239" t="s">
        <v>414</v>
      </c>
      <c r="G1285" s="239" t="s">
        <v>957</v>
      </c>
      <c r="H1285" s="239" t="s">
        <v>51</v>
      </c>
      <c r="I1285" s="239" t="s">
        <v>2882</v>
      </c>
      <c r="J1285" s="234">
        <v>40560</v>
      </c>
      <c r="K1285" s="234">
        <v>15130</v>
      </c>
      <c r="L1285" s="242">
        <v>16</v>
      </c>
      <c r="M1285" s="308">
        <v>25430</v>
      </c>
      <c r="N1285" s="234">
        <v>21361.200000000001</v>
      </c>
      <c r="O1285" s="234" t="s">
        <v>3468</v>
      </c>
      <c r="P1285" s="236">
        <v>45960</v>
      </c>
      <c r="Q1285" s="244">
        <v>0.62288194444444445</v>
      </c>
    </row>
    <row r="1286" spans="1:17" ht="38.25">
      <c r="A1286" s="239" t="s">
        <v>3456</v>
      </c>
      <c r="B1286" s="240">
        <v>2793</v>
      </c>
      <c r="C1286" s="241">
        <v>216</v>
      </c>
      <c r="D1286" s="239" t="s">
        <v>2881</v>
      </c>
      <c r="E1286" s="239" t="s">
        <v>439</v>
      </c>
      <c r="F1286" s="239" t="s">
        <v>440</v>
      </c>
      <c r="G1286" s="239" t="s">
        <v>957</v>
      </c>
      <c r="H1286" s="239" t="s">
        <v>51</v>
      </c>
      <c r="I1286" s="239" t="s">
        <v>2882</v>
      </c>
      <c r="J1286" s="234">
        <v>42970</v>
      </c>
      <c r="K1286" s="234">
        <v>15290</v>
      </c>
      <c r="L1286" s="242">
        <v>18</v>
      </c>
      <c r="M1286" s="308">
        <v>27680</v>
      </c>
      <c r="N1286" s="234">
        <v>22697.599999999999</v>
      </c>
      <c r="O1286" s="234" t="s">
        <v>3469</v>
      </c>
      <c r="P1286" s="236">
        <v>45960</v>
      </c>
      <c r="Q1286" s="244">
        <v>0.68060185185185185</v>
      </c>
    </row>
    <row r="1287" spans="1:17" ht="38.25">
      <c r="A1287" s="239" t="s">
        <v>3457</v>
      </c>
      <c r="B1287" s="240">
        <v>2795</v>
      </c>
      <c r="C1287" s="241">
        <v>217</v>
      </c>
      <c r="D1287" s="239" t="s">
        <v>2881</v>
      </c>
      <c r="E1287" s="239" t="s">
        <v>429</v>
      </c>
      <c r="F1287" s="239" t="s">
        <v>430</v>
      </c>
      <c r="G1287" s="239" t="s">
        <v>957</v>
      </c>
      <c r="H1287" s="239" t="s">
        <v>51</v>
      </c>
      <c r="I1287" s="239" t="s">
        <v>2882</v>
      </c>
      <c r="J1287" s="234">
        <v>38470</v>
      </c>
      <c r="K1287" s="234">
        <v>14670</v>
      </c>
      <c r="L1287" s="242">
        <v>8</v>
      </c>
      <c r="M1287" s="308">
        <v>23800</v>
      </c>
      <c r="N1287" s="234">
        <v>21896</v>
      </c>
      <c r="O1287" s="234" t="s">
        <v>3470</v>
      </c>
      <c r="P1287" s="236">
        <v>45960</v>
      </c>
      <c r="Q1287" s="244">
        <v>0.72998842592592594</v>
      </c>
    </row>
    <row r="1288" spans="1:17" ht="38.25">
      <c r="A1288" s="239" t="s">
        <v>3458</v>
      </c>
      <c r="B1288" s="240">
        <v>2796</v>
      </c>
      <c r="C1288" s="241">
        <v>218</v>
      </c>
      <c r="D1288" s="239" t="s">
        <v>2881</v>
      </c>
      <c r="E1288" s="239" t="s">
        <v>456</v>
      </c>
      <c r="F1288" s="239" t="s">
        <v>457</v>
      </c>
      <c r="G1288" s="239" t="s">
        <v>957</v>
      </c>
      <c r="H1288" s="239" t="s">
        <v>51</v>
      </c>
      <c r="I1288" s="239" t="s">
        <v>2882</v>
      </c>
      <c r="J1288" s="234">
        <v>41540</v>
      </c>
      <c r="K1288" s="234">
        <v>16290</v>
      </c>
      <c r="L1288" s="242">
        <v>29</v>
      </c>
      <c r="M1288" s="308">
        <v>25250</v>
      </c>
      <c r="N1288" s="234">
        <v>17927.5</v>
      </c>
      <c r="O1288" s="234" t="s">
        <v>3471</v>
      </c>
      <c r="P1288" s="236">
        <v>45960</v>
      </c>
      <c r="Q1288" s="244">
        <v>0.79812499999999997</v>
      </c>
    </row>
    <row r="1289" spans="1:17" ht="51">
      <c r="A1289" s="239" t="s">
        <v>3459</v>
      </c>
      <c r="B1289" s="240">
        <v>2801</v>
      </c>
      <c r="C1289" s="241">
        <v>11294</v>
      </c>
      <c r="D1289" s="239" t="s">
        <v>2511</v>
      </c>
      <c r="E1289" s="239" t="s">
        <v>380</v>
      </c>
      <c r="F1289" s="239" t="s">
        <v>381</v>
      </c>
      <c r="G1289" s="239" t="s">
        <v>933</v>
      </c>
      <c r="H1289" s="239" t="s">
        <v>42</v>
      </c>
      <c r="I1289" s="239" t="s">
        <v>2512</v>
      </c>
      <c r="J1289" s="234">
        <v>40300</v>
      </c>
      <c r="K1289" s="234">
        <v>15120</v>
      </c>
      <c r="L1289" s="242">
        <v>6</v>
      </c>
      <c r="M1289" s="308">
        <v>25180</v>
      </c>
      <c r="N1289" s="234">
        <v>23669.200000000001</v>
      </c>
      <c r="O1289" s="234" t="s">
        <v>3472</v>
      </c>
      <c r="P1289" s="236">
        <v>45960</v>
      </c>
      <c r="Q1289" s="244">
        <v>0.85357638888888887</v>
      </c>
    </row>
    <row r="1290" spans="1:17" ht="38.25">
      <c r="A1290" s="239" t="s">
        <v>3460</v>
      </c>
      <c r="B1290" s="240">
        <v>2802</v>
      </c>
      <c r="C1290" s="241">
        <v>221</v>
      </c>
      <c r="D1290" s="239" t="s">
        <v>2881</v>
      </c>
      <c r="E1290" s="239" t="s">
        <v>841</v>
      </c>
      <c r="F1290" s="239" t="s">
        <v>845</v>
      </c>
      <c r="G1290" s="239" t="s">
        <v>951</v>
      </c>
      <c r="H1290" s="239" t="s">
        <v>51</v>
      </c>
      <c r="I1290" s="239" t="s">
        <v>2882</v>
      </c>
      <c r="J1290" s="234">
        <v>38170</v>
      </c>
      <c r="K1290" s="234">
        <v>16110</v>
      </c>
      <c r="L1290" s="242">
        <v>6</v>
      </c>
      <c r="M1290" s="308">
        <v>22060</v>
      </c>
      <c r="N1290" s="234">
        <v>20736.400000000001</v>
      </c>
      <c r="O1290" s="234" t="s">
        <v>3473</v>
      </c>
      <c r="P1290" s="236">
        <v>45960</v>
      </c>
      <c r="Q1290" s="244">
        <v>0.85715277777777776</v>
      </c>
    </row>
    <row r="1291" spans="1:17" ht="38.25">
      <c r="A1291" s="239" t="s">
        <v>3461</v>
      </c>
      <c r="B1291" s="240">
        <v>2803</v>
      </c>
      <c r="C1291" s="241">
        <v>222</v>
      </c>
      <c r="D1291" s="239" t="s">
        <v>2881</v>
      </c>
      <c r="E1291" s="239" t="s">
        <v>453</v>
      </c>
      <c r="F1291" s="239" t="s">
        <v>454</v>
      </c>
      <c r="G1291" s="239" t="s">
        <v>951</v>
      </c>
      <c r="H1291" s="239" t="s">
        <v>51</v>
      </c>
      <c r="I1291" s="239" t="s">
        <v>2882</v>
      </c>
      <c r="J1291" s="234">
        <v>56080</v>
      </c>
      <c r="K1291" s="234">
        <v>24950</v>
      </c>
      <c r="L1291" s="242">
        <v>10</v>
      </c>
      <c r="M1291" s="308">
        <v>31130</v>
      </c>
      <c r="N1291" s="234">
        <v>28017</v>
      </c>
      <c r="O1291" s="234" t="s">
        <v>3474</v>
      </c>
      <c r="P1291" s="236">
        <v>45960</v>
      </c>
      <c r="Q1291" s="244">
        <v>0.86168981481481477</v>
      </c>
    </row>
    <row r="1292" spans="1:17" ht="38.25">
      <c r="A1292" s="239" t="s">
        <v>3462</v>
      </c>
      <c r="B1292" s="240">
        <v>2797</v>
      </c>
      <c r="C1292" s="241">
        <v>219</v>
      </c>
      <c r="D1292" s="239" t="s">
        <v>2881</v>
      </c>
      <c r="E1292" s="239" t="s">
        <v>1410</v>
      </c>
      <c r="F1292" s="239" t="s">
        <v>437</v>
      </c>
      <c r="G1292" s="239" t="s">
        <v>957</v>
      </c>
      <c r="H1292" s="239" t="s">
        <v>51</v>
      </c>
      <c r="I1292" s="239" t="s">
        <v>2882</v>
      </c>
      <c r="J1292" s="234">
        <v>38490</v>
      </c>
      <c r="K1292" s="234">
        <v>15230</v>
      </c>
      <c r="L1292" s="242">
        <v>14</v>
      </c>
      <c r="M1292" s="308">
        <v>23260</v>
      </c>
      <c r="N1292" s="234">
        <v>20003.599999999999</v>
      </c>
      <c r="O1292" s="234" t="s">
        <v>3475</v>
      </c>
      <c r="P1292" s="236">
        <v>45960</v>
      </c>
      <c r="Q1292" s="244">
        <v>0.89414351851851848</v>
      </c>
    </row>
    <row r="1293" spans="1:17" ht="38.25">
      <c r="A1293" s="239" t="s">
        <v>3463</v>
      </c>
      <c r="B1293" s="240">
        <v>2798</v>
      </c>
      <c r="C1293" s="241">
        <v>220</v>
      </c>
      <c r="D1293" s="239" t="s">
        <v>2881</v>
      </c>
      <c r="E1293" s="239" t="s">
        <v>392</v>
      </c>
      <c r="F1293" s="239" t="s">
        <v>393</v>
      </c>
      <c r="G1293" s="239" t="s">
        <v>951</v>
      </c>
      <c r="H1293" s="239" t="s">
        <v>51</v>
      </c>
      <c r="I1293" s="239" t="s">
        <v>2882</v>
      </c>
      <c r="J1293" s="234">
        <v>50670</v>
      </c>
      <c r="K1293" s="234">
        <v>24380</v>
      </c>
      <c r="L1293" s="242">
        <v>15</v>
      </c>
      <c r="M1293" s="308">
        <v>26290</v>
      </c>
      <c r="N1293" s="234">
        <v>22346.5</v>
      </c>
      <c r="O1293" s="234" t="s">
        <v>3476</v>
      </c>
      <c r="P1293" s="236">
        <v>45960</v>
      </c>
      <c r="Q1293" s="244">
        <v>0.89810185185185187</v>
      </c>
    </row>
    <row r="1294" spans="1:17" ht="38.25">
      <c r="A1294" s="239" t="s">
        <v>3464</v>
      </c>
      <c r="B1294" s="240">
        <v>2804</v>
      </c>
      <c r="C1294" s="241">
        <v>223</v>
      </c>
      <c r="D1294" s="239" t="s">
        <v>2881</v>
      </c>
      <c r="E1294" s="239" t="s">
        <v>425</v>
      </c>
      <c r="F1294" s="239" t="s">
        <v>426</v>
      </c>
      <c r="G1294" s="239" t="s">
        <v>951</v>
      </c>
      <c r="H1294" s="239" t="s">
        <v>51</v>
      </c>
      <c r="I1294" s="239" t="s">
        <v>2882</v>
      </c>
      <c r="J1294" s="234">
        <v>48210</v>
      </c>
      <c r="K1294" s="234">
        <v>18970</v>
      </c>
      <c r="L1294" s="242">
        <v>4</v>
      </c>
      <c r="M1294" s="308">
        <v>29240</v>
      </c>
      <c r="N1294" s="234">
        <v>28070.400000000001</v>
      </c>
      <c r="O1294" s="234" t="s">
        <v>3477</v>
      </c>
      <c r="P1294" s="236">
        <v>45960</v>
      </c>
      <c r="Q1294" s="244">
        <v>0.9312731481481481</v>
      </c>
    </row>
    <row r="1295" spans="1:17" ht="51">
      <c r="A1295" s="239" t="s">
        <v>3465</v>
      </c>
      <c r="B1295" s="240">
        <v>2799</v>
      </c>
      <c r="C1295" s="241">
        <v>11284</v>
      </c>
      <c r="D1295" s="239" t="s">
        <v>2511</v>
      </c>
      <c r="E1295" s="239" t="s">
        <v>866</v>
      </c>
      <c r="F1295" s="239" t="s">
        <v>867</v>
      </c>
      <c r="G1295" s="239" t="s">
        <v>933</v>
      </c>
      <c r="H1295" s="239" t="s">
        <v>42</v>
      </c>
      <c r="I1295" s="239" t="s">
        <v>2512</v>
      </c>
      <c r="J1295" s="234">
        <v>40270</v>
      </c>
      <c r="K1295" s="234">
        <v>14630</v>
      </c>
      <c r="L1295" s="242">
        <v>6</v>
      </c>
      <c r="M1295" s="308">
        <v>25640</v>
      </c>
      <c r="N1295" s="234">
        <v>24101.599999999999</v>
      </c>
      <c r="O1295" s="234" t="s">
        <v>3478</v>
      </c>
      <c r="P1295" s="236">
        <v>45960</v>
      </c>
      <c r="Q1295" s="244">
        <v>0.9405324074074074</v>
      </c>
    </row>
    <row r="1296" spans="1:17" ht="38.25">
      <c r="A1296" s="239" t="s">
        <v>3466</v>
      </c>
      <c r="B1296" s="240">
        <v>2805</v>
      </c>
      <c r="C1296" s="241">
        <v>224</v>
      </c>
      <c r="D1296" s="239" t="s">
        <v>2881</v>
      </c>
      <c r="E1296" s="239" t="s">
        <v>783</v>
      </c>
      <c r="F1296" s="239" t="s">
        <v>784</v>
      </c>
      <c r="G1296" s="239" t="s">
        <v>951</v>
      </c>
      <c r="H1296" s="239" t="s">
        <v>51</v>
      </c>
      <c r="I1296" s="239" t="s">
        <v>2882</v>
      </c>
      <c r="J1296" s="234">
        <v>38220</v>
      </c>
      <c r="K1296" s="234">
        <v>14880</v>
      </c>
      <c r="L1296" s="242">
        <v>15</v>
      </c>
      <c r="M1296" s="308">
        <v>23340</v>
      </c>
      <c r="N1296" s="234">
        <v>19839</v>
      </c>
      <c r="O1296" s="234" t="s">
        <v>3479</v>
      </c>
      <c r="P1296" s="236">
        <v>45960</v>
      </c>
      <c r="Q1296" s="244">
        <v>0.94568287037037035</v>
      </c>
    </row>
    <row r="1297" spans="1:17" ht="51">
      <c r="A1297" s="239" t="s">
        <v>3467</v>
      </c>
      <c r="B1297" s="240">
        <v>2800</v>
      </c>
      <c r="C1297" s="241">
        <v>11285</v>
      </c>
      <c r="D1297" s="239" t="s">
        <v>2511</v>
      </c>
      <c r="E1297" s="239" t="s">
        <v>369</v>
      </c>
      <c r="F1297" s="239" t="s">
        <v>370</v>
      </c>
      <c r="G1297" s="239" t="s">
        <v>933</v>
      </c>
      <c r="H1297" s="239" t="s">
        <v>42</v>
      </c>
      <c r="I1297" s="239" t="s">
        <v>2512</v>
      </c>
      <c r="J1297" s="234">
        <v>40310</v>
      </c>
      <c r="K1297" s="234">
        <v>15310</v>
      </c>
      <c r="L1297" s="242">
        <v>11</v>
      </c>
      <c r="M1297" s="308">
        <v>25000</v>
      </c>
      <c r="N1297" s="234">
        <v>22250</v>
      </c>
      <c r="O1297" s="234" t="s">
        <v>3480</v>
      </c>
      <c r="P1297" s="236">
        <v>45960</v>
      </c>
      <c r="Q1297" s="244">
        <v>0.97930555555555554</v>
      </c>
    </row>
    <row r="1298" spans="1:17" ht="38.25">
      <c r="A1298" s="239" t="s">
        <v>3481</v>
      </c>
      <c r="B1298" s="240">
        <v>2806</v>
      </c>
      <c r="C1298" s="241">
        <v>225</v>
      </c>
      <c r="D1298" s="239" t="s">
        <v>2881</v>
      </c>
      <c r="E1298" s="239" t="s">
        <v>794</v>
      </c>
      <c r="F1298" s="239" t="s">
        <v>795</v>
      </c>
      <c r="G1298" s="239" t="s">
        <v>951</v>
      </c>
      <c r="H1298" s="239" t="s">
        <v>51</v>
      </c>
      <c r="I1298" s="239" t="s">
        <v>2882</v>
      </c>
      <c r="J1298" s="234">
        <v>40660</v>
      </c>
      <c r="K1298" s="234">
        <v>16440</v>
      </c>
      <c r="L1298" s="242">
        <v>9</v>
      </c>
      <c r="M1298" s="308">
        <v>24220</v>
      </c>
      <c r="N1298" s="234">
        <v>22040.2</v>
      </c>
      <c r="O1298" s="234" t="s">
        <v>3485</v>
      </c>
      <c r="P1298" s="236">
        <v>45961</v>
      </c>
      <c r="Q1298" s="244">
        <v>0.38079861111111113</v>
      </c>
    </row>
    <row r="1299" spans="1:17" ht="38.25">
      <c r="A1299" s="239" t="s">
        <v>3482</v>
      </c>
      <c r="B1299" s="240">
        <v>2807</v>
      </c>
      <c r="C1299" s="241">
        <v>226</v>
      </c>
      <c r="D1299" s="239" t="s">
        <v>2881</v>
      </c>
      <c r="E1299" s="239" t="s">
        <v>786</v>
      </c>
      <c r="F1299" s="239" t="s">
        <v>787</v>
      </c>
      <c r="G1299" s="239" t="s">
        <v>951</v>
      </c>
      <c r="H1299" s="239" t="s">
        <v>51</v>
      </c>
      <c r="I1299" s="239" t="s">
        <v>2882</v>
      </c>
      <c r="J1299" s="234">
        <v>34970</v>
      </c>
      <c r="K1299" s="234">
        <v>14020</v>
      </c>
      <c r="L1299" s="242">
        <v>7</v>
      </c>
      <c r="M1299" s="308">
        <v>20950</v>
      </c>
      <c r="N1299" s="234">
        <v>19483.5</v>
      </c>
      <c r="O1299" s="234" t="s">
        <v>3486</v>
      </c>
      <c r="P1299" s="236">
        <v>45961</v>
      </c>
      <c r="Q1299" s="244">
        <v>0.39859953703703704</v>
      </c>
    </row>
    <row r="1300" spans="1:17" ht="38.25">
      <c r="A1300" s="239" t="s">
        <v>3483</v>
      </c>
      <c r="B1300" s="240">
        <v>2808</v>
      </c>
      <c r="C1300" s="241">
        <v>227</v>
      </c>
      <c r="D1300" s="239" t="s">
        <v>2881</v>
      </c>
      <c r="E1300" s="239" t="s">
        <v>416</v>
      </c>
      <c r="F1300" s="239" t="s">
        <v>417</v>
      </c>
      <c r="G1300" s="239" t="s">
        <v>951</v>
      </c>
      <c r="H1300" s="239" t="s">
        <v>51</v>
      </c>
      <c r="I1300" s="239" t="s">
        <v>2882</v>
      </c>
      <c r="J1300" s="234">
        <v>38690</v>
      </c>
      <c r="K1300" s="234">
        <v>15060</v>
      </c>
      <c r="L1300" s="242">
        <v>7</v>
      </c>
      <c r="M1300" s="308">
        <v>23630</v>
      </c>
      <c r="N1300" s="234">
        <v>21975.9</v>
      </c>
      <c r="O1300" s="234" t="s">
        <v>3487</v>
      </c>
      <c r="P1300" s="236">
        <v>45961</v>
      </c>
      <c r="Q1300" s="244">
        <v>0.45594907407407409</v>
      </c>
    </row>
    <row r="1301" spans="1:17" ht="38.25">
      <c r="A1301" s="239" t="s">
        <v>3484</v>
      </c>
      <c r="B1301" s="240">
        <v>2809</v>
      </c>
      <c r="C1301" s="241">
        <v>228</v>
      </c>
      <c r="D1301" s="239" t="s">
        <v>2881</v>
      </c>
      <c r="E1301" s="239" t="s">
        <v>420</v>
      </c>
      <c r="F1301" s="239" t="s">
        <v>421</v>
      </c>
      <c r="G1301" s="239" t="s">
        <v>951</v>
      </c>
      <c r="H1301" s="239" t="s">
        <v>51</v>
      </c>
      <c r="I1301" s="239" t="s">
        <v>2882</v>
      </c>
      <c r="J1301" s="234">
        <v>36990</v>
      </c>
      <c r="K1301" s="234">
        <v>15220</v>
      </c>
      <c r="L1301" s="242">
        <v>7</v>
      </c>
      <c r="M1301" s="308">
        <v>21770</v>
      </c>
      <c r="N1301" s="234">
        <v>20246.099999999999</v>
      </c>
      <c r="O1301" s="234" t="s">
        <v>3488</v>
      </c>
      <c r="P1301" s="236">
        <v>45961</v>
      </c>
      <c r="Q1301" s="244">
        <v>0.46204861111111112</v>
      </c>
    </row>
    <row r="1302" spans="1:17" ht="38.25">
      <c r="A1302" s="239" t="s">
        <v>3489</v>
      </c>
      <c r="B1302" s="240">
        <v>2810</v>
      </c>
      <c r="C1302" s="241">
        <v>229</v>
      </c>
      <c r="D1302" s="239" t="s">
        <v>2881</v>
      </c>
      <c r="E1302" s="239" t="s">
        <v>791</v>
      </c>
      <c r="F1302" s="239" t="s">
        <v>792</v>
      </c>
      <c r="G1302" s="239" t="s">
        <v>951</v>
      </c>
      <c r="H1302" s="239" t="s">
        <v>51</v>
      </c>
      <c r="I1302" s="239" t="s">
        <v>2882</v>
      </c>
      <c r="J1302" s="234">
        <v>38680</v>
      </c>
      <c r="K1302" s="234">
        <v>15130</v>
      </c>
      <c r="L1302" s="242">
        <v>5</v>
      </c>
      <c r="M1302" s="308">
        <v>23550</v>
      </c>
      <c r="N1302" s="234">
        <v>22372.5</v>
      </c>
      <c r="O1302" s="234" t="s">
        <v>3506</v>
      </c>
      <c r="P1302" s="236">
        <v>45961</v>
      </c>
      <c r="Q1302" s="244">
        <v>0.53469907407407402</v>
      </c>
    </row>
    <row r="1303" spans="1:17" ht="38.25">
      <c r="A1303" s="239" t="s">
        <v>3490</v>
      </c>
      <c r="B1303" s="240">
        <v>2811</v>
      </c>
      <c r="C1303" s="241">
        <v>230</v>
      </c>
      <c r="D1303" s="239" t="s">
        <v>2881</v>
      </c>
      <c r="E1303" s="239" t="s">
        <v>382</v>
      </c>
      <c r="F1303" s="239" t="s">
        <v>383</v>
      </c>
      <c r="G1303" s="239" t="s">
        <v>951</v>
      </c>
      <c r="H1303" s="239" t="s">
        <v>51</v>
      </c>
      <c r="I1303" s="239" t="s">
        <v>2882</v>
      </c>
      <c r="J1303" s="234">
        <v>36090</v>
      </c>
      <c r="K1303" s="234">
        <v>15050</v>
      </c>
      <c r="L1303" s="242">
        <v>6</v>
      </c>
      <c r="M1303" s="308">
        <v>21040</v>
      </c>
      <c r="N1303" s="234">
        <v>19777.599999999999</v>
      </c>
      <c r="O1303" s="234" t="s">
        <v>3507</v>
      </c>
      <c r="P1303" s="236">
        <v>45961</v>
      </c>
      <c r="Q1303" s="244">
        <v>0.5836689814814815</v>
      </c>
    </row>
    <row r="1304" spans="1:17" ht="38.25">
      <c r="A1304" s="239" t="s">
        <v>3491</v>
      </c>
      <c r="B1304" s="240">
        <v>2812</v>
      </c>
      <c r="C1304" s="241">
        <v>231</v>
      </c>
      <c r="D1304" s="239" t="s">
        <v>2881</v>
      </c>
      <c r="E1304" s="239" t="s">
        <v>400</v>
      </c>
      <c r="F1304" s="239" t="s">
        <v>401</v>
      </c>
      <c r="G1304" s="239" t="s">
        <v>951</v>
      </c>
      <c r="H1304" s="239" t="s">
        <v>51</v>
      </c>
      <c r="I1304" s="239" t="s">
        <v>2882</v>
      </c>
      <c r="J1304" s="234">
        <v>39020</v>
      </c>
      <c r="K1304" s="234">
        <v>15140</v>
      </c>
      <c r="L1304" s="242">
        <v>8</v>
      </c>
      <c r="M1304" s="308">
        <v>23880</v>
      </c>
      <c r="N1304" s="234">
        <v>21969.599999999999</v>
      </c>
      <c r="O1304" s="234" t="s">
        <v>3508</v>
      </c>
      <c r="P1304" s="236">
        <v>45961</v>
      </c>
      <c r="Q1304" s="244">
        <v>0.60677083333333337</v>
      </c>
    </row>
    <row r="1305" spans="1:17" ht="38.25">
      <c r="A1305" s="239" t="s">
        <v>3492</v>
      </c>
      <c r="B1305" s="240">
        <v>2813</v>
      </c>
      <c r="C1305" s="241">
        <v>232</v>
      </c>
      <c r="D1305" s="239" t="s">
        <v>2881</v>
      </c>
      <c r="E1305" s="239" t="s">
        <v>403</v>
      </c>
      <c r="F1305" s="239" t="s">
        <v>404</v>
      </c>
      <c r="G1305" s="239" t="s">
        <v>951</v>
      </c>
      <c r="H1305" s="239" t="s">
        <v>51</v>
      </c>
      <c r="I1305" s="239" t="s">
        <v>2882</v>
      </c>
      <c r="J1305" s="234">
        <v>38890</v>
      </c>
      <c r="K1305" s="234">
        <v>14750</v>
      </c>
      <c r="L1305" s="242">
        <v>14</v>
      </c>
      <c r="M1305" s="308">
        <v>24140</v>
      </c>
      <c r="N1305" s="234">
        <v>20760.400000000001</v>
      </c>
      <c r="O1305" s="234" t="s">
        <v>3509</v>
      </c>
      <c r="P1305" s="236">
        <v>45961</v>
      </c>
      <c r="Q1305" s="244">
        <v>0.61230324074074072</v>
      </c>
    </row>
    <row r="1306" spans="1:17" ht="38.25">
      <c r="A1306" s="239" t="s">
        <v>3493</v>
      </c>
      <c r="B1306" s="240">
        <v>2816</v>
      </c>
      <c r="C1306" s="241">
        <v>233</v>
      </c>
      <c r="D1306" s="239" t="s">
        <v>2881</v>
      </c>
      <c r="E1306" s="239" t="s">
        <v>406</v>
      </c>
      <c r="F1306" s="239" t="s">
        <v>407</v>
      </c>
      <c r="G1306" s="239" t="s">
        <v>951</v>
      </c>
      <c r="H1306" s="239" t="s">
        <v>51</v>
      </c>
      <c r="I1306" s="239" t="s">
        <v>2882</v>
      </c>
      <c r="J1306" s="234">
        <v>37530</v>
      </c>
      <c r="K1306" s="234">
        <v>15190</v>
      </c>
      <c r="L1306" s="242">
        <v>17</v>
      </c>
      <c r="M1306" s="308">
        <v>22340</v>
      </c>
      <c r="N1306" s="234">
        <v>18542.2</v>
      </c>
      <c r="O1306" s="234" t="s">
        <v>3510</v>
      </c>
      <c r="P1306" s="236">
        <v>45961</v>
      </c>
      <c r="Q1306" s="244">
        <v>0.65618055555555554</v>
      </c>
    </row>
    <row r="1307" spans="1:17" ht="38.25">
      <c r="A1307" s="239" t="s">
        <v>3494</v>
      </c>
      <c r="B1307" s="240">
        <v>2817</v>
      </c>
      <c r="C1307" s="241">
        <v>234</v>
      </c>
      <c r="D1307" s="239" t="s">
        <v>2881</v>
      </c>
      <c r="E1307" s="239" t="s">
        <v>442</v>
      </c>
      <c r="F1307" s="239" t="s">
        <v>443</v>
      </c>
      <c r="G1307" s="239" t="s">
        <v>951</v>
      </c>
      <c r="H1307" s="239" t="s">
        <v>51</v>
      </c>
      <c r="I1307" s="239" t="s">
        <v>2882</v>
      </c>
      <c r="J1307" s="234">
        <v>34350</v>
      </c>
      <c r="K1307" s="234">
        <v>14680</v>
      </c>
      <c r="L1307" s="242">
        <v>29</v>
      </c>
      <c r="M1307" s="308">
        <v>19670</v>
      </c>
      <c r="N1307" s="234">
        <v>13965.7</v>
      </c>
      <c r="O1307" s="234" t="s">
        <v>3511</v>
      </c>
      <c r="P1307" s="236">
        <v>45961</v>
      </c>
      <c r="Q1307" s="244">
        <v>0.67909722222222224</v>
      </c>
    </row>
    <row r="1308" spans="1:17" ht="38.25">
      <c r="A1308" s="239" t="s">
        <v>3495</v>
      </c>
      <c r="B1308" s="240">
        <v>2818</v>
      </c>
      <c r="C1308" s="241">
        <v>235</v>
      </c>
      <c r="D1308" s="239" t="s">
        <v>2881</v>
      </c>
      <c r="E1308" s="239" t="s">
        <v>374</v>
      </c>
      <c r="F1308" s="239" t="s">
        <v>375</v>
      </c>
      <c r="G1308" s="239" t="s">
        <v>951</v>
      </c>
      <c r="H1308" s="239" t="s">
        <v>51</v>
      </c>
      <c r="I1308" s="239" t="s">
        <v>2882</v>
      </c>
      <c r="J1308" s="234">
        <v>38830</v>
      </c>
      <c r="K1308" s="234">
        <v>15730</v>
      </c>
      <c r="L1308" s="242">
        <v>5</v>
      </c>
      <c r="M1308" s="308">
        <v>23100</v>
      </c>
      <c r="N1308" s="234">
        <v>21945</v>
      </c>
      <c r="O1308" s="234" t="s">
        <v>3512</v>
      </c>
      <c r="P1308" s="236">
        <v>45961</v>
      </c>
      <c r="Q1308" s="244">
        <v>0.73209490740740746</v>
      </c>
    </row>
    <row r="1309" spans="1:17" ht="38.25">
      <c r="A1309" s="239" t="s">
        <v>3496</v>
      </c>
      <c r="B1309" s="240">
        <v>2820</v>
      </c>
      <c r="C1309" s="241">
        <v>236</v>
      </c>
      <c r="D1309" s="239" t="s">
        <v>2881</v>
      </c>
      <c r="E1309" s="239" t="s">
        <v>447</v>
      </c>
      <c r="F1309" s="239" t="s">
        <v>448</v>
      </c>
      <c r="G1309" s="239" t="s">
        <v>951</v>
      </c>
      <c r="H1309" s="239" t="s">
        <v>51</v>
      </c>
      <c r="I1309" s="239" t="s">
        <v>2882</v>
      </c>
      <c r="J1309" s="234">
        <v>50150</v>
      </c>
      <c r="K1309" s="234">
        <v>19580</v>
      </c>
      <c r="L1309" s="242">
        <v>8</v>
      </c>
      <c r="M1309" s="308">
        <v>30570</v>
      </c>
      <c r="N1309" s="234">
        <v>28124.400000000001</v>
      </c>
      <c r="O1309" s="234" t="s">
        <v>3513</v>
      </c>
      <c r="P1309" s="236">
        <v>45961</v>
      </c>
      <c r="Q1309" s="244">
        <v>0.7759490740740741</v>
      </c>
    </row>
    <row r="1310" spans="1:17" ht="38.25">
      <c r="A1310" s="239" t="s">
        <v>3497</v>
      </c>
      <c r="B1310" s="240">
        <v>2821</v>
      </c>
      <c r="C1310" s="241">
        <v>238</v>
      </c>
      <c r="D1310" s="239" t="s">
        <v>2881</v>
      </c>
      <c r="E1310" s="239" t="s">
        <v>377</v>
      </c>
      <c r="F1310" s="239" t="s">
        <v>378</v>
      </c>
      <c r="G1310" s="239" t="s">
        <v>951</v>
      </c>
      <c r="H1310" s="239" t="s">
        <v>51</v>
      </c>
      <c r="I1310" s="239" t="s">
        <v>2882</v>
      </c>
      <c r="J1310" s="234">
        <v>42080</v>
      </c>
      <c r="K1310" s="234">
        <v>15350</v>
      </c>
      <c r="L1310" s="242">
        <v>8</v>
      </c>
      <c r="M1310" s="308">
        <v>26730</v>
      </c>
      <c r="N1310" s="234">
        <v>24591.599999999999</v>
      </c>
      <c r="O1310" s="234" t="s">
        <v>3514</v>
      </c>
      <c r="P1310" s="236">
        <v>45961</v>
      </c>
      <c r="Q1310" s="244">
        <v>0.91271990740740738</v>
      </c>
    </row>
    <row r="1311" spans="1:17" ht="38.25">
      <c r="A1311" s="239" t="s">
        <v>3498</v>
      </c>
      <c r="B1311" s="240">
        <v>2822</v>
      </c>
      <c r="C1311" s="241">
        <v>237</v>
      </c>
      <c r="D1311" s="239" t="s">
        <v>2881</v>
      </c>
      <c r="E1311" s="239" t="s">
        <v>388</v>
      </c>
      <c r="F1311" s="239" t="s">
        <v>389</v>
      </c>
      <c r="G1311" s="239" t="s">
        <v>951</v>
      </c>
      <c r="H1311" s="239" t="s">
        <v>51</v>
      </c>
      <c r="I1311" s="239" t="s">
        <v>2882</v>
      </c>
      <c r="J1311" s="234">
        <v>62880</v>
      </c>
      <c r="K1311" s="234">
        <v>21410</v>
      </c>
      <c r="L1311" s="242">
        <v>9</v>
      </c>
      <c r="M1311" s="308">
        <v>41470</v>
      </c>
      <c r="N1311" s="234">
        <v>37737.699999999997</v>
      </c>
      <c r="O1311" s="234" t="s">
        <v>3515</v>
      </c>
      <c r="P1311" s="236">
        <v>45961</v>
      </c>
      <c r="Q1311" s="244">
        <v>0.91464120370370372</v>
      </c>
    </row>
    <row r="1312" spans="1:17" ht="38.25">
      <c r="A1312" s="239" t="s">
        <v>3499</v>
      </c>
      <c r="B1312" s="240">
        <v>2823</v>
      </c>
      <c r="C1312" s="241">
        <v>239</v>
      </c>
      <c r="D1312" s="239" t="s">
        <v>2881</v>
      </c>
      <c r="E1312" s="239" t="s">
        <v>432</v>
      </c>
      <c r="F1312" s="239" t="s">
        <v>433</v>
      </c>
      <c r="G1312" s="239" t="s">
        <v>951</v>
      </c>
      <c r="H1312" s="239" t="s">
        <v>51</v>
      </c>
      <c r="I1312" s="239" t="s">
        <v>2882</v>
      </c>
      <c r="J1312" s="234">
        <v>44970</v>
      </c>
      <c r="K1312" s="234">
        <v>15990</v>
      </c>
      <c r="L1312" s="242">
        <v>13</v>
      </c>
      <c r="M1312" s="308">
        <v>28980</v>
      </c>
      <c r="N1312" s="234">
        <v>25212.6</v>
      </c>
      <c r="O1312" s="234" t="s">
        <v>3516</v>
      </c>
      <c r="P1312" s="236">
        <v>45961</v>
      </c>
      <c r="Q1312" s="244">
        <v>0.80978009259259254</v>
      </c>
    </row>
    <row r="1313" spans="1:17" ht="38.25">
      <c r="A1313" s="239" t="s">
        <v>3500</v>
      </c>
      <c r="B1313" s="240">
        <v>2824</v>
      </c>
      <c r="C1313" s="241">
        <v>240</v>
      </c>
      <c r="D1313" s="239" t="s">
        <v>2881</v>
      </c>
      <c r="E1313" s="239" t="s">
        <v>413</v>
      </c>
      <c r="F1313" s="239" t="s">
        <v>414</v>
      </c>
      <c r="G1313" s="239" t="s">
        <v>951</v>
      </c>
      <c r="H1313" s="239" t="s">
        <v>51</v>
      </c>
      <c r="I1313" s="239" t="s">
        <v>2882</v>
      </c>
      <c r="J1313" s="234">
        <v>44250</v>
      </c>
      <c r="K1313" s="234">
        <v>15310</v>
      </c>
      <c r="L1313" s="242">
        <v>7</v>
      </c>
      <c r="M1313" s="308">
        <v>28940</v>
      </c>
      <c r="N1313" s="234">
        <v>26914.2</v>
      </c>
      <c r="O1313" s="234" t="s">
        <v>3517</v>
      </c>
      <c r="P1313" s="236">
        <v>45961</v>
      </c>
      <c r="Q1313" s="244">
        <v>0.83821759259259254</v>
      </c>
    </row>
    <row r="1314" spans="1:17" ht="38.25">
      <c r="A1314" s="239" t="s">
        <v>3501</v>
      </c>
      <c r="B1314" s="240">
        <v>2825</v>
      </c>
      <c r="C1314" s="241">
        <v>241</v>
      </c>
      <c r="D1314" s="239" t="s">
        <v>2881</v>
      </c>
      <c r="E1314" s="239" t="s">
        <v>429</v>
      </c>
      <c r="F1314" s="239" t="s">
        <v>430</v>
      </c>
      <c r="G1314" s="239" t="s">
        <v>951</v>
      </c>
      <c r="H1314" s="239" t="s">
        <v>51</v>
      </c>
      <c r="I1314" s="239" t="s">
        <v>2882</v>
      </c>
      <c r="J1314" s="234">
        <v>42810</v>
      </c>
      <c r="K1314" s="234">
        <v>14590</v>
      </c>
      <c r="L1314" s="242">
        <v>4</v>
      </c>
      <c r="M1314" s="308">
        <v>28220</v>
      </c>
      <c r="N1314" s="234">
        <v>27091.200000000001</v>
      </c>
      <c r="O1314" s="234" t="s">
        <v>3518</v>
      </c>
      <c r="P1314" s="236">
        <v>45961</v>
      </c>
      <c r="Q1314" s="244">
        <v>0.85642361111111109</v>
      </c>
    </row>
    <row r="1315" spans="1:17" ht="38.25">
      <c r="A1315" s="239" t="s">
        <v>3502</v>
      </c>
      <c r="B1315" s="240">
        <v>2826</v>
      </c>
      <c r="C1315" s="241">
        <v>242</v>
      </c>
      <c r="D1315" s="239" t="s">
        <v>2881</v>
      </c>
      <c r="E1315" s="239" t="s">
        <v>439</v>
      </c>
      <c r="F1315" s="239" t="s">
        <v>440</v>
      </c>
      <c r="G1315" s="239" t="s">
        <v>951</v>
      </c>
      <c r="H1315" s="239" t="s">
        <v>51</v>
      </c>
      <c r="I1315" s="239" t="s">
        <v>2882</v>
      </c>
      <c r="J1315" s="234">
        <v>44670</v>
      </c>
      <c r="K1315" s="234">
        <v>15410</v>
      </c>
      <c r="L1315" s="242">
        <v>13</v>
      </c>
      <c r="M1315" s="308">
        <v>29260</v>
      </c>
      <c r="N1315" s="234">
        <v>25456.2</v>
      </c>
      <c r="O1315" s="234" t="s">
        <v>3519</v>
      </c>
      <c r="P1315" s="236">
        <v>45961</v>
      </c>
      <c r="Q1315" s="244">
        <v>0.88041666666666663</v>
      </c>
    </row>
    <row r="1316" spans="1:17" ht="38.25">
      <c r="A1316" s="239" t="s">
        <v>3503</v>
      </c>
      <c r="B1316" s="240">
        <v>2828</v>
      </c>
      <c r="C1316" s="241">
        <v>244</v>
      </c>
      <c r="D1316" s="239" t="s">
        <v>2881</v>
      </c>
      <c r="E1316" s="239" t="s">
        <v>1410</v>
      </c>
      <c r="F1316" s="239" t="s">
        <v>437</v>
      </c>
      <c r="G1316" s="239" t="s">
        <v>951</v>
      </c>
      <c r="H1316" s="239" t="s">
        <v>51</v>
      </c>
      <c r="I1316" s="239" t="s">
        <v>2882</v>
      </c>
      <c r="J1316" s="234">
        <v>42230</v>
      </c>
      <c r="K1316" s="234">
        <v>15100</v>
      </c>
      <c r="L1316" s="242">
        <v>9</v>
      </c>
      <c r="M1316" s="308">
        <v>27130</v>
      </c>
      <c r="N1316" s="234">
        <v>24688.3</v>
      </c>
      <c r="O1316" s="234" t="s">
        <v>3520</v>
      </c>
      <c r="P1316" s="236">
        <v>45961</v>
      </c>
      <c r="Q1316" s="244">
        <v>0.96987268518518521</v>
      </c>
    </row>
    <row r="1317" spans="1:17" ht="38.25">
      <c r="A1317" s="239" t="s">
        <v>3504</v>
      </c>
      <c r="B1317" s="240">
        <v>2827</v>
      </c>
      <c r="C1317" s="241">
        <v>243</v>
      </c>
      <c r="D1317" s="239" t="s">
        <v>2881</v>
      </c>
      <c r="E1317" s="239" t="s">
        <v>456</v>
      </c>
      <c r="F1317" s="239" t="s">
        <v>457</v>
      </c>
      <c r="G1317" s="239" t="s">
        <v>951</v>
      </c>
      <c r="H1317" s="239" t="s">
        <v>51</v>
      </c>
      <c r="I1317" s="239" t="s">
        <v>2882</v>
      </c>
      <c r="J1317" s="234">
        <v>47460</v>
      </c>
      <c r="K1317" s="234">
        <v>16110</v>
      </c>
      <c r="L1317" s="242">
        <v>8</v>
      </c>
      <c r="M1317" s="308">
        <v>31350</v>
      </c>
      <c r="N1317" s="234">
        <v>28842</v>
      </c>
      <c r="O1317" s="234" t="s">
        <v>3521</v>
      </c>
      <c r="P1317" s="236">
        <v>45961</v>
      </c>
      <c r="Q1317" s="244">
        <v>0.93682870370370375</v>
      </c>
    </row>
    <row r="1318" spans="1:17" ht="38.25">
      <c r="A1318" s="239" t="s">
        <v>3505</v>
      </c>
      <c r="B1318" s="240">
        <v>2829</v>
      </c>
      <c r="C1318" s="241">
        <v>246</v>
      </c>
      <c r="D1318" s="239" t="s">
        <v>2881</v>
      </c>
      <c r="E1318" s="239" t="s">
        <v>453</v>
      </c>
      <c r="F1318" s="239" t="s">
        <v>454</v>
      </c>
      <c r="G1318" s="239" t="s">
        <v>951</v>
      </c>
      <c r="H1318" s="239" t="s">
        <v>51</v>
      </c>
      <c r="I1318" s="239" t="s">
        <v>2882</v>
      </c>
      <c r="J1318" s="234">
        <v>65660</v>
      </c>
      <c r="K1318" s="234">
        <v>24820</v>
      </c>
      <c r="L1318" s="242">
        <v>10</v>
      </c>
      <c r="M1318" s="308">
        <v>40840</v>
      </c>
      <c r="N1318" s="234">
        <v>36756</v>
      </c>
      <c r="O1318" s="234" t="s">
        <v>3522</v>
      </c>
      <c r="P1318" s="236">
        <v>45961</v>
      </c>
      <c r="Q1318" s="244">
        <v>0.99115740740740743</v>
      </c>
    </row>
    <row r="1319" spans="1:17" ht="38.25">
      <c r="A1319" s="239" t="s">
        <v>3523</v>
      </c>
      <c r="B1319" s="240">
        <v>2830</v>
      </c>
      <c r="C1319" s="241">
        <v>245</v>
      </c>
      <c r="D1319" s="239" t="s">
        <v>2881</v>
      </c>
      <c r="E1319" s="239" t="s">
        <v>841</v>
      </c>
      <c r="F1319" s="239" t="s">
        <v>845</v>
      </c>
      <c r="G1319" s="239" t="s">
        <v>951</v>
      </c>
      <c r="H1319" s="239" t="s">
        <v>51</v>
      </c>
      <c r="I1319" s="239" t="s">
        <v>2882</v>
      </c>
      <c r="J1319" s="234">
        <v>43100</v>
      </c>
      <c r="K1319" s="234">
        <v>15930</v>
      </c>
      <c r="L1319" s="242">
        <v>11</v>
      </c>
      <c r="M1319" s="308">
        <v>27170</v>
      </c>
      <c r="N1319" s="234">
        <v>24181.3</v>
      </c>
      <c r="O1319" s="234" t="s">
        <v>3526</v>
      </c>
      <c r="P1319" s="236">
        <v>45961</v>
      </c>
      <c r="Q1319" s="244">
        <v>0.36997685185185186</v>
      </c>
    </row>
    <row r="1320" spans="1:17" ht="38.25">
      <c r="A1320" s="239" t="s">
        <v>3524</v>
      </c>
      <c r="B1320" s="240">
        <v>2831</v>
      </c>
      <c r="C1320" s="241">
        <v>247</v>
      </c>
      <c r="D1320" s="239" t="s">
        <v>2881</v>
      </c>
      <c r="E1320" s="239" t="s">
        <v>783</v>
      </c>
      <c r="F1320" s="239" t="s">
        <v>784</v>
      </c>
      <c r="G1320" s="239" t="s">
        <v>951</v>
      </c>
      <c r="H1320" s="239" t="s">
        <v>51</v>
      </c>
      <c r="I1320" s="239" t="s">
        <v>2882</v>
      </c>
      <c r="J1320" s="234">
        <v>39120</v>
      </c>
      <c r="K1320" s="234">
        <v>14840</v>
      </c>
      <c r="L1320" s="242">
        <v>23</v>
      </c>
      <c r="M1320" s="308">
        <v>24280</v>
      </c>
      <c r="N1320" s="234">
        <v>18695.599999999999</v>
      </c>
      <c r="O1320" s="234" t="s">
        <v>3527</v>
      </c>
      <c r="P1320" s="236">
        <v>45961</v>
      </c>
      <c r="Q1320" s="244">
        <v>0.39864583333333331</v>
      </c>
    </row>
    <row r="1321" spans="1:17" ht="38.25">
      <c r="A1321" s="239" t="s">
        <v>3525</v>
      </c>
      <c r="B1321" s="240">
        <v>2832</v>
      </c>
      <c r="C1321" s="241">
        <v>248</v>
      </c>
      <c r="D1321" s="239" t="s">
        <v>2881</v>
      </c>
      <c r="E1321" s="239" t="s">
        <v>786</v>
      </c>
      <c r="F1321" s="239" t="s">
        <v>787</v>
      </c>
      <c r="G1321" s="239" t="s">
        <v>951</v>
      </c>
      <c r="H1321" s="239" t="s">
        <v>51</v>
      </c>
      <c r="I1321" s="239" t="s">
        <v>2882</v>
      </c>
      <c r="J1321" s="234">
        <v>35970</v>
      </c>
      <c r="K1321" s="234">
        <v>14040</v>
      </c>
      <c r="L1321" s="242">
        <v>12</v>
      </c>
      <c r="M1321" s="308">
        <v>21930</v>
      </c>
      <c r="N1321" s="234">
        <v>19298.400000000001</v>
      </c>
      <c r="O1321" s="234" t="s">
        <v>3528</v>
      </c>
      <c r="P1321" s="236">
        <v>45961</v>
      </c>
      <c r="Q1321" s="244">
        <v>0.42318287037037039</v>
      </c>
    </row>
    <row r="1322" spans="1:17" ht="38.25">
      <c r="A1322" s="239" t="s">
        <v>3529</v>
      </c>
      <c r="B1322" s="240">
        <v>2833</v>
      </c>
      <c r="C1322" s="241">
        <v>250</v>
      </c>
      <c r="D1322" s="239" t="s">
        <v>2881</v>
      </c>
      <c r="E1322" s="239" t="s">
        <v>372</v>
      </c>
      <c r="F1322" s="239" t="s">
        <v>373</v>
      </c>
      <c r="G1322" s="239" t="s">
        <v>957</v>
      </c>
      <c r="H1322" s="239" t="s">
        <v>51</v>
      </c>
      <c r="I1322" s="239" t="s">
        <v>2882</v>
      </c>
      <c r="J1322" s="234">
        <v>37510</v>
      </c>
      <c r="K1322" s="234">
        <v>15240</v>
      </c>
      <c r="L1322" s="242">
        <v>8</v>
      </c>
      <c r="M1322" s="308">
        <v>22270</v>
      </c>
      <c r="N1322" s="234">
        <v>20488.400000000001</v>
      </c>
      <c r="O1322" s="234" t="s">
        <v>3531</v>
      </c>
      <c r="P1322" s="236">
        <v>45961</v>
      </c>
      <c r="Q1322" s="244">
        <v>0.46569444444444447</v>
      </c>
    </row>
    <row r="1323" spans="1:17" ht="38.25">
      <c r="A1323" s="239" t="s">
        <v>3530</v>
      </c>
      <c r="B1323" s="240">
        <v>2834</v>
      </c>
      <c r="C1323" s="241">
        <v>249</v>
      </c>
      <c r="D1323" s="239" t="s">
        <v>2881</v>
      </c>
      <c r="E1323" s="239" t="s">
        <v>380</v>
      </c>
      <c r="F1323" s="239" t="s">
        <v>381</v>
      </c>
      <c r="G1323" s="239" t="s">
        <v>957</v>
      </c>
      <c r="H1323" s="239" t="s">
        <v>51</v>
      </c>
      <c r="I1323" s="239" t="s">
        <v>2882</v>
      </c>
      <c r="J1323" s="234">
        <v>39390</v>
      </c>
      <c r="K1323" s="234">
        <v>15220</v>
      </c>
      <c r="L1323" s="242">
        <v>18</v>
      </c>
      <c r="M1323" s="308">
        <v>24170</v>
      </c>
      <c r="N1323" s="234">
        <v>19819.400000000001</v>
      </c>
      <c r="O1323" s="234" t="s">
        <v>3532</v>
      </c>
      <c r="P1323" s="236">
        <v>45961</v>
      </c>
      <c r="Q1323" s="244">
        <v>0.48466435185185186</v>
      </c>
    </row>
    <row r="1324" spans="1:17" ht="38.25">
      <c r="A1324" s="239" t="s">
        <v>3537</v>
      </c>
      <c r="B1324" s="240">
        <v>2835</v>
      </c>
      <c r="C1324" s="241">
        <v>251</v>
      </c>
      <c r="D1324" s="239" t="s">
        <v>2881</v>
      </c>
      <c r="E1324" s="239" t="s">
        <v>866</v>
      </c>
      <c r="F1324" s="239" t="s">
        <v>867</v>
      </c>
      <c r="G1324" s="239" t="s">
        <v>957</v>
      </c>
      <c r="H1324" s="239" t="s">
        <v>51</v>
      </c>
      <c r="I1324" s="239" t="s">
        <v>2882</v>
      </c>
      <c r="J1324" s="234">
        <v>37990</v>
      </c>
      <c r="K1324" s="234">
        <v>14660</v>
      </c>
      <c r="L1324" s="242">
        <v>16</v>
      </c>
      <c r="M1324" s="308">
        <v>23330</v>
      </c>
      <c r="N1324" s="234">
        <v>19597.2</v>
      </c>
      <c r="O1324" s="234" t="s">
        <v>3607</v>
      </c>
      <c r="P1324" s="236">
        <v>45962</v>
      </c>
      <c r="Q1324" s="244">
        <v>0.19476851851851851</v>
      </c>
    </row>
    <row r="1325" spans="1:17" ht="38.25">
      <c r="A1325" s="239" t="s">
        <v>3538</v>
      </c>
      <c r="B1325" s="240">
        <v>2836</v>
      </c>
      <c r="C1325" s="241">
        <v>252</v>
      </c>
      <c r="D1325" s="239" t="s">
        <v>2881</v>
      </c>
      <c r="E1325" s="239" t="s">
        <v>369</v>
      </c>
      <c r="F1325" s="239" t="s">
        <v>370</v>
      </c>
      <c r="G1325" s="239" t="s">
        <v>957</v>
      </c>
      <c r="H1325" s="239" t="s">
        <v>51</v>
      </c>
      <c r="I1325" s="239" t="s">
        <v>2882</v>
      </c>
      <c r="J1325" s="234">
        <v>39980</v>
      </c>
      <c r="K1325" s="234">
        <v>15310</v>
      </c>
      <c r="L1325" s="242">
        <v>12</v>
      </c>
      <c r="M1325" s="308">
        <v>24670</v>
      </c>
      <c r="N1325" s="234">
        <v>21709.599999999999</v>
      </c>
      <c r="O1325" s="234" t="s">
        <v>3608</v>
      </c>
      <c r="P1325" s="236">
        <v>45962</v>
      </c>
      <c r="Q1325" s="244">
        <v>0.59829861111111116</v>
      </c>
    </row>
    <row r="1326" spans="1:17" ht="38.25">
      <c r="A1326" s="239" t="s">
        <v>3539</v>
      </c>
      <c r="B1326" s="240">
        <v>2837</v>
      </c>
      <c r="C1326" s="241">
        <v>253</v>
      </c>
      <c r="D1326" s="239" t="s">
        <v>2881</v>
      </c>
      <c r="E1326" s="239" t="s">
        <v>416</v>
      </c>
      <c r="F1326" s="239" t="s">
        <v>417</v>
      </c>
      <c r="G1326" s="239" t="s">
        <v>957</v>
      </c>
      <c r="H1326" s="239" t="s">
        <v>51</v>
      </c>
      <c r="I1326" s="239" t="s">
        <v>2882</v>
      </c>
      <c r="J1326" s="234">
        <v>39610</v>
      </c>
      <c r="K1326" s="234">
        <v>14920</v>
      </c>
      <c r="L1326" s="242">
        <v>14</v>
      </c>
      <c r="M1326" s="308">
        <v>24690</v>
      </c>
      <c r="N1326" s="234">
        <v>21233.4</v>
      </c>
      <c r="O1326" s="234" t="s">
        <v>3609</v>
      </c>
      <c r="P1326" s="236">
        <v>45962</v>
      </c>
      <c r="Q1326" s="244">
        <v>0.63471064814814815</v>
      </c>
    </row>
    <row r="1327" spans="1:17" ht="38.25">
      <c r="A1327" s="239" t="s">
        <v>3540</v>
      </c>
      <c r="B1327" s="240">
        <v>2844</v>
      </c>
      <c r="C1327" s="241">
        <v>254</v>
      </c>
      <c r="D1327" s="239" t="s">
        <v>2881</v>
      </c>
      <c r="E1327" s="239" t="s">
        <v>791</v>
      </c>
      <c r="F1327" s="239" t="s">
        <v>792</v>
      </c>
      <c r="G1327" s="239" t="s">
        <v>957</v>
      </c>
      <c r="H1327" s="239" t="s">
        <v>51</v>
      </c>
      <c r="I1327" s="239" t="s">
        <v>2882</v>
      </c>
      <c r="J1327" s="234">
        <v>39820</v>
      </c>
      <c r="K1327" s="234">
        <v>15190</v>
      </c>
      <c r="L1327" s="242">
        <v>6</v>
      </c>
      <c r="M1327" s="308">
        <v>24630</v>
      </c>
      <c r="N1327" s="234">
        <v>23152.2</v>
      </c>
      <c r="O1327" s="234" t="s">
        <v>3610</v>
      </c>
      <c r="P1327" s="236">
        <v>45962</v>
      </c>
      <c r="Q1327" s="244">
        <v>0.67163194444444441</v>
      </c>
    </row>
    <row r="1328" spans="1:17" ht="38.25">
      <c r="A1328" s="239" t="s">
        <v>3541</v>
      </c>
      <c r="B1328" s="240">
        <v>2854</v>
      </c>
      <c r="C1328" s="241">
        <v>260</v>
      </c>
      <c r="D1328" s="239" t="s">
        <v>2881</v>
      </c>
      <c r="E1328" s="239" t="s">
        <v>858</v>
      </c>
      <c r="F1328" s="239" t="s">
        <v>859</v>
      </c>
      <c r="G1328" s="239" t="s">
        <v>957</v>
      </c>
      <c r="H1328" s="239" t="s">
        <v>51</v>
      </c>
      <c r="I1328" s="239" t="s">
        <v>2882</v>
      </c>
      <c r="J1328" s="234">
        <v>42170</v>
      </c>
      <c r="K1328" s="234">
        <v>15200</v>
      </c>
      <c r="L1328" s="242">
        <v>8</v>
      </c>
      <c r="M1328" s="308">
        <v>26970</v>
      </c>
      <c r="N1328" s="234">
        <v>24812.400000000001</v>
      </c>
      <c r="O1328" s="234" t="s">
        <v>3611</v>
      </c>
      <c r="P1328" s="236">
        <v>45962</v>
      </c>
      <c r="Q1328" s="244">
        <v>0.69407407407407407</v>
      </c>
    </row>
    <row r="1329" spans="1:17" ht="38.25">
      <c r="A1329" s="239" t="s">
        <v>3542</v>
      </c>
      <c r="B1329" s="240">
        <v>2855</v>
      </c>
      <c r="C1329" s="241">
        <v>261</v>
      </c>
      <c r="D1329" s="239" t="s">
        <v>2881</v>
      </c>
      <c r="E1329" s="239" t="s">
        <v>432</v>
      </c>
      <c r="F1329" s="239" t="s">
        <v>433</v>
      </c>
      <c r="G1329" s="239" t="s">
        <v>957</v>
      </c>
      <c r="H1329" s="239" t="s">
        <v>51</v>
      </c>
      <c r="I1329" s="239" t="s">
        <v>2882</v>
      </c>
      <c r="J1329" s="234">
        <v>43170</v>
      </c>
      <c r="K1329" s="234">
        <v>15860</v>
      </c>
      <c r="L1329" s="242">
        <v>8</v>
      </c>
      <c r="M1329" s="308">
        <v>27310</v>
      </c>
      <c r="N1329" s="234">
        <v>25125.200000000001</v>
      </c>
      <c r="O1329" s="234" t="s">
        <v>3612</v>
      </c>
      <c r="P1329" s="236">
        <v>45962</v>
      </c>
      <c r="Q1329" s="244">
        <v>0.71</v>
      </c>
    </row>
    <row r="1330" spans="1:17" ht="51">
      <c r="A1330" s="239" t="s">
        <v>3543</v>
      </c>
      <c r="B1330" s="240">
        <v>2856</v>
      </c>
      <c r="C1330" s="241">
        <v>11480</v>
      </c>
      <c r="D1330" s="239" t="s">
        <v>2511</v>
      </c>
      <c r="E1330" s="239" t="s">
        <v>403</v>
      </c>
      <c r="F1330" s="239" t="s">
        <v>404</v>
      </c>
      <c r="G1330" s="239" t="s">
        <v>933</v>
      </c>
      <c r="H1330" s="239" t="s">
        <v>42</v>
      </c>
      <c r="I1330" s="239" t="s">
        <v>2512</v>
      </c>
      <c r="J1330" s="234">
        <v>40400</v>
      </c>
      <c r="K1330" s="234">
        <v>14630</v>
      </c>
      <c r="L1330" s="242">
        <v>15</v>
      </c>
      <c r="M1330" s="308">
        <v>25770</v>
      </c>
      <c r="N1330" s="234">
        <v>21904.5</v>
      </c>
      <c r="O1330" s="234" t="s">
        <v>3613</v>
      </c>
      <c r="P1330" s="236">
        <v>45962</v>
      </c>
      <c r="Q1330" s="244">
        <v>0.73101851851851851</v>
      </c>
    </row>
    <row r="1331" spans="1:17" ht="51">
      <c r="A1331" s="239" t="s">
        <v>3544</v>
      </c>
      <c r="B1331" s="240">
        <v>2857</v>
      </c>
      <c r="C1331" s="241">
        <v>11482</v>
      </c>
      <c r="D1331" s="239" t="s">
        <v>2511</v>
      </c>
      <c r="E1331" s="239" t="s">
        <v>406</v>
      </c>
      <c r="F1331" s="239" t="s">
        <v>407</v>
      </c>
      <c r="G1331" s="239" t="s">
        <v>933</v>
      </c>
      <c r="H1331" s="239" t="s">
        <v>42</v>
      </c>
      <c r="I1331" s="239" t="s">
        <v>2512</v>
      </c>
      <c r="J1331" s="234">
        <v>41350</v>
      </c>
      <c r="K1331" s="234">
        <v>15130</v>
      </c>
      <c r="L1331" s="242">
        <v>8</v>
      </c>
      <c r="M1331" s="308">
        <v>26220</v>
      </c>
      <c r="N1331" s="234">
        <v>24122.400000000001</v>
      </c>
      <c r="O1331" s="234" t="s">
        <v>3614</v>
      </c>
      <c r="P1331" s="236">
        <v>45962</v>
      </c>
      <c r="Q1331" s="244">
        <v>0.73457175925925922</v>
      </c>
    </row>
    <row r="1332" spans="1:17" ht="51">
      <c r="A1332" s="239" t="s">
        <v>3545</v>
      </c>
      <c r="B1332" s="240">
        <v>2859</v>
      </c>
      <c r="C1332" s="241">
        <v>11499</v>
      </c>
      <c r="D1332" s="239" t="s">
        <v>2511</v>
      </c>
      <c r="E1332" s="239" t="s">
        <v>377</v>
      </c>
      <c r="F1332" s="239" t="s">
        <v>378</v>
      </c>
      <c r="G1332" s="239" t="s">
        <v>933</v>
      </c>
      <c r="H1332" s="239" t="s">
        <v>42</v>
      </c>
      <c r="I1332" s="239" t="s">
        <v>2512</v>
      </c>
      <c r="J1332" s="234">
        <v>43770</v>
      </c>
      <c r="K1332" s="234">
        <v>15270</v>
      </c>
      <c r="L1332" s="242">
        <v>8</v>
      </c>
      <c r="M1332" s="308">
        <v>28500</v>
      </c>
      <c r="N1332" s="234">
        <v>26220</v>
      </c>
      <c r="O1332" s="234" t="s">
        <v>3615</v>
      </c>
      <c r="P1332" s="236">
        <v>45962</v>
      </c>
      <c r="Q1332" s="244">
        <v>0.77711805555555558</v>
      </c>
    </row>
    <row r="1333" spans="1:17" ht="38.25">
      <c r="A1333" s="239" t="s">
        <v>3546</v>
      </c>
      <c r="B1333" s="240">
        <v>2860</v>
      </c>
      <c r="C1333" s="241">
        <v>263</v>
      </c>
      <c r="D1333" s="239" t="s">
        <v>2881</v>
      </c>
      <c r="E1333" s="239" t="s">
        <v>413</v>
      </c>
      <c r="F1333" s="239" t="s">
        <v>414</v>
      </c>
      <c r="G1333" s="239" t="s">
        <v>957</v>
      </c>
      <c r="H1333" s="239" t="s">
        <v>51</v>
      </c>
      <c r="I1333" s="239" t="s">
        <v>2882</v>
      </c>
      <c r="J1333" s="234">
        <v>44900</v>
      </c>
      <c r="K1333" s="234">
        <v>15130</v>
      </c>
      <c r="L1333" s="242">
        <v>15</v>
      </c>
      <c r="M1333" s="308">
        <v>29770</v>
      </c>
      <c r="N1333" s="234">
        <v>25304.5</v>
      </c>
      <c r="O1333" s="234" t="s">
        <v>3616</v>
      </c>
      <c r="P1333" s="236">
        <v>45962</v>
      </c>
      <c r="Q1333" s="244">
        <v>0.78591435185185188</v>
      </c>
    </row>
    <row r="1334" spans="1:17" ht="38.25">
      <c r="A1334" s="239" t="s">
        <v>3547</v>
      </c>
      <c r="B1334" s="240">
        <v>2842</v>
      </c>
      <c r="C1334" s="241">
        <v>255</v>
      </c>
      <c r="D1334" s="239" t="s">
        <v>2881</v>
      </c>
      <c r="E1334" s="239" t="s">
        <v>425</v>
      </c>
      <c r="F1334" s="239" t="s">
        <v>426</v>
      </c>
      <c r="G1334" s="239" t="s">
        <v>957</v>
      </c>
      <c r="H1334" s="239" t="s">
        <v>51</v>
      </c>
      <c r="I1334" s="239" t="s">
        <v>2882</v>
      </c>
      <c r="J1334" s="234">
        <v>51070</v>
      </c>
      <c r="K1334" s="234">
        <v>18870</v>
      </c>
      <c r="L1334" s="242">
        <v>10</v>
      </c>
      <c r="M1334" s="308">
        <v>32200</v>
      </c>
      <c r="N1334" s="234">
        <v>28980</v>
      </c>
      <c r="O1334" s="234" t="s">
        <v>3617</v>
      </c>
      <c r="P1334" s="236">
        <v>45962</v>
      </c>
      <c r="Q1334" s="244">
        <v>0.80620370370370376</v>
      </c>
    </row>
    <row r="1335" spans="1:17" ht="38.25">
      <c r="A1335" s="239" t="s">
        <v>3548</v>
      </c>
      <c r="B1335" s="240">
        <v>2846</v>
      </c>
      <c r="C1335" s="241">
        <v>256</v>
      </c>
      <c r="D1335" s="239" t="s">
        <v>2881</v>
      </c>
      <c r="E1335" s="239" t="s">
        <v>400</v>
      </c>
      <c r="F1335" s="239" t="s">
        <v>401</v>
      </c>
      <c r="G1335" s="239" t="s">
        <v>957</v>
      </c>
      <c r="H1335" s="239" t="s">
        <v>51</v>
      </c>
      <c r="I1335" s="239" t="s">
        <v>2882</v>
      </c>
      <c r="J1335" s="234">
        <v>40220</v>
      </c>
      <c r="K1335" s="234">
        <v>15070</v>
      </c>
      <c r="L1335" s="242">
        <v>13</v>
      </c>
      <c r="M1335" s="308">
        <v>25150</v>
      </c>
      <c r="N1335" s="234">
        <v>21880.5</v>
      </c>
      <c r="O1335" s="234" t="s">
        <v>3618</v>
      </c>
      <c r="P1335" s="236">
        <v>45962</v>
      </c>
      <c r="Q1335" s="244">
        <v>0.81292824074074077</v>
      </c>
    </row>
    <row r="1336" spans="1:17" ht="38.25">
      <c r="A1336" s="239" t="s">
        <v>3549</v>
      </c>
      <c r="B1336" s="240">
        <v>2861</v>
      </c>
      <c r="C1336" s="241">
        <v>262</v>
      </c>
      <c r="D1336" s="239" t="s">
        <v>2881</v>
      </c>
      <c r="E1336" s="239" t="s">
        <v>388</v>
      </c>
      <c r="F1336" s="239" t="s">
        <v>389</v>
      </c>
      <c r="G1336" s="239" t="s">
        <v>957</v>
      </c>
      <c r="H1336" s="239" t="s">
        <v>51</v>
      </c>
      <c r="I1336" s="239" t="s">
        <v>2882</v>
      </c>
      <c r="J1336" s="234">
        <v>63860</v>
      </c>
      <c r="K1336" s="234">
        <v>21510</v>
      </c>
      <c r="L1336" s="242">
        <v>10</v>
      </c>
      <c r="M1336" s="308">
        <v>42350</v>
      </c>
      <c r="N1336" s="234">
        <v>38115</v>
      </c>
      <c r="O1336" s="234" t="s">
        <v>3619</v>
      </c>
      <c r="P1336" s="236">
        <v>45962</v>
      </c>
      <c r="Q1336" s="244">
        <v>0.81771990740740741</v>
      </c>
    </row>
    <row r="1337" spans="1:17" ht="38.25">
      <c r="A1337" s="239" t="s">
        <v>3550</v>
      </c>
      <c r="B1337" s="240">
        <v>2862</v>
      </c>
      <c r="C1337" s="241">
        <v>265</v>
      </c>
      <c r="D1337" s="239" t="s">
        <v>2881</v>
      </c>
      <c r="E1337" s="239" t="s">
        <v>439</v>
      </c>
      <c r="F1337" s="239" t="s">
        <v>440</v>
      </c>
      <c r="G1337" s="239" t="s">
        <v>957</v>
      </c>
      <c r="H1337" s="239" t="s">
        <v>51</v>
      </c>
      <c r="I1337" s="239" t="s">
        <v>2882</v>
      </c>
      <c r="J1337" s="234">
        <v>45950</v>
      </c>
      <c r="K1337" s="234">
        <v>15380</v>
      </c>
      <c r="L1337" s="242">
        <v>7</v>
      </c>
      <c r="M1337" s="308">
        <v>30570</v>
      </c>
      <c r="N1337" s="234">
        <v>28430.1</v>
      </c>
      <c r="O1337" s="234" t="s">
        <v>3620</v>
      </c>
      <c r="P1337" s="236">
        <v>45962</v>
      </c>
      <c r="Q1337" s="244">
        <v>0.82384259259259263</v>
      </c>
    </row>
    <row r="1338" spans="1:17" ht="38.25">
      <c r="A1338" s="239" t="s">
        <v>3551</v>
      </c>
      <c r="B1338" s="240">
        <v>2852</v>
      </c>
      <c r="C1338" s="241">
        <v>258</v>
      </c>
      <c r="D1338" s="239" t="s">
        <v>2881</v>
      </c>
      <c r="E1338" s="239" t="s">
        <v>390</v>
      </c>
      <c r="F1338" s="239" t="s">
        <v>391</v>
      </c>
      <c r="G1338" s="239" t="s">
        <v>957</v>
      </c>
      <c r="H1338" s="239" t="s">
        <v>51</v>
      </c>
      <c r="I1338" s="239" t="s">
        <v>2882</v>
      </c>
      <c r="J1338" s="234">
        <v>40860</v>
      </c>
      <c r="K1338" s="234">
        <v>15150</v>
      </c>
      <c r="L1338" s="242">
        <v>8</v>
      </c>
      <c r="M1338" s="308">
        <v>25710</v>
      </c>
      <c r="N1338" s="234">
        <v>23653.200000000001</v>
      </c>
      <c r="O1338" s="234" t="s">
        <v>3621</v>
      </c>
      <c r="P1338" s="236">
        <v>45962</v>
      </c>
      <c r="Q1338" s="244">
        <v>0.85197916666666662</v>
      </c>
    </row>
    <row r="1339" spans="1:17" ht="38.25">
      <c r="A1339" s="239" t="s">
        <v>3552</v>
      </c>
      <c r="B1339" s="240">
        <v>2858</v>
      </c>
      <c r="C1339" s="241">
        <v>271</v>
      </c>
      <c r="D1339" s="239" t="s">
        <v>2881</v>
      </c>
      <c r="E1339" s="239" t="s">
        <v>2053</v>
      </c>
      <c r="F1339" s="239" t="s">
        <v>2054</v>
      </c>
      <c r="G1339" s="239" t="s">
        <v>957</v>
      </c>
      <c r="H1339" s="239" t="s">
        <v>51</v>
      </c>
      <c r="I1339" s="239" t="s">
        <v>2882</v>
      </c>
      <c r="J1339" s="234">
        <v>29670</v>
      </c>
      <c r="K1339" s="234">
        <v>14320</v>
      </c>
      <c r="L1339" s="242">
        <v>10</v>
      </c>
      <c r="M1339" s="308">
        <v>15350</v>
      </c>
      <c r="N1339" s="234">
        <v>13815</v>
      </c>
      <c r="O1339" s="234" t="s">
        <v>3622</v>
      </c>
      <c r="P1339" s="236">
        <v>45962</v>
      </c>
      <c r="Q1339" s="244">
        <v>0.85677083333333337</v>
      </c>
    </row>
    <row r="1340" spans="1:17" ht="38.25">
      <c r="A1340" s="239" t="s">
        <v>3553</v>
      </c>
      <c r="B1340" s="240">
        <v>2864</v>
      </c>
      <c r="C1340" s="241">
        <v>264</v>
      </c>
      <c r="D1340" s="239" t="s">
        <v>2881</v>
      </c>
      <c r="E1340" s="239" t="s">
        <v>382</v>
      </c>
      <c r="F1340" s="239" t="s">
        <v>383</v>
      </c>
      <c r="G1340" s="239" t="s">
        <v>957</v>
      </c>
      <c r="H1340" s="239" t="s">
        <v>51</v>
      </c>
      <c r="I1340" s="239" t="s">
        <v>2882</v>
      </c>
      <c r="J1340" s="234">
        <v>38830</v>
      </c>
      <c r="K1340" s="234">
        <v>14970</v>
      </c>
      <c r="L1340" s="242">
        <v>11</v>
      </c>
      <c r="M1340" s="308">
        <v>23860</v>
      </c>
      <c r="N1340" s="234">
        <v>21235.4</v>
      </c>
      <c r="O1340" s="234" t="s">
        <v>3623</v>
      </c>
      <c r="P1340" s="236">
        <v>45962</v>
      </c>
      <c r="Q1340" s="244">
        <v>0.87950231481481478</v>
      </c>
    </row>
    <row r="1341" spans="1:17" ht="38.25">
      <c r="A1341" s="239" t="s">
        <v>3554</v>
      </c>
      <c r="B1341" s="240">
        <v>2865</v>
      </c>
      <c r="C1341" s="241">
        <v>266</v>
      </c>
      <c r="D1341" s="239" t="s">
        <v>2881</v>
      </c>
      <c r="E1341" s="239" t="s">
        <v>456</v>
      </c>
      <c r="F1341" s="239" t="s">
        <v>457</v>
      </c>
      <c r="G1341" s="239" t="s">
        <v>957</v>
      </c>
      <c r="H1341" s="239" t="s">
        <v>51</v>
      </c>
      <c r="I1341" s="239" t="s">
        <v>2882</v>
      </c>
      <c r="J1341" s="234">
        <v>49030</v>
      </c>
      <c r="K1341" s="234">
        <v>16210</v>
      </c>
      <c r="L1341" s="242">
        <v>6</v>
      </c>
      <c r="M1341" s="308">
        <v>32820</v>
      </c>
      <c r="N1341" s="234">
        <v>30850.799999999999</v>
      </c>
      <c r="O1341" s="234" t="s">
        <v>3624</v>
      </c>
      <c r="P1341" s="236">
        <v>45962</v>
      </c>
      <c r="Q1341" s="244">
        <v>0.88756944444444441</v>
      </c>
    </row>
    <row r="1342" spans="1:17" ht="38.25">
      <c r="A1342" s="239" t="s">
        <v>3555</v>
      </c>
      <c r="B1342" s="240">
        <v>2866</v>
      </c>
      <c r="C1342" s="241">
        <v>267</v>
      </c>
      <c r="D1342" s="239" t="s">
        <v>2881</v>
      </c>
      <c r="E1342" s="239" t="s">
        <v>1410</v>
      </c>
      <c r="F1342" s="239" t="s">
        <v>437</v>
      </c>
      <c r="G1342" s="239" t="s">
        <v>957</v>
      </c>
      <c r="H1342" s="239" t="s">
        <v>51</v>
      </c>
      <c r="I1342" s="239" t="s">
        <v>2882</v>
      </c>
      <c r="J1342" s="234">
        <v>41610</v>
      </c>
      <c r="K1342" s="234">
        <v>15010</v>
      </c>
      <c r="L1342" s="242">
        <v>10</v>
      </c>
      <c r="M1342" s="308">
        <v>26600</v>
      </c>
      <c r="N1342" s="234">
        <v>23940</v>
      </c>
      <c r="O1342" s="234" t="s">
        <v>3625</v>
      </c>
      <c r="P1342" s="236">
        <v>45962</v>
      </c>
      <c r="Q1342" s="244">
        <v>0.89785879629629628</v>
      </c>
    </row>
    <row r="1343" spans="1:17" ht="38.25">
      <c r="A1343" s="239" t="s">
        <v>3556</v>
      </c>
      <c r="B1343" s="240">
        <v>2867</v>
      </c>
      <c r="C1343" s="241">
        <v>269</v>
      </c>
      <c r="D1343" s="239" t="s">
        <v>2881</v>
      </c>
      <c r="E1343" s="239" t="s">
        <v>841</v>
      </c>
      <c r="F1343" s="239" t="s">
        <v>845</v>
      </c>
      <c r="G1343" s="239" t="s">
        <v>957</v>
      </c>
      <c r="H1343" s="239" t="s">
        <v>51</v>
      </c>
      <c r="I1343" s="239" t="s">
        <v>2882</v>
      </c>
      <c r="J1343" s="234">
        <v>44800</v>
      </c>
      <c r="K1343" s="234">
        <v>16020</v>
      </c>
      <c r="L1343" s="242">
        <v>6</v>
      </c>
      <c r="M1343" s="308">
        <v>28780</v>
      </c>
      <c r="N1343" s="234">
        <v>27053.200000000001</v>
      </c>
      <c r="O1343" s="234" t="s">
        <v>3626</v>
      </c>
      <c r="P1343" s="236">
        <v>45962</v>
      </c>
      <c r="Q1343" s="244">
        <v>0.93714120370370368</v>
      </c>
    </row>
    <row r="1344" spans="1:17" ht="38.25">
      <c r="A1344" s="239" t="s">
        <v>3557</v>
      </c>
      <c r="B1344" s="240">
        <v>2849</v>
      </c>
      <c r="C1344" s="241">
        <v>257</v>
      </c>
      <c r="D1344" s="239" t="s">
        <v>2881</v>
      </c>
      <c r="E1344" s="239" t="s">
        <v>392</v>
      </c>
      <c r="F1344" s="239" t="s">
        <v>393</v>
      </c>
      <c r="G1344" s="239" t="s">
        <v>957</v>
      </c>
      <c r="H1344" s="239" t="s">
        <v>51</v>
      </c>
      <c r="I1344" s="239" t="s">
        <v>2882</v>
      </c>
      <c r="J1344" s="234">
        <v>61960</v>
      </c>
      <c r="K1344" s="234">
        <v>24260</v>
      </c>
      <c r="L1344" s="242">
        <v>9</v>
      </c>
      <c r="M1344" s="308">
        <v>37700</v>
      </c>
      <c r="N1344" s="234">
        <v>34307</v>
      </c>
      <c r="O1344" s="234" t="s">
        <v>3627</v>
      </c>
      <c r="P1344" s="236">
        <v>45962</v>
      </c>
      <c r="Q1344" s="244">
        <v>0.95100694444444445</v>
      </c>
    </row>
    <row r="1345" spans="1:17" ht="38.25">
      <c r="A1345" s="239" t="s">
        <v>3558</v>
      </c>
      <c r="B1345" s="240">
        <v>2853</v>
      </c>
      <c r="C1345" s="241">
        <v>259</v>
      </c>
      <c r="D1345" s="239" t="s">
        <v>2881</v>
      </c>
      <c r="E1345" s="239" t="s">
        <v>447</v>
      </c>
      <c r="F1345" s="239" t="s">
        <v>448</v>
      </c>
      <c r="G1345" s="239" t="s">
        <v>957</v>
      </c>
      <c r="H1345" s="239" t="s">
        <v>51</v>
      </c>
      <c r="I1345" s="239" t="s">
        <v>2882</v>
      </c>
      <c r="J1345" s="234">
        <v>52710</v>
      </c>
      <c r="K1345" s="234">
        <v>19690</v>
      </c>
      <c r="L1345" s="242">
        <v>8</v>
      </c>
      <c r="M1345" s="308">
        <v>33020</v>
      </c>
      <c r="N1345" s="234">
        <v>30378.400000000001</v>
      </c>
      <c r="O1345" s="234" t="s">
        <v>3628</v>
      </c>
      <c r="P1345" s="236">
        <v>45962</v>
      </c>
      <c r="Q1345" s="244">
        <v>0.96053240740740742</v>
      </c>
    </row>
    <row r="1346" spans="1:17" ht="38.25">
      <c r="A1346" s="239" t="s">
        <v>3559</v>
      </c>
      <c r="B1346" s="240">
        <v>2868</v>
      </c>
      <c r="C1346" s="241">
        <v>270</v>
      </c>
      <c r="D1346" s="239" t="s">
        <v>2881</v>
      </c>
      <c r="E1346" s="239" t="s">
        <v>783</v>
      </c>
      <c r="F1346" s="239" t="s">
        <v>784</v>
      </c>
      <c r="G1346" s="239" t="s">
        <v>957</v>
      </c>
      <c r="H1346" s="239" t="s">
        <v>51</v>
      </c>
      <c r="I1346" s="239" t="s">
        <v>2882</v>
      </c>
      <c r="J1346" s="234">
        <v>40230</v>
      </c>
      <c r="K1346" s="234">
        <v>14760</v>
      </c>
      <c r="L1346" s="242">
        <v>9</v>
      </c>
      <c r="M1346" s="308">
        <v>25470</v>
      </c>
      <c r="N1346" s="234">
        <v>23177.7</v>
      </c>
      <c r="O1346" s="234" t="s">
        <v>3629</v>
      </c>
      <c r="P1346" s="236">
        <v>45962</v>
      </c>
      <c r="Q1346" s="244">
        <v>0.96141203703703704</v>
      </c>
    </row>
    <row r="1347" spans="1:17" ht="38.25">
      <c r="A1347" s="239" t="s">
        <v>3560</v>
      </c>
      <c r="B1347" s="240">
        <v>2869</v>
      </c>
      <c r="C1347" s="241">
        <v>274</v>
      </c>
      <c r="D1347" s="239" t="s">
        <v>2881</v>
      </c>
      <c r="E1347" s="239" t="s">
        <v>372</v>
      </c>
      <c r="F1347" s="239" t="s">
        <v>373</v>
      </c>
      <c r="G1347" s="239" t="s">
        <v>957</v>
      </c>
      <c r="H1347" s="239" t="s">
        <v>51</v>
      </c>
      <c r="I1347" s="239" t="s">
        <v>2882</v>
      </c>
      <c r="J1347" s="234">
        <v>40450</v>
      </c>
      <c r="K1347" s="234">
        <v>15080</v>
      </c>
      <c r="L1347" s="242">
        <v>31</v>
      </c>
      <c r="M1347" s="308">
        <v>25370</v>
      </c>
      <c r="N1347" s="234">
        <v>17505.3</v>
      </c>
      <c r="O1347" s="234" t="s">
        <v>3630</v>
      </c>
      <c r="P1347" s="236">
        <v>45962</v>
      </c>
      <c r="Q1347" s="244">
        <v>0.99570601851851848</v>
      </c>
    </row>
    <row r="1348" spans="1:17" ht="38.25">
      <c r="A1348" s="239" t="s">
        <v>3561</v>
      </c>
      <c r="B1348" s="240">
        <v>2873</v>
      </c>
      <c r="C1348" s="241">
        <v>279</v>
      </c>
      <c r="D1348" s="239" t="s">
        <v>2881</v>
      </c>
      <c r="E1348" s="239" t="s">
        <v>400</v>
      </c>
      <c r="F1348" s="239" t="s">
        <v>401</v>
      </c>
      <c r="G1348" s="239" t="s">
        <v>957</v>
      </c>
      <c r="H1348" s="239" t="s">
        <v>51</v>
      </c>
      <c r="I1348" s="239" t="s">
        <v>2882</v>
      </c>
      <c r="J1348" s="234">
        <v>40440</v>
      </c>
      <c r="K1348" s="234">
        <v>15020</v>
      </c>
      <c r="L1348" s="242">
        <v>23</v>
      </c>
      <c r="M1348" s="308">
        <v>25420</v>
      </c>
      <c r="N1348" s="234">
        <v>19573.400000000001</v>
      </c>
      <c r="O1348" s="234" t="s">
        <v>3631</v>
      </c>
      <c r="P1348" s="236">
        <v>45963</v>
      </c>
      <c r="Q1348" s="244">
        <v>0.13472222222222222</v>
      </c>
    </row>
    <row r="1349" spans="1:17" ht="51">
      <c r="A1349" s="239" t="s">
        <v>3562</v>
      </c>
      <c r="B1349" s="240">
        <v>2878</v>
      </c>
      <c r="C1349" s="241">
        <v>11576</v>
      </c>
      <c r="D1349" s="239" t="s">
        <v>2511</v>
      </c>
      <c r="E1349" s="239" t="s">
        <v>866</v>
      </c>
      <c r="F1349" s="239" t="s">
        <v>867</v>
      </c>
      <c r="G1349" s="239" t="s">
        <v>933</v>
      </c>
      <c r="H1349" s="239" t="s">
        <v>42</v>
      </c>
      <c r="I1349" s="239" t="s">
        <v>2512</v>
      </c>
      <c r="J1349" s="234">
        <v>38580</v>
      </c>
      <c r="K1349" s="234">
        <v>14540</v>
      </c>
      <c r="L1349" s="242">
        <v>13</v>
      </c>
      <c r="M1349" s="308">
        <v>24040</v>
      </c>
      <c r="N1349" s="234">
        <v>20914.8</v>
      </c>
      <c r="O1349" s="234" t="s">
        <v>3632</v>
      </c>
      <c r="P1349" s="236">
        <v>45963</v>
      </c>
      <c r="Q1349" s="244">
        <v>0.66532407407407412</v>
      </c>
    </row>
    <row r="1350" spans="1:17" ht="51">
      <c r="A1350" s="239" t="s">
        <v>3563</v>
      </c>
      <c r="B1350" s="240">
        <v>2879</v>
      </c>
      <c r="C1350" s="241">
        <v>11577</v>
      </c>
      <c r="D1350" s="239" t="s">
        <v>2511</v>
      </c>
      <c r="E1350" s="239" t="s">
        <v>369</v>
      </c>
      <c r="F1350" s="239" t="s">
        <v>370</v>
      </c>
      <c r="G1350" s="239" t="s">
        <v>933</v>
      </c>
      <c r="H1350" s="239" t="s">
        <v>42</v>
      </c>
      <c r="I1350" s="239" t="s">
        <v>2512</v>
      </c>
      <c r="J1350" s="234">
        <v>39560</v>
      </c>
      <c r="K1350" s="234">
        <v>15220</v>
      </c>
      <c r="L1350" s="242">
        <v>9</v>
      </c>
      <c r="M1350" s="308">
        <v>24340</v>
      </c>
      <c r="N1350" s="234">
        <v>22149.4</v>
      </c>
      <c r="O1350" s="234" t="s">
        <v>3633</v>
      </c>
      <c r="P1350" s="236">
        <v>45963</v>
      </c>
      <c r="Q1350" s="244">
        <v>0.66950231481481481</v>
      </c>
    </row>
    <row r="1351" spans="1:17" ht="38.25">
      <c r="A1351" s="239" t="s">
        <v>3564</v>
      </c>
      <c r="B1351" s="240">
        <v>2880</v>
      </c>
      <c r="C1351" s="241">
        <v>278</v>
      </c>
      <c r="D1351" s="239" t="s">
        <v>2881</v>
      </c>
      <c r="E1351" s="239" t="s">
        <v>2793</v>
      </c>
      <c r="F1351" s="239" t="s">
        <v>2794</v>
      </c>
      <c r="G1351" s="239" t="s">
        <v>957</v>
      </c>
      <c r="H1351" s="239" t="s">
        <v>51</v>
      </c>
      <c r="I1351" s="239" t="s">
        <v>2882</v>
      </c>
      <c r="J1351" s="234">
        <v>48470</v>
      </c>
      <c r="K1351" s="234">
        <v>17490</v>
      </c>
      <c r="L1351" s="242">
        <v>11</v>
      </c>
      <c r="M1351" s="308">
        <v>30980</v>
      </c>
      <c r="N1351" s="234">
        <v>27572.2</v>
      </c>
      <c r="O1351" s="234" t="s">
        <v>3634</v>
      </c>
      <c r="P1351" s="236">
        <v>45963</v>
      </c>
      <c r="Q1351" s="244">
        <v>0.71021990740740737</v>
      </c>
    </row>
    <row r="1352" spans="1:17" ht="38.25">
      <c r="A1352" s="239" t="s">
        <v>3565</v>
      </c>
      <c r="B1352" s="240">
        <v>2881</v>
      </c>
      <c r="C1352" s="241">
        <v>277</v>
      </c>
      <c r="D1352" s="239" t="s">
        <v>2881</v>
      </c>
      <c r="E1352" s="239" t="s">
        <v>425</v>
      </c>
      <c r="F1352" s="239" t="s">
        <v>426</v>
      </c>
      <c r="G1352" s="239" t="s">
        <v>957</v>
      </c>
      <c r="H1352" s="239" t="s">
        <v>51</v>
      </c>
      <c r="I1352" s="239" t="s">
        <v>2882</v>
      </c>
      <c r="J1352" s="234">
        <v>51190</v>
      </c>
      <c r="K1352" s="234">
        <v>18780</v>
      </c>
      <c r="L1352" s="242">
        <v>8</v>
      </c>
      <c r="M1352" s="308">
        <v>32410</v>
      </c>
      <c r="N1352" s="234">
        <v>29817.200000000001</v>
      </c>
      <c r="O1352" s="234" t="s">
        <v>3635</v>
      </c>
      <c r="P1352" s="236">
        <v>45963</v>
      </c>
      <c r="Q1352" s="244">
        <v>0.71348379629629632</v>
      </c>
    </row>
    <row r="1353" spans="1:17" ht="38.25">
      <c r="A1353" s="239" t="s">
        <v>3566</v>
      </c>
      <c r="B1353" s="240">
        <v>2882</v>
      </c>
      <c r="C1353" s="241">
        <v>280</v>
      </c>
      <c r="D1353" s="239" t="s">
        <v>2881</v>
      </c>
      <c r="E1353" s="239" t="s">
        <v>447</v>
      </c>
      <c r="F1353" s="239" t="s">
        <v>448</v>
      </c>
      <c r="G1353" s="239" t="s">
        <v>957</v>
      </c>
      <c r="H1353" s="239" t="s">
        <v>51</v>
      </c>
      <c r="I1353" s="239" t="s">
        <v>2882</v>
      </c>
      <c r="J1353" s="234">
        <v>53920</v>
      </c>
      <c r="K1353" s="234">
        <v>19540</v>
      </c>
      <c r="L1353" s="242">
        <v>4</v>
      </c>
      <c r="M1353" s="308">
        <v>34380</v>
      </c>
      <c r="N1353" s="234">
        <v>33004.800000000003</v>
      </c>
      <c r="O1353" s="234" t="s">
        <v>3636</v>
      </c>
      <c r="P1353" s="236">
        <v>45963</v>
      </c>
      <c r="Q1353" s="244">
        <v>0.72912037037037036</v>
      </c>
    </row>
    <row r="1354" spans="1:17" ht="51">
      <c r="A1354" s="239" t="s">
        <v>3567</v>
      </c>
      <c r="B1354" s="240">
        <v>2883</v>
      </c>
      <c r="C1354" s="241">
        <v>11579</v>
      </c>
      <c r="D1354" s="239" t="s">
        <v>2511</v>
      </c>
      <c r="E1354" s="239" t="s">
        <v>791</v>
      </c>
      <c r="F1354" s="239" t="s">
        <v>792</v>
      </c>
      <c r="G1354" s="239" t="s">
        <v>933</v>
      </c>
      <c r="H1354" s="239" t="s">
        <v>42</v>
      </c>
      <c r="I1354" s="239" t="s">
        <v>2512</v>
      </c>
      <c r="J1354" s="234">
        <v>41850</v>
      </c>
      <c r="K1354" s="234">
        <v>15050</v>
      </c>
      <c r="L1354" s="242">
        <v>12</v>
      </c>
      <c r="M1354" s="308">
        <v>26800</v>
      </c>
      <c r="N1354" s="234">
        <v>23584</v>
      </c>
      <c r="O1354" s="234" t="s">
        <v>3637</v>
      </c>
      <c r="P1354" s="236">
        <v>45963</v>
      </c>
      <c r="Q1354" s="244">
        <v>0.76864583333333336</v>
      </c>
    </row>
    <row r="1355" spans="1:17" ht="38.25">
      <c r="A1355" s="239" t="s">
        <v>3568</v>
      </c>
      <c r="B1355" s="240">
        <v>2884</v>
      </c>
      <c r="C1355" s="241">
        <v>282</v>
      </c>
      <c r="D1355" s="239" t="s">
        <v>2881</v>
      </c>
      <c r="E1355" s="239" t="s">
        <v>390</v>
      </c>
      <c r="F1355" s="239" t="s">
        <v>391</v>
      </c>
      <c r="G1355" s="239" t="s">
        <v>957</v>
      </c>
      <c r="H1355" s="239" t="s">
        <v>51</v>
      </c>
      <c r="I1355" s="239" t="s">
        <v>2882</v>
      </c>
      <c r="J1355" s="234">
        <v>41350</v>
      </c>
      <c r="K1355" s="234">
        <v>15120</v>
      </c>
      <c r="L1355" s="242">
        <v>10</v>
      </c>
      <c r="M1355" s="308">
        <v>26230</v>
      </c>
      <c r="N1355" s="234">
        <v>23607</v>
      </c>
      <c r="O1355" s="234" t="s">
        <v>3638</v>
      </c>
      <c r="P1355" s="236">
        <v>45963</v>
      </c>
      <c r="Q1355" s="244">
        <v>0.78358796296296296</v>
      </c>
    </row>
    <row r="1356" spans="1:17" ht="38.25">
      <c r="A1356" s="239" t="s">
        <v>3569</v>
      </c>
      <c r="B1356" s="240">
        <v>2870</v>
      </c>
      <c r="C1356" s="241">
        <v>268</v>
      </c>
      <c r="D1356" s="239" t="s">
        <v>2881</v>
      </c>
      <c r="E1356" s="239" t="s">
        <v>453</v>
      </c>
      <c r="F1356" s="239" t="s">
        <v>454</v>
      </c>
      <c r="G1356" s="239" t="s">
        <v>957</v>
      </c>
      <c r="H1356" s="239" t="s">
        <v>51</v>
      </c>
      <c r="I1356" s="239" t="s">
        <v>2882</v>
      </c>
      <c r="J1356" s="234">
        <v>68260</v>
      </c>
      <c r="K1356" s="234">
        <v>24870</v>
      </c>
      <c r="L1356" s="242">
        <v>6</v>
      </c>
      <c r="M1356" s="308">
        <v>43390</v>
      </c>
      <c r="N1356" s="234">
        <v>40786.6</v>
      </c>
      <c r="O1356" s="234" t="s">
        <v>3639</v>
      </c>
      <c r="P1356" s="236">
        <v>45963</v>
      </c>
      <c r="Q1356" s="244">
        <v>0.84244212962962961</v>
      </c>
    </row>
    <row r="1357" spans="1:17" ht="51">
      <c r="A1357" s="239" t="s">
        <v>3570</v>
      </c>
      <c r="B1357" s="240">
        <v>2885</v>
      </c>
      <c r="C1357" s="241">
        <v>11602</v>
      </c>
      <c r="D1357" s="239" t="s">
        <v>2511</v>
      </c>
      <c r="E1357" s="239" t="s">
        <v>1397</v>
      </c>
      <c r="F1357" s="239" t="s">
        <v>1398</v>
      </c>
      <c r="G1357" s="239" t="s">
        <v>933</v>
      </c>
      <c r="H1357" s="239" t="s">
        <v>42</v>
      </c>
      <c r="I1357" s="239" t="s">
        <v>2512</v>
      </c>
      <c r="J1357" s="234">
        <v>43490</v>
      </c>
      <c r="K1357" s="234">
        <v>17170</v>
      </c>
      <c r="L1357" s="242">
        <v>8</v>
      </c>
      <c r="M1357" s="308">
        <v>26320</v>
      </c>
      <c r="N1357" s="234">
        <v>24214.400000000001</v>
      </c>
      <c r="O1357" s="234" t="s">
        <v>3640</v>
      </c>
      <c r="P1357" s="236">
        <v>45963</v>
      </c>
      <c r="Q1357" s="244">
        <v>0.84592592592592597</v>
      </c>
    </row>
    <row r="1358" spans="1:17" ht="51">
      <c r="A1358" s="239" t="s">
        <v>3571</v>
      </c>
      <c r="B1358" s="240">
        <v>2886</v>
      </c>
      <c r="C1358" s="241">
        <v>11601</v>
      </c>
      <c r="D1358" s="239" t="s">
        <v>2511</v>
      </c>
      <c r="E1358" s="239" t="s">
        <v>1403</v>
      </c>
      <c r="F1358" s="239" t="s">
        <v>1404</v>
      </c>
      <c r="G1358" s="239" t="s">
        <v>933</v>
      </c>
      <c r="H1358" s="239" t="s">
        <v>42</v>
      </c>
      <c r="I1358" s="239" t="s">
        <v>2512</v>
      </c>
      <c r="J1358" s="234">
        <v>40260</v>
      </c>
      <c r="K1358" s="234">
        <v>15000</v>
      </c>
      <c r="L1358" s="242">
        <v>11</v>
      </c>
      <c r="M1358" s="308">
        <v>25260</v>
      </c>
      <c r="N1358" s="234">
        <v>22481.4</v>
      </c>
      <c r="O1358" s="234" t="s">
        <v>3641</v>
      </c>
      <c r="P1358" s="236">
        <v>45963</v>
      </c>
      <c r="Q1358" s="244">
        <v>0.84960648148148143</v>
      </c>
    </row>
    <row r="1359" spans="1:17" ht="38.25">
      <c r="A1359" s="239" t="s">
        <v>3572</v>
      </c>
      <c r="B1359" s="240">
        <v>2887</v>
      </c>
      <c r="C1359" s="241">
        <v>283</v>
      </c>
      <c r="D1359" s="239" t="s">
        <v>2881</v>
      </c>
      <c r="E1359" s="239" t="s">
        <v>858</v>
      </c>
      <c r="F1359" s="239" t="s">
        <v>859</v>
      </c>
      <c r="G1359" s="239" t="s">
        <v>957</v>
      </c>
      <c r="H1359" s="239" t="s">
        <v>51</v>
      </c>
      <c r="I1359" s="239" t="s">
        <v>2882</v>
      </c>
      <c r="J1359" s="234">
        <v>42850</v>
      </c>
      <c r="K1359" s="234">
        <v>14990</v>
      </c>
      <c r="L1359" s="242">
        <v>10</v>
      </c>
      <c r="M1359" s="308">
        <v>27860</v>
      </c>
      <c r="N1359" s="234">
        <v>25074</v>
      </c>
      <c r="O1359" s="234" t="s">
        <v>3642</v>
      </c>
      <c r="P1359" s="236">
        <v>45963</v>
      </c>
      <c r="Q1359" s="244">
        <v>0.87086805555555558</v>
      </c>
    </row>
    <row r="1360" spans="1:17" ht="38.25">
      <c r="A1360" s="239" t="s">
        <v>3573</v>
      </c>
      <c r="B1360" s="240">
        <v>2888</v>
      </c>
      <c r="C1360" s="241">
        <v>284</v>
      </c>
      <c r="D1360" s="239" t="s">
        <v>2881</v>
      </c>
      <c r="E1360" s="239" t="s">
        <v>432</v>
      </c>
      <c r="F1360" s="239" t="s">
        <v>433</v>
      </c>
      <c r="G1360" s="239" t="s">
        <v>957</v>
      </c>
      <c r="H1360" s="239" t="s">
        <v>51</v>
      </c>
      <c r="I1360" s="239" t="s">
        <v>2882</v>
      </c>
      <c r="J1360" s="234">
        <v>45660</v>
      </c>
      <c r="K1360" s="234">
        <v>15970</v>
      </c>
      <c r="L1360" s="242">
        <v>7</v>
      </c>
      <c r="M1360" s="308">
        <v>29690</v>
      </c>
      <c r="N1360" s="234">
        <v>27611.7</v>
      </c>
      <c r="O1360" s="234" t="s">
        <v>3643</v>
      </c>
      <c r="P1360" s="236">
        <v>45963</v>
      </c>
      <c r="Q1360" s="244">
        <v>0.87445601851851851</v>
      </c>
    </row>
    <row r="1361" spans="1:17" ht="38.25">
      <c r="A1361" s="239" t="s">
        <v>3574</v>
      </c>
      <c r="B1361" s="240">
        <v>2889</v>
      </c>
      <c r="C1361" s="241">
        <v>281</v>
      </c>
      <c r="D1361" s="239" t="s">
        <v>2881</v>
      </c>
      <c r="E1361" s="239" t="s">
        <v>392</v>
      </c>
      <c r="F1361" s="239" t="s">
        <v>393</v>
      </c>
      <c r="G1361" s="239" t="s">
        <v>957</v>
      </c>
      <c r="H1361" s="239" t="s">
        <v>51</v>
      </c>
      <c r="I1361" s="239" t="s">
        <v>2882</v>
      </c>
      <c r="J1361" s="234">
        <v>63830</v>
      </c>
      <c r="K1361" s="234">
        <v>24290</v>
      </c>
      <c r="L1361" s="242">
        <v>9</v>
      </c>
      <c r="M1361" s="308">
        <v>39540</v>
      </c>
      <c r="N1361" s="234">
        <v>35981.4</v>
      </c>
      <c r="O1361" s="234" t="s">
        <v>3644</v>
      </c>
      <c r="P1361" s="236">
        <v>45963</v>
      </c>
      <c r="Q1361" s="244">
        <v>0.89359953703703698</v>
      </c>
    </row>
    <row r="1362" spans="1:17" ht="38.25">
      <c r="A1362" s="239" t="s">
        <v>3575</v>
      </c>
      <c r="B1362" s="240">
        <v>2871</v>
      </c>
      <c r="C1362" s="241">
        <v>273</v>
      </c>
      <c r="D1362" s="239" t="s">
        <v>2881</v>
      </c>
      <c r="E1362" s="239" t="s">
        <v>380</v>
      </c>
      <c r="F1362" s="239" t="s">
        <v>381</v>
      </c>
      <c r="G1362" s="239" t="s">
        <v>957</v>
      </c>
      <c r="H1362" s="239" t="s">
        <v>51</v>
      </c>
      <c r="I1362" s="239" t="s">
        <v>2882</v>
      </c>
      <c r="J1362" s="234">
        <v>41280</v>
      </c>
      <c r="K1362" s="234">
        <v>15280</v>
      </c>
      <c r="L1362" s="242">
        <v>7</v>
      </c>
      <c r="M1362" s="308">
        <v>26000</v>
      </c>
      <c r="N1362" s="234">
        <v>24180</v>
      </c>
      <c r="O1362" s="234" t="s">
        <v>3645</v>
      </c>
      <c r="P1362" s="236">
        <v>45963</v>
      </c>
      <c r="Q1362" s="244">
        <v>0.92664351851851856</v>
      </c>
    </row>
    <row r="1363" spans="1:17" ht="38.25">
      <c r="A1363" s="239" t="s">
        <v>3576</v>
      </c>
      <c r="B1363" s="240">
        <v>2872</v>
      </c>
      <c r="C1363" s="241">
        <v>272</v>
      </c>
      <c r="D1363" s="239" t="s">
        <v>2881</v>
      </c>
      <c r="E1363" s="239" t="s">
        <v>786</v>
      </c>
      <c r="F1363" s="239" t="s">
        <v>787</v>
      </c>
      <c r="G1363" s="239" t="s">
        <v>957</v>
      </c>
      <c r="H1363" s="239" t="s">
        <v>51</v>
      </c>
      <c r="I1363" s="239" t="s">
        <v>2882</v>
      </c>
      <c r="J1363" s="234">
        <v>38420</v>
      </c>
      <c r="K1363" s="234">
        <v>14120</v>
      </c>
      <c r="L1363" s="242">
        <v>13</v>
      </c>
      <c r="M1363" s="308">
        <v>24300</v>
      </c>
      <c r="N1363" s="234">
        <v>21141</v>
      </c>
      <c r="O1363" s="234" t="s">
        <v>3646</v>
      </c>
      <c r="P1363" s="236">
        <v>45963</v>
      </c>
      <c r="Q1363" s="244">
        <v>0.93275462962962963</v>
      </c>
    </row>
    <row r="1364" spans="1:17" ht="38.25">
      <c r="A1364" s="239" t="s">
        <v>3577</v>
      </c>
      <c r="B1364" s="240">
        <v>2874</v>
      </c>
      <c r="C1364" s="241">
        <v>276</v>
      </c>
      <c r="D1364" s="239" t="s">
        <v>2881</v>
      </c>
      <c r="E1364" s="239" t="s">
        <v>420</v>
      </c>
      <c r="F1364" s="239" t="s">
        <v>421</v>
      </c>
      <c r="G1364" s="239" t="s">
        <v>957</v>
      </c>
      <c r="H1364" s="239" t="s">
        <v>51</v>
      </c>
      <c r="I1364" s="239" t="s">
        <v>2882</v>
      </c>
      <c r="J1364" s="234">
        <v>38580</v>
      </c>
      <c r="K1364" s="234">
        <v>15060</v>
      </c>
      <c r="L1364" s="242">
        <v>24</v>
      </c>
      <c r="M1364" s="308">
        <v>23520</v>
      </c>
      <c r="N1364" s="234">
        <v>17875.2</v>
      </c>
      <c r="O1364" s="234" t="s">
        <v>3647</v>
      </c>
      <c r="P1364" s="236">
        <v>45963</v>
      </c>
      <c r="Q1364" s="244">
        <v>0.96173611111111112</v>
      </c>
    </row>
    <row r="1365" spans="1:17" ht="38.25">
      <c r="A1365" s="239" t="s">
        <v>3578</v>
      </c>
      <c r="B1365" s="240">
        <v>2875</v>
      </c>
      <c r="C1365" s="241">
        <v>275</v>
      </c>
      <c r="D1365" s="239" t="s">
        <v>2881</v>
      </c>
      <c r="E1365" s="239" t="s">
        <v>416</v>
      </c>
      <c r="F1365" s="239" t="s">
        <v>417</v>
      </c>
      <c r="G1365" s="239" t="s">
        <v>957</v>
      </c>
      <c r="H1365" s="239" t="s">
        <v>51</v>
      </c>
      <c r="I1365" s="239" t="s">
        <v>2882</v>
      </c>
      <c r="J1365" s="234">
        <v>41060</v>
      </c>
      <c r="K1365" s="234">
        <v>15010</v>
      </c>
      <c r="L1365" s="242">
        <v>9</v>
      </c>
      <c r="M1365" s="308">
        <v>26050</v>
      </c>
      <c r="N1365" s="234">
        <v>23705.5</v>
      </c>
      <c r="O1365" s="234" t="s">
        <v>3648</v>
      </c>
      <c r="P1365" s="236">
        <v>45963</v>
      </c>
      <c r="Q1365" s="244">
        <v>0.99651620370370375</v>
      </c>
    </row>
    <row r="1366" spans="1:17" ht="38.25">
      <c r="A1366" s="239" t="s">
        <v>3579</v>
      </c>
      <c r="B1366" s="240">
        <v>2890</v>
      </c>
      <c r="C1366" s="241">
        <v>286</v>
      </c>
      <c r="D1366" s="239" t="s">
        <v>2881</v>
      </c>
      <c r="E1366" s="239" t="s">
        <v>406</v>
      </c>
      <c r="F1366" s="239" t="s">
        <v>407</v>
      </c>
      <c r="G1366" s="239" t="s">
        <v>957</v>
      </c>
      <c r="H1366" s="239" t="s">
        <v>51</v>
      </c>
      <c r="I1366" s="239" t="s">
        <v>2882</v>
      </c>
      <c r="J1366" s="234">
        <v>41140</v>
      </c>
      <c r="K1366" s="234">
        <v>15260</v>
      </c>
      <c r="L1366" s="242">
        <v>5</v>
      </c>
      <c r="M1366" s="308">
        <v>25880</v>
      </c>
      <c r="N1366" s="234">
        <v>24586</v>
      </c>
      <c r="O1366" s="234" t="s">
        <v>3649</v>
      </c>
      <c r="P1366" s="236">
        <v>45963</v>
      </c>
      <c r="Q1366" s="244">
        <v>0.99728009259259254</v>
      </c>
    </row>
    <row r="1367" spans="1:17" ht="38.25">
      <c r="A1367" s="239" t="s">
        <v>3580</v>
      </c>
      <c r="B1367" s="240">
        <v>2900</v>
      </c>
      <c r="C1367" s="241">
        <v>291</v>
      </c>
      <c r="D1367" s="239" t="s">
        <v>2881</v>
      </c>
      <c r="E1367" s="239" t="s">
        <v>374</v>
      </c>
      <c r="F1367" s="239" t="s">
        <v>375</v>
      </c>
      <c r="G1367" s="239" t="s">
        <v>957</v>
      </c>
      <c r="H1367" s="239" t="s">
        <v>51</v>
      </c>
      <c r="I1367" s="239" t="s">
        <v>2882</v>
      </c>
      <c r="J1367" s="234">
        <v>40740</v>
      </c>
      <c r="K1367" s="234">
        <v>15700</v>
      </c>
      <c r="L1367" s="242">
        <v>15</v>
      </c>
      <c r="M1367" s="308">
        <v>25040</v>
      </c>
      <c r="N1367" s="234">
        <v>21284</v>
      </c>
      <c r="O1367" s="234" t="s">
        <v>3650</v>
      </c>
      <c r="P1367" s="236">
        <v>45964</v>
      </c>
      <c r="Q1367" s="244">
        <v>0.65987268518518516</v>
      </c>
    </row>
    <row r="1368" spans="1:17" ht="38.25">
      <c r="A1368" s="239" t="s">
        <v>3581</v>
      </c>
      <c r="B1368" s="240">
        <v>2902</v>
      </c>
      <c r="C1368" s="241">
        <v>293</v>
      </c>
      <c r="D1368" s="239" t="s">
        <v>2881</v>
      </c>
      <c r="E1368" s="239" t="s">
        <v>456</v>
      </c>
      <c r="F1368" s="239" t="s">
        <v>457</v>
      </c>
      <c r="G1368" s="239" t="s">
        <v>957</v>
      </c>
      <c r="H1368" s="239" t="s">
        <v>51</v>
      </c>
      <c r="I1368" s="239" t="s">
        <v>2882</v>
      </c>
      <c r="J1368" s="234">
        <v>48850</v>
      </c>
      <c r="K1368" s="234">
        <v>16010</v>
      </c>
      <c r="L1368" s="242">
        <v>13</v>
      </c>
      <c r="M1368" s="308">
        <v>32840</v>
      </c>
      <c r="N1368" s="234">
        <v>28570.799999999999</v>
      </c>
      <c r="O1368" s="234" t="s">
        <v>3651</v>
      </c>
      <c r="P1368" s="236">
        <v>45964</v>
      </c>
      <c r="Q1368" s="244">
        <v>0.71790509259259261</v>
      </c>
    </row>
    <row r="1369" spans="1:17" ht="38.25">
      <c r="A1369" s="239" t="s">
        <v>3582</v>
      </c>
      <c r="B1369" s="240">
        <v>2903</v>
      </c>
      <c r="C1369" s="241">
        <v>294</v>
      </c>
      <c r="D1369" s="239" t="s">
        <v>2881</v>
      </c>
      <c r="E1369" s="239" t="s">
        <v>382</v>
      </c>
      <c r="F1369" s="239" t="s">
        <v>383</v>
      </c>
      <c r="G1369" s="239" t="s">
        <v>957</v>
      </c>
      <c r="H1369" s="239" t="s">
        <v>51</v>
      </c>
      <c r="I1369" s="239" t="s">
        <v>2882</v>
      </c>
      <c r="J1369" s="234">
        <v>40580</v>
      </c>
      <c r="K1369" s="234">
        <v>14920</v>
      </c>
      <c r="L1369" s="242">
        <v>13</v>
      </c>
      <c r="M1369" s="308">
        <v>25660</v>
      </c>
      <c r="N1369" s="234">
        <v>22324.2</v>
      </c>
      <c r="O1369" s="234" t="s">
        <v>3652</v>
      </c>
      <c r="P1369" s="236">
        <v>45964</v>
      </c>
      <c r="Q1369" s="244">
        <v>0.75914351851851847</v>
      </c>
    </row>
    <row r="1370" spans="1:17" ht="38.25">
      <c r="A1370" s="239" t="s">
        <v>3583</v>
      </c>
      <c r="B1370" s="240">
        <v>2904</v>
      </c>
      <c r="C1370" s="241">
        <v>295</v>
      </c>
      <c r="D1370" s="239" t="s">
        <v>2881</v>
      </c>
      <c r="E1370" s="239" t="s">
        <v>429</v>
      </c>
      <c r="F1370" s="239" t="s">
        <v>430</v>
      </c>
      <c r="G1370" s="239" t="s">
        <v>957</v>
      </c>
      <c r="H1370" s="239" t="s">
        <v>51</v>
      </c>
      <c r="I1370" s="239" t="s">
        <v>2882</v>
      </c>
      <c r="J1370" s="234">
        <v>45150</v>
      </c>
      <c r="K1370" s="234">
        <v>14660</v>
      </c>
      <c r="L1370" s="242">
        <v>13</v>
      </c>
      <c r="M1370" s="308">
        <v>30490</v>
      </c>
      <c r="N1370" s="234">
        <v>26526.3</v>
      </c>
      <c r="O1370" s="234" t="s">
        <v>3653</v>
      </c>
      <c r="P1370" s="236">
        <v>45964</v>
      </c>
      <c r="Q1370" s="244">
        <v>0.78883101851851856</v>
      </c>
    </row>
    <row r="1371" spans="1:17" ht="38.25">
      <c r="A1371" s="239" t="s">
        <v>3584</v>
      </c>
      <c r="B1371" s="240">
        <v>2891</v>
      </c>
      <c r="C1371" s="241">
        <v>285</v>
      </c>
      <c r="D1371" s="239" t="s">
        <v>2881</v>
      </c>
      <c r="E1371" s="239" t="s">
        <v>403</v>
      </c>
      <c r="F1371" s="239" t="s">
        <v>404</v>
      </c>
      <c r="G1371" s="239" t="s">
        <v>957</v>
      </c>
      <c r="H1371" s="239" t="s">
        <v>51</v>
      </c>
      <c r="I1371" s="239" t="s">
        <v>2882</v>
      </c>
      <c r="J1371" s="234">
        <v>40350</v>
      </c>
      <c r="K1371" s="234">
        <v>14620</v>
      </c>
      <c r="L1371" s="242">
        <v>12</v>
      </c>
      <c r="M1371" s="308">
        <v>25730</v>
      </c>
      <c r="N1371" s="234">
        <v>22642.400000000001</v>
      </c>
      <c r="O1371" s="234" t="s">
        <v>3654</v>
      </c>
      <c r="P1371" s="236">
        <v>45964</v>
      </c>
      <c r="Q1371" s="244">
        <v>0.80938657407407411</v>
      </c>
    </row>
    <row r="1372" spans="1:17" ht="38.25">
      <c r="A1372" s="239" t="s">
        <v>3585</v>
      </c>
      <c r="B1372" s="240">
        <v>2896</v>
      </c>
      <c r="C1372" s="241">
        <v>287</v>
      </c>
      <c r="D1372" s="239" t="s">
        <v>2881</v>
      </c>
      <c r="E1372" s="239" t="s">
        <v>377</v>
      </c>
      <c r="F1372" s="239" t="s">
        <v>378</v>
      </c>
      <c r="G1372" s="239" t="s">
        <v>957</v>
      </c>
      <c r="H1372" s="239" t="s">
        <v>51</v>
      </c>
      <c r="I1372" s="239" t="s">
        <v>2882</v>
      </c>
      <c r="J1372" s="234">
        <v>42510</v>
      </c>
      <c r="K1372" s="234">
        <v>15310</v>
      </c>
      <c r="L1372" s="242">
        <v>3</v>
      </c>
      <c r="M1372" s="308">
        <v>27200</v>
      </c>
      <c r="N1372" s="234">
        <v>26384</v>
      </c>
      <c r="O1372" s="234" t="s">
        <v>3655</v>
      </c>
      <c r="P1372" s="236">
        <v>45964</v>
      </c>
      <c r="Q1372" s="244">
        <v>0.83229166666666665</v>
      </c>
    </row>
    <row r="1373" spans="1:17" ht="38.25">
      <c r="A1373" s="239" t="s">
        <v>3586</v>
      </c>
      <c r="B1373" s="240">
        <v>2905</v>
      </c>
      <c r="C1373" s="241">
        <v>292</v>
      </c>
      <c r="D1373" s="239" t="s">
        <v>2881</v>
      </c>
      <c r="E1373" s="239" t="s">
        <v>388</v>
      </c>
      <c r="F1373" s="239" t="s">
        <v>389</v>
      </c>
      <c r="G1373" s="239" t="s">
        <v>957</v>
      </c>
      <c r="H1373" s="239" t="s">
        <v>51</v>
      </c>
      <c r="I1373" s="239" t="s">
        <v>2882</v>
      </c>
      <c r="J1373" s="234">
        <v>65330</v>
      </c>
      <c r="K1373" s="234">
        <v>21320</v>
      </c>
      <c r="L1373" s="242">
        <v>4</v>
      </c>
      <c r="M1373" s="308">
        <v>44010</v>
      </c>
      <c r="N1373" s="234">
        <v>42249.599999999999</v>
      </c>
      <c r="O1373" s="234" t="s">
        <v>3656</v>
      </c>
      <c r="P1373" s="236">
        <v>45964</v>
      </c>
      <c r="Q1373" s="244">
        <v>0.85106481481481477</v>
      </c>
    </row>
    <row r="1374" spans="1:17" ht="38.25">
      <c r="A1374" s="239" t="s">
        <v>3587</v>
      </c>
      <c r="B1374" s="240">
        <v>2897</v>
      </c>
      <c r="C1374" s="241">
        <v>288</v>
      </c>
      <c r="D1374" s="239" t="s">
        <v>2881</v>
      </c>
      <c r="E1374" s="239" t="s">
        <v>413</v>
      </c>
      <c r="F1374" s="239" t="s">
        <v>414</v>
      </c>
      <c r="G1374" s="239" t="s">
        <v>957</v>
      </c>
      <c r="H1374" s="239" t="s">
        <v>51</v>
      </c>
      <c r="I1374" s="239" t="s">
        <v>2882</v>
      </c>
      <c r="J1374" s="234">
        <v>44190</v>
      </c>
      <c r="K1374" s="234">
        <v>15230</v>
      </c>
      <c r="L1374" s="242">
        <v>7</v>
      </c>
      <c r="M1374" s="308">
        <v>28960</v>
      </c>
      <c r="N1374" s="234">
        <v>26932.799999999999</v>
      </c>
      <c r="O1374" s="234" t="s">
        <v>3657</v>
      </c>
      <c r="P1374" s="236">
        <v>45964</v>
      </c>
      <c r="Q1374" s="244">
        <v>0.87343749999999998</v>
      </c>
    </row>
    <row r="1375" spans="1:17" ht="38.25">
      <c r="A1375" s="239" t="s">
        <v>3588</v>
      </c>
      <c r="B1375" s="240">
        <v>2907</v>
      </c>
      <c r="C1375" s="241">
        <v>296</v>
      </c>
      <c r="D1375" s="239" t="s">
        <v>2881</v>
      </c>
      <c r="E1375" s="239" t="s">
        <v>1410</v>
      </c>
      <c r="F1375" s="239" t="s">
        <v>437</v>
      </c>
      <c r="G1375" s="239" t="s">
        <v>957</v>
      </c>
      <c r="H1375" s="239" t="s">
        <v>51</v>
      </c>
      <c r="I1375" s="239" t="s">
        <v>2882</v>
      </c>
      <c r="J1375" s="234">
        <v>43790</v>
      </c>
      <c r="K1375" s="234">
        <v>15130</v>
      </c>
      <c r="L1375" s="242">
        <v>6</v>
      </c>
      <c r="M1375" s="308">
        <v>28660</v>
      </c>
      <c r="N1375" s="234">
        <v>26940.400000000001</v>
      </c>
      <c r="O1375" s="234" t="s">
        <v>3658</v>
      </c>
      <c r="P1375" s="236">
        <v>45964</v>
      </c>
      <c r="Q1375" s="244">
        <v>0.87822916666666662</v>
      </c>
    </row>
    <row r="1376" spans="1:17" ht="38.25">
      <c r="A1376" s="239" t="s">
        <v>3589</v>
      </c>
      <c r="B1376" s="240">
        <v>2898</v>
      </c>
      <c r="C1376" s="241">
        <v>290</v>
      </c>
      <c r="D1376" s="239" t="s">
        <v>2881</v>
      </c>
      <c r="E1376" s="239" t="s">
        <v>439</v>
      </c>
      <c r="F1376" s="239" t="s">
        <v>440</v>
      </c>
      <c r="G1376" s="239" t="s">
        <v>957</v>
      </c>
      <c r="H1376" s="239" t="s">
        <v>51</v>
      </c>
      <c r="I1376" s="239" t="s">
        <v>2882</v>
      </c>
      <c r="J1376" s="234">
        <v>45140</v>
      </c>
      <c r="K1376" s="234">
        <v>15240</v>
      </c>
      <c r="L1376" s="242">
        <v>13</v>
      </c>
      <c r="M1376" s="308">
        <v>29900</v>
      </c>
      <c r="N1376" s="234">
        <v>26013</v>
      </c>
      <c r="O1376" s="234" t="s">
        <v>3659</v>
      </c>
      <c r="P1376" s="236">
        <v>45964</v>
      </c>
      <c r="Q1376" s="244">
        <v>0.92554398148148154</v>
      </c>
    </row>
    <row r="1377" spans="1:17" ht="38.25">
      <c r="A1377" s="239" t="s">
        <v>3590</v>
      </c>
      <c r="B1377" s="240">
        <v>2908</v>
      </c>
      <c r="C1377" s="241">
        <v>298</v>
      </c>
      <c r="D1377" s="239" t="s">
        <v>2881</v>
      </c>
      <c r="E1377" s="239" t="s">
        <v>783</v>
      </c>
      <c r="F1377" s="239" t="s">
        <v>784</v>
      </c>
      <c r="G1377" s="239" t="s">
        <v>957</v>
      </c>
      <c r="H1377" s="239" t="s">
        <v>51</v>
      </c>
      <c r="I1377" s="239" t="s">
        <v>2882</v>
      </c>
      <c r="J1377" s="234">
        <v>39290</v>
      </c>
      <c r="K1377" s="234">
        <v>14810</v>
      </c>
      <c r="L1377" s="242">
        <v>6</v>
      </c>
      <c r="M1377" s="308">
        <v>24480</v>
      </c>
      <c r="N1377" s="234">
        <v>23011.200000000001</v>
      </c>
      <c r="O1377" s="234" t="s">
        <v>3660</v>
      </c>
      <c r="P1377" s="236">
        <v>45964</v>
      </c>
      <c r="Q1377" s="244">
        <v>0.92686342592592597</v>
      </c>
    </row>
    <row r="1378" spans="1:17" ht="38.25">
      <c r="A1378" s="239" t="s">
        <v>3591</v>
      </c>
      <c r="B1378" s="240">
        <v>2909</v>
      </c>
      <c r="C1378" s="241">
        <v>297</v>
      </c>
      <c r="D1378" s="239" t="s">
        <v>2881</v>
      </c>
      <c r="E1378" s="239" t="s">
        <v>841</v>
      </c>
      <c r="F1378" s="239" t="s">
        <v>845</v>
      </c>
      <c r="G1378" s="239" t="s">
        <v>957</v>
      </c>
      <c r="H1378" s="239" t="s">
        <v>51</v>
      </c>
      <c r="I1378" s="239" t="s">
        <v>2882</v>
      </c>
      <c r="J1378" s="234">
        <v>43960</v>
      </c>
      <c r="K1378" s="234">
        <v>15890</v>
      </c>
      <c r="L1378" s="242">
        <v>11</v>
      </c>
      <c r="M1378" s="308">
        <v>28070</v>
      </c>
      <c r="N1378" s="234">
        <v>24982.3</v>
      </c>
      <c r="O1378" s="234" t="s">
        <v>3661</v>
      </c>
      <c r="P1378" s="236">
        <v>45964</v>
      </c>
      <c r="Q1378" s="244">
        <v>0.95245370370370375</v>
      </c>
    </row>
    <row r="1379" spans="1:17" ht="38.25">
      <c r="A1379" s="239" t="s">
        <v>3592</v>
      </c>
      <c r="B1379" s="240">
        <v>2899</v>
      </c>
      <c r="C1379" s="241">
        <v>289</v>
      </c>
      <c r="D1379" s="239" t="s">
        <v>2881</v>
      </c>
      <c r="E1379" s="239" t="s">
        <v>384</v>
      </c>
      <c r="F1379" s="239" t="s">
        <v>385</v>
      </c>
      <c r="G1379" s="239" t="s">
        <v>957</v>
      </c>
      <c r="H1379" s="239" t="s">
        <v>51</v>
      </c>
      <c r="I1379" s="239" t="s">
        <v>2882</v>
      </c>
      <c r="J1379" s="234">
        <v>37060</v>
      </c>
      <c r="K1379" s="234">
        <v>13940</v>
      </c>
      <c r="L1379" s="242">
        <v>14</v>
      </c>
      <c r="M1379" s="308">
        <v>23120</v>
      </c>
      <c r="N1379" s="234">
        <v>19883.2</v>
      </c>
      <c r="O1379" s="234" t="s">
        <v>3662</v>
      </c>
      <c r="P1379" s="236">
        <v>45964</v>
      </c>
      <c r="Q1379" s="244">
        <v>0.96342592592592591</v>
      </c>
    </row>
    <row r="1380" spans="1:17" ht="38.25">
      <c r="A1380" s="239" t="s">
        <v>3593</v>
      </c>
      <c r="B1380" s="240">
        <v>2910</v>
      </c>
      <c r="C1380" s="241">
        <v>299</v>
      </c>
      <c r="D1380" s="239" t="s">
        <v>2881</v>
      </c>
      <c r="E1380" s="239" t="s">
        <v>442</v>
      </c>
      <c r="F1380" s="239" t="s">
        <v>443</v>
      </c>
      <c r="G1380" s="239" t="s">
        <v>957</v>
      </c>
      <c r="H1380" s="239" t="s">
        <v>51</v>
      </c>
      <c r="I1380" s="239" t="s">
        <v>2882</v>
      </c>
      <c r="J1380" s="234">
        <v>36130</v>
      </c>
      <c r="K1380" s="234">
        <v>14640</v>
      </c>
      <c r="L1380" s="242">
        <v>14</v>
      </c>
      <c r="M1380" s="308">
        <v>21490</v>
      </c>
      <c r="N1380" s="234">
        <v>18481.400000000001</v>
      </c>
      <c r="O1380" s="234" t="s">
        <v>3663</v>
      </c>
      <c r="P1380" s="236">
        <v>45964</v>
      </c>
      <c r="Q1380" s="244">
        <v>0.97093750000000001</v>
      </c>
    </row>
    <row r="1381" spans="1:17" ht="38.25">
      <c r="A1381" s="239" t="s">
        <v>3594</v>
      </c>
      <c r="B1381" s="240">
        <v>2921</v>
      </c>
      <c r="C1381" s="241">
        <v>305</v>
      </c>
      <c r="D1381" s="239" t="s">
        <v>2881</v>
      </c>
      <c r="E1381" s="239" t="s">
        <v>447</v>
      </c>
      <c r="F1381" s="239" t="s">
        <v>448</v>
      </c>
      <c r="G1381" s="239" t="s">
        <v>957</v>
      </c>
      <c r="H1381" s="239" t="s">
        <v>51</v>
      </c>
      <c r="I1381" s="239" t="s">
        <v>2882</v>
      </c>
      <c r="J1381" s="234">
        <v>54770</v>
      </c>
      <c r="K1381" s="234">
        <v>19680</v>
      </c>
      <c r="L1381" s="242">
        <v>17</v>
      </c>
      <c r="M1381" s="308">
        <v>35090</v>
      </c>
      <c r="N1381" s="234">
        <v>29124.7</v>
      </c>
      <c r="O1381" s="234" t="s">
        <v>3664</v>
      </c>
      <c r="P1381" s="236">
        <v>45965</v>
      </c>
      <c r="Q1381" s="244">
        <v>0.56667824074074069</v>
      </c>
    </row>
    <row r="1382" spans="1:17" ht="38.25">
      <c r="A1382" s="239" t="s">
        <v>3595</v>
      </c>
      <c r="B1382" s="240">
        <v>2922</v>
      </c>
      <c r="C1382" s="241">
        <v>309</v>
      </c>
      <c r="D1382" s="239" t="s">
        <v>2881</v>
      </c>
      <c r="E1382" s="239" t="s">
        <v>791</v>
      </c>
      <c r="F1382" s="239" t="s">
        <v>792</v>
      </c>
      <c r="G1382" s="239" t="s">
        <v>957</v>
      </c>
      <c r="H1382" s="239" t="s">
        <v>51</v>
      </c>
      <c r="I1382" s="239" t="s">
        <v>2882</v>
      </c>
      <c r="J1382" s="234">
        <v>41000</v>
      </c>
      <c r="K1382" s="234">
        <v>15130</v>
      </c>
      <c r="L1382" s="242">
        <v>4</v>
      </c>
      <c r="M1382" s="308">
        <v>25870</v>
      </c>
      <c r="N1382" s="234">
        <v>24835.200000000001</v>
      </c>
      <c r="O1382" s="234" t="s">
        <v>3665</v>
      </c>
      <c r="P1382" s="236">
        <v>45965</v>
      </c>
      <c r="Q1382" s="244">
        <v>0.59034722222222225</v>
      </c>
    </row>
    <row r="1383" spans="1:17" ht="38.25">
      <c r="A1383" s="239" t="s">
        <v>3596</v>
      </c>
      <c r="B1383" s="240">
        <v>2911</v>
      </c>
      <c r="C1383" s="241">
        <v>301</v>
      </c>
      <c r="D1383" s="239" t="s">
        <v>2881</v>
      </c>
      <c r="E1383" s="239" t="s">
        <v>380</v>
      </c>
      <c r="F1383" s="239" t="s">
        <v>381</v>
      </c>
      <c r="G1383" s="239" t="s">
        <v>957</v>
      </c>
      <c r="H1383" s="239" t="s">
        <v>51</v>
      </c>
      <c r="I1383" s="239" t="s">
        <v>2882</v>
      </c>
      <c r="J1383" s="234">
        <v>41260</v>
      </c>
      <c r="K1383" s="234">
        <v>15220</v>
      </c>
      <c r="L1383" s="242">
        <v>9</v>
      </c>
      <c r="M1383" s="308">
        <v>26040</v>
      </c>
      <c r="N1383" s="234">
        <v>23696.400000000001</v>
      </c>
      <c r="O1383" s="234" t="s">
        <v>3666</v>
      </c>
      <c r="P1383" s="236">
        <v>45965</v>
      </c>
      <c r="Q1383" s="244">
        <v>0.63384259259259257</v>
      </c>
    </row>
    <row r="1384" spans="1:17" ht="38.25">
      <c r="A1384" s="239" t="s">
        <v>3597</v>
      </c>
      <c r="B1384" s="240">
        <v>2913</v>
      </c>
      <c r="C1384" s="241">
        <v>302</v>
      </c>
      <c r="D1384" s="239" t="s">
        <v>2881</v>
      </c>
      <c r="E1384" s="239" t="s">
        <v>786</v>
      </c>
      <c r="F1384" s="239" t="s">
        <v>787</v>
      </c>
      <c r="G1384" s="239" t="s">
        <v>957</v>
      </c>
      <c r="H1384" s="239" t="s">
        <v>51</v>
      </c>
      <c r="I1384" s="239" t="s">
        <v>2882</v>
      </c>
      <c r="J1384" s="234">
        <v>36730</v>
      </c>
      <c r="K1384" s="234">
        <v>13980</v>
      </c>
      <c r="L1384" s="242">
        <v>17</v>
      </c>
      <c r="M1384" s="308">
        <v>22750</v>
      </c>
      <c r="N1384" s="234">
        <v>18882.5</v>
      </c>
      <c r="O1384" s="234" t="s">
        <v>3667</v>
      </c>
      <c r="P1384" s="236">
        <v>45965</v>
      </c>
      <c r="Q1384" s="244">
        <v>0.68168981481481483</v>
      </c>
    </row>
    <row r="1385" spans="1:17" ht="38.25">
      <c r="A1385" s="239" t="s">
        <v>3598</v>
      </c>
      <c r="B1385" s="240">
        <v>2923</v>
      </c>
      <c r="C1385" s="241">
        <v>311</v>
      </c>
      <c r="D1385" s="239" t="s">
        <v>2881</v>
      </c>
      <c r="E1385" s="239" t="s">
        <v>400</v>
      </c>
      <c r="F1385" s="239" t="s">
        <v>401</v>
      </c>
      <c r="G1385" s="239" t="s">
        <v>957</v>
      </c>
      <c r="H1385" s="239" t="s">
        <v>51</v>
      </c>
      <c r="I1385" s="239" t="s">
        <v>2882</v>
      </c>
      <c r="J1385" s="234">
        <v>40350</v>
      </c>
      <c r="K1385" s="234">
        <v>14940</v>
      </c>
      <c r="L1385" s="242">
        <v>11</v>
      </c>
      <c r="M1385" s="308">
        <v>25410</v>
      </c>
      <c r="N1385" s="234">
        <v>22614.9</v>
      </c>
      <c r="O1385" s="234" t="s">
        <v>3668</v>
      </c>
      <c r="P1385" s="236">
        <v>45965</v>
      </c>
      <c r="Q1385" s="244">
        <v>0.68767361111111114</v>
      </c>
    </row>
    <row r="1386" spans="1:17" ht="38.25">
      <c r="A1386" s="239" t="s">
        <v>3599</v>
      </c>
      <c r="B1386" s="240">
        <v>2914</v>
      </c>
      <c r="C1386" s="241">
        <v>303</v>
      </c>
      <c r="D1386" s="239" t="s">
        <v>2881</v>
      </c>
      <c r="E1386" s="239" t="s">
        <v>416</v>
      </c>
      <c r="F1386" s="239" t="s">
        <v>417</v>
      </c>
      <c r="G1386" s="239" t="s">
        <v>957</v>
      </c>
      <c r="H1386" s="239" t="s">
        <v>51</v>
      </c>
      <c r="I1386" s="239" t="s">
        <v>2882</v>
      </c>
      <c r="J1386" s="234">
        <v>39450</v>
      </c>
      <c r="K1386" s="234">
        <v>14860</v>
      </c>
      <c r="L1386" s="242">
        <v>6</v>
      </c>
      <c r="M1386" s="308">
        <v>24590</v>
      </c>
      <c r="N1386" s="234">
        <v>23114.6</v>
      </c>
      <c r="O1386" s="234" t="s">
        <v>3669</v>
      </c>
      <c r="P1386" s="236">
        <v>45965</v>
      </c>
      <c r="Q1386" s="244">
        <v>0.69710648148148147</v>
      </c>
    </row>
    <row r="1387" spans="1:17" ht="38.25">
      <c r="A1387" s="239" t="s">
        <v>3600</v>
      </c>
      <c r="B1387" s="240">
        <v>2924</v>
      </c>
      <c r="C1387" s="241">
        <v>310</v>
      </c>
      <c r="D1387" s="239" t="s">
        <v>2881</v>
      </c>
      <c r="E1387" s="239" t="s">
        <v>2793</v>
      </c>
      <c r="F1387" s="239" t="s">
        <v>2794</v>
      </c>
      <c r="G1387" s="239" t="s">
        <v>957</v>
      </c>
      <c r="H1387" s="239" t="s">
        <v>51</v>
      </c>
      <c r="I1387" s="239" t="s">
        <v>2882</v>
      </c>
      <c r="J1387" s="234">
        <v>48070</v>
      </c>
      <c r="K1387" s="234">
        <v>17560</v>
      </c>
      <c r="L1387" s="242">
        <v>16</v>
      </c>
      <c r="M1387" s="308">
        <v>30510</v>
      </c>
      <c r="N1387" s="234">
        <v>25628.400000000001</v>
      </c>
      <c r="O1387" s="234" t="s">
        <v>3670</v>
      </c>
      <c r="P1387" s="236">
        <v>45965</v>
      </c>
      <c r="Q1387" s="244">
        <v>0.73429398148148151</v>
      </c>
    </row>
    <row r="1388" spans="1:17" ht="38.25">
      <c r="A1388" s="239" t="s">
        <v>3601</v>
      </c>
      <c r="B1388" s="240">
        <v>2915</v>
      </c>
      <c r="C1388" s="241">
        <v>300</v>
      </c>
      <c r="D1388" s="239" t="s">
        <v>2881</v>
      </c>
      <c r="E1388" s="239" t="s">
        <v>453</v>
      </c>
      <c r="F1388" s="239" t="s">
        <v>454</v>
      </c>
      <c r="G1388" s="239" t="s">
        <v>957</v>
      </c>
      <c r="H1388" s="239" t="s">
        <v>51</v>
      </c>
      <c r="I1388" s="239" t="s">
        <v>2882</v>
      </c>
      <c r="J1388" s="234">
        <v>68020</v>
      </c>
      <c r="K1388" s="234">
        <v>24790</v>
      </c>
      <c r="L1388" s="242">
        <v>10</v>
      </c>
      <c r="M1388" s="308">
        <v>43230</v>
      </c>
      <c r="N1388" s="234">
        <v>38907</v>
      </c>
      <c r="O1388" s="234" t="s">
        <v>3671</v>
      </c>
      <c r="P1388" s="236">
        <v>45965</v>
      </c>
      <c r="Q1388" s="244">
        <v>0.7842824074074074</v>
      </c>
    </row>
    <row r="1389" spans="1:17" ht="38.25">
      <c r="A1389" s="239" t="s">
        <v>3602</v>
      </c>
      <c r="B1389" s="240">
        <v>2916</v>
      </c>
      <c r="C1389" s="241">
        <v>304</v>
      </c>
      <c r="D1389" s="239" t="s">
        <v>2881</v>
      </c>
      <c r="E1389" s="239" t="s">
        <v>420</v>
      </c>
      <c r="F1389" s="239" t="s">
        <v>421</v>
      </c>
      <c r="G1389" s="239" t="s">
        <v>957</v>
      </c>
      <c r="H1389" s="239" t="s">
        <v>51</v>
      </c>
      <c r="I1389" s="239" t="s">
        <v>2882</v>
      </c>
      <c r="J1389" s="234">
        <v>39940</v>
      </c>
      <c r="K1389" s="234">
        <v>15110</v>
      </c>
      <c r="L1389" s="242">
        <v>13</v>
      </c>
      <c r="M1389" s="308">
        <v>24830</v>
      </c>
      <c r="N1389" s="234">
        <v>21602.1</v>
      </c>
      <c r="O1389" s="234" t="s">
        <v>3672</v>
      </c>
      <c r="P1389" s="236">
        <v>45965</v>
      </c>
      <c r="Q1389" s="244">
        <v>0.80457175925925928</v>
      </c>
    </row>
    <row r="1390" spans="1:17" ht="38.25">
      <c r="A1390" s="239" t="s">
        <v>3603</v>
      </c>
      <c r="B1390" s="240">
        <v>2926</v>
      </c>
      <c r="C1390" s="241">
        <v>312</v>
      </c>
      <c r="D1390" s="239" t="s">
        <v>2881</v>
      </c>
      <c r="E1390" s="239" t="s">
        <v>372</v>
      </c>
      <c r="F1390" s="239" t="s">
        <v>373</v>
      </c>
      <c r="G1390" s="239" t="s">
        <v>957</v>
      </c>
      <c r="H1390" s="239" t="s">
        <v>51</v>
      </c>
      <c r="I1390" s="239" t="s">
        <v>2882</v>
      </c>
      <c r="J1390" s="234">
        <v>41640</v>
      </c>
      <c r="K1390" s="234">
        <v>15140</v>
      </c>
      <c r="L1390" s="242">
        <v>11</v>
      </c>
      <c r="M1390" s="308">
        <v>26500</v>
      </c>
      <c r="N1390" s="234">
        <v>23585</v>
      </c>
      <c r="O1390" s="234" t="s">
        <v>3673</v>
      </c>
      <c r="P1390" s="236">
        <v>45965</v>
      </c>
      <c r="Q1390" s="244">
        <v>0.81489583333333337</v>
      </c>
    </row>
    <row r="1391" spans="1:17" ht="38.25">
      <c r="A1391" s="239" t="s">
        <v>3604</v>
      </c>
      <c r="B1391" s="240">
        <v>2917</v>
      </c>
      <c r="C1391" s="241">
        <v>306</v>
      </c>
      <c r="D1391" s="239" t="s">
        <v>2881</v>
      </c>
      <c r="E1391" s="239" t="s">
        <v>794</v>
      </c>
      <c r="F1391" s="239" t="s">
        <v>795</v>
      </c>
      <c r="G1391" s="239" t="s">
        <v>957</v>
      </c>
      <c r="H1391" s="239" t="s">
        <v>51</v>
      </c>
      <c r="I1391" s="239" t="s">
        <v>2882</v>
      </c>
      <c r="J1391" s="234">
        <v>43260</v>
      </c>
      <c r="K1391" s="234">
        <v>16300</v>
      </c>
      <c r="L1391" s="242">
        <v>8</v>
      </c>
      <c r="M1391" s="308">
        <v>26960</v>
      </c>
      <c r="N1391" s="234">
        <v>24803.200000000001</v>
      </c>
      <c r="O1391" s="234" t="s">
        <v>3674</v>
      </c>
      <c r="P1391" s="236">
        <v>45965</v>
      </c>
      <c r="Q1391" s="244">
        <v>0.90141203703703698</v>
      </c>
    </row>
    <row r="1392" spans="1:17" ht="38.25">
      <c r="A1392" s="239" t="s">
        <v>3605</v>
      </c>
      <c r="B1392" s="240">
        <v>2918</v>
      </c>
      <c r="C1392" s="241">
        <v>307</v>
      </c>
      <c r="D1392" s="239" t="s">
        <v>2881</v>
      </c>
      <c r="E1392" s="239" t="s">
        <v>866</v>
      </c>
      <c r="F1392" s="239" t="s">
        <v>867</v>
      </c>
      <c r="G1392" s="239" t="s">
        <v>957</v>
      </c>
      <c r="H1392" s="239" t="s">
        <v>51</v>
      </c>
      <c r="I1392" s="239" t="s">
        <v>2882</v>
      </c>
      <c r="J1392" s="234">
        <v>39590</v>
      </c>
      <c r="K1392" s="234">
        <v>14580</v>
      </c>
      <c r="L1392" s="242">
        <v>14</v>
      </c>
      <c r="M1392" s="308">
        <v>25010</v>
      </c>
      <c r="N1392" s="234">
        <v>21508.6</v>
      </c>
      <c r="O1392" s="234" t="s">
        <v>3675</v>
      </c>
      <c r="P1392" s="236">
        <v>45965</v>
      </c>
      <c r="Q1392" s="244">
        <v>0.98796296296296293</v>
      </c>
    </row>
    <row r="1393" spans="1:17" ht="38.25">
      <c r="A1393" s="239" t="s">
        <v>3735</v>
      </c>
      <c r="B1393" s="240">
        <v>2927</v>
      </c>
      <c r="C1393" s="241">
        <v>314</v>
      </c>
      <c r="D1393" s="239" t="s">
        <v>2881</v>
      </c>
      <c r="E1393" s="239" t="s">
        <v>1403</v>
      </c>
      <c r="F1393" s="239" t="s">
        <v>1404</v>
      </c>
      <c r="G1393" s="239" t="s">
        <v>957</v>
      </c>
      <c r="H1393" s="239" t="s">
        <v>51</v>
      </c>
      <c r="I1393" s="239" t="s">
        <v>2882</v>
      </c>
      <c r="J1393" s="234">
        <v>40160</v>
      </c>
      <c r="K1393" s="234">
        <v>14810</v>
      </c>
      <c r="L1393" s="242">
        <v>4</v>
      </c>
      <c r="M1393" s="308">
        <v>25350</v>
      </c>
      <c r="N1393" s="234">
        <v>24336</v>
      </c>
      <c r="O1393" s="234" t="s">
        <v>3737</v>
      </c>
      <c r="P1393" s="236">
        <v>45965</v>
      </c>
      <c r="Q1393" s="244">
        <v>0.84616898148148145</v>
      </c>
    </row>
    <row r="1394" spans="1:17" ht="38.25">
      <c r="A1394" s="239" t="s">
        <v>3736</v>
      </c>
      <c r="B1394" s="240">
        <v>2928</v>
      </c>
      <c r="C1394" s="241">
        <v>313</v>
      </c>
      <c r="D1394" s="239" t="s">
        <v>2881</v>
      </c>
      <c r="E1394" s="239" t="s">
        <v>1397</v>
      </c>
      <c r="F1394" s="239" t="s">
        <v>1398</v>
      </c>
      <c r="G1394" s="239" t="s">
        <v>957</v>
      </c>
      <c r="H1394" s="239" t="s">
        <v>51</v>
      </c>
      <c r="I1394" s="239" t="s">
        <v>2882</v>
      </c>
      <c r="J1394" s="234">
        <v>46470</v>
      </c>
      <c r="K1394" s="234">
        <v>16990</v>
      </c>
      <c r="L1394" s="242">
        <v>8</v>
      </c>
      <c r="M1394" s="308">
        <v>29480</v>
      </c>
      <c r="N1394" s="234">
        <v>27121.599999999999</v>
      </c>
      <c r="O1394" s="234" t="s">
        <v>3738</v>
      </c>
      <c r="P1394" s="236">
        <v>45965</v>
      </c>
      <c r="Q1394" s="244">
        <v>0.84925925925925927</v>
      </c>
    </row>
    <row r="1395" spans="1:17" ht="38.25">
      <c r="A1395" s="239" t="s">
        <v>3606</v>
      </c>
      <c r="B1395" s="240">
        <v>2919</v>
      </c>
      <c r="C1395" s="241">
        <v>308</v>
      </c>
      <c r="D1395" s="239" t="s">
        <v>2881</v>
      </c>
      <c r="E1395" s="239" t="s">
        <v>369</v>
      </c>
      <c r="F1395" s="239" t="s">
        <v>370</v>
      </c>
      <c r="G1395" s="239" t="s">
        <v>957</v>
      </c>
      <c r="H1395" s="239" t="s">
        <v>51</v>
      </c>
      <c r="I1395" s="239" t="s">
        <v>2882</v>
      </c>
      <c r="J1395" s="234">
        <v>40280</v>
      </c>
      <c r="K1395" s="234">
        <v>15270</v>
      </c>
      <c r="L1395" s="242">
        <v>10</v>
      </c>
      <c r="M1395" s="308">
        <v>25010</v>
      </c>
      <c r="N1395" s="234">
        <v>22509</v>
      </c>
      <c r="O1395" s="234" t="s">
        <v>3676</v>
      </c>
      <c r="P1395" s="236">
        <v>45965</v>
      </c>
      <c r="Q1395" s="244">
        <v>0.99030092592592589</v>
      </c>
    </row>
    <row r="1396" spans="1:17" ht="51">
      <c r="A1396" s="239" t="s">
        <v>3677</v>
      </c>
      <c r="B1396" s="240">
        <v>2929</v>
      </c>
      <c r="C1396" s="241">
        <v>8319</v>
      </c>
      <c r="D1396" s="239" t="s">
        <v>2511</v>
      </c>
      <c r="E1396" s="239" t="s">
        <v>377</v>
      </c>
      <c r="F1396" s="239" t="s">
        <v>378</v>
      </c>
      <c r="G1396" s="239" t="s">
        <v>933</v>
      </c>
      <c r="H1396" s="239" t="s">
        <v>42</v>
      </c>
      <c r="I1396" s="239" t="s">
        <v>2512</v>
      </c>
      <c r="J1396" s="234">
        <v>43270</v>
      </c>
      <c r="K1396" s="234">
        <v>15200</v>
      </c>
      <c r="L1396" s="242">
        <v>22</v>
      </c>
      <c r="M1396" s="308">
        <v>28070</v>
      </c>
      <c r="N1396" s="234">
        <v>21894.6</v>
      </c>
      <c r="O1396" s="234" t="s">
        <v>3679</v>
      </c>
      <c r="P1396" s="236">
        <v>45966</v>
      </c>
      <c r="Q1396" s="244">
        <v>0.46887731481481482</v>
      </c>
    </row>
    <row r="1397" spans="1:17" ht="51">
      <c r="A1397" s="239" t="s">
        <v>3678</v>
      </c>
      <c r="B1397" s="240">
        <v>2930</v>
      </c>
      <c r="C1397" s="241">
        <v>8320</v>
      </c>
      <c r="D1397" s="239" t="s">
        <v>2511</v>
      </c>
      <c r="E1397" s="239" t="s">
        <v>413</v>
      </c>
      <c r="F1397" s="239" t="s">
        <v>414</v>
      </c>
      <c r="G1397" s="239" t="s">
        <v>933</v>
      </c>
      <c r="H1397" s="239" t="s">
        <v>42</v>
      </c>
      <c r="I1397" s="239" t="s">
        <v>2512</v>
      </c>
      <c r="J1397" s="234">
        <v>45580</v>
      </c>
      <c r="K1397" s="234">
        <v>15080</v>
      </c>
      <c r="L1397" s="242">
        <v>14</v>
      </c>
      <c r="M1397" s="308">
        <v>30500</v>
      </c>
      <c r="N1397" s="234">
        <v>26230</v>
      </c>
      <c r="O1397" s="234" t="s">
        <v>3680</v>
      </c>
      <c r="P1397" s="236">
        <v>45966</v>
      </c>
      <c r="Q1397" s="244">
        <v>0.49049768518518516</v>
      </c>
    </row>
    <row r="1398" spans="1:17" ht="51">
      <c r="A1398" s="239" t="s">
        <v>3682</v>
      </c>
      <c r="B1398" s="240">
        <v>2947</v>
      </c>
      <c r="C1398" s="241">
        <v>8327</v>
      </c>
      <c r="D1398" s="239" t="s">
        <v>2511</v>
      </c>
      <c r="E1398" s="239" t="s">
        <v>1410</v>
      </c>
      <c r="F1398" s="239" t="s">
        <v>437</v>
      </c>
      <c r="G1398" s="239" t="s">
        <v>933</v>
      </c>
      <c r="H1398" s="239" t="s">
        <v>42</v>
      </c>
      <c r="I1398" s="239" t="s">
        <v>2512</v>
      </c>
      <c r="J1398" s="234">
        <v>42180</v>
      </c>
      <c r="K1398" s="234">
        <v>14980</v>
      </c>
      <c r="L1398" s="242">
        <v>24</v>
      </c>
      <c r="M1398" s="308">
        <v>27200</v>
      </c>
      <c r="N1398" s="234">
        <v>20672</v>
      </c>
      <c r="O1398" s="234" t="s">
        <v>3694</v>
      </c>
      <c r="P1398" s="236">
        <v>45966</v>
      </c>
      <c r="Q1398" s="244">
        <v>0.68768518518518518</v>
      </c>
    </row>
    <row r="1399" spans="1:17" ht="51">
      <c r="A1399" s="239" t="s">
        <v>3683</v>
      </c>
      <c r="B1399" s="240">
        <v>2948</v>
      </c>
      <c r="C1399" s="241">
        <v>8328</v>
      </c>
      <c r="D1399" s="239" t="s">
        <v>2511</v>
      </c>
      <c r="E1399" s="239" t="s">
        <v>439</v>
      </c>
      <c r="F1399" s="239" t="s">
        <v>440</v>
      </c>
      <c r="G1399" s="239" t="s">
        <v>933</v>
      </c>
      <c r="H1399" s="239" t="s">
        <v>42</v>
      </c>
      <c r="I1399" s="239" t="s">
        <v>2512</v>
      </c>
      <c r="J1399" s="234">
        <v>46070</v>
      </c>
      <c r="K1399" s="234">
        <v>15250</v>
      </c>
      <c r="L1399" s="242">
        <v>27</v>
      </c>
      <c r="M1399" s="308">
        <v>30820</v>
      </c>
      <c r="N1399" s="234">
        <v>22498.6</v>
      </c>
      <c r="O1399" s="234" t="s">
        <v>3695</v>
      </c>
      <c r="P1399" s="236">
        <v>45966</v>
      </c>
      <c r="Q1399" s="244">
        <v>0.69260416666666669</v>
      </c>
    </row>
    <row r="1400" spans="1:17" ht="51">
      <c r="A1400" s="239" t="s">
        <v>3684</v>
      </c>
      <c r="B1400" s="240">
        <v>2931</v>
      </c>
      <c r="C1400" s="241">
        <v>8322</v>
      </c>
      <c r="D1400" s="239" t="s">
        <v>2511</v>
      </c>
      <c r="E1400" s="239" t="s">
        <v>384</v>
      </c>
      <c r="F1400" s="239" t="s">
        <v>385</v>
      </c>
      <c r="G1400" s="239" t="s">
        <v>933</v>
      </c>
      <c r="H1400" s="239" t="s">
        <v>42</v>
      </c>
      <c r="I1400" s="239" t="s">
        <v>2512</v>
      </c>
      <c r="J1400" s="234">
        <v>37080</v>
      </c>
      <c r="K1400" s="234">
        <v>13930</v>
      </c>
      <c r="L1400" s="242">
        <v>20</v>
      </c>
      <c r="M1400" s="308">
        <v>23150</v>
      </c>
      <c r="N1400" s="234">
        <v>18520</v>
      </c>
      <c r="O1400" s="234" t="s">
        <v>3696</v>
      </c>
      <c r="P1400" s="236">
        <v>45966</v>
      </c>
      <c r="Q1400" s="244">
        <v>0.72561342592592593</v>
      </c>
    </row>
    <row r="1401" spans="1:17" ht="51">
      <c r="A1401" s="239" t="s">
        <v>3685</v>
      </c>
      <c r="B1401" s="240">
        <v>2933</v>
      </c>
      <c r="C1401" s="241">
        <v>8323</v>
      </c>
      <c r="D1401" s="239" t="s">
        <v>2511</v>
      </c>
      <c r="E1401" s="239" t="s">
        <v>432</v>
      </c>
      <c r="F1401" s="239" t="s">
        <v>433</v>
      </c>
      <c r="G1401" s="239" t="s">
        <v>933</v>
      </c>
      <c r="H1401" s="239" t="s">
        <v>42</v>
      </c>
      <c r="I1401" s="239" t="s">
        <v>2512</v>
      </c>
      <c r="J1401" s="234">
        <v>46390</v>
      </c>
      <c r="K1401" s="234">
        <v>15780</v>
      </c>
      <c r="L1401" s="242">
        <v>7</v>
      </c>
      <c r="M1401" s="308">
        <v>30610</v>
      </c>
      <c r="N1401" s="234">
        <v>28467.3</v>
      </c>
      <c r="O1401" s="234" t="s">
        <v>3697</v>
      </c>
      <c r="P1401" s="236">
        <v>45966</v>
      </c>
      <c r="Q1401" s="244">
        <v>0.72665509259259264</v>
      </c>
    </row>
    <row r="1402" spans="1:17" ht="51">
      <c r="A1402" s="239" t="s">
        <v>3686</v>
      </c>
      <c r="B1402" s="240">
        <v>2934</v>
      </c>
      <c r="C1402" s="241">
        <v>8321</v>
      </c>
      <c r="D1402" s="239" t="s">
        <v>2511</v>
      </c>
      <c r="E1402" s="239" t="s">
        <v>392</v>
      </c>
      <c r="F1402" s="239" t="s">
        <v>393</v>
      </c>
      <c r="G1402" s="239" t="s">
        <v>933</v>
      </c>
      <c r="H1402" s="239" t="s">
        <v>42</v>
      </c>
      <c r="I1402" s="239" t="s">
        <v>2512</v>
      </c>
      <c r="J1402" s="234">
        <v>64280</v>
      </c>
      <c r="K1402" s="234">
        <v>24140</v>
      </c>
      <c r="L1402" s="242">
        <v>10</v>
      </c>
      <c r="M1402" s="308">
        <v>40140</v>
      </c>
      <c r="N1402" s="234">
        <v>36126</v>
      </c>
      <c r="O1402" s="234" t="s">
        <v>3698</v>
      </c>
      <c r="P1402" s="236">
        <v>45966</v>
      </c>
      <c r="Q1402" s="244">
        <v>0.74637731481481484</v>
      </c>
    </row>
    <row r="1403" spans="1:17" ht="51">
      <c r="A1403" s="239" t="s">
        <v>3687</v>
      </c>
      <c r="B1403" s="240">
        <v>2951</v>
      </c>
      <c r="C1403" s="241">
        <v>8329</v>
      </c>
      <c r="D1403" s="239" t="s">
        <v>2511</v>
      </c>
      <c r="E1403" s="239" t="s">
        <v>858</v>
      </c>
      <c r="F1403" s="239" t="s">
        <v>859</v>
      </c>
      <c r="G1403" s="239" t="s">
        <v>933</v>
      </c>
      <c r="H1403" s="239" t="s">
        <v>42</v>
      </c>
      <c r="I1403" s="239" t="s">
        <v>2512</v>
      </c>
      <c r="J1403" s="234">
        <v>43320</v>
      </c>
      <c r="K1403" s="234">
        <v>15010</v>
      </c>
      <c r="L1403" s="242">
        <v>20</v>
      </c>
      <c r="M1403" s="308">
        <v>28310</v>
      </c>
      <c r="N1403" s="234">
        <v>22648</v>
      </c>
      <c r="O1403" s="234" t="s">
        <v>3699</v>
      </c>
      <c r="P1403" s="236">
        <v>45966</v>
      </c>
      <c r="Q1403" s="244">
        <v>0.752349537037037</v>
      </c>
    </row>
    <row r="1404" spans="1:17" ht="51">
      <c r="A1404" s="239" t="s">
        <v>3688</v>
      </c>
      <c r="B1404" s="240">
        <v>2935</v>
      </c>
      <c r="C1404" s="241">
        <v>8324</v>
      </c>
      <c r="D1404" s="239" t="s">
        <v>2511</v>
      </c>
      <c r="E1404" s="239" t="s">
        <v>390</v>
      </c>
      <c r="F1404" s="239" t="s">
        <v>391</v>
      </c>
      <c r="G1404" s="239" t="s">
        <v>933</v>
      </c>
      <c r="H1404" s="239" t="s">
        <v>42</v>
      </c>
      <c r="I1404" s="239" t="s">
        <v>2512</v>
      </c>
      <c r="J1404" s="234">
        <v>41600</v>
      </c>
      <c r="K1404" s="234">
        <v>15030</v>
      </c>
      <c r="L1404" s="242">
        <v>20</v>
      </c>
      <c r="M1404" s="308">
        <v>26570</v>
      </c>
      <c r="N1404" s="234">
        <v>21256</v>
      </c>
      <c r="O1404" s="234" t="s">
        <v>3700</v>
      </c>
      <c r="P1404" s="236">
        <v>45966</v>
      </c>
      <c r="Q1404" s="244">
        <v>0.79197916666666668</v>
      </c>
    </row>
    <row r="1405" spans="1:17" ht="51">
      <c r="A1405" s="239" t="s">
        <v>3689</v>
      </c>
      <c r="B1405" s="240">
        <v>2953</v>
      </c>
      <c r="C1405" s="241">
        <v>8330</v>
      </c>
      <c r="D1405" s="239" t="s">
        <v>2511</v>
      </c>
      <c r="E1405" s="239" t="s">
        <v>374</v>
      </c>
      <c r="F1405" s="239" t="s">
        <v>375</v>
      </c>
      <c r="G1405" s="239" t="s">
        <v>933</v>
      </c>
      <c r="H1405" s="239" t="s">
        <v>42</v>
      </c>
      <c r="I1405" s="239" t="s">
        <v>2512</v>
      </c>
      <c r="J1405" s="234">
        <v>40390</v>
      </c>
      <c r="K1405" s="234">
        <v>15640</v>
      </c>
      <c r="L1405" s="242">
        <v>18</v>
      </c>
      <c r="M1405" s="308">
        <v>24750</v>
      </c>
      <c r="N1405" s="234">
        <v>20295</v>
      </c>
      <c r="O1405" s="234" t="s">
        <v>3701</v>
      </c>
      <c r="P1405" s="236">
        <v>45966</v>
      </c>
      <c r="Q1405" s="244">
        <v>0.84559027777777773</v>
      </c>
    </row>
    <row r="1406" spans="1:17" ht="51">
      <c r="A1406" s="239" t="s">
        <v>3690</v>
      </c>
      <c r="B1406" s="240">
        <v>2954</v>
      </c>
      <c r="C1406" s="241">
        <v>8333</v>
      </c>
      <c r="D1406" s="239" t="s">
        <v>2511</v>
      </c>
      <c r="E1406" s="239" t="s">
        <v>380</v>
      </c>
      <c r="F1406" s="239" t="s">
        <v>381</v>
      </c>
      <c r="G1406" s="239" t="s">
        <v>933</v>
      </c>
      <c r="H1406" s="239" t="s">
        <v>42</v>
      </c>
      <c r="I1406" s="239" t="s">
        <v>2512</v>
      </c>
      <c r="J1406" s="234">
        <v>40920</v>
      </c>
      <c r="K1406" s="234">
        <v>15110</v>
      </c>
      <c r="L1406" s="242">
        <v>24</v>
      </c>
      <c r="M1406" s="308">
        <v>25810</v>
      </c>
      <c r="N1406" s="234">
        <v>19615.599999999999</v>
      </c>
      <c r="O1406" s="234" t="s">
        <v>3702</v>
      </c>
      <c r="P1406" s="236">
        <v>45966</v>
      </c>
      <c r="Q1406" s="244">
        <v>0.85594907407407406</v>
      </c>
    </row>
    <row r="1407" spans="1:17" ht="51">
      <c r="A1407" s="239" t="s">
        <v>3691</v>
      </c>
      <c r="B1407" s="240">
        <v>2938</v>
      </c>
      <c r="C1407" s="241">
        <v>8325</v>
      </c>
      <c r="D1407" s="239" t="s">
        <v>2511</v>
      </c>
      <c r="E1407" s="239" t="s">
        <v>388</v>
      </c>
      <c r="F1407" s="239" t="s">
        <v>389</v>
      </c>
      <c r="G1407" s="239" t="s">
        <v>933</v>
      </c>
      <c r="H1407" s="239" t="s">
        <v>42</v>
      </c>
      <c r="I1407" s="239" t="s">
        <v>2512</v>
      </c>
      <c r="J1407" s="234">
        <v>63940</v>
      </c>
      <c r="K1407" s="234">
        <v>21240</v>
      </c>
      <c r="L1407" s="242">
        <v>7</v>
      </c>
      <c r="M1407" s="308">
        <v>42700</v>
      </c>
      <c r="N1407" s="234">
        <v>39711</v>
      </c>
      <c r="O1407" s="234" t="s">
        <v>3703</v>
      </c>
      <c r="P1407" s="236">
        <v>45966</v>
      </c>
      <c r="Q1407" s="244">
        <v>0.90541666666666665</v>
      </c>
    </row>
    <row r="1408" spans="1:17" ht="38.25">
      <c r="A1408" s="239" t="s">
        <v>3692</v>
      </c>
      <c r="B1408" s="240">
        <v>2952</v>
      </c>
      <c r="C1408" s="241">
        <v>319</v>
      </c>
      <c r="D1408" s="239" t="s">
        <v>2881</v>
      </c>
      <c r="E1408" s="239" t="s">
        <v>2053</v>
      </c>
      <c r="F1408" s="239" t="s">
        <v>2054</v>
      </c>
      <c r="G1408" s="239" t="s">
        <v>956</v>
      </c>
      <c r="H1408" s="239" t="s">
        <v>51</v>
      </c>
      <c r="I1408" s="239" t="s">
        <v>2882</v>
      </c>
      <c r="J1408" s="234">
        <v>27770</v>
      </c>
      <c r="K1408" s="234">
        <v>14360</v>
      </c>
      <c r="L1408" s="242">
        <v>22</v>
      </c>
      <c r="M1408" s="308">
        <v>13410</v>
      </c>
      <c r="N1408" s="234">
        <v>10459.799999999999</v>
      </c>
      <c r="O1408" s="234" t="s">
        <v>3704</v>
      </c>
      <c r="P1408" s="236">
        <v>45966</v>
      </c>
      <c r="Q1408" s="244">
        <v>0.91887731481481483</v>
      </c>
    </row>
    <row r="1409" spans="1:17" ht="51">
      <c r="A1409" s="239" t="s">
        <v>3693</v>
      </c>
      <c r="B1409" s="240">
        <v>2941</v>
      </c>
      <c r="C1409" s="241">
        <v>8326</v>
      </c>
      <c r="D1409" s="239" t="s">
        <v>2511</v>
      </c>
      <c r="E1409" s="239" t="s">
        <v>429</v>
      </c>
      <c r="F1409" s="239" t="s">
        <v>430</v>
      </c>
      <c r="G1409" s="239" t="s">
        <v>933</v>
      </c>
      <c r="H1409" s="239" t="s">
        <v>42</v>
      </c>
      <c r="I1409" s="239" t="s">
        <v>2512</v>
      </c>
      <c r="J1409" s="234">
        <v>44150</v>
      </c>
      <c r="K1409" s="234">
        <v>14480</v>
      </c>
      <c r="L1409" s="242">
        <v>14</v>
      </c>
      <c r="M1409" s="308">
        <v>29670</v>
      </c>
      <c r="N1409" s="234">
        <v>25516.2</v>
      </c>
      <c r="O1409" s="234" t="s">
        <v>3705</v>
      </c>
      <c r="P1409" s="236">
        <v>45966</v>
      </c>
      <c r="Q1409" s="244">
        <v>0.99322916666666672</v>
      </c>
    </row>
    <row r="1410" spans="1:17" ht="51">
      <c r="A1410" s="239" t="s">
        <v>3707</v>
      </c>
      <c r="B1410" s="240">
        <v>2956</v>
      </c>
      <c r="C1410" s="241">
        <v>8334</v>
      </c>
      <c r="D1410" s="239" t="s">
        <v>2511</v>
      </c>
      <c r="E1410" s="239" t="s">
        <v>403</v>
      </c>
      <c r="F1410" s="239" t="s">
        <v>404</v>
      </c>
      <c r="G1410" s="239" t="s">
        <v>933</v>
      </c>
      <c r="H1410" s="239" t="s">
        <v>42</v>
      </c>
      <c r="I1410" s="239" t="s">
        <v>2512</v>
      </c>
      <c r="J1410" s="234">
        <v>40240</v>
      </c>
      <c r="K1410" s="234">
        <v>14610</v>
      </c>
      <c r="L1410" s="242">
        <v>18</v>
      </c>
      <c r="M1410" s="308">
        <v>25630</v>
      </c>
      <c r="N1410" s="234">
        <v>21016.6</v>
      </c>
      <c r="O1410" s="234" t="s">
        <v>3710</v>
      </c>
      <c r="P1410" s="236">
        <v>45966</v>
      </c>
      <c r="Q1410" s="244">
        <v>0.95635416666666662</v>
      </c>
    </row>
    <row r="1411" spans="1:17" ht="51">
      <c r="A1411" s="239" t="s">
        <v>3708</v>
      </c>
      <c r="B1411" s="240">
        <v>2957</v>
      </c>
      <c r="C1411" s="241">
        <v>8335</v>
      </c>
      <c r="D1411" s="239" t="s">
        <v>2511</v>
      </c>
      <c r="E1411" s="239" t="s">
        <v>406</v>
      </c>
      <c r="F1411" s="239" t="s">
        <v>407</v>
      </c>
      <c r="G1411" s="239" t="s">
        <v>933</v>
      </c>
      <c r="H1411" s="239" t="s">
        <v>42</v>
      </c>
      <c r="I1411" s="239" t="s">
        <v>2512</v>
      </c>
      <c r="J1411" s="234">
        <v>41950</v>
      </c>
      <c r="K1411" s="234">
        <v>15140</v>
      </c>
      <c r="L1411" s="242">
        <v>11</v>
      </c>
      <c r="M1411" s="308">
        <v>26810</v>
      </c>
      <c r="N1411" s="234">
        <v>23860.9</v>
      </c>
      <c r="O1411" s="234" t="s">
        <v>3711</v>
      </c>
      <c r="P1411" s="236">
        <v>45966</v>
      </c>
      <c r="Q1411" s="244">
        <v>0.95981481481481479</v>
      </c>
    </row>
    <row r="1412" spans="1:17" ht="51">
      <c r="A1412" s="239" t="s">
        <v>3709</v>
      </c>
      <c r="B1412" s="240">
        <v>2958</v>
      </c>
      <c r="C1412" s="241">
        <v>8337</v>
      </c>
      <c r="D1412" s="239" t="s">
        <v>2511</v>
      </c>
      <c r="E1412" s="239" t="s">
        <v>382</v>
      </c>
      <c r="F1412" s="239" t="s">
        <v>383</v>
      </c>
      <c r="G1412" s="239" t="s">
        <v>933</v>
      </c>
      <c r="H1412" s="239" t="s">
        <v>42</v>
      </c>
      <c r="I1412" s="239" t="s">
        <v>2512</v>
      </c>
      <c r="J1412" s="234">
        <v>39290</v>
      </c>
      <c r="K1412" s="234">
        <v>14770</v>
      </c>
      <c r="L1412" s="242">
        <v>25</v>
      </c>
      <c r="M1412" s="308">
        <v>24520</v>
      </c>
      <c r="N1412" s="234">
        <v>18390</v>
      </c>
      <c r="O1412" s="234" t="s">
        <v>3712</v>
      </c>
      <c r="P1412" s="236">
        <v>45967</v>
      </c>
      <c r="Q1412" s="244">
        <v>0.50814814814814813</v>
      </c>
    </row>
    <row r="1413" spans="1:17" ht="51">
      <c r="A1413" s="239" t="s">
        <v>3713</v>
      </c>
      <c r="B1413" s="240">
        <v>2967</v>
      </c>
      <c r="C1413" s="241">
        <v>8348</v>
      </c>
      <c r="D1413" s="239" t="s">
        <v>2511</v>
      </c>
      <c r="E1413" s="239" t="s">
        <v>791</v>
      </c>
      <c r="F1413" s="239" t="s">
        <v>792</v>
      </c>
      <c r="G1413" s="239" t="s">
        <v>933</v>
      </c>
      <c r="H1413" s="239" t="s">
        <v>42</v>
      </c>
      <c r="I1413" s="239" t="s">
        <v>2512</v>
      </c>
      <c r="J1413" s="234">
        <v>41120</v>
      </c>
      <c r="K1413" s="234">
        <v>15020</v>
      </c>
      <c r="L1413" s="242">
        <v>14</v>
      </c>
      <c r="M1413" s="308">
        <v>26100</v>
      </c>
      <c r="N1413" s="234">
        <v>22446</v>
      </c>
      <c r="O1413" s="234" t="s">
        <v>3724</v>
      </c>
      <c r="P1413" s="236">
        <v>45967</v>
      </c>
      <c r="Q1413" s="244">
        <v>0.41094907407407405</v>
      </c>
    </row>
    <row r="1414" spans="1:17" ht="51">
      <c r="A1414" s="239" t="s">
        <v>3714</v>
      </c>
      <c r="B1414" s="240">
        <v>2969</v>
      </c>
      <c r="C1414" s="241">
        <v>8353</v>
      </c>
      <c r="D1414" s="239" t="s">
        <v>2511</v>
      </c>
      <c r="E1414" s="239" t="s">
        <v>783</v>
      </c>
      <c r="F1414" s="239" t="s">
        <v>784</v>
      </c>
      <c r="G1414" s="239" t="s">
        <v>933</v>
      </c>
      <c r="H1414" s="239" t="s">
        <v>42</v>
      </c>
      <c r="I1414" s="239" t="s">
        <v>2512</v>
      </c>
      <c r="J1414" s="234">
        <v>40590</v>
      </c>
      <c r="K1414" s="234">
        <v>14790</v>
      </c>
      <c r="L1414" s="242">
        <v>13</v>
      </c>
      <c r="M1414" s="308">
        <v>25800</v>
      </c>
      <c r="N1414" s="234">
        <v>22446</v>
      </c>
      <c r="O1414" s="234" t="s">
        <v>3725</v>
      </c>
      <c r="P1414" s="236">
        <v>45967</v>
      </c>
      <c r="Q1414" s="244">
        <v>0.48474537037037035</v>
      </c>
    </row>
    <row r="1415" spans="1:17" ht="51">
      <c r="A1415" s="239" t="s">
        <v>3715</v>
      </c>
      <c r="B1415" s="240">
        <v>2970</v>
      </c>
      <c r="C1415" s="241">
        <v>8354</v>
      </c>
      <c r="D1415" s="239" t="s">
        <v>2511</v>
      </c>
      <c r="E1415" s="239" t="s">
        <v>786</v>
      </c>
      <c r="F1415" s="239" t="s">
        <v>787</v>
      </c>
      <c r="G1415" s="239" t="s">
        <v>933</v>
      </c>
      <c r="H1415" s="239" t="s">
        <v>42</v>
      </c>
      <c r="I1415" s="239" t="s">
        <v>2512</v>
      </c>
      <c r="J1415" s="234">
        <v>37050</v>
      </c>
      <c r="K1415" s="234">
        <v>14120</v>
      </c>
      <c r="L1415" s="242">
        <v>27</v>
      </c>
      <c r="M1415" s="308">
        <v>22930</v>
      </c>
      <c r="N1415" s="234">
        <v>16738.900000000001</v>
      </c>
      <c r="O1415" s="234" t="s">
        <v>3726</v>
      </c>
      <c r="P1415" s="236">
        <v>45967</v>
      </c>
      <c r="Q1415" s="244">
        <v>0.56694444444444447</v>
      </c>
    </row>
    <row r="1416" spans="1:17" ht="51">
      <c r="A1416" s="239" t="s">
        <v>3716</v>
      </c>
      <c r="B1416" s="240">
        <v>2959</v>
      </c>
      <c r="C1416" s="241">
        <v>8339</v>
      </c>
      <c r="D1416" s="239" t="s">
        <v>2511</v>
      </c>
      <c r="E1416" s="239" t="s">
        <v>453</v>
      </c>
      <c r="F1416" s="239" t="s">
        <v>454</v>
      </c>
      <c r="G1416" s="239" t="s">
        <v>933</v>
      </c>
      <c r="H1416" s="239" t="s">
        <v>42</v>
      </c>
      <c r="I1416" s="239" t="s">
        <v>2512</v>
      </c>
      <c r="J1416" s="234">
        <v>66540</v>
      </c>
      <c r="K1416" s="234">
        <v>24550</v>
      </c>
      <c r="L1416" s="242">
        <v>20</v>
      </c>
      <c r="M1416" s="308">
        <v>41990</v>
      </c>
      <c r="N1416" s="234">
        <v>33592</v>
      </c>
      <c r="O1416" s="234" t="s">
        <v>3727</v>
      </c>
      <c r="P1416" s="236">
        <v>45967</v>
      </c>
      <c r="Q1416" s="244">
        <v>0.62466435185185187</v>
      </c>
    </row>
    <row r="1417" spans="1:17" ht="51">
      <c r="A1417" s="239" t="s">
        <v>3717</v>
      </c>
      <c r="B1417" s="240">
        <v>2960</v>
      </c>
      <c r="C1417" s="241">
        <v>8342</v>
      </c>
      <c r="D1417" s="239" t="s">
        <v>2511</v>
      </c>
      <c r="E1417" s="239" t="s">
        <v>794</v>
      </c>
      <c r="F1417" s="239" t="s">
        <v>795</v>
      </c>
      <c r="G1417" s="239" t="s">
        <v>933</v>
      </c>
      <c r="H1417" s="239" t="s">
        <v>42</v>
      </c>
      <c r="I1417" s="239" t="s">
        <v>2512</v>
      </c>
      <c r="J1417" s="234">
        <v>43090</v>
      </c>
      <c r="K1417" s="234">
        <v>16200</v>
      </c>
      <c r="L1417" s="242">
        <v>8</v>
      </c>
      <c r="M1417" s="308">
        <v>26890</v>
      </c>
      <c r="N1417" s="234">
        <v>24738.799999999999</v>
      </c>
      <c r="O1417" s="234" t="s">
        <v>3728</v>
      </c>
      <c r="P1417" s="236">
        <v>45967</v>
      </c>
      <c r="Q1417" s="244">
        <v>0.69047453703703698</v>
      </c>
    </row>
    <row r="1418" spans="1:17" ht="51">
      <c r="A1418" s="239" t="s">
        <v>3718</v>
      </c>
      <c r="B1418" s="240">
        <v>2971</v>
      </c>
      <c r="C1418" s="241">
        <v>8010</v>
      </c>
      <c r="D1418" s="239" t="s">
        <v>2511</v>
      </c>
      <c r="E1418" s="239" t="s">
        <v>841</v>
      </c>
      <c r="F1418" s="239" t="s">
        <v>845</v>
      </c>
      <c r="G1418" s="239" t="s">
        <v>933</v>
      </c>
      <c r="H1418" s="239" t="s">
        <v>42</v>
      </c>
      <c r="I1418" s="239" t="s">
        <v>2512</v>
      </c>
      <c r="J1418" s="234">
        <v>43960</v>
      </c>
      <c r="K1418" s="234">
        <v>16200</v>
      </c>
      <c r="L1418" s="242">
        <v>13</v>
      </c>
      <c r="M1418" s="308">
        <v>27760</v>
      </c>
      <c r="N1418" s="234">
        <v>24151.200000000001</v>
      </c>
      <c r="O1418" s="234" t="s">
        <v>3729</v>
      </c>
      <c r="P1418" s="236">
        <v>45967</v>
      </c>
      <c r="Q1418" s="244">
        <v>0.6906944444444445</v>
      </c>
    </row>
    <row r="1419" spans="1:17" ht="51">
      <c r="A1419" s="239" t="s">
        <v>3719</v>
      </c>
      <c r="B1419" s="240">
        <v>2972</v>
      </c>
      <c r="C1419" s="241">
        <v>8355</v>
      </c>
      <c r="D1419" s="239" t="s">
        <v>2511</v>
      </c>
      <c r="E1419" s="239" t="s">
        <v>447</v>
      </c>
      <c r="F1419" s="239" t="s">
        <v>448</v>
      </c>
      <c r="G1419" s="239" t="s">
        <v>933</v>
      </c>
      <c r="H1419" s="239" t="s">
        <v>42</v>
      </c>
      <c r="I1419" s="239" t="s">
        <v>2512</v>
      </c>
      <c r="J1419" s="234">
        <v>52590</v>
      </c>
      <c r="K1419" s="234">
        <v>19380</v>
      </c>
      <c r="L1419" s="242">
        <v>8</v>
      </c>
      <c r="M1419" s="308">
        <v>33210</v>
      </c>
      <c r="N1419" s="234">
        <v>30553.200000000001</v>
      </c>
      <c r="O1419" s="234" t="s">
        <v>3730</v>
      </c>
      <c r="P1419" s="236">
        <v>45967</v>
      </c>
      <c r="Q1419" s="244">
        <v>0.73275462962962967</v>
      </c>
    </row>
    <row r="1420" spans="1:17" ht="51">
      <c r="A1420" s="239" t="s">
        <v>3720</v>
      </c>
      <c r="B1420" s="240">
        <v>2961</v>
      </c>
      <c r="C1420" s="241">
        <v>8340</v>
      </c>
      <c r="D1420" s="239" t="s">
        <v>2511</v>
      </c>
      <c r="E1420" s="239" t="s">
        <v>416</v>
      </c>
      <c r="F1420" s="239" t="s">
        <v>417</v>
      </c>
      <c r="G1420" s="239" t="s">
        <v>933</v>
      </c>
      <c r="H1420" s="239" t="s">
        <v>42</v>
      </c>
      <c r="I1420" s="239" t="s">
        <v>2512</v>
      </c>
      <c r="J1420" s="234">
        <v>40410</v>
      </c>
      <c r="K1420" s="234">
        <v>14810</v>
      </c>
      <c r="L1420" s="242">
        <v>27</v>
      </c>
      <c r="M1420" s="308">
        <v>25600</v>
      </c>
      <c r="N1420" s="234">
        <v>18688</v>
      </c>
      <c r="O1420" s="234" t="s">
        <v>3731</v>
      </c>
      <c r="P1420" s="236">
        <v>45967</v>
      </c>
      <c r="Q1420" s="244">
        <v>0.77857638888888892</v>
      </c>
    </row>
    <row r="1421" spans="1:17" ht="51">
      <c r="A1421" s="239" t="s">
        <v>3721</v>
      </c>
      <c r="B1421" s="240">
        <v>2962</v>
      </c>
      <c r="C1421" s="241">
        <v>8341</v>
      </c>
      <c r="D1421" s="239" t="s">
        <v>2511</v>
      </c>
      <c r="E1421" s="239" t="s">
        <v>420</v>
      </c>
      <c r="F1421" s="239" t="s">
        <v>421</v>
      </c>
      <c r="G1421" s="239" t="s">
        <v>933</v>
      </c>
      <c r="H1421" s="239" t="s">
        <v>42</v>
      </c>
      <c r="I1421" s="239" t="s">
        <v>2512</v>
      </c>
      <c r="J1421" s="234">
        <v>38670</v>
      </c>
      <c r="K1421" s="234">
        <v>14980</v>
      </c>
      <c r="L1421" s="242">
        <v>27</v>
      </c>
      <c r="M1421" s="308">
        <v>23690</v>
      </c>
      <c r="N1421" s="234">
        <v>17293.7</v>
      </c>
      <c r="O1421" s="234" t="s">
        <v>3732</v>
      </c>
      <c r="P1421" s="236">
        <v>45967</v>
      </c>
      <c r="Q1421" s="244">
        <v>0.87307870370370366</v>
      </c>
    </row>
    <row r="1422" spans="1:17" ht="51">
      <c r="A1422" s="239" t="s">
        <v>3722</v>
      </c>
      <c r="B1422" s="240">
        <v>2963</v>
      </c>
      <c r="C1422" s="241">
        <v>8344</v>
      </c>
      <c r="D1422" s="239" t="s">
        <v>2511</v>
      </c>
      <c r="E1422" s="239" t="s">
        <v>866</v>
      </c>
      <c r="F1422" s="239" t="s">
        <v>867</v>
      </c>
      <c r="G1422" s="239" t="s">
        <v>933</v>
      </c>
      <c r="H1422" s="239" t="s">
        <v>42</v>
      </c>
      <c r="I1422" s="239" t="s">
        <v>2512</v>
      </c>
      <c r="J1422" s="234">
        <v>39440</v>
      </c>
      <c r="K1422" s="234">
        <v>14550</v>
      </c>
      <c r="L1422" s="242">
        <v>30</v>
      </c>
      <c r="M1422" s="308">
        <v>24890</v>
      </c>
      <c r="N1422" s="234">
        <v>17423</v>
      </c>
      <c r="O1422" s="234" t="s">
        <v>3733</v>
      </c>
      <c r="P1422" s="236">
        <v>45967</v>
      </c>
      <c r="Q1422" s="244">
        <v>0.93565972222222227</v>
      </c>
    </row>
    <row r="1423" spans="1:17" ht="51">
      <c r="A1423" s="239" t="s">
        <v>3723</v>
      </c>
      <c r="B1423" s="240">
        <v>2964</v>
      </c>
      <c r="C1423" s="241">
        <v>8345</v>
      </c>
      <c r="D1423" s="239" t="s">
        <v>2511</v>
      </c>
      <c r="E1423" s="239" t="s">
        <v>369</v>
      </c>
      <c r="F1423" s="239" t="s">
        <v>370</v>
      </c>
      <c r="G1423" s="239" t="s">
        <v>933</v>
      </c>
      <c r="H1423" s="239" t="s">
        <v>42</v>
      </c>
      <c r="I1423" s="239" t="s">
        <v>2512</v>
      </c>
      <c r="J1423" s="234">
        <v>39310</v>
      </c>
      <c r="K1423" s="234">
        <v>15230</v>
      </c>
      <c r="L1423" s="242">
        <v>14</v>
      </c>
      <c r="M1423" s="308">
        <v>24080</v>
      </c>
      <c r="N1423" s="234">
        <v>20708.8</v>
      </c>
      <c r="O1423" s="234" t="s">
        <v>3734</v>
      </c>
      <c r="P1423" s="236">
        <v>45967</v>
      </c>
      <c r="Q1423" s="244">
        <v>0.98287037037037039</v>
      </c>
    </row>
    <row r="1424" spans="1:17" ht="51">
      <c r="A1424" s="239" t="s">
        <v>3739</v>
      </c>
      <c r="B1424" s="240">
        <v>2973</v>
      </c>
      <c r="C1424" s="241">
        <v>8387</v>
      </c>
      <c r="D1424" s="239" t="s">
        <v>2511</v>
      </c>
      <c r="E1424" s="239" t="s">
        <v>1397</v>
      </c>
      <c r="F1424" s="239" t="s">
        <v>1398</v>
      </c>
      <c r="G1424" s="239" t="s">
        <v>933</v>
      </c>
      <c r="H1424" s="239" t="s">
        <v>42</v>
      </c>
      <c r="I1424" s="239" t="s">
        <v>2512</v>
      </c>
      <c r="J1424" s="234">
        <v>45520</v>
      </c>
      <c r="K1424" s="234">
        <v>17120</v>
      </c>
      <c r="L1424" s="242">
        <v>5</v>
      </c>
      <c r="M1424" s="308">
        <v>28400</v>
      </c>
      <c r="N1424" s="234">
        <v>26980</v>
      </c>
      <c r="O1424" s="234" t="s">
        <v>3740</v>
      </c>
      <c r="P1424" s="236">
        <v>45967</v>
      </c>
      <c r="Q1424" s="244">
        <v>0.73537037037037034</v>
      </c>
    </row>
    <row r="1425" spans="1:17" ht="38.25">
      <c r="A1425" s="239" t="s">
        <v>3741</v>
      </c>
      <c r="B1425" s="240">
        <v>2984</v>
      </c>
      <c r="C1425" s="241">
        <v>328</v>
      </c>
      <c r="D1425" s="239" t="s">
        <v>2881</v>
      </c>
      <c r="E1425" s="239" t="s">
        <v>2053</v>
      </c>
      <c r="F1425" s="239" t="s">
        <v>2054</v>
      </c>
      <c r="G1425" s="239" t="s">
        <v>956</v>
      </c>
      <c r="H1425" s="239" t="s">
        <v>51</v>
      </c>
      <c r="I1425" s="239" t="s">
        <v>2882</v>
      </c>
      <c r="J1425" s="234">
        <v>28290</v>
      </c>
      <c r="K1425" s="234">
        <v>14290</v>
      </c>
      <c r="L1425" s="242">
        <v>25</v>
      </c>
      <c r="M1425" s="308">
        <v>14000</v>
      </c>
      <c r="N1425" s="234">
        <v>10500</v>
      </c>
      <c r="O1425" s="234" t="s">
        <v>3766</v>
      </c>
      <c r="P1425" s="236">
        <v>45969</v>
      </c>
      <c r="Q1425" s="244">
        <v>0.75118055555555552</v>
      </c>
    </row>
    <row r="1426" spans="1:17" ht="38.25">
      <c r="A1426" s="239" t="s">
        <v>3742</v>
      </c>
      <c r="B1426" s="240">
        <v>2986</v>
      </c>
      <c r="C1426" s="241">
        <v>320</v>
      </c>
      <c r="D1426" s="239" t="s">
        <v>2881</v>
      </c>
      <c r="E1426" s="239" t="s">
        <v>442</v>
      </c>
      <c r="F1426" s="239" t="s">
        <v>443</v>
      </c>
      <c r="G1426" s="239" t="s">
        <v>956</v>
      </c>
      <c r="H1426" s="239" t="s">
        <v>51</v>
      </c>
      <c r="I1426" s="239" t="s">
        <v>2882</v>
      </c>
      <c r="J1426" s="234">
        <v>34810</v>
      </c>
      <c r="K1426" s="234">
        <v>14650</v>
      </c>
      <c r="L1426" s="242">
        <v>24</v>
      </c>
      <c r="M1426" s="308">
        <v>20160</v>
      </c>
      <c r="N1426" s="234">
        <v>15321.6</v>
      </c>
      <c r="O1426" s="234" t="s">
        <v>3767</v>
      </c>
      <c r="P1426" s="236">
        <v>45969</v>
      </c>
      <c r="Q1426" s="244">
        <v>0.91820601851851846</v>
      </c>
    </row>
    <row r="1427" spans="1:17" ht="38.25">
      <c r="A1427" s="239" t="s">
        <v>3743</v>
      </c>
      <c r="B1427" s="240">
        <v>2987</v>
      </c>
      <c r="C1427" s="241">
        <v>321</v>
      </c>
      <c r="D1427" s="239" t="s">
        <v>2881</v>
      </c>
      <c r="E1427" s="239" t="s">
        <v>780</v>
      </c>
      <c r="F1427" s="239" t="s">
        <v>781</v>
      </c>
      <c r="G1427" s="239" t="s">
        <v>956</v>
      </c>
      <c r="H1427" s="239" t="s">
        <v>51</v>
      </c>
      <c r="I1427" s="239" t="s">
        <v>2882</v>
      </c>
      <c r="J1427" s="234">
        <v>35670</v>
      </c>
      <c r="K1427" s="234">
        <v>15010</v>
      </c>
      <c r="L1427" s="242">
        <v>29</v>
      </c>
      <c r="M1427" s="308">
        <v>20660</v>
      </c>
      <c r="N1427" s="234">
        <v>14668.6</v>
      </c>
      <c r="O1427" s="234" t="s">
        <v>3768</v>
      </c>
      <c r="P1427" s="236">
        <v>45969</v>
      </c>
      <c r="Q1427" s="244">
        <v>0.94393518518518515</v>
      </c>
    </row>
    <row r="1428" spans="1:17" ht="38.25">
      <c r="A1428" s="239" t="s">
        <v>3744</v>
      </c>
      <c r="B1428" s="240">
        <v>2989</v>
      </c>
      <c r="C1428" s="241">
        <v>322</v>
      </c>
      <c r="D1428" s="239" t="s">
        <v>2881</v>
      </c>
      <c r="E1428" s="239" t="s">
        <v>384</v>
      </c>
      <c r="F1428" s="239" t="s">
        <v>385</v>
      </c>
      <c r="G1428" s="239" t="s">
        <v>956</v>
      </c>
      <c r="H1428" s="239" t="s">
        <v>51</v>
      </c>
      <c r="I1428" s="239" t="s">
        <v>2882</v>
      </c>
      <c r="J1428" s="234">
        <v>35450</v>
      </c>
      <c r="K1428" s="234">
        <v>13920</v>
      </c>
      <c r="L1428" s="242">
        <v>29</v>
      </c>
      <c r="M1428" s="308">
        <v>21530</v>
      </c>
      <c r="N1428" s="234">
        <v>15286.3</v>
      </c>
      <c r="O1428" s="234" t="s">
        <v>3769</v>
      </c>
      <c r="P1428" s="236">
        <v>45969</v>
      </c>
      <c r="Q1428" s="244">
        <v>0.82571759259259259</v>
      </c>
    </row>
    <row r="1429" spans="1:17" ht="38.25">
      <c r="A1429" s="239" t="s">
        <v>3745</v>
      </c>
      <c r="B1429" s="240">
        <v>2990</v>
      </c>
      <c r="C1429" s="241">
        <v>323</v>
      </c>
      <c r="D1429" s="239" t="s">
        <v>2881</v>
      </c>
      <c r="E1429" s="239" t="s">
        <v>372</v>
      </c>
      <c r="F1429" s="239" t="s">
        <v>373</v>
      </c>
      <c r="G1429" s="239" t="s">
        <v>956</v>
      </c>
      <c r="H1429" s="239" t="s">
        <v>51</v>
      </c>
      <c r="I1429" s="239" t="s">
        <v>2882</v>
      </c>
      <c r="J1429" s="234">
        <v>38240</v>
      </c>
      <c r="K1429" s="234">
        <v>15010</v>
      </c>
      <c r="L1429" s="242">
        <v>25</v>
      </c>
      <c r="M1429" s="308">
        <v>23230</v>
      </c>
      <c r="N1429" s="234">
        <v>17422.5</v>
      </c>
      <c r="O1429" s="234" t="s">
        <v>3770</v>
      </c>
      <c r="P1429" s="236">
        <v>45969</v>
      </c>
      <c r="Q1429" s="244">
        <v>0.8575694444444445</v>
      </c>
    </row>
    <row r="1430" spans="1:17" ht="38.25">
      <c r="A1430" s="239" t="s">
        <v>3746</v>
      </c>
      <c r="B1430" s="240">
        <v>2991</v>
      </c>
      <c r="C1430" s="241">
        <v>324</v>
      </c>
      <c r="D1430" s="239" t="s">
        <v>2881</v>
      </c>
      <c r="E1430" s="239" t="s">
        <v>866</v>
      </c>
      <c r="F1430" s="239" t="s">
        <v>867</v>
      </c>
      <c r="G1430" s="239" t="s">
        <v>956</v>
      </c>
      <c r="H1430" s="239" t="s">
        <v>51</v>
      </c>
      <c r="I1430" s="239" t="s">
        <v>2882</v>
      </c>
      <c r="J1430" s="234">
        <v>37440</v>
      </c>
      <c r="K1430" s="234">
        <v>14610</v>
      </c>
      <c r="L1430" s="242">
        <v>32</v>
      </c>
      <c r="M1430" s="308">
        <v>22830</v>
      </c>
      <c r="N1430" s="234">
        <v>15524.4</v>
      </c>
      <c r="O1430" s="234" t="s">
        <v>3771</v>
      </c>
      <c r="P1430" s="236">
        <v>45969</v>
      </c>
      <c r="Q1430" s="244">
        <v>0.88697916666666665</v>
      </c>
    </row>
    <row r="1431" spans="1:17" ht="38.25">
      <c r="A1431" s="239" t="s">
        <v>3747</v>
      </c>
      <c r="B1431" s="240">
        <v>2992</v>
      </c>
      <c r="C1431" s="241">
        <v>325</v>
      </c>
      <c r="D1431" s="239" t="s">
        <v>2881</v>
      </c>
      <c r="E1431" s="239" t="s">
        <v>369</v>
      </c>
      <c r="F1431" s="239" t="s">
        <v>370</v>
      </c>
      <c r="G1431" s="239" t="s">
        <v>956</v>
      </c>
      <c r="H1431" s="239" t="s">
        <v>51</v>
      </c>
      <c r="I1431" s="239" t="s">
        <v>2882</v>
      </c>
      <c r="J1431" s="234">
        <v>37700</v>
      </c>
      <c r="K1431" s="234">
        <v>15250</v>
      </c>
      <c r="L1431" s="242">
        <v>35</v>
      </c>
      <c r="M1431" s="308">
        <v>22450</v>
      </c>
      <c r="N1431" s="234">
        <v>14592.5</v>
      </c>
      <c r="O1431" s="234" t="s">
        <v>3772</v>
      </c>
      <c r="P1431" s="236">
        <v>45969</v>
      </c>
      <c r="Q1431" s="244">
        <v>0.92767361111111113</v>
      </c>
    </row>
    <row r="1432" spans="1:17" ht="38.25">
      <c r="A1432" s="239" t="s">
        <v>3748</v>
      </c>
      <c r="B1432" s="240">
        <v>2993</v>
      </c>
      <c r="C1432" s="241">
        <v>326</v>
      </c>
      <c r="D1432" s="239" t="s">
        <v>2881</v>
      </c>
      <c r="E1432" s="239" t="s">
        <v>380</v>
      </c>
      <c r="F1432" s="239" t="s">
        <v>381</v>
      </c>
      <c r="G1432" s="239" t="s">
        <v>956</v>
      </c>
      <c r="H1432" s="239" t="s">
        <v>51</v>
      </c>
      <c r="I1432" s="239" t="s">
        <v>2882</v>
      </c>
      <c r="J1432" s="234">
        <v>38530</v>
      </c>
      <c r="K1432" s="234">
        <v>15180</v>
      </c>
      <c r="L1432" s="242">
        <v>23</v>
      </c>
      <c r="M1432" s="308">
        <v>23350</v>
      </c>
      <c r="N1432" s="234">
        <v>17979.5</v>
      </c>
      <c r="O1432" s="234" t="s">
        <v>3773</v>
      </c>
      <c r="P1432" s="236">
        <v>45969</v>
      </c>
      <c r="Q1432" s="244">
        <v>0.97393518518518518</v>
      </c>
    </row>
    <row r="1433" spans="1:17" ht="38.25">
      <c r="A1433" s="239" t="s">
        <v>3749</v>
      </c>
      <c r="B1433" s="240">
        <v>2994</v>
      </c>
      <c r="C1433" s="241">
        <v>327</v>
      </c>
      <c r="D1433" s="239" t="s">
        <v>2881</v>
      </c>
      <c r="E1433" s="239" t="s">
        <v>400</v>
      </c>
      <c r="F1433" s="239" t="s">
        <v>401</v>
      </c>
      <c r="G1433" s="239" t="s">
        <v>956</v>
      </c>
      <c r="H1433" s="239" t="s">
        <v>51</v>
      </c>
      <c r="I1433" s="239" t="s">
        <v>2882</v>
      </c>
      <c r="J1433" s="234">
        <v>38760</v>
      </c>
      <c r="K1433" s="234">
        <v>15000</v>
      </c>
      <c r="L1433" s="242">
        <v>38</v>
      </c>
      <c r="M1433" s="308">
        <v>23760</v>
      </c>
      <c r="N1433" s="234">
        <v>14731.2</v>
      </c>
      <c r="O1433" s="234" t="s">
        <v>3774</v>
      </c>
      <c r="P1433" s="236">
        <v>45970</v>
      </c>
      <c r="Q1433" s="244">
        <v>0.32611111111111113</v>
      </c>
    </row>
    <row r="1434" spans="1:17" ht="38.25">
      <c r="A1434" s="239" t="s">
        <v>3750</v>
      </c>
      <c r="B1434" s="240">
        <v>2995</v>
      </c>
      <c r="C1434" s="241">
        <v>329</v>
      </c>
      <c r="D1434" s="239" t="s">
        <v>2881</v>
      </c>
      <c r="E1434" s="239" t="s">
        <v>858</v>
      </c>
      <c r="F1434" s="239" t="s">
        <v>859</v>
      </c>
      <c r="G1434" s="239" t="s">
        <v>956</v>
      </c>
      <c r="H1434" s="239" t="s">
        <v>51</v>
      </c>
      <c r="I1434" s="239" t="s">
        <v>2882</v>
      </c>
      <c r="J1434" s="234">
        <v>40920</v>
      </c>
      <c r="K1434" s="234">
        <v>14930</v>
      </c>
      <c r="L1434" s="242">
        <v>24</v>
      </c>
      <c r="M1434" s="308">
        <v>25990</v>
      </c>
      <c r="N1434" s="234">
        <v>19752.400000000001</v>
      </c>
      <c r="O1434" s="234" t="s">
        <v>3775</v>
      </c>
      <c r="P1434" s="236">
        <v>45970</v>
      </c>
      <c r="Q1434" s="244">
        <v>0.3447337962962963</v>
      </c>
    </row>
    <row r="1435" spans="1:17" ht="38.25">
      <c r="A1435" s="239" t="s">
        <v>3751</v>
      </c>
      <c r="B1435" s="240">
        <v>2996</v>
      </c>
      <c r="C1435" s="241">
        <v>330</v>
      </c>
      <c r="D1435" s="239" t="s">
        <v>2881</v>
      </c>
      <c r="E1435" s="239" t="s">
        <v>374</v>
      </c>
      <c r="F1435" s="239" t="s">
        <v>375</v>
      </c>
      <c r="G1435" s="239" t="s">
        <v>956</v>
      </c>
      <c r="H1435" s="239" t="s">
        <v>51</v>
      </c>
      <c r="I1435" s="239" t="s">
        <v>2882</v>
      </c>
      <c r="J1435" s="234">
        <v>39980</v>
      </c>
      <c r="K1435" s="234">
        <v>15730</v>
      </c>
      <c r="L1435" s="242">
        <v>23</v>
      </c>
      <c r="M1435" s="308">
        <v>24250</v>
      </c>
      <c r="N1435" s="234">
        <v>18672.5</v>
      </c>
      <c r="O1435" s="234" t="s">
        <v>3776</v>
      </c>
      <c r="P1435" s="236">
        <v>45970</v>
      </c>
      <c r="Q1435" s="244">
        <v>0.40836805555555555</v>
      </c>
    </row>
    <row r="1436" spans="1:17" ht="38.25">
      <c r="A1436" s="239" t="s">
        <v>3752</v>
      </c>
      <c r="B1436" s="240">
        <v>2997</v>
      </c>
      <c r="C1436" s="241">
        <v>332</v>
      </c>
      <c r="D1436" s="239" t="s">
        <v>2881</v>
      </c>
      <c r="E1436" s="239" t="s">
        <v>425</v>
      </c>
      <c r="F1436" s="239" t="s">
        <v>426</v>
      </c>
      <c r="G1436" s="239" t="s">
        <v>956</v>
      </c>
      <c r="H1436" s="239" t="s">
        <v>51</v>
      </c>
      <c r="I1436" s="239" t="s">
        <v>2882</v>
      </c>
      <c r="J1436" s="234">
        <v>49950</v>
      </c>
      <c r="K1436" s="234">
        <v>18900</v>
      </c>
      <c r="L1436" s="242">
        <v>28</v>
      </c>
      <c r="M1436" s="308">
        <v>31050</v>
      </c>
      <c r="N1436" s="234">
        <v>22356</v>
      </c>
      <c r="O1436" s="234" t="s">
        <v>3777</v>
      </c>
      <c r="P1436" s="236">
        <v>45970</v>
      </c>
      <c r="Q1436" s="244">
        <v>0.4591898148148148</v>
      </c>
    </row>
    <row r="1437" spans="1:17" ht="38.25">
      <c r="A1437" s="239" t="s">
        <v>3753</v>
      </c>
      <c r="B1437" s="240">
        <v>2998</v>
      </c>
      <c r="C1437" s="241">
        <v>331</v>
      </c>
      <c r="D1437" s="239" t="s">
        <v>2881</v>
      </c>
      <c r="E1437" s="239" t="s">
        <v>388</v>
      </c>
      <c r="F1437" s="239" t="s">
        <v>389</v>
      </c>
      <c r="G1437" s="239" t="s">
        <v>956</v>
      </c>
      <c r="H1437" s="239" t="s">
        <v>51</v>
      </c>
      <c r="I1437" s="239" t="s">
        <v>2882</v>
      </c>
      <c r="J1437" s="234">
        <v>61810</v>
      </c>
      <c r="K1437" s="234">
        <v>21330</v>
      </c>
      <c r="L1437" s="242">
        <v>23</v>
      </c>
      <c r="M1437" s="308">
        <v>40480</v>
      </c>
      <c r="N1437" s="234">
        <v>31169.599999999999</v>
      </c>
      <c r="O1437" s="234" t="s">
        <v>3778</v>
      </c>
      <c r="P1437" s="236">
        <v>45970</v>
      </c>
      <c r="Q1437" s="244">
        <v>0.51287037037037042</v>
      </c>
    </row>
    <row r="1438" spans="1:17" ht="38.25">
      <c r="A1438" s="239" t="s">
        <v>3754</v>
      </c>
      <c r="B1438" s="240">
        <v>2999</v>
      </c>
      <c r="C1438" s="241">
        <v>333</v>
      </c>
      <c r="D1438" s="239" t="s">
        <v>2881</v>
      </c>
      <c r="E1438" s="239" t="s">
        <v>2793</v>
      </c>
      <c r="F1438" s="239" t="s">
        <v>2794</v>
      </c>
      <c r="G1438" s="239" t="s">
        <v>956</v>
      </c>
      <c r="H1438" s="239" t="s">
        <v>51</v>
      </c>
      <c r="I1438" s="239" t="s">
        <v>2882</v>
      </c>
      <c r="J1438" s="234">
        <v>44980</v>
      </c>
      <c r="K1438" s="234">
        <v>17590</v>
      </c>
      <c r="L1438" s="242">
        <v>37</v>
      </c>
      <c r="M1438" s="308">
        <v>27390</v>
      </c>
      <c r="N1438" s="234">
        <v>17255.7</v>
      </c>
      <c r="O1438" s="234" t="s">
        <v>3779</v>
      </c>
      <c r="P1438" s="236">
        <v>45970</v>
      </c>
      <c r="Q1438" s="244">
        <v>0.57144675925925925</v>
      </c>
    </row>
    <row r="1439" spans="1:17" ht="38.25">
      <c r="A1439" s="239" t="s">
        <v>3755</v>
      </c>
      <c r="B1439" s="240">
        <v>3000</v>
      </c>
      <c r="C1439" s="241">
        <v>334</v>
      </c>
      <c r="D1439" s="239" t="s">
        <v>2881</v>
      </c>
      <c r="E1439" s="239" t="s">
        <v>377</v>
      </c>
      <c r="F1439" s="239" t="s">
        <v>378</v>
      </c>
      <c r="G1439" s="239" t="s">
        <v>956</v>
      </c>
      <c r="H1439" s="239" t="s">
        <v>51</v>
      </c>
      <c r="I1439" s="239" t="s">
        <v>2882</v>
      </c>
      <c r="J1439" s="234">
        <v>40940</v>
      </c>
      <c r="K1439" s="234">
        <v>15200</v>
      </c>
      <c r="L1439" s="242">
        <v>39</v>
      </c>
      <c r="M1439" s="308">
        <v>25740</v>
      </c>
      <c r="N1439" s="234">
        <v>15701.4</v>
      </c>
      <c r="O1439" s="234" t="s">
        <v>3780</v>
      </c>
      <c r="P1439" s="236">
        <v>45970</v>
      </c>
      <c r="Q1439" s="244">
        <v>0.60031250000000003</v>
      </c>
    </row>
    <row r="1440" spans="1:17" ht="38.25">
      <c r="A1440" s="239" t="s">
        <v>3756</v>
      </c>
      <c r="B1440" s="240">
        <v>3001</v>
      </c>
      <c r="C1440" s="241">
        <v>335</v>
      </c>
      <c r="D1440" s="239" t="s">
        <v>2881</v>
      </c>
      <c r="E1440" s="239" t="s">
        <v>403</v>
      </c>
      <c r="F1440" s="239" t="s">
        <v>404</v>
      </c>
      <c r="G1440" s="239" t="s">
        <v>956</v>
      </c>
      <c r="H1440" s="239" t="s">
        <v>51</v>
      </c>
      <c r="I1440" s="239" t="s">
        <v>2882</v>
      </c>
      <c r="J1440" s="234">
        <v>38080</v>
      </c>
      <c r="K1440" s="234">
        <v>14600</v>
      </c>
      <c r="L1440" s="242">
        <v>34</v>
      </c>
      <c r="M1440" s="308">
        <v>23480</v>
      </c>
      <c r="N1440" s="234">
        <v>15496.8</v>
      </c>
      <c r="O1440" s="234" t="s">
        <v>3781</v>
      </c>
      <c r="P1440" s="236">
        <v>45970</v>
      </c>
      <c r="Q1440" s="244">
        <v>0.65023148148148147</v>
      </c>
    </row>
    <row r="1441" spans="1:17" ht="38.25">
      <c r="A1441" s="239" t="s">
        <v>3757</v>
      </c>
      <c r="B1441" s="240">
        <v>3002</v>
      </c>
      <c r="C1441" s="241">
        <v>336</v>
      </c>
      <c r="D1441" s="239" t="s">
        <v>2881</v>
      </c>
      <c r="E1441" s="239" t="s">
        <v>406</v>
      </c>
      <c r="F1441" s="239" t="s">
        <v>407</v>
      </c>
      <c r="G1441" s="239" t="s">
        <v>956</v>
      </c>
      <c r="H1441" s="239" t="s">
        <v>51</v>
      </c>
      <c r="I1441" s="239" t="s">
        <v>2882</v>
      </c>
      <c r="J1441" s="234">
        <v>38030</v>
      </c>
      <c r="K1441" s="234">
        <v>15230</v>
      </c>
      <c r="L1441" s="242">
        <v>27</v>
      </c>
      <c r="M1441" s="308">
        <v>22800</v>
      </c>
      <c r="N1441" s="234">
        <v>16644</v>
      </c>
      <c r="O1441" s="234" t="s">
        <v>3782</v>
      </c>
      <c r="P1441" s="236">
        <v>45970</v>
      </c>
      <c r="Q1441" s="244">
        <v>0.85491898148148149</v>
      </c>
    </row>
    <row r="1442" spans="1:17" ht="38.25">
      <c r="A1442" s="239" t="s">
        <v>3758</v>
      </c>
      <c r="B1442" s="240">
        <v>3003</v>
      </c>
      <c r="C1442" s="241">
        <v>337</v>
      </c>
      <c r="D1442" s="239" t="s">
        <v>2881</v>
      </c>
      <c r="E1442" s="239" t="s">
        <v>392</v>
      </c>
      <c r="F1442" s="239" t="s">
        <v>393</v>
      </c>
      <c r="G1442" s="239" t="s">
        <v>956</v>
      </c>
      <c r="H1442" s="239" t="s">
        <v>51</v>
      </c>
      <c r="I1442" s="239" t="s">
        <v>2882</v>
      </c>
      <c r="J1442" s="234">
        <v>62190</v>
      </c>
      <c r="K1442" s="234">
        <v>24320</v>
      </c>
      <c r="L1442" s="242">
        <v>23</v>
      </c>
      <c r="M1442" s="308">
        <v>37870</v>
      </c>
      <c r="N1442" s="234">
        <v>29159.9</v>
      </c>
      <c r="O1442" s="234" t="s">
        <v>3783</v>
      </c>
      <c r="P1442" s="236">
        <v>45970</v>
      </c>
      <c r="Q1442" s="244">
        <v>0.9191435185185185</v>
      </c>
    </row>
    <row r="1443" spans="1:17" ht="38.25">
      <c r="A1443" s="239" t="s">
        <v>3759</v>
      </c>
      <c r="B1443" s="240">
        <v>3004</v>
      </c>
      <c r="C1443" s="241">
        <v>338</v>
      </c>
      <c r="D1443" s="239" t="s">
        <v>2881</v>
      </c>
      <c r="E1443" s="239" t="s">
        <v>413</v>
      </c>
      <c r="F1443" s="239" t="s">
        <v>414</v>
      </c>
      <c r="G1443" s="239" t="s">
        <v>956</v>
      </c>
      <c r="H1443" s="239" t="s">
        <v>51</v>
      </c>
      <c r="I1443" s="239" t="s">
        <v>2882</v>
      </c>
      <c r="J1443" s="234">
        <v>41780</v>
      </c>
      <c r="K1443" s="234">
        <v>15240</v>
      </c>
      <c r="L1443" s="242">
        <v>18</v>
      </c>
      <c r="M1443" s="308">
        <v>26540</v>
      </c>
      <c r="N1443" s="234">
        <v>21762.799999999999</v>
      </c>
      <c r="O1443" s="234" t="s">
        <v>3784</v>
      </c>
      <c r="P1443" s="236">
        <v>45970</v>
      </c>
      <c r="Q1443" s="244">
        <v>0.98460648148148144</v>
      </c>
    </row>
    <row r="1444" spans="1:17" ht="38.25">
      <c r="A1444" s="239" t="s">
        <v>3760</v>
      </c>
      <c r="B1444" s="240">
        <v>3005</v>
      </c>
      <c r="C1444" s="241">
        <v>339</v>
      </c>
      <c r="D1444" s="239" t="s">
        <v>2881</v>
      </c>
      <c r="E1444" s="239" t="s">
        <v>432</v>
      </c>
      <c r="F1444" s="239" t="s">
        <v>433</v>
      </c>
      <c r="G1444" s="239" t="s">
        <v>956</v>
      </c>
      <c r="H1444" s="239" t="s">
        <v>51</v>
      </c>
      <c r="I1444" s="239" t="s">
        <v>2882</v>
      </c>
      <c r="J1444" s="234">
        <v>43500</v>
      </c>
      <c r="K1444" s="234">
        <v>15920</v>
      </c>
      <c r="L1444" s="242">
        <v>23</v>
      </c>
      <c r="M1444" s="308">
        <v>27580</v>
      </c>
      <c r="N1444" s="234">
        <v>21236.6</v>
      </c>
      <c r="O1444" s="234" t="s">
        <v>3785</v>
      </c>
      <c r="P1444" s="236">
        <v>45970</v>
      </c>
      <c r="Q1444" s="244">
        <v>0.99195601851851856</v>
      </c>
    </row>
    <row r="1445" spans="1:17" ht="38.25">
      <c r="A1445" s="239" t="s">
        <v>3761</v>
      </c>
      <c r="B1445" s="240">
        <v>3006</v>
      </c>
      <c r="C1445" s="241">
        <v>340</v>
      </c>
      <c r="D1445" s="239" t="s">
        <v>2881</v>
      </c>
      <c r="E1445" s="239" t="s">
        <v>429</v>
      </c>
      <c r="F1445" s="239" t="s">
        <v>430</v>
      </c>
      <c r="G1445" s="239" t="s">
        <v>956</v>
      </c>
      <c r="H1445" s="239" t="s">
        <v>51</v>
      </c>
      <c r="I1445" s="239" t="s">
        <v>2882</v>
      </c>
      <c r="J1445" s="234">
        <v>41930</v>
      </c>
      <c r="K1445" s="234">
        <v>14610</v>
      </c>
      <c r="L1445" s="242">
        <v>19</v>
      </c>
      <c r="M1445" s="308">
        <v>27320</v>
      </c>
      <c r="N1445" s="234">
        <v>22129.200000000001</v>
      </c>
      <c r="O1445" s="234" t="s">
        <v>3786</v>
      </c>
      <c r="P1445" s="236">
        <v>45970</v>
      </c>
      <c r="Q1445" s="244">
        <v>0.54697916666666668</v>
      </c>
    </row>
    <row r="1446" spans="1:17" ht="38.25">
      <c r="A1446" s="239" t="s">
        <v>3762</v>
      </c>
      <c r="B1446" s="240">
        <v>3008</v>
      </c>
      <c r="C1446" s="241">
        <v>341</v>
      </c>
      <c r="D1446" s="239" t="s">
        <v>2881</v>
      </c>
      <c r="E1446" s="239" t="s">
        <v>1410</v>
      </c>
      <c r="F1446" s="239" t="s">
        <v>437</v>
      </c>
      <c r="G1446" s="239" t="s">
        <v>956</v>
      </c>
      <c r="H1446" s="239" t="s">
        <v>51</v>
      </c>
      <c r="I1446" s="239" t="s">
        <v>2882</v>
      </c>
      <c r="J1446" s="234">
        <v>40410</v>
      </c>
      <c r="K1446" s="234">
        <v>15120</v>
      </c>
      <c r="L1446" s="242">
        <v>21</v>
      </c>
      <c r="M1446" s="308">
        <v>25290</v>
      </c>
      <c r="N1446" s="234">
        <v>19979.099999999999</v>
      </c>
      <c r="O1446" s="234" t="s">
        <v>3787</v>
      </c>
      <c r="P1446" s="236">
        <v>45970</v>
      </c>
      <c r="Q1446" s="244">
        <v>0.63010416666666669</v>
      </c>
    </row>
    <row r="1447" spans="1:17" ht="38.25">
      <c r="A1447" s="239" t="s">
        <v>3763</v>
      </c>
      <c r="B1447" s="240">
        <v>3009</v>
      </c>
      <c r="C1447" s="241">
        <v>342</v>
      </c>
      <c r="D1447" s="239" t="s">
        <v>2881</v>
      </c>
      <c r="E1447" s="239" t="s">
        <v>439</v>
      </c>
      <c r="F1447" s="239" t="s">
        <v>440</v>
      </c>
      <c r="G1447" s="239" t="s">
        <v>956</v>
      </c>
      <c r="H1447" s="239" t="s">
        <v>51</v>
      </c>
      <c r="I1447" s="239" t="s">
        <v>2882</v>
      </c>
      <c r="J1447" s="234">
        <v>44030</v>
      </c>
      <c r="K1447" s="234">
        <v>15320</v>
      </c>
      <c r="L1447" s="242">
        <v>26</v>
      </c>
      <c r="M1447" s="308">
        <v>28710</v>
      </c>
      <c r="N1447" s="234">
        <v>21245.4</v>
      </c>
      <c r="O1447" s="234" t="s">
        <v>3788</v>
      </c>
      <c r="P1447" s="236">
        <v>45970</v>
      </c>
      <c r="Q1447" s="244">
        <v>0.63755787037037037</v>
      </c>
    </row>
    <row r="1448" spans="1:17" ht="38.25">
      <c r="A1448" s="239" t="s">
        <v>3764</v>
      </c>
      <c r="B1448" s="240">
        <v>3010</v>
      </c>
      <c r="C1448" s="241">
        <v>343</v>
      </c>
      <c r="D1448" s="239" t="s">
        <v>2881</v>
      </c>
      <c r="E1448" s="239" t="s">
        <v>447</v>
      </c>
      <c r="F1448" s="239" t="s">
        <v>448</v>
      </c>
      <c r="G1448" s="239" t="s">
        <v>956</v>
      </c>
      <c r="H1448" s="239" t="s">
        <v>51</v>
      </c>
      <c r="I1448" s="239" t="s">
        <v>2882</v>
      </c>
      <c r="J1448" s="234">
        <v>52560</v>
      </c>
      <c r="K1448" s="234">
        <v>19660</v>
      </c>
      <c r="L1448" s="242">
        <v>40</v>
      </c>
      <c r="M1448" s="308">
        <v>32900</v>
      </c>
      <c r="N1448" s="234">
        <v>19740</v>
      </c>
      <c r="O1448" s="234" t="s">
        <v>3789</v>
      </c>
      <c r="P1448" s="236">
        <v>45970</v>
      </c>
      <c r="Q1448" s="244">
        <v>0.6578356481481481</v>
      </c>
    </row>
    <row r="1449" spans="1:17" ht="38.25">
      <c r="A1449" s="239" t="s">
        <v>3765</v>
      </c>
      <c r="B1449" s="240">
        <v>3011</v>
      </c>
      <c r="C1449" s="241">
        <v>344</v>
      </c>
      <c r="D1449" s="239" t="s">
        <v>2881</v>
      </c>
      <c r="E1449" s="239" t="s">
        <v>453</v>
      </c>
      <c r="F1449" s="239" t="s">
        <v>454</v>
      </c>
      <c r="G1449" s="239" t="s">
        <v>956</v>
      </c>
      <c r="H1449" s="239" t="s">
        <v>51</v>
      </c>
      <c r="I1449" s="239" t="s">
        <v>2882</v>
      </c>
      <c r="J1449" s="234">
        <v>65320</v>
      </c>
      <c r="K1449" s="234">
        <v>24720</v>
      </c>
      <c r="L1449" s="242">
        <v>17</v>
      </c>
      <c r="M1449" s="308">
        <v>40600</v>
      </c>
      <c r="N1449" s="234">
        <v>33698</v>
      </c>
      <c r="O1449" s="234" t="s">
        <v>3790</v>
      </c>
      <c r="P1449" s="236">
        <v>45970</v>
      </c>
      <c r="Q1449" s="244">
        <v>0.77371527777777782</v>
      </c>
    </row>
    <row r="1450" spans="1:17" ht="51">
      <c r="A1450" s="239" t="s">
        <v>3791</v>
      </c>
      <c r="B1450" s="240">
        <v>2932</v>
      </c>
      <c r="C1450" s="241">
        <v>8336</v>
      </c>
      <c r="D1450" s="239" t="s">
        <v>2511</v>
      </c>
      <c r="E1450" s="239" t="s">
        <v>456</v>
      </c>
      <c r="F1450" s="239" t="s">
        <v>457</v>
      </c>
      <c r="G1450" s="239" t="s">
        <v>933</v>
      </c>
      <c r="H1450" s="239" t="s">
        <v>42</v>
      </c>
      <c r="I1450" s="239" t="s">
        <v>2512</v>
      </c>
      <c r="J1450" s="234">
        <v>49130</v>
      </c>
      <c r="K1450" s="234">
        <v>15960</v>
      </c>
      <c r="L1450" s="242">
        <v>19</v>
      </c>
      <c r="M1450" s="308">
        <v>28149.7</v>
      </c>
      <c r="N1450" s="234">
        <v>22801.3</v>
      </c>
      <c r="O1450" s="234" t="s">
        <v>3792</v>
      </c>
      <c r="P1450" s="236">
        <v>45966</v>
      </c>
      <c r="Q1450" s="244">
        <v>0.2119212962962963</v>
      </c>
    </row>
    <row r="1451" spans="1:17" ht="38.25">
      <c r="A1451" s="239" t="s">
        <v>3793</v>
      </c>
      <c r="B1451" s="240">
        <v>3012</v>
      </c>
      <c r="C1451" s="241">
        <v>345</v>
      </c>
      <c r="D1451" s="239" t="s">
        <v>2881</v>
      </c>
      <c r="E1451" s="239" t="s">
        <v>456</v>
      </c>
      <c r="F1451" s="239" t="s">
        <v>457</v>
      </c>
      <c r="G1451" s="239" t="s">
        <v>956</v>
      </c>
      <c r="H1451" s="239" t="s">
        <v>51</v>
      </c>
      <c r="I1451" s="239" t="s">
        <v>2882</v>
      </c>
      <c r="J1451" s="234">
        <v>46980</v>
      </c>
      <c r="K1451" s="234">
        <v>16090</v>
      </c>
      <c r="L1451" s="242">
        <v>26</v>
      </c>
      <c r="M1451" s="308">
        <v>30890</v>
      </c>
      <c r="N1451" s="234">
        <v>22858.6</v>
      </c>
      <c r="O1451" s="234" t="s">
        <v>3797</v>
      </c>
      <c r="P1451" s="236">
        <v>45970</v>
      </c>
      <c r="Q1451" s="244">
        <v>0.78516203703703702</v>
      </c>
    </row>
    <row r="1452" spans="1:17" ht="38.25">
      <c r="A1452" s="239" t="s">
        <v>3794</v>
      </c>
      <c r="B1452" s="240">
        <v>3013</v>
      </c>
      <c r="C1452" s="241">
        <v>348</v>
      </c>
      <c r="D1452" s="239" t="s">
        <v>2881</v>
      </c>
      <c r="E1452" s="239" t="s">
        <v>384</v>
      </c>
      <c r="F1452" s="239" t="s">
        <v>385</v>
      </c>
      <c r="G1452" s="239" t="s">
        <v>956</v>
      </c>
      <c r="H1452" s="239" t="s">
        <v>51</v>
      </c>
      <c r="I1452" s="239" t="s">
        <v>2882</v>
      </c>
      <c r="J1452" s="234">
        <v>35360</v>
      </c>
      <c r="K1452" s="234">
        <v>13940</v>
      </c>
      <c r="L1452" s="242">
        <v>33</v>
      </c>
      <c r="M1452" s="308">
        <v>21420</v>
      </c>
      <c r="N1452" s="234">
        <v>14351.4</v>
      </c>
      <c r="O1452" s="234" t="s">
        <v>3798</v>
      </c>
      <c r="P1452" s="236">
        <v>45970</v>
      </c>
      <c r="Q1452" s="244">
        <v>0.79756944444444444</v>
      </c>
    </row>
    <row r="1453" spans="1:17" ht="38.25">
      <c r="A1453" s="239" t="s">
        <v>3795</v>
      </c>
      <c r="B1453" s="240">
        <v>3014</v>
      </c>
      <c r="C1453" s="241">
        <v>347</v>
      </c>
      <c r="D1453" s="239" t="s">
        <v>2881</v>
      </c>
      <c r="E1453" s="239" t="s">
        <v>420</v>
      </c>
      <c r="F1453" s="239" t="s">
        <v>421</v>
      </c>
      <c r="G1453" s="239" t="s">
        <v>956</v>
      </c>
      <c r="H1453" s="239" t="s">
        <v>51</v>
      </c>
      <c r="I1453" s="239" t="s">
        <v>2882</v>
      </c>
      <c r="J1453" s="234">
        <v>37640</v>
      </c>
      <c r="K1453" s="234">
        <v>15090</v>
      </c>
      <c r="L1453" s="242">
        <v>47</v>
      </c>
      <c r="M1453" s="308">
        <v>22550</v>
      </c>
      <c r="N1453" s="234">
        <v>11951.5</v>
      </c>
      <c r="O1453" s="234" t="s">
        <v>3799</v>
      </c>
      <c r="P1453" s="236">
        <v>45970</v>
      </c>
      <c r="Q1453" s="244">
        <v>0.80179398148148151</v>
      </c>
    </row>
    <row r="1454" spans="1:17" ht="38.25">
      <c r="A1454" s="239" t="s">
        <v>3796</v>
      </c>
      <c r="B1454" s="240">
        <v>3015</v>
      </c>
      <c r="C1454" s="241">
        <v>346</v>
      </c>
      <c r="D1454" s="239" t="s">
        <v>2881</v>
      </c>
      <c r="E1454" s="239" t="s">
        <v>416</v>
      </c>
      <c r="F1454" s="239" t="s">
        <v>417</v>
      </c>
      <c r="G1454" s="239" t="s">
        <v>956</v>
      </c>
      <c r="H1454" s="239" t="s">
        <v>51</v>
      </c>
      <c r="I1454" s="239" t="s">
        <v>2882</v>
      </c>
      <c r="J1454" s="234">
        <v>37810</v>
      </c>
      <c r="K1454" s="234">
        <v>14970</v>
      </c>
      <c r="L1454" s="242">
        <v>36</v>
      </c>
      <c r="M1454" s="308">
        <v>22840</v>
      </c>
      <c r="N1454" s="234">
        <v>14617.6</v>
      </c>
      <c r="O1454" s="234" t="s">
        <v>3800</v>
      </c>
      <c r="P1454" s="236">
        <v>45970</v>
      </c>
      <c r="Q1454" s="244">
        <v>0.80394675925925929</v>
      </c>
    </row>
    <row r="1455" spans="1:17" ht="38.25">
      <c r="A1455" s="239" t="s">
        <v>3801</v>
      </c>
      <c r="B1455" s="240">
        <v>3016</v>
      </c>
      <c r="C1455" s="241">
        <v>349</v>
      </c>
      <c r="D1455" s="239" t="s">
        <v>2881</v>
      </c>
      <c r="E1455" s="239" t="s">
        <v>780</v>
      </c>
      <c r="F1455" s="239" t="s">
        <v>781</v>
      </c>
      <c r="G1455" s="239" t="s">
        <v>956</v>
      </c>
      <c r="H1455" s="239" t="s">
        <v>51</v>
      </c>
      <c r="I1455" s="239" t="s">
        <v>2882</v>
      </c>
      <c r="J1455" s="234">
        <v>36200</v>
      </c>
      <c r="K1455" s="234">
        <v>14980</v>
      </c>
      <c r="L1455" s="242">
        <v>39</v>
      </c>
      <c r="M1455" s="308">
        <v>21220</v>
      </c>
      <c r="N1455" s="234">
        <v>12944.2</v>
      </c>
      <c r="O1455" s="234" t="s">
        <v>3806</v>
      </c>
      <c r="P1455" s="236">
        <v>45970</v>
      </c>
      <c r="Q1455" s="244">
        <v>0.85865740740740737</v>
      </c>
    </row>
    <row r="1456" spans="1:17" ht="38.25">
      <c r="A1456" s="239" t="s">
        <v>3802</v>
      </c>
      <c r="B1456" s="240">
        <v>3017</v>
      </c>
      <c r="C1456" s="241">
        <v>350</v>
      </c>
      <c r="D1456" s="239" t="s">
        <v>2881</v>
      </c>
      <c r="E1456" s="239" t="s">
        <v>442</v>
      </c>
      <c r="F1456" s="239" t="s">
        <v>443</v>
      </c>
      <c r="G1456" s="239" t="s">
        <v>956</v>
      </c>
      <c r="H1456" s="239" t="s">
        <v>51</v>
      </c>
      <c r="I1456" s="239" t="s">
        <v>2882</v>
      </c>
      <c r="J1456" s="234">
        <v>34090</v>
      </c>
      <c r="K1456" s="234">
        <v>14640</v>
      </c>
      <c r="L1456" s="242">
        <v>43</v>
      </c>
      <c r="M1456" s="308">
        <v>19450</v>
      </c>
      <c r="N1456" s="234">
        <v>11086.5</v>
      </c>
      <c r="O1456" s="234" t="s">
        <v>3807</v>
      </c>
      <c r="P1456" s="236">
        <v>45970</v>
      </c>
      <c r="Q1456" s="244">
        <v>0.86199074074074078</v>
      </c>
    </row>
    <row r="1457" spans="1:17" ht="38.25">
      <c r="A1457" s="239" t="s">
        <v>3803</v>
      </c>
      <c r="B1457" s="240">
        <v>3018</v>
      </c>
      <c r="C1457" s="241">
        <v>351</v>
      </c>
      <c r="D1457" s="239" t="s">
        <v>2881</v>
      </c>
      <c r="E1457" s="239" t="s">
        <v>425</v>
      </c>
      <c r="F1457" s="239" t="s">
        <v>426</v>
      </c>
      <c r="G1457" s="239" t="s">
        <v>956</v>
      </c>
      <c r="H1457" s="239" t="s">
        <v>51</v>
      </c>
      <c r="I1457" s="239" t="s">
        <v>2882</v>
      </c>
      <c r="J1457" s="234">
        <v>50930</v>
      </c>
      <c r="K1457" s="234">
        <v>18800</v>
      </c>
      <c r="L1457" s="242">
        <v>27</v>
      </c>
      <c r="M1457" s="308">
        <v>32130</v>
      </c>
      <c r="N1457" s="234">
        <v>23454.9</v>
      </c>
      <c r="O1457" s="234" t="s">
        <v>3808</v>
      </c>
      <c r="P1457" s="236">
        <v>45970</v>
      </c>
      <c r="Q1457" s="244">
        <v>0.93436342592592592</v>
      </c>
    </row>
    <row r="1458" spans="1:17" ht="38.25">
      <c r="A1458" s="239" t="s">
        <v>3804</v>
      </c>
      <c r="B1458" s="240">
        <v>3019</v>
      </c>
      <c r="C1458" s="241">
        <v>353</v>
      </c>
      <c r="D1458" s="239" t="s">
        <v>2881</v>
      </c>
      <c r="E1458" s="239" t="s">
        <v>372</v>
      </c>
      <c r="F1458" s="239" t="s">
        <v>373</v>
      </c>
      <c r="G1458" s="239" t="s">
        <v>956</v>
      </c>
      <c r="H1458" s="239" t="s">
        <v>51</v>
      </c>
      <c r="I1458" s="239" t="s">
        <v>2882</v>
      </c>
      <c r="J1458" s="234">
        <v>26840</v>
      </c>
      <c r="K1458" s="234">
        <v>14980</v>
      </c>
      <c r="L1458" s="242">
        <v>37</v>
      </c>
      <c r="M1458" s="308">
        <v>11860</v>
      </c>
      <c r="N1458" s="234">
        <v>7471.8</v>
      </c>
      <c r="O1458" s="234" t="s">
        <v>3809</v>
      </c>
      <c r="P1458" s="236">
        <v>45970</v>
      </c>
      <c r="Q1458" s="244">
        <v>0.95696759259259256</v>
      </c>
    </row>
    <row r="1459" spans="1:17" ht="38.25">
      <c r="A1459" s="239" t="s">
        <v>3805</v>
      </c>
      <c r="B1459" s="240">
        <v>3020</v>
      </c>
      <c r="C1459" s="241">
        <v>352</v>
      </c>
      <c r="D1459" s="239" t="s">
        <v>2881</v>
      </c>
      <c r="E1459" s="239" t="s">
        <v>388</v>
      </c>
      <c r="F1459" s="239" t="s">
        <v>389</v>
      </c>
      <c r="G1459" s="239" t="s">
        <v>956</v>
      </c>
      <c r="H1459" s="239" t="s">
        <v>51</v>
      </c>
      <c r="I1459" s="239" t="s">
        <v>2882</v>
      </c>
      <c r="J1459" s="234">
        <v>45980</v>
      </c>
      <c r="K1459" s="234">
        <v>21380</v>
      </c>
      <c r="L1459" s="242">
        <v>35</v>
      </c>
      <c r="M1459" s="308">
        <v>24600</v>
      </c>
      <c r="N1459" s="234">
        <v>15990</v>
      </c>
      <c r="O1459" s="234" t="s">
        <v>3810</v>
      </c>
      <c r="P1459" s="236">
        <v>45970</v>
      </c>
      <c r="Q1459" s="244">
        <v>0.96318287037037043</v>
      </c>
    </row>
    <row r="1460" spans="1:17" ht="38.25">
      <c r="A1460" s="239" t="s">
        <v>3813</v>
      </c>
      <c r="B1460" s="240">
        <v>2932</v>
      </c>
      <c r="C1460" s="241">
        <v>8336</v>
      </c>
      <c r="D1460" s="239" t="s">
        <v>2881</v>
      </c>
      <c r="E1460" s="239" t="s">
        <v>456</v>
      </c>
      <c r="F1460" s="239" t="s">
        <v>457</v>
      </c>
      <c r="G1460" s="239" t="s">
        <v>957</v>
      </c>
      <c r="H1460" s="239" t="s">
        <v>42</v>
      </c>
      <c r="I1460" s="239" t="s">
        <v>2882</v>
      </c>
      <c r="J1460" s="234">
        <v>49130</v>
      </c>
      <c r="K1460" s="234">
        <v>15960</v>
      </c>
      <c r="L1460" s="242">
        <v>19</v>
      </c>
      <c r="M1460" s="308">
        <v>5020.3</v>
      </c>
      <c r="N1460" s="234">
        <v>4066.4</v>
      </c>
      <c r="O1460" s="234" t="s">
        <v>3814</v>
      </c>
      <c r="P1460" s="236" t="s">
        <v>3815</v>
      </c>
      <c r="Q1460" s="244">
        <v>0.2119212962962963</v>
      </c>
    </row>
    <row r="1461" spans="1:17" ht="12.75">
      <c r="A1461" s="239"/>
      <c r="B1461" s="240"/>
      <c r="C1461" s="241"/>
      <c r="D1461" s="239"/>
      <c r="E1461" s="239"/>
      <c r="F1461" s="239"/>
      <c r="G1461" s="239"/>
      <c r="H1461" s="239"/>
      <c r="I1461" s="239"/>
      <c r="J1461" s="234"/>
      <c r="K1461" s="234"/>
      <c r="L1461" s="242"/>
      <c r="N1461" s="234"/>
      <c r="O1461" s="234"/>
      <c r="P1461" s="236"/>
      <c r="Q1461" s="244"/>
    </row>
    <row r="1462" spans="1:17" ht="12.75">
      <c r="A1462" s="239"/>
      <c r="B1462" s="240"/>
      <c r="C1462" s="241"/>
      <c r="D1462" s="239"/>
      <c r="E1462" s="239"/>
      <c r="F1462" s="239"/>
      <c r="G1462" s="239"/>
      <c r="H1462" s="239"/>
      <c r="I1462" s="239"/>
      <c r="J1462" s="234"/>
      <c r="K1462" s="234"/>
      <c r="L1462" s="242"/>
      <c r="N1462" s="234"/>
      <c r="O1462" s="234"/>
      <c r="P1462" s="236"/>
      <c r="Q1462" s="244"/>
    </row>
    <row r="1463" spans="1:17" ht="12.75">
      <c r="A1463" s="239"/>
      <c r="B1463" s="240"/>
      <c r="C1463" s="241"/>
      <c r="D1463" s="239"/>
      <c r="E1463" s="239"/>
      <c r="F1463" s="239"/>
      <c r="G1463" s="239"/>
      <c r="H1463" s="239"/>
      <c r="I1463" s="239"/>
      <c r="J1463" s="234"/>
      <c r="K1463" s="234"/>
      <c r="L1463" s="242"/>
      <c r="N1463" s="234"/>
      <c r="O1463" s="234"/>
      <c r="P1463" s="236"/>
      <c r="Q1463" s="244"/>
    </row>
    <row r="1464" spans="1:17" ht="12.75">
      <c r="A1464" s="239"/>
      <c r="B1464" s="240"/>
      <c r="C1464" s="241"/>
      <c r="D1464" s="239"/>
      <c r="E1464" s="239"/>
      <c r="F1464" s="239"/>
      <c r="G1464" s="239"/>
      <c r="H1464" s="239"/>
      <c r="I1464" s="239"/>
      <c r="J1464" s="234"/>
      <c r="K1464" s="234"/>
      <c r="L1464" s="242"/>
      <c r="N1464" s="234"/>
      <c r="O1464" s="234"/>
      <c r="P1464" s="236"/>
      <c r="Q1464" s="244"/>
    </row>
    <row r="1465" spans="1:17" ht="12.75">
      <c r="A1465" s="239"/>
      <c r="B1465" s="240"/>
      <c r="C1465" s="241"/>
      <c r="D1465" s="239"/>
      <c r="E1465" s="239"/>
      <c r="F1465" s="239"/>
      <c r="G1465" s="239"/>
      <c r="H1465" s="239"/>
      <c r="I1465" s="239"/>
      <c r="J1465" s="234"/>
      <c r="K1465" s="234"/>
      <c r="L1465" s="242"/>
      <c r="N1465" s="234"/>
      <c r="O1465" s="234"/>
      <c r="P1465" s="236"/>
      <c r="Q1465" s="244"/>
    </row>
    <row r="1466" spans="1:17" ht="12.75">
      <c r="A1466" s="310"/>
      <c r="B1466" s="311"/>
      <c r="C1466" s="312"/>
      <c r="D1466" s="310"/>
      <c r="E1466" s="310"/>
      <c r="F1466" s="310"/>
      <c r="G1466" s="310"/>
      <c r="H1466" s="310"/>
      <c r="I1466" s="310"/>
      <c r="J1466" s="308"/>
      <c r="K1466" s="308"/>
      <c r="L1466" s="313"/>
      <c r="M1466" s="308">
        <f>SUBTOTAL(109,Таблица2[Вес нетто])</f>
        <v>36342180</v>
      </c>
      <c r="N1466" s="308"/>
      <c r="O1466" s="234"/>
      <c r="P1466" s="236"/>
      <c r="Q1466" s="244"/>
    </row>
  </sheetData>
  <phoneticPr fontId="30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75875-A569-4572-8C13-32617B85BD01}">
  <dimension ref="A1:P1461"/>
  <sheetViews>
    <sheetView showGridLines="0" zoomScale="90" zoomScaleNormal="90" workbookViewId="0">
      <pane ySplit="1" topLeftCell="A1455" activePane="bottomLeft" state="frozen"/>
      <selection pane="bottomLeft" activeCell="E1464" sqref="E1464"/>
    </sheetView>
  </sheetViews>
  <sheetFormatPr defaultRowHeight="15"/>
  <cols>
    <col min="1" max="1" width="23.5703125" customWidth="1"/>
    <col min="2" max="2" width="17.7109375" customWidth="1"/>
    <col min="4" max="4" width="18.28515625" customWidth="1"/>
    <col min="5" max="5" width="19.28515625" customWidth="1"/>
    <col min="6" max="6" width="13.140625" customWidth="1"/>
    <col min="9" max="9" width="18.42578125" customWidth="1"/>
    <col min="13" max="13" width="14" customWidth="1"/>
    <col min="14" max="14" width="10.42578125" customWidth="1"/>
    <col min="15" max="15" width="12.42578125" customWidth="1"/>
    <col min="16" max="16" width="13.85546875" customWidth="1"/>
  </cols>
  <sheetData>
    <row r="1" spans="1:16" ht="51">
      <c r="A1" s="314" t="s">
        <v>354</v>
      </c>
      <c r="B1" s="314" t="s">
        <v>355</v>
      </c>
      <c r="C1" s="314" t="s">
        <v>356</v>
      </c>
      <c r="D1" s="314" t="s">
        <v>27</v>
      </c>
      <c r="E1" s="314" t="s">
        <v>357</v>
      </c>
      <c r="F1" s="314" t="s">
        <v>358</v>
      </c>
      <c r="G1" s="314" t="s">
        <v>359</v>
      </c>
      <c r="H1" s="314" t="s">
        <v>360</v>
      </c>
      <c r="I1" s="314" t="s">
        <v>361</v>
      </c>
      <c r="J1" s="314" t="s">
        <v>362</v>
      </c>
      <c r="K1" s="314" t="s">
        <v>363</v>
      </c>
      <c r="L1" s="314" t="s">
        <v>364</v>
      </c>
      <c r="M1" s="314" t="s">
        <v>365</v>
      </c>
      <c r="N1" s="314" t="s">
        <v>366</v>
      </c>
      <c r="O1" s="315" t="s">
        <v>3816</v>
      </c>
      <c r="P1" s="316" t="s">
        <v>544</v>
      </c>
    </row>
    <row r="2" spans="1:16" ht="51" customHeight="1">
      <c r="A2" s="239" t="s">
        <v>367</v>
      </c>
      <c r="B2" s="240">
        <v>819</v>
      </c>
      <c r="C2" s="241">
        <v>15</v>
      </c>
      <c r="D2" s="239" t="s">
        <v>368</v>
      </c>
      <c r="E2" s="239" t="s">
        <v>369</v>
      </c>
      <c r="F2" s="239" t="s">
        <v>370</v>
      </c>
      <c r="G2" s="239"/>
      <c r="H2" s="239" t="s">
        <v>46</v>
      </c>
      <c r="I2" s="239" t="s">
        <v>371</v>
      </c>
      <c r="J2" s="234">
        <v>36230</v>
      </c>
      <c r="K2" s="234">
        <v>15040</v>
      </c>
      <c r="L2" s="242">
        <v>5</v>
      </c>
      <c r="M2" s="234">
        <v>21190</v>
      </c>
      <c r="N2" s="234">
        <v>20130.5</v>
      </c>
      <c r="O2" s="243" t="s">
        <v>491</v>
      </c>
      <c r="P2" s="236">
        <v>45873</v>
      </c>
    </row>
    <row r="3" spans="1:16" ht="51" customHeight="1">
      <c r="A3" s="239" t="s">
        <v>1891</v>
      </c>
      <c r="B3" s="240">
        <v>820</v>
      </c>
      <c r="C3" s="241">
        <v>14</v>
      </c>
      <c r="D3" s="239" t="s">
        <v>368</v>
      </c>
      <c r="E3" s="239" t="s">
        <v>372</v>
      </c>
      <c r="F3" s="239" t="s">
        <v>373</v>
      </c>
      <c r="G3" s="239"/>
      <c r="H3" s="239" t="s">
        <v>46</v>
      </c>
      <c r="I3" s="239" t="s">
        <v>371</v>
      </c>
      <c r="J3" s="234">
        <v>37090</v>
      </c>
      <c r="K3" s="234">
        <v>14910</v>
      </c>
      <c r="L3" s="242">
        <v>7</v>
      </c>
      <c r="M3" s="234">
        <v>22180</v>
      </c>
      <c r="N3" s="234">
        <v>20627.400000000001</v>
      </c>
      <c r="O3" s="243" t="s">
        <v>1932</v>
      </c>
      <c r="P3" s="236">
        <v>45873</v>
      </c>
    </row>
    <row r="4" spans="1:16" ht="51" customHeight="1">
      <c r="A4" s="239" t="s">
        <v>1892</v>
      </c>
      <c r="B4" s="240">
        <v>823</v>
      </c>
      <c r="C4" s="241">
        <v>29</v>
      </c>
      <c r="D4" s="239" t="s">
        <v>368</v>
      </c>
      <c r="E4" s="239" t="s">
        <v>369</v>
      </c>
      <c r="F4" s="239" t="s">
        <v>370</v>
      </c>
      <c r="G4" s="239"/>
      <c r="H4" s="239" t="s">
        <v>46</v>
      </c>
      <c r="I4" s="239" t="s">
        <v>371</v>
      </c>
      <c r="J4" s="234">
        <v>37890</v>
      </c>
      <c r="K4" s="234">
        <v>15090</v>
      </c>
      <c r="L4" s="242">
        <v>5</v>
      </c>
      <c r="M4" s="234">
        <v>22800</v>
      </c>
      <c r="N4" s="234">
        <v>21660</v>
      </c>
      <c r="O4" s="243" t="s">
        <v>1933</v>
      </c>
      <c r="P4" s="236">
        <v>45875</v>
      </c>
    </row>
    <row r="5" spans="1:16" ht="51" customHeight="1">
      <c r="A5" s="239" t="s">
        <v>1893</v>
      </c>
      <c r="B5" s="240">
        <v>824</v>
      </c>
      <c r="C5" s="241">
        <v>30</v>
      </c>
      <c r="D5" s="239" t="s">
        <v>368</v>
      </c>
      <c r="E5" s="239" t="s">
        <v>374</v>
      </c>
      <c r="F5" s="239" t="s">
        <v>375</v>
      </c>
      <c r="G5" s="239"/>
      <c r="H5" s="239" t="s">
        <v>46</v>
      </c>
      <c r="I5" s="239" t="s">
        <v>371</v>
      </c>
      <c r="J5" s="234">
        <v>37200</v>
      </c>
      <c r="K5" s="234">
        <v>15430</v>
      </c>
      <c r="L5" s="242">
        <v>6</v>
      </c>
      <c r="M5" s="234">
        <v>21770</v>
      </c>
      <c r="N5" s="234">
        <v>20463.8</v>
      </c>
      <c r="O5" s="243" t="s">
        <v>1934</v>
      </c>
      <c r="P5" s="236">
        <v>45875</v>
      </c>
    </row>
    <row r="6" spans="1:16" ht="51" customHeight="1">
      <c r="A6" s="239" t="s">
        <v>1894</v>
      </c>
      <c r="B6" s="240">
        <v>829</v>
      </c>
      <c r="C6" s="241">
        <v>83</v>
      </c>
      <c r="D6" s="239" t="s">
        <v>376</v>
      </c>
      <c r="E6" s="239" t="s">
        <v>377</v>
      </c>
      <c r="F6" s="239" t="s">
        <v>378</v>
      </c>
      <c r="G6" s="239"/>
      <c r="H6" s="239" t="s">
        <v>51</v>
      </c>
      <c r="I6" s="239" t="s">
        <v>379</v>
      </c>
      <c r="J6" s="234">
        <v>41870</v>
      </c>
      <c r="K6" s="234">
        <v>15090</v>
      </c>
      <c r="L6" s="242">
        <v>8</v>
      </c>
      <c r="M6" s="234">
        <v>26780</v>
      </c>
      <c r="N6" s="234">
        <v>24637.599999999999</v>
      </c>
      <c r="O6" s="243" t="s">
        <v>1935</v>
      </c>
      <c r="P6" s="236">
        <v>45875</v>
      </c>
    </row>
    <row r="7" spans="1:16" ht="51" customHeight="1">
      <c r="A7" s="239" t="s">
        <v>1895</v>
      </c>
      <c r="B7" s="240">
        <v>834</v>
      </c>
      <c r="C7" s="241">
        <v>84</v>
      </c>
      <c r="D7" s="239" t="s">
        <v>376</v>
      </c>
      <c r="E7" s="239" t="s">
        <v>380</v>
      </c>
      <c r="F7" s="239" t="s">
        <v>381</v>
      </c>
      <c r="G7" s="239"/>
      <c r="H7" s="239" t="s">
        <v>51</v>
      </c>
      <c r="I7" s="239" t="s">
        <v>379</v>
      </c>
      <c r="J7" s="234">
        <v>37590</v>
      </c>
      <c r="K7" s="234">
        <v>15090</v>
      </c>
      <c r="L7" s="242">
        <v>7</v>
      </c>
      <c r="M7" s="234">
        <v>22500</v>
      </c>
      <c r="N7" s="234">
        <v>20925</v>
      </c>
      <c r="O7" s="243" t="s">
        <v>1936</v>
      </c>
      <c r="P7" s="236">
        <v>45875</v>
      </c>
    </row>
    <row r="8" spans="1:16" ht="51" customHeight="1">
      <c r="A8" s="239" t="s">
        <v>1896</v>
      </c>
      <c r="B8" s="240">
        <v>836</v>
      </c>
      <c r="C8" s="241">
        <v>85</v>
      </c>
      <c r="D8" s="239" t="s">
        <v>376</v>
      </c>
      <c r="E8" s="239" t="s">
        <v>372</v>
      </c>
      <c r="F8" s="239" t="s">
        <v>373</v>
      </c>
      <c r="G8" s="239"/>
      <c r="H8" s="239" t="s">
        <v>51</v>
      </c>
      <c r="I8" s="239" t="s">
        <v>379</v>
      </c>
      <c r="J8" s="234">
        <v>38810</v>
      </c>
      <c r="K8" s="234">
        <v>14990</v>
      </c>
      <c r="L8" s="242">
        <v>5</v>
      </c>
      <c r="M8" s="234">
        <v>23820</v>
      </c>
      <c r="N8" s="234">
        <v>22629</v>
      </c>
      <c r="O8" s="243" t="s">
        <v>1937</v>
      </c>
      <c r="P8" s="236">
        <v>45875</v>
      </c>
    </row>
    <row r="9" spans="1:16" ht="51" customHeight="1">
      <c r="A9" s="239" t="s">
        <v>1897</v>
      </c>
      <c r="B9" s="240">
        <v>837</v>
      </c>
      <c r="C9" s="241">
        <v>86</v>
      </c>
      <c r="D9" s="239" t="s">
        <v>376</v>
      </c>
      <c r="E9" s="239" t="s">
        <v>382</v>
      </c>
      <c r="F9" s="239" t="s">
        <v>383</v>
      </c>
      <c r="G9" s="239"/>
      <c r="H9" s="239" t="s">
        <v>51</v>
      </c>
      <c r="I9" s="239" t="s">
        <v>379</v>
      </c>
      <c r="J9" s="234">
        <v>37320</v>
      </c>
      <c r="K9" s="234">
        <v>14630</v>
      </c>
      <c r="L9" s="242">
        <v>6</v>
      </c>
      <c r="M9" s="234">
        <v>22690</v>
      </c>
      <c r="N9" s="234">
        <v>21328.6</v>
      </c>
      <c r="O9" s="243" t="s">
        <v>1938</v>
      </c>
      <c r="P9" s="236">
        <v>45875</v>
      </c>
    </row>
    <row r="10" spans="1:16" ht="51" customHeight="1">
      <c r="A10" s="239" t="s">
        <v>1898</v>
      </c>
      <c r="B10" s="240">
        <v>838</v>
      </c>
      <c r="C10" s="241">
        <v>39</v>
      </c>
      <c r="D10" s="239" t="s">
        <v>368</v>
      </c>
      <c r="E10" s="239" t="s">
        <v>384</v>
      </c>
      <c r="F10" s="239" t="s">
        <v>385</v>
      </c>
      <c r="G10" s="239"/>
      <c r="H10" s="239" t="s">
        <v>46</v>
      </c>
      <c r="I10" s="239" t="s">
        <v>371</v>
      </c>
      <c r="J10" s="234">
        <v>37560</v>
      </c>
      <c r="K10" s="234">
        <v>13900</v>
      </c>
      <c r="L10" s="242">
        <v>7</v>
      </c>
      <c r="M10" s="234">
        <v>23660</v>
      </c>
      <c r="N10" s="234">
        <v>22003.8</v>
      </c>
      <c r="O10" s="243" t="s">
        <v>1939</v>
      </c>
      <c r="P10" s="236">
        <v>45876</v>
      </c>
    </row>
    <row r="11" spans="1:16" ht="51" customHeight="1">
      <c r="A11" s="239" t="s">
        <v>1899</v>
      </c>
      <c r="B11" s="240">
        <v>839</v>
      </c>
      <c r="C11" s="241">
        <v>41</v>
      </c>
      <c r="D11" s="239" t="s">
        <v>368</v>
      </c>
      <c r="E11" s="239" t="s">
        <v>386</v>
      </c>
      <c r="F11" s="239" t="s">
        <v>387</v>
      </c>
      <c r="G11" s="239"/>
      <c r="H11" s="239" t="s">
        <v>46</v>
      </c>
      <c r="I11" s="239" t="s">
        <v>371</v>
      </c>
      <c r="J11" s="234">
        <v>41540</v>
      </c>
      <c r="K11" s="234">
        <v>15320</v>
      </c>
      <c r="L11" s="242">
        <v>7</v>
      </c>
      <c r="M11" s="234">
        <v>26220</v>
      </c>
      <c r="N11" s="234">
        <v>24384.6</v>
      </c>
      <c r="O11" s="243" t="s">
        <v>1940</v>
      </c>
      <c r="P11" s="236">
        <v>45876</v>
      </c>
    </row>
    <row r="12" spans="1:16" ht="51" customHeight="1">
      <c r="A12" s="239" t="s">
        <v>1901</v>
      </c>
      <c r="B12" s="240">
        <v>848</v>
      </c>
      <c r="C12" s="241">
        <v>90</v>
      </c>
      <c r="D12" s="239" t="s">
        <v>376</v>
      </c>
      <c r="E12" s="239" t="s">
        <v>390</v>
      </c>
      <c r="F12" s="239" t="s">
        <v>391</v>
      </c>
      <c r="G12" s="239"/>
      <c r="H12" s="239" t="s">
        <v>51</v>
      </c>
      <c r="I12" s="239" t="s">
        <v>379</v>
      </c>
      <c r="J12" s="234">
        <v>39360</v>
      </c>
      <c r="K12" s="234">
        <v>14980</v>
      </c>
      <c r="L12" s="242">
        <v>10</v>
      </c>
      <c r="M12" s="234">
        <v>24380</v>
      </c>
      <c r="N12" s="234">
        <v>21942</v>
      </c>
      <c r="O12" s="243" t="s">
        <v>1942</v>
      </c>
      <c r="P12" s="236">
        <v>45876</v>
      </c>
    </row>
    <row r="13" spans="1:16" ht="51" customHeight="1">
      <c r="A13" s="239" t="s">
        <v>1902</v>
      </c>
      <c r="B13" s="240">
        <v>849</v>
      </c>
      <c r="C13" s="241">
        <v>88</v>
      </c>
      <c r="D13" s="239" t="s">
        <v>376</v>
      </c>
      <c r="E13" s="239" t="s">
        <v>392</v>
      </c>
      <c r="F13" s="239" t="s">
        <v>393</v>
      </c>
      <c r="G13" s="239"/>
      <c r="H13" s="239" t="s">
        <v>51</v>
      </c>
      <c r="I13" s="239" t="s">
        <v>379</v>
      </c>
      <c r="J13" s="234">
        <v>66280</v>
      </c>
      <c r="K13" s="234">
        <v>24090</v>
      </c>
      <c r="L13" s="242">
        <v>14</v>
      </c>
      <c r="M13" s="234">
        <v>42190</v>
      </c>
      <c r="N13" s="234">
        <v>36283.4</v>
      </c>
      <c r="O13" s="243" t="s">
        <v>1943</v>
      </c>
      <c r="P13" s="236">
        <v>45876</v>
      </c>
    </row>
    <row r="14" spans="1:16" ht="51" customHeight="1">
      <c r="A14" s="239" t="s">
        <v>1903</v>
      </c>
      <c r="B14" s="240">
        <v>850</v>
      </c>
      <c r="C14" s="241">
        <v>91</v>
      </c>
      <c r="D14" s="239" t="s">
        <v>376</v>
      </c>
      <c r="E14" s="239" t="s">
        <v>377</v>
      </c>
      <c r="F14" s="239" t="s">
        <v>378</v>
      </c>
      <c r="G14" s="239"/>
      <c r="H14" s="239" t="s">
        <v>51</v>
      </c>
      <c r="I14" s="239" t="s">
        <v>379</v>
      </c>
      <c r="J14" s="234">
        <v>42400</v>
      </c>
      <c r="K14" s="234">
        <v>15110</v>
      </c>
      <c r="L14" s="242">
        <v>11</v>
      </c>
      <c r="M14" s="234">
        <v>27290</v>
      </c>
      <c r="N14" s="234">
        <v>24288.1</v>
      </c>
      <c r="O14" s="243" t="s">
        <v>1944</v>
      </c>
      <c r="P14" s="236">
        <v>45876</v>
      </c>
    </row>
    <row r="15" spans="1:16" ht="51" customHeight="1">
      <c r="A15" s="239" t="s">
        <v>1905</v>
      </c>
      <c r="B15" s="240">
        <v>853</v>
      </c>
      <c r="C15" s="241">
        <v>92</v>
      </c>
      <c r="D15" s="239" t="s">
        <v>376</v>
      </c>
      <c r="E15" s="239" t="s">
        <v>380</v>
      </c>
      <c r="F15" s="239" t="s">
        <v>381</v>
      </c>
      <c r="G15" s="239"/>
      <c r="H15" s="239" t="s">
        <v>394</v>
      </c>
      <c r="I15" s="239" t="s">
        <v>379</v>
      </c>
      <c r="J15" s="234">
        <v>38360</v>
      </c>
      <c r="K15" s="234">
        <v>15080</v>
      </c>
      <c r="L15" s="242">
        <v>6</v>
      </c>
      <c r="M15" s="234">
        <v>23280</v>
      </c>
      <c r="N15" s="234">
        <v>21883.200000000001</v>
      </c>
      <c r="O15" s="243" t="s">
        <v>1946</v>
      </c>
      <c r="P15" s="236">
        <v>45876</v>
      </c>
    </row>
    <row r="16" spans="1:16" ht="51" customHeight="1">
      <c r="A16" s="239" t="s">
        <v>1907</v>
      </c>
      <c r="B16" s="240">
        <v>855</v>
      </c>
      <c r="C16" s="241">
        <v>93</v>
      </c>
      <c r="D16" s="239" t="s">
        <v>376</v>
      </c>
      <c r="E16" s="239" t="s">
        <v>372</v>
      </c>
      <c r="F16" s="239" t="s">
        <v>373</v>
      </c>
      <c r="G16" s="239"/>
      <c r="H16" s="239" t="s">
        <v>394</v>
      </c>
      <c r="I16" s="239" t="s">
        <v>379</v>
      </c>
      <c r="J16" s="234">
        <v>39290</v>
      </c>
      <c r="K16" s="234">
        <v>15120</v>
      </c>
      <c r="L16" s="242">
        <v>8</v>
      </c>
      <c r="M16" s="234">
        <v>24170</v>
      </c>
      <c r="N16" s="234">
        <v>22236.400000000001</v>
      </c>
      <c r="O16" s="243" t="s">
        <v>1948</v>
      </c>
      <c r="P16" s="236">
        <v>45876</v>
      </c>
    </row>
    <row r="17" spans="1:16" ht="51" customHeight="1">
      <c r="A17" s="239" t="s">
        <v>1904</v>
      </c>
      <c r="B17" s="240">
        <v>851</v>
      </c>
      <c r="C17" s="241">
        <v>45</v>
      </c>
      <c r="D17" s="239" t="s">
        <v>368</v>
      </c>
      <c r="E17" s="239" t="s">
        <v>369</v>
      </c>
      <c r="F17" s="239" t="s">
        <v>370</v>
      </c>
      <c r="G17" s="239"/>
      <c r="H17" s="239" t="s">
        <v>46</v>
      </c>
      <c r="I17" s="239" t="s">
        <v>371</v>
      </c>
      <c r="J17" s="234">
        <v>38060</v>
      </c>
      <c r="K17" s="234">
        <v>15070</v>
      </c>
      <c r="L17" s="242">
        <v>5</v>
      </c>
      <c r="M17" s="234">
        <v>22990</v>
      </c>
      <c r="N17" s="234">
        <v>21840.5</v>
      </c>
      <c r="O17" s="243" t="s">
        <v>1945</v>
      </c>
      <c r="P17" s="236">
        <v>45876</v>
      </c>
    </row>
    <row r="18" spans="1:16" ht="51" customHeight="1">
      <c r="A18" s="239" t="s">
        <v>1900</v>
      </c>
      <c r="B18" s="240">
        <v>847</v>
      </c>
      <c r="C18" s="241">
        <v>89</v>
      </c>
      <c r="D18" s="239" t="s">
        <v>376</v>
      </c>
      <c r="E18" s="239" t="s">
        <v>388</v>
      </c>
      <c r="F18" s="239" t="s">
        <v>389</v>
      </c>
      <c r="G18" s="239"/>
      <c r="H18" s="239" t="s">
        <v>51</v>
      </c>
      <c r="I18" s="239" t="s">
        <v>379</v>
      </c>
      <c r="J18" s="234">
        <v>56030</v>
      </c>
      <c r="K18" s="234">
        <v>20980</v>
      </c>
      <c r="L18" s="242">
        <v>6</v>
      </c>
      <c r="M18" s="234">
        <v>35050</v>
      </c>
      <c r="N18" s="234">
        <v>32947</v>
      </c>
      <c r="O18" s="243" t="s">
        <v>1941</v>
      </c>
      <c r="P18" s="236">
        <v>45876</v>
      </c>
    </row>
    <row r="19" spans="1:16" ht="51" customHeight="1">
      <c r="A19" s="239" t="s">
        <v>1908</v>
      </c>
      <c r="B19" s="240">
        <v>856</v>
      </c>
      <c r="C19" s="241">
        <v>95</v>
      </c>
      <c r="D19" s="239" t="s">
        <v>376</v>
      </c>
      <c r="E19" s="239" t="s">
        <v>395</v>
      </c>
      <c r="F19" s="239" t="s">
        <v>383</v>
      </c>
      <c r="G19" s="239"/>
      <c r="H19" s="239" t="s">
        <v>394</v>
      </c>
      <c r="I19" s="239" t="s">
        <v>379</v>
      </c>
      <c r="J19" s="234">
        <v>38920</v>
      </c>
      <c r="K19" s="234">
        <v>14650</v>
      </c>
      <c r="L19" s="242">
        <v>7</v>
      </c>
      <c r="M19" s="234">
        <v>24270</v>
      </c>
      <c r="N19" s="234">
        <v>22571.1</v>
      </c>
      <c r="O19" s="243" t="s">
        <v>1949</v>
      </c>
      <c r="P19" s="236">
        <v>45876</v>
      </c>
    </row>
    <row r="20" spans="1:16" ht="51" customHeight="1">
      <c r="A20" s="239" t="s">
        <v>1906</v>
      </c>
      <c r="B20" s="240">
        <v>854</v>
      </c>
      <c r="C20" s="241">
        <v>44</v>
      </c>
      <c r="D20" s="239" t="s">
        <v>368</v>
      </c>
      <c r="E20" s="239" t="s">
        <v>374</v>
      </c>
      <c r="F20" s="239" t="s">
        <v>375</v>
      </c>
      <c r="G20" s="239"/>
      <c r="H20" s="239" t="s">
        <v>46</v>
      </c>
      <c r="I20" s="239" t="s">
        <v>371</v>
      </c>
      <c r="J20" s="234">
        <v>37360</v>
      </c>
      <c r="K20" s="234">
        <v>15460</v>
      </c>
      <c r="L20" s="242">
        <v>12</v>
      </c>
      <c r="M20" s="234">
        <v>21900</v>
      </c>
      <c r="N20" s="234">
        <v>19272</v>
      </c>
      <c r="O20" s="243" t="s">
        <v>1947</v>
      </c>
      <c r="P20" s="236">
        <v>45876</v>
      </c>
    </row>
    <row r="21" spans="1:16" ht="51" customHeight="1">
      <c r="A21" s="239" t="s">
        <v>1909</v>
      </c>
      <c r="B21" s="240">
        <v>861</v>
      </c>
      <c r="C21" s="241">
        <v>9456</v>
      </c>
      <c r="D21" s="239" t="s">
        <v>3817</v>
      </c>
      <c r="E21" s="239" t="s">
        <v>384</v>
      </c>
      <c r="F21" s="239" t="s">
        <v>385</v>
      </c>
      <c r="G21" s="239" t="s">
        <v>397</v>
      </c>
      <c r="H21" s="239" t="s">
        <v>398</v>
      </c>
      <c r="I21" s="239" t="s">
        <v>399</v>
      </c>
      <c r="J21" s="234">
        <v>34410</v>
      </c>
      <c r="K21" s="234">
        <v>13910</v>
      </c>
      <c r="L21" s="242">
        <v>34</v>
      </c>
      <c r="M21" s="234">
        <v>20500</v>
      </c>
      <c r="N21" s="234">
        <v>13530</v>
      </c>
      <c r="O21" s="243" t="s">
        <v>1950</v>
      </c>
      <c r="P21" s="236">
        <v>45878</v>
      </c>
    </row>
    <row r="22" spans="1:16" ht="51" customHeight="1">
      <c r="A22" s="239" t="s">
        <v>1910</v>
      </c>
      <c r="B22" s="240">
        <v>862</v>
      </c>
      <c r="C22" s="241">
        <v>9458</v>
      </c>
      <c r="D22" s="239" t="s">
        <v>3817</v>
      </c>
      <c r="E22" s="239" t="s">
        <v>377</v>
      </c>
      <c r="F22" s="239" t="s">
        <v>378</v>
      </c>
      <c r="G22" s="239" t="s">
        <v>397</v>
      </c>
      <c r="H22" s="239" t="s">
        <v>398</v>
      </c>
      <c r="I22" s="239" t="s">
        <v>399</v>
      </c>
      <c r="J22" s="234">
        <v>36660</v>
      </c>
      <c r="K22" s="234">
        <v>15050</v>
      </c>
      <c r="L22" s="242">
        <v>26</v>
      </c>
      <c r="M22" s="234">
        <v>21610</v>
      </c>
      <c r="N22" s="234">
        <v>15991.4</v>
      </c>
      <c r="O22" s="243" t="s">
        <v>1951</v>
      </c>
      <c r="P22" s="236">
        <v>45878</v>
      </c>
    </row>
    <row r="23" spans="1:16" ht="51" customHeight="1">
      <c r="A23" s="239" t="s">
        <v>1911</v>
      </c>
      <c r="B23" s="240">
        <v>863</v>
      </c>
      <c r="C23" s="241">
        <v>9460</v>
      </c>
      <c r="D23" s="239" t="s">
        <v>3817</v>
      </c>
      <c r="E23" s="239" t="s">
        <v>400</v>
      </c>
      <c r="F23" s="239" t="s">
        <v>401</v>
      </c>
      <c r="G23" s="239" t="s">
        <v>397</v>
      </c>
      <c r="H23" s="239" t="s">
        <v>398</v>
      </c>
      <c r="I23" s="239" t="s">
        <v>399</v>
      </c>
      <c r="J23" s="234">
        <v>36320</v>
      </c>
      <c r="K23" s="234">
        <v>14710</v>
      </c>
      <c r="L23" s="242">
        <v>28</v>
      </c>
      <c r="M23" s="234">
        <v>21610</v>
      </c>
      <c r="N23" s="234">
        <v>15559.2</v>
      </c>
      <c r="O23" s="243" t="s">
        <v>1952</v>
      </c>
      <c r="P23" s="236">
        <v>45878</v>
      </c>
    </row>
    <row r="24" spans="1:16" ht="51" customHeight="1">
      <c r="A24" s="239" t="s">
        <v>402</v>
      </c>
      <c r="B24" s="240">
        <v>864</v>
      </c>
      <c r="C24" s="241">
        <v>9462</v>
      </c>
      <c r="D24" s="239" t="s">
        <v>3817</v>
      </c>
      <c r="E24" s="239" t="s">
        <v>403</v>
      </c>
      <c r="F24" s="239" t="s">
        <v>404</v>
      </c>
      <c r="G24" s="239" t="s">
        <v>397</v>
      </c>
      <c r="H24" s="239" t="s">
        <v>398</v>
      </c>
      <c r="I24" s="239" t="s">
        <v>399</v>
      </c>
      <c r="J24" s="234">
        <v>33220</v>
      </c>
      <c r="K24" s="234">
        <v>14490</v>
      </c>
      <c r="L24" s="242">
        <v>38</v>
      </c>
      <c r="M24" s="234">
        <v>18730</v>
      </c>
      <c r="N24" s="234">
        <v>11612.6</v>
      </c>
      <c r="O24" s="243" t="s">
        <v>492</v>
      </c>
      <c r="P24" s="236">
        <v>45878</v>
      </c>
    </row>
    <row r="25" spans="1:16" ht="51" customHeight="1">
      <c r="A25" s="239" t="s">
        <v>405</v>
      </c>
      <c r="B25" s="240">
        <v>865</v>
      </c>
      <c r="C25" s="241">
        <v>9464</v>
      </c>
      <c r="D25" s="239" t="s">
        <v>3817</v>
      </c>
      <c r="E25" s="239" t="s">
        <v>406</v>
      </c>
      <c r="F25" s="239" t="s">
        <v>407</v>
      </c>
      <c r="G25" s="239" t="s">
        <v>397</v>
      </c>
      <c r="H25" s="239" t="s">
        <v>398</v>
      </c>
      <c r="I25" s="239" t="s">
        <v>399</v>
      </c>
      <c r="J25" s="234">
        <v>36050</v>
      </c>
      <c r="K25" s="234">
        <v>15040</v>
      </c>
      <c r="L25" s="242">
        <v>35</v>
      </c>
      <c r="M25" s="234">
        <v>21010</v>
      </c>
      <c r="N25" s="234">
        <v>13656.5</v>
      </c>
      <c r="O25" s="243" t="s">
        <v>493</v>
      </c>
      <c r="P25" s="236">
        <v>45878</v>
      </c>
    </row>
    <row r="26" spans="1:16" ht="51" customHeight="1">
      <c r="A26" s="239" t="s">
        <v>408</v>
      </c>
      <c r="B26" s="240">
        <v>866</v>
      </c>
      <c r="C26" s="241">
        <v>9466</v>
      </c>
      <c r="D26" s="239" t="s">
        <v>3817</v>
      </c>
      <c r="E26" s="239" t="s">
        <v>380</v>
      </c>
      <c r="F26" s="239" t="s">
        <v>381</v>
      </c>
      <c r="G26" s="239" t="s">
        <v>397</v>
      </c>
      <c r="H26" s="239" t="s">
        <v>398</v>
      </c>
      <c r="I26" s="239" t="s">
        <v>399</v>
      </c>
      <c r="J26" s="234">
        <v>36350</v>
      </c>
      <c r="K26" s="234">
        <v>15040</v>
      </c>
      <c r="L26" s="242">
        <v>22</v>
      </c>
      <c r="M26" s="234">
        <v>21310</v>
      </c>
      <c r="N26" s="234">
        <v>16621.8</v>
      </c>
      <c r="O26" s="243" t="s">
        <v>494</v>
      </c>
      <c r="P26" s="236">
        <v>45878</v>
      </c>
    </row>
    <row r="27" spans="1:16" ht="51" customHeight="1">
      <c r="A27" s="239" t="s">
        <v>409</v>
      </c>
      <c r="B27" s="240">
        <v>867</v>
      </c>
      <c r="C27" s="241">
        <v>9468</v>
      </c>
      <c r="D27" s="239" t="s">
        <v>3817</v>
      </c>
      <c r="E27" s="239" t="s">
        <v>410</v>
      </c>
      <c r="F27" s="239" t="s">
        <v>411</v>
      </c>
      <c r="G27" s="239" t="s">
        <v>397</v>
      </c>
      <c r="H27" s="239" t="s">
        <v>398</v>
      </c>
      <c r="I27" s="239" t="s">
        <v>399</v>
      </c>
      <c r="J27" s="234">
        <v>33750</v>
      </c>
      <c r="K27" s="234">
        <v>15000</v>
      </c>
      <c r="L27" s="242">
        <v>30</v>
      </c>
      <c r="M27" s="234">
        <v>18750</v>
      </c>
      <c r="N27" s="234">
        <v>13125</v>
      </c>
      <c r="O27" s="243" t="s">
        <v>495</v>
      </c>
      <c r="P27" s="236">
        <v>45878</v>
      </c>
    </row>
    <row r="28" spans="1:16" ht="51" customHeight="1">
      <c r="A28" s="239" t="s">
        <v>412</v>
      </c>
      <c r="B28" s="240">
        <v>868</v>
      </c>
      <c r="C28" s="241">
        <v>9470</v>
      </c>
      <c r="D28" s="239" t="s">
        <v>3817</v>
      </c>
      <c r="E28" s="239" t="s">
        <v>413</v>
      </c>
      <c r="F28" s="239" t="s">
        <v>414</v>
      </c>
      <c r="G28" s="239" t="s">
        <v>397</v>
      </c>
      <c r="H28" s="239" t="s">
        <v>398</v>
      </c>
      <c r="I28" s="239" t="s">
        <v>399</v>
      </c>
      <c r="J28" s="234">
        <v>34870</v>
      </c>
      <c r="K28" s="234">
        <v>14920</v>
      </c>
      <c r="L28" s="242">
        <v>39</v>
      </c>
      <c r="M28" s="234">
        <v>19950</v>
      </c>
      <c r="N28" s="234">
        <v>12169.5</v>
      </c>
      <c r="O28" s="243" t="s">
        <v>496</v>
      </c>
      <c r="P28" s="236">
        <v>45878</v>
      </c>
    </row>
    <row r="29" spans="1:16" ht="51" customHeight="1">
      <c r="A29" s="239" t="s">
        <v>415</v>
      </c>
      <c r="B29" s="240">
        <v>869</v>
      </c>
      <c r="C29" s="241">
        <v>9472</v>
      </c>
      <c r="D29" s="239" t="s">
        <v>3817</v>
      </c>
      <c r="E29" s="239" t="s">
        <v>416</v>
      </c>
      <c r="F29" s="239" t="s">
        <v>417</v>
      </c>
      <c r="G29" s="239" t="s">
        <v>397</v>
      </c>
      <c r="H29" s="239" t="s">
        <v>398</v>
      </c>
      <c r="I29" s="239" t="s">
        <v>399</v>
      </c>
      <c r="J29" s="234">
        <v>35140</v>
      </c>
      <c r="K29" s="234">
        <v>14710</v>
      </c>
      <c r="L29" s="242">
        <v>26</v>
      </c>
      <c r="M29" s="234">
        <v>20430</v>
      </c>
      <c r="N29" s="234">
        <v>15118.2</v>
      </c>
      <c r="O29" s="243" t="s">
        <v>497</v>
      </c>
      <c r="P29" s="236">
        <v>45878</v>
      </c>
    </row>
    <row r="30" spans="1:16" ht="51" customHeight="1">
      <c r="A30" s="239" t="s">
        <v>418</v>
      </c>
      <c r="B30" s="240">
        <v>870</v>
      </c>
      <c r="C30" s="239" t="s">
        <v>419</v>
      </c>
      <c r="D30" s="239" t="s">
        <v>3817</v>
      </c>
      <c r="E30" s="239" t="s">
        <v>420</v>
      </c>
      <c r="F30" s="239" t="s">
        <v>421</v>
      </c>
      <c r="G30" s="239" t="s">
        <v>397</v>
      </c>
      <c r="H30" s="239" t="s">
        <v>398</v>
      </c>
      <c r="I30" s="239" t="s">
        <v>399</v>
      </c>
      <c r="J30" s="234">
        <v>33680</v>
      </c>
      <c r="K30" s="234">
        <v>14870</v>
      </c>
      <c r="L30" s="242">
        <v>43</v>
      </c>
      <c r="M30" s="234">
        <v>18810</v>
      </c>
      <c r="N30" s="234">
        <v>10721.7</v>
      </c>
      <c r="O30" s="243" t="s">
        <v>498</v>
      </c>
      <c r="P30" s="236">
        <v>45878</v>
      </c>
    </row>
    <row r="31" spans="1:16" ht="51" customHeight="1">
      <c r="A31" s="239" t="s">
        <v>422</v>
      </c>
      <c r="B31" s="240">
        <v>872</v>
      </c>
      <c r="C31" s="241">
        <v>9478</v>
      </c>
      <c r="D31" s="239" t="s">
        <v>3817</v>
      </c>
      <c r="E31" s="239" t="s">
        <v>390</v>
      </c>
      <c r="F31" s="239" t="s">
        <v>391</v>
      </c>
      <c r="G31" s="239" t="s">
        <v>397</v>
      </c>
      <c r="H31" s="239" t="s">
        <v>398</v>
      </c>
      <c r="I31" s="239" t="s">
        <v>399</v>
      </c>
      <c r="J31" s="234">
        <v>36760</v>
      </c>
      <c r="K31" s="234">
        <v>14950</v>
      </c>
      <c r="L31" s="242">
        <v>44</v>
      </c>
      <c r="M31" s="234">
        <v>21810</v>
      </c>
      <c r="N31" s="234">
        <v>12213.6</v>
      </c>
      <c r="O31" s="243" t="s">
        <v>499</v>
      </c>
      <c r="P31" s="236">
        <v>45879</v>
      </c>
    </row>
    <row r="32" spans="1:16" ht="51" customHeight="1">
      <c r="A32" s="239" t="s">
        <v>423</v>
      </c>
      <c r="B32" s="240">
        <v>874</v>
      </c>
      <c r="C32" s="241">
        <v>9476</v>
      </c>
      <c r="D32" s="239" t="s">
        <v>3817</v>
      </c>
      <c r="E32" s="239" t="s">
        <v>388</v>
      </c>
      <c r="F32" s="239" t="s">
        <v>389</v>
      </c>
      <c r="G32" s="239" t="s">
        <v>397</v>
      </c>
      <c r="H32" s="239" t="s">
        <v>398</v>
      </c>
      <c r="I32" s="239" t="s">
        <v>399</v>
      </c>
      <c r="J32" s="234">
        <v>46180</v>
      </c>
      <c r="K32" s="234">
        <v>20940</v>
      </c>
      <c r="L32" s="242">
        <v>21</v>
      </c>
      <c r="M32" s="234">
        <v>25240</v>
      </c>
      <c r="N32" s="234">
        <v>19939.599999999999</v>
      </c>
      <c r="O32" s="243" t="s">
        <v>500</v>
      </c>
      <c r="P32" s="236">
        <v>45879</v>
      </c>
    </row>
    <row r="33" spans="1:16" ht="51" customHeight="1">
      <c r="A33" s="239" t="s">
        <v>424</v>
      </c>
      <c r="B33" s="240">
        <v>875</v>
      </c>
      <c r="C33" s="241">
        <v>9480</v>
      </c>
      <c r="D33" s="239" t="s">
        <v>3817</v>
      </c>
      <c r="E33" s="239" t="s">
        <v>425</v>
      </c>
      <c r="F33" s="239" t="s">
        <v>426</v>
      </c>
      <c r="G33" s="239" t="s">
        <v>397</v>
      </c>
      <c r="H33" s="239" t="s">
        <v>398</v>
      </c>
      <c r="I33" s="239" t="s">
        <v>399</v>
      </c>
      <c r="J33" s="234">
        <v>45100</v>
      </c>
      <c r="K33" s="234">
        <v>18610</v>
      </c>
      <c r="L33" s="242">
        <v>24</v>
      </c>
      <c r="M33" s="234">
        <v>26490</v>
      </c>
      <c r="N33" s="234">
        <v>20132.400000000001</v>
      </c>
      <c r="O33" s="243" t="s">
        <v>501</v>
      </c>
      <c r="P33" s="236">
        <v>45879</v>
      </c>
    </row>
    <row r="34" spans="1:16" ht="51" customHeight="1">
      <c r="A34" s="239" t="s">
        <v>427</v>
      </c>
      <c r="B34" s="240">
        <v>876</v>
      </c>
      <c r="C34" s="241">
        <v>9482</v>
      </c>
      <c r="D34" s="239" t="s">
        <v>3817</v>
      </c>
      <c r="E34" s="239" t="s">
        <v>382</v>
      </c>
      <c r="F34" s="239" t="s">
        <v>383</v>
      </c>
      <c r="G34" s="239" t="s">
        <v>397</v>
      </c>
      <c r="H34" s="239" t="s">
        <v>398</v>
      </c>
      <c r="I34" s="239" t="s">
        <v>399</v>
      </c>
      <c r="J34" s="234">
        <v>33760</v>
      </c>
      <c r="K34" s="234">
        <v>14600</v>
      </c>
      <c r="L34" s="242">
        <v>17</v>
      </c>
      <c r="M34" s="234">
        <v>19160</v>
      </c>
      <c r="N34" s="234">
        <v>15902.8</v>
      </c>
      <c r="O34" s="243" t="s">
        <v>502</v>
      </c>
      <c r="P34" s="236">
        <v>45879</v>
      </c>
    </row>
    <row r="35" spans="1:16" ht="51" customHeight="1">
      <c r="A35" s="239" t="s">
        <v>428</v>
      </c>
      <c r="B35" s="240">
        <v>877</v>
      </c>
      <c r="C35" s="241">
        <v>9484</v>
      </c>
      <c r="D35" s="239" t="s">
        <v>3817</v>
      </c>
      <c r="E35" s="239" t="s">
        <v>429</v>
      </c>
      <c r="F35" s="239" t="s">
        <v>430</v>
      </c>
      <c r="G35" s="239" t="s">
        <v>397</v>
      </c>
      <c r="H35" s="239" t="s">
        <v>398</v>
      </c>
      <c r="I35" s="239" t="s">
        <v>399</v>
      </c>
      <c r="J35" s="234">
        <v>36930</v>
      </c>
      <c r="K35" s="234">
        <v>14240</v>
      </c>
      <c r="L35" s="242">
        <v>40</v>
      </c>
      <c r="M35" s="234">
        <v>22690</v>
      </c>
      <c r="N35" s="234">
        <v>13614</v>
      </c>
      <c r="O35" s="243" t="s">
        <v>503</v>
      </c>
      <c r="P35" s="236">
        <v>45879</v>
      </c>
    </row>
    <row r="36" spans="1:16" ht="51" customHeight="1">
      <c r="A36" s="239" t="s">
        <v>431</v>
      </c>
      <c r="B36" s="240">
        <v>878</v>
      </c>
      <c r="C36" s="241">
        <v>9486</v>
      </c>
      <c r="D36" s="239" t="s">
        <v>3817</v>
      </c>
      <c r="E36" s="239" t="s">
        <v>432</v>
      </c>
      <c r="F36" s="239" t="s">
        <v>433</v>
      </c>
      <c r="G36" s="239" t="s">
        <v>397</v>
      </c>
      <c r="H36" s="239" t="s">
        <v>398</v>
      </c>
      <c r="I36" s="239" t="s">
        <v>399</v>
      </c>
      <c r="J36" s="234">
        <v>38770</v>
      </c>
      <c r="K36" s="234">
        <v>15600</v>
      </c>
      <c r="L36" s="242">
        <v>31</v>
      </c>
      <c r="M36" s="234">
        <v>23170</v>
      </c>
      <c r="N36" s="234">
        <v>15987.3</v>
      </c>
      <c r="O36" s="243" t="s">
        <v>504</v>
      </c>
      <c r="P36" s="236">
        <v>45879</v>
      </c>
    </row>
    <row r="37" spans="1:16" ht="51" customHeight="1">
      <c r="A37" s="239" t="s">
        <v>434</v>
      </c>
      <c r="B37" s="240">
        <v>879</v>
      </c>
      <c r="C37" s="241">
        <v>9492</v>
      </c>
      <c r="D37" s="239" t="s">
        <v>3817</v>
      </c>
      <c r="E37" s="239" t="s">
        <v>377</v>
      </c>
      <c r="F37" s="239" t="s">
        <v>378</v>
      </c>
      <c r="G37" s="239" t="s">
        <v>397</v>
      </c>
      <c r="H37" s="239" t="s">
        <v>398</v>
      </c>
      <c r="I37" s="239" t="s">
        <v>399</v>
      </c>
      <c r="J37" s="234">
        <v>37280</v>
      </c>
      <c r="K37" s="234">
        <v>15070</v>
      </c>
      <c r="L37" s="242">
        <v>49</v>
      </c>
      <c r="M37" s="234">
        <v>22210</v>
      </c>
      <c r="N37" s="234">
        <v>11327.1</v>
      </c>
      <c r="O37" s="243" t="s">
        <v>505</v>
      </c>
      <c r="P37" s="236">
        <v>45879</v>
      </c>
    </row>
    <row r="38" spans="1:16" ht="51" customHeight="1">
      <c r="A38" s="239" t="s">
        <v>435</v>
      </c>
      <c r="B38" s="240">
        <v>880</v>
      </c>
      <c r="C38" s="241">
        <v>9488</v>
      </c>
      <c r="D38" s="239" t="s">
        <v>3817</v>
      </c>
      <c r="E38" s="239" t="s">
        <v>1410</v>
      </c>
      <c r="F38" s="239" t="s">
        <v>437</v>
      </c>
      <c r="G38" s="239" t="s">
        <v>397</v>
      </c>
      <c r="H38" s="239" t="s">
        <v>398</v>
      </c>
      <c r="I38" s="239" t="s">
        <v>399</v>
      </c>
      <c r="J38" s="234">
        <v>37960</v>
      </c>
      <c r="K38" s="234">
        <v>14900</v>
      </c>
      <c r="L38" s="242">
        <v>48</v>
      </c>
      <c r="M38" s="234">
        <v>23060</v>
      </c>
      <c r="N38" s="234">
        <v>11991.2</v>
      </c>
      <c r="O38" s="243" t="s">
        <v>506</v>
      </c>
      <c r="P38" s="236">
        <v>45879</v>
      </c>
    </row>
    <row r="39" spans="1:16" ht="51" customHeight="1">
      <c r="A39" s="239" t="s">
        <v>438</v>
      </c>
      <c r="B39" s="240">
        <v>881</v>
      </c>
      <c r="C39" s="241">
        <v>9490</v>
      </c>
      <c r="D39" s="239" t="s">
        <v>3817</v>
      </c>
      <c r="E39" s="239" t="s">
        <v>439</v>
      </c>
      <c r="F39" s="239" t="s">
        <v>440</v>
      </c>
      <c r="G39" s="239" t="s">
        <v>397</v>
      </c>
      <c r="H39" s="239" t="s">
        <v>398</v>
      </c>
      <c r="I39" s="239" t="s">
        <v>399</v>
      </c>
      <c r="J39" s="234">
        <v>36110</v>
      </c>
      <c r="K39" s="234">
        <v>14930</v>
      </c>
      <c r="L39" s="242">
        <v>49</v>
      </c>
      <c r="M39" s="234">
        <v>21180</v>
      </c>
      <c r="N39" s="234">
        <v>10801.8</v>
      </c>
      <c r="O39" s="243" t="s">
        <v>507</v>
      </c>
      <c r="P39" s="236">
        <v>45879</v>
      </c>
    </row>
    <row r="40" spans="1:16" ht="51" customHeight="1">
      <c r="A40" s="239" t="s">
        <v>441</v>
      </c>
      <c r="B40" s="240">
        <v>883</v>
      </c>
      <c r="C40" s="241">
        <v>9494</v>
      </c>
      <c r="D40" s="239" t="s">
        <v>3817</v>
      </c>
      <c r="E40" s="239" t="s">
        <v>442</v>
      </c>
      <c r="F40" s="239" t="s">
        <v>443</v>
      </c>
      <c r="G40" s="239" t="s">
        <v>397</v>
      </c>
      <c r="H40" s="239" t="s">
        <v>398</v>
      </c>
      <c r="I40" s="239" t="s">
        <v>399</v>
      </c>
      <c r="J40" s="234">
        <v>32690</v>
      </c>
      <c r="K40" s="234">
        <v>14460</v>
      </c>
      <c r="L40" s="242">
        <v>46</v>
      </c>
      <c r="M40" s="234">
        <v>18230</v>
      </c>
      <c r="N40" s="234">
        <v>9844.2000000000007</v>
      </c>
      <c r="O40" s="243" t="s">
        <v>508</v>
      </c>
      <c r="P40" s="236">
        <v>45879</v>
      </c>
    </row>
    <row r="41" spans="1:16" ht="51" customHeight="1">
      <c r="A41" s="239" t="s">
        <v>444</v>
      </c>
      <c r="B41" s="240">
        <v>884</v>
      </c>
      <c r="C41" s="241">
        <v>9498</v>
      </c>
      <c r="D41" s="239" t="s">
        <v>3817</v>
      </c>
      <c r="E41" s="239" t="s">
        <v>380</v>
      </c>
      <c r="F41" s="239" t="s">
        <v>381</v>
      </c>
      <c r="G41" s="239" t="s">
        <v>397</v>
      </c>
      <c r="H41" s="239" t="s">
        <v>398</v>
      </c>
      <c r="I41" s="239" t="s">
        <v>399</v>
      </c>
      <c r="J41" s="234">
        <v>34460</v>
      </c>
      <c r="K41" s="234">
        <v>15060</v>
      </c>
      <c r="L41" s="242">
        <v>45</v>
      </c>
      <c r="M41" s="234">
        <v>19400</v>
      </c>
      <c r="N41" s="234">
        <v>10670</v>
      </c>
      <c r="O41" s="243" t="s">
        <v>509</v>
      </c>
      <c r="P41" s="236">
        <v>45879</v>
      </c>
    </row>
    <row r="42" spans="1:16" ht="51" customHeight="1">
      <c r="A42" s="239" t="s">
        <v>445</v>
      </c>
      <c r="B42" s="240">
        <v>885</v>
      </c>
      <c r="C42" s="241">
        <v>9500</v>
      </c>
      <c r="D42" s="239" t="s">
        <v>3817</v>
      </c>
      <c r="E42" s="239" t="s">
        <v>410</v>
      </c>
      <c r="F42" s="239" t="s">
        <v>411</v>
      </c>
      <c r="G42" s="239" t="s">
        <v>397</v>
      </c>
      <c r="H42" s="239" t="s">
        <v>398</v>
      </c>
      <c r="I42" s="239" t="s">
        <v>399</v>
      </c>
      <c r="J42" s="234">
        <v>34010</v>
      </c>
      <c r="K42" s="234">
        <v>14840</v>
      </c>
      <c r="L42" s="242">
        <v>37</v>
      </c>
      <c r="M42" s="234">
        <v>19170</v>
      </c>
      <c r="N42" s="234">
        <v>12077.1</v>
      </c>
      <c r="O42" s="243" t="s">
        <v>510</v>
      </c>
      <c r="P42" s="236">
        <v>45879</v>
      </c>
    </row>
    <row r="43" spans="1:16" ht="51" customHeight="1">
      <c r="A43" s="239" t="s">
        <v>446</v>
      </c>
      <c r="B43" s="240">
        <v>887</v>
      </c>
      <c r="C43" s="241">
        <v>9502</v>
      </c>
      <c r="D43" s="239" t="s">
        <v>3817</v>
      </c>
      <c r="E43" s="239" t="s">
        <v>447</v>
      </c>
      <c r="F43" s="239" t="s">
        <v>448</v>
      </c>
      <c r="G43" s="239" t="s">
        <v>397</v>
      </c>
      <c r="H43" s="239" t="s">
        <v>398</v>
      </c>
      <c r="I43" s="239" t="s">
        <v>399</v>
      </c>
      <c r="J43" s="234">
        <v>37300</v>
      </c>
      <c r="K43" s="234">
        <v>15680</v>
      </c>
      <c r="L43" s="242">
        <v>45</v>
      </c>
      <c r="M43" s="234">
        <v>21620</v>
      </c>
      <c r="N43" s="234">
        <v>11891</v>
      </c>
      <c r="O43" s="243" t="s">
        <v>511</v>
      </c>
      <c r="P43" s="236">
        <v>45879</v>
      </c>
    </row>
    <row r="44" spans="1:16" ht="51" customHeight="1">
      <c r="A44" s="239" t="s">
        <v>449</v>
      </c>
      <c r="B44" s="240">
        <v>888</v>
      </c>
      <c r="C44" s="241">
        <v>9496</v>
      </c>
      <c r="D44" s="239" t="s">
        <v>3817</v>
      </c>
      <c r="E44" s="239" t="s">
        <v>392</v>
      </c>
      <c r="F44" s="239" t="s">
        <v>393</v>
      </c>
      <c r="G44" s="239" t="s">
        <v>397</v>
      </c>
      <c r="H44" s="239" t="s">
        <v>398</v>
      </c>
      <c r="I44" s="239" t="s">
        <v>399</v>
      </c>
      <c r="J44" s="234">
        <v>59720</v>
      </c>
      <c r="K44" s="234">
        <v>24020</v>
      </c>
      <c r="L44" s="242">
        <v>44</v>
      </c>
      <c r="M44" s="234">
        <v>35700</v>
      </c>
      <c r="N44" s="234">
        <v>19992</v>
      </c>
      <c r="O44" s="243" t="s">
        <v>512</v>
      </c>
      <c r="P44" s="236">
        <v>45879</v>
      </c>
    </row>
    <row r="45" spans="1:16" ht="51" customHeight="1">
      <c r="A45" s="239" t="s">
        <v>450</v>
      </c>
      <c r="B45" s="240">
        <v>889</v>
      </c>
      <c r="C45" s="241">
        <v>9504</v>
      </c>
      <c r="D45" s="239" t="s">
        <v>3817</v>
      </c>
      <c r="E45" s="239" t="s">
        <v>413</v>
      </c>
      <c r="F45" s="239" t="s">
        <v>414</v>
      </c>
      <c r="G45" s="239" t="s">
        <v>397</v>
      </c>
      <c r="H45" s="239" t="s">
        <v>398</v>
      </c>
      <c r="I45" s="239" t="s">
        <v>399</v>
      </c>
      <c r="J45" s="234">
        <v>40070</v>
      </c>
      <c r="K45" s="234">
        <v>14930</v>
      </c>
      <c r="L45" s="242">
        <v>42</v>
      </c>
      <c r="M45" s="234">
        <v>25140</v>
      </c>
      <c r="N45" s="234">
        <v>14581.2</v>
      </c>
      <c r="O45" s="243" t="s">
        <v>513</v>
      </c>
      <c r="P45" s="236">
        <v>45879</v>
      </c>
    </row>
    <row r="46" spans="1:16" ht="51" customHeight="1">
      <c r="A46" s="239" t="s">
        <v>451</v>
      </c>
      <c r="B46" s="240">
        <v>890</v>
      </c>
      <c r="C46" s="241">
        <v>9506</v>
      </c>
      <c r="D46" s="239" t="s">
        <v>3817</v>
      </c>
      <c r="E46" s="239" t="s">
        <v>416</v>
      </c>
      <c r="F46" s="239" t="s">
        <v>417</v>
      </c>
      <c r="G46" s="239" t="s">
        <v>397</v>
      </c>
      <c r="H46" s="239" t="s">
        <v>398</v>
      </c>
      <c r="I46" s="239" t="s">
        <v>399</v>
      </c>
      <c r="J46" s="234">
        <v>37670</v>
      </c>
      <c r="K46" s="234">
        <v>14710</v>
      </c>
      <c r="L46" s="242">
        <v>46</v>
      </c>
      <c r="M46" s="234">
        <v>22960</v>
      </c>
      <c r="N46" s="234">
        <v>12398.4</v>
      </c>
      <c r="O46" s="243" t="s">
        <v>514</v>
      </c>
      <c r="P46" s="236">
        <v>45879</v>
      </c>
    </row>
    <row r="47" spans="1:16" ht="51" customHeight="1">
      <c r="A47" s="239" t="s">
        <v>452</v>
      </c>
      <c r="B47" s="240">
        <v>891</v>
      </c>
      <c r="C47" s="241">
        <v>9508</v>
      </c>
      <c r="D47" s="239" t="s">
        <v>3817</v>
      </c>
      <c r="E47" s="239" t="s">
        <v>453</v>
      </c>
      <c r="F47" s="239" t="s">
        <v>454</v>
      </c>
      <c r="G47" s="239" t="s">
        <v>397</v>
      </c>
      <c r="H47" s="239" t="s">
        <v>398</v>
      </c>
      <c r="I47" s="239" t="s">
        <v>399</v>
      </c>
      <c r="J47" s="234">
        <v>49720</v>
      </c>
      <c r="K47" s="234">
        <v>23560</v>
      </c>
      <c r="L47" s="242">
        <v>46</v>
      </c>
      <c r="M47" s="234">
        <v>26160</v>
      </c>
      <c r="N47" s="234">
        <v>14126.4</v>
      </c>
      <c r="O47" s="243" t="s">
        <v>515</v>
      </c>
      <c r="P47" s="236">
        <v>45879</v>
      </c>
    </row>
    <row r="48" spans="1:16" ht="51" customHeight="1">
      <c r="A48" s="239" t="s">
        <v>455</v>
      </c>
      <c r="B48" s="240">
        <v>892</v>
      </c>
      <c r="C48" s="241">
        <v>9510</v>
      </c>
      <c r="D48" s="239" t="s">
        <v>3817</v>
      </c>
      <c r="E48" s="239" t="s">
        <v>456</v>
      </c>
      <c r="F48" s="239" t="s">
        <v>457</v>
      </c>
      <c r="G48" s="239" t="s">
        <v>397</v>
      </c>
      <c r="H48" s="239" t="s">
        <v>398</v>
      </c>
      <c r="I48" s="239" t="s">
        <v>399</v>
      </c>
      <c r="J48" s="234">
        <v>40530</v>
      </c>
      <c r="K48" s="234">
        <v>15550</v>
      </c>
      <c r="L48" s="242">
        <v>47</v>
      </c>
      <c r="M48" s="234">
        <v>24980</v>
      </c>
      <c r="N48" s="234">
        <v>13239.4</v>
      </c>
      <c r="O48" s="243" t="s">
        <v>516</v>
      </c>
      <c r="P48" s="236">
        <v>45879</v>
      </c>
    </row>
    <row r="49" spans="1:16" ht="51" customHeight="1">
      <c r="A49" s="239" t="s">
        <v>458</v>
      </c>
      <c r="B49" s="240">
        <v>893</v>
      </c>
      <c r="C49" s="241">
        <v>9512</v>
      </c>
      <c r="D49" s="239" t="s">
        <v>3817</v>
      </c>
      <c r="E49" s="239" t="s">
        <v>420</v>
      </c>
      <c r="F49" s="239" t="s">
        <v>421</v>
      </c>
      <c r="G49" s="239" t="s">
        <v>397</v>
      </c>
      <c r="H49" s="239" t="s">
        <v>398</v>
      </c>
      <c r="I49" s="239" t="s">
        <v>399</v>
      </c>
      <c r="J49" s="234">
        <v>35910</v>
      </c>
      <c r="K49" s="234">
        <v>14880</v>
      </c>
      <c r="L49" s="242">
        <v>11</v>
      </c>
      <c r="M49" s="234">
        <v>21030</v>
      </c>
      <c r="N49" s="234">
        <v>18716.7</v>
      </c>
      <c r="O49" s="243" t="s">
        <v>517</v>
      </c>
      <c r="P49" s="236">
        <v>45879</v>
      </c>
    </row>
    <row r="50" spans="1:16" ht="51" customHeight="1">
      <c r="A50" s="239" t="s">
        <v>459</v>
      </c>
      <c r="B50" s="240">
        <v>894</v>
      </c>
      <c r="C50" s="241">
        <v>9514</v>
      </c>
      <c r="D50" s="239" t="s">
        <v>3817</v>
      </c>
      <c r="E50" s="239" t="s">
        <v>372</v>
      </c>
      <c r="F50" s="239" t="s">
        <v>373</v>
      </c>
      <c r="G50" s="239" t="s">
        <v>397</v>
      </c>
      <c r="H50" s="239" t="s">
        <v>398</v>
      </c>
      <c r="I50" s="239" t="s">
        <v>399</v>
      </c>
      <c r="J50" s="234">
        <v>38150</v>
      </c>
      <c r="K50" s="234">
        <v>14910</v>
      </c>
      <c r="L50" s="242">
        <v>43</v>
      </c>
      <c r="M50" s="234">
        <v>23240</v>
      </c>
      <c r="N50" s="234">
        <v>13246.8</v>
      </c>
      <c r="O50" s="243" t="s">
        <v>518</v>
      </c>
      <c r="P50" s="236">
        <v>45879</v>
      </c>
    </row>
    <row r="51" spans="1:16" ht="51" customHeight="1">
      <c r="A51" s="239" t="s">
        <v>460</v>
      </c>
      <c r="B51" s="240">
        <v>895</v>
      </c>
      <c r="C51" s="241">
        <v>9516</v>
      </c>
      <c r="D51" s="239" t="s">
        <v>3817</v>
      </c>
      <c r="E51" s="239" t="s">
        <v>386</v>
      </c>
      <c r="F51" s="239" t="s">
        <v>387</v>
      </c>
      <c r="G51" s="239" t="s">
        <v>397</v>
      </c>
      <c r="H51" s="239" t="s">
        <v>398</v>
      </c>
      <c r="I51" s="239" t="s">
        <v>399</v>
      </c>
      <c r="J51" s="234">
        <v>39770</v>
      </c>
      <c r="K51" s="234">
        <v>15410</v>
      </c>
      <c r="L51" s="242">
        <v>26</v>
      </c>
      <c r="M51" s="234">
        <v>24360</v>
      </c>
      <c r="N51" s="234">
        <v>18026.400000000001</v>
      </c>
      <c r="O51" s="243" t="s">
        <v>519</v>
      </c>
      <c r="P51" s="236">
        <v>45880</v>
      </c>
    </row>
    <row r="52" spans="1:16" ht="51" customHeight="1">
      <c r="A52" s="239" t="s">
        <v>467</v>
      </c>
      <c r="B52" s="240">
        <v>896</v>
      </c>
      <c r="C52" s="241">
        <v>9518</v>
      </c>
      <c r="D52" s="239" t="s">
        <v>3817</v>
      </c>
      <c r="E52" s="239" t="s">
        <v>369</v>
      </c>
      <c r="F52" s="239" t="s">
        <v>370</v>
      </c>
      <c r="G52" s="239" t="s">
        <v>397</v>
      </c>
      <c r="H52" s="239" t="s">
        <v>398</v>
      </c>
      <c r="I52" s="239" t="s">
        <v>399</v>
      </c>
      <c r="J52" s="234">
        <v>37270</v>
      </c>
      <c r="K52" s="234">
        <v>15080</v>
      </c>
      <c r="L52" s="242">
        <v>31</v>
      </c>
      <c r="M52" s="234">
        <v>22190</v>
      </c>
      <c r="N52" s="234">
        <v>15311.1</v>
      </c>
      <c r="O52" s="243" t="s">
        <v>524</v>
      </c>
      <c r="P52" s="236">
        <v>45880</v>
      </c>
    </row>
    <row r="53" spans="1:16" ht="51" customHeight="1">
      <c r="A53" s="239" t="s">
        <v>468</v>
      </c>
      <c r="B53" s="240">
        <v>897</v>
      </c>
      <c r="C53" s="241">
        <v>9520</v>
      </c>
      <c r="D53" s="239" t="s">
        <v>3817</v>
      </c>
      <c r="E53" s="239" t="s">
        <v>403</v>
      </c>
      <c r="F53" s="239" t="s">
        <v>404</v>
      </c>
      <c r="G53" s="239" t="s">
        <v>397</v>
      </c>
      <c r="H53" s="239" t="s">
        <v>398</v>
      </c>
      <c r="I53" s="239" t="s">
        <v>399</v>
      </c>
      <c r="J53" s="234">
        <v>37590</v>
      </c>
      <c r="K53" s="234">
        <v>14500</v>
      </c>
      <c r="L53" s="242">
        <v>47</v>
      </c>
      <c r="M53" s="234">
        <v>23090</v>
      </c>
      <c r="N53" s="234">
        <v>12237.7</v>
      </c>
      <c r="O53" s="243" t="s">
        <v>525</v>
      </c>
      <c r="P53" s="236">
        <v>45880</v>
      </c>
    </row>
    <row r="54" spans="1:16" ht="51" customHeight="1">
      <c r="A54" s="239" t="s">
        <v>469</v>
      </c>
      <c r="B54" s="240">
        <v>898</v>
      </c>
      <c r="C54" s="241">
        <v>9522</v>
      </c>
      <c r="D54" s="239" t="s">
        <v>3817</v>
      </c>
      <c r="E54" s="239" t="s">
        <v>406</v>
      </c>
      <c r="F54" s="239" t="s">
        <v>407</v>
      </c>
      <c r="G54" s="239" t="s">
        <v>397</v>
      </c>
      <c r="H54" s="239" t="s">
        <v>398</v>
      </c>
      <c r="I54" s="239" t="s">
        <v>399</v>
      </c>
      <c r="J54" s="234">
        <v>37450</v>
      </c>
      <c r="K54" s="234">
        <v>15050</v>
      </c>
      <c r="L54" s="242">
        <v>32</v>
      </c>
      <c r="M54" s="234">
        <v>22400</v>
      </c>
      <c r="N54" s="234">
        <v>15232</v>
      </c>
      <c r="O54" s="243" t="s">
        <v>526</v>
      </c>
      <c r="P54" s="236">
        <v>45880</v>
      </c>
    </row>
    <row r="55" spans="1:16" ht="51" customHeight="1">
      <c r="A55" s="239" t="s">
        <v>470</v>
      </c>
      <c r="B55" s="240">
        <v>899</v>
      </c>
      <c r="C55" s="241">
        <v>9524</v>
      </c>
      <c r="D55" s="239" t="s">
        <v>3817</v>
      </c>
      <c r="E55" s="239" t="s">
        <v>400</v>
      </c>
      <c r="F55" s="239" t="s">
        <v>401</v>
      </c>
      <c r="G55" s="239" t="s">
        <v>397</v>
      </c>
      <c r="H55" s="239" t="s">
        <v>398</v>
      </c>
      <c r="I55" s="239" t="s">
        <v>399</v>
      </c>
      <c r="J55" s="234">
        <v>37010</v>
      </c>
      <c r="K55" s="234">
        <v>14660</v>
      </c>
      <c r="L55" s="242">
        <v>28</v>
      </c>
      <c r="M55" s="234">
        <v>22350</v>
      </c>
      <c r="N55" s="234">
        <v>16092</v>
      </c>
      <c r="O55" s="243" t="s">
        <v>527</v>
      </c>
      <c r="P55" s="236">
        <v>45880</v>
      </c>
    </row>
    <row r="56" spans="1:16" ht="51" customHeight="1">
      <c r="A56" s="239" t="s">
        <v>471</v>
      </c>
      <c r="B56" s="240">
        <v>900</v>
      </c>
      <c r="C56" s="241">
        <v>9526</v>
      </c>
      <c r="D56" s="239" t="s">
        <v>3817</v>
      </c>
      <c r="E56" s="239" t="s">
        <v>472</v>
      </c>
      <c r="F56" s="239" t="s">
        <v>473</v>
      </c>
      <c r="G56" s="239" t="s">
        <v>397</v>
      </c>
      <c r="H56" s="239" t="s">
        <v>398</v>
      </c>
      <c r="I56" s="239" t="s">
        <v>399</v>
      </c>
      <c r="J56" s="234">
        <v>39320</v>
      </c>
      <c r="K56" s="234">
        <v>16640</v>
      </c>
      <c r="L56" s="242">
        <v>34</v>
      </c>
      <c r="M56" s="234">
        <v>22680</v>
      </c>
      <c r="N56" s="234">
        <v>14968.8</v>
      </c>
      <c r="O56" s="243" t="s">
        <v>528</v>
      </c>
      <c r="P56" s="236">
        <v>45880</v>
      </c>
    </row>
    <row r="57" spans="1:16" ht="51" customHeight="1">
      <c r="A57" s="239" t="s">
        <v>474</v>
      </c>
      <c r="B57" s="240">
        <v>901</v>
      </c>
      <c r="C57" s="241">
        <v>9528</v>
      </c>
      <c r="D57" s="239" t="s">
        <v>3817</v>
      </c>
      <c r="E57" s="239" t="s">
        <v>475</v>
      </c>
      <c r="F57" s="239" t="s">
        <v>476</v>
      </c>
      <c r="G57" s="239" t="s">
        <v>397</v>
      </c>
      <c r="H57" s="239" t="s">
        <v>398</v>
      </c>
      <c r="I57" s="239" t="s">
        <v>399</v>
      </c>
      <c r="J57" s="234">
        <v>37420</v>
      </c>
      <c r="K57" s="234">
        <v>16330</v>
      </c>
      <c r="L57" s="242">
        <v>35</v>
      </c>
      <c r="M57" s="234">
        <v>21090</v>
      </c>
      <c r="N57" s="234">
        <v>13708.5</v>
      </c>
      <c r="O57" s="243" t="s">
        <v>529</v>
      </c>
      <c r="P57" s="236">
        <v>45880</v>
      </c>
    </row>
    <row r="58" spans="1:16" ht="51" customHeight="1">
      <c r="A58" s="239" t="s">
        <v>461</v>
      </c>
      <c r="B58" s="240">
        <v>903</v>
      </c>
      <c r="C58" s="241">
        <v>9530</v>
      </c>
      <c r="D58" s="239" t="s">
        <v>3817</v>
      </c>
      <c r="E58" s="239" t="s">
        <v>462</v>
      </c>
      <c r="F58" s="239" t="s">
        <v>463</v>
      </c>
      <c r="G58" s="239" t="s">
        <v>397</v>
      </c>
      <c r="H58" s="239" t="s">
        <v>398</v>
      </c>
      <c r="I58" s="239" t="s">
        <v>399</v>
      </c>
      <c r="J58" s="234">
        <v>37790</v>
      </c>
      <c r="K58" s="234">
        <v>16490</v>
      </c>
      <c r="L58" s="242">
        <v>37</v>
      </c>
      <c r="M58" s="234">
        <v>21300</v>
      </c>
      <c r="N58" s="234">
        <v>13419</v>
      </c>
      <c r="O58" s="243" t="s">
        <v>520</v>
      </c>
      <c r="P58" s="236">
        <v>45880</v>
      </c>
    </row>
    <row r="59" spans="1:16" ht="51" customHeight="1">
      <c r="A59" s="239" t="s">
        <v>464</v>
      </c>
      <c r="B59" s="240">
        <v>904</v>
      </c>
      <c r="C59" s="241">
        <v>9532</v>
      </c>
      <c r="D59" s="239" t="s">
        <v>3817</v>
      </c>
      <c r="E59" s="239" t="s">
        <v>377</v>
      </c>
      <c r="F59" s="239" t="s">
        <v>378</v>
      </c>
      <c r="G59" s="239" t="s">
        <v>397</v>
      </c>
      <c r="H59" s="239" t="s">
        <v>398</v>
      </c>
      <c r="I59" s="239" t="s">
        <v>399</v>
      </c>
      <c r="J59" s="234">
        <v>39060</v>
      </c>
      <c r="K59" s="234">
        <v>15080</v>
      </c>
      <c r="L59" s="242">
        <v>29</v>
      </c>
      <c r="M59" s="234">
        <v>23980</v>
      </c>
      <c r="N59" s="234">
        <v>17025.8</v>
      </c>
      <c r="O59" s="243" t="s">
        <v>521</v>
      </c>
      <c r="P59" s="236">
        <v>45880</v>
      </c>
    </row>
    <row r="60" spans="1:16" ht="51" customHeight="1">
      <c r="A60" s="239" t="s">
        <v>465</v>
      </c>
      <c r="B60" s="240">
        <v>905</v>
      </c>
      <c r="C60" s="241">
        <v>9534</v>
      </c>
      <c r="D60" s="239" t="s">
        <v>3817</v>
      </c>
      <c r="E60" s="239" t="s">
        <v>425</v>
      </c>
      <c r="F60" s="239" t="s">
        <v>426</v>
      </c>
      <c r="G60" s="239" t="s">
        <v>397</v>
      </c>
      <c r="H60" s="239" t="s">
        <v>398</v>
      </c>
      <c r="I60" s="239" t="s">
        <v>399</v>
      </c>
      <c r="J60" s="234">
        <v>44540</v>
      </c>
      <c r="K60" s="234">
        <v>18590</v>
      </c>
      <c r="L60" s="242">
        <v>37</v>
      </c>
      <c r="M60" s="234">
        <v>25950</v>
      </c>
      <c r="N60" s="234">
        <v>16348.5</v>
      </c>
      <c r="O60" s="243" t="s">
        <v>522</v>
      </c>
      <c r="P60" s="236">
        <v>45880</v>
      </c>
    </row>
    <row r="61" spans="1:16" ht="51" customHeight="1">
      <c r="A61" s="239" t="s">
        <v>466</v>
      </c>
      <c r="B61" s="240">
        <v>906</v>
      </c>
      <c r="C61" s="241">
        <v>9536</v>
      </c>
      <c r="D61" s="239" t="s">
        <v>3817</v>
      </c>
      <c r="E61" s="239" t="s">
        <v>388</v>
      </c>
      <c r="F61" s="239" t="s">
        <v>389</v>
      </c>
      <c r="G61" s="239" t="s">
        <v>397</v>
      </c>
      <c r="H61" s="239" t="s">
        <v>398</v>
      </c>
      <c r="I61" s="239" t="s">
        <v>399</v>
      </c>
      <c r="J61" s="234">
        <v>51520</v>
      </c>
      <c r="K61" s="234">
        <v>20900</v>
      </c>
      <c r="L61" s="242">
        <v>40</v>
      </c>
      <c r="M61" s="234">
        <v>30620</v>
      </c>
      <c r="N61" s="234">
        <v>18372</v>
      </c>
      <c r="O61" s="243" t="s">
        <v>523</v>
      </c>
      <c r="P61" s="236">
        <v>45880</v>
      </c>
    </row>
    <row r="62" spans="1:16" ht="51" customHeight="1">
      <c r="A62" s="239" t="s">
        <v>477</v>
      </c>
      <c r="B62" s="240">
        <v>909</v>
      </c>
      <c r="C62" s="241">
        <v>9540</v>
      </c>
      <c r="D62" s="239" t="s">
        <v>3817</v>
      </c>
      <c r="E62" s="239" t="s">
        <v>384</v>
      </c>
      <c r="F62" s="239" t="s">
        <v>385</v>
      </c>
      <c r="G62" s="239" t="s">
        <v>397</v>
      </c>
      <c r="H62" s="239" t="s">
        <v>398</v>
      </c>
      <c r="I62" s="239" t="s">
        <v>399</v>
      </c>
      <c r="J62" s="234">
        <v>36720</v>
      </c>
      <c r="K62" s="234">
        <v>13890</v>
      </c>
      <c r="L62" s="242">
        <v>30</v>
      </c>
      <c r="M62" s="234">
        <v>22830</v>
      </c>
      <c r="N62" s="234">
        <v>15981</v>
      </c>
      <c r="O62" s="243" t="s">
        <v>530</v>
      </c>
      <c r="P62" s="236">
        <v>45880</v>
      </c>
    </row>
    <row r="63" spans="1:16" ht="51" customHeight="1">
      <c r="A63" s="239" t="s">
        <v>478</v>
      </c>
      <c r="B63" s="240">
        <v>910</v>
      </c>
      <c r="C63" s="241">
        <v>9538</v>
      </c>
      <c r="D63" s="239" t="s">
        <v>3817</v>
      </c>
      <c r="E63" s="239" t="s">
        <v>432</v>
      </c>
      <c r="F63" s="239" t="s">
        <v>433</v>
      </c>
      <c r="G63" s="239" t="s">
        <v>397</v>
      </c>
      <c r="H63" s="239" t="s">
        <v>398</v>
      </c>
      <c r="I63" s="239" t="s">
        <v>399</v>
      </c>
      <c r="J63" s="234">
        <v>39340</v>
      </c>
      <c r="K63" s="234">
        <v>15570</v>
      </c>
      <c r="L63" s="242">
        <v>21</v>
      </c>
      <c r="M63" s="234">
        <v>23770</v>
      </c>
      <c r="N63" s="234">
        <v>18778.3</v>
      </c>
      <c r="O63" s="243" t="s">
        <v>531</v>
      </c>
      <c r="P63" s="236">
        <v>45880</v>
      </c>
    </row>
    <row r="64" spans="1:16" ht="51" customHeight="1">
      <c r="A64" s="239" t="s">
        <v>479</v>
      </c>
      <c r="B64" s="240">
        <v>911</v>
      </c>
      <c r="C64" s="241">
        <v>9542</v>
      </c>
      <c r="D64" s="239" t="s">
        <v>3817</v>
      </c>
      <c r="E64" s="239" t="s">
        <v>447</v>
      </c>
      <c r="F64" s="239" t="s">
        <v>448</v>
      </c>
      <c r="G64" s="239" t="s">
        <v>397</v>
      </c>
      <c r="H64" s="239" t="s">
        <v>398</v>
      </c>
      <c r="I64" s="239" t="s">
        <v>399</v>
      </c>
      <c r="J64" s="234">
        <v>37550</v>
      </c>
      <c r="K64" s="234">
        <v>15560</v>
      </c>
      <c r="L64" s="242">
        <v>21</v>
      </c>
      <c r="M64" s="234">
        <v>21990</v>
      </c>
      <c r="N64" s="234">
        <v>17372.099999999999</v>
      </c>
      <c r="O64" s="243" t="s">
        <v>532</v>
      </c>
      <c r="P64" s="236">
        <v>45880</v>
      </c>
    </row>
    <row r="65" spans="1:16" ht="51" customHeight="1">
      <c r="A65" s="239" t="s">
        <v>480</v>
      </c>
      <c r="B65" s="240">
        <v>912</v>
      </c>
      <c r="C65" s="241">
        <v>29985</v>
      </c>
      <c r="D65" s="239" t="s">
        <v>3817</v>
      </c>
      <c r="E65" s="239" t="s">
        <v>392</v>
      </c>
      <c r="F65" s="239" t="s">
        <v>393</v>
      </c>
      <c r="G65" s="239" t="s">
        <v>397</v>
      </c>
      <c r="H65" s="239" t="s">
        <v>398</v>
      </c>
      <c r="I65" s="239" t="s">
        <v>399</v>
      </c>
      <c r="J65" s="234">
        <v>48510</v>
      </c>
      <c r="K65" s="234">
        <v>23920</v>
      </c>
      <c r="L65" s="242">
        <v>31</v>
      </c>
      <c r="M65" s="234">
        <v>24590</v>
      </c>
      <c r="N65" s="234">
        <v>16967.099999999999</v>
      </c>
      <c r="O65" s="243" t="s">
        <v>533</v>
      </c>
      <c r="P65" s="236">
        <v>45881</v>
      </c>
    </row>
    <row r="66" spans="1:16" ht="51" customHeight="1">
      <c r="A66" s="239" t="s">
        <v>481</v>
      </c>
      <c r="B66" s="240">
        <v>913</v>
      </c>
      <c r="C66" s="241">
        <v>29987</v>
      </c>
      <c r="D66" s="239" t="s">
        <v>3817</v>
      </c>
      <c r="E66" s="239" t="s">
        <v>390</v>
      </c>
      <c r="F66" s="239" t="s">
        <v>391</v>
      </c>
      <c r="G66" s="239" t="s">
        <v>397</v>
      </c>
      <c r="H66" s="239" t="s">
        <v>398</v>
      </c>
      <c r="I66" s="239" t="s">
        <v>399</v>
      </c>
      <c r="J66" s="234">
        <v>36020</v>
      </c>
      <c r="K66" s="234">
        <v>14870</v>
      </c>
      <c r="L66" s="242">
        <v>23</v>
      </c>
      <c r="M66" s="234">
        <v>21150</v>
      </c>
      <c r="N66" s="234">
        <v>16285.5</v>
      </c>
      <c r="O66" s="243" t="s">
        <v>534</v>
      </c>
      <c r="P66" s="236">
        <v>45881</v>
      </c>
    </row>
    <row r="67" spans="1:16" ht="51" customHeight="1">
      <c r="A67" s="239" t="s">
        <v>482</v>
      </c>
      <c r="B67" s="240">
        <v>914</v>
      </c>
      <c r="C67" s="241">
        <v>29991</v>
      </c>
      <c r="D67" s="239" t="s">
        <v>3817</v>
      </c>
      <c r="E67" s="239" t="s">
        <v>413</v>
      </c>
      <c r="F67" s="239" t="s">
        <v>414</v>
      </c>
      <c r="G67" s="239" t="s">
        <v>397</v>
      </c>
      <c r="H67" s="239" t="s">
        <v>398</v>
      </c>
      <c r="I67" s="239" t="s">
        <v>399</v>
      </c>
      <c r="J67" s="234">
        <v>40380</v>
      </c>
      <c r="K67" s="234">
        <v>14930</v>
      </c>
      <c r="L67" s="242">
        <v>31</v>
      </c>
      <c r="M67" s="234">
        <v>25450</v>
      </c>
      <c r="N67" s="234">
        <v>17560.5</v>
      </c>
      <c r="O67" s="243" t="s">
        <v>535</v>
      </c>
      <c r="P67" s="236">
        <v>45881</v>
      </c>
    </row>
    <row r="68" spans="1:16" ht="51" customHeight="1">
      <c r="A68" s="239" t="s">
        <v>483</v>
      </c>
      <c r="B68" s="240">
        <v>915</v>
      </c>
      <c r="C68" s="241">
        <v>29993</v>
      </c>
      <c r="D68" s="239" t="s">
        <v>3817</v>
      </c>
      <c r="E68" s="239" t="s">
        <v>416</v>
      </c>
      <c r="F68" s="239" t="s">
        <v>417</v>
      </c>
      <c r="G68" s="239" t="s">
        <v>397</v>
      </c>
      <c r="H68" s="239" t="s">
        <v>398</v>
      </c>
      <c r="I68" s="239" t="s">
        <v>399</v>
      </c>
      <c r="J68" s="234">
        <v>37570</v>
      </c>
      <c r="K68" s="234">
        <v>14680</v>
      </c>
      <c r="L68" s="242">
        <v>32</v>
      </c>
      <c r="M68" s="234">
        <v>22890</v>
      </c>
      <c r="N68" s="234">
        <v>15565.2</v>
      </c>
      <c r="O68" s="243" t="s">
        <v>536</v>
      </c>
      <c r="P68" s="236">
        <v>45881</v>
      </c>
    </row>
    <row r="69" spans="1:16" ht="51" customHeight="1">
      <c r="A69" s="239" t="s">
        <v>484</v>
      </c>
      <c r="B69" s="240">
        <v>916</v>
      </c>
      <c r="C69" s="241">
        <v>29997</v>
      </c>
      <c r="D69" s="239" t="s">
        <v>3817</v>
      </c>
      <c r="E69" s="239" t="s">
        <v>456</v>
      </c>
      <c r="F69" s="239" t="s">
        <v>457</v>
      </c>
      <c r="G69" s="239" t="s">
        <v>397</v>
      </c>
      <c r="H69" s="239" t="s">
        <v>398</v>
      </c>
      <c r="I69" s="239" t="s">
        <v>399</v>
      </c>
      <c r="J69" s="234">
        <v>41630</v>
      </c>
      <c r="K69" s="234">
        <v>15440</v>
      </c>
      <c r="L69" s="242">
        <v>40</v>
      </c>
      <c r="M69" s="234">
        <v>26190</v>
      </c>
      <c r="N69" s="234">
        <v>15714</v>
      </c>
      <c r="O69" s="243" t="s">
        <v>537</v>
      </c>
      <c r="P69" s="236">
        <v>45881</v>
      </c>
    </row>
    <row r="70" spans="1:16" ht="51" customHeight="1">
      <c r="A70" s="239" t="s">
        <v>485</v>
      </c>
      <c r="B70" s="240">
        <v>917</v>
      </c>
      <c r="C70" s="241">
        <v>29995</v>
      </c>
      <c r="D70" s="239" t="s">
        <v>3817</v>
      </c>
      <c r="E70" s="239" t="s">
        <v>453</v>
      </c>
      <c r="F70" s="239" t="s">
        <v>454</v>
      </c>
      <c r="G70" s="239" t="s">
        <v>397</v>
      </c>
      <c r="H70" s="239" t="s">
        <v>398</v>
      </c>
      <c r="I70" s="239" t="s">
        <v>399</v>
      </c>
      <c r="J70" s="234">
        <v>48220</v>
      </c>
      <c r="K70" s="234">
        <v>23430</v>
      </c>
      <c r="L70" s="242">
        <v>34</v>
      </c>
      <c r="M70" s="234">
        <v>24790</v>
      </c>
      <c r="N70" s="234">
        <v>16361.4</v>
      </c>
      <c r="O70" s="243" t="s">
        <v>538</v>
      </c>
      <c r="P70" s="236">
        <v>45881</v>
      </c>
    </row>
    <row r="71" spans="1:16" ht="51" customHeight="1">
      <c r="A71" s="239" t="s">
        <v>486</v>
      </c>
      <c r="B71" s="240">
        <v>920</v>
      </c>
      <c r="C71" s="241">
        <v>29999</v>
      </c>
      <c r="D71" s="239" t="s">
        <v>3817</v>
      </c>
      <c r="E71" s="239" t="s">
        <v>1410</v>
      </c>
      <c r="F71" s="239" t="s">
        <v>437</v>
      </c>
      <c r="G71" s="239" t="s">
        <v>397</v>
      </c>
      <c r="H71" s="239" t="s">
        <v>398</v>
      </c>
      <c r="I71" s="239" t="s">
        <v>399</v>
      </c>
      <c r="J71" s="234">
        <v>38530</v>
      </c>
      <c r="K71" s="234">
        <v>14860</v>
      </c>
      <c r="L71" s="242">
        <v>31</v>
      </c>
      <c r="M71" s="234">
        <v>23670</v>
      </c>
      <c r="N71" s="234">
        <v>16332.3</v>
      </c>
      <c r="O71" s="243" t="s">
        <v>539</v>
      </c>
      <c r="P71" s="236">
        <v>45881</v>
      </c>
    </row>
    <row r="72" spans="1:16" ht="51" customHeight="1">
      <c r="A72" s="239" t="s">
        <v>487</v>
      </c>
      <c r="B72" s="240">
        <v>921</v>
      </c>
      <c r="C72" s="245">
        <v>30001</v>
      </c>
      <c r="D72" s="239" t="s">
        <v>3817</v>
      </c>
      <c r="E72" s="239" t="s">
        <v>439</v>
      </c>
      <c r="F72" s="239" t="s">
        <v>440</v>
      </c>
      <c r="G72" s="239" t="s">
        <v>397</v>
      </c>
      <c r="H72" s="239" t="s">
        <v>398</v>
      </c>
      <c r="I72" s="239" t="s">
        <v>399</v>
      </c>
      <c r="J72" s="234">
        <v>36940</v>
      </c>
      <c r="K72" s="234">
        <v>15010</v>
      </c>
      <c r="L72" s="242">
        <v>29</v>
      </c>
      <c r="M72" s="234">
        <v>21930</v>
      </c>
      <c r="N72" s="234">
        <v>15570.3</v>
      </c>
      <c r="O72" s="243" t="s">
        <v>540</v>
      </c>
      <c r="P72" s="236">
        <v>45881</v>
      </c>
    </row>
    <row r="73" spans="1:16" ht="51" customHeight="1">
      <c r="A73" s="239" t="s">
        <v>488</v>
      </c>
      <c r="B73" s="240">
        <v>924</v>
      </c>
      <c r="C73" s="241">
        <v>110</v>
      </c>
      <c r="D73" s="239" t="s">
        <v>376</v>
      </c>
      <c r="E73" s="239" t="s">
        <v>372</v>
      </c>
      <c r="F73" s="239" t="s">
        <v>373</v>
      </c>
      <c r="G73" s="239"/>
      <c r="H73" s="239" t="s">
        <v>728</v>
      </c>
      <c r="I73" s="239" t="s">
        <v>371</v>
      </c>
      <c r="J73" s="234">
        <v>40080</v>
      </c>
      <c r="K73" s="234">
        <v>15110</v>
      </c>
      <c r="L73" s="242">
        <v>20</v>
      </c>
      <c r="M73" s="234">
        <v>24970</v>
      </c>
      <c r="N73" s="234">
        <v>19976</v>
      </c>
      <c r="O73" s="243" t="s">
        <v>541</v>
      </c>
      <c r="P73" s="236">
        <v>45881</v>
      </c>
    </row>
    <row r="74" spans="1:16" ht="51" customHeight="1">
      <c r="A74" s="239" t="s">
        <v>489</v>
      </c>
      <c r="B74" s="240">
        <v>925</v>
      </c>
      <c r="C74" s="241">
        <v>111</v>
      </c>
      <c r="D74" s="239" t="s">
        <v>376</v>
      </c>
      <c r="E74" s="239" t="s">
        <v>369</v>
      </c>
      <c r="F74" s="239" t="s">
        <v>370</v>
      </c>
      <c r="G74" s="239"/>
      <c r="H74" s="239" t="s">
        <v>728</v>
      </c>
      <c r="I74" s="239" t="s">
        <v>371</v>
      </c>
      <c r="J74" s="234">
        <v>39940</v>
      </c>
      <c r="K74" s="234">
        <v>15110</v>
      </c>
      <c r="L74" s="242">
        <v>4</v>
      </c>
      <c r="M74" s="234">
        <v>24830</v>
      </c>
      <c r="N74" s="234">
        <v>23836.799999999999</v>
      </c>
      <c r="O74" s="243" t="s">
        <v>542</v>
      </c>
      <c r="P74" s="236">
        <v>45881</v>
      </c>
    </row>
    <row r="75" spans="1:16" ht="51" customHeight="1">
      <c r="A75" s="239" t="s">
        <v>727</v>
      </c>
      <c r="B75" s="240">
        <v>926</v>
      </c>
      <c r="C75" s="241">
        <v>112</v>
      </c>
      <c r="D75" s="239" t="s">
        <v>376</v>
      </c>
      <c r="E75" s="239" t="s">
        <v>403</v>
      </c>
      <c r="F75" s="239" t="s">
        <v>404</v>
      </c>
      <c r="G75" s="239"/>
      <c r="H75" s="239" t="s">
        <v>728</v>
      </c>
      <c r="I75" s="239" t="s">
        <v>371</v>
      </c>
      <c r="J75" s="234">
        <v>42080</v>
      </c>
      <c r="K75" s="234">
        <v>14540</v>
      </c>
      <c r="L75" s="242">
        <v>4</v>
      </c>
      <c r="M75" s="234">
        <v>27540</v>
      </c>
      <c r="N75" s="234">
        <v>26438.400000000001</v>
      </c>
      <c r="O75" s="243" t="s">
        <v>752</v>
      </c>
      <c r="P75" s="236">
        <v>45881</v>
      </c>
    </row>
    <row r="76" spans="1:16" ht="51" customHeight="1">
      <c r="A76" s="239" t="s">
        <v>732</v>
      </c>
      <c r="B76" s="240">
        <v>935</v>
      </c>
      <c r="C76" s="241">
        <v>119</v>
      </c>
      <c r="D76" s="239" t="s">
        <v>376</v>
      </c>
      <c r="E76" s="239" t="s">
        <v>388</v>
      </c>
      <c r="F76" s="239" t="s">
        <v>389</v>
      </c>
      <c r="G76" s="239"/>
      <c r="H76" s="239" t="s">
        <v>728</v>
      </c>
      <c r="I76" s="239" t="s">
        <v>371</v>
      </c>
      <c r="J76" s="234">
        <v>56270</v>
      </c>
      <c r="K76" s="234">
        <v>20960</v>
      </c>
      <c r="L76" s="242">
        <v>19</v>
      </c>
      <c r="M76" s="234">
        <v>35310</v>
      </c>
      <c r="N76" s="234">
        <v>28601.1</v>
      </c>
      <c r="O76" s="243" t="s">
        <v>756</v>
      </c>
      <c r="P76" s="236">
        <v>45882</v>
      </c>
    </row>
    <row r="77" spans="1:16" ht="51" customHeight="1">
      <c r="A77" s="239" t="s">
        <v>735</v>
      </c>
      <c r="B77" s="240">
        <v>934</v>
      </c>
      <c r="C77" s="241">
        <v>118</v>
      </c>
      <c r="D77" s="239" t="s">
        <v>376</v>
      </c>
      <c r="E77" s="239" t="s">
        <v>400</v>
      </c>
      <c r="F77" s="239" t="s">
        <v>401</v>
      </c>
      <c r="G77" s="239"/>
      <c r="H77" s="239" t="s">
        <v>728</v>
      </c>
      <c r="I77" s="239" t="s">
        <v>371</v>
      </c>
      <c r="J77" s="234">
        <v>40290</v>
      </c>
      <c r="K77" s="234">
        <v>14760</v>
      </c>
      <c r="L77" s="242">
        <v>34</v>
      </c>
      <c r="M77" s="234">
        <v>25530</v>
      </c>
      <c r="N77" s="234">
        <v>16849.8</v>
      </c>
      <c r="O77" s="243" t="s">
        <v>759</v>
      </c>
      <c r="P77" s="236">
        <v>45882</v>
      </c>
    </row>
    <row r="78" spans="1:16" ht="51" customHeight="1">
      <c r="A78" s="239" t="s">
        <v>729</v>
      </c>
      <c r="B78" s="240">
        <v>927</v>
      </c>
      <c r="C78" s="241">
        <v>113</v>
      </c>
      <c r="D78" s="239" t="s">
        <v>376</v>
      </c>
      <c r="E78" s="239" t="s">
        <v>406</v>
      </c>
      <c r="F78" s="239" t="s">
        <v>407</v>
      </c>
      <c r="G78" s="239"/>
      <c r="H78" s="239" t="s">
        <v>728</v>
      </c>
      <c r="I78" s="239" t="s">
        <v>371</v>
      </c>
      <c r="J78" s="234">
        <v>41830</v>
      </c>
      <c r="K78" s="234">
        <v>15090</v>
      </c>
      <c r="L78" s="242">
        <v>3</v>
      </c>
      <c r="M78" s="234">
        <v>26740</v>
      </c>
      <c r="N78" s="234">
        <v>25937.8</v>
      </c>
      <c r="O78" s="243" t="s">
        <v>753</v>
      </c>
      <c r="P78" s="236">
        <v>45881</v>
      </c>
    </row>
    <row r="79" spans="1:16" ht="51" customHeight="1">
      <c r="A79" s="239" t="s">
        <v>733</v>
      </c>
      <c r="B79" s="240">
        <v>933</v>
      </c>
      <c r="C79" s="241">
        <v>117</v>
      </c>
      <c r="D79" s="239" t="s">
        <v>376</v>
      </c>
      <c r="E79" s="239" t="s">
        <v>413</v>
      </c>
      <c r="F79" s="239" t="s">
        <v>414</v>
      </c>
      <c r="G79" s="239"/>
      <c r="H79" s="239" t="s">
        <v>728</v>
      </c>
      <c r="I79" s="239" t="s">
        <v>371</v>
      </c>
      <c r="J79" s="234">
        <v>42950</v>
      </c>
      <c r="K79" s="234">
        <v>15010</v>
      </c>
      <c r="L79" s="242">
        <v>22</v>
      </c>
      <c r="M79" s="234">
        <v>27940</v>
      </c>
      <c r="N79" s="234">
        <v>21793.200000000001</v>
      </c>
      <c r="O79" s="243" t="s">
        <v>757</v>
      </c>
      <c r="P79" s="236">
        <v>45882</v>
      </c>
    </row>
    <row r="80" spans="1:16" ht="51" customHeight="1">
      <c r="A80" s="239" t="s">
        <v>734</v>
      </c>
      <c r="B80" s="240">
        <v>932</v>
      </c>
      <c r="C80" s="241">
        <v>116</v>
      </c>
      <c r="D80" s="239" t="s">
        <v>376</v>
      </c>
      <c r="E80" s="239" t="s">
        <v>432</v>
      </c>
      <c r="F80" s="239" t="s">
        <v>433</v>
      </c>
      <c r="G80" s="239"/>
      <c r="H80" s="239" t="s">
        <v>728</v>
      </c>
      <c r="I80" s="239" t="s">
        <v>371</v>
      </c>
      <c r="J80" s="234">
        <v>44940</v>
      </c>
      <c r="K80" s="234">
        <v>15670</v>
      </c>
      <c r="L80" s="242">
        <v>20</v>
      </c>
      <c r="M80" s="234">
        <v>29270</v>
      </c>
      <c r="N80" s="234">
        <v>23416</v>
      </c>
      <c r="O80" s="243" t="s">
        <v>758</v>
      </c>
      <c r="P80" s="236">
        <v>45882</v>
      </c>
    </row>
    <row r="81" spans="1:16" ht="51" customHeight="1">
      <c r="A81" s="239" t="s">
        <v>731</v>
      </c>
      <c r="B81" s="240">
        <v>931</v>
      </c>
      <c r="C81" s="241">
        <v>115</v>
      </c>
      <c r="D81" s="239" t="s">
        <v>376</v>
      </c>
      <c r="E81" s="239" t="s">
        <v>425</v>
      </c>
      <c r="F81" s="239" t="s">
        <v>426</v>
      </c>
      <c r="G81" s="239"/>
      <c r="H81" s="239" t="s">
        <v>728</v>
      </c>
      <c r="I81" s="239" t="s">
        <v>371</v>
      </c>
      <c r="J81" s="234">
        <v>49870</v>
      </c>
      <c r="K81" s="234">
        <v>18700</v>
      </c>
      <c r="L81" s="242">
        <v>32</v>
      </c>
      <c r="M81" s="234">
        <v>31170</v>
      </c>
      <c r="N81" s="234">
        <v>21195.599999999999</v>
      </c>
      <c r="O81" s="243" t="s">
        <v>755</v>
      </c>
      <c r="P81" s="236">
        <v>45881</v>
      </c>
    </row>
    <row r="82" spans="1:16" ht="51" customHeight="1">
      <c r="A82" s="239" t="s">
        <v>730</v>
      </c>
      <c r="B82" s="240">
        <v>930</v>
      </c>
      <c r="C82" s="241">
        <v>114</v>
      </c>
      <c r="D82" s="239" t="s">
        <v>376</v>
      </c>
      <c r="E82" s="239" t="s">
        <v>377</v>
      </c>
      <c r="F82" s="239" t="s">
        <v>378</v>
      </c>
      <c r="G82" s="239"/>
      <c r="H82" s="239" t="s">
        <v>728</v>
      </c>
      <c r="I82" s="239" t="s">
        <v>371</v>
      </c>
      <c r="J82" s="234">
        <v>43510</v>
      </c>
      <c r="K82" s="234">
        <v>15130</v>
      </c>
      <c r="L82" s="242">
        <v>22</v>
      </c>
      <c r="M82" s="234">
        <v>28380</v>
      </c>
      <c r="N82" s="234">
        <v>22136.400000000001</v>
      </c>
      <c r="O82" s="243" t="s">
        <v>754</v>
      </c>
      <c r="P82" s="236">
        <v>45881</v>
      </c>
    </row>
    <row r="83" spans="1:16" ht="51" customHeight="1">
      <c r="A83" s="239" t="s">
        <v>736</v>
      </c>
      <c r="B83" s="240">
        <v>937</v>
      </c>
      <c r="C83" s="241">
        <v>120</v>
      </c>
      <c r="D83" s="239" t="s">
        <v>376</v>
      </c>
      <c r="E83" s="239" t="s">
        <v>390</v>
      </c>
      <c r="F83" s="239" t="s">
        <v>391</v>
      </c>
      <c r="G83" s="239"/>
      <c r="H83" s="239" t="s">
        <v>728</v>
      </c>
      <c r="I83" s="239" t="s">
        <v>371</v>
      </c>
      <c r="J83" s="234">
        <v>39300</v>
      </c>
      <c r="K83" s="234">
        <v>14950</v>
      </c>
      <c r="L83" s="242">
        <v>13</v>
      </c>
      <c r="M83" s="234">
        <v>24350</v>
      </c>
      <c r="N83" s="234">
        <v>21184.5</v>
      </c>
      <c r="O83" s="243" t="s">
        <v>760</v>
      </c>
      <c r="P83" s="236">
        <v>45882</v>
      </c>
    </row>
    <row r="84" spans="1:16" ht="51" customHeight="1">
      <c r="A84" s="239" t="s">
        <v>737</v>
      </c>
      <c r="B84" s="240">
        <v>939</v>
      </c>
      <c r="C84" s="241">
        <v>122</v>
      </c>
      <c r="D84" s="239" t="s">
        <v>376</v>
      </c>
      <c r="E84" s="239" t="s">
        <v>453</v>
      </c>
      <c r="F84" s="239" t="s">
        <v>454</v>
      </c>
      <c r="G84" s="239"/>
      <c r="H84" s="239" t="s">
        <v>728</v>
      </c>
      <c r="I84" s="239" t="s">
        <v>371</v>
      </c>
      <c r="J84" s="234">
        <v>52350</v>
      </c>
      <c r="K84" s="234">
        <v>23450</v>
      </c>
      <c r="L84" s="242">
        <v>10</v>
      </c>
      <c r="M84" s="234">
        <v>28900</v>
      </c>
      <c r="N84" s="234">
        <v>26010</v>
      </c>
      <c r="O84" s="243" t="s">
        <v>761</v>
      </c>
      <c r="P84" s="236">
        <v>45882</v>
      </c>
    </row>
    <row r="85" spans="1:16" ht="51" customHeight="1">
      <c r="A85" s="239" t="s">
        <v>738</v>
      </c>
      <c r="B85" s="240">
        <v>940</v>
      </c>
      <c r="C85" s="241">
        <v>123</v>
      </c>
      <c r="D85" s="239" t="s">
        <v>376</v>
      </c>
      <c r="E85" s="239" t="s">
        <v>456</v>
      </c>
      <c r="F85" s="239" t="s">
        <v>457</v>
      </c>
      <c r="G85" s="239"/>
      <c r="H85" s="239" t="s">
        <v>728</v>
      </c>
      <c r="I85" s="239" t="s">
        <v>371</v>
      </c>
      <c r="J85" s="234">
        <v>43100</v>
      </c>
      <c r="K85" s="234">
        <v>15640</v>
      </c>
      <c r="L85" s="242">
        <v>15</v>
      </c>
      <c r="M85" s="234">
        <v>27460</v>
      </c>
      <c r="N85" s="234">
        <v>23341</v>
      </c>
      <c r="O85" s="243" t="s">
        <v>762</v>
      </c>
      <c r="P85" s="236">
        <v>45882</v>
      </c>
    </row>
    <row r="86" spans="1:16" ht="51" customHeight="1">
      <c r="A86" s="239" t="s">
        <v>739</v>
      </c>
      <c r="B86" s="240">
        <v>936</v>
      </c>
      <c r="C86" s="241">
        <v>121</v>
      </c>
      <c r="D86" s="239" t="s">
        <v>376</v>
      </c>
      <c r="E86" s="239" t="s">
        <v>392</v>
      </c>
      <c r="F86" s="239" t="s">
        <v>393</v>
      </c>
      <c r="G86" s="239"/>
      <c r="H86" s="239" t="s">
        <v>728</v>
      </c>
      <c r="I86" s="239" t="s">
        <v>371</v>
      </c>
      <c r="J86" s="234">
        <v>63600</v>
      </c>
      <c r="K86" s="234">
        <v>24160</v>
      </c>
      <c r="L86" s="242">
        <v>10</v>
      </c>
      <c r="M86" s="234">
        <v>39440</v>
      </c>
      <c r="N86" s="234">
        <v>35496</v>
      </c>
      <c r="O86" s="243" t="s">
        <v>763</v>
      </c>
      <c r="P86" s="236">
        <v>45882</v>
      </c>
    </row>
    <row r="87" spans="1:16" ht="51" customHeight="1">
      <c r="A87" s="239" t="s">
        <v>740</v>
      </c>
      <c r="B87" s="240">
        <v>941</v>
      </c>
      <c r="C87" s="241">
        <v>124</v>
      </c>
      <c r="D87" s="239" t="s">
        <v>376</v>
      </c>
      <c r="E87" s="239" t="s">
        <v>1410</v>
      </c>
      <c r="F87" s="239" t="s">
        <v>437</v>
      </c>
      <c r="G87" s="239"/>
      <c r="H87" s="239" t="s">
        <v>728</v>
      </c>
      <c r="I87" s="239" t="s">
        <v>371</v>
      </c>
      <c r="J87" s="234">
        <v>41440</v>
      </c>
      <c r="K87" s="234">
        <v>14910</v>
      </c>
      <c r="L87" s="242">
        <v>9</v>
      </c>
      <c r="M87" s="234">
        <v>26530</v>
      </c>
      <c r="N87" s="234">
        <v>24142.3</v>
      </c>
      <c r="O87" s="243" t="s">
        <v>764</v>
      </c>
      <c r="P87" s="236">
        <v>45882</v>
      </c>
    </row>
    <row r="88" spans="1:16" ht="51" customHeight="1">
      <c r="A88" s="239" t="s">
        <v>741</v>
      </c>
      <c r="B88" s="240">
        <v>942</v>
      </c>
      <c r="C88" s="241">
        <v>125</v>
      </c>
      <c r="D88" s="239" t="s">
        <v>376</v>
      </c>
      <c r="E88" s="239" t="s">
        <v>439</v>
      </c>
      <c r="F88" s="239" t="s">
        <v>440</v>
      </c>
      <c r="G88" s="239"/>
      <c r="H88" s="239" t="s">
        <v>728</v>
      </c>
      <c r="I88" s="239" t="s">
        <v>371</v>
      </c>
      <c r="J88" s="234">
        <v>40150</v>
      </c>
      <c r="K88" s="234">
        <v>15130</v>
      </c>
      <c r="L88" s="242">
        <v>9</v>
      </c>
      <c r="M88" s="234">
        <v>25020</v>
      </c>
      <c r="N88" s="234">
        <v>22768.2</v>
      </c>
      <c r="O88" s="243" t="s">
        <v>765</v>
      </c>
      <c r="P88" s="236">
        <v>45882</v>
      </c>
    </row>
    <row r="89" spans="1:16" ht="51" customHeight="1">
      <c r="A89" s="239" t="s">
        <v>742</v>
      </c>
      <c r="B89" s="240">
        <v>944</v>
      </c>
      <c r="C89" s="241">
        <v>127</v>
      </c>
      <c r="D89" s="239" t="s">
        <v>376</v>
      </c>
      <c r="E89" s="239" t="s">
        <v>382</v>
      </c>
      <c r="F89" s="239" t="s">
        <v>383</v>
      </c>
      <c r="G89" s="239"/>
      <c r="H89" s="239" t="s">
        <v>728</v>
      </c>
      <c r="I89" s="239" t="s">
        <v>371</v>
      </c>
      <c r="J89" s="234">
        <v>39350</v>
      </c>
      <c r="K89" s="234">
        <v>14580</v>
      </c>
      <c r="L89" s="242">
        <v>13</v>
      </c>
      <c r="M89" s="234">
        <v>24770</v>
      </c>
      <c r="N89" s="234">
        <v>21549.9</v>
      </c>
      <c r="O89" s="243" t="s">
        <v>766</v>
      </c>
      <c r="P89" s="236">
        <v>45882</v>
      </c>
    </row>
    <row r="90" spans="1:16" ht="51" customHeight="1">
      <c r="A90" s="239" t="s">
        <v>743</v>
      </c>
      <c r="B90" s="240">
        <v>945</v>
      </c>
      <c r="C90" s="241">
        <v>126</v>
      </c>
      <c r="D90" s="239" t="s">
        <v>376</v>
      </c>
      <c r="E90" s="239" t="s">
        <v>447</v>
      </c>
      <c r="F90" s="239" t="s">
        <v>448</v>
      </c>
      <c r="G90" s="239"/>
      <c r="H90" s="239" t="s">
        <v>728</v>
      </c>
      <c r="I90" s="239" t="s">
        <v>371</v>
      </c>
      <c r="J90" s="234">
        <v>51680</v>
      </c>
      <c r="K90" s="234">
        <v>19490</v>
      </c>
      <c r="L90" s="242">
        <v>4</v>
      </c>
      <c r="M90" s="234">
        <v>32190</v>
      </c>
      <c r="N90" s="234">
        <v>30902.400000000001</v>
      </c>
      <c r="O90" s="243" t="s">
        <v>767</v>
      </c>
      <c r="P90" s="236">
        <v>45882</v>
      </c>
    </row>
    <row r="91" spans="1:16" ht="51" customHeight="1">
      <c r="A91" s="239" t="s">
        <v>744</v>
      </c>
      <c r="B91" s="240">
        <v>946</v>
      </c>
      <c r="C91" s="241">
        <v>129</v>
      </c>
      <c r="D91" s="239" t="s">
        <v>376</v>
      </c>
      <c r="E91" s="239" t="s">
        <v>384</v>
      </c>
      <c r="F91" s="239" t="s">
        <v>385</v>
      </c>
      <c r="G91" s="239"/>
      <c r="H91" s="239" t="s">
        <v>728</v>
      </c>
      <c r="I91" s="239" t="s">
        <v>371</v>
      </c>
      <c r="J91" s="234">
        <v>38460</v>
      </c>
      <c r="K91" s="234">
        <v>13980</v>
      </c>
      <c r="L91" s="242">
        <v>5</v>
      </c>
      <c r="M91" s="234">
        <v>24480</v>
      </c>
      <c r="N91" s="234">
        <v>23256</v>
      </c>
      <c r="O91" s="243" t="s">
        <v>768</v>
      </c>
      <c r="P91" s="236">
        <v>45882</v>
      </c>
    </row>
    <row r="92" spans="1:16" ht="51" customHeight="1">
      <c r="A92" s="239" t="s">
        <v>746</v>
      </c>
      <c r="B92" s="240">
        <v>947</v>
      </c>
      <c r="C92" s="241">
        <v>131</v>
      </c>
      <c r="D92" s="239" t="s">
        <v>376</v>
      </c>
      <c r="E92" s="239" t="s">
        <v>386</v>
      </c>
      <c r="F92" s="239" t="s">
        <v>387</v>
      </c>
      <c r="G92" s="239"/>
      <c r="H92" s="239" t="s">
        <v>728</v>
      </c>
      <c r="I92" s="239" t="s">
        <v>371</v>
      </c>
      <c r="J92" s="234">
        <v>43230</v>
      </c>
      <c r="K92" s="234">
        <v>15390</v>
      </c>
      <c r="L92" s="242">
        <v>4</v>
      </c>
      <c r="M92" s="234">
        <v>27840</v>
      </c>
      <c r="N92" s="234">
        <v>26726.400000000001</v>
      </c>
      <c r="O92" s="243" t="s">
        <v>770</v>
      </c>
      <c r="P92" s="236">
        <v>45882</v>
      </c>
    </row>
    <row r="93" spans="1:16" ht="51" customHeight="1">
      <c r="A93" s="239" t="s">
        <v>747</v>
      </c>
      <c r="B93" s="240">
        <v>948</v>
      </c>
      <c r="C93" s="241">
        <v>110</v>
      </c>
      <c r="D93" s="239" t="s">
        <v>376</v>
      </c>
      <c r="E93" s="239" t="s">
        <v>372</v>
      </c>
      <c r="F93" s="239" t="s">
        <v>373</v>
      </c>
      <c r="G93" s="239"/>
      <c r="H93" s="239" t="s">
        <v>728</v>
      </c>
      <c r="I93" s="239" t="s">
        <v>371</v>
      </c>
      <c r="J93" s="234">
        <v>41550</v>
      </c>
      <c r="K93" s="234">
        <v>15130</v>
      </c>
      <c r="L93" s="242">
        <v>10</v>
      </c>
      <c r="M93" s="234">
        <v>26420</v>
      </c>
      <c r="N93" s="234">
        <v>23778</v>
      </c>
      <c r="O93" s="243" t="s">
        <v>771</v>
      </c>
      <c r="P93" s="236">
        <v>45882</v>
      </c>
    </row>
    <row r="94" spans="1:16" ht="51" customHeight="1">
      <c r="A94" s="239" t="s">
        <v>745</v>
      </c>
      <c r="B94" s="240">
        <v>949</v>
      </c>
      <c r="C94" s="241">
        <v>132</v>
      </c>
      <c r="D94" s="239" t="s">
        <v>376</v>
      </c>
      <c r="E94" s="239" t="s">
        <v>377</v>
      </c>
      <c r="F94" s="239" t="s">
        <v>378</v>
      </c>
      <c r="G94" s="239"/>
      <c r="H94" s="239" t="s">
        <v>728</v>
      </c>
      <c r="I94" s="239" t="s">
        <v>371</v>
      </c>
      <c r="J94" s="234">
        <v>41190</v>
      </c>
      <c r="K94" s="234">
        <v>15150</v>
      </c>
      <c r="L94" s="242">
        <v>18</v>
      </c>
      <c r="M94" s="234">
        <v>26040</v>
      </c>
      <c r="N94" s="234">
        <v>21352.799999999999</v>
      </c>
      <c r="O94" s="243" t="s">
        <v>769</v>
      </c>
      <c r="P94" s="236">
        <v>45882</v>
      </c>
    </row>
    <row r="95" spans="1:16" ht="51" customHeight="1">
      <c r="A95" s="239" t="s">
        <v>748</v>
      </c>
      <c r="B95" s="240">
        <v>950</v>
      </c>
      <c r="C95" s="241">
        <v>135</v>
      </c>
      <c r="D95" s="239" t="s">
        <v>376</v>
      </c>
      <c r="E95" s="239" t="s">
        <v>403</v>
      </c>
      <c r="F95" s="239" t="s">
        <v>404</v>
      </c>
      <c r="G95" s="239"/>
      <c r="H95" s="239" t="s">
        <v>728</v>
      </c>
      <c r="I95" s="239" t="s">
        <v>371</v>
      </c>
      <c r="J95" s="234">
        <v>43580</v>
      </c>
      <c r="K95" s="234">
        <v>14520</v>
      </c>
      <c r="L95" s="242">
        <v>17</v>
      </c>
      <c r="M95" s="234">
        <v>29060</v>
      </c>
      <c r="N95" s="234">
        <v>24119.8</v>
      </c>
      <c r="O95" s="243" t="s">
        <v>772</v>
      </c>
      <c r="P95" s="236">
        <v>45883</v>
      </c>
    </row>
    <row r="96" spans="1:16" ht="51" customHeight="1">
      <c r="A96" s="239" t="s">
        <v>749</v>
      </c>
      <c r="B96" s="240">
        <v>951</v>
      </c>
      <c r="C96" s="241">
        <v>136</v>
      </c>
      <c r="D96" s="239" t="s">
        <v>376</v>
      </c>
      <c r="E96" s="239" t="s">
        <v>406</v>
      </c>
      <c r="F96" s="239" t="s">
        <v>407</v>
      </c>
      <c r="G96" s="239"/>
      <c r="H96" s="239" t="s">
        <v>728</v>
      </c>
      <c r="I96" s="239" t="s">
        <v>371</v>
      </c>
      <c r="J96" s="234">
        <v>42250</v>
      </c>
      <c r="K96" s="234">
        <v>15130</v>
      </c>
      <c r="L96" s="242">
        <v>4</v>
      </c>
      <c r="M96" s="234">
        <v>27120</v>
      </c>
      <c r="N96" s="234">
        <v>26035.200000000001</v>
      </c>
      <c r="O96" s="243" t="s">
        <v>773</v>
      </c>
      <c r="P96" s="236">
        <v>45883</v>
      </c>
    </row>
    <row r="97" spans="1:16" ht="51" customHeight="1">
      <c r="A97" s="239" t="s">
        <v>788</v>
      </c>
      <c r="B97" s="240">
        <v>952</v>
      </c>
      <c r="C97" s="241">
        <v>30004</v>
      </c>
      <c r="D97" s="239" t="s">
        <v>3817</v>
      </c>
      <c r="E97" s="239" t="s">
        <v>380</v>
      </c>
      <c r="F97" s="239" t="s">
        <v>381</v>
      </c>
      <c r="G97" s="239" t="s">
        <v>750</v>
      </c>
      <c r="H97" s="239" t="s">
        <v>777</v>
      </c>
      <c r="I97" s="239" t="s">
        <v>399</v>
      </c>
      <c r="J97" s="234">
        <v>35530</v>
      </c>
      <c r="K97" s="234">
        <v>15060</v>
      </c>
      <c r="L97" s="242">
        <v>6</v>
      </c>
      <c r="M97" s="234">
        <v>20470</v>
      </c>
      <c r="N97" s="234">
        <v>19241.8</v>
      </c>
      <c r="O97" s="243" t="s">
        <v>774</v>
      </c>
      <c r="P97" s="236">
        <v>45883</v>
      </c>
    </row>
    <row r="98" spans="1:16" ht="51" customHeight="1">
      <c r="A98" s="239" t="s">
        <v>789</v>
      </c>
      <c r="B98" s="240">
        <v>953</v>
      </c>
      <c r="C98" s="241">
        <v>30006</v>
      </c>
      <c r="D98" s="239" t="s">
        <v>3817</v>
      </c>
      <c r="E98" s="239" t="s">
        <v>410</v>
      </c>
      <c r="F98" s="239" t="s">
        <v>411</v>
      </c>
      <c r="G98" s="239" t="s">
        <v>750</v>
      </c>
      <c r="H98" s="239" t="s">
        <v>777</v>
      </c>
      <c r="I98" s="239" t="s">
        <v>399</v>
      </c>
      <c r="J98" s="234">
        <v>36240</v>
      </c>
      <c r="K98" s="234">
        <v>14980</v>
      </c>
      <c r="L98" s="242">
        <v>16</v>
      </c>
      <c r="M98" s="234">
        <v>21260</v>
      </c>
      <c r="N98" s="234">
        <v>17858.400000000001</v>
      </c>
      <c r="O98" s="243" t="s">
        <v>775</v>
      </c>
      <c r="P98" s="236">
        <v>45883</v>
      </c>
    </row>
    <row r="99" spans="1:16" ht="51" customHeight="1">
      <c r="A99" s="239" t="s">
        <v>751</v>
      </c>
      <c r="B99" s="240">
        <v>954</v>
      </c>
      <c r="C99" s="241">
        <v>30017</v>
      </c>
      <c r="D99" s="239" t="s">
        <v>3817</v>
      </c>
      <c r="E99" s="239" t="s">
        <v>420</v>
      </c>
      <c r="F99" s="239" t="s">
        <v>421</v>
      </c>
      <c r="G99" s="239" t="s">
        <v>750</v>
      </c>
      <c r="H99" s="239" t="s">
        <v>777</v>
      </c>
      <c r="I99" s="239" t="s">
        <v>399</v>
      </c>
      <c r="J99" s="234">
        <v>34280</v>
      </c>
      <c r="K99" s="234">
        <v>14870</v>
      </c>
      <c r="L99" s="242">
        <v>16</v>
      </c>
      <c r="M99" s="234">
        <v>19410</v>
      </c>
      <c r="N99" s="234">
        <v>16304.4</v>
      </c>
      <c r="O99" s="243" t="s">
        <v>776</v>
      </c>
      <c r="P99" s="236">
        <v>45883</v>
      </c>
    </row>
    <row r="100" spans="1:16" ht="51" customHeight="1">
      <c r="A100" s="239" t="s">
        <v>778</v>
      </c>
      <c r="B100" s="240">
        <v>955</v>
      </c>
      <c r="C100" s="241">
        <v>30043</v>
      </c>
      <c r="D100" s="239" t="s">
        <v>3817</v>
      </c>
      <c r="E100" s="239" t="s">
        <v>442</v>
      </c>
      <c r="F100" s="239" t="s">
        <v>443</v>
      </c>
      <c r="G100" s="239" t="s">
        <v>750</v>
      </c>
      <c r="H100" s="239" t="s">
        <v>777</v>
      </c>
      <c r="I100" s="239" t="s">
        <v>399</v>
      </c>
      <c r="J100" s="234">
        <v>33340</v>
      </c>
      <c r="K100" s="234">
        <v>14470</v>
      </c>
      <c r="L100" s="242">
        <v>29</v>
      </c>
      <c r="M100" s="234">
        <v>18870</v>
      </c>
      <c r="N100" s="234">
        <v>13397.7</v>
      </c>
      <c r="O100" s="243" t="s">
        <v>796</v>
      </c>
      <c r="P100" s="236">
        <v>45883</v>
      </c>
    </row>
    <row r="101" spans="1:16" ht="51" customHeight="1">
      <c r="A101" s="239" t="s">
        <v>779</v>
      </c>
      <c r="B101" s="240">
        <v>956</v>
      </c>
      <c r="C101" s="241">
        <v>30045</v>
      </c>
      <c r="D101" s="239" t="s">
        <v>3817</v>
      </c>
      <c r="E101" s="239" t="s">
        <v>780</v>
      </c>
      <c r="F101" s="239" t="s">
        <v>781</v>
      </c>
      <c r="G101" s="239" t="s">
        <v>750</v>
      </c>
      <c r="H101" s="239" t="s">
        <v>777</v>
      </c>
      <c r="I101" s="239" t="s">
        <v>399</v>
      </c>
      <c r="J101" s="234">
        <v>33680</v>
      </c>
      <c r="K101" s="234">
        <v>14890</v>
      </c>
      <c r="L101" s="242">
        <v>12</v>
      </c>
      <c r="M101" s="234">
        <v>18790</v>
      </c>
      <c r="N101" s="234">
        <v>16535.2</v>
      </c>
      <c r="O101" s="243" t="s">
        <v>797</v>
      </c>
      <c r="P101" s="236">
        <v>45883</v>
      </c>
    </row>
    <row r="102" spans="1:16" ht="51" customHeight="1">
      <c r="A102" s="239" t="s">
        <v>782</v>
      </c>
      <c r="B102" s="240">
        <v>958</v>
      </c>
      <c r="C102" s="241">
        <v>30091</v>
      </c>
      <c r="D102" s="239" t="s">
        <v>3817</v>
      </c>
      <c r="E102" s="239" t="s">
        <v>783</v>
      </c>
      <c r="F102" s="239" t="s">
        <v>784</v>
      </c>
      <c r="G102" s="239" t="s">
        <v>750</v>
      </c>
      <c r="H102" s="239" t="s">
        <v>777</v>
      </c>
      <c r="I102" s="239" t="s">
        <v>399</v>
      </c>
      <c r="J102" s="234">
        <v>37090</v>
      </c>
      <c r="K102" s="234">
        <v>14660</v>
      </c>
      <c r="L102" s="242">
        <v>20</v>
      </c>
      <c r="M102" s="234">
        <v>22430</v>
      </c>
      <c r="N102" s="234">
        <v>17944</v>
      </c>
      <c r="O102" s="243" t="s">
        <v>798</v>
      </c>
      <c r="P102" s="236">
        <v>45883</v>
      </c>
    </row>
    <row r="103" spans="1:16" ht="51" customHeight="1">
      <c r="A103" s="239" t="s">
        <v>785</v>
      </c>
      <c r="B103" s="240">
        <v>959</v>
      </c>
      <c r="C103" s="241">
        <v>30089</v>
      </c>
      <c r="D103" s="239" t="s">
        <v>3817</v>
      </c>
      <c r="E103" s="239" t="s">
        <v>786</v>
      </c>
      <c r="F103" s="239" t="s">
        <v>787</v>
      </c>
      <c r="G103" s="239" t="s">
        <v>750</v>
      </c>
      <c r="H103" s="239" t="s">
        <v>777</v>
      </c>
      <c r="I103" s="239" t="s">
        <v>399</v>
      </c>
      <c r="J103" s="234">
        <v>33150</v>
      </c>
      <c r="K103" s="234">
        <v>14010</v>
      </c>
      <c r="L103" s="242">
        <v>20</v>
      </c>
      <c r="M103" s="234">
        <v>19140</v>
      </c>
      <c r="N103" s="234">
        <v>15312</v>
      </c>
      <c r="O103" s="243" t="s">
        <v>799</v>
      </c>
      <c r="P103" s="236">
        <v>45883</v>
      </c>
    </row>
    <row r="104" spans="1:16" ht="51" customHeight="1">
      <c r="A104" s="239" t="s">
        <v>790</v>
      </c>
      <c r="B104" s="240">
        <v>961</v>
      </c>
      <c r="C104" s="241">
        <v>30093</v>
      </c>
      <c r="D104" s="239" t="s">
        <v>3817</v>
      </c>
      <c r="E104" s="239" t="s">
        <v>791</v>
      </c>
      <c r="F104" s="239" t="s">
        <v>792</v>
      </c>
      <c r="G104" s="239" t="s">
        <v>750</v>
      </c>
      <c r="H104" s="239" t="s">
        <v>777</v>
      </c>
      <c r="I104" s="239" t="s">
        <v>399</v>
      </c>
      <c r="J104" s="234">
        <v>36520</v>
      </c>
      <c r="K104" s="234">
        <v>14980</v>
      </c>
      <c r="L104" s="242">
        <v>21</v>
      </c>
      <c r="M104" s="234">
        <v>21540</v>
      </c>
      <c r="N104" s="234">
        <v>17016.599999999999</v>
      </c>
      <c r="O104" s="243" t="s">
        <v>800</v>
      </c>
      <c r="P104" s="236">
        <v>45883</v>
      </c>
    </row>
    <row r="105" spans="1:16" ht="51" customHeight="1">
      <c r="A105" s="239" t="s">
        <v>793</v>
      </c>
      <c r="B105" s="240">
        <v>962</v>
      </c>
      <c r="C105" s="241">
        <v>30095</v>
      </c>
      <c r="D105" s="239" t="s">
        <v>3817</v>
      </c>
      <c r="E105" s="239" t="s">
        <v>794</v>
      </c>
      <c r="F105" s="239" t="s">
        <v>795</v>
      </c>
      <c r="G105" s="239" t="s">
        <v>750</v>
      </c>
      <c r="H105" s="239" t="s">
        <v>777</v>
      </c>
      <c r="I105" s="239" t="s">
        <v>399</v>
      </c>
      <c r="J105" s="234">
        <v>39640</v>
      </c>
      <c r="K105" s="234">
        <v>16100</v>
      </c>
      <c r="L105" s="242">
        <v>13</v>
      </c>
      <c r="M105" s="234">
        <v>23540</v>
      </c>
      <c r="N105" s="234">
        <v>20479.8</v>
      </c>
      <c r="O105" s="243" t="s">
        <v>801</v>
      </c>
      <c r="P105" s="236">
        <v>45883</v>
      </c>
    </row>
    <row r="106" spans="1:16" ht="51" customHeight="1">
      <c r="A106" s="239" t="s">
        <v>844</v>
      </c>
      <c r="B106" s="240">
        <v>964</v>
      </c>
      <c r="C106" s="241">
        <v>30097</v>
      </c>
      <c r="D106" s="239" t="s">
        <v>3817</v>
      </c>
      <c r="E106" s="239" t="s">
        <v>841</v>
      </c>
      <c r="F106" s="239" t="s">
        <v>845</v>
      </c>
      <c r="G106" s="239" t="s">
        <v>750</v>
      </c>
      <c r="H106" s="239" t="s">
        <v>777</v>
      </c>
      <c r="I106" s="239" t="s">
        <v>399</v>
      </c>
      <c r="J106" s="234">
        <v>39460</v>
      </c>
      <c r="K106" s="234">
        <v>15920</v>
      </c>
      <c r="L106" s="242">
        <v>12</v>
      </c>
      <c r="M106" s="234">
        <v>23540</v>
      </c>
      <c r="N106" s="234">
        <v>20715.2</v>
      </c>
      <c r="O106" s="243" t="s">
        <v>876</v>
      </c>
      <c r="P106" s="236">
        <v>45883</v>
      </c>
    </row>
    <row r="107" spans="1:16" ht="51" customHeight="1">
      <c r="A107" s="239" t="s">
        <v>846</v>
      </c>
      <c r="B107" s="240">
        <v>967</v>
      </c>
      <c r="C107" s="241">
        <v>30099</v>
      </c>
      <c r="D107" s="239" t="s">
        <v>3817</v>
      </c>
      <c r="E107" s="239" t="s">
        <v>413</v>
      </c>
      <c r="F107" s="239" t="s">
        <v>414</v>
      </c>
      <c r="G107" s="239" t="s">
        <v>750</v>
      </c>
      <c r="H107" s="239" t="s">
        <v>777</v>
      </c>
      <c r="I107" s="239" t="s">
        <v>399</v>
      </c>
      <c r="J107" s="234">
        <v>40140</v>
      </c>
      <c r="K107" s="234">
        <v>14920</v>
      </c>
      <c r="L107" s="242">
        <v>37</v>
      </c>
      <c r="M107" s="234">
        <v>25220</v>
      </c>
      <c r="N107" s="234">
        <v>15888.6</v>
      </c>
      <c r="O107" s="243" t="s">
        <v>877</v>
      </c>
      <c r="P107" s="236">
        <v>45883</v>
      </c>
    </row>
    <row r="108" spans="1:16" ht="51" customHeight="1">
      <c r="A108" s="239" t="s">
        <v>847</v>
      </c>
      <c r="B108" s="240">
        <v>968</v>
      </c>
      <c r="C108" s="241">
        <v>30101</v>
      </c>
      <c r="D108" s="239" t="s">
        <v>3817</v>
      </c>
      <c r="E108" s="239" t="s">
        <v>432</v>
      </c>
      <c r="F108" s="239" t="s">
        <v>433</v>
      </c>
      <c r="G108" s="239" t="s">
        <v>750</v>
      </c>
      <c r="H108" s="239" t="s">
        <v>777</v>
      </c>
      <c r="I108" s="239" t="s">
        <v>399</v>
      </c>
      <c r="J108" s="234">
        <v>41240</v>
      </c>
      <c r="K108" s="234">
        <v>15590</v>
      </c>
      <c r="L108" s="242">
        <v>19</v>
      </c>
      <c r="M108" s="234">
        <v>25650</v>
      </c>
      <c r="N108" s="234">
        <v>20776.5</v>
      </c>
      <c r="O108" s="243" t="s">
        <v>878</v>
      </c>
      <c r="P108" s="236">
        <v>45883</v>
      </c>
    </row>
    <row r="109" spans="1:16" ht="51" customHeight="1">
      <c r="A109" s="239" t="s">
        <v>848</v>
      </c>
      <c r="B109" s="240">
        <v>969</v>
      </c>
      <c r="C109" s="241">
        <v>30103</v>
      </c>
      <c r="D109" s="239" t="s">
        <v>3817</v>
      </c>
      <c r="E109" s="239" t="s">
        <v>462</v>
      </c>
      <c r="F109" s="239" t="s">
        <v>463</v>
      </c>
      <c r="G109" s="239" t="s">
        <v>750</v>
      </c>
      <c r="H109" s="239" t="s">
        <v>777</v>
      </c>
      <c r="I109" s="239" t="s">
        <v>399</v>
      </c>
      <c r="J109" s="234">
        <v>38470</v>
      </c>
      <c r="K109" s="234">
        <v>16400</v>
      </c>
      <c r="L109" s="242">
        <v>6</v>
      </c>
      <c r="M109" s="234">
        <v>22070</v>
      </c>
      <c r="N109" s="234">
        <v>20745.8</v>
      </c>
      <c r="O109" s="243" t="s">
        <v>879</v>
      </c>
      <c r="P109" s="236">
        <v>45883</v>
      </c>
    </row>
    <row r="110" spans="1:16" ht="51" customHeight="1">
      <c r="A110" s="239" t="s">
        <v>849</v>
      </c>
      <c r="B110" s="240">
        <v>970</v>
      </c>
      <c r="C110" s="241">
        <v>30105</v>
      </c>
      <c r="D110" s="239" t="s">
        <v>3817</v>
      </c>
      <c r="E110" s="239" t="s">
        <v>447</v>
      </c>
      <c r="F110" s="239" t="s">
        <v>448</v>
      </c>
      <c r="G110" s="239" t="s">
        <v>750</v>
      </c>
      <c r="H110" s="239" t="s">
        <v>777</v>
      </c>
      <c r="I110" s="239" t="s">
        <v>399</v>
      </c>
      <c r="J110" s="234">
        <v>43920</v>
      </c>
      <c r="K110" s="234">
        <v>19310</v>
      </c>
      <c r="L110" s="242">
        <v>19</v>
      </c>
      <c r="M110" s="234">
        <v>24610</v>
      </c>
      <c r="N110" s="234">
        <v>19934.099999999999</v>
      </c>
      <c r="O110" s="243" t="s">
        <v>880</v>
      </c>
      <c r="P110" s="236">
        <v>45883</v>
      </c>
    </row>
    <row r="111" spans="1:16" ht="51" customHeight="1">
      <c r="A111" s="239" t="s">
        <v>851</v>
      </c>
      <c r="B111" s="240">
        <v>971</v>
      </c>
      <c r="C111" s="241">
        <v>30115</v>
      </c>
      <c r="D111" s="239" t="s">
        <v>3817</v>
      </c>
      <c r="E111" s="239" t="s">
        <v>456</v>
      </c>
      <c r="F111" s="239" t="s">
        <v>457</v>
      </c>
      <c r="G111" s="239" t="s">
        <v>750</v>
      </c>
      <c r="H111" s="239" t="s">
        <v>777</v>
      </c>
      <c r="I111" s="239" t="s">
        <v>399</v>
      </c>
      <c r="J111" s="234">
        <v>41820</v>
      </c>
      <c r="K111" s="234">
        <v>15540</v>
      </c>
      <c r="L111" s="242">
        <v>10</v>
      </c>
      <c r="M111" s="234">
        <v>26280</v>
      </c>
      <c r="N111" s="234">
        <v>23652</v>
      </c>
      <c r="O111" s="243" t="s">
        <v>882</v>
      </c>
      <c r="P111" s="236">
        <v>45883</v>
      </c>
    </row>
    <row r="112" spans="1:16" ht="51" customHeight="1">
      <c r="A112" s="239" t="s">
        <v>852</v>
      </c>
      <c r="B112" s="240">
        <v>973</v>
      </c>
      <c r="C112" s="241">
        <v>30107</v>
      </c>
      <c r="D112" s="239" t="s">
        <v>3817</v>
      </c>
      <c r="E112" s="239" t="s">
        <v>392</v>
      </c>
      <c r="F112" s="239" t="s">
        <v>393</v>
      </c>
      <c r="G112" s="239" t="s">
        <v>750</v>
      </c>
      <c r="H112" s="239" t="s">
        <v>777</v>
      </c>
      <c r="I112" s="239" t="s">
        <v>399</v>
      </c>
      <c r="J112" s="234">
        <v>47570</v>
      </c>
      <c r="K112" s="234">
        <v>24050</v>
      </c>
      <c r="L112" s="242">
        <v>23</v>
      </c>
      <c r="M112" s="234">
        <v>23520</v>
      </c>
      <c r="N112" s="234">
        <v>18110.400000000001</v>
      </c>
      <c r="O112" s="243" t="s">
        <v>883</v>
      </c>
      <c r="P112" s="236">
        <v>45884</v>
      </c>
    </row>
    <row r="113" spans="1:16" ht="51" customHeight="1">
      <c r="A113" s="239" t="s">
        <v>850</v>
      </c>
      <c r="B113" s="240">
        <v>972</v>
      </c>
      <c r="C113" s="241">
        <v>30113</v>
      </c>
      <c r="D113" s="239" t="s">
        <v>3817</v>
      </c>
      <c r="E113" s="239" t="s">
        <v>453</v>
      </c>
      <c r="F113" s="239" t="s">
        <v>454</v>
      </c>
      <c r="G113" s="239" t="s">
        <v>750</v>
      </c>
      <c r="H113" s="239" t="s">
        <v>777</v>
      </c>
      <c r="I113" s="239" t="s">
        <v>399</v>
      </c>
      <c r="J113" s="234">
        <v>50440</v>
      </c>
      <c r="K113" s="234">
        <v>24130</v>
      </c>
      <c r="L113" s="242">
        <v>15</v>
      </c>
      <c r="M113" s="234">
        <v>26310</v>
      </c>
      <c r="N113" s="234">
        <v>22363.5</v>
      </c>
      <c r="O113" s="243" t="s">
        <v>881</v>
      </c>
      <c r="P113" s="236">
        <v>45883</v>
      </c>
    </row>
    <row r="114" spans="1:16" ht="51" customHeight="1">
      <c r="A114" s="239" t="s">
        <v>853</v>
      </c>
      <c r="B114" s="240">
        <v>974</v>
      </c>
      <c r="C114" s="241">
        <v>30109</v>
      </c>
      <c r="D114" s="239" t="s">
        <v>3817</v>
      </c>
      <c r="E114" s="239" t="s">
        <v>390</v>
      </c>
      <c r="F114" s="239" t="s">
        <v>391</v>
      </c>
      <c r="G114" s="239" t="s">
        <v>750</v>
      </c>
      <c r="H114" s="239" t="s">
        <v>777</v>
      </c>
      <c r="I114" s="239" t="s">
        <v>399</v>
      </c>
      <c r="J114" s="234">
        <v>36940</v>
      </c>
      <c r="K114" s="234">
        <v>14830</v>
      </c>
      <c r="L114" s="242">
        <v>15</v>
      </c>
      <c r="M114" s="234">
        <v>22110</v>
      </c>
      <c r="N114" s="234">
        <v>18793.5</v>
      </c>
      <c r="O114" s="243" t="s">
        <v>884</v>
      </c>
      <c r="P114" s="236">
        <v>45884</v>
      </c>
    </row>
    <row r="115" spans="1:16" ht="51" customHeight="1">
      <c r="A115" s="239" t="s">
        <v>854</v>
      </c>
      <c r="B115" s="240">
        <v>975</v>
      </c>
      <c r="C115" s="241">
        <v>30111</v>
      </c>
      <c r="D115" s="239" t="s">
        <v>3817</v>
      </c>
      <c r="E115" s="239" t="s">
        <v>388</v>
      </c>
      <c r="F115" s="239" t="s">
        <v>389</v>
      </c>
      <c r="G115" s="239" t="s">
        <v>750</v>
      </c>
      <c r="H115" s="239" t="s">
        <v>777</v>
      </c>
      <c r="I115" s="239" t="s">
        <v>399</v>
      </c>
      <c r="J115" s="234">
        <v>48340</v>
      </c>
      <c r="K115" s="234">
        <v>20890</v>
      </c>
      <c r="L115" s="242">
        <v>19</v>
      </c>
      <c r="M115" s="234">
        <v>27450</v>
      </c>
      <c r="N115" s="234">
        <v>22234.5</v>
      </c>
      <c r="O115" s="243" t="s">
        <v>885</v>
      </c>
      <c r="P115" s="236">
        <v>45884</v>
      </c>
    </row>
    <row r="116" spans="1:16" ht="51" customHeight="1">
      <c r="A116" s="239" t="s">
        <v>863</v>
      </c>
      <c r="B116" s="240">
        <v>976</v>
      </c>
      <c r="C116" s="241">
        <v>30121</v>
      </c>
      <c r="D116" s="239" t="s">
        <v>3817</v>
      </c>
      <c r="E116" s="239" t="s">
        <v>1410</v>
      </c>
      <c r="F116" s="239" t="s">
        <v>437</v>
      </c>
      <c r="G116" s="239" t="s">
        <v>750</v>
      </c>
      <c r="H116" s="239" t="s">
        <v>260</v>
      </c>
      <c r="I116" s="239" t="s">
        <v>399</v>
      </c>
      <c r="J116" s="234">
        <v>38190</v>
      </c>
      <c r="K116" s="234">
        <v>14870</v>
      </c>
      <c r="L116" s="242">
        <v>17</v>
      </c>
      <c r="M116" s="234">
        <v>23320</v>
      </c>
      <c r="N116" s="234">
        <v>19355.599999999999</v>
      </c>
      <c r="O116" s="243" t="s">
        <v>891</v>
      </c>
      <c r="P116" s="236">
        <v>45884</v>
      </c>
    </row>
    <row r="117" spans="1:16" ht="51" customHeight="1">
      <c r="A117" s="239" t="s">
        <v>864</v>
      </c>
      <c r="B117" s="240">
        <v>977</v>
      </c>
      <c r="C117" s="241">
        <v>30123</v>
      </c>
      <c r="D117" s="239" t="s">
        <v>3817</v>
      </c>
      <c r="E117" s="239" t="s">
        <v>439</v>
      </c>
      <c r="F117" s="239" t="s">
        <v>440</v>
      </c>
      <c r="G117" s="239" t="s">
        <v>750</v>
      </c>
      <c r="H117" s="239" t="s">
        <v>260</v>
      </c>
      <c r="I117" s="239" t="s">
        <v>399</v>
      </c>
      <c r="J117" s="234">
        <v>37190</v>
      </c>
      <c r="K117" s="234">
        <v>14880</v>
      </c>
      <c r="L117" s="242">
        <v>8</v>
      </c>
      <c r="M117" s="234">
        <v>22310</v>
      </c>
      <c r="N117" s="234">
        <v>20525.2</v>
      </c>
      <c r="O117" s="243" t="s">
        <v>892</v>
      </c>
      <c r="P117" s="236">
        <v>45884</v>
      </c>
    </row>
    <row r="118" spans="1:16" ht="51" customHeight="1">
      <c r="A118" s="239" t="s">
        <v>865</v>
      </c>
      <c r="B118" s="240">
        <v>978</v>
      </c>
      <c r="C118" s="241">
        <v>30119</v>
      </c>
      <c r="D118" s="239" t="s">
        <v>3817</v>
      </c>
      <c r="E118" s="239" t="s">
        <v>866</v>
      </c>
      <c r="F118" s="239" t="s">
        <v>867</v>
      </c>
      <c r="G118" s="239" t="s">
        <v>750</v>
      </c>
      <c r="H118" s="239" t="s">
        <v>260</v>
      </c>
      <c r="I118" s="239" t="s">
        <v>399</v>
      </c>
      <c r="J118" s="234">
        <v>37120</v>
      </c>
      <c r="K118" s="234">
        <v>14460</v>
      </c>
      <c r="L118" s="242">
        <v>23</v>
      </c>
      <c r="M118" s="234">
        <v>22660</v>
      </c>
      <c r="N118" s="234">
        <v>17448.2</v>
      </c>
      <c r="O118" s="243" t="s">
        <v>893</v>
      </c>
      <c r="P118" s="236">
        <v>45884</v>
      </c>
    </row>
    <row r="119" spans="1:16" ht="51" customHeight="1">
      <c r="A119" s="239" t="s">
        <v>857</v>
      </c>
      <c r="B119" s="240">
        <v>980</v>
      </c>
      <c r="C119" s="241">
        <v>30129</v>
      </c>
      <c r="D119" s="239" t="s">
        <v>3817</v>
      </c>
      <c r="E119" s="239" t="s">
        <v>858</v>
      </c>
      <c r="F119" s="239" t="s">
        <v>859</v>
      </c>
      <c r="G119" s="239" t="s">
        <v>750</v>
      </c>
      <c r="H119" s="239" t="s">
        <v>260</v>
      </c>
      <c r="I119" s="239" t="s">
        <v>399</v>
      </c>
      <c r="J119" s="234">
        <v>34000</v>
      </c>
      <c r="K119" s="234">
        <v>14580</v>
      </c>
      <c r="L119" s="242">
        <v>11</v>
      </c>
      <c r="M119" s="234">
        <v>19420</v>
      </c>
      <c r="N119" s="234">
        <v>17283.8</v>
      </c>
      <c r="O119" s="243" t="s">
        <v>887</v>
      </c>
      <c r="P119" s="236">
        <v>45884</v>
      </c>
    </row>
    <row r="120" spans="1:16" ht="51" customHeight="1">
      <c r="A120" s="239" t="s">
        <v>868</v>
      </c>
      <c r="B120" s="240">
        <v>981</v>
      </c>
      <c r="C120" s="241">
        <v>30125</v>
      </c>
      <c r="D120" s="239" t="s">
        <v>3817</v>
      </c>
      <c r="E120" s="239" t="s">
        <v>372</v>
      </c>
      <c r="F120" s="239" t="s">
        <v>373</v>
      </c>
      <c r="G120" s="239" t="s">
        <v>856</v>
      </c>
      <c r="H120" s="239" t="s">
        <v>869</v>
      </c>
      <c r="I120" s="239" t="s">
        <v>399</v>
      </c>
      <c r="J120" s="234">
        <v>35220</v>
      </c>
      <c r="K120" s="234">
        <v>14930</v>
      </c>
      <c r="L120" s="242">
        <v>57</v>
      </c>
      <c r="M120" s="234">
        <v>20290</v>
      </c>
      <c r="N120" s="234">
        <v>8724.7000000000007</v>
      </c>
      <c r="O120" s="243" t="s">
        <v>894</v>
      </c>
      <c r="P120" s="236">
        <v>45884</v>
      </c>
    </row>
    <row r="121" spans="1:16" ht="51" customHeight="1">
      <c r="A121" s="239" t="s">
        <v>860</v>
      </c>
      <c r="B121" s="240">
        <v>982</v>
      </c>
      <c r="C121" s="241">
        <v>30127</v>
      </c>
      <c r="D121" s="239" t="s">
        <v>3817</v>
      </c>
      <c r="E121" s="239" t="s">
        <v>369</v>
      </c>
      <c r="F121" s="239" t="s">
        <v>370</v>
      </c>
      <c r="G121" s="239" t="s">
        <v>397</v>
      </c>
      <c r="H121" s="239" t="s">
        <v>260</v>
      </c>
      <c r="I121" s="239" t="s">
        <v>399</v>
      </c>
      <c r="J121" s="234">
        <v>37560</v>
      </c>
      <c r="K121" s="234">
        <v>15090</v>
      </c>
      <c r="L121" s="242">
        <v>10</v>
      </c>
      <c r="M121" s="234">
        <v>22470</v>
      </c>
      <c r="N121" s="234">
        <v>20223</v>
      </c>
      <c r="O121" s="243" t="s">
        <v>888</v>
      </c>
      <c r="P121" s="236">
        <v>45884</v>
      </c>
    </row>
    <row r="122" spans="1:16" ht="51" customHeight="1">
      <c r="A122" s="239" t="s">
        <v>855</v>
      </c>
      <c r="B122" s="240">
        <v>979</v>
      </c>
      <c r="C122" s="241">
        <v>30131</v>
      </c>
      <c r="D122" s="239" t="s">
        <v>3817</v>
      </c>
      <c r="E122" s="239" t="s">
        <v>400</v>
      </c>
      <c r="F122" s="239" t="s">
        <v>401</v>
      </c>
      <c r="G122" s="239" t="s">
        <v>856</v>
      </c>
      <c r="H122" s="239" t="s">
        <v>398</v>
      </c>
      <c r="I122" s="239" t="s">
        <v>399</v>
      </c>
      <c r="J122" s="234">
        <v>36340</v>
      </c>
      <c r="K122" s="234">
        <v>14700</v>
      </c>
      <c r="L122" s="242">
        <v>53</v>
      </c>
      <c r="M122" s="234">
        <v>21640</v>
      </c>
      <c r="N122" s="234">
        <v>10170.799999999999</v>
      </c>
      <c r="O122" s="243" t="s">
        <v>886</v>
      </c>
      <c r="P122" s="236">
        <v>45884</v>
      </c>
    </row>
    <row r="123" spans="1:16" ht="51" customHeight="1">
      <c r="A123" s="239" t="s">
        <v>861</v>
      </c>
      <c r="B123" s="240">
        <v>983</v>
      </c>
      <c r="C123" s="241">
        <v>30133</v>
      </c>
      <c r="D123" s="239" t="s">
        <v>3817</v>
      </c>
      <c r="E123" s="239" t="s">
        <v>377</v>
      </c>
      <c r="F123" s="239" t="s">
        <v>378</v>
      </c>
      <c r="G123" s="239" t="s">
        <v>397</v>
      </c>
      <c r="H123" s="239" t="s">
        <v>260</v>
      </c>
      <c r="I123" s="239" t="s">
        <v>399</v>
      </c>
      <c r="J123" s="234">
        <v>37490</v>
      </c>
      <c r="K123" s="234">
        <v>15070</v>
      </c>
      <c r="L123" s="242">
        <v>25</v>
      </c>
      <c r="M123" s="234">
        <v>22420</v>
      </c>
      <c r="N123" s="234">
        <v>16815</v>
      </c>
      <c r="O123" s="243" t="s">
        <v>889</v>
      </c>
      <c r="P123" s="236">
        <v>45884</v>
      </c>
    </row>
    <row r="124" spans="1:16" ht="51" customHeight="1">
      <c r="A124" s="239" t="s">
        <v>862</v>
      </c>
      <c r="B124" s="240">
        <v>984</v>
      </c>
      <c r="C124" s="241">
        <v>30103</v>
      </c>
      <c r="D124" s="239" t="s">
        <v>3817</v>
      </c>
      <c r="E124" s="239" t="s">
        <v>462</v>
      </c>
      <c r="F124" s="239" t="s">
        <v>463</v>
      </c>
      <c r="G124" s="239" t="s">
        <v>397</v>
      </c>
      <c r="H124" s="239" t="s">
        <v>260</v>
      </c>
      <c r="I124" s="239" t="s">
        <v>399</v>
      </c>
      <c r="J124" s="234">
        <v>39300</v>
      </c>
      <c r="K124" s="234">
        <v>16400</v>
      </c>
      <c r="L124" s="242">
        <v>35</v>
      </c>
      <c r="M124" s="234">
        <v>22900</v>
      </c>
      <c r="N124" s="234">
        <v>14885</v>
      </c>
      <c r="O124" s="243" t="s">
        <v>890</v>
      </c>
      <c r="P124" s="236">
        <v>45884</v>
      </c>
    </row>
    <row r="125" spans="1:16" ht="51" customHeight="1">
      <c r="A125" s="239" t="s">
        <v>870</v>
      </c>
      <c r="B125" s="240">
        <v>990</v>
      </c>
      <c r="C125" s="241">
        <v>30137</v>
      </c>
      <c r="D125" s="239" t="s">
        <v>3817</v>
      </c>
      <c r="E125" s="239" t="s">
        <v>794</v>
      </c>
      <c r="F125" s="239" t="s">
        <v>795</v>
      </c>
      <c r="G125" s="239" t="s">
        <v>397</v>
      </c>
      <c r="H125" s="239" t="s">
        <v>260</v>
      </c>
      <c r="I125" s="239" t="s">
        <v>399</v>
      </c>
      <c r="J125" s="234">
        <v>41480</v>
      </c>
      <c r="K125" s="234">
        <v>16090</v>
      </c>
      <c r="L125" s="242">
        <v>31</v>
      </c>
      <c r="M125" s="234">
        <v>25390</v>
      </c>
      <c r="N125" s="234">
        <v>17519.099999999999</v>
      </c>
      <c r="O125" s="243" t="s">
        <v>895</v>
      </c>
      <c r="P125" s="236">
        <v>45884</v>
      </c>
    </row>
    <row r="126" spans="1:16" ht="51" customHeight="1">
      <c r="A126" s="239" t="s">
        <v>871</v>
      </c>
      <c r="B126" s="240">
        <v>991</v>
      </c>
      <c r="C126" s="241">
        <v>128</v>
      </c>
      <c r="D126" s="239" t="s">
        <v>368</v>
      </c>
      <c r="E126" s="239" t="s">
        <v>403</v>
      </c>
      <c r="F126" s="239" t="s">
        <v>404</v>
      </c>
      <c r="G126" s="239"/>
      <c r="H126" s="239" t="s">
        <v>46</v>
      </c>
      <c r="I126" s="239" t="s">
        <v>371</v>
      </c>
      <c r="J126" s="234">
        <v>36890</v>
      </c>
      <c r="K126" s="234">
        <v>14500</v>
      </c>
      <c r="L126" s="242">
        <v>8</v>
      </c>
      <c r="M126" s="234">
        <v>22390</v>
      </c>
      <c r="N126" s="234">
        <v>20598.8</v>
      </c>
      <c r="O126" s="243" t="s">
        <v>896</v>
      </c>
      <c r="P126" s="236">
        <v>45884</v>
      </c>
    </row>
    <row r="127" spans="1:16" ht="51" customHeight="1">
      <c r="A127" s="239" t="s">
        <v>873</v>
      </c>
      <c r="B127" s="240">
        <v>993</v>
      </c>
      <c r="C127" s="241">
        <v>30142</v>
      </c>
      <c r="D127" s="239" t="s">
        <v>3817</v>
      </c>
      <c r="E127" s="239" t="s">
        <v>841</v>
      </c>
      <c r="F127" s="239" t="s">
        <v>845</v>
      </c>
      <c r="G127" s="239" t="s">
        <v>397</v>
      </c>
      <c r="H127" s="239" t="s">
        <v>260</v>
      </c>
      <c r="I127" s="239" t="s">
        <v>399</v>
      </c>
      <c r="J127" s="234">
        <v>41680</v>
      </c>
      <c r="K127" s="234">
        <v>15930</v>
      </c>
      <c r="L127" s="242">
        <v>43</v>
      </c>
      <c r="M127" s="234">
        <v>25750</v>
      </c>
      <c r="N127" s="234">
        <v>14677.5</v>
      </c>
      <c r="O127" s="243" t="s">
        <v>898</v>
      </c>
      <c r="P127" s="236">
        <v>45884</v>
      </c>
    </row>
    <row r="128" spans="1:16" ht="51" customHeight="1">
      <c r="A128" s="239" t="s">
        <v>872</v>
      </c>
      <c r="B128" s="240">
        <v>992</v>
      </c>
      <c r="C128" s="241">
        <v>129</v>
      </c>
      <c r="D128" s="239" t="s">
        <v>368</v>
      </c>
      <c r="E128" s="239" t="s">
        <v>406</v>
      </c>
      <c r="F128" s="239" t="s">
        <v>407</v>
      </c>
      <c r="G128" s="239"/>
      <c r="H128" s="239" t="s">
        <v>46</v>
      </c>
      <c r="I128" s="239" t="s">
        <v>371</v>
      </c>
      <c r="J128" s="234">
        <v>38030</v>
      </c>
      <c r="K128" s="234">
        <v>15080</v>
      </c>
      <c r="L128" s="242">
        <v>5</v>
      </c>
      <c r="M128" s="234">
        <v>22950</v>
      </c>
      <c r="N128" s="234">
        <v>21802.5</v>
      </c>
      <c r="O128" s="243" t="s">
        <v>897</v>
      </c>
      <c r="P128" s="236">
        <v>45884</v>
      </c>
    </row>
    <row r="129" spans="1:16" ht="51" customHeight="1">
      <c r="A129" s="239" t="s">
        <v>874</v>
      </c>
      <c r="B129" s="240">
        <v>995</v>
      </c>
      <c r="C129" s="241">
        <v>132</v>
      </c>
      <c r="D129" s="239" t="s">
        <v>368</v>
      </c>
      <c r="E129" s="239" t="s">
        <v>380</v>
      </c>
      <c r="F129" s="239" t="s">
        <v>381</v>
      </c>
      <c r="G129" s="239"/>
      <c r="H129" s="239" t="s">
        <v>46</v>
      </c>
      <c r="I129" s="239" t="s">
        <v>371</v>
      </c>
      <c r="J129" s="234">
        <v>39230</v>
      </c>
      <c r="K129" s="234">
        <v>15040</v>
      </c>
      <c r="L129" s="242">
        <v>11</v>
      </c>
      <c r="M129" s="234">
        <v>24190</v>
      </c>
      <c r="N129" s="234">
        <v>21529.1</v>
      </c>
      <c r="O129" s="243" t="s">
        <v>899</v>
      </c>
      <c r="P129" s="236">
        <v>45884</v>
      </c>
    </row>
    <row r="130" spans="1:16" ht="51" customHeight="1">
      <c r="A130" s="239" t="s">
        <v>875</v>
      </c>
      <c r="B130" s="240">
        <v>996</v>
      </c>
      <c r="C130" s="241">
        <v>133</v>
      </c>
      <c r="D130" s="239" t="s">
        <v>368</v>
      </c>
      <c r="E130" s="239" t="s">
        <v>386</v>
      </c>
      <c r="F130" s="239" t="s">
        <v>387</v>
      </c>
      <c r="G130" s="239"/>
      <c r="H130" s="239" t="s">
        <v>46</v>
      </c>
      <c r="I130" s="239" t="s">
        <v>371</v>
      </c>
      <c r="J130" s="234">
        <v>38110</v>
      </c>
      <c r="K130" s="234">
        <v>15540</v>
      </c>
      <c r="L130" s="242">
        <v>11</v>
      </c>
      <c r="M130" s="234">
        <v>22570</v>
      </c>
      <c r="N130" s="234">
        <v>20087.3</v>
      </c>
      <c r="O130" s="243" t="s">
        <v>900</v>
      </c>
      <c r="P130" s="236">
        <v>45884</v>
      </c>
    </row>
    <row r="131" spans="1:16" ht="51" customHeight="1">
      <c r="A131" s="239" t="s">
        <v>1003</v>
      </c>
      <c r="B131" s="240">
        <v>999</v>
      </c>
      <c r="C131" s="241">
        <v>300194</v>
      </c>
      <c r="D131" s="239" t="s">
        <v>3817</v>
      </c>
      <c r="E131" s="239" t="s">
        <v>783</v>
      </c>
      <c r="F131" s="239" t="s">
        <v>784</v>
      </c>
      <c r="G131" s="239" t="s">
        <v>939</v>
      </c>
      <c r="H131" s="239" t="s">
        <v>974</v>
      </c>
      <c r="I131" s="239" t="s">
        <v>399</v>
      </c>
      <c r="J131" s="234">
        <v>40930</v>
      </c>
      <c r="K131" s="234">
        <v>14640</v>
      </c>
      <c r="L131" s="242">
        <v>25</v>
      </c>
      <c r="M131" s="234">
        <v>26290</v>
      </c>
      <c r="N131" s="234">
        <v>19717.5</v>
      </c>
      <c r="O131" s="243" t="s">
        <v>1005</v>
      </c>
      <c r="P131" s="236">
        <v>45887</v>
      </c>
    </row>
    <row r="132" spans="1:16" ht="51" customHeight="1">
      <c r="A132" s="239" t="s">
        <v>1004</v>
      </c>
      <c r="B132" s="240">
        <v>1000</v>
      </c>
      <c r="C132" s="241">
        <v>30196</v>
      </c>
      <c r="D132" s="239" t="s">
        <v>3817</v>
      </c>
      <c r="E132" s="239" t="s">
        <v>786</v>
      </c>
      <c r="F132" s="239" t="s">
        <v>787</v>
      </c>
      <c r="G132" s="239" t="s">
        <v>939</v>
      </c>
      <c r="H132" s="239" t="s">
        <v>974</v>
      </c>
      <c r="I132" s="239" t="s">
        <v>399</v>
      </c>
      <c r="J132" s="234">
        <v>35510</v>
      </c>
      <c r="K132" s="234">
        <v>14020</v>
      </c>
      <c r="L132" s="242">
        <v>16</v>
      </c>
      <c r="M132" s="234">
        <v>21490</v>
      </c>
      <c r="N132" s="234">
        <v>18051.599999999999</v>
      </c>
      <c r="O132" s="243" t="s">
        <v>1006</v>
      </c>
      <c r="P132" s="236">
        <v>45887</v>
      </c>
    </row>
    <row r="133" spans="1:16" ht="51" customHeight="1">
      <c r="A133" s="239" t="s">
        <v>1011</v>
      </c>
      <c r="B133" s="240">
        <v>1002</v>
      </c>
      <c r="C133" s="241">
        <v>30202</v>
      </c>
      <c r="D133" s="239" t="s">
        <v>3817</v>
      </c>
      <c r="E133" s="239" t="s">
        <v>794</v>
      </c>
      <c r="F133" s="239" t="s">
        <v>795</v>
      </c>
      <c r="G133" s="239" t="s">
        <v>939</v>
      </c>
      <c r="H133" s="239" t="s">
        <v>974</v>
      </c>
      <c r="I133" s="239" t="s">
        <v>399</v>
      </c>
      <c r="J133" s="234">
        <v>41350</v>
      </c>
      <c r="K133" s="234">
        <v>16110</v>
      </c>
      <c r="L133" s="242">
        <v>24</v>
      </c>
      <c r="M133" s="234">
        <v>25240</v>
      </c>
      <c r="N133" s="234">
        <v>19182.400000000001</v>
      </c>
      <c r="O133" s="243" t="s">
        <v>1021</v>
      </c>
      <c r="P133" s="236">
        <v>45887</v>
      </c>
    </row>
    <row r="134" spans="1:16" ht="51" customHeight="1">
      <c r="A134" s="239" t="s">
        <v>1012</v>
      </c>
      <c r="B134" s="240">
        <v>1006</v>
      </c>
      <c r="C134" s="241">
        <v>30204</v>
      </c>
      <c r="D134" s="239" t="s">
        <v>3817</v>
      </c>
      <c r="E134" s="239" t="s">
        <v>377</v>
      </c>
      <c r="F134" s="239" t="s">
        <v>378</v>
      </c>
      <c r="G134" s="239" t="s">
        <v>939</v>
      </c>
      <c r="H134" s="239" t="s">
        <v>974</v>
      </c>
      <c r="I134" s="239" t="s">
        <v>399</v>
      </c>
      <c r="J134" s="234">
        <v>41020</v>
      </c>
      <c r="K134" s="234">
        <v>15090</v>
      </c>
      <c r="L134" s="242">
        <v>24</v>
      </c>
      <c r="M134" s="234">
        <v>25930</v>
      </c>
      <c r="N134" s="234">
        <v>19706.8</v>
      </c>
      <c r="O134" s="243" t="s">
        <v>1022</v>
      </c>
      <c r="P134" s="236">
        <v>45887</v>
      </c>
    </row>
    <row r="135" spans="1:16" ht="51" customHeight="1">
      <c r="A135" s="239" t="s">
        <v>1013</v>
      </c>
      <c r="B135" s="240">
        <v>1008</v>
      </c>
      <c r="C135" s="241">
        <v>30206</v>
      </c>
      <c r="D135" s="239" t="s">
        <v>3817</v>
      </c>
      <c r="E135" s="239" t="s">
        <v>462</v>
      </c>
      <c r="F135" s="239" t="s">
        <v>463</v>
      </c>
      <c r="G135" s="239" t="s">
        <v>939</v>
      </c>
      <c r="H135" s="239" t="s">
        <v>974</v>
      </c>
      <c r="I135" s="239" t="s">
        <v>399</v>
      </c>
      <c r="J135" s="234">
        <v>39670</v>
      </c>
      <c r="K135" s="234">
        <v>16400</v>
      </c>
      <c r="L135" s="242">
        <v>42</v>
      </c>
      <c r="M135" s="234">
        <v>23270</v>
      </c>
      <c r="N135" s="234">
        <v>13496.6</v>
      </c>
      <c r="O135" s="243" t="s">
        <v>1023</v>
      </c>
      <c r="P135" s="236">
        <v>45887</v>
      </c>
    </row>
    <row r="136" spans="1:16" ht="51" customHeight="1">
      <c r="A136" s="239" t="s">
        <v>1014</v>
      </c>
      <c r="B136" s="240">
        <v>1001</v>
      </c>
      <c r="C136" s="241">
        <v>30200</v>
      </c>
      <c r="D136" s="239" t="s">
        <v>3817</v>
      </c>
      <c r="E136" s="239" t="s">
        <v>841</v>
      </c>
      <c r="F136" s="239" t="s">
        <v>845</v>
      </c>
      <c r="G136" s="239" t="s">
        <v>939</v>
      </c>
      <c r="H136" s="239" t="s">
        <v>974</v>
      </c>
      <c r="I136" s="239" t="s">
        <v>399</v>
      </c>
      <c r="J136" s="234">
        <v>41280</v>
      </c>
      <c r="K136" s="234">
        <v>15930</v>
      </c>
      <c r="L136" s="242">
        <v>30</v>
      </c>
      <c r="M136" s="234">
        <v>25350</v>
      </c>
      <c r="N136" s="234">
        <v>17745</v>
      </c>
      <c r="O136" s="243" t="s">
        <v>1024</v>
      </c>
      <c r="P136" s="236">
        <v>45887</v>
      </c>
    </row>
    <row r="137" spans="1:16" ht="51" customHeight="1">
      <c r="A137" s="239" t="s">
        <v>1015</v>
      </c>
      <c r="B137" s="240">
        <v>1009</v>
      </c>
      <c r="C137" s="241">
        <v>30208</v>
      </c>
      <c r="D137" s="239" t="s">
        <v>3817</v>
      </c>
      <c r="E137" s="239" t="s">
        <v>472</v>
      </c>
      <c r="F137" s="239" t="s">
        <v>473</v>
      </c>
      <c r="G137" s="239" t="s">
        <v>939</v>
      </c>
      <c r="H137" s="239" t="s">
        <v>974</v>
      </c>
      <c r="I137" s="239" t="s">
        <v>399</v>
      </c>
      <c r="J137" s="234">
        <v>38520</v>
      </c>
      <c r="K137" s="234">
        <v>16630</v>
      </c>
      <c r="L137" s="242">
        <v>28</v>
      </c>
      <c r="M137" s="234">
        <v>21890</v>
      </c>
      <c r="N137" s="234">
        <v>15760.8</v>
      </c>
      <c r="O137" s="243" t="s">
        <v>1025</v>
      </c>
      <c r="P137" s="236">
        <v>45887</v>
      </c>
    </row>
    <row r="138" spans="1:16" ht="51" customHeight="1">
      <c r="A138" s="239" t="s">
        <v>1016</v>
      </c>
      <c r="B138" s="240">
        <v>1011</v>
      </c>
      <c r="C138" s="241">
        <v>30198</v>
      </c>
      <c r="D138" s="239" t="s">
        <v>3817</v>
      </c>
      <c r="E138" s="239" t="s">
        <v>791</v>
      </c>
      <c r="F138" s="239" t="s">
        <v>792</v>
      </c>
      <c r="G138" s="239" t="s">
        <v>939</v>
      </c>
      <c r="H138" s="239" t="s">
        <v>974</v>
      </c>
      <c r="I138" s="239" t="s">
        <v>399</v>
      </c>
      <c r="J138" s="234">
        <v>40460</v>
      </c>
      <c r="K138" s="234">
        <v>14970</v>
      </c>
      <c r="L138" s="242">
        <v>28</v>
      </c>
      <c r="M138" s="234">
        <v>25490</v>
      </c>
      <c r="N138" s="234">
        <v>18352.8</v>
      </c>
      <c r="O138" s="243" t="s">
        <v>1026</v>
      </c>
      <c r="P138" s="236">
        <v>45887</v>
      </c>
    </row>
    <row r="139" spans="1:16" ht="51" customHeight="1">
      <c r="A139" s="239" t="s">
        <v>1017</v>
      </c>
      <c r="B139" s="240">
        <v>1012</v>
      </c>
      <c r="C139" s="241">
        <v>30210</v>
      </c>
      <c r="D139" s="239" t="s">
        <v>3817</v>
      </c>
      <c r="E139" s="239" t="s">
        <v>475</v>
      </c>
      <c r="F139" s="239" t="s">
        <v>476</v>
      </c>
      <c r="G139" s="239" t="s">
        <v>942</v>
      </c>
      <c r="H139" s="239" t="s">
        <v>869</v>
      </c>
      <c r="I139" s="239" t="s">
        <v>399</v>
      </c>
      <c r="J139" s="234">
        <v>39420</v>
      </c>
      <c r="K139" s="234">
        <v>16570</v>
      </c>
      <c r="L139" s="242">
        <v>25</v>
      </c>
      <c r="M139" s="234">
        <v>22850</v>
      </c>
      <c r="N139" s="234">
        <v>17137.5</v>
      </c>
      <c r="O139" s="243" t="s">
        <v>1027</v>
      </c>
      <c r="P139" s="236">
        <v>45887</v>
      </c>
    </row>
    <row r="140" spans="1:16" ht="51" customHeight="1">
      <c r="A140" s="239" t="s">
        <v>1018</v>
      </c>
      <c r="B140" s="240">
        <v>1013</v>
      </c>
      <c r="C140" s="241">
        <v>30212</v>
      </c>
      <c r="D140" s="239" t="s">
        <v>3817</v>
      </c>
      <c r="E140" s="239" t="s">
        <v>413</v>
      </c>
      <c r="F140" s="239" t="s">
        <v>414</v>
      </c>
      <c r="G140" s="239" t="s">
        <v>942</v>
      </c>
      <c r="H140" s="239" t="s">
        <v>973</v>
      </c>
      <c r="I140" s="239" t="s">
        <v>399</v>
      </c>
      <c r="J140" s="234">
        <v>41950</v>
      </c>
      <c r="K140" s="234">
        <v>14980</v>
      </c>
      <c r="L140" s="242">
        <v>17</v>
      </c>
      <c r="M140" s="234">
        <v>26970</v>
      </c>
      <c r="N140" s="234">
        <v>22385.1</v>
      </c>
      <c r="O140" s="243" t="s">
        <v>1028</v>
      </c>
      <c r="P140" s="236">
        <v>45887</v>
      </c>
    </row>
    <row r="141" spans="1:16" ht="51" customHeight="1">
      <c r="A141" s="239" t="s">
        <v>1045</v>
      </c>
      <c r="B141" s="240">
        <v>1016</v>
      </c>
      <c r="C141" s="241">
        <v>30220</v>
      </c>
      <c r="D141" s="239" t="s">
        <v>3817</v>
      </c>
      <c r="E141" s="239" t="s">
        <v>447</v>
      </c>
      <c r="F141" s="239" t="s">
        <v>448</v>
      </c>
      <c r="G141" s="239" t="s">
        <v>939</v>
      </c>
      <c r="H141" s="239" t="s">
        <v>973</v>
      </c>
      <c r="I141" s="239" t="s">
        <v>399</v>
      </c>
      <c r="J141" s="234">
        <v>46680</v>
      </c>
      <c r="K141" s="234">
        <v>19370</v>
      </c>
      <c r="L141" s="242">
        <v>19</v>
      </c>
      <c r="M141" s="234">
        <v>27310</v>
      </c>
      <c r="N141" s="234">
        <v>22121.1</v>
      </c>
      <c r="O141" s="243" t="s">
        <v>1029</v>
      </c>
      <c r="P141" s="236">
        <v>45888</v>
      </c>
    </row>
    <row r="142" spans="1:16" ht="51" customHeight="1">
      <c r="A142" s="239" t="s">
        <v>1019</v>
      </c>
      <c r="B142" s="240">
        <v>1017</v>
      </c>
      <c r="C142" s="241">
        <v>30222</v>
      </c>
      <c r="D142" s="239" t="s">
        <v>3817</v>
      </c>
      <c r="E142" s="239" t="s">
        <v>453</v>
      </c>
      <c r="F142" s="239" t="s">
        <v>454</v>
      </c>
      <c r="G142" s="239" t="s">
        <v>939</v>
      </c>
      <c r="H142" s="239" t="s">
        <v>973</v>
      </c>
      <c r="I142" s="239" t="s">
        <v>399</v>
      </c>
      <c r="J142" s="234">
        <v>46150</v>
      </c>
      <c r="K142" s="234">
        <v>24180</v>
      </c>
      <c r="L142" s="242">
        <v>24</v>
      </c>
      <c r="M142" s="234">
        <v>21970</v>
      </c>
      <c r="N142" s="234">
        <v>16697.2</v>
      </c>
      <c r="O142" s="243" t="s">
        <v>1030</v>
      </c>
      <c r="P142" s="236">
        <v>45888</v>
      </c>
    </row>
    <row r="143" spans="1:16" ht="51" customHeight="1">
      <c r="A143" s="239" t="s">
        <v>1020</v>
      </c>
      <c r="B143" s="240">
        <v>1018</v>
      </c>
      <c r="C143" s="241">
        <v>30224</v>
      </c>
      <c r="D143" s="239" t="s">
        <v>3817</v>
      </c>
      <c r="E143" s="239" t="s">
        <v>456</v>
      </c>
      <c r="F143" s="239" t="s">
        <v>457</v>
      </c>
      <c r="G143" s="239" t="s">
        <v>939</v>
      </c>
      <c r="H143" s="239" t="s">
        <v>973</v>
      </c>
      <c r="I143" s="239" t="s">
        <v>399</v>
      </c>
      <c r="J143" s="234">
        <v>42960</v>
      </c>
      <c r="K143" s="234">
        <v>15580</v>
      </c>
      <c r="L143" s="242">
        <v>26</v>
      </c>
      <c r="M143" s="234">
        <v>27380</v>
      </c>
      <c r="N143" s="234">
        <v>20261.2</v>
      </c>
      <c r="O143" s="243" t="s">
        <v>1031</v>
      </c>
      <c r="P143" s="236">
        <v>45888</v>
      </c>
    </row>
    <row r="144" spans="1:16" ht="51" customHeight="1">
      <c r="A144" s="239" t="s">
        <v>1046</v>
      </c>
      <c r="B144" s="240">
        <v>1019</v>
      </c>
      <c r="C144" s="241">
        <v>30216</v>
      </c>
      <c r="D144" s="239" t="s">
        <v>3817</v>
      </c>
      <c r="E144" s="239" t="s">
        <v>416</v>
      </c>
      <c r="F144" s="239" t="s">
        <v>417</v>
      </c>
      <c r="G144" s="239" t="s">
        <v>939</v>
      </c>
      <c r="H144" s="239" t="s">
        <v>973</v>
      </c>
      <c r="I144" s="239" t="s">
        <v>399</v>
      </c>
      <c r="J144" s="234">
        <v>39190</v>
      </c>
      <c r="K144" s="234">
        <v>14720</v>
      </c>
      <c r="L144" s="242">
        <v>15</v>
      </c>
      <c r="M144" s="234">
        <v>24470</v>
      </c>
      <c r="N144" s="234">
        <v>20799.5</v>
      </c>
      <c r="O144" s="243" t="s">
        <v>1047</v>
      </c>
      <c r="P144" s="236">
        <v>45888</v>
      </c>
    </row>
    <row r="145" spans="1:16" ht="51" customHeight="1">
      <c r="A145" s="239" t="s">
        <v>1048</v>
      </c>
      <c r="B145" s="240">
        <v>1020</v>
      </c>
      <c r="C145" s="241">
        <v>30214</v>
      </c>
      <c r="D145" s="239" t="s">
        <v>3817</v>
      </c>
      <c r="E145" s="239" t="s">
        <v>420</v>
      </c>
      <c r="F145" s="239" t="s">
        <v>421</v>
      </c>
      <c r="G145" s="239" t="s">
        <v>939</v>
      </c>
      <c r="H145" s="239" t="s">
        <v>973</v>
      </c>
      <c r="I145" s="239" t="s">
        <v>399</v>
      </c>
      <c r="J145" s="234">
        <v>36580</v>
      </c>
      <c r="K145" s="234">
        <v>14790</v>
      </c>
      <c r="L145" s="242">
        <v>23</v>
      </c>
      <c r="M145" s="234">
        <v>21790</v>
      </c>
      <c r="N145" s="234">
        <v>16778.3</v>
      </c>
      <c r="O145" s="243" t="s">
        <v>1049</v>
      </c>
      <c r="P145" s="236">
        <v>45888</v>
      </c>
    </row>
    <row r="146" spans="1:16" ht="51" customHeight="1">
      <c r="A146" s="239" t="s">
        <v>1050</v>
      </c>
      <c r="B146" s="240">
        <v>1023</v>
      </c>
      <c r="C146" s="241">
        <v>30218</v>
      </c>
      <c r="D146" s="239" t="s">
        <v>3817</v>
      </c>
      <c r="E146" s="239" t="s">
        <v>432</v>
      </c>
      <c r="F146" s="239" t="s">
        <v>433</v>
      </c>
      <c r="G146" s="239" t="s">
        <v>939</v>
      </c>
      <c r="H146" s="239" t="s">
        <v>973</v>
      </c>
      <c r="I146" s="239" t="s">
        <v>399</v>
      </c>
      <c r="J146" s="234">
        <v>42140</v>
      </c>
      <c r="K146" s="234">
        <v>15570</v>
      </c>
      <c r="L146" s="242">
        <v>22</v>
      </c>
      <c r="M146" s="234">
        <v>26570</v>
      </c>
      <c r="N146" s="234">
        <v>20724.599999999999</v>
      </c>
      <c r="O146" s="243" t="s">
        <v>1051</v>
      </c>
      <c r="P146" s="236">
        <v>45888</v>
      </c>
    </row>
    <row r="147" spans="1:16" ht="51" customHeight="1">
      <c r="A147" s="239" t="s">
        <v>1052</v>
      </c>
      <c r="B147" s="240">
        <v>1028</v>
      </c>
      <c r="C147" s="241">
        <v>30238</v>
      </c>
      <c r="D147" s="239" t="s">
        <v>3817</v>
      </c>
      <c r="E147" s="239" t="s">
        <v>866</v>
      </c>
      <c r="F147" s="239" t="s">
        <v>867</v>
      </c>
      <c r="G147" s="239" t="s">
        <v>939</v>
      </c>
      <c r="H147" s="239" t="s">
        <v>973</v>
      </c>
      <c r="I147" s="239" t="s">
        <v>399</v>
      </c>
      <c r="J147" s="234">
        <v>38420</v>
      </c>
      <c r="K147" s="234">
        <v>14410</v>
      </c>
      <c r="L147" s="242">
        <v>11</v>
      </c>
      <c r="M147" s="234">
        <v>24010</v>
      </c>
      <c r="N147" s="234">
        <v>21368.9</v>
      </c>
      <c r="O147" s="243" t="s">
        <v>1053</v>
      </c>
      <c r="P147" s="236">
        <v>45888</v>
      </c>
    </row>
    <row r="148" spans="1:16" ht="51" customHeight="1">
      <c r="A148" s="239" t="s">
        <v>1054</v>
      </c>
      <c r="B148" s="240">
        <v>1030</v>
      </c>
      <c r="C148" s="241">
        <v>30228</v>
      </c>
      <c r="D148" s="239" t="s">
        <v>3817</v>
      </c>
      <c r="E148" s="239" t="s">
        <v>439</v>
      </c>
      <c r="F148" s="239" t="s">
        <v>440</v>
      </c>
      <c r="G148" s="239" t="s">
        <v>939</v>
      </c>
      <c r="H148" s="239" t="s">
        <v>973</v>
      </c>
      <c r="I148" s="239" t="s">
        <v>399</v>
      </c>
      <c r="J148" s="234">
        <v>40310</v>
      </c>
      <c r="K148" s="234">
        <v>14970</v>
      </c>
      <c r="L148" s="242">
        <v>18</v>
      </c>
      <c r="M148" s="234">
        <v>25340</v>
      </c>
      <c r="N148" s="234">
        <v>20778.8</v>
      </c>
      <c r="O148" s="243" t="s">
        <v>1055</v>
      </c>
      <c r="P148" s="236">
        <v>45888</v>
      </c>
    </row>
    <row r="149" spans="1:16" ht="51" customHeight="1">
      <c r="A149" s="239" t="s">
        <v>1056</v>
      </c>
      <c r="B149" s="240">
        <v>1029</v>
      </c>
      <c r="C149" s="241">
        <v>30226</v>
      </c>
      <c r="D149" s="239" t="s">
        <v>3817</v>
      </c>
      <c r="E149" s="239" t="s">
        <v>1410</v>
      </c>
      <c r="F149" s="239" t="s">
        <v>437</v>
      </c>
      <c r="G149" s="239" t="s">
        <v>939</v>
      </c>
      <c r="H149" s="239" t="s">
        <v>973</v>
      </c>
      <c r="I149" s="239" t="s">
        <v>399</v>
      </c>
      <c r="J149" s="234">
        <v>39390</v>
      </c>
      <c r="K149" s="234">
        <v>14830</v>
      </c>
      <c r="L149" s="242">
        <v>13</v>
      </c>
      <c r="M149" s="234">
        <v>24560</v>
      </c>
      <c r="N149" s="234">
        <v>21367.200000000001</v>
      </c>
      <c r="O149" s="243" t="s">
        <v>1057</v>
      </c>
      <c r="P149" s="236">
        <v>45888</v>
      </c>
    </row>
    <row r="150" spans="1:16" ht="51" customHeight="1">
      <c r="A150" s="239" t="s">
        <v>1058</v>
      </c>
      <c r="B150" s="240">
        <v>1031</v>
      </c>
      <c r="C150" s="241">
        <v>30232</v>
      </c>
      <c r="D150" s="239" t="s">
        <v>3817</v>
      </c>
      <c r="E150" s="239" t="s">
        <v>369</v>
      </c>
      <c r="F150" s="239" t="s">
        <v>370</v>
      </c>
      <c r="G150" s="239" t="s">
        <v>939</v>
      </c>
      <c r="H150" s="239" t="s">
        <v>973</v>
      </c>
      <c r="I150" s="239" t="s">
        <v>399</v>
      </c>
      <c r="J150" s="234">
        <v>38060</v>
      </c>
      <c r="K150" s="234">
        <v>15060</v>
      </c>
      <c r="L150" s="242">
        <v>18</v>
      </c>
      <c r="M150" s="234">
        <v>23000</v>
      </c>
      <c r="N150" s="234">
        <v>18860</v>
      </c>
      <c r="O150" s="243" t="s">
        <v>1059</v>
      </c>
      <c r="P150" s="236">
        <v>45888</v>
      </c>
    </row>
    <row r="151" spans="1:16" ht="51" customHeight="1">
      <c r="A151" s="239" t="s">
        <v>1060</v>
      </c>
      <c r="B151" s="240">
        <v>1032</v>
      </c>
      <c r="C151" s="241">
        <v>30230</v>
      </c>
      <c r="D151" s="239" t="s">
        <v>3817</v>
      </c>
      <c r="E151" s="239" t="s">
        <v>372</v>
      </c>
      <c r="F151" s="239" t="s">
        <v>373</v>
      </c>
      <c r="G151" s="239" t="s">
        <v>942</v>
      </c>
      <c r="H151" s="239" t="s">
        <v>869</v>
      </c>
      <c r="I151" s="239" t="s">
        <v>399</v>
      </c>
      <c r="J151" s="234">
        <v>38010</v>
      </c>
      <c r="K151" s="234">
        <v>14900</v>
      </c>
      <c r="L151" s="242">
        <v>13</v>
      </c>
      <c r="M151" s="234">
        <v>23110</v>
      </c>
      <c r="N151" s="234">
        <v>20105.7</v>
      </c>
      <c r="O151" s="243" t="s">
        <v>1061</v>
      </c>
      <c r="P151" s="236">
        <v>45888</v>
      </c>
    </row>
    <row r="152" spans="1:16" ht="51" customHeight="1">
      <c r="A152" s="239" t="s">
        <v>1066</v>
      </c>
      <c r="B152" s="240">
        <v>1033</v>
      </c>
      <c r="C152" s="241">
        <v>30234</v>
      </c>
      <c r="D152" s="239" t="s">
        <v>3817</v>
      </c>
      <c r="E152" s="239" t="s">
        <v>374</v>
      </c>
      <c r="F152" s="239" t="s">
        <v>375</v>
      </c>
      <c r="G152" s="239" t="s">
        <v>942</v>
      </c>
      <c r="H152" s="239" t="s">
        <v>869</v>
      </c>
      <c r="I152" s="239" t="s">
        <v>399</v>
      </c>
      <c r="J152" s="234">
        <v>37880</v>
      </c>
      <c r="K152" s="234">
        <v>15550</v>
      </c>
      <c r="L152" s="242">
        <v>11</v>
      </c>
      <c r="M152" s="234">
        <v>22330</v>
      </c>
      <c r="N152" s="234">
        <v>19873.7</v>
      </c>
      <c r="O152" s="243" t="s">
        <v>1067</v>
      </c>
      <c r="P152" s="236">
        <v>45888</v>
      </c>
    </row>
    <row r="153" spans="1:16" ht="51" customHeight="1">
      <c r="A153" s="239" t="s">
        <v>1072</v>
      </c>
      <c r="B153" s="240">
        <v>1034</v>
      </c>
      <c r="C153" s="241">
        <v>30240</v>
      </c>
      <c r="D153" s="239" t="s">
        <v>3817</v>
      </c>
      <c r="E153" s="239" t="s">
        <v>858</v>
      </c>
      <c r="F153" s="239" t="s">
        <v>859</v>
      </c>
      <c r="G153" s="239" t="s">
        <v>942</v>
      </c>
      <c r="H153" s="239" t="s">
        <v>869</v>
      </c>
      <c r="I153" s="239" t="s">
        <v>399</v>
      </c>
      <c r="J153" s="234">
        <v>38060</v>
      </c>
      <c r="K153" s="234">
        <v>14680</v>
      </c>
      <c r="L153" s="242">
        <v>4</v>
      </c>
      <c r="M153" s="234">
        <v>23380</v>
      </c>
      <c r="N153" s="234">
        <v>22444.799999999999</v>
      </c>
      <c r="O153" s="243" t="s">
        <v>1073</v>
      </c>
      <c r="P153" s="236">
        <v>45888</v>
      </c>
    </row>
    <row r="154" spans="1:16" ht="51" customHeight="1">
      <c r="A154" s="239" t="s">
        <v>1074</v>
      </c>
      <c r="B154" s="240">
        <v>1035</v>
      </c>
      <c r="C154" s="241">
        <v>30252</v>
      </c>
      <c r="D154" s="239" t="s">
        <v>3817</v>
      </c>
      <c r="E154" s="239" t="s">
        <v>403</v>
      </c>
      <c r="F154" s="239" t="s">
        <v>404</v>
      </c>
      <c r="G154" s="239" t="s">
        <v>942</v>
      </c>
      <c r="H154" s="239" t="s">
        <v>869</v>
      </c>
      <c r="I154" s="239" t="s">
        <v>399</v>
      </c>
      <c r="J154" s="234">
        <v>37270</v>
      </c>
      <c r="K154" s="234">
        <v>14440</v>
      </c>
      <c r="L154" s="242">
        <v>28</v>
      </c>
      <c r="M154" s="234">
        <v>22830</v>
      </c>
      <c r="N154" s="234">
        <v>16437.599999999999</v>
      </c>
      <c r="O154" s="243" t="s">
        <v>1075</v>
      </c>
      <c r="P154" s="236">
        <v>45888</v>
      </c>
    </row>
    <row r="155" spans="1:16" ht="51" customHeight="1">
      <c r="A155" s="239" t="s">
        <v>1076</v>
      </c>
      <c r="B155" s="240">
        <v>1036</v>
      </c>
      <c r="C155" s="241">
        <v>30254</v>
      </c>
      <c r="D155" s="239" t="s">
        <v>3817</v>
      </c>
      <c r="E155" s="239" t="s">
        <v>406</v>
      </c>
      <c r="F155" s="239" t="s">
        <v>407</v>
      </c>
      <c r="G155" s="239" t="s">
        <v>942</v>
      </c>
      <c r="H155" s="239" t="s">
        <v>869</v>
      </c>
      <c r="I155" s="239" t="s">
        <v>399</v>
      </c>
      <c r="J155" s="234">
        <v>38360</v>
      </c>
      <c r="K155" s="234">
        <v>15030</v>
      </c>
      <c r="L155" s="242">
        <v>24</v>
      </c>
      <c r="M155" s="234">
        <v>23330</v>
      </c>
      <c r="N155" s="234">
        <v>17730.8</v>
      </c>
      <c r="O155" s="243" t="s">
        <v>1077</v>
      </c>
      <c r="P155" s="236">
        <v>45888</v>
      </c>
    </row>
    <row r="156" spans="1:16" ht="51" customHeight="1">
      <c r="A156" s="239" t="s">
        <v>1062</v>
      </c>
      <c r="B156" s="240">
        <v>1037</v>
      </c>
      <c r="C156" s="241">
        <v>30268</v>
      </c>
      <c r="D156" s="239" t="s">
        <v>3817</v>
      </c>
      <c r="E156" s="239" t="s">
        <v>841</v>
      </c>
      <c r="F156" s="239" t="s">
        <v>845</v>
      </c>
      <c r="G156" s="239" t="s">
        <v>942</v>
      </c>
      <c r="H156" s="239" t="s">
        <v>869</v>
      </c>
      <c r="I156" s="239" t="s">
        <v>399</v>
      </c>
      <c r="J156" s="234">
        <v>42150</v>
      </c>
      <c r="K156" s="234">
        <v>15710</v>
      </c>
      <c r="L156" s="242">
        <v>18</v>
      </c>
      <c r="M156" s="234">
        <v>26440</v>
      </c>
      <c r="N156" s="234">
        <v>21680.799999999999</v>
      </c>
      <c r="O156" s="243" t="s">
        <v>1063</v>
      </c>
      <c r="P156" s="236">
        <v>45888</v>
      </c>
    </row>
    <row r="157" spans="1:16" ht="51" customHeight="1">
      <c r="A157" s="239" t="s">
        <v>1064</v>
      </c>
      <c r="B157" s="240">
        <v>1038</v>
      </c>
      <c r="C157" s="241">
        <v>30288</v>
      </c>
      <c r="D157" s="239" t="s">
        <v>3817</v>
      </c>
      <c r="E157" s="239" t="s">
        <v>794</v>
      </c>
      <c r="F157" s="239" t="s">
        <v>795</v>
      </c>
      <c r="G157" s="239" t="s">
        <v>942</v>
      </c>
      <c r="H157" s="239" t="s">
        <v>869</v>
      </c>
      <c r="I157" s="239" t="s">
        <v>399</v>
      </c>
      <c r="J157" s="234">
        <v>42350</v>
      </c>
      <c r="K157" s="234">
        <v>16110</v>
      </c>
      <c r="L157" s="242">
        <v>21</v>
      </c>
      <c r="M157" s="234">
        <v>26240</v>
      </c>
      <c r="N157" s="234">
        <v>20729.599999999999</v>
      </c>
      <c r="O157" s="243" t="s">
        <v>1065</v>
      </c>
      <c r="P157" s="236">
        <v>45888</v>
      </c>
    </row>
    <row r="158" spans="1:16" ht="51" customHeight="1">
      <c r="A158" s="239" t="s">
        <v>1068</v>
      </c>
      <c r="B158" s="240">
        <v>1039</v>
      </c>
      <c r="C158" s="241">
        <v>30290</v>
      </c>
      <c r="D158" s="239" t="s">
        <v>3817</v>
      </c>
      <c r="E158" s="239" t="s">
        <v>783</v>
      </c>
      <c r="F158" s="239" t="s">
        <v>784</v>
      </c>
      <c r="G158" s="239" t="s">
        <v>942</v>
      </c>
      <c r="H158" s="239" t="s">
        <v>869</v>
      </c>
      <c r="I158" s="239" t="s">
        <v>399</v>
      </c>
      <c r="J158" s="234">
        <v>39940</v>
      </c>
      <c r="K158" s="234">
        <v>14660</v>
      </c>
      <c r="L158" s="242">
        <v>32</v>
      </c>
      <c r="M158" s="234">
        <v>25280</v>
      </c>
      <c r="N158" s="234">
        <v>17190.400000000001</v>
      </c>
      <c r="O158" s="243" t="s">
        <v>1069</v>
      </c>
      <c r="P158" s="236">
        <v>45888</v>
      </c>
    </row>
    <row r="159" spans="1:16" ht="51" customHeight="1">
      <c r="A159" s="239" t="s">
        <v>1070</v>
      </c>
      <c r="B159" s="240">
        <v>1040</v>
      </c>
      <c r="C159" s="241">
        <v>30293</v>
      </c>
      <c r="D159" s="239" t="s">
        <v>3817</v>
      </c>
      <c r="E159" s="239" t="s">
        <v>791</v>
      </c>
      <c r="F159" s="239" t="s">
        <v>792</v>
      </c>
      <c r="G159" s="239" t="s">
        <v>942</v>
      </c>
      <c r="H159" s="239" t="s">
        <v>869</v>
      </c>
      <c r="I159" s="239" t="s">
        <v>399</v>
      </c>
      <c r="J159" s="234">
        <v>40180</v>
      </c>
      <c r="K159" s="234">
        <v>14980</v>
      </c>
      <c r="L159" s="242">
        <v>31</v>
      </c>
      <c r="M159" s="234">
        <v>25200</v>
      </c>
      <c r="N159" s="234">
        <v>17388</v>
      </c>
      <c r="O159" s="243" t="s">
        <v>1071</v>
      </c>
      <c r="P159" s="236">
        <v>45888</v>
      </c>
    </row>
    <row r="160" spans="1:16" ht="51" customHeight="1">
      <c r="A160" s="239" t="s">
        <v>1078</v>
      </c>
      <c r="B160" s="240">
        <v>1041</v>
      </c>
      <c r="C160" s="241">
        <v>30300</v>
      </c>
      <c r="D160" s="239" t="s">
        <v>3817</v>
      </c>
      <c r="E160" s="239" t="s">
        <v>475</v>
      </c>
      <c r="F160" s="239" t="s">
        <v>476</v>
      </c>
      <c r="G160" s="239" t="s">
        <v>942</v>
      </c>
      <c r="H160" s="239" t="s">
        <v>869</v>
      </c>
      <c r="I160" s="239" t="s">
        <v>399</v>
      </c>
      <c r="J160" s="234">
        <v>38660</v>
      </c>
      <c r="K160" s="234">
        <v>16320</v>
      </c>
      <c r="L160" s="242">
        <v>15</v>
      </c>
      <c r="M160" s="234">
        <v>22340</v>
      </c>
      <c r="N160" s="234">
        <v>18989</v>
      </c>
      <c r="O160" s="243" t="s">
        <v>1079</v>
      </c>
      <c r="P160" s="236">
        <v>45889</v>
      </c>
    </row>
    <row r="161" spans="1:16" ht="51" customHeight="1">
      <c r="A161" s="239" t="s">
        <v>1080</v>
      </c>
      <c r="B161" s="240">
        <v>1042</v>
      </c>
      <c r="C161" s="241">
        <v>30302</v>
      </c>
      <c r="D161" s="239" t="s">
        <v>3817</v>
      </c>
      <c r="E161" s="239" t="s">
        <v>472</v>
      </c>
      <c r="F161" s="239" t="s">
        <v>473</v>
      </c>
      <c r="G161" s="239" t="s">
        <v>942</v>
      </c>
      <c r="H161" s="239" t="s">
        <v>869</v>
      </c>
      <c r="I161" s="239" t="s">
        <v>399</v>
      </c>
      <c r="J161" s="234">
        <v>39010</v>
      </c>
      <c r="K161" s="234">
        <v>16650</v>
      </c>
      <c r="L161" s="242">
        <v>22</v>
      </c>
      <c r="M161" s="234">
        <v>22360</v>
      </c>
      <c r="N161" s="234">
        <v>17440.8</v>
      </c>
      <c r="O161" s="243" t="s">
        <v>1081</v>
      </c>
      <c r="P161" s="236">
        <v>45889</v>
      </c>
    </row>
    <row r="162" spans="1:16" ht="51" customHeight="1">
      <c r="A162" s="239" t="s">
        <v>1082</v>
      </c>
      <c r="B162" s="240">
        <v>1043</v>
      </c>
      <c r="C162" s="241">
        <v>30304</v>
      </c>
      <c r="D162" s="239" t="s">
        <v>3817</v>
      </c>
      <c r="E162" s="239" t="s">
        <v>462</v>
      </c>
      <c r="F162" s="239" t="s">
        <v>463</v>
      </c>
      <c r="G162" s="239" t="s">
        <v>942</v>
      </c>
      <c r="H162" s="239" t="s">
        <v>869</v>
      </c>
      <c r="I162" s="239" t="s">
        <v>399</v>
      </c>
      <c r="J162" s="234">
        <v>38980</v>
      </c>
      <c r="K162" s="234">
        <v>16370</v>
      </c>
      <c r="L162" s="242">
        <v>18</v>
      </c>
      <c r="M162" s="234">
        <v>22610</v>
      </c>
      <c r="N162" s="234">
        <v>18540.2</v>
      </c>
      <c r="O162" s="243" t="s">
        <v>1083</v>
      </c>
      <c r="P162" s="236">
        <v>45889</v>
      </c>
    </row>
    <row r="163" spans="1:16" ht="51" customHeight="1">
      <c r="A163" s="239" t="s">
        <v>1084</v>
      </c>
      <c r="B163" s="240">
        <v>1044</v>
      </c>
      <c r="C163" s="241">
        <v>30306</v>
      </c>
      <c r="D163" s="239" t="s">
        <v>3817</v>
      </c>
      <c r="E163" s="239" t="s">
        <v>786</v>
      </c>
      <c r="F163" s="239" t="s">
        <v>787</v>
      </c>
      <c r="G163" s="239" t="s">
        <v>942</v>
      </c>
      <c r="H163" s="239" t="s">
        <v>869</v>
      </c>
      <c r="I163" s="239" t="s">
        <v>399</v>
      </c>
      <c r="J163" s="234">
        <v>35740</v>
      </c>
      <c r="K163" s="234">
        <v>14020</v>
      </c>
      <c r="L163" s="242">
        <v>26</v>
      </c>
      <c r="M163" s="234">
        <v>21720</v>
      </c>
      <c r="N163" s="234">
        <v>16072.8</v>
      </c>
      <c r="O163" s="243" t="s">
        <v>1085</v>
      </c>
      <c r="P163" s="236">
        <v>45889</v>
      </c>
    </row>
    <row r="164" spans="1:16" ht="51" customHeight="1">
      <c r="A164" s="239" t="s">
        <v>1086</v>
      </c>
      <c r="B164" s="240">
        <v>1045</v>
      </c>
      <c r="C164" s="241">
        <v>30314</v>
      </c>
      <c r="D164" s="239" t="s">
        <v>3817</v>
      </c>
      <c r="E164" s="239" t="s">
        <v>380</v>
      </c>
      <c r="F164" s="239" t="s">
        <v>381</v>
      </c>
      <c r="G164" s="239" t="s">
        <v>942</v>
      </c>
      <c r="H164" s="239" t="s">
        <v>869</v>
      </c>
      <c r="I164" s="239" t="s">
        <v>399</v>
      </c>
      <c r="J164" s="234">
        <v>37570</v>
      </c>
      <c r="K164" s="234">
        <v>15030</v>
      </c>
      <c r="L164" s="242">
        <v>18</v>
      </c>
      <c r="M164" s="234">
        <v>22540</v>
      </c>
      <c r="N164" s="234">
        <v>18482.8</v>
      </c>
      <c r="O164" s="243" t="s">
        <v>1087</v>
      </c>
      <c r="P164" s="236">
        <v>45889</v>
      </c>
    </row>
    <row r="165" spans="1:16" ht="51" customHeight="1">
      <c r="A165" s="239" t="s">
        <v>1088</v>
      </c>
      <c r="B165" s="240">
        <v>1046</v>
      </c>
      <c r="C165" s="241">
        <v>30320</v>
      </c>
      <c r="D165" s="239" t="s">
        <v>3817</v>
      </c>
      <c r="E165" s="239" t="s">
        <v>384</v>
      </c>
      <c r="F165" s="239" t="s">
        <v>385</v>
      </c>
      <c r="G165" s="239" t="s">
        <v>942</v>
      </c>
      <c r="H165" s="239" t="s">
        <v>869</v>
      </c>
      <c r="I165" s="239" t="s">
        <v>399</v>
      </c>
      <c r="J165" s="234">
        <v>35480</v>
      </c>
      <c r="K165" s="234">
        <v>13900</v>
      </c>
      <c r="L165" s="242">
        <v>30</v>
      </c>
      <c r="M165" s="234">
        <v>21580</v>
      </c>
      <c r="N165" s="234">
        <v>15106</v>
      </c>
      <c r="O165" s="243" t="s">
        <v>1089</v>
      </c>
      <c r="P165" s="236">
        <v>45889</v>
      </c>
    </row>
    <row r="166" spans="1:16" ht="51" customHeight="1">
      <c r="A166" s="239" t="s">
        <v>1090</v>
      </c>
      <c r="B166" s="240">
        <v>1047</v>
      </c>
      <c r="C166" s="241">
        <v>30322</v>
      </c>
      <c r="D166" s="239" t="s">
        <v>3817</v>
      </c>
      <c r="E166" s="239" t="s">
        <v>400</v>
      </c>
      <c r="F166" s="239" t="s">
        <v>401</v>
      </c>
      <c r="G166" s="239" t="s">
        <v>942</v>
      </c>
      <c r="H166" s="239" t="s">
        <v>869</v>
      </c>
      <c r="I166" s="239" t="s">
        <v>399</v>
      </c>
      <c r="J166" s="234">
        <v>37680</v>
      </c>
      <c r="K166" s="234">
        <v>14670</v>
      </c>
      <c r="L166" s="242">
        <v>27</v>
      </c>
      <c r="M166" s="234">
        <v>23010</v>
      </c>
      <c r="N166" s="234">
        <v>16797.3</v>
      </c>
      <c r="O166" s="243" t="s">
        <v>1091</v>
      </c>
      <c r="P166" s="236">
        <v>45889</v>
      </c>
    </row>
    <row r="167" spans="1:16" ht="51" customHeight="1">
      <c r="A167" s="239" t="s">
        <v>1092</v>
      </c>
      <c r="B167" s="240">
        <v>1048</v>
      </c>
      <c r="C167" s="241">
        <v>30324</v>
      </c>
      <c r="D167" s="239" t="s">
        <v>3817</v>
      </c>
      <c r="E167" s="239" t="s">
        <v>377</v>
      </c>
      <c r="F167" s="239" t="s">
        <v>378</v>
      </c>
      <c r="G167" s="239" t="s">
        <v>942</v>
      </c>
      <c r="H167" s="239" t="s">
        <v>869</v>
      </c>
      <c r="I167" s="239" t="s">
        <v>399</v>
      </c>
      <c r="J167" s="234">
        <v>39070</v>
      </c>
      <c r="K167" s="234">
        <v>15060</v>
      </c>
      <c r="L167" s="242">
        <v>23</v>
      </c>
      <c r="M167" s="234">
        <v>24010</v>
      </c>
      <c r="N167" s="234">
        <v>18487.7</v>
      </c>
      <c r="O167" s="243" t="s">
        <v>1093</v>
      </c>
      <c r="P167" s="236">
        <v>45889</v>
      </c>
    </row>
    <row r="168" spans="1:16" ht="51" customHeight="1">
      <c r="A168" s="239" t="s">
        <v>1094</v>
      </c>
      <c r="B168" s="240">
        <v>1049</v>
      </c>
      <c r="C168" s="241">
        <v>30334</v>
      </c>
      <c r="D168" s="239" t="s">
        <v>3817</v>
      </c>
      <c r="E168" s="239" t="s">
        <v>780</v>
      </c>
      <c r="F168" s="239" t="s">
        <v>781</v>
      </c>
      <c r="G168" s="239" t="s">
        <v>942</v>
      </c>
      <c r="H168" s="239" t="s">
        <v>869</v>
      </c>
      <c r="I168" s="239" t="s">
        <v>399</v>
      </c>
      <c r="J168" s="234">
        <v>35760</v>
      </c>
      <c r="K168" s="234">
        <v>14840</v>
      </c>
      <c r="L168" s="242">
        <v>18</v>
      </c>
      <c r="M168" s="234">
        <v>20920</v>
      </c>
      <c r="N168" s="234">
        <v>17154.400000000001</v>
      </c>
      <c r="O168" s="243" t="s">
        <v>1095</v>
      </c>
      <c r="P168" s="236">
        <v>45889</v>
      </c>
    </row>
    <row r="169" spans="1:16" ht="51" customHeight="1">
      <c r="A169" s="239" t="s">
        <v>1096</v>
      </c>
      <c r="B169" s="240">
        <v>1050</v>
      </c>
      <c r="C169" s="241">
        <v>30336</v>
      </c>
      <c r="D169" s="239" t="s">
        <v>3817</v>
      </c>
      <c r="E169" s="239" t="s">
        <v>442</v>
      </c>
      <c r="F169" s="239" t="s">
        <v>443</v>
      </c>
      <c r="G169" s="239" t="s">
        <v>942</v>
      </c>
      <c r="H169" s="239" t="s">
        <v>869</v>
      </c>
      <c r="I169" s="239" t="s">
        <v>399</v>
      </c>
      <c r="J169" s="234">
        <v>35020</v>
      </c>
      <c r="K169" s="234">
        <v>14490</v>
      </c>
      <c r="L169" s="242">
        <v>32</v>
      </c>
      <c r="M169" s="234">
        <v>20530</v>
      </c>
      <c r="N169" s="234">
        <v>13960.4</v>
      </c>
      <c r="O169" s="243" t="s">
        <v>1097</v>
      </c>
      <c r="P169" s="236">
        <v>45889</v>
      </c>
    </row>
    <row r="170" spans="1:16" ht="51" customHeight="1">
      <c r="A170" s="239" t="s">
        <v>1098</v>
      </c>
      <c r="B170" s="240">
        <v>1051</v>
      </c>
      <c r="C170" s="241">
        <v>30342</v>
      </c>
      <c r="D170" s="239" t="s">
        <v>3817</v>
      </c>
      <c r="E170" s="239" t="s">
        <v>429</v>
      </c>
      <c r="F170" s="239" t="s">
        <v>430</v>
      </c>
      <c r="G170" s="239" t="s">
        <v>942</v>
      </c>
      <c r="H170" s="239" t="s">
        <v>869</v>
      </c>
      <c r="I170" s="239" t="s">
        <v>399</v>
      </c>
      <c r="J170" s="234">
        <v>35250</v>
      </c>
      <c r="K170" s="234">
        <v>14220</v>
      </c>
      <c r="L170" s="242">
        <v>9</v>
      </c>
      <c r="M170" s="234">
        <v>21030</v>
      </c>
      <c r="N170" s="234">
        <v>19137.3</v>
      </c>
      <c r="O170" s="243" t="s">
        <v>1099</v>
      </c>
      <c r="P170" s="236">
        <v>45889</v>
      </c>
    </row>
    <row r="171" spans="1:16" ht="51" customHeight="1">
      <c r="A171" s="239" t="s">
        <v>1100</v>
      </c>
      <c r="B171" s="240">
        <v>1053</v>
      </c>
      <c r="C171" s="241">
        <v>30339</v>
      </c>
      <c r="D171" s="239" t="s">
        <v>3817</v>
      </c>
      <c r="E171" s="239" t="s">
        <v>382</v>
      </c>
      <c r="F171" s="239" t="s">
        <v>383</v>
      </c>
      <c r="G171" s="239" t="s">
        <v>942</v>
      </c>
      <c r="H171" s="239" t="s">
        <v>869</v>
      </c>
      <c r="I171" s="239" t="s">
        <v>399</v>
      </c>
      <c r="J171" s="234">
        <v>36080</v>
      </c>
      <c r="K171" s="234">
        <v>14530</v>
      </c>
      <c r="L171" s="242">
        <v>31</v>
      </c>
      <c r="M171" s="234">
        <v>21550</v>
      </c>
      <c r="N171" s="234">
        <v>14869.5</v>
      </c>
      <c r="O171" s="243" t="s">
        <v>1101</v>
      </c>
      <c r="P171" s="236">
        <v>45889</v>
      </c>
    </row>
    <row r="172" spans="1:16" ht="51" customHeight="1">
      <c r="A172" s="239" t="s">
        <v>1102</v>
      </c>
      <c r="B172" s="240">
        <v>1054</v>
      </c>
      <c r="C172" s="241">
        <v>30344</v>
      </c>
      <c r="D172" s="239" t="s">
        <v>3817</v>
      </c>
      <c r="E172" s="239" t="s">
        <v>416</v>
      </c>
      <c r="F172" s="239" t="s">
        <v>417</v>
      </c>
      <c r="G172" s="239" t="s">
        <v>942</v>
      </c>
      <c r="H172" s="239" t="s">
        <v>869</v>
      </c>
      <c r="I172" s="239" t="s">
        <v>399</v>
      </c>
      <c r="J172" s="234">
        <v>37510</v>
      </c>
      <c r="K172" s="234">
        <v>14760</v>
      </c>
      <c r="L172" s="242">
        <v>21</v>
      </c>
      <c r="M172" s="234">
        <v>22750</v>
      </c>
      <c r="N172" s="234">
        <v>17972.5</v>
      </c>
      <c r="O172" s="243" t="s">
        <v>1103</v>
      </c>
      <c r="P172" s="236">
        <v>45889</v>
      </c>
    </row>
    <row r="173" spans="1:16" ht="51" customHeight="1">
      <c r="A173" s="239" t="s">
        <v>1106</v>
      </c>
      <c r="B173" s="240">
        <v>1055</v>
      </c>
      <c r="C173" s="241">
        <v>30346</v>
      </c>
      <c r="D173" s="239" t="s">
        <v>3817</v>
      </c>
      <c r="E173" s="239" t="s">
        <v>420</v>
      </c>
      <c r="F173" s="239" t="s">
        <v>421</v>
      </c>
      <c r="G173" s="239" t="s">
        <v>942</v>
      </c>
      <c r="H173" s="239" t="s">
        <v>869</v>
      </c>
      <c r="I173" s="239" t="s">
        <v>399</v>
      </c>
      <c r="J173" s="234">
        <v>35760</v>
      </c>
      <c r="K173" s="234">
        <v>14860</v>
      </c>
      <c r="L173" s="242">
        <v>24</v>
      </c>
      <c r="M173" s="234">
        <v>20900</v>
      </c>
      <c r="N173" s="234">
        <v>15884</v>
      </c>
      <c r="O173" s="243" t="s">
        <v>1107</v>
      </c>
      <c r="P173" s="236">
        <v>45889</v>
      </c>
    </row>
    <row r="174" spans="1:16" ht="51" customHeight="1">
      <c r="A174" s="239" t="s">
        <v>1108</v>
      </c>
      <c r="B174" s="240">
        <v>1059</v>
      </c>
      <c r="C174" s="241">
        <v>30111</v>
      </c>
      <c r="D174" s="239" t="s">
        <v>3817</v>
      </c>
      <c r="E174" s="239" t="s">
        <v>388</v>
      </c>
      <c r="F174" s="239" t="s">
        <v>389</v>
      </c>
      <c r="G174" s="239" t="s">
        <v>942</v>
      </c>
      <c r="H174" s="239" t="s">
        <v>973</v>
      </c>
      <c r="I174" s="239" t="s">
        <v>399</v>
      </c>
      <c r="J174" s="234">
        <v>40000</v>
      </c>
      <c r="K174" s="234">
        <v>20920</v>
      </c>
      <c r="L174" s="242">
        <v>36</v>
      </c>
      <c r="M174" s="234">
        <v>19080</v>
      </c>
      <c r="N174" s="234">
        <v>12211.2</v>
      </c>
      <c r="O174" s="243" t="s">
        <v>1109</v>
      </c>
      <c r="P174" s="236">
        <v>45889</v>
      </c>
    </row>
    <row r="175" spans="1:16" ht="51" customHeight="1">
      <c r="A175" s="239" t="s">
        <v>1114</v>
      </c>
      <c r="B175" s="240">
        <v>1060</v>
      </c>
      <c r="C175" s="241">
        <v>30348</v>
      </c>
      <c r="D175" s="239" t="s">
        <v>3817</v>
      </c>
      <c r="E175" s="239" t="s">
        <v>432</v>
      </c>
      <c r="F175" s="239" t="s">
        <v>433</v>
      </c>
      <c r="G175" s="239" t="s">
        <v>942</v>
      </c>
      <c r="H175" s="239" t="s">
        <v>869</v>
      </c>
      <c r="I175" s="239" t="s">
        <v>399</v>
      </c>
      <c r="J175" s="234">
        <v>40560</v>
      </c>
      <c r="K175" s="234">
        <v>15670</v>
      </c>
      <c r="L175" s="242">
        <v>14</v>
      </c>
      <c r="M175" s="234">
        <v>24890</v>
      </c>
      <c r="N175" s="234">
        <v>21405.4</v>
      </c>
      <c r="O175" s="243" t="s">
        <v>1115</v>
      </c>
      <c r="P175" s="236">
        <v>45889</v>
      </c>
    </row>
    <row r="176" spans="1:16" ht="51" customHeight="1">
      <c r="A176" s="239" t="s">
        <v>1118</v>
      </c>
      <c r="B176" s="240">
        <v>1062</v>
      </c>
      <c r="C176" s="241">
        <v>30350</v>
      </c>
      <c r="D176" s="239" t="s">
        <v>3817</v>
      </c>
      <c r="E176" s="239" t="s">
        <v>392</v>
      </c>
      <c r="F176" s="239" t="s">
        <v>393</v>
      </c>
      <c r="G176" s="239" t="s">
        <v>942</v>
      </c>
      <c r="H176" s="239" t="s">
        <v>869</v>
      </c>
      <c r="I176" s="239" t="s">
        <v>399</v>
      </c>
      <c r="J176" s="234">
        <v>45250</v>
      </c>
      <c r="K176" s="234">
        <v>24040</v>
      </c>
      <c r="L176" s="242">
        <v>17</v>
      </c>
      <c r="M176" s="234">
        <v>21210</v>
      </c>
      <c r="N176" s="234">
        <v>17604.3</v>
      </c>
      <c r="O176" s="243" t="s">
        <v>1119</v>
      </c>
      <c r="P176" s="236">
        <v>45889</v>
      </c>
    </row>
    <row r="177" spans="1:16" ht="51" customHeight="1">
      <c r="A177" s="239" t="s">
        <v>1104</v>
      </c>
      <c r="B177" s="240">
        <v>1063</v>
      </c>
      <c r="C177" s="241">
        <v>30352</v>
      </c>
      <c r="D177" s="239" t="s">
        <v>3817</v>
      </c>
      <c r="E177" s="239" t="s">
        <v>390</v>
      </c>
      <c r="F177" s="239" t="s">
        <v>391</v>
      </c>
      <c r="G177" s="239" t="s">
        <v>942</v>
      </c>
      <c r="H177" s="239" t="s">
        <v>973</v>
      </c>
      <c r="I177" s="239" t="s">
        <v>399</v>
      </c>
      <c r="J177" s="234">
        <v>37750</v>
      </c>
      <c r="K177" s="234">
        <v>14850</v>
      </c>
      <c r="L177" s="242">
        <v>14</v>
      </c>
      <c r="M177" s="234">
        <v>22900</v>
      </c>
      <c r="N177" s="234">
        <v>19694</v>
      </c>
      <c r="O177" s="243" t="s">
        <v>1105</v>
      </c>
      <c r="P177" s="236">
        <v>45889</v>
      </c>
    </row>
    <row r="178" spans="1:16" ht="51" customHeight="1">
      <c r="A178" s="239" t="s">
        <v>1110</v>
      </c>
      <c r="B178" s="240">
        <v>1064</v>
      </c>
      <c r="C178" s="241">
        <v>30356</v>
      </c>
      <c r="D178" s="239" t="s">
        <v>3817</v>
      </c>
      <c r="E178" s="239" t="s">
        <v>1410</v>
      </c>
      <c r="F178" s="239" t="s">
        <v>437</v>
      </c>
      <c r="G178" s="239" t="s">
        <v>942</v>
      </c>
      <c r="H178" s="239" t="s">
        <v>973</v>
      </c>
      <c r="I178" s="239" t="s">
        <v>399</v>
      </c>
      <c r="J178" s="234">
        <v>39150</v>
      </c>
      <c r="K178" s="234">
        <v>14840</v>
      </c>
      <c r="L178" s="242">
        <v>22</v>
      </c>
      <c r="M178" s="234">
        <v>24310</v>
      </c>
      <c r="N178" s="234">
        <v>18961.8</v>
      </c>
      <c r="O178" s="243" t="s">
        <v>1111</v>
      </c>
      <c r="P178" s="236">
        <v>45889</v>
      </c>
    </row>
    <row r="179" spans="1:16" ht="51" customHeight="1">
      <c r="A179" s="239" t="s">
        <v>1112</v>
      </c>
      <c r="B179" s="240">
        <v>1065</v>
      </c>
      <c r="C179" s="241">
        <v>30358</v>
      </c>
      <c r="D179" s="239" t="s">
        <v>3817</v>
      </c>
      <c r="E179" s="239" t="s">
        <v>439</v>
      </c>
      <c r="F179" s="239" t="s">
        <v>440</v>
      </c>
      <c r="G179" s="239" t="s">
        <v>942</v>
      </c>
      <c r="H179" s="239" t="s">
        <v>973</v>
      </c>
      <c r="I179" s="239" t="s">
        <v>399</v>
      </c>
      <c r="J179" s="234">
        <v>40680</v>
      </c>
      <c r="K179" s="234">
        <v>14900</v>
      </c>
      <c r="L179" s="242">
        <v>21</v>
      </c>
      <c r="M179" s="234">
        <v>25780</v>
      </c>
      <c r="N179" s="234">
        <v>20366.2</v>
      </c>
      <c r="O179" s="243" t="s">
        <v>1113</v>
      </c>
      <c r="P179" s="236">
        <v>45889</v>
      </c>
    </row>
    <row r="180" spans="1:16" ht="51" customHeight="1">
      <c r="A180" s="239" t="s">
        <v>1116</v>
      </c>
      <c r="B180" s="240">
        <v>1066</v>
      </c>
      <c r="C180" s="241">
        <v>30360</v>
      </c>
      <c r="D180" s="239" t="s">
        <v>3817</v>
      </c>
      <c r="E180" s="239" t="s">
        <v>447</v>
      </c>
      <c r="F180" s="239" t="s">
        <v>448</v>
      </c>
      <c r="G180" s="239" t="s">
        <v>942</v>
      </c>
      <c r="H180" s="239" t="s">
        <v>973</v>
      </c>
      <c r="I180" s="239" t="s">
        <v>399</v>
      </c>
      <c r="J180" s="234">
        <v>45370</v>
      </c>
      <c r="K180" s="234">
        <v>19350</v>
      </c>
      <c r="L180" s="242">
        <v>32</v>
      </c>
      <c r="M180" s="234">
        <v>26020</v>
      </c>
      <c r="N180" s="234">
        <v>17693.599999999999</v>
      </c>
      <c r="O180" s="243" t="s">
        <v>1117</v>
      </c>
      <c r="P180" s="236">
        <v>45889</v>
      </c>
    </row>
    <row r="181" spans="1:16" ht="51" customHeight="1">
      <c r="A181" s="239" t="s">
        <v>1120</v>
      </c>
      <c r="B181" s="240">
        <v>1067</v>
      </c>
      <c r="C181" s="241">
        <v>30362</v>
      </c>
      <c r="D181" s="239" t="s">
        <v>3817</v>
      </c>
      <c r="E181" s="239" t="s">
        <v>403</v>
      </c>
      <c r="F181" s="239" t="s">
        <v>404</v>
      </c>
      <c r="G181" s="239" t="s">
        <v>942</v>
      </c>
      <c r="H181" s="239" t="s">
        <v>973</v>
      </c>
      <c r="I181" s="239" t="s">
        <v>399</v>
      </c>
      <c r="J181" s="234">
        <v>38240</v>
      </c>
      <c r="K181" s="234">
        <v>14490</v>
      </c>
      <c r="L181" s="242">
        <v>42</v>
      </c>
      <c r="M181" s="234">
        <v>23750</v>
      </c>
      <c r="N181" s="234">
        <v>13775</v>
      </c>
      <c r="O181" s="243" t="s">
        <v>1121</v>
      </c>
      <c r="P181" s="236">
        <v>45890</v>
      </c>
    </row>
    <row r="182" spans="1:16" ht="51" customHeight="1">
      <c r="A182" s="239" t="s">
        <v>1122</v>
      </c>
      <c r="B182" s="240">
        <v>1068</v>
      </c>
      <c r="C182" s="241">
        <v>30364</v>
      </c>
      <c r="D182" s="239" t="s">
        <v>3817</v>
      </c>
      <c r="E182" s="239" t="s">
        <v>406</v>
      </c>
      <c r="F182" s="239" t="s">
        <v>407</v>
      </c>
      <c r="G182" s="239" t="s">
        <v>942</v>
      </c>
      <c r="H182" s="239" t="s">
        <v>973</v>
      </c>
      <c r="I182" s="239" t="s">
        <v>399</v>
      </c>
      <c r="J182" s="234">
        <v>38700</v>
      </c>
      <c r="K182" s="234">
        <v>15070</v>
      </c>
      <c r="L182" s="242">
        <v>21</v>
      </c>
      <c r="M182" s="234">
        <v>23630</v>
      </c>
      <c r="N182" s="234">
        <v>18667.7</v>
      </c>
      <c r="O182" s="243" t="s">
        <v>1123</v>
      </c>
      <c r="P182" s="236">
        <v>45890</v>
      </c>
    </row>
    <row r="183" spans="1:16" ht="51" customHeight="1">
      <c r="A183" s="239" t="s">
        <v>1124</v>
      </c>
      <c r="B183" s="240">
        <v>1069</v>
      </c>
      <c r="C183" s="241">
        <v>30368</v>
      </c>
      <c r="D183" s="239" t="s">
        <v>3817</v>
      </c>
      <c r="E183" s="239" t="s">
        <v>453</v>
      </c>
      <c r="F183" s="239" t="s">
        <v>454</v>
      </c>
      <c r="G183" s="239" t="s">
        <v>942</v>
      </c>
      <c r="H183" s="239" t="s">
        <v>973</v>
      </c>
      <c r="I183" s="239" t="s">
        <v>399</v>
      </c>
      <c r="J183" s="234">
        <v>46560</v>
      </c>
      <c r="K183" s="234">
        <v>24080</v>
      </c>
      <c r="L183" s="242">
        <v>29</v>
      </c>
      <c r="M183" s="234">
        <v>22480</v>
      </c>
      <c r="N183" s="234">
        <v>15960.8</v>
      </c>
      <c r="O183" s="243" t="s">
        <v>1125</v>
      </c>
      <c r="P183" s="236">
        <v>45890</v>
      </c>
    </row>
    <row r="184" spans="1:16" ht="51" customHeight="1">
      <c r="A184" s="239" t="s">
        <v>1126</v>
      </c>
      <c r="B184" s="240">
        <v>1070</v>
      </c>
      <c r="C184" s="241">
        <v>30366</v>
      </c>
      <c r="D184" s="239" t="s">
        <v>3817</v>
      </c>
      <c r="E184" s="239" t="s">
        <v>456</v>
      </c>
      <c r="F184" s="239" t="s">
        <v>457</v>
      </c>
      <c r="G184" s="239" t="s">
        <v>942</v>
      </c>
      <c r="H184" s="239" t="s">
        <v>973</v>
      </c>
      <c r="I184" s="239" t="s">
        <v>399</v>
      </c>
      <c r="J184" s="234">
        <v>40610</v>
      </c>
      <c r="K184" s="234">
        <v>15510</v>
      </c>
      <c r="L184" s="242">
        <v>22</v>
      </c>
      <c r="M184" s="234">
        <v>25100</v>
      </c>
      <c r="N184" s="234">
        <v>19578</v>
      </c>
      <c r="O184" s="243" t="s">
        <v>1127</v>
      </c>
      <c r="P184" s="236">
        <v>45890</v>
      </c>
    </row>
    <row r="185" spans="1:16" ht="51" customHeight="1">
      <c r="A185" s="239" t="s">
        <v>1128</v>
      </c>
      <c r="B185" s="240">
        <v>1071</v>
      </c>
      <c r="C185" s="241">
        <v>30371</v>
      </c>
      <c r="D185" s="239" t="s">
        <v>3817</v>
      </c>
      <c r="E185" s="239" t="s">
        <v>372</v>
      </c>
      <c r="F185" s="239" t="s">
        <v>373</v>
      </c>
      <c r="G185" s="239" t="s">
        <v>942</v>
      </c>
      <c r="H185" s="239" t="s">
        <v>973</v>
      </c>
      <c r="I185" s="239" t="s">
        <v>399</v>
      </c>
      <c r="J185" s="234">
        <v>39330</v>
      </c>
      <c r="K185" s="234">
        <v>14940</v>
      </c>
      <c r="L185" s="242">
        <v>48</v>
      </c>
      <c r="M185" s="234">
        <v>24390</v>
      </c>
      <c r="N185" s="234">
        <v>12682.8</v>
      </c>
      <c r="O185" s="243" t="s">
        <v>1129</v>
      </c>
      <c r="P185" s="236">
        <v>45890</v>
      </c>
    </row>
    <row r="186" spans="1:16" ht="51" customHeight="1">
      <c r="A186" s="239" t="s">
        <v>1130</v>
      </c>
      <c r="B186" s="240">
        <v>1072</v>
      </c>
      <c r="C186" s="241">
        <v>30373</v>
      </c>
      <c r="D186" s="239" t="s">
        <v>3817</v>
      </c>
      <c r="E186" s="239" t="s">
        <v>369</v>
      </c>
      <c r="F186" s="239" t="s">
        <v>370</v>
      </c>
      <c r="G186" s="239" t="s">
        <v>942</v>
      </c>
      <c r="H186" s="239" t="s">
        <v>973</v>
      </c>
      <c r="I186" s="239" t="s">
        <v>399</v>
      </c>
      <c r="J186" s="234">
        <v>38070</v>
      </c>
      <c r="K186" s="234">
        <v>15070</v>
      </c>
      <c r="L186" s="242">
        <v>24</v>
      </c>
      <c r="M186" s="234">
        <v>23000</v>
      </c>
      <c r="N186" s="234">
        <v>17480</v>
      </c>
      <c r="O186" s="243" t="s">
        <v>1131</v>
      </c>
      <c r="P186" s="236">
        <v>45890</v>
      </c>
    </row>
    <row r="187" spans="1:16" ht="51" customHeight="1">
      <c r="A187" s="239" t="s">
        <v>1132</v>
      </c>
      <c r="B187" s="240">
        <v>1073</v>
      </c>
      <c r="C187" s="241">
        <v>30387</v>
      </c>
      <c r="D187" s="239" t="s">
        <v>3817</v>
      </c>
      <c r="E187" s="239" t="s">
        <v>783</v>
      </c>
      <c r="F187" s="239" t="s">
        <v>784</v>
      </c>
      <c r="G187" s="239" t="s">
        <v>942</v>
      </c>
      <c r="H187" s="239" t="s">
        <v>973</v>
      </c>
      <c r="I187" s="239" t="s">
        <v>399</v>
      </c>
      <c r="J187" s="234">
        <v>40100</v>
      </c>
      <c r="K187" s="234">
        <v>14700</v>
      </c>
      <c r="L187" s="242">
        <v>14</v>
      </c>
      <c r="M187" s="234">
        <v>25400</v>
      </c>
      <c r="N187" s="234">
        <v>21844</v>
      </c>
      <c r="O187" s="243" t="s">
        <v>1133</v>
      </c>
      <c r="P187" s="236">
        <v>45890</v>
      </c>
    </row>
    <row r="188" spans="1:16" ht="51" customHeight="1">
      <c r="A188" s="239" t="s">
        <v>1134</v>
      </c>
      <c r="B188" s="240">
        <v>1074</v>
      </c>
      <c r="C188" s="241">
        <v>30381</v>
      </c>
      <c r="D188" s="239" t="s">
        <v>3817</v>
      </c>
      <c r="E188" s="239" t="s">
        <v>374</v>
      </c>
      <c r="F188" s="239" t="s">
        <v>375</v>
      </c>
      <c r="G188" s="239" t="s">
        <v>942</v>
      </c>
      <c r="H188" s="239" t="s">
        <v>973</v>
      </c>
      <c r="I188" s="239" t="s">
        <v>399</v>
      </c>
      <c r="J188" s="234">
        <v>39280</v>
      </c>
      <c r="K188" s="234">
        <v>15600</v>
      </c>
      <c r="L188" s="242">
        <v>26</v>
      </c>
      <c r="M188" s="234">
        <v>23680</v>
      </c>
      <c r="N188" s="234">
        <v>17523.2</v>
      </c>
      <c r="O188" s="243" t="s">
        <v>1135</v>
      </c>
      <c r="P188" s="236">
        <v>45890</v>
      </c>
    </row>
    <row r="189" spans="1:16" ht="51" customHeight="1">
      <c r="A189" s="239" t="s">
        <v>1136</v>
      </c>
      <c r="B189" s="240">
        <v>1075</v>
      </c>
      <c r="C189" s="241">
        <v>30402</v>
      </c>
      <c r="D189" s="239" t="s">
        <v>3817</v>
      </c>
      <c r="E189" s="239" t="s">
        <v>462</v>
      </c>
      <c r="F189" s="239" t="s">
        <v>463</v>
      </c>
      <c r="G189" s="239" t="s">
        <v>942</v>
      </c>
      <c r="H189" s="239" t="s">
        <v>973</v>
      </c>
      <c r="I189" s="239" t="s">
        <v>399</v>
      </c>
      <c r="J189" s="234">
        <v>41400</v>
      </c>
      <c r="K189" s="234">
        <v>16410</v>
      </c>
      <c r="L189" s="242">
        <v>18</v>
      </c>
      <c r="M189" s="234">
        <v>24990</v>
      </c>
      <c r="N189" s="234">
        <v>20491.8</v>
      </c>
      <c r="O189" s="243" t="s">
        <v>1137</v>
      </c>
      <c r="P189" s="236">
        <v>45890</v>
      </c>
    </row>
    <row r="190" spans="1:16" ht="51" customHeight="1">
      <c r="A190" s="239" t="s">
        <v>1138</v>
      </c>
      <c r="B190" s="240">
        <v>1076</v>
      </c>
      <c r="C190" s="241">
        <v>30395</v>
      </c>
      <c r="D190" s="239" t="s">
        <v>3817</v>
      </c>
      <c r="E190" s="239" t="s">
        <v>475</v>
      </c>
      <c r="F190" s="239" t="s">
        <v>476</v>
      </c>
      <c r="G190" s="239" t="s">
        <v>942</v>
      </c>
      <c r="H190" s="239" t="s">
        <v>973</v>
      </c>
      <c r="I190" s="239" t="s">
        <v>399</v>
      </c>
      <c r="J190" s="234">
        <v>39500</v>
      </c>
      <c r="K190" s="234">
        <v>16470</v>
      </c>
      <c r="L190" s="242">
        <v>17</v>
      </c>
      <c r="M190" s="234">
        <v>23030</v>
      </c>
      <c r="N190" s="234">
        <v>19114.900000000001</v>
      </c>
      <c r="O190" s="243" t="s">
        <v>1139</v>
      </c>
      <c r="P190" s="236">
        <v>45890</v>
      </c>
    </row>
    <row r="191" spans="1:16" ht="51" customHeight="1">
      <c r="A191" s="239" t="s">
        <v>1140</v>
      </c>
      <c r="B191" s="240">
        <v>1077</v>
      </c>
      <c r="C191" s="241">
        <v>30397</v>
      </c>
      <c r="D191" s="239" t="s">
        <v>3817</v>
      </c>
      <c r="E191" s="239" t="s">
        <v>472</v>
      </c>
      <c r="F191" s="239" t="s">
        <v>473</v>
      </c>
      <c r="G191" s="239" t="s">
        <v>942</v>
      </c>
      <c r="H191" s="239" t="s">
        <v>973</v>
      </c>
      <c r="I191" s="239" t="s">
        <v>399</v>
      </c>
      <c r="J191" s="234">
        <v>39010</v>
      </c>
      <c r="K191" s="234">
        <v>16550</v>
      </c>
      <c r="L191" s="242">
        <v>13</v>
      </c>
      <c r="M191" s="234">
        <v>22460</v>
      </c>
      <c r="N191" s="234">
        <v>19540.2</v>
      </c>
      <c r="O191" s="243" t="s">
        <v>1141</v>
      </c>
      <c r="P191" s="236">
        <v>45890</v>
      </c>
    </row>
    <row r="192" spans="1:16" ht="51" customHeight="1">
      <c r="A192" s="239" t="s">
        <v>1142</v>
      </c>
      <c r="B192" s="240">
        <v>1078</v>
      </c>
      <c r="C192" s="241">
        <v>30393</v>
      </c>
      <c r="D192" s="239" t="s">
        <v>3817</v>
      </c>
      <c r="E192" s="239" t="s">
        <v>794</v>
      </c>
      <c r="F192" s="239" t="s">
        <v>795</v>
      </c>
      <c r="G192" s="239" t="s">
        <v>942</v>
      </c>
      <c r="H192" s="239" t="s">
        <v>973</v>
      </c>
      <c r="I192" s="239" t="s">
        <v>399</v>
      </c>
      <c r="J192" s="234">
        <v>43490</v>
      </c>
      <c r="K192" s="234">
        <v>16120</v>
      </c>
      <c r="L192" s="242">
        <v>20</v>
      </c>
      <c r="M192" s="234">
        <v>27370</v>
      </c>
      <c r="N192" s="234">
        <v>21896</v>
      </c>
      <c r="O192" s="243" t="s">
        <v>1150</v>
      </c>
      <c r="P192" s="236">
        <v>45890</v>
      </c>
    </row>
    <row r="193" spans="1:16" ht="51" customHeight="1">
      <c r="A193" s="239" t="s">
        <v>1143</v>
      </c>
      <c r="B193" s="240">
        <v>1080</v>
      </c>
      <c r="C193" s="241">
        <v>30404</v>
      </c>
      <c r="D193" s="239" t="s">
        <v>3817</v>
      </c>
      <c r="E193" s="239" t="s">
        <v>841</v>
      </c>
      <c r="F193" s="239" t="s">
        <v>845</v>
      </c>
      <c r="G193" s="239" t="s">
        <v>942</v>
      </c>
      <c r="H193" s="239" t="s">
        <v>973</v>
      </c>
      <c r="I193" s="239" t="s">
        <v>399</v>
      </c>
      <c r="J193" s="234">
        <v>41080</v>
      </c>
      <c r="K193" s="234">
        <v>15960</v>
      </c>
      <c r="L193" s="242">
        <v>28</v>
      </c>
      <c r="M193" s="234">
        <v>25120</v>
      </c>
      <c r="N193" s="234">
        <v>18086.400000000001</v>
      </c>
      <c r="O193" s="243" t="s">
        <v>1151</v>
      </c>
      <c r="P193" s="236">
        <v>45890</v>
      </c>
    </row>
    <row r="194" spans="1:16" ht="51" customHeight="1">
      <c r="A194" s="239" t="s">
        <v>1144</v>
      </c>
      <c r="B194" s="240">
        <v>1081</v>
      </c>
      <c r="C194" s="241">
        <v>30406</v>
      </c>
      <c r="D194" s="239" t="s">
        <v>3817</v>
      </c>
      <c r="E194" s="239" t="s">
        <v>791</v>
      </c>
      <c r="F194" s="239" t="s">
        <v>792</v>
      </c>
      <c r="G194" s="239" t="s">
        <v>942</v>
      </c>
      <c r="H194" s="239" t="s">
        <v>973</v>
      </c>
      <c r="I194" s="239" t="s">
        <v>399</v>
      </c>
      <c r="J194" s="234">
        <v>41280</v>
      </c>
      <c r="K194" s="234">
        <v>15000</v>
      </c>
      <c r="L194" s="242">
        <v>19</v>
      </c>
      <c r="M194" s="234">
        <v>26280</v>
      </c>
      <c r="N194" s="234">
        <v>21286.799999999999</v>
      </c>
      <c r="O194" s="243" t="s">
        <v>1152</v>
      </c>
      <c r="P194" s="236">
        <v>45890</v>
      </c>
    </row>
    <row r="195" spans="1:16" ht="51" customHeight="1">
      <c r="A195" s="239" t="s">
        <v>1145</v>
      </c>
      <c r="B195" s="240">
        <v>1083</v>
      </c>
      <c r="C195" s="241">
        <v>30410</v>
      </c>
      <c r="D195" s="239" t="s">
        <v>3817</v>
      </c>
      <c r="E195" s="239" t="s">
        <v>380</v>
      </c>
      <c r="F195" s="239" t="s">
        <v>381</v>
      </c>
      <c r="G195" s="239" t="s">
        <v>942</v>
      </c>
      <c r="H195" s="239" t="s">
        <v>973</v>
      </c>
      <c r="I195" s="239" t="s">
        <v>399</v>
      </c>
      <c r="J195" s="234">
        <v>38850</v>
      </c>
      <c r="K195" s="234">
        <v>15040</v>
      </c>
      <c r="L195" s="242">
        <v>16</v>
      </c>
      <c r="M195" s="234">
        <v>23810</v>
      </c>
      <c r="N195" s="234">
        <v>20000.400000000001</v>
      </c>
      <c r="O195" s="243" t="s">
        <v>1153</v>
      </c>
      <c r="P195" s="236">
        <v>45890</v>
      </c>
    </row>
    <row r="196" spans="1:16" ht="51" customHeight="1">
      <c r="A196" s="239" t="s">
        <v>1146</v>
      </c>
      <c r="B196" s="240">
        <v>1084</v>
      </c>
      <c r="C196" s="241">
        <v>30408</v>
      </c>
      <c r="D196" s="239" t="s">
        <v>3817</v>
      </c>
      <c r="E196" s="239" t="s">
        <v>786</v>
      </c>
      <c r="F196" s="239" t="s">
        <v>787</v>
      </c>
      <c r="G196" s="239" t="s">
        <v>942</v>
      </c>
      <c r="H196" s="239" t="s">
        <v>973</v>
      </c>
      <c r="I196" s="239" t="s">
        <v>399</v>
      </c>
      <c r="J196" s="234">
        <v>35950</v>
      </c>
      <c r="K196" s="234">
        <v>13990</v>
      </c>
      <c r="L196" s="242">
        <v>29</v>
      </c>
      <c r="M196" s="234">
        <v>21960</v>
      </c>
      <c r="N196" s="234">
        <v>15591.6</v>
      </c>
      <c r="O196" s="243" t="s">
        <v>1154</v>
      </c>
      <c r="P196" s="236">
        <v>45890</v>
      </c>
    </row>
    <row r="197" spans="1:16" ht="51" customHeight="1">
      <c r="A197" s="239" t="s">
        <v>1147</v>
      </c>
      <c r="B197" s="240">
        <v>1086</v>
      </c>
      <c r="C197" s="241">
        <v>30414</v>
      </c>
      <c r="D197" s="239" t="s">
        <v>3817</v>
      </c>
      <c r="E197" s="239" t="s">
        <v>413</v>
      </c>
      <c r="F197" s="239" t="s">
        <v>414</v>
      </c>
      <c r="G197" s="239" t="s">
        <v>942</v>
      </c>
      <c r="H197" s="239" t="s">
        <v>973</v>
      </c>
      <c r="I197" s="239" t="s">
        <v>399</v>
      </c>
      <c r="J197" s="234">
        <v>38680</v>
      </c>
      <c r="K197" s="234">
        <v>14950</v>
      </c>
      <c r="L197" s="242">
        <v>13</v>
      </c>
      <c r="M197" s="234">
        <v>23730</v>
      </c>
      <c r="N197" s="234">
        <v>20645.099999999999</v>
      </c>
      <c r="O197" s="243" t="s">
        <v>1155</v>
      </c>
      <c r="P197" s="236">
        <v>45890</v>
      </c>
    </row>
    <row r="198" spans="1:16" ht="51" customHeight="1">
      <c r="A198" s="239" t="s">
        <v>1148</v>
      </c>
      <c r="B198" s="240">
        <v>1089</v>
      </c>
      <c r="C198" s="241">
        <v>30412</v>
      </c>
      <c r="D198" s="239" t="s">
        <v>3817</v>
      </c>
      <c r="E198" s="239" t="s">
        <v>377</v>
      </c>
      <c r="F198" s="239" t="s">
        <v>378</v>
      </c>
      <c r="G198" s="239" t="s">
        <v>942</v>
      </c>
      <c r="H198" s="239" t="s">
        <v>973</v>
      </c>
      <c r="I198" s="239" t="s">
        <v>399</v>
      </c>
      <c r="J198" s="234">
        <v>41370</v>
      </c>
      <c r="K198" s="234">
        <v>15200</v>
      </c>
      <c r="L198" s="242">
        <v>21</v>
      </c>
      <c r="M198" s="234">
        <v>26170</v>
      </c>
      <c r="N198" s="234">
        <v>20674.3</v>
      </c>
      <c r="O198" s="243" t="s">
        <v>1156</v>
      </c>
      <c r="P198" s="236">
        <v>45890</v>
      </c>
    </row>
    <row r="199" spans="1:16" ht="51" customHeight="1">
      <c r="A199" s="239" t="s">
        <v>1149</v>
      </c>
      <c r="B199" s="240">
        <v>1090</v>
      </c>
      <c r="C199" s="241">
        <v>30416</v>
      </c>
      <c r="D199" s="239" t="s">
        <v>3817</v>
      </c>
      <c r="E199" s="239" t="s">
        <v>410</v>
      </c>
      <c r="F199" s="239" t="s">
        <v>411</v>
      </c>
      <c r="G199" s="239" t="s">
        <v>942</v>
      </c>
      <c r="H199" s="239" t="s">
        <v>973</v>
      </c>
      <c r="I199" s="239" t="s">
        <v>399</v>
      </c>
      <c r="J199" s="234">
        <v>37510</v>
      </c>
      <c r="K199" s="234">
        <v>15090</v>
      </c>
      <c r="L199" s="242">
        <v>15</v>
      </c>
      <c r="M199" s="234">
        <v>22420</v>
      </c>
      <c r="N199" s="234">
        <v>19057</v>
      </c>
      <c r="O199" s="243" t="s">
        <v>1157</v>
      </c>
      <c r="P199" s="236">
        <v>45890</v>
      </c>
    </row>
    <row r="200" spans="1:16" ht="51" customHeight="1">
      <c r="A200" s="239" t="s">
        <v>1158</v>
      </c>
      <c r="B200" s="240">
        <v>1093</v>
      </c>
      <c r="C200" s="241">
        <v>30418</v>
      </c>
      <c r="D200" s="239" t="s">
        <v>3817</v>
      </c>
      <c r="E200" s="239" t="s">
        <v>384</v>
      </c>
      <c r="F200" s="239" t="s">
        <v>385</v>
      </c>
      <c r="G200" s="239" t="s">
        <v>942</v>
      </c>
      <c r="H200" s="239" t="s">
        <v>973</v>
      </c>
      <c r="I200" s="239" t="s">
        <v>399</v>
      </c>
      <c r="J200" s="234">
        <v>37500</v>
      </c>
      <c r="K200" s="234">
        <v>13900</v>
      </c>
      <c r="L200" s="242">
        <v>28</v>
      </c>
      <c r="M200" s="234">
        <v>23600</v>
      </c>
      <c r="N200" s="234">
        <v>16992</v>
      </c>
      <c r="O200" s="243" t="s">
        <v>1227</v>
      </c>
      <c r="P200" s="236">
        <v>45891</v>
      </c>
    </row>
    <row r="201" spans="1:16" ht="51" customHeight="1">
      <c r="A201" s="239" t="s">
        <v>1159</v>
      </c>
      <c r="B201" s="240">
        <v>1094</v>
      </c>
      <c r="C201" s="241">
        <v>30420</v>
      </c>
      <c r="D201" s="239" t="s">
        <v>3817</v>
      </c>
      <c r="E201" s="239" t="s">
        <v>400</v>
      </c>
      <c r="F201" s="239" t="s">
        <v>401</v>
      </c>
      <c r="G201" s="239" t="s">
        <v>942</v>
      </c>
      <c r="H201" s="239" t="s">
        <v>973</v>
      </c>
      <c r="I201" s="239" t="s">
        <v>399</v>
      </c>
      <c r="J201" s="234">
        <v>38700</v>
      </c>
      <c r="K201" s="234">
        <v>14690</v>
      </c>
      <c r="L201" s="242">
        <v>26</v>
      </c>
      <c r="M201" s="234">
        <v>24010</v>
      </c>
      <c r="N201" s="234">
        <v>17767.400000000001</v>
      </c>
      <c r="O201" s="243" t="s">
        <v>1228</v>
      </c>
      <c r="P201" s="236">
        <v>45891</v>
      </c>
    </row>
    <row r="202" spans="1:16" ht="51" customHeight="1">
      <c r="A202" s="239" t="s">
        <v>1162</v>
      </c>
      <c r="B202" s="240">
        <v>1095</v>
      </c>
      <c r="C202" s="241">
        <v>30424</v>
      </c>
      <c r="D202" s="239" t="s">
        <v>3817</v>
      </c>
      <c r="E202" s="239" t="s">
        <v>858</v>
      </c>
      <c r="F202" s="239" t="s">
        <v>859</v>
      </c>
      <c r="G202" s="239" t="s">
        <v>942</v>
      </c>
      <c r="H202" s="239" t="s">
        <v>973</v>
      </c>
      <c r="I202" s="239" t="s">
        <v>399</v>
      </c>
      <c r="J202" s="234">
        <v>38520</v>
      </c>
      <c r="K202" s="234">
        <v>14700</v>
      </c>
      <c r="L202" s="242">
        <v>11</v>
      </c>
      <c r="M202" s="234">
        <v>23820</v>
      </c>
      <c r="N202" s="234">
        <v>21199.8</v>
      </c>
      <c r="O202" s="243" t="s">
        <v>1231</v>
      </c>
      <c r="P202" s="236">
        <v>45891</v>
      </c>
    </row>
    <row r="203" spans="1:16" ht="51" customHeight="1">
      <c r="A203" s="239" t="s">
        <v>1163</v>
      </c>
      <c r="B203" s="240">
        <v>1096</v>
      </c>
      <c r="C203" s="241">
        <v>30422</v>
      </c>
      <c r="D203" s="239" t="s">
        <v>3817</v>
      </c>
      <c r="E203" s="239" t="s">
        <v>429</v>
      </c>
      <c r="F203" s="239" t="s">
        <v>430</v>
      </c>
      <c r="G203" s="239" t="s">
        <v>942</v>
      </c>
      <c r="H203" s="239" t="s">
        <v>973</v>
      </c>
      <c r="I203" s="239" t="s">
        <v>399</v>
      </c>
      <c r="J203" s="234">
        <v>38090</v>
      </c>
      <c r="K203" s="234">
        <v>14180</v>
      </c>
      <c r="L203" s="242">
        <v>26</v>
      </c>
      <c r="M203" s="234">
        <v>23910</v>
      </c>
      <c r="N203" s="234">
        <v>17693.400000000001</v>
      </c>
      <c r="O203" s="243" t="s">
        <v>1232</v>
      </c>
      <c r="P203" s="236">
        <v>45891</v>
      </c>
    </row>
    <row r="204" spans="1:16" ht="51" customHeight="1">
      <c r="A204" s="239" t="s">
        <v>1164</v>
      </c>
      <c r="B204" s="240">
        <v>1100</v>
      </c>
      <c r="C204" s="241">
        <v>30435</v>
      </c>
      <c r="D204" s="239" t="s">
        <v>3817</v>
      </c>
      <c r="E204" s="239" t="s">
        <v>369</v>
      </c>
      <c r="F204" s="239" t="s">
        <v>370</v>
      </c>
      <c r="G204" s="239" t="s">
        <v>939</v>
      </c>
      <c r="H204" s="239" t="s">
        <v>974</v>
      </c>
      <c r="I204" s="239" t="s">
        <v>399</v>
      </c>
      <c r="J204" s="234">
        <v>38690</v>
      </c>
      <c r="K204" s="234">
        <v>15060</v>
      </c>
      <c r="L204" s="242">
        <v>5</v>
      </c>
      <c r="M204" s="234">
        <v>23630</v>
      </c>
      <c r="N204" s="234">
        <v>22448.5</v>
      </c>
      <c r="O204" s="243" t="s">
        <v>1233</v>
      </c>
      <c r="P204" s="236">
        <v>45891</v>
      </c>
    </row>
    <row r="205" spans="1:16" ht="51" customHeight="1">
      <c r="A205" s="239" t="s">
        <v>1160</v>
      </c>
      <c r="B205" s="240">
        <v>1101</v>
      </c>
      <c r="C205" s="241">
        <v>30437</v>
      </c>
      <c r="D205" s="239" t="s">
        <v>3817</v>
      </c>
      <c r="E205" s="239" t="s">
        <v>374</v>
      </c>
      <c r="F205" s="239" t="s">
        <v>375</v>
      </c>
      <c r="G205" s="239" t="s">
        <v>939</v>
      </c>
      <c r="H205" s="239" t="s">
        <v>974</v>
      </c>
      <c r="I205" s="239" t="s">
        <v>399</v>
      </c>
      <c r="J205" s="234">
        <v>39190</v>
      </c>
      <c r="K205" s="234">
        <v>15620</v>
      </c>
      <c r="L205" s="242">
        <v>19</v>
      </c>
      <c r="M205" s="234">
        <v>23570</v>
      </c>
      <c r="N205" s="234">
        <v>19091.7</v>
      </c>
      <c r="O205" s="243" t="s">
        <v>1229</v>
      </c>
      <c r="P205" s="236">
        <v>45891</v>
      </c>
    </row>
    <row r="206" spans="1:16" ht="51" customHeight="1">
      <c r="A206" s="239" t="s">
        <v>1161</v>
      </c>
      <c r="B206" s="240">
        <v>1102</v>
      </c>
      <c r="C206" s="241">
        <v>30439</v>
      </c>
      <c r="D206" s="239" t="s">
        <v>3817</v>
      </c>
      <c r="E206" s="239" t="s">
        <v>386</v>
      </c>
      <c r="F206" s="239" t="s">
        <v>387</v>
      </c>
      <c r="G206" s="239" t="s">
        <v>939</v>
      </c>
      <c r="H206" s="239" t="s">
        <v>974</v>
      </c>
      <c r="I206" s="239" t="s">
        <v>399</v>
      </c>
      <c r="J206" s="234">
        <v>38090</v>
      </c>
      <c r="K206" s="234">
        <v>15410</v>
      </c>
      <c r="L206" s="242">
        <v>11</v>
      </c>
      <c r="M206" s="234">
        <v>22680</v>
      </c>
      <c r="N206" s="234">
        <v>20185.2</v>
      </c>
      <c r="O206" s="243" t="s">
        <v>1230</v>
      </c>
      <c r="P206" s="236">
        <v>45891</v>
      </c>
    </row>
    <row r="207" spans="1:16" ht="51" customHeight="1">
      <c r="A207" s="239" t="s">
        <v>1165</v>
      </c>
      <c r="B207" s="240">
        <v>1103</v>
      </c>
      <c r="C207" s="241">
        <v>30445</v>
      </c>
      <c r="D207" s="239" t="s">
        <v>3817</v>
      </c>
      <c r="E207" s="239" t="s">
        <v>783</v>
      </c>
      <c r="F207" s="239" t="s">
        <v>784</v>
      </c>
      <c r="G207" s="239" t="s">
        <v>939</v>
      </c>
      <c r="H207" s="239" t="s">
        <v>974</v>
      </c>
      <c r="I207" s="239" t="s">
        <v>399</v>
      </c>
      <c r="J207" s="234">
        <v>41220</v>
      </c>
      <c r="K207" s="234">
        <v>14700</v>
      </c>
      <c r="L207" s="242">
        <v>34</v>
      </c>
      <c r="M207" s="234">
        <v>26520</v>
      </c>
      <c r="N207" s="234">
        <v>17503.2</v>
      </c>
      <c r="O207" s="243" t="s">
        <v>1234</v>
      </c>
      <c r="P207" s="236">
        <v>45892</v>
      </c>
    </row>
    <row r="208" spans="1:16" ht="51" customHeight="1">
      <c r="A208" s="239" t="s">
        <v>1166</v>
      </c>
      <c r="B208" s="240">
        <v>1105</v>
      </c>
      <c r="C208" s="241">
        <v>30452</v>
      </c>
      <c r="D208" s="239" t="s">
        <v>3817</v>
      </c>
      <c r="E208" s="239" t="s">
        <v>786</v>
      </c>
      <c r="F208" s="239" t="s">
        <v>787</v>
      </c>
      <c r="G208" s="239" t="s">
        <v>939</v>
      </c>
      <c r="H208" s="239" t="s">
        <v>974</v>
      </c>
      <c r="I208" s="239" t="s">
        <v>399</v>
      </c>
      <c r="J208" s="234">
        <v>36340</v>
      </c>
      <c r="K208" s="234">
        <v>13930</v>
      </c>
      <c r="L208" s="242">
        <v>8</v>
      </c>
      <c r="M208" s="234">
        <v>22410</v>
      </c>
      <c r="N208" s="234">
        <v>20617.2</v>
      </c>
      <c r="O208" s="243" t="s">
        <v>1235</v>
      </c>
      <c r="P208" s="236">
        <v>45892</v>
      </c>
    </row>
    <row r="209" spans="1:16" ht="51" customHeight="1">
      <c r="A209" s="239" t="s">
        <v>1167</v>
      </c>
      <c r="B209" s="240">
        <v>1106</v>
      </c>
      <c r="C209" s="241">
        <v>30447</v>
      </c>
      <c r="D209" s="239" t="s">
        <v>3817</v>
      </c>
      <c r="E209" s="239" t="s">
        <v>791</v>
      </c>
      <c r="F209" s="239" t="s">
        <v>792</v>
      </c>
      <c r="G209" s="239" t="s">
        <v>939</v>
      </c>
      <c r="H209" s="239" t="s">
        <v>974</v>
      </c>
      <c r="I209" s="239" t="s">
        <v>399</v>
      </c>
      <c r="J209" s="234">
        <v>40950</v>
      </c>
      <c r="K209" s="234">
        <v>14980</v>
      </c>
      <c r="L209" s="242">
        <v>12</v>
      </c>
      <c r="M209" s="234">
        <v>25970</v>
      </c>
      <c r="N209" s="234">
        <v>22853.599999999999</v>
      </c>
      <c r="O209" s="243" t="s">
        <v>1236</v>
      </c>
      <c r="P209" s="236">
        <v>45892</v>
      </c>
    </row>
    <row r="210" spans="1:16" ht="51" customHeight="1">
      <c r="A210" s="239" t="s">
        <v>1168</v>
      </c>
      <c r="B210" s="240">
        <v>1104</v>
      </c>
      <c r="C210" s="241">
        <v>30450</v>
      </c>
      <c r="D210" s="239" t="s">
        <v>3817</v>
      </c>
      <c r="E210" s="239" t="s">
        <v>841</v>
      </c>
      <c r="F210" s="239" t="s">
        <v>845</v>
      </c>
      <c r="G210" s="239" t="s">
        <v>939</v>
      </c>
      <c r="H210" s="239" t="s">
        <v>974</v>
      </c>
      <c r="I210" s="239" t="s">
        <v>399</v>
      </c>
      <c r="J210" s="234">
        <v>42500</v>
      </c>
      <c r="K210" s="234">
        <v>15930</v>
      </c>
      <c r="L210" s="242">
        <v>10</v>
      </c>
      <c r="M210" s="234">
        <v>26570</v>
      </c>
      <c r="N210" s="234">
        <v>23913</v>
      </c>
      <c r="O210" s="243" t="s">
        <v>1237</v>
      </c>
      <c r="P210" s="236">
        <v>45892</v>
      </c>
    </row>
    <row r="211" spans="1:16" ht="51" customHeight="1">
      <c r="A211" s="239" t="s">
        <v>1169</v>
      </c>
      <c r="B211" s="240">
        <v>1107</v>
      </c>
      <c r="C211" s="241">
        <v>30454</v>
      </c>
      <c r="D211" s="239" t="s">
        <v>3817</v>
      </c>
      <c r="E211" s="239" t="s">
        <v>794</v>
      </c>
      <c r="F211" s="239" t="s">
        <v>795</v>
      </c>
      <c r="G211" s="239" t="s">
        <v>939</v>
      </c>
      <c r="H211" s="239" t="s">
        <v>974</v>
      </c>
      <c r="I211" s="239" t="s">
        <v>399</v>
      </c>
      <c r="J211" s="234">
        <v>42720</v>
      </c>
      <c r="K211" s="234">
        <v>16100</v>
      </c>
      <c r="L211" s="242">
        <v>8</v>
      </c>
      <c r="M211" s="234">
        <v>26620</v>
      </c>
      <c r="N211" s="234">
        <v>24490.400000000001</v>
      </c>
      <c r="O211" s="243" t="s">
        <v>1238</v>
      </c>
      <c r="P211" s="236">
        <v>45892</v>
      </c>
    </row>
    <row r="212" spans="1:16" ht="51" customHeight="1">
      <c r="A212" s="239" t="s">
        <v>1170</v>
      </c>
      <c r="B212" s="240">
        <v>1108</v>
      </c>
      <c r="C212" s="241">
        <v>30456</v>
      </c>
      <c r="D212" s="239" t="s">
        <v>3817</v>
      </c>
      <c r="E212" s="239" t="s">
        <v>380</v>
      </c>
      <c r="F212" s="239" t="s">
        <v>381</v>
      </c>
      <c r="G212" s="239" t="s">
        <v>939</v>
      </c>
      <c r="H212" s="239" t="s">
        <v>974</v>
      </c>
      <c r="I212" s="239" t="s">
        <v>399</v>
      </c>
      <c r="J212" s="234">
        <v>39680</v>
      </c>
      <c r="K212" s="234">
        <v>15040</v>
      </c>
      <c r="L212" s="242">
        <v>31</v>
      </c>
      <c r="M212" s="234">
        <v>24640</v>
      </c>
      <c r="N212" s="234">
        <v>17001.599999999999</v>
      </c>
      <c r="O212" s="243" t="s">
        <v>1239</v>
      </c>
      <c r="P212" s="236">
        <v>45892</v>
      </c>
    </row>
    <row r="213" spans="1:16" ht="51" customHeight="1">
      <c r="A213" s="239" t="s">
        <v>1171</v>
      </c>
      <c r="B213" s="240">
        <v>1109</v>
      </c>
      <c r="C213" s="241">
        <v>30458</v>
      </c>
      <c r="D213" s="239" t="s">
        <v>3817</v>
      </c>
      <c r="E213" s="239" t="s">
        <v>413</v>
      </c>
      <c r="F213" s="239" t="s">
        <v>414</v>
      </c>
      <c r="G213" s="239" t="s">
        <v>939</v>
      </c>
      <c r="H213" s="239" t="s">
        <v>974</v>
      </c>
      <c r="I213" s="239" t="s">
        <v>399</v>
      </c>
      <c r="J213" s="234">
        <v>42860</v>
      </c>
      <c r="K213" s="234">
        <v>14940</v>
      </c>
      <c r="L213" s="242">
        <v>15</v>
      </c>
      <c r="M213" s="234">
        <v>27920</v>
      </c>
      <c r="N213" s="234">
        <v>23732</v>
      </c>
      <c r="O213" s="243" t="s">
        <v>1240</v>
      </c>
      <c r="P213" s="236">
        <v>45892</v>
      </c>
    </row>
    <row r="214" spans="1:16" ht="51" customHeight="1">
      <c r="A214" s="239" t="s">
        <v>1172</v>
      </c>
      <c r="B214" s="240">
        <v>1110</v>
      </c>
      <c r="C214" s="241">
        <v>30460</v>
      </c>
      <c r="D214" s="239" t="s">
        <v>3817</v>
      </c>
      <c r="E214" s="239" t="s">
        <v>432</v>
      </c>
      <c r="F214" s="239" t="s">
        <v>433</v>
      </c>
      <c r="G214" s="239" t="s">
        <v>939</v>
      </c>
      <c r="H214" s="239" t="s">
        <v>974</v>
      </c>
      <c r="I214" s="239" t="s">
        <v>399</v>
      </c>
      <c r="J214" s="234">
        <v>41830</v>
      </c>
      <c r="K214" s="234">
        <v>15570</v>
      </c>
      <c r="L214" s="242">
        <v>8</v>
      </c>
      <c r="M214" s="234">
        <v>26260</v>
      </c>
      <c r="N214" s="234">
        <v>24159.200000000001</v>
      </c>
      <c r="O214" s="243" t="s">
        <v>1241</v>
      </c>
      <c r="P214" s="236">
        <v>45892</v>
      </c>
    </row>
    <row r="215" spans="1:16" ht="51" customHeight="1">
      <c r="A215" s="239" t="s">
        <v>1173</v>
      </c>
      <c r="B215" s="240">
        <v>1111</v>
      </c>
      <c r="C215" s="241">
        <v>30463</v>
      </c>
      <c r="D215" s="239" t="s">
        <v>3817</v>
      </c>
      <c r="E215" s="239" t="s">
        <v>447</v>
      </c>
      <c r="F215" s="239" t="s">
        <v>448</v>
      </c>
      <c r="G215" s="239" t="s">
        <v>939</v>
      </c>
      <c r="H215" s="239" t="s">
        <v>974</v>
      </c>
      <c r="I215" s="239" t="s">
        <v>399</v>
      </c>
      <c r="J215" s="234">
        <v>45680</v>
      </c>
      <c r="K215" s="234">
        <v>19410</v>
      </c>
      <c r="L215" s="242">
        <v>13</v>
      </c>
      <c r="M215" s="234">
        <v>26270</v>
      </c>
      <c r="N215" s="234">
        <v>22854.9</v>
      </c>
      <c r="O215" s="243" t="s">
        <v>1242</v>
      </c>
      <c r="P215" s="236">
        <v>45892</v>
      </c>
    </row>
    <row r="216" spans="1:16" ht="51" customHeight="1">
      <c r="A216" s="239" t="s">
        <v>1174</v>
      </c>
      <c r="B216" s="240">
        <v>1113</v>
      </c>
      <c r="C216" s="241">
        <v>30466</v>
      </c>
      <c r="D216" s="239" t="s">
        <v>3817</v>
      </c>
      <c r="E216" s="239" t="s">
        <v>442</v>
      </c>
      <c r="F216" s="239" t="s">
        <v>443</v>
      </c>
      <c r="G216" s="239" t="s">
        <v>939</v>
      </c>
      <c r="H216" s="239" t="s">
        <v>974</v>
      </c>
      <c r="I216" s="239" t="s">
        <v>399</v>
      </c>
      <c r="J216" s="234">
        <v>35190</v>
      </c>
      <c r="K216" s="234">
        <v>14480</v>
      </c>
      <c r="L216" s="242">
        <v>16</v>
      </c>
      <c r="M216" s="234">
        <v>20710</v>
      </c>
      <c r="N216" s="234">
        <v>17396.400000000001</v>
      </c>
      <c r="O216" s="243" t="s">
        <v>1243</v>
      </c>
      <c r="P216" s="236">
        <v>45892</v>
      </c>
    </row>
    <row r="217" spans="1:16" ht="51" customHeight="1">
      <c r="A217" s="239" t="s">
        <v>1175</v>
      </c>
      <c r="B217" s="240">
        <v>1114</v>
      </c>
      <c r="C217" s="241">
        <v>30468</v>
      </c>
      <c r="D217" s="239" t="s">
        <v>3817</v>
      </c>
      <c r="E217" s="239" t="s">
        <v>780</v>
      </c>
      <c r="F217" s="239" t="s">
        <v>781</v>
      </c>
      <c r="G217" s="239" t="s">
        <v>939</v>
      </c>
      <c r="H217" s="239" t="s">
        <v>974</v>
      </c>
      <c r="I217" s="239" t="s">
        <v>399</v>
      </c>
      <c r="J217" s="234">
        <v>35870</v>
      </c>
      <c r="K217" s="234">
        <v>14810</v>
      </c>
      <c r="L217" s="242">
        <v>12</v>
      </c>
      <c r="M217" s="234">
        <v>21060</v>
      </c>
      <c r="N217" s="234">
        <v>18532.8</v>
      </c>
      <c r="O217" s="243" t="s">
        <v>1244</v>
      </c>
      <c r="P217" s="236">
        <v>45892</v>
      </c>
    </row>
    <row r="218" spans="1:16" ht="51" customHeight="1">
      <c r="A218" s="239" t="s">
        <v>1176</v>
      </c>
      <c r="B218" s="240">
        <v>1115</v>
      </c>
      <c r="C218" s="241">
        <v>30470</v>
      </c>
      <c r="D218" s="239" t="s">
        <v>3817</v>
      </c>
      <c r="E218" s="239" t="s">
        <v>416</v>
      </c>
      <c r="F218" s="239" t="s">
        <v>417</v>
      </c>
      <c r="G218" s="239" t="s">
        <v>939</v>
      </c>
      <c r="H218" s="239" t="s">
        <v>974</v>
      </c>
      <c r="I218" s="239" t="s">
        <v>399</v>
      </c>
      <c r="J218" s="234">
        <v>39240</v>
      </c>
      <c r="K218" s="234">
        <v>14740</v>
      </c>
      <c r="L218" s="242">
        <v>12</v>
      </c>
      <c r="M218" s="234">
        <v>24500</v>
      </c>
      <c r="N218" s="234">
        <v>21560</v>
      </c>
      <c r="O218" s="243" t="s">
        <v>1246</v>
      </c>
      <c r="P218" s="236">
        <v>45892</v>
      </c>
    </row>
    <row r="219" spans="1:16" ht="51" customHeight="1">
      <c r="A219" s="239" t="s">
        <v>1177</v>
      </c>
      <c r="B219" s="240">
        <v>1116</v>
      </c>
      <c r="C219" s="241">
        <v>30472</v>
      </c>
      <c r="D219" s="239" t="s">
        <v>3817</v>
      </c>
      <c r="E219" s="239" t="s">
        <v>420</v>
      </c>
      <c r="F219" s="239" t="s">
        <v>421</v>
      </c>
      <c r="G219" s="239" t="s">
        <v>939</v>
      </c>
      <c r="H219" s="239" t="s">
        <v>974</v>
      </c>
      <c r="I219" s="239" t="s">
        <v>399</v>
      </c>
      <c r="J219" s="234">
        <v>37010</v>
      </c>
      <c r="K219" s="234">
        <v>14880</v>
      </c>
      <c r="L219" s="242">
        <v>16</v>
      </c>
      <c r="M219" s="234">
        <v>22130</v>
      </c>
      <c r="N219" s="234">
        <v>18589.2</v>
      </c>
      <c r="O219" s="243" t="s">
        <v>1247</v>
      </c>
      <c r="P219" s="236">
        <v>45892</v>
      </c>
    </row>
    <row r="220" spans="1:16" ht="51" customHeight="1">
      <c r="A220" s="239" t="s">
        <v>1178</v>
      </c>
      <c r="B220" s="240">
        <v>1117</v>
      </c>
      <c r="C220" s="241">
        <v>30474</v>
      </c>
      <c r="D220" s="239" t="s">
        <v>3817</v>
      </c>
      <c r="E220" s="239" t="s">
        <v>377</v>
      </c>
      <c r="F220" s="239" t="s">
        <v>378</v>
      </c>
      <c r="G220" s="239" t="s">
        <v>939</v>
      </c>
      <c r="H220" s="239" t="s">
        <v>974</v>
      </c>
      <c r="I220" s="239" t="s">
        <v>399</v>
      </c>
      <c r="J220" s="234">
        <v>40460</v>
      </c>
      <c r="K220" s="234">
        <v>15160</v>
      </c>
      <c r="L220" s="242">
        <v>10</v>
      </c>
      <c r="M220" s="234">
        <v>25300</v>
      </c>
      <c r="N220" s="234">
        <v>22770</v>
      </c>
      <c r="O220" s="243" t="s">
        <v>1248</v>
      </c>
      <c r="P220" s="236">
        <v>45892</v>
      </c>
    </row>
    <row r="221" spans="1:16" ht="51" customHeight="1">
      <c r="A221" s="239" t="s">
        <v>1184</v>
      </c>
      <c r="B221" s="240">
        <v>1119</v>
      </c>
      <c r="C221" s="241">
        <v>30476</v>
      </c>
      <c r="D221" s="239" t="s">
        <v>3817</v>
      </c>
      <c r="E221" s="239" t="s">
        <v>403</v>
      </c>
      <c r="F221" s="239" t="s">
        <v>404</v>
      </c>
      <c r="G221" s="239" t="s">
        <v>939</v>
      </c>
      <c r="H221" s="239" t="s">
        <v>974</v>
      </c>
      <c r="I221" s="239" t="s">
        <v>399</v>
      </c>
      <c r="J221" s="234">
        <v>39090</v>
      </c>
      <c r="K221" s="234">
        <v>14470</v>
      </c>
      <c r="L221" s="242">
        <v>21</v>
      </c>
      <c r="M221" s="234">
        <v>24620</v>
      </c>
      <c r="N221" s="234">
        <v>19449.8</v>
      </c>
      <c r="O221" s="243" t="s">
        <v>1253</v>
      </c>
      <c r="P221" s="236">
        <v>45892</v>
      </c>
    </row>
    <row r="222" spans="1:16" ht="51" customHeight="1">
      <c r="A222" s="239" t="s">
        <v>1179</v>
      </c>
      <c r="B222" s="240">
        <v>1120</v>
      </c>
      <c r="C222" s="241">
        <v>30478</v>
      </c>
      <c r="D222" s="239" t="s">
        <v>3817</v>
      </c>
      <c r="E222" s="239" t="s">
        <v>406</v>
      </c>
      <c r="F222" s="239" t="s">
        <v>407</v>
      </c>
      <c r="G222" s="239" t="s">
        <v>939</v>
      </c>
      <c r="H222" s="239" t="s">
        <v>974</v>
      </c>
      <c r="I222" s="239" t="s">
        <v>399</v>
      </c>
      <c r="J222" s="234">
        <v>39520</v>
      </c>
      <c r="K222" s="234">
        <v>15010</v>
      </c>
      <c r="L222" s="242">
        <v>23</v>
      </c>
      <c r="M222" s="234">
        <v>24510</v>
      </c>
      <c r="N222" s="234">
        <v>18872.7</v>
      </c>
      <c r="O222" s="243" t="s">
        <v>1245</v>
      </c>
      <c r="P222" s="236">
        <v>45892</v>
      </c>
    </row>
    <row r="223" spans="1:16" ht="51" customHeight="1">
      <c r="A223" s="239" t="s">
        <v>1190</v>
      </c>
      <c r="B223" s="240">
        <v>1121</v>
      </c>
      <c r="C223" s="241">
        <v>30493</v>
      </c>
      <c r="D223" s="239" t="s">
        <v>3817</v>
      </c>
      <c r="E223" s="239" t="s">
        <v>382</v>
      </c>
      <c r="F223" s="239" t="s">
        <v>383</v>
      </c>
      <c r="G223" s="239" t="s">
        <v>939</v>
      </c>
      <c r="H223" s="239" t="s">
        <v>974</v>
      </c>
      <c r="I223" s="239" t="s">
        <v>399</v>
      </c>
      <c r="J223" s="234">
        <v>38880</v>
      </c>
      <c r="K223" s="234">
        <v>14540</v>
      </c>
      <c r="L223" s="242">
        <v>13</v>
      </c>
      <c r="M223" s="234">
        <v>24340</v>
      </c>
      <c r="N223" s="234">
        <v>21175.8</v>
      </c>
      <c r="O223" s="243" t="s">
        <v>1259</v>
      </c>
      <c r="P223" s="236">
        <v>45892</v>
      </c>
    </row>
    <row r="224" spans="1:16" ht="51" customHeight="1">
      <c r="A224" s="239" t="s">
        <v>1180</v>
      </c>
      <c r="B224" s="240">
        <v>1122</v>
      </c>
      <c r="C224" s="241">
        <v>30482</v>
      </c>
      <c r="D224" s="239" t="s">
        <v>3817</v>
      </c>
      <c r="E224" s="239" t="s">
        <v>453</v>
      </c>
      <c r="F224" s="239" t="s">
        <v>454</v>
      </c>
      <c r="G224" s="239" t="s">
        <v>939</v>
      </c>
      <c r="H224" s="239" t="s">
        <v>974</v>
      </c>
      <c r="I224" s="239" t="s">
        <v>399</v>
      </c>
      <c r="J224" s="234">
        <v>46960</v>
      </c>
      <c r="K224" s="234">
        <v>24190</v>
      </c>
      <c r="L224" s="242">
        <v>16</v>
      </c>
      <c r="M224" s="234">
        <v>22770</v>
      </c>
      <c r="N224" s="234">
        <v>19126.8</v>
      </c>
      <c r="O224" s="243" t="s">
        <v>1249</v>
      </c>
      <c r="P224" s="236">
        <v>45892</v>
      </c>
    </row>
    <row r="225" spans="1:16" ht="51" customHeight="1">
      <c r="A225" s="239" t="s">
        <v>1181</v>
      </c>
      <c r="B225" s="240">
        <v>1123</v>
      </c>
      <c r="C225" s="241">
        <v>30486</v>
      </c>
      <c r="D225" s="239" t="s">
        <v>3817</v>
      </c>
      <c r="E225" s="239" t="s">
        <v>410</v>
      </c>
      <c r="F225" s="239" t="s">
        <v>411</v>
      </c>
      <c r="G225" s="239" t="s">
        <v>939</v>
      </c>
      <c r="H225" s="239" t="s">
        <v>974</v>
      </c>
      <c r="I225" s="239" t="s">
        <v>399</v>
      </c>
      <c r="J225" s="234">
        <v>38870</v>
      </c>
      <c r="K225" s="234">
        <v>15070</v>
      </c>
      <c r="L225" s="242">
        <v>14</v>
      </c>
      <c r="M225" s="234">
        <v>23800</v>
      </c>
      <c r="N225" s="234">
        <v>20468</v>
      </c>
      <c r="O225" s="243" t="s">
        <v>1250</v>
      </c>
      <c r="P225" s="236">
        <v>45892</v>
      </c>
    </row>
    <row r="226" spans="1:16" ht="51" customHeight="1">
      <c r="A226" s="239" t="s">
        <v>1182</v>
      </c>
      <c r="B226" s="240">
        <v>1124</v>
      </c>
      <c r="C226" s="241">
        <v>30484</v>
      </c>
      <c r="D226" s="239" t="s">
        <v>3817</v>
      </c>
      <c r="E226" s="239" t="s">
        <v>456</v>
      </c>
      <c r="F226" s="239" t="s">
        <v>457</v>
      </c>
      <c r="G226" s="239" t="s">
        <v>939</v>
      </c>
      <c r="H226" s="239" t="s">
        <v>974</v>
      </c>
      <c r="I226" s="239" t="s">
        <v>399</v>
      </c>
      <c r="J226" s="234">
        <v>43090</v>
      </c>
      <c r="K226" s="234">
        <v>15620</v>
      </c>
      <c r="L226" s="242">
        <v>17</v>
      </c>
      <c r="M226" s="234">
        <v>27470</v>
      </c>
      <c r="N226" s="234">
        <v>22800.1</v>
      </c>
      <c r="O226" s="243" t="s">
        <v>1251</v>
      </c>
      <c r="P226" s="236">
        <v>45892</v>
      </c>
    </row>
    <row r="227" spans="1:16" ht="51" customHeight="1">
      <c r="A227" s="239" t="s">
        <v>1183</v>
      </c>
      <c r="B227" s="240">
        <v>1125</v>
      </c>
      <c r="C227" s="241">
        <v>30488</v>
      </c>
      <c r="D227" s="239" t="s">
        <v>3817</v>
      </c>
      <c r="E227" s="239" t="s">
        <v>462</v>
      </c>
      <c r="F227" s="239" t="s">
        <v>463</v>
      </c>
      <c r="G227" s="239" t="s">
        <v>939</v>
      </c>
      <c r="H227" s="239" t="s">
        <v>974</v>
      </c>
      <c r="I227" s="239" t="s">
        <v>399</v>
      </c>
      <c r="J227" s="234">
        <v>41090</v>
      </c>
      <c r="K227" s="234">
        <v>16410</v>
      </c>
      <c r="L227" s="242">
        <v>13</v>
      </c>
      <c r="M227" s="234">
        <v>24680</v>
      </c>
      <c r="N227" s="234">
        <v>21471.599999999999</v>
      </c>
      <c r="O227" s="243" t="s">
        <v>1252</v>
      </c>
      <c r="P227" s="236">
        <v>45892</v>
      </c>
    </row>
    <row r="228" spans="1:16" ht="51" customHeight="1">
      <c r="A228" s="239" t="s">
        <v>1185</v>
      </c>
      <c r="B228" s="240">
        <v>1128</v>
      </c>
      <c r="C228" s="241">
        <v>30490</v>
      </c>
      <c r="D228" s="239" t="s">
        <v>3817</v>
      </c>
      <c r="E228" s="239" t="s">
        <v>472</v>
      </c>
      <c r="F228" s="239" t="s">
        <v>473</v>
      </c>
      <c r="G228" s="239" t="s">
        <v>939</v>
      </c>
      <c r="H228" s="239" t="s">
        <v>974</v>
      </c>
      <c r="I228" s="239" t="s">
        <v>399</v>
      </c>
      <c r="J228" s="234">
        <v>41150</v>
      </c>
      <c r="K228" s="234">
        <v>16540</v>
      </c>
      <c r="L228" s="242">
        <v>8</v>
      </c>
      <c r="M228" s="234">
        <v>24610</v>
      </c>
      <c r="N228" s="234">
        <v>22641.200000000001</v>
      </c>
      <c r="O228" s="243" t="s">
        <v>1254</v>
      </c>
      <c r="P228" s="236">
        <v>45892</v>
      </c>
    </row>
    <row r="229" spans="1:16" ht="51" customHeight="1">
      <c r="A229" s="239" t="s">
        <v>1186</v>
      </c>
      <c r="B229" s="240">
        <v>1129</v>
      </c>
      <c r="C229" s="241">
        <v>30492</v>
      </c>
      <c r="D229" s="239" t="s">
        <v>3817</v>
      </c>
      <c r="E229" s="239" t="s">
        <v>475</v>
      </c>
      <c r="F229" s="239" t="s">
        <v>476</v>
      </c>
      <c r="G229" s="239" t="s">
        <v>939</v>
      </c>
      <c r="H229" s="239" t="s">
        <v>974</v>
      </c>
      <c r="I229" s="239" t="s">
        <v>399</v>
      </c>
      <c r="J229" s="234">
        <v>40180</v>
      </c>
      <c r="K229" s="234">
        <v>16440</v>
      </c>
      <c r="L229" s="242">
        <v>12</v>
      </c>
      <c r="M229" s="234">
        <v>23740</v>
      </c>
      <c r="N229" s="234">
        <v>20891.2</v>
      </c>
      <c r="O229" s="243" t="s">
        <v>1255</v>
      </c>
      <c r="P229" s="236">
        <v>45892</v>
      </c>
    </row>
    <row r="230" spans="1:16" ht="51" customHeight="1">
      <c r="A230" s="239" t="s">
        <v>1187</v>
      </c>
      <c r="B230" s="240">
        <v>1130</v>
      </c>
      <c r="C230" s="241">
        <v>30495</v>
      </c>
      <c r="D230" s="239" t="s">
        <v>3817</v>
      </c>
      <c r="E230" s="239" t="s">
        <v>380</v>
      </c>
      <c r="F230" s="239" t="s">
        <v>381</v>
      </c>
      <c r="G230" s="239" t="s">
        <v>939</v>
      </c>
      <c r="H230" s="239" t="s">
        <v>974</v>
      </c>
      <c r="I230" s="239" t="s">
        <v>399</v>
      </c>
      <c r="J230" s="234">
        <v>38900</v>
      </c>
      <c r="K230" s="234">
        <v>15020</v>
      </c>
      <c r="L230" s="242">
        <v>20</v>
      </c>
      <c r="M230" s="234">
        <v>23880</v>
      </c>
      <c r="N230" s="234">
        <v>19104</v>
      </c>
      <c r="O230" s="243" t="s">
        <v>1256</v>
      </c>
      <c r="P230" s="236">
        <v>45892</v>
      </c>
    </row>
    <row r="231" spans="1:16" ht="51" customHeight="1">
      <c r="A231" s="239" t="s">
        <v>1188</v>
      </c>
      <c r="B231" s="240">
        <v>1131</v>
      </c>
      <c r="C231" s="241">
        <v>30497</v>
      </c>
      <c r="D231" s="239" t="s">
        <v>3817</v>
      </c>
      <c r="E231" s="239" t="s">
        <v>429</v>
      </c>
      <c r="F231" s="239" t="s">
        <v>430</v>
      </c>
      <c r="G231" s="239" t="s">
        <v>939</v>
      </c>
      <c r="H231" s="239" t="s">
        <v>974</v>
      </c>
      <c r="I231" s="239" t="s">
        <v>399</v>
      </c>
      <c r="J231" s="234">
        <v>37650</v>
      </c>
      <c r="K231" s="234">
        <v>14180</v>
      </c>
      <c r="L231" s="242">
        <v>28</v>
      </c>
      <c r="M231" s="234">
        <v>23470</v>
      </c>
      <c r="N231" s="234">
        <v>16898.400000000001</v>
      </c>
      <c r="O231" s="243" t="s">
        <v>1257</v>
      </c>
      <c r="P231" s="236">
        <v>45892</v>
      </c>
    </row>
    <row r="232" spans="1:16" ht="51" customHeight="1">
      <c r="A232" s="239" t="s">
        <v>1189</v>
      </c>
      <c r="B232" s="240">
        <v>1132</v>
      </c>
      <c r="C232" s="241">
        <v>30499</v>
      </c>
      <c r="D232" s="239" t="s">
        <v>3817</v>
      </c>
      <c r="E232" s="239" t="s">
        <v>386</v>
      </c>
      <c r="F232" s="239" t="s">
        <v>387</v>
      </c>
      <c r="G232" s="239" t="s">
        <v>939</v>
      </c>
      <c r="H232" s="239" t="s">
        <v>974</v>
      </c>
      <c r="I232" s="239" t="s">
        <v>399</v>
      </c>
      <c r="J232" s="234">
        <v>37840</v>
      </c>
      <c r="K232" s="234">
        <v>15440</v>
      </c>
      <c r="L232" s="242">
        <v>18</v>
      </c>
      <c r="M232" s="234">
        <v>22400</v>
      </c>
      <c r="N232" s="234">
        <v>18368</v>
      </c>
      <c r="O232" s="243" t="s">
        <v>1258</v>
      </c>
      <c r="P232" s="236">
        <v>45892</v>
      </c>
    </row>
    <row r="233" spans="1:16" ht="51" customHeight="1">
      <c r="A233" s="239" t="s">
        <v>1191</v>
      </c>
      <c r="B233" s="240">
        <v>1133</v>
      </c>
      <c r="C233" s="241">
        <v>30501</v>
      </c>
      <c r="D233" s="239" t="s">
        <v>3817</v>
      </c>
      <c r="E233" s="239" t="s">
        <v>369</v>
      </c>
      <c r="F233" s="239" t="s">
        <v>370</v>
      </c>
      <c r="G233" s="239" t="s">
        <v>939</v>
      </c>
      <c r="H233" s="239" t="s">
        <v>974</v>
      </c>
      <c r="I233" s="239" t="s">
        <v>399</v>
      </c>
      <c r="J233" s="234">
        <v>38290</v>
      </c>
      <c r="K233" s="234">
        <v>15070</v>
      </c>
      <c r="L233" s="242">
        <v>20</v>
      </c>
      <c r="M233" s="234">
        <v>23220</v>
      </c>
      <c r="N233" s="234">
        <v>18576</v>
      </c>
      <c r="O233" s="243" t="s">
        <v>1260</v>
      </c>
      <c r="P233" s="236">
        <v>45892</v>
      </c>
    </row>
    <row r="234" spans="1:16" ht="51" customHeight="1">
      <c r="A234" s="239" t="s">
        <v>1192</v>
      </c>
      <c r="B234" s="240">
        <v>1134</v>
      </c>
      <c r="C234" s="241">
        <v>30503</v>
      </c>
      <c r="D234" s="239" t="s">
        <v>3817</v>
      </c>
      <c r="E234" s="239" t="s">
        <v>413</v>
      </c>
      <c r="F234" s="239" t="s">
        <v>414</v>
      </c>
      <c r="G234" s="239" t="s">
        <v>939</v>
      </c>
      <c r="H234" s="239" t="s">
        <v>974</v>
      </c>
      <c r="I234" s="239" t="s">
        <v>399</v>
      </c>
      <c r="J234" s="234">
        <v>43070</v>
      </c>
      <c r="K234" s="234">
        <v>14990</v>
      </c>
      <c r="L234" s="242">
        <v>19</v>
      </c>
      <c r="M234" s="234">
        <v>28080</v>
      </c>
      <c r="N234" s="234">
        <v>22744.799999999999</v>
      </c>
      <c r="O234" s="243" t="s">
        <v>1261</v>
      </c>
      <c r="P234" s="236">
        <v>45893</v>
      </c>
    </row>
    <row r="235" spans="1:16" ht="51" customHeight="1">
      <c r="A235" s="239" t="s">
        <v>1193</v>
      </c>
      <c r="B235" s="240">
        <v>1135</v>
      </c>
      <c r="C235" s="241">
        <v>30505</v>
      </c>
      <c r="D235" s="239" t="s">
        <v>3817</v>
      </c>
      <c r="E235" s="239" t="s">
        <v>432</v>
      </c>
      <c r="F235" s="239" t="s">
        <v>433</v>
      </c>
      <c r="G235" s="239" t="s">
        <v>939</v>
      </c>
      <c r="H235" s="239" t="s">
        <v>974</v>
      </c>
      <c r="I235" s="239" t="s">
        <v>399</v>
      </c>
      <c r="J235" s="234">
        <v>42130</v>
      </c>
      <c r="K235" s="234">
        <v>15620</v>
      </c>
      <c r="L235" s="242">
        <v>18</v>
      </c>
      <c r="M235" s="234">
        <v>26510</v>
      </c>
      <c r="N235" s="234">
        <v>21738.2</v>
      </c>
      <c r="O235" s="243" t="s">
        <v>1262</v>
      </c>
      <c r="P235" s="236">
        <v>45893</v>
      </c>
    </row>
    <row r="236" spans="1:16" ht="51" customHeight="1">
      <c r="A236" s="239" t="s">
        <v>1194</v>
      </c>
      <c r="B236" s="240">
        <v>1136</v>
      </c>
      <c r="C236" s="241">
        <v>30507</v>
      </c>
      <c r="D236" s="239" t="s">
        <v>3817</v>
      </c>
      <c r="E236" s="239" t="s">
        <v>439</v>
      </c>
      <c r="F236" s="239" t="s">
        <v>440</v>
      </c>
      <c r="G236" s="239" t="s">
        <v>939</v>
      </c>
      <c r="H236" s="239" t="s">
        <v>974</v>
      </c>
      <c r="I236" s="239" t="s">
        <v>399</v>
      </c>
      <c r="J236" s="234">
        <v>41410</v>
      </c>
      <c r="K236" s="234">
        <v>14950</v>
      </c>
      <c r="L236" s="242">
        <v>18</v>
      </c>
      <c r="M236" s="234">
        <v>26460</v>
      </c>
      <c r="N236" s="234">
        <v>21697.200000000001</v>
      </c>
      <c r="O236" s="243" t="s">
        <v>1263</v>
      </c>
      <c r="P236" s="236">
        <v>45893</v>
      </c>
    </row>
    <row r="237" spans="1:16" ht="51" customHeight="1">
      <c r="A237" s="239" t="s">
        <v>1195</v>
      </c>
      <c r="B237" s="240">
        <v>1137</v>
      </c>
      <c r="C237" s="241">
        <v>30511</v>
      </c>
      <c r="D237" s="239" t="s">
        <v>3817</v>
      </c>
      <c r="E237" s="239" t="s">
        <v>786</v>
      </c>
      <c r="F237" s="239" t="s">
        <v>787</v>
      </c>
      <c r="G237" s="239" t="s">
        <v>939</v>
      </c>
      <c r="H237" s="239" t="s">
        <v>974</v>
      </c>
      <c r="I237" s="239" t="s">
        <v>399</v>
      </c>
      <c r="J237" s="234">
        <v>34530</v>
      </c>
      <c r="K237" s="234">
        <v>13970</v>
      </c>
      <c r="L237" s="242">
        <v>16</v>
      </c>
      <c r="M237" s="234">
        <v>20560</v>
      </c>
      <c r="N237" s="234">
        <v>17270.400000000001</v>
      </c>
      <c r="O237" s="243" t="s">
        <v>1264</v>
      </c>
      <c r="P237" s="236">
        <v>45893</v>
      </c>
    </row>
    <row r="238" spans="1:16" ht="51" customHeight="1">
      <c r="A238" s="239" t="s">
        <v>1196</v>
      </c>
      <c r="B238" s="240">
        <v>1138</v>
      </c>
      <c r="C238" s="241">
        <v>30509</v>
      </c>
      <c r="D238" s="239" t="s">
        <v>3817</v>
      </c>
      <c r="E238" s="239" t="s">
        <v>374</v>
      </c>
      <c r="F238" s="239" t="s">
        <v>375</v>
      </c>
      <c r="G238" s="239" t="s">
        <v>939</v>
      </c>
      <c r="H238" s="239" t="s">
        <v>974</v>
      </c>
      <c r="I238" s="239" t="s">
        <v>399</v>
      </c>
      <c r="J238" s="234">
        <v>38160</v>
      </c>
      <c r="K238" s="234">
        <v>15620</v>
      </c>
      <c r="L238" s="242">
        <v>49</v>
      </c>
      <c r="M238" s="234">
        <v>22540</v>
      </c>
      <c r="N238" s="234">
        <v>11495.4</v>
      </c>
      <c r="O238" s="243" t="s">
        <v>1265</v>
      </c>
      <c r="P238" s="236">
        <v>45893</v>
      </c>
    </row>
    <row r="239" spans="1:16" ht="51" customHeight="1">
      <c r="A239" s="239" t="s">
        <v>1197</v>
      </c>
      <c r="B239" s="240">
        <v>1139</v>
      </c>
      <c r="C239" s="241">
        <v>30515</v>
      </c>
      <c r="D239" s="239" t="s">
        <v>3817</v>
      </c>
      <c r="E239" s="239" t="s">
        <v>783</v>
      </c>
      <c r="F239" s="239" t="s">
        <v>784</v>
      </c>
      <c r="G239" s="239" t="s">
        <v>939</v>
      </c>
      <c r="H239" s="239" t="s">
        <v>974</v>
      </c>
      <c r="I239" s="239" t="s">
        <v>399</v>
      </c>
      <c r="J239" s="234">
        <v>40750</v>
      </c>
      <c r="K239" s="234">
        <v>14690</v>
      </c>
      <c r="L239" s="242">
        <v>26</v>
      </c>
      <c r="M239" s="234">
        <v>26060</v>
      </c>
      <c r="N239" s="234">
        <v>19284.400000000001</v>
      </c>
      <c r="O239" s="243" t="s">
        <v>1266</v>
      </c>
      <c r="P239" s="236">
        <v>45893</v>
      </c>
    </row>
    <row r="240" spans="1:16" ht="51" customHeight="1">
      <c r="A240" s="239" t="s">
        <v>1198</v>
      </c>
      <c r="B240" s="240">
        <v>1140</v>
      </c>
      <c r="C240" s="241">
        <v>30517</v>
      </c>
      <c r="D240" s="239" t="s">
        <v>3817</v>
      </c>
      <c r="E240" s="239" t="s">
        <v>791</v>
      </c>
      <c r="F240" s="239" t="s">
        <v>792</v>
      </c>
      <c r="G240" s="239" t="s">
        <v>939</v>
      </c>
      <c r="H240" s="239" t="s">
        <v>974</v>
      </c>
      <c r="I240" s="239" t="s">
        <v>399</v>
      </c>
      <c r="J240" s="234">
        <v>38680</v>
      </c>
      <c r="K240" s="234">
        <v>15030</v>
      </c>
      <c r="L240" s="242">
        <v>27</v>
      </c>
      <c r="M240" s="234">
        <v>23650</v>
      </c>
      <c r="N240" s="234">
        <v>17264.5</v>
      </c>
      <c r="O240" s="243" t="s">
        <v>1267</v>
      </c>
      <c r="P240" s="236">
        <v>45893</v>
      </c>
    </row>
    <row r="241" spans="1:16" ht="51" customHeight="1">
      <c r="A241" s="239" t="s">
        <v>1199</v>
      </c>
      <c r="B241" s="240">
        <v>1141</v>
      </c>
      <c r="C241" s="241">
        <v>30513</v>
      </c>
      <c r="D241" s="239" t="s">
        <v>3817</v>
      </c>
      <c r="E241" s="239" t="s">
        <v>447</v>
      </c>
      <c r="F241" s="239" t="s">
        <v>448</v>
      </c>
      <c r="G241" s="239" t="s">
        <v>939</v>
      </c>
      <c r="H241" s="239" t="s">
        <v>974</v>
      </c>
      <c r="I241" s="239" t="s">
        <v>399</v>
      </c>
      <c r="J241" s="234">
        <v>46570</v>
      </c>
      <c r="K241" s="234">
        <v>19430</v>
      </c>
      <c r="L241" s="242">
        <v>32</v>
      </c>
      <c r="M241" s="234">
        <v>27140</v>
      </c>
      <c r="N241" s="234">
        <v>18455.2</v>
      </c>
      <c r="O241" s="243" t="s">
        <v>1268</v>
      </c>
      <c r="P241" s="236">
        <v>45893</v>
      </c>
    </row>
    <row r="242" spans="1:16" ht="51" customHeight="1">
      <c r="A242" s="239" t="s">
        <v>1205</v>
      </c>
      <c r="B242" s="240">
        <v>1153</v>
      </c>
      <c r="C242" s="241">
        <v>58126</v>
      </c>
      <c r="D242" s="239" t="s">
        <v>3818</v>
      </c>
      <c r="E242" s="239" t="s">
        <v>841</v>
      </c>
      <c r="F242" s="239" t="s">
        <v>845</v>
      </c>
      <c r="G242" s="239" t="s">
        <v>964</v>
      </c>
      <c r="H242" s="239" t="s">
        <v>48</v>
      </c>
      <c r="I242" s="239" t="s">
        <v>399</v>
      </c>
      <c r="J242" s="234">
        <v>42180</v>
      </c>
      <c r="K242" s="234">
        <v>15890</v>
      </c>
      <c r="L242" s="242">
        <v>13</v>
      </c>
      <c r="M242" s="234">
        <v>26290</v>
      </c>
      <c r="N242" s="234">
        <v>22872.3</v>
      </c>
      <c r="O242" s="243" t="s">
        <v>1272</v>
      </c>
      <c r="P242" s="236">
        <v>45893</v>
      </c>
    </row>
    <row r="243" spans="1:16" ht="51" customHeight="1">
      <c r="A243" s="239" t="s">
        <v>1206</v>
      </c>
      <c r="B243" s="240">
        <v>1154</v>
      </c>
      <c r="C243" s="241">
        <v>58128</v>
      </c>
      <c r="D243" s="239" t="s">
        <v>3818</v>
      </c>
      <c r="E243" s="239" t="s">
        <v>794</v>
      </c>
      <c r="F243" s="239" t="s">
        <v>795</v>
      </c>
      <c r="G243" s="239" t="s">
        <v>964</v>
      </c>
      <c r="H243" s="239" t="s">
        <v>777</v>
      </c>
      <c r="I243" s="239" t="s">
        <v>399</v>
      </c>
      <c r="J243" s="234">
        <v>41280</v>
      </c>
      <c r="K243" s="234">
        <v>16080</v>
      </c>
      <c r="L243" s="242">
        <v>14</v>
      </c>
      <c r="M243" s="234">
        <v>25200</v>
      </c>
      <c r="N243" s="234">
        <v>21672</v>
      </c>
      <c r="O243" s="243" t="s">
        <v>1273</v>
      </c>
      <c r="P243" s="236">
        <v>45893</v>
      </c>
    </row>
    <row r="244" spans="1:16" ht="51" customHeight="1">
      <c r="A244" s="239" t="s">
        <v>1200</v>
      </c>
      <c r="B244" s="240">
        <v>1155</v>
      </c>
      <c r="C244" s="241">
        <v>58106</v>
      </c>
      <c r="D244" s="239" t="s">
        <v>3818</v>
      </c>
      <c r="E244" s="239" t="s">
        <v>377</v>
      </c>
      <c r="F244" s="239" t="s">
        <v>378</v>
      </c>
      <c r="G244" s="239" t="s">
        <v>965</v>
      </c>
      <c r="H244" s="239" t="s">
        <v>48</v>
      </c>
      <c r="I244" s="239" t="s">
        <v>399</v>
      </c>
      <c r="J244" s="234">
        <v>41600</v>
      </c>
      <c r="K244" s="234">
        <v>15190</v>
      </c>
      <c r="L244" s="242">
        <v>21</v>
      </c>
      <c r="M244" s="234">
        <v>26410</v>
      </c>
      <c r="N244" s="234">
        <v>20863.900000000001</v>
      </c>
      <c r="O244" s="243" t="s">
        <v>1269</v>
      </c>
      <c r="P244" s="236">
        <v>45893</v>
      </c>
    </row>
    <row r="245" spans="1:16" ht="51" customHeight="1">
      <c r="A245" s="239" t="s">
        <v>1201</v>
      </c>
      <c r="B245" s="240">
        <v>1156</v>
      </c>
      <c r="C245" s="241">
        <v>58110</v>
      </c>
      <c r="D245" s="239" t="s">
        <v>3818</v>
      </c>
      <c r="E245" s="239" t="s">
        <v>416</v>
      </c>
      <c r="F245" s="239" t="s">
        <v>417</v>
      </c>
      <c r="G245" s="239" t="s">
        <v>965</v>
      </c>
      <c r="H245" s="239" t="s">
        <v>48</v>
      </c>
      <c r="I245" s="239" t="s">
        <v>399</v>
      </c>
      <c r="J245" s="234">
        <v>38150</v>
      </c>
      <c r="K245" s="234">
        <v>14700</v>
      </c>
      <c r="L245" s="242">
        <v>16</v>
      </c>
      <c r="M245" s="234">
        <v>23450</v>
      </c>
      <c r="N245" s="234">
        <v>19698</v>
      </c>
      <c r="O245" s="243" t="s">
        <v>1270</v>
      </c>
      <c r="P245" s="236">
        <v>45893</v>
      </c>
    </row>
    <row r="246" spans="1:16" ht="51" customHeight="1">
      <c r="A246" s="239" t="s">
        <v>1202</v>
      </c>
      <c r="B246" s="240">
        <v>1157</v>
      </c>
      <c r="C246" s="241">
        <v>58108</v>
      </c>
      <c r="D246" s="239" t="s">
        <v>3818</v>
      </c>
      <c r="E246" s="239" t="s">
        <v>420</v>
      </c>
      <c r="F246" s="239" t="s">
        <v>421</v>
      </c>
      <c r="G246" s="239" t="s">
        <v>965</v>
      </c>
      <c r="H246" s="239" t="s">
        <v>48</v>
      </c>
      <c r="I246" s="239" t="s">
        <v>399</v>
      </c>
      <c r="J246" s="234">
        <v>37570</v>
      </c>
      <c r="K246" s="234">
        <v>14870</v>
      </c>
      <c r="L246" s="242">
        <v>18</v>
      </c>
      <c r="M246" s="234">
        <v>22700</v>
      </c>
      <c r="N246" s="234">
        <v>18614</v>
      </c>
      <c r="O246" s="243" t="s">
        <v>1271</v>
      </c>
      <c r="P246" s="236">
        <v>45893</v>
      </c>
    </row>
    <row r="247" spans="1:16" ht="51" customHeight="1">
      <c r="A247" s="239" t="s">
        <v>1203</v>
      </c>
      <c r="B247" s="240">
        <v>1158</v>
      </c>
      <c r="C247" s="241">
        <v>58112</v>
      </c>
      <c r="D247" s="239" t="s">
        <v>3818</v>
      </c>
      <c r="E247" s="239" t="s">
        <v>453</v>
      </c>
      <c r="F247" s="239" t="s">
        <v>454</v>
      </c>
      <c r="G247" s="239" t="s">
        <v>965</v>
      </c>
      <c r="H247" s="239" t="s">
        <v>48</v>
      </c>
      <c r="I247" s="239" t="s">
        <v>399</v>
      </c>
      <c r="J247" s="234">
        <v>46580</v>
      </c>
      <c r="K247" s="234">
        <v>24100</v>
      </c>
      <c r="L247" s="242">
        <v>26</v>
      </c>
      <c r="M247" s="234">
        <v>22480</v>
      </c>
      <c r="N247" s="234">
        <v>16635.2</v>
      </c>
      <c r="O247" s="243" t="s">
        <v>1274</v>
      </c>
      <c r="P247" s="236">
        <v>45893</v>
      </c>
    </row>
    <row r="248" spans="1:16" ht="51" customHeight="1">
      <c r="A248" s="239" t="s">
        <v>1204</v>
      </c>
      <c r="B248" s="240">
        <v>1159</v>
      </c>
      <c r="C248" s="241">
        <v>58114</v>
      </c>
      <c r="D248" s="239" t="s">
        <v>3818</v>
      </c>
      <c r="E248" s="239" t="s">
        <v>456</v>
      </c>
      <c r="F248" s="239" t="s">
        <v>457</v>
      </c>
      <c r="G248" s="239" t="s">
        <v>965</v>
      </c>
      <c r="H248" s="239" t="s">
        <v>48</v>
      </c>
      <c r="I248" s="239" t="s">
        <v>399</v>
      </c>
      <c r="J248" s="234">
        <v>42310</v>
      </c>
      <c r="K248" s="234">
        <v>15520</v>
      </c>
      <c r="L248" s="242">
        <v>34</v>
      </c>
      <c r="M248" s="234">
        <v>26790</v>
      </c>
      <c r="N248" s="234">
        <v>17681.400000000001</v>
      </c>
      <c r="O248" s="243" t="s">
        <v>1275</v>
      </c>
      <c r="P248" s="236">
        <v>45893</v>
      </c>
    </row>
    <row r="249" spans="1:16" ht="51" customHeight="1">
      <c r="A249" s="239" t="s">
        <v>1207</v>
      </c>
      <c r="B249" s="240">
        <v>1160</v>
      </c>
      <c r="C249" s="241">
        <v>58116</v>
      </c>
      <c r="D249" s="239" t="s">
        <v>3818</v>
      </c>
      <c r="E249" s="239" t="s">
        <v>403</v>
      </c>
      <c r="F249" s="239" t="s">
        <v>404</v>
      </c>
      <c r="G249" s="239" t="s">
        <v>965</v>
      </c>
      <c r="H249" s="239" t="s">
        <v>48</v>
      </c>
      <c r="I249" s="239" t="s">
        <v>399</v>
      </c>
      <c r="J249" s="234">
        <v>38570</v>
      </c>
      <c r="K249" s="234">
        <v>14470</v>
      </c>
      <c r="L249" s="242">
        <v>24</v>
      </c>
      <c r="M249" s="234">
        <v>24100</v>
      </c>
      <c r="N249" s="234">
        <v>18316</v>
      </c>
      <c r="O249" s="243" t="s">
        <v>1276</v>
      </c>
      <c r="P249" s="236">
        <v>45894</v>
      </c>
    </row>
    <row r="250" spans="1:16" ht="51" customHeight="1">
      <c r="A250" s="239" t="s">
        <v>1208</v>
      </c>
      <c r="B250" s="240">
        <v>1161</v>
      </c>
      <c r="C250" s="241">
        <v>58118</v>
      </c>
      <c r="D250" s="239" t="s">
        <v>3818</v>
      </c>
      <c r="E250" s="239" t="s">
        <v>406</v>
      </c>
      <c r="F250" s="239" t="s">
        <v>407</v>
      </c>
      <c r="G250" s="239" t="s">
        <v>965</v>
      </c>
      <c r="H250" s="239" t="s">
        <v>48</v>
      </c>
      <c r="I250" s="239" t="s">
        <v>399</v>
      </c>
      <c r="J250" s="234">
        <v>39320</v>
      </c>
      <c r="K250" s="234">
        <v>15070</v>
      </c>
      <c r="L250" s="242">
        <v>26</v>
      </c>
      <c r="M250" s="234">
        <v>24250</v>
      </c>
      <c r="N250" s="234">
        <v>17945</v>
      </c>
      <c r="O250" s="243" t="s">
        <v>1277</v>
      </c>
      <c r="P250" s="236">
        <v>45894</v>
      </c>
    </row>
    <row r="251" spans="1:16" ht="51" customHeight="1">
      <c r="A251" s="239" t="s">
        <v>1209</v>
      </c>
      <c r="B251" s="240">
        <v>1162</v>
      </c>
      <c r="C251" s="241">
        <v>58120</v>
      </c>
      <c r="D251" s="239" t="s">
        <v>3818</v>
      </c>
      <c r="E251" s="239" t="s">
        <v>462</v>
      </c>
      <c r="F251" s="239" t="s">
        <v>463</v>
      </c>
      <c r="G251" s="239" t="s">
        <v>965</v>
      </c>
      <c r="H251" s="239" t="s">
        <v>48</v>
      </c>
      <c r="I251" s="239" t="s">
        <v>399</v>
      </c>
      <c r="J251" s="234">
        <v>40430</v>
      </c>
      <c r="K251" s="234">
        <v>16390</v>
      </c>
      <c r="L251" s="242">
        <v>29</v>
      </c>
      <c r="M251" s="234">
        <v>24040</v>
      </c>
      <c r="N251" s="234">
        <v>17068.400000000001</v>
      </c>
      <c r="O251" s="243" t="s">
        <v>1278</v>
      </c>
      <c r="P251" s="236">
        <v>45894</v>
      </c>
    </row>
    <row r="252" spans="1:16" ht="51" customHeight="1">
      <c r="A252" s="239" t="s">
        <v>1210</v>
      </c>
      <c r="B252" s="240">
        <v>1163</v>
      </c>
      <c r="C252" s="241">
        <v>58122</v>
      </c>
      <c r="D252" s="239" t="s">
        <v>3818</v>
      </c>
      <c r="E252" s="239" t="s">
        <v>472</v>
      </c>
      <c r="F252" s="239" t="s">
        <v>473</v>
      </c>
      <c r="G252" s="239" t="s">
        <v>965</v>
      </c>
      <c r="H252" s="239" t="s">
        <v>48</v>
      </c>
      <c r="I252" s="239" t="s">
        <v>399</v>
      </c>
      <c r="J252" s="234">
        <v>38750</v>
      </c>
      <c r="K252" s="234">
        <v>16580</v>
      </c>
      <c r="L252" s="242">
        <v>33</v>
      </c>
      <c r="M252" s="234">
        <v>22170</v>
      </c>
      <c r="N252" s="234">
        <v>14853.9</v>
      </c>
      <c r="O252" s="243" t="s">
        <v>1279</v>
      </c>
      <c r="P252" s="236">
        <v>45894</v>
      </c>
    </row>
    <row r="253" spans="1:16" ht="51" customHeight="1">
      <c r="A253" s="239" t="s">
        <v>1211</v>
      </c>
      <c r="B253" s="240">
        <v>1164</v>
      </c>
      <c r="C253" s="241">
        <v>58124</v>
      </c>
      <c r="D253" s="239" t="s">
        <v>3818</v>
      </c>
      <c r="E253" s="239" t="s">
        <v>475</v>
      </c>
      <c r="F253" s="239" t="s">
        <v>476</v>
      </c>
      <c r="G253" s="239" t="s">
        <v>965</v>
      </c>
      <c r="H253" s="239" t="s">
        <v>48</v>
      </c>
      <c r="I253" s="239" t="s">
        <v>399</v>
      </c>
      <c r="J253" s="234">
        <v>39920</v>
      </c>
      <c r="K253" s="234">
        <v>16380</v>
      </c>
      <c r="L253" s="242">
        <v>36</v>
      </c>
      <c r="M253" s="234">
        <v>23540</v>
      </c>
      <c r="N253" s="234">
        <v>15065.6</v>
      </c>
      <c r="O253" s="243" t="s">
        <v>1280</v>
      </c>
      <c r="P253" s="236">
        <v>45894</v>
      </c>
    </row>
    <row r="254" spans="1:16" ht="51" customHeight="1">
      <c r="A254" s="239" t="s">
        <v>1212</v>
      </c>
      <c r="B254" s="240">
        <v>1165</v>
      </c>
      <c r="C254" s="241">
        <v>58154</v>
      </c>
      <c r="D254" s="239" t="s">
        <v>3818</v>
      </c>
      <c r="E254" s="239" t="s">
        <v>392</v>
      </c>
      <c r="F254" s="239" t="s">
        <v>393</v>
      </c>
      <c r="G254" s="239" t="s">
        <v>965</v>
      </c>
      <c r="H254" s="239" t="s">
        <v>48</v>
      </c>
      <c r="I254" s="239" t="s">
        <v>399</v>
      </c>
      <c r="J254" s="234">
        <v>45140</v>
      </c>
      <c r="K254" s="234">
        <v>24130</v>
      </c>
      <c r="L254" s="242">
        <v>40</v>
      </c>
      <c r="M254" s="234">
        <v>21010</v>
      </c>
      <c r="N254" s="234">
        <v>12606</v>
      </c>
      <c r="O254" s="243" t="s">
        <v>1281</v>
      </c>
      <c r="P254" s="236">
        <v>45894</v>
      </c>
    </row>
    <row r="255" spans="1:16" ht="51" customHeight="1">
      <c r="A255" s="239" t="s">
        <v>1217</v>
      </c>
      <c r="B255" s="240">
        <v>1174</v>
      </c>
      <c r="C255" s="241">
        <v>58156</v>
      </c>
      <c r="D255" s="239" t="s">
        <v>3818</v>
      </c>
      <c r="E255" s="239" t="s">
        <v>432</v>
      </c>
      <c r="F255" s="239" t="s">
        <v>433</v>
      </c>
      <c r="G255" s="239" t="s">
        <v>965</v>
      </c>
      <c r="H255" s="239" t="s">
        <v>48</v>
      </c>
      <c r="I255" s="239" t="s">
        <v>399</v>
      </c>
      <c r="J255" s="234">
        <v>35480</v>
      </c>
      <c r="K255" s="234">
        <v>15610</v>
      </c>
      <c r="L255" s="242">
        <v>20</v>
      </c>
      <c r="M255" s="234">
        <v>19870</v>
      </c>
      <c r="N255" s="234">
        <v>15896</v>
      </c>
      <c r="O255" s="243" t="s">
        <v>1282</v>
      </c>
      <c r="P255" s="236">
        <v>45894</v>
      </c>
    </row>
    <row r="256" spans="1:16" ht="51" customHeight="1">
      <c r="A256" s="239" t="s">
        <v>1218</v>
      </c>
      <c r="B256" s="240">
        <v>1175</v>
      </c>
      <c r="C256" s="241">
        <v>59158</v>
      </c>
      <c r="D256" s="239" t="s">
        <v>3818</v>
      </c>
      <c r="E256" s="239" t="s">
        <v>382</v>
      </c>
      <c r="F256" s="239" t="s">
        <v>383</v>
      </c>
      <c r="G256" s="239" t="s">
        <v>965</v>
      </c>
      <c r="H256" s="239" t="s">
        <v>48</v>
      </c>
      <c r="I256" s="239" t="s">
        <v>399</v>
      </c>
      <c r="J256" s="234">
        <v>36080</v>
      </c>
      <c r="K256" s="234">
        <v>14590</v>
      </c>
      <c r="L256" s="242">
        <v>25</v>
      </c>
      <c r="M256" s="234">
        <v>21490</v>
      </c>
      <c r="N256" s="234">
        <v>16117.5</v>
      </c>
      <c r="O256" s="243" t="s">
        <v>1283</v>
      </c>
      <c r="P256" s="236">
        <v>45894</v>
      </c>
    </row>
    <row r="257" spans="1:16" ht="51" customHeight="1">
      <c r="A257" s="239" t="s">
        <v>1219</v>
      </c>
      <c r="B257" s="240">
        <v>1176</v>
      </c>
      <c r="C257" s="241">
        <v>58162</v>
      </c>
      <c r="D257" s="239" t="s">
        <v>3818</v>
      </c>
      <c r="E257" s="239" t="s">
        <v>429</v>
      </c>
      <c r="F257" s="239" t="s">
        <v>430</v>
      </c>
      <c r="G257" s="239" t="s">
        <v>965</v>
      </c>
      <c r="H257" s="239" t="s">
        <v>48</v>
      </c>
      <c r="I257" s="239" t="s">
        <v>399</v>
      </c>
      <c r="J257" s="234">
        <v>39500</v>
      </c>
      <c r="K257" s="234">
        <v>14430</v>
      </c>
      <c r="L257" s="242">
        <v>27</v>
      </c>
      <c r="M257" s="234">
        <v>25070</v>
      </c>
      <c r="N257" s="234">
        <v>18301.099999999999</v>
      </c>
      <c r="O257" s="243" t="s">
        <v>1284</v>
      </c>
      <c r="P257" s="236">
        <v>45894</v>
      </c>
    </row>
    <row r="258" spans="1:16" ht="51" customHeight="1">
      <c r="A258" s="239" t="s">
        <v>1220</v>
      </c>
      <c r="B258" s="240">
        <v>1177</v>
      </c>
      <c r="C258" s="241">
        <v>58167</v>
      </c>
      <c r="D258" s="239" t="s">
        <v>3818</v>
      </c>
      <c r="E258" s="239" t="s">
        <v>439</v>
      </c>
      <c r="F258" s="239" t="s">
        <v>440</v>
      </c>
      <c r="G258" s="239" t="s">
        <v>965</v>
      </c>
      <c r="H258" s="239" t="s">
        <v>48</v>
      </c>
      <c r="I258" s="239" t="s">
        <v>399</v>
      </c>
      <c r="J258" s="234">
        <v>39030</v>
      </c>
      <c r="K258" s="234">
        <v>14970</v>
      </c>
      <c r="L258" s="242">
        <v>26</v>
      </c>
      <c r="M258" s="234">
        <v>24060</v>
      </c>
      <c r="N258" s="234">
        <v>17804.400000000001</v>
      </c>
      <c r="O258" s="243" t="s">
        <v>1285</v>
      </c>
      <c r="P258" s="236">
        <v>45894</v>
      </c>
    </row>
    <row r="259" spans="1:16" ht="51" customHeight="1">
      <c r="A259" s="239" t="s">
        <v>1221</v>
      </c>
      <c r="B259" s="240">
        <v>1178</v>
      </c>
      <c r="C259" s="241">
        <v>58171</v>
      </c>
      <c r="D259" s="239" t="s">
        <v>3818</v>
      </c>
      <c r="E259" s="239" t="s">
        <v>388</v>
      </c>
      <c r="F259" s="239" t="s">
        <v>389</v>
      </c>
      <c r="G259" s="239" t="s">
        <v>965</v>
      </c>
      <c r="H259" s="239" t="s">
        <v>48</v>
      </c>
      <c r="I259" s="239" t="s">
        <v>399</v>
      </c>
      <c r="J259" s="234">
        <v>46750</v>
      </c>
      <c r="K259" s="234">
        <v>20970</v>
      </c>
      <c r="L259" s="242">
        <v>21</v>
      </c>
      <c r="M259" s="234">
        <v>25780</v>
      </c>
      <c r="N259" s="234">
        <v>20366.2</v>
      </c>
      <c r="O259" s="243" t="s">
        <v>1286</v>
      </c>
      <c r="P259" s="236">
        <v>45894</v>
      </c>
    </row>
    <row r="260" spans="1:16" ht="51" customHeight="1">
      <c r="A260" s="239" t="s">
        <v>1224</v>
      </c>
      <c r="B260" s="240">
        <v>1179</v>
      </c>
      <c r="C260" s="241">
        <v>58180</v>
      </c>
      <c r="D260" s="239" t="s">
        <v>3818</v>
      </c>
      <c r="E260" s="239" t="s">
        <v>791</v>
      </c>
      <c r="F260" s="239" t="s">
        <v>792</v>
      </c>
      <c r="G260" s="239" t="s">
        <v>965</v>
      </c>
      <c r="H260" s="239" t="s">
        <v>48</v>
      </c>
      <c r="I260" s="239" t="s">
        <v>399</v>
      </c>
      <c r="J260" s="234">
        <v>38020</v>
      </c>
      <c r="K260" s="234">
        <v>15000</v>
      </c>
      <c r="L260" s="242">
        <v>18</v>
      </c>
      <c r="M260" s="234">
        <v>23020</v>
      </c>
      <c r="N260" s="234">
        <v>18876.400000000001</v>
      </c>
      <c r="O260" s="243" t="s">
        <v>1289</v>
      </c>
      <c r="P260" s="236">
        <v>45895</v>
      </c>
    </row>
    <row r="261" spans="1:16" ht="51" customHeight="1">
      <c r="A261" s="239" t="s">
        <v>1225</v>
      </c>
      <c r="B261" s="240">
        <v>1180</v>
      </c>
      <c r="C261" s="241">
        <v>58186</v>
      </c>
      <c r="D261" s="239" t="s">
        <v>3818</v>
      </c>
      <c r="E261" s="239" t="s">
        <v>400</v>
      </c>
      <c r="F261" s="239" t="s">
        <v>401</v>
      </c>
      <c r="G261" s="239" t="s">
        <v>965</v>
      </c>
      <c r="H261" s="239" t="s">
        <v>48</v>
      </c>
      <c r="I261" s="239" t="s">
        <v>399</v>
      </c>
      <c r="J261" s="234">
        <v>35880</v>
      </c>
      <c r="K261" s="234">
        <v>14730</v>
      </c>
      <c r="L261" s="242">
        <v>15</v>
      </c>
      <c r="M261" s="234">
        <v>21150</v>
      </c>
      <c r="N261" s="234">
        <v>17977.5</v>
      </c>
      <c r="O261" s="243" t="s">
        <v>1290</v>
      </c>
      <c r="P261" s="236">
        <v>45895</v>
      </c>
    </row>
    <row r="262" spans="1:16" ht="51" customHeight="1">
      <c r="A262" s="239" t="s">
        <v>1226</v>
      </c>
      <c r="B262" s="240">
        <v>1181</v>
      </c>
      <c r="C262" s="241">
        <v>58188</v>
      </c>
      <c r="D262" s="239" t="s">
        <v>3818</v>
      </c>
      <c r="E262" s="239" t="s">
        <v>783</v>
      </c>
      <c r="F262" s="239" t="s">
        <v>784</v>
      </c>
      <c r="G262" s="239" t="s">
        <v>965</v>
      </c>
      <c r="H262" s="239" t="s">
        <v>48</v>
      </c>
      <c r="I262" s="239" t="s">
        <v>399</v>
      </c>
      <c r="J262" s="234">
        <v>39250</v>
      </c>
      <c r="K262" s="234">
        <v>14660</v>
      </c>
      <c r="L262" s="242">
        <v>12</v>
      </c>
      <c r="M262" s="234">
        <v>24590</v>
      </c>
      <c r="N262" s="234">
        <v>21639.200000000001</v>
      </c>
      <c r="O262" s="243" t="s">
        <v>1291</v>
      </c>
      <c r="P262" s="236">
        <v>45895</v>
      </c>
    </row>
    <row r="263" spans="1:16" ht="51" customHeight="1">
      <c r="A263" s="239" t="s">
        <v>1222</v>
      </c>
      <c r="B263" s="240">
        <v>1182</v>
      </c>
      <c r="C263" s="241">
        <v>58182</v>
      </c>
      <c r="D263" s="239" t="s">
        <v>3818</v>
      </c>
      <c r="E263" s="239" t="s">
        <v>416</v>
      </c>
      <c r="F263" s="239" t="s">
        <v>417</v>
      </c>
      <c r="G263" s="239" t="s">
        <v>965</v>
      </c>
      <c r="H263" s="239" t="s">
        <v>48</v>
      </c>
      <c r="I263" s="239" t="s">
        <v>399</v>
      </c>
      <c r="J263" s="234">
        <v>37970</v>
      </c>
      <c r="K263" s="234">
        <v>14700</v>
      </c>
      <c r="L263" s="242">
        <v>12</v>
      </c>
      <c r="M263" s="234">
        <v>23270</v>
      </c>
      <c r="N263" s="234">
        <v>20477.599999999999</v>
      </c>
      <c r="O263" s="243" t="s">
        <v>1287</v>
      </c>
      <c r="P263" s="236">
        <v>45895</v>
      </c>
    </row>
    <row r="264" spans="1:16" ht="51" customHeight="1">
      <c r="A264" s="239" t="s">
        <v>1223</v>
      </c>
      <c r="B264" s="240">
        <v>1183</v>
      </c>
      <c r="C264" s="241">
        <v>58184</v>
      </c>
      <c r="D264" s="239" t="s">
        <v>3818</v>
      </c>
      <c r="E264" s="239" t="s">
        <v>420</v>
      </c>
      <c r="F264" s="239" t="s">
        <v>421</v>
      </c>
      <c r="G264" s="239" t="s">
        <v>965</v>
      </c>
      <c r="H264" s="239" t="s">
        <v>48</v>
      </c>
      <c r="I264" s="239" t="s">
        <v>399</v>
      </c>
      <c r="J264" s="234">
        <v>35660</v>
      </c>
      <c r="K264" s="234">
        <v>14900</v>
      </c>
      <c r="L264" s="242">
        <v>16</v>
      </c>
      <c r="M264" s="234">
        <v>20760</v>
      </c>
      <c r="N264" s="234">
        <v>17438.400000000001</v>
      </c>
      <c r="O264" s="243" t="s">
        <v>1288</v>
      </c>
      <c r="P264" s="236">
        <v>45895</v>
      </c>
    </row>
    <row r="265" spans="1:16" ht="51" customHeight="1">
      <c r="A265" s="239" t="s">
        <v>1293</v>
      </c>
      <c r="B265" s="240">
        <v>1184</v>
      </c>
      <c r="C265" s="241">
        <v>58192</v>
      </c>
      <c r="D265" s="239" t="s">
        <v>3818</v>
      </c>
      <c r="E265" s="239" t="s">
        <v>794</v>
      </c>
      <c r="F265" s="239" t="s">
        <v>795</v>
      </c>
      <c r="G265" s="239" t="s">
        <v>965</v>
      </c>
      <c r="H265" s="239" t="s">
        <v>48</v>
      </c>
      <c r="I265" s="239" t="s">
        <v>399</v>
      </c>
      <c r="J265" s="234">
        <v>41750</v>
      </c>
      <c r="K265" s="234">
        <v>16150</v>
      </c>
      <c r="L265" s="242">
        <v>13</v>
      </c>
      <c r="M265" s="234">
        <v>25600</v>
      </c>
      <c r="N265" s="234">
        <v>22272</v>
      </c>
      <c r="O265" s="243" t="s">
        <v>1324</v>
      </c>
      <c r="P265" s="236">
        <v>45895</v>
      </c>
    </row>
    <row r="266" spans="1:16" ht="51" customHeight="1">
      <c r="A266" s="239" t="s">
        <v>1294</v>
      </c>
      <c r="B266" s="240">
        <v>1185</v>
      </c>
      <c r="C266" s="241">
        <v>58190</v>
      </c>
      <c r="D266" s="239" t="s">
        <v>3818</v>
      </c>
      <c r="E266" s="239" t="s">
        <v>786</v>
      </c>
      <c r="F266" s="239" t="s">
        <v>787</v>
      </c>
      <c r="G266" s="239" t="s">
        <v>965</v>
      </c>
      <c r="H266" s="239" t="s">
        <v>48</v>
      </c>
      <c r="I266" s="239" t="s">
        <v>399</v>
      </c>
      <c r="J266" s="234">
        <v>35590</v>
      </c>
      <c r="K266" s="234">
        <v>13980</v>
      </c>
      <c r="L266" s="242">
        <v>12</v>
      </c>
      <c r="M266" s="234">
        <v>21610</v>
      </c>
      <c r="N266" s="234">
        <v>19016.8</v>
      </c>
      <c r="O266" s="243" t="s">
        <v>1325</v>
      </c>
      <c r="P266" s="236">
        <v>45895</v>
      </c>
    </row>
    <row r="267" spans="1:16" ht="51" customHeight="1">
      <c r="A267" s="239" t="s">
        <v>1295</v>
      </c>
      <c r="B267" s="240">
        <v>1186</v>
      </c>
      <c r="C267" s="241">
        <v>58194</v>
      </c>
      <c r="D267" s="239" t="s">
        <v>3818</v>
      </c>
      <c r="E267" s="239" t="s">
        <v>841</v>
      </c>
      <c r="F267" s="239" t="s">
        <v>845</v>
      </c>
      <c r="G267" s="239" t="s">
        <v>965</v>
      </c>
      <c r="H267" s="239" t="s">
        <v>48</v>
      </c>
      <c r="I267" s="239" t="s">
        <v>399</v>
      </c>
      <c r="J267" s="234">
        <v>41240</v>
      </c>
      <c r="K267" s="234">
        <v>15930</v>
      </c>
      <c r="L267" s="242">
        <v>12</v>
      </c>
      <c r="M267" s="234">
        <v>25310</v>
      </c>
      <c r="N267" s="234">
        <v>22272.799999999999</v>
      </c>
      <c r="O267" s="243" t="s">
        <v>1326</v>
      </c>
      <c r="P267" s="236">
        <v>45895</v>
      </c>
    </row>
    <row r="268" spans="1:16" ht="51" customHeight="1">
      <c r="A268" s="239" t="s">
        <v>1296</v>
      </c>
      <c r="B268" s="240">
        <v>1188</v>
      </c>
      <c r="C268" s="241">
        <v>58196</v>
      </c>
      <c r="D268" s="239" t="s">
        <v>3818</v>
      </c>
      <c r="E268" s="239" t="s">
        <v>410</v>
      </c>
      <c r="F268" s="239" t="s">
        <v>411</v>
      </c>
      <c r="G268" s="239" t="s">
        <v>965</v>
      </c>
      <c r="H268" s="239" t="s">
        <v>48</v>
      </c>
      <c r="I268" s="239" t="s">
        <v>399</v>
      </c>
      <c r="J268" s="234">
        <v>37590</v>
      </c>
      <c r="K268" s="234">
        <v>14940</v>
      </c>
      <c r="L268" s="242">
        <v>16</v>
      </c>
      <c r="M268" s="234">
        <v>22650</v>
      </c>
      <c r="N268" s="234">
        <v>19026</v>
      </c>
      <c r="O268" s="243" t="s">
        <v>1327</v>
      </c>
      <c r="P268" s="236">
        <v>45895</v>
      </c>
    </row>
    <row r="269" spans="1:16" ht="51" customHeight="1">
      <c r="A269" s="239" t="s">
        <v>1297</v>
      </c>
      <c r="B269" s="240">
        <v>1190</v>
      </c>
      <c r="C269" s="241">
        <v>58208</v>
      </c>
      <c r="D269" s="239" t="s">
        <v>3818</v>
      </c>
      <c r="E269" s="239" t="s">
        <v>780</v>
      </c>
      <c r="F269" s="239" t="s">
        <v>781</v>
      </c>
      <c r="G269" s="239" t="s">
        <v>965</v>
      </c>
      <c r="H269" s="239" t="s">
        <v>48</v>
      </c>
      <c r="I269" s="239" t="s">
        <v>399</v>
      </c>
      <c r="J269" s="234">
        <v>36240</v>
      </c>
      <c r="K269" s="234">
        <v>14830</v>
      </c>
      <c r="L269" s="242">
        <v>5</v>
      </c>
      <c r="M269" s="234">
        <v>21410</v>
      </c>
      <c r="N269" s="234">
        <v>20339.5</v>
      </c>
      <c r="O269" s="243" t="s">
        <v>1328</v>
      </c>
      <c r="P269" s="236">
        <v>45895</v>
      </c>
    </row>
    <row r="270" spans="1:16" ht="51" customHeight="1">
      <c r="A270" s="239" t="s">
        <v>1298</v>
      </c>
      <c r="B270" s="240">
        <v>1191</v>
      </c>
      <c r="C270" s="241">
        <v>58210</v>
      </c>
      <c r="D270" s="239" t="s">
        <v>3818</v>
      </c>
      <c r="E270" s="239" t="s">
        <v>442</v>
      </c>
      <c r="F270" s="239" t="s">
        <v>443</v>
      </c>
      <c r="G270" s="239" t="s">
        <v>965</v>
      </c>
      <c r="H270" s="239" t="s">
        <v>48</v>
      </c>
      <c r="I270" s="239" t="s">
        <v>399</v>
      </c>
      <c r="J270" s="234">
        <v>34770</v>
      </c>
      <c r="K270" s="234">
        <v>14480</v>
      </c>
      <c r="L270" s="242">
        <v>6</v>
      </c>
      <c r="M270" s="234">
        <v>20290</v>
      </c>
      <c r="N270" s="234">
        <v>19072.599999999999</v>
      </c>
      <c r="O270" s="243" t="s">
        <v>1329</v>
      </c>
      <c r="P270" s="236">
        <v>45895</v>
      </c>
    </row>
    <row r="271" spans="1:16" ht="51" customHeight="1">
      <c r="A271" s="239" t="s">
        <v>1299</v>
      </c>
      <c r="B271" s="240">
        <v>1192</v>
      </c>
      <c r="C271" s="241">
        <v>58213</v>
      </c>
      <c r="D271" s="239" t="s">
        <v>3818</v>
      </c>
      <c r="E271" s="239" t="s">
        <v>377</v>
      </c>
      <c r="F271" s="239" t="s">
        <v>378</v>
      </c>
      <c r="G271" s="239" t="s">
        <v>965</v>
      </c>
      <c r="H271" s="239" t="s">
        <v>48</v>
      </c>
      <c r="I271" s="239" t="s">
        <v>399</v>
      </c>
      <c r="J271" s="234">
        <v>41230</v>
      </c>
      <c r="K271" s="234">
        <v>15190</v>
      </c>
      <c r="L271" s="242">
        <v>5</v>
      </c>
      <c r="M271" s="234">
        <v>26040</v>
      </c>
      <c r="N271" s="234">
        <v>24738</v>
      </c>
      <c r="O271" s="243" t="s">
        <v>1330</v>
      </c>
      <c r="P271" s="236">
        <v>45895</v>
      </c>
    </row>
    <row r="272" spans="1:16" ht="51" customHeight="1">
      <c r="A272" s="239" t="s">
        <v>1300</v>
      </c>
      <c r="B272" s="240">
        <v>1193</v>
      </c>
      <c r="C272" s="241">
        <v>58217</v>
      </c>
      <c r="D272" s="239" t="s">
        <v>3818</v>
      </c>
      <c r="E272" s="239" t="s">
        <v>392</v>
      </c>
      <c r="F272" s="239" t="s">
        <v>393</v>
      </c>
      <c r="G272" s="239" t="s">
        <v>965</v>
      </c>
      <c r="H272" s="239" t="s">
        <v>48</v>
      </c>
      <c r="I272" s="239" t="s">
        <v>399</v>
      </c>
      <c r="J272" s="234">
        <v>45590</v>
      </c>
      <c r="K272" s="234">
        <v>24080</v>
      </c>
      <c r="L272" s="242">
        <v>6</v>
      </c>
      <c r="M272" s="234">
        <v>21510</v>
      </c>
      <c r="N272" s="234">
        <v>20219.400000000001</v>
      </c>
      <c r="O272" s="243" t="s">
        <v>1331</v>
      </c>
      <c r="P272" s="236">
        <v>45895</v>
      </c>
    </row>
    <row r="273" spans="1:16" ht="51" customHeight="1">
      <c r="A273" s="239" t="s">
        <v>1301</v>
      </c>
      <c r="B273" s="240">
        <v>1194</v>
      </c>
      <c r="C273" s="241">
        <v>58215</v>
      </c>
      <c r="D273" s="239" t="s">
        <v>3818</v>
      </c>
      <c r="E273" s="239" t="s">
        <v>384</v>
      </c>
      <c r="F273" s="239" t="s">
        <v>385</v>
      </c>
      <c r="G273" s="239" t="s">
        <v>965</v>
      </c>
      <c r="H273" s="239" t="s">
        <v>48</v>
      </c>
      <c r="I273" s="239" t="s">
        <v>399</v>
      </c>
      <c r="J273" s="234">
        <v>36300</v>
      </c>
      <c r="K273" s="234">
        <v>13930</v>
      </c>
      <c r="L273" s="242">
        <v>5</v>
      </c>
      <c r="M273" s="234">
        <v>22370</v>
      </c>
      <c r="N273" s="234">
        <v>21251.5</v>
      </c>
      <c r="O273" s="243" t="s">
        <v>1332</v>
      </c>
      <c r="P273" s="236">
        <v>45895</v>
      </c>
    </row>
    <row r="274" spans="1:16" ht="51" customHeight="1">
      <c r="A274" s="239" t="s">
        <v>1302</v>
      </c>
      <c r="B274" s="240">
        <v>1195</v>
      </c>
      <c r="C274" s="241">
        <v>58219</v>
      </c>
      <c r="D274" s="239" t="s">
        <v>3818</v>
      </c>
      <c r="E274" s="239" t="s">
        <v>447</v>
      </c>
      <c r="F274" s="239" t="s">
        <v>448</v>
      </c>
      <c r="G274" s="239" t="s">
        <v>965</v>
      </c>
      <c r="H274" s="239" t="s">
        <v>48</v>
      </c>
      <c r="I274" s="239" t="s">
        <v>399</v>
      </c>
      <c r="J274" s="234">
        <v>44000</v>
      </c>
      <c r="K274" s="234">
        <v>19360</v>
      </c>
      <c r="L274" s="242">
        <v>7</v>
      </c>
      <c r="M274" s="234">
        <v>24640</v>
      </c>
      <c r="N274" s="234">
        <v>22915.200000000001</v>
      </c>
      <c r="O274" s="243" t="s">
        <v>1333</v>
      </c>
      <c r="P274" s="236">
        <v>45895</v>
      </c>
    </row>
    <row r="275" spans="1:16" ht="51" customHeight="1">
      <c r="A275" s="239" t="s">
        <v>1303</v>
      </c>
      <c r="B275" s="240">
        <v>1196</v>
      </c>
      <c r="C275" s="241">
        <v>58221</v>
      </c>
      <c r="D275" s="239" t="s">
        <v>3818</v>
      </c>
      <c r="E275" s="239" t="s">
        <v>866</v>
      </c>
      <c r="F275" s="239" t="s">
        <v>867</v>
      </c>
      <c r="G275" s="239" t="s">
        <v>965</v>
      </c>
      <c r="H275" s="239" t="s">
        <v>48</v>
      </c>
      <c r="I275" s="239" t="s">
        <v>399</v>
      </c>
      <c r="J275" s="234">
        <v>37250</v>
      </c>
      <c r="K275" s="234">
        <v>14460</v>
      </c>
      <c r="L275" s="242">
        <v>12</v>
      </c>
      <c r="M275" s="234">
        <v>22790</v>
      </c>
      <c r="N275" s="234">
        <v>20055.2</v>
      </c>
      <c r="O275" s="243" t="s">
        <v>1334</v>
      </c>
      <c r="P275" s="236">
        <v>45895</v>
      </c>
    </row>
    <row r="276" spans="1:16" ht="51" customHeight="1">
      <c r="A276" s="239" t="s">
        <v>1304</v>
      </c>
      <c r="B276" s="240">
        <v>1199</v>
      </c>
      <c r="C276" s="241">
        <v>58229</v>
      </c>
      <c r="D276" s="239" t="s">
        <v>3818</v>
      </c>
      <c r="E276" s="239" t="s">
        <v>1305</v>
      </c>
      <c r="F276" s="239" t="s">
        <v>1306</v>
      </c>
      <c r="G276" s="239" t="s">
        <v>965</v>
      </c>
      <c r="H276" s="239" t="s">
        <v>48</v>
      </c>
      <c r="I276" s="239" t="s">
        <v>399</v>
      </c>
      <c r="J276" s="234">
        <v>37210</v>
      </c>
      <c r="K276" s="234">
        <v>14650</v>
      </c>
      <c r="L276" s="242">
        <v>9</v>
      </c>
      <c r="M276" s="234">
        <v>22560</v>
      </c>
      <c r="N276" s="234">
        <v>20529.599999999999</v>
      </c>
      <c r="O276" s="243" t="s">
        <v>1335</v>
      </c>
      <c r="P276" s="236">
        <v>45895</v>
      </c>
    </row>
    <row r="277" spans="1:16" ht="51" customHeight="1">
      <c r="A277" s="239" t="s">
        <v>1307</v>
      </c>
      <c r="B277" s="240">
        <v>1200</v>
      </c>
      <c r="C277" s="241">
        <v>58223</v>
      </c>
      <c r="D277" s="239" t="s">
        <v>3818</v>
      </c>
      <c r="E277" s="239" t="s">
        <v>369</v>
      </c>
      <c r="F277" s="239" t="s">
        <v>370</v>
      </c>
      <c r="G277" s="239" t="s">
        <v>965</v>
      </c>
      <c r="H277" s="239" t="s">
        <v>48</v>
      </c>
      <c r="I277" s="239" t="s">
        <v>399</v>
      </c>
      <c r="J277" s="234">
        <v>38480</v>
      </c>
      <c r="K277" s="234">
        <v>15090</v>
      </c>
      <c r="L277" s="242">
        <v>10</v>
      </c>
      <c r="M277" s="234">
        <v>23390</v>
      </c>
      <c r="N277" s="234">
        <v>21051</v>
      </c>
      <c r="O277" s="243" t="s">
        <v>1336</v>
      </c>
      <c r="P277" s="236">
        <v>45895</v>
      </c>
    </row>
    <row r="278" spans="1:16" ht="51" customHeight="1">
      <c r="A278" s="239" t="s">
        <v>1308</v>
      </c>
      <c r="B278" s="240">
        <v>1201</v>
      </c>
      <c r="C278" s="241">
        <v>58225</v>
      </c>
      <c r="D278" s="239" t="s">
        <v>3818</v>
      </c>
      <c r="E278" s="239" t="s">
        <v>374</v>
      </c>
      <c r="F278" s="239" t="s">
        <v>375</v>
      </c>
      <c r="G278" s="239" t="s">
        <v>965</v>
      </c>
      <c r="H278" s="239" t="s">
        <v>48</v>
      </c>
      <c r="I278" s="239" t="s">
        <v>399</v>
      </c>
      <c r="J278" s="234">
        <v>39700</v>
      </c>
      <c r="K278" s="234">
        <v>15590</v>
      </c>
      <c r="L278" s="242">
        <v>14</v>
      </c>
      <c r="M278" s="234">
        <v>24110</v>
      </c>
      <c r="N278" s="234">
        <v>20734.599999999999</v>
      </c>
      <c r="O278" s="243" t="s">
        <v>1337</v>
      </c>
      <c r="P278" s="236">
        <v>45895</v>
      </c>
    </row>
    <row r="279" spans="1:16" ht="51" customHeight="1">
      <c r="A279" s="239" t="s">
        <v>1309</v>
      </c>
      <c r="B279" s="240">
        <v>1202</v>
      </c>
      <c r="C279" s="241">
        <v>58227</v>
      </c>
      <c r="D279" s="239" t="s">
        <v>3818</v>
      </c>
      <c r="E279" s="239" t="s">
        <v>386</v>
      </c>
      <c r="F279" s="239" t="s">
        <v>387</v>
      </c>
      <c r="G279" s="239" t="s">
        <v>965</v>
      </c>
      <c r="H279" s="239" t="s">
        <v>48</v>
      </c>
      <c r="I279" s="239" t="s">
        <v>399</v>
      </c>
      <c r="J279" s="234">
        <v>39860</v>
      </c>
      <c r="K279" s="234">
        <v>15400</v>
      </c>
      <c r="L279" s="242">
        <v>13</v>
      </c>
      <c r="M279" s="234">
        <v>24460</v>
      </c>
      <c r="N279" s="234">
        <v>21280.2</v>
      </c>
      <c r="O279" s="243" t="s">
        <v>1338</v>
      </c>
      <c r="P279" s="236">
        <v>45895</v>
      </c>
    </row>
    <row r="280" spans="1:16" ht="51" customHeight="1">
      <c r="A280" s="239" t="s">
        <v>1310</v>
      </c>
      <c r="B280" s="240">
        <v>1203</v>
      </c>
      <c r="C280" s="241">
        <v>58233</v>
      </c>
      <c r="D280" s="239" t="s">
        <v>3818</v>
      </c>
      <c r="E280" s="239" t="s">
        <v>432</v>
      </c>
      <c r="F280" s="239" t="s">
        <v>433</v>
      </c>
      <c r="G280" s="239" t="s">
        <v>965</v>
      </c>
      <c r="H280" s="239" t="s">
        <v>48</v>
      </c>
      <c r="I280" s="239" t="s">
        <v>399</v>
      </c>
      <c r="J280" s="234">
        <v>41290</v>
      </c>
      <c r="K280" s="234">
        <v>15600</v>
      </c>
      <c r="L280" s="242">
        <v>7</v>
      </c>
      <c r="M280" s="234">
        <v>25690</v>
      </c>
      <c r="N280" s="234">
        <v>23891.7</v>
      </c>
      <c r="O280" s="243" t="s">
        <v>1339</v>
      </c>
      <c r="P280" s="236">
        <v>45895</v>
      </c>
    </row>
    <row r="281" spans="1:16" ht="51" customHeight="1">
      <c r="A281" s="239" t="s">
        <v>1311</v>
      </c>
      <c r="B281" s="240">
        <v>1204</v>
      </c>
      <c r="C281" s="241">
        <v>582311</v>
      </c>
      <c r="D281" s="239" t="s">
        <v>3818</v>
      </c>
      <c r="E281" s="239" t="s">
        <v>1410</v>
      </c>
      <c r="F281" s="239" t="s">
        <v>437</v>
      </c>
      <c r="G281" s="239" t="s">
        <v>965</v>
      </c>
      <c r="H281" s="239" t="s">
        <v>48</v>
      </c>
      <c r="I281" s="239" t="s">
        <v>399</v>
      </c>
      <c r="J281" s="234">
        <v>39520</v>
      </c>
      <c r="K281" s="234">
        <v>14840</v>
      </c>
      <c r="L281" s="242">
        <v>8</v>
      </c>
      <c r="M281" s="234">
        <v>24680</v>
      </c>
      <c r="N281" s="234">
        <v>22705.599999999999</v>
      </c>
      <c r="O281" s="243" t="s">
        <v>1340</v>
      </c>
      <c r="P281" s="236">
        <v>45895</v>
      </c>
    </row>
    <row r="282" spans="1:16" ht="51" customHeight="1">
      <c r="A282" s="239" t="s">
        <v>1312</v>
      </c>
      <c r="B282" s="240">
        <v>1205</v>
      </c>
      <c r="C282" s="241">
        <v>58235</v>
      </c>
      <c r="D282" s="239" t="s">
        <v>3818</v>
      </c>
      <c r="E282" s="239" t="s">
        <v>453</v>
      </c>
      <c r="F282" s="239" t="s">
        <v>454</v>
      </c>
      <c r="G282" s="239" t="s">
        <v>965</v>
      </c>
      <c r="H282" s="239" t="s">
        <v>48</v>
      </c>
      <c r="I282" s="239" t="s">
        <v>399</v>
      </c>
      <c r="J282" s="234">
        <v>46950</v>
      </c>
      <c r="K282" s="234">
        <v>24200</v>
      </c>
      <c r="L282" s="242">
        <v>6.9</v>
      </c>
      <c r="M282" s="234">
        <v>22750</v>
      </c>
      <c r="N282" s="234">
        <v>21191</v>
      </c>
      <c r="O282" s="243" t="s">
        <v>1341</v>
      </c>
      <c r="P282" s="236">
        <v>45895</v>
      </c>
    </row>
    <row r="283" spans="1:16" ht="51" customHeight="1">
      <c r="A283" s="239" t="s">
        <v>1313</v>
      </c>
      <c r="B283" s="240">
        <v>1206</v>
      </c>
      <c r="C283" s="241">
        <v>58237</v>
      </c>
      <c r="D283" s="239" t="s">
        <v>3818</v>
      </c>
      <c r="E283" s="239" t="s">
        <v>456</v>
      </c>
      <c r="F283" s="239" t="s">
        <v>457</v>
      </c>
      <c r="G283" s="239" t="s">
        <v>965</v>
      </c>
      <c r="H283" s="239" t="s">
        <v>48</v>
      </c>
      <c r="I283" s="239" t="s">
        <v>399</v>
      </c>
      <c r="J283" s="234">
        <v>43250</v>
      </c>
      <c r="K283" s="234">
        <v>15620</v>
      </c>
      <c r="L283" s="242">
        <v>14</v>
      </c>
      <c r="M283" s="234">
        <v>27630</v>
      </c>
      <c r="N283" s="234">
        <v>23761.8</v>
      </c>
      <c r="O283" s="243" t="s">
        <v>1342</v>
      </c>
      <c r="P283" s="236">
        <v>45895</v>
      </c>
    </row>
    <row r="284" spans="1:16" ht="51" customHeight="1">
      <c r="A284" s="239" t="s">
        <v>1314</v>
      </c>
      <c r="B284" s="240">
        <v>1207</v>
      </c>
      <c r="C284" s="241">
        <v>58241</v>
      </c>
      <c r="D284" s="239" t="s">
        <v>3818</v>
      </c>
      <c r="E284" s="239" t="s">
        <v>429</v>
      </c>
      <c r="F284" s="239" t="s">
        <v>430</v>
      </c>
      <c r="G284" s="239" t="s">
        <v>965</v>
      </c>
      <c r="H284" s="239" t="s">
        <v>48</v>
      </c>
      <c r="I284" s="239" t="s">
        <v>399</v>
      </c>
      <c r="J284" s="234">
        <v>37680</v>
      </c>
      <c r="K284" s="234">
        <v>14200</v>
      </c>
      <c r="L284" s="242">
        <v>14</v>
      </c>
      <c r="M284" s="234">
        <v>23480</v>
      </c>
      <c r="N284" s="234">
        <v>20192.8</v>
      </c>
      <c r="O284" s="243" t="s">
        <v>1343</v>
      </c>
      <c r="P284" s="236">
        <v>45895</v>
      </c>
    </row>
    <row r="285" spans="1:16" ht="51" customHeight="1">
      <c r="A285" s="239" t="s">
        <v>1315</v>
      </c>
      <c r="B285" s="240">
        <v>1208</v>
      </c>
      <c r="C285" s="241">
        <v>58239</v>
      </c>
      <c r="D285" s="239" t="s">
        <v>3818</v>
      </c>
      <c r="E285" s="239" t="s">
        <v>858</v>
      </c>
      <c r="F285" s="239" t="s">
        <v>859</v>
      </c>
      <c r="G285" s="239" t="s">
        <v>965</v>
      </c>
      <c r="H285" s="239" t="s">
        <v>48</v>
      </c>
      <c r="I285" s="239" t="s">
        <v>399</v>
      </c>
      <c r="J285" s="234">
        <v>38290</v>
      </c>
      <c r="K285" s="234">
        <v>14760</v>
      </c>
      <c r="L285" s="242">
        <v>12</v>
      </c>
      <c r="M285" s="234">
        <v>23530</v>
      </c>
      <c r="N285" s="234">
        <v>20706.400000000001</v>
      </c>
      <c r="O285" s="243" t="s">
        <v>1344</v>
      </c>
      <c r="P285" s="236">
        <v>45895</v>
      </c>
    </row>
    <row r="286" spans="1:16" ht="51" customHeight="1">
      <c r="A286" s="239" t="s">
        <v>1316</v>
      </c>
      <c r="B286" s="240">
        <v>1209</v>
      </c>
      <c r="C286" s="241">
        <v>58243</v>
      </c>
      <c r="D286" s="239" t="s">
        <v>3818</v>
      </c>
      <c r="E286" s="239" t="s">
        <v>462</v>
      </c>
      <c r="F286" s="239" t="s">
        <v>463</v>
      </c>
      <c r="G286" s="239" t="s">
        <v>965</v>
      </c>
      <c r="H286" s="239" t="s">
        <v>48</v>
      </c>
      <c r="I286" s="239" t="s">
        <v>399</v>
      </c>
      <c r="J286" s="234">
        <v>39770</v>
      </c>
      <c r="K286" s="234">
        <v>16320</v>
      </c>
      <c r="L286" s="242">
        <v>15</v>
      </c>
      <c r="M286" s="234">
        <v>23450</v>
      </c>
      <c r="N286" s="234">
        <v>19932.5</v>
      </c>
      <c r="O286" s="243" t="s">
        <v>1345</v>
      </c>
      <c r="P286" s="236">
        <v>45895</v>
      </c>
    </row>
    <row r="287" spans="1:16" ht="51" customHeight="1">
      <c r="A287" s="239" t="s">
        <v>1317</v>
      </c>
      <c r="B287" s="240">
        <v>1210</v>
      </c>
      <c r="C287" s="241">
        <v>58247</v>
      </c>
      <c r="D287" s="239" t="s">
        <v>3818</v>
      </c>
      <c r="E287" s="239" t="s">
        <v>472</v>
      </c>
      <c r="F287" s="239" t="s">
        <v>473</v>
      </c>
      <c r="G287" s="239" t="s">
        <v>965</v>
      </c>
      <c r="H287" s="239" t="s">
        <v>48</v>
      </c>
      <c r="I287" s="239" t="s">
        <v>399</v>
      </c>
      <c r="J287" s="234">
        <v>39810</v>
      </c>
      <c r="K287" s="234">
        <v>16660</v>
      </c>
      <c r="L287" s="242">
        <v>12</v>
      </c>
      <c r="M287" s="234">
        <v>23150</v>
      </c>
      <c r="N287" s="234">
        <v>20372</v>
      </c>
      <c r="O287" s="243" t="s">
        <v>1346</v>
      </c>
      <c r="P287" s="236">
        <v>45896</v>
      </c>
    </row>
    <row r="288" spans="1:16" ht="51" customHeight="1">
      <c r="A288" s="239" t="s">
        <v>1318</v>
      </c>
      <c r="B288" s="240">
        <v>1211</v>
      </c>
      <c r="C288" s="241">
        <v>58245</v>
      </c>
      <c r="D288" s="239" t="s">
        <v>3818</v>
      </c>
      <c r="E288" s="239" t="s">
        <v>475</v>
      </c>
      <c r="F288" s="239" t="s">
        <v>476</v>
      </c>
      <c r="G288" s="239" t="s">
        <v>965</v>
      </c>
      <c r="H288" s="239" t="s">
        <v>48</v>
      </c>
      <c r="I288" s="239" t="s">
        <v>399</v>
      </c>
      <c r="J288" s="234">
        <v>40020</v>
      </c>
      <c r="K288" s="234">
        <v>16460</v>
      </c>
      <c r="L288" s="242">
        <v>10</v>
      </c>
      <c r="M288" s="234">
        <v>23560</v>
      </c>
      <c r="N288" s="234">
        <v>21204</v>
      </c>
      <c r="O288" s="243" t="s">
        <v>1347</v>
      </c>
      <c r="P288" s="236">
        <v>45896</v>
      </c>
    </row>
    <row r="289" spans="1:16" ht="51" customHeight="1">
      <c r="A289" s="239" t="s">
        <v>1319</v>
      </c>
      <c r="B289" s="240">
        <v>1212</v>
      </c>
      <c r="C289" s="241">
        <v>58257</v>
      </c>
      <c r="D289" s="239" t="s">
        <v>3818</v>
      </c>
      <c r="E289" s="239" t="s">
        <v>403</v>
      </c>
      <c r="F289" s="239" t="s">
        <v>404</v>
      </c>
      <c r="G289" s="239" t="s">
        <v>965</v>
      </c>
      <c r="H289" s="239" t="s">
        <v>48</v>
      </c>
      <c r="I289" s="239" t="s">
        <v>399</v>
      </c>
      <c r="J289" s="234">
        <v>38540</v>
      </c>
      <c r="K289" s="234">
        <v>14470</v>
      </c>
      <c r="L289" s="242">
        <v>9</v>
      </c>
      <c r="M289" s="234">
        <v>24070</v>
      </c>
      <c r="N289" s="234">
        <v>21903.7</v>
      </c>
      <c r="O289" s="243" t="s">
        <v>1348</v>
      </c>
      <c r="P289" s="236">
        <v>45896</v>
      </c>
    </row>
    <row r="290" spans="1:16" ht="51" customHeight="1">
      <c r="A290" s="239" t="s">
        <v>1320</v>
      </c>
      <c r="B290" s="240">
        <v>1213</v>
      </c>
      <c r="C290" s="241">
        <v>58259</v>
      </c>
      <c r="D290" s="239" t="s">
        <v>3818</v>
      </c>
      <c r="E290" s="239" t="s">
        <v>406</v>
      </c>
      <c r="F290" s="239" t="s">
        <v>407</v>
      </c>
      <c r="G290" s="239" t="s">
        <v>965</v>
      </c>
      <c r="H290" s="239" t="s">
        <v>48</v>
      </c>
      <c r="I290" s="239" t="s">
        <v>399</v>
      </c>
      <c r="J290" s="234">
        <v>39720</v>
      </c>
      <c r="K290" s="234">
        <v>15040</v>
      </c>
      <c r="L290" s="242">
        <v>10</v>
      </c>
      <c r="M290" s="234">
        <v>24680</v>
      </c>
      <c r="N290" s="234">
        <v>22212</v>
      </c>
      <c r="O290" s="243" t="s">
        <v>1349</v>
      </c>
      <c r="P290" s="236">
        <v>45896</v>
      </c>
    </row>
    <row r="291" spans="1:16" ht="51" customHeight="1">
      <c r="A291" s="239" t="s">
        <v>1321</v>
      </c>
      <c r="B291" s="240">
        <v>1214</v>
      </c>
      <c r="C291" s="241">
        <v>58269</v>
      </c>
      <c r="D291" s="239" t="s">
        <v>3818</v>
      </c>
      <c r="E291" s="239" t="s">
        <v>439</v>
      </c>
      <c r="F291" s="239" t="s">
        <v>440</v>
      </c>
      <c r="G291" s="239" t="s">
        <v>965</v>
      </c>
      <c r="H291" s="239" t="s">
        <v>48</v>
      </c>
      <c r="I291" s="239" t="s">
        <v>399</v>
      </c>
      <c r="J291" s="234">
        <v>39760</v>
      </c>
      <c r="K291" s="234">
        <v>14960</v>
      </c>
      <c r="L291" s="242">
        <v>9</v>
      </c>
      <c r="M291" s="234">
        <v>24800</v>
      </c>
      <c r="N291" s="234">
        <v>22568</v>
      </c>
      <c r="O291" s="243" t="s">
        <v>1350</v>
      </c>
      <c r="P291" s="236">
        <v>45896</v>
      </c>
    </row>
    <row r="292" spans="1:16" ht="51" customHeight="1">
      <c r="A292" s="239" t="s">
        <v>1322</v>
      </c>
      <c r="B292" s="240">
        <v>1220</v>
      </c>
      <c r="C292" s="241">
        <v>58291</v>
      </c>
      <c r="D292" s="239" t="s">
        <v>3818</v>
      </c>
      <c r="E292" s="239" t="s">
        <v>392</v>
      </c>
      <c r="F292" s="239" t="s">
        <v>393</v>
      </c>
      <c r="G292" s="239" t="s">
        <v>965</v>
      </c>
      <c r="H292" s="239" t="s">
        <v>48</v>
      </c>
      <c r="I292" s="239" t="s">
        <v>399</v>
      </c>
      <c r="J292" s="234">
        <v>46130</v>
      </c>
      <c r="K292" s="234">
        <v>24070</v>
      </c>
      <c r="L292" s="242">
        <v>6</v>
      </c>
      <c r="M292" s="234">
        <v>22060</v>
      </c>
      <c r="N292" s="234">
        <v>20736.400000000001</v>
      </c>
      <c r="O292" s="243" t="s">
        <v>1351</v>
      </c>
      <c r="P292" s="236">
        <v>45896</v>
      </c>
    </row>
    <row r="293" spans="1:16" ht="51" customHeight="1">
      <c r="A293" s="239" t="s">
        <v>1323</v>
      </c>
      <c r="B293" s="240">
        <v>1221</v>
      </c>
      <c r="C293" s="241">
        <v>28289</v>
      </c>
      <c r="D293" s="239" t="s">
        <v>3818</v>
      </c>
      <c r="E293" s="239" t="s">
        <v>377</v>
      </c>
      <c r="F293" s="239" t="s">
        <v>378</v>
      </c>
      <c r="G293" s="239" t="s">
        <v>965</v>
      </c>
      <c r="H293" s="239" t="s">
        <v>48</v>
      </c>
      <c r="I293" s="239" t="s">
        <v>399</v>
      </c>
      <c r="J293" s="234">
        <v>42090</v>
      </c>
      <c r="K293" s="234">
        <v>15150</v>
      </c>
      <c r="L293" s="242">
        <v>9</v>
      </c>
      <c r="M293" s="234">
        <v>26940</v>
      </c>
      <c r="N293" s="234">
        <v>24515.4</v>
      </c>
      <c r="O293" s="243" t="s">
        <v>1352</v>
      </c>
      <c r="P293" s="236">
        <v>45896</v>
      </c>
    </row>
    <row r="294" spans="1:16" ht="51" customHeight="1">
      <c r="A294" s="239" t="s">
        <v>1356</v>
      </c>
      <c r="B294" s="240">
        <v>1222</v>
      </c>
      <c r="C294" s="241">
        <v>58285</v>
      </c>
      <c r="D294" s="239" t="s">
        <v>3818</v>
      </c>
      <c r="E294" s="239" t="s">
        <v>410</v>
      </c>
      <c r="F294" s="239" t="s">
        <v>411</v>
      </c>
      <c r="G294" s="239" t="s">
        <v>965</v>
      </c>
      <c r="H294" s="239" t="s">
        <v>48</v>
      </c>
      <c r="I294" s="239" t="s">
        <v>399</v>
      </c>
      <c r="J294" s="234">
        <v>39220</v>
      </c>
      <c r="K294" s="234">
        <v>14940</v>
      </c>
      <c r="L294" s="242">
        <v>5</v>
      </c>
      <c r="M294" s="234">
        <v>24280</v>
      </c>
      <c r="N294" s="234">
        <v>23066</v>
      </c>
      <c r="O294" s="243" t="s">
        <v>1475</v>
      </c>
      <c r="P294" s="236">
        <v>45896</v>
      </c>
    </row>
    <row r="295" spans="1:16" ht="51" customHeight="1">
      <c r="A295" s="239" t="s">
        <v>1357</v>
      </c>
      <c r="B295" s="240">
        <v>1224</v>
      </c>
      <c r="C295" s="241">
        <v>58283</v>
      </c>
      <c r="D295" s="239" t="s">
        <v>3818</v>
      </c>
      <c r="E295" s="239" t="s">
        <v>388</v>
      </c>
      <c r="F295" s="239" t="s">
        <v>389</v>
      </c>
      <c r="G295" s="239" t="s">
        <v>965</v>
      </c>
      <c r="H295" s="239" t="s">
        <v>48</v>
      </c>
      <c r="I295" s="239" t="s">
        <v>399</v>
      </c>
      <c r="J295" s="234">
        <v>47210</v>
      </c>
      <c r="K295" s="234">
        <v>20860</v>
      </c>
      <c r="L295" s="242">
        <v>10</v>
      </c>
      <c r="M295" s="234">
        <v>26350</v>
      </c>
      <c r="N295" s="234">
        <v>23715</v>
      </c>
      <c r="O295" s="243" t="s">
        <v>1476</v>
      </c>
      <c r="P295" s="236">
        <v>45896</v>
      </c>
    </row>
    <row r="296" spans="1:16" ht="51" customHeight="1">
      <c r="A296" s="239" t="s">
        <v>1358</v>
      </c>
      <c r="B296" s="240">
        <v>1225</v>
      </c>
      <c r="C296" s="241">
        <v>58287</v>
      </c>
      <c r="D296" s="239" t="s">
        <v>3818</v>
      </c>
      <c r="E296" s="239" t="s">
        <v>382</v>
      </c>
      <c r="F296" s="239" t="s">
        <v>383</v>
      </c>
      <c r="G296" s="239" t="s">
        <v>965</v>
      </c>
      <c r="H296" s="239" t="s">
        <v>48</v>
      </c>
      <c r="I296" s="239" t="s">
        <v>399</v>
      </c>
      <c r="J296" s="234">
        <v>36100</v>
      </c>
      <c r="K296" s="234">
        <v>14590</v>
      </c>
      <c r="L296" s="242">
        <v>7</v>
      </c>
      <c r="M296" s="234">
        <v>21510</v>
      </c>
      <c r="N296" s="234">
        <v>20004.3</v>
      </c>
      <c r="O296" s="243" t="s">
        <v>1477</v>
      </c>
      <c r="P296" s="236">
        <v>45896</v>
      </c>
    </row>
    <row r="297" spans="1:16" ht="51" customHeight="1">
      <c r="A297" s="239" t="s">
        <v>1359</v>
      </c>
      <c r="B297" s="240">
        <v>1238</v>
      </c>
      <c r="C297" s="241">
        <v>58293</v>
      </c>
      <c r="D297" s="239" t="s">
        <v>3818</v>
      </c>
      <c r="E297" s="239" t="s">
        <v>791</v>
      </c>
      <c r="F297" s="239" t="s">
        <v>792</v>
      </c>
      <c r="G297" s="239" t="s">
        <v>965</v>
      </c>
      <c r="H297" s="239" t="s">
        <v>48</v>
      </c>
      <c r="I297" s="239" t="s">
        <v>399</v>
      </c>
      <c r="J297" s="234">
        <v>39860</v>
      </c>
      <c r="K297" s="234">
        <v>14970</v>
      </c>
      <c r="L297" s="242">
        <v>7</v>
      </c>
      <c r="M297" s="234">
        <v>24890</v>
      </c>
      <c r="N297" s="234">
        <v>23147.7</v>
      </c>
      <c r="O297" s="243" t="s">
        <v>1478</v>
      </c>
      <c r="P297" s="236">
        <v>45896</v>
      </c>
    </row>
    <row r="298" spans="1:16" ht="51" customHeight="1">
      <c r="A298" s="239" t="s">
        <v>1353</v>
      </c>
      <c r="B298" s="240">
        <v>1241</v>
      </c>
      <c r="C298" s="241">
        <v>58295</v>
      </c>
      <c r="D298" s="239" t="s">
        <v>3818</v>
      </c>
      <c r="E298" s="239" t="s">
        <v>447</v>
      </c>
      <c r="F298" s="239" t="s">
        <v>448</v>
      </c>
      <c r="G298" s="239" t="s">
        <v>965</v>
      </c>
      <c r="H298" s="239" t="s">
        <v>48</v>
      </c>
      <c r="I298" s="239" t="s">
        <v>399</v>
      </c>
      <c r="J298" s="234">
        <v>45160</v>
      </c>
      <c r="K298" s="234">
        <v>19260</v>
      </c>
      <c r="L298" s="242">
        <v>9</v>
      </c>
      <c r="M298" s="234">
        <v>25900</v>
      </c>
      <c r="N298" s="234">
        <v>23569</v>
      </c>
      <c r="O298" s="243" t="s">
        <v>1472</v>
      </c>
      <c r="P298" s="236">
        <v>45896</v>
      </c>
    </row>
    <row r="299" spans="1:16" ht="51" customHeight="1">
      <c r="A299" s="239" t="s">
        <v>1354</v>
      </c>
      <c r="B299" s="240">
        <v>1242</v>
      </c>
      <c r="C299" s="241">
        <v>58297</v>
      </c>
      <c r="D299" s="239" t="s">
        <v>3818</v>
      </c>
      <c r="E299" s="239" t="s">
        <v>794</v>
      </c>
      <c r="F299" s="239" t="s">
        <v>795</v>
      </c>
      <c r="G299" s="239" t="s">
        <v>965</v>
      </c>
      <c r="H299" s="239" t="s">
        <v>48</v>
      </c>
      <c r="I299" s="239" t="s">
        <v>399</v>
      </c>
      <c r="J299" s="234">
        <v>42720</v>
      </c>
      <c r="K299" s="234">
        <v>16110</v>
      </c>
      <c r="L299" s="242">
        <v>5</v>
      </c>
      <c r="M299" s="234">
        <v>26610</v>
      </c>
      <c r="N299" s="234">
        <v>25279.5</v>
      </c>
      <c r="O299" s="243" t="s">
        <v>1473</v>
      </c>
      <c r="P299" s="236">
        <v>45896</v>
      </c>
    </row>
    <row r="300" spans="1:16" ht="51" customHeight="1">
      <c r="A300" s="239" t="s">
        <v>1355</v>
      </c>
      <c r="B300" s="240">
        <v>1243</v>
      </c>
      <c r="C300" s="241">
        <v>58299</v>
      </c>
      <c r="D300" s="239" t="s">
        <v>3818</v>
      </c>
      <c r="E300" s="239" t="s">
        <v>841</v>
      </c>
      <c r="F300" s="239" t="s">
        <v>845</v>
      </c>
      <c r="G300" s="239" t="s">
        <v>965</v>
      </c>
      <c r="H300" s="239" t="s">
        <v>48</v>
      </c>
      <c r="I300" s="239" t="s">
        <v>399</v>
      </c>
      <c r="J300" s="234">
        <v>42160</v>
      </c>
      <c r="K300" s="234">
        <v>15910</v>
      </c>
      <c r="L300" s="242">
        <v>7</v>
      </c>
      <c r="M300" s="234">
        <v>26250</v>
      </c>
      <c r="N300" s="234">
        <v>24412.5</v>
      </c>
      <c r="O300" s="243" t="s">
        <v>1474</v>
      </c>
      <c r="P300" s="236">
        <v>45896</v>
      </c>
    </row>
    <row r="301" spans="1:16" ht="51" customHeight="1">
      <c r="A301" s="239" t="s">
        <v>1360</v>
      </c>
      <c r="B301" s="240">
        <v>1244</v>
      </c>
      <c r="C301" s="241">
        <v>58301</v>
      </c>
      <c r="D301" s="239" t="s">
        <v>3818</v>
      </c>
      <c r="E301" s="239" t="s">
        <v>783</v>
      </c>
      <c r="F301" s="239" t="s">
        <v>784</v>
      </c>
      <c r="G301" s="239" t="s">
        <v>965</v>
      </c>
      <c r="H301" s="239" t="s">
        <v>48</v>
      </c>
      <c r="I301" s="239" t="s">
        <v>399</v>
      </c>
      <c r="J301" s="234">
        <v>40130</v>
      </c>
      <c r="K301" s="234">
        <v>14630</v>
      </c>
      <c r="L301" s="242">
        <v>6</v>
      </c>
      <c r="M301" s="234">
        <v>25500</v>
      </c>
      <c r="N301" s="234">
        <v>23970</v>
      </c>
      <c r="O301" s="243" t="s">
        <v>1479</v>
      </c>
      <c r="P301" s="236">
        <v>45896</v>
      </c>
    </row>
    <row r="302" spans="1:16" ht="51" customHeight="1">
      <c r="A302" s="239" t="s">
        <v>1361</v>
      </c>
      <c r="B302" s="240">
        <v>1246</v>
      </c>
      <c r="C302" s="241">
        <v>58326</v>
      </c>
      <c r="D302" s="239" t="s">
        <v>3818</v>
      </c>
      <c r="E302" s="239" t="s">
        <v>380</v>
      </c>
      <c r="F302" s="239" t="s">
        <v>381</v>
      </c>
      <c r="G302" s="239" t="s">
        <v>965</v>
      </c>
      <c r="H302" s="239" t="s">
        <v>48</v>
      </c>
      <c r="I302" s="239" t="s">
        <v>399</v>
      </c>
      <c r="J302" s="234">
        <v>38600</v>
      </c>
      <c r="K302" s="234">
        <v>15060</v>
      </c>
      <c r="L302" s="242">
        <v>10</v>
      </c>
      <c r="M302" s="234">
        <v>23540</v>
      </c>
      <c r="N302" s="234">
        <v>21186</v>
      </c>
      <c r="O302" s="243" t="s">
        <v>1480</v>
      </c>
      <c r="P302" s="236">
        <v>45896</v>
      </c>
    </row>
    <row r="303" spans="1:16" ht="51" customHeight="1">
      <c r="A303" s="239" t="s">
        <v>1362</v>
      </c>
      <c r="B303" s="240">
        <v>1247</v>
      </c>
      <c r="C303" s="241">
        <v>58328</v>
      </c>
      <c r="D303" s="239" t="s">
        <v>3818</v>
      </c>
      <c r="E303" s="239" t="s">
        <v>400</v>
      </c>
      <c r="F303" s="239" t="s">
        <v>401</v>
      </c>
      <c r="G303" s="239" t="s">
        <v>965</v>
      </c>
      <c r="H303" s="239" t="s">
        <v>48</v>
      </c>
      <c r="I303" s="239" t="s">
        <v>399</v>
      </c>
      <c r="J303" s="234">
        <v>38260</v>
      </c>
      <c r="K303" s="234">
        <v>14710</v>
      </c>
      <c r="L303" s="242">
        <v>14</v>
      </c>
      <c r="M303" s="234">
        <v>23550</v>
      </c>
      <c r="N303" s="234">
        <v>20253</v>
      </c>
      <c r="O303" s="243" t="s">
        <v>1481</v>
      </c>
      <c r="P303" s="236">
        <v>45896</v>
      </c>
    </row>
    <row r="304" spans="1:16" ht="51" customHeight="1">
      <c r="A304" s="239" t="s">
        <v>1363</v>
      </c>
      <c r="B304" s="240">
        <v>1248</v>
      </c>
      <c r="C304" s="241">
        <v>58313</v>
      </c>
      <c r="D304" s="239" t="s">
        <v>3818</v>
      </c>
      <c r="E304" s="239" t="s">
        <v>453</v>
      </c>
      <c r="F304" s="239" t="s">
        <v>454</v>
      </c>
      <c r="G304" s="239" t="s">
        <v>965</v>
      </c>
      <c r="H304" s="239" t="s">
        <v>48</v>
      </c>
      <c r="I304" s="239" t="s">
        <v>399</v>
      </c>
      <c r="J304" s="234">
        <v>47150</v>
      </c>
      <c r="K304" s="234">
        <v>24110</v>
      </c>
      <c r="L304" s="242">
        <v>8</v>
      </c>
      <c r="M304" s="234">
        <v>23040</v>
      </c>
      <c r="N304" s="234">
        <v>21196.799999999999</v>
      </c>
      <c r="O304" s="243" t="s">
        <v>1482</v>
      </c>
      <c r="P304" s="236">
        <v>45896</v>
      </c>
    </row>
    <row r="305" spans="1:16" ht="51" customHeight="1">
      <c r="A305" s="239" t="s">
        <v>1364</v>
      </c>
      <c r="B305" s="240">
        <v>1249</v>
      </c>
      <c r="C305" s="241">
        <v>58315</v>
      </c>
      <c r="D305" s="239" t="s">
        <v>3818</v>
      </c>
      <c r="E305" s="239" t="s">
        <v>456</v>
      </c>
      <c r="F305" s="239" t="s">
        <v>457</v>
      </c>
      <c r="G305" s="239" t="s">
        <v>965</v>
      </c>
      <c r="H305" s="239" t="s">
        <v>48</v>
      </c>
      <c r="I305" s="239" t="s">
        <v>399</v>
      </c>
      <c r="J305" s="234">
        <v>42290</v>
      </c>
      <c r="K305" s="234">
        <v>15520</v>
      </c>
      <c r="L305" s="242">
        <v>12</v>
      </c>
      <c r="M305" s="234">
        <v>26770</v>
      </c>
      <c r="N305" s="234">
        <v>23557.599999999999</v>
      </c>
      <c r="O305" s="243" t="s">
        <v>1483</v>
      </c>
      <c r="P305" s="236">
        <v>45896</v>
      </c>
    </row>
    <row r="306" spans="1:16" ht="51" customHeight="1">
      <c r="A306" s="239" t="s">
        <v>1365</v>
      </c>
      <c r="B306" s="240">
        <v>1250</v>
      </c>
      <c r="C306" s="241">
        <v>58330</v>
      </c>
      <c r="D306" s="239" t="s">
        <v>3818</v>
      </c>
      <c r="E306" s="239" t="s">
        <v>432</v>
      </c>
      <c r="F306" s="239" t="s">
        <v>433</v>
      </c>
      <c r="G306" s="239" t="s">
        <v>965</v>
      </c>
      <c r="H306" s="239" t="s">
        <v>48</v>
      </c>
      <c r="I306" s="239" t="s">
        <v>399</v>
      </c>
      <c r="J306" s="234">
        <v>39940</v>
      </c>
      <c r="K306" s="234">
        <v>15590</v>
      </c>
      <c r="L306" s="242">
        <v>12</v>
      </c>
      <c r="M306" s="234">
        <v>24350</v>
      </c>
      <c r="N306" s="234">
        <v>21428</v>
      </c>
      <c r="O306" s="243" t="s">
        <v>1484</v>
      </c>
      <c r="P306" s="236">
        <v>45896</v>
      </c>
    </row>
    <row r="307" spans="1:16" ht="51" customHeight="1">
      <c r="A307" s="239" t="s">
        <v>1366</v>
      </c>
      <c r="B307" s="240">
        <v>1251</v>
      </c>
      <c r="C307" s="241">
        <v>58332</v>
      </c>
      <c r="D307" s="239" t="s">
        <v>3818</v>
      </c>
      <c r="E307" s="239" t="s">
        <v>1410</v>
      </c>
      <c r="F307" s="239" t="s">
        <v>437</v>
      </c>
      <c r="G307" s="239" t="s">
        <v>965</v>
      </c>
      <c r="H307" s="239" t="s">
        <v>48</v>
      </c>
      <c r="I307" s="239" t="s">
        <v>399</v>
      </c>
      <c r="J307" s="234">
        <v>39850</v>
      </c>
      <c r="K307" s="234">
        <v>14810</v>
      </c>
      <c r="L307" s="242">
        <v>10</v>
      </c>
      <c r="M307" s="234">
        <v>25040</v>
      </c>
      <c r="N307" s="234">
        <v>22536</v>
      </c>
      <c r="O307" s="243" t="s">
        <v>1485</v>
      </c>
      <c r="P307" s="236">
        <v>45896</v>
      </c>
    </row>
    <row r="308" spans="1:16" ht="51" customHeight="1">
      <c r="A308" s="239" t="s">
        <v>1367</v>
      </c>
      <c r="B308" s="240">
        <v>1252</v>
      </c>
      <c r="C308" s="241">
        <v>58334</v>
      </c>
      <c r="D308" s="239" t="s">
        <v>3818</v>
      </c>
      <c r="E308" s="239" t="s">
        <v>866</v>
      </c>
      <c r="F308" s="239" t="s">
        <v>867</v>
      </c>
      <c r="G308" s="239" t="s">
        <v>965</v>
      </c>
      <c r="H308" s="239" t="s">
        <v>48</v>
      </c>
      <c r="I308" s="239" t="s">
        <v>399</v>
      </c>
      <c r="J308" s="234">
        <v>38890</v>
      </c>
      <c r="K308" s="234">
        <v>14430</v>
      </c>
      <c r="L308" s="242">
        <v>14</v>
      </c>
      <c r="M308" s="234">
        <v>24460</v>
      </c>
      <c r="N308" s="234">
        <v>21035.599999999999</v>
      </c>
      <c r="O308" s="243" t="s">
        <v>1486</v>
      </c>
      <c r="P308" s="236">
        <v>45896</v>
      </c>
    </row>
    <row r="309" spans="1:16" ht="51" customHeight="1">
      <c r="A309" s="239" t="s">
        <v>1368</v>
      </c>
      <c r="B309" s="240">
        <v>1253</v>
      </c>
      <c r="C309" s="241">
        <v>58336</v>
      </c>
      <c r="D309" s="239" t="s">
        <v>3818</v>
      </c>
      <c r="E309" s="239" t="s">
        <v>369</v>
      </c>
      <c r="F309" s="239" t="s">
        <v>370</v>
      </c>
      <c r="G309" s="239" t="s">
        <v>965</v>
      </c>
      <c r="H309" s="239" t="s">
        <v>48</v>
      </c>
      <c r="I309" s="239" t="s">
        <v>399</v>
      </c>
      <c r="J309" s="234">
        <v>38490</v>
      </c>
      <c r="K309" s="234">
        <v>15020</v>
      </c>
      <c r="L309" s="242">
        <v>13</v>
      </c>
      <c r="M309" s="234">
        <v>23470</v>
      </c>
      <c r="N309" s="234">
        <v>20418.900000000001</v>
      </c>
      <c r="O309" s="243" t="s">
        <v>1487</v>
      </c>
      <c r="P309" s="236">
        <v>45896</v>
      </c>
    </row>
    <row r="310" spans="1:16" ht="51" customHeight="1">
      <c r="A310" s="239" t="s">
        <v>1369</v>
      </c>
      <c r="B310" s="240">
        <v>1254</v>
      </c>
      <c r="C310" s="241">
        <v>58338</v>
      </c>
      <c r="D310" s="239" t="s">
        <v>3818</v>
      </c>
      <c r="E310" s="239" t="s">
        <v>786</v>
      </c>
      <c r="F310" s="239" t="s">
        <v>787</v>
      </c>
      <c r="G310" s="239" t="s">
        <v>965</v>
      </c>
      <c r="H310" s="239" t="s">
        <v>48</v>
      </c>
      <c r="I310" s="239" t="s">
        <v>399</v>
      </c>
      <c r="J310" s="234">
        <v>36410</v>
      </c>
      <c r="K310" s="234">
        <v>13950</v>
      </c>
      <c r="L310" s="242">
        <v>9</v>
      </c>
      <c r="M310" s="234">
        <v>22460</v>
      </c>
      <c r="N310" s="234">
        <v>20438.599999999999</v>
      </c>
      <c r="O310" s="243" t="s">
        <v>1488</v>
      </c>
      <c r="P310" s="236">
        <v>45896</v>
      </c>
    </row>
    <row r="311" spans="1:16" ht="51" customHeight="1">
      <c r="A311" s="239" t="s">
        <v>1373</v>
      </c>
      <c r="B311" s="240">
        <v>1257</v>
      </c>
      <c r="C311" s="241">
        <v>58366</v>
      </c>
      <c r="D311" s="239" t="s">
        <v>3818</v>
      </c>
      <c r="E311" s="239" t="s">
        <v>374</v>
      </c>
      <c r="F311" s="239" t="s">
        <v>375</v>
      </c>
      <c r="G311" s="239" t="s">
        <v>965</v>
      </c>
      <c r="H311" s="239" t="s">
        <v>48</v>
      </c>
      <c r="I311" s="239" t="s">
        <v>399</v>
      </c>
      <c r="J311" s="234">
        <v>38040</v>
      </c>
      <c r="K311" s="234">
        <v>15600</v>
      </c>
      <c r="L311" s="242">
        <v>9</v>
      </c>
      <c r="M311" s="234">
        <v>22440</v>
      </c>
      <c r="N311" s="234">
        <v>20420.400000000001</v>
      </c>
      <c r="O311" s="243" t="s">
        <v>1489</v>
      </c>
      <c r="P311" s="236">
        <v>45897</v>
      </c>
    </row>
    <row r="312" spans="1:16" ht="51" customHeight="1">
      <c r="A312" s="239" t="s">
        <v>1374</v>
      </c>
      <c r="B312" s="240">
        <v>1255</v>
      </c>
      <c r="C312" s="241">
        <v>58346</v>
      </c>
      <c r="D312" s="239" t="s">
        <v>3818</v>
      </c>
      <c r="E312" s="239" t="s">
        <v>384</v>
      </c>
      <c r="F312" s="239" t="s">
        <v>385</v>
      </c>
      <c r="G312" s="239" t="s">
        <v>965</v>
      </c>
      <c r="H312" s="239" t="s">
        <v>48</v>
      </c>
      <c r="I312" s="239" t="s">
        <v>399</v>
      </c>
      <c r="J312" s="234">
        <v>36810</v>
      </c>
      <c r="K312" s="234">
        <v>13910</v>
      </c>
      <c r="L312" s="242">
        <v>13</v>
      </c>
      <c r="M312" s="234">
        <v>22900</v>
      </c>
      <c r="N312" s="234">
        <v>19923</v>
      </c>
      <c r="O312" s="243" t="s">
        <v>1490</v>
      </c>
      <c r="P312" s="236">
        <v>45897</v>
      </c>
    </row>
    <row r="313" spans="1:16" ht="51" customHeight="1">
      <c r="A313" s="239" t="s">
        <v>1375</v>
      </c>
      <c r="B313" s="240">
        <v>1256</v>
      </c>
      <c r="C313" s="241">
        <v>58354</v>
      </c>
      <c r="D313" s="239" t="s">
        <v>3818</v>
      </c>
      <c r="E313" s="239" t="s">
        <v>462</v>
      </c>
      <c r="F313" s="239" t="s">
        <v>463</v>
      </c>
      <c r="G313" s="239" t="s">
        <v>965</v>
      </c>
      <c r="H313" s="239" t="s">
        <v>48</v>
      </c>
      <c r="I313" s="239" t="s">
        <v>399</v>
      </c>
      <c r="J313" s="234">
        <v>39570</v>
      </c>
      <c r="K313" s="234">
        <v>16130</v>
      </c>
      <c r="L313" s="242">
        <v>12</v>
      </c>
      <c r="M313" s="234">
        <v>23440</v>
      </c>
      <c r="N313" s="234">
        <v>20627.2</v>
      </c>
      <c r="O313" s="243" t="s">
        <v>1491</v>
      </c>
      <c r="P313" s="236">
        <v>45897</v>
      </c>
    </row>
    <row r="314" spans="1:16" ht="51" customHeight="1">
      <c r="A314" s="239" t="s">
        <v>1376</v>
      </c>
      <c r="B314" s="240">
        <v>1258</v>
      </c>
      <c r="C314" s="241">
        <v>58368</v>
      </c>
      <c r="D314" s="239" t="s">
        <v>3818</v>
      </c>
      <c r="E314" s="239" t="s">
        <v>858</v>
      </c>
      <c r="F314" s="239" t="s">
        <v>859</v>
      </c>
      <c r="G314" s="239" t="s">
        <v>965</v>
      </c>
      <c r="H314" s="239" t="s">
        <v>48</v>
      </c>
      <c r="I314" s="239" t="s">
        <v>399</v>
      </c>
      <c r="J314" s="234">
        <v>36840</v>
      </c>
      <c r="K314" s="234">
        <v>14740</v>
      </c>
      <c r="L314" s="242">
        <v>9</v>
      </c>
      <c r="M314" s="234">
        <v>22100</v>
      </c>
      <c r="N314" s="234">
        <v>20111</v>
      </c>
      <c r="O314" s="243" t="s">
        <v>1492</v>
      </c>
      <c r="P314" s="236">
        <v>45897</v>
      </c>
    </row>
    <row r="315" spans="1:16" ht="51" customHeight="1">
      <c r="A315" s="239" t="s">
        <v>1377</v>
      </c>
      <c r="B315" s="240">
        <v>1259</v>
      </c>
      <c r="C315" s="241">
        <v>58370</v>
      </c>
      <c r="D315" s="239" t="s">
        <v>3818</v>
      </c>
      <c r="E315" s="239" t="s">
        <v>472</v>
      </c>
      <c r="F315" s="239" t="s">
        <v>473</v>
      </c>
      <c r="G315" s="239" t="s">
        <v>965</v>
      </c>
      <c r="H315" s="239" t="s">
        <v>48</v>
      </c>
      <c r="I315" s="239" t="s">
        <v>399</v>
      </c>
      <c r="J315" s="234">
        <v>40480</v>
      </c>
      <c r="K315" s="234">
        <v>16670</v>
      </c>
      <c r="L315" s="242">
        <v>5</v>
      </c>
      <c r="M315" s="234">
        <v>23810</v>
      </c>
      <c r="N315" s="234">
        <v>22619.5</v>
      </c>
      <c r="O315" s="243" t="s">
        <v>1493</v>
      </c>
      <c r="P315" s="236">
        <v>45897</v>
      </c>
    </row>
    <row r="316" spans="1:16" ht="51" customHeight="1">
      <c r="A316" s="239" t="s">
        <v>1378</v>
      </c>
      <c r="B316" s="240">
        <v>1260</v>
      </c>
      <c r="C316" s="241">
        <v>58373</v>
      </c>
      <c r="D316" s="239" t="s">
        <v>3818</v>
      </c>
      <c r="E316" s="239" t="s">
        <v>475</v>
      </c>
      <c r="F316" s="239" t="s">
        <v>476</v>
      </c>
      <c r="G316" s="239" t="s">
        <v>965</v>
      </c>
      <c r="H316" s="239" t="s">
        <v>48</v>
      </c>
      <c r="I316" s="239" t="s">
        <v>399</v>
      </c>
      <c r="J316" s="234">
        <v>39730</v>
      </c>
      <c r="K316" s="234">
        <v>16540</v>
      </c>
      <c r="L316" s="242">
        <v>9</v>
      </c>
      <c r="M316" s="234">
        <v>23190</v>
      </c>
      <c r="N316" s="234">
        <v>21102.9</v>
      </c>
      <c r="O316" s="243" t="s">
        <v>1494</v>
      </c>
      <c r="P316" s="236">
        <v>45897</v>
      </c>
    </row>
    <row r="317" spans="1:16" ht="51" customHeight="1">
      <c r="A317" s="239" t="s">
        <v>1379</v>
      </c>
      <c r="B317" s="240">
        <v>1262</v>
      </c>
      <c r="C317" s="241">
        <v>58380</v>
      </c>
      <c r="D317" s="239" t="s">
        <v>3818</v>
      </c>
      <c r="E317" s="239" t="s">
        <v>403</v>
      </c>
      <c r="F317" s="239" t="s">
        <v>404</v>
      </c>
      <c r="G317" s="239" t="s">
        <v>965</v>
      </c>
      <c r="H317" s="239" t="s">
        <v>48</v>
      </c>
      <c r="I317" s="239" t="s">
        <v>399</v>
      </c>
      <c r="J317" s="234">
        <v>37960</v>
      </c>
      <c r="K317" s="234">
        <v>14480</v>
      </c>
      <c r="L317" s="242">
        <v>17</v>
      </c>
      <c r="M317" s="234">
        <v>23480</v>
      </c>
      <c r="N317" s="234">
        <v>19488.400000000001</v>
      </c>
      <c r="O317" s="243" t="s">
        <v>1495</v>
      </c>
      <c r="P317" s="236">
        <v>45897</v>
      </c>
    </row>
    <row r="318" spans="1:16" ht="51" customHeight="1">
      <c r="A318" s="239" t="s">
        <v>1380</v>
      </c>
      <c r="B318" s="240">
        <v>1263</v>
      </c>
      <c r="C318" s="241">
        <v>58382</v>
      </c>
      <c r="D318" s="239" t="s">
        <v>3818</v>
      </c>
      <c r="E318" s="239" t="s">
        <v>406</v>
      </c>
      <c r="F318" s="239" t="s">
        <v>407</v>
      </c>
      <c r="G318" s="239" t="s">
        <v>965</v>
      </c>
      <c r="H318" s="239" t="s">
        <v>48</v>
      </c>
      <c r="I318" s="239" t="s">
        <v>399</v>
      </c>
      <c r="J318" s="234">
        <v>38440</v>
      </c>
      <c r="K318" s="234">
        <v>15070</v>
      </c>
      <c r="L318" s="242">
        <v>8</v>
      </c>
      <c r="M318" s="234">
        <v>23370</v>
      </c>
      <c r="N318" s="234">
        <v>21500.400000000001</v>
      </c>
      <c r="O318" s="243" t="s">
        <v>1496</v>
      </c>
      <c r="P318" s="236">
        <v>45897</v>
      </c>
    </row>
    <row r="319" spans="1:16" ht="51" customHeight="1">
      <c r="A319" s="239" t="s">
        <v>1381</v>
      </c>
      <c r="B319" s="240">
        <v>1267</v>
      </c>
      <c r="C319" s="241">
        <v>58389</v>
      </c>
      <c r="D319" s="239" t="s">
        <v>3818</v>
      </c>
      <c r="E319" s="239" t="s">
        <v>442</v>
      </c>
      <c r="F319" s="239" t="s">
        <v>443</v>
      </c>
      <c r="G319" s="239" t="s">
        <v>965</v>
      </c>
      <c r="H319" s="239" t="s">
        <v>48</v>
      </c>
      <c r="I319" s="239" t="s">
        <v>399</v>
      </c>
      <c r="J319" s="234">
        <v>34920</v>
      </c>
      <c r="K319" s="234">
        <v>14470</v>
      </c>
      <c r="L319" s="242">
        <v>11</v>
      </c>
      <c r="M319" s="234">
        <v>20450</v>
      </c>
      <c r="N319" s="234">
        <v>18200.5</v>
      </c>
      <c r="O319" s="243" t="s">
        <v>1497</v>
      </c>
      <c r="P319" s="236">
        <v>45897</v>
      </c>
    </row>
    <row r="320" spans="1:16" ht="51" customHeight="1">
      <c r="A320" s="239" t="s">
        <v>1382</v>
      </c>
      <c r="B320" s="240">
        <v>1268</v>
      </c>
      <c r="C320" s="241">
        <v>58391</v>
      </c>
      <c r="D320" s="239" t="s">
        <v>3818</v>
      </c>
      <c r="E320" s="239" t="s">
        <v>780</v>
      </c>
      <c r="F320" s="239" t="s">
        <v>781</v>
      </c>
      <c r="G320" s="239" t="s">
        <v>965</v>
      </c>
      <c r="H320" s="239" t="s">
        <v>48</v>
      </c>
      <c r="I320" s="239" t="s">
        <v>399</v>
      </c>
      <c r="J320" s="234">
        <v>36340</v>
      </c>
      <c r="K320" s="234">
        <v>14830</v>
      </c>
      <c r="L320" s="242">
        <v>10</v>
      </c>
      <c r="M320" s="234">
        <v>21510</v>
      </c>
      <c r="N320" s="234">
        <v>19359</v>
      </c>
      <c r="O320" s="243" t="s">
        <v>1498</v>
      </c>
      <c r="P320" s="236">
        <v>45897</v>
      </c>
    </row>
    <row r="321" spans="1:16" ht="51" customHeight="1">
      <c r="A321" s="239" t="s">
        <v>1383</v>
      </c>
      <c r="B321" s="240">
        <v>1266</v>
      </c>
      <c r="C321" s="241">
        <v>58397</v>
      </c>
      <c r="D321" s="239" t="s">
        <v>3818</v>
      </c>
      <c r="E321" s="239" t="s">
        <v>377</v>
      </c>
      <c r="F321" s="239" t="s">
        <v>378</v>
      </c>
      <c r="G321" s="239" t="s">
        <v>965</v>
      </c>
      <c r="H321" s="239" t="s">
        <v>48</v>
      </c>
      <c r="I321" s="239" t="s">
        <v>399</v>
      </c>
      <c r="J321" s="234">
        <v>40560</v>
      </c>
      <c r="K321" s="234">
        <v>15180</v>
      </c>
      <c r="L321" s="242">
        <v>6</v>
      </c>
      <c r="M321" s="234">
        <v>25380</v>
      </c>
      <c r="N321" s="234">
        <v>23857.200000000001</v>
      </c>
      <c r="O321" s="243" t="s">
        <v>1499</v>
      </c>
      <c r="P321" s="236">
        <v>45897</v>
      </c>
    </row>
    <row r="322" spans="1:16" ht="51" customHeight="1">
      <c r="A322" s="239" t="s">
        <v>1384</v>
      </c>
      <c r="B322" s="240">
        <v>1284</v>
      </c>
      <c r="C322" s="241">
        <v>58407</v>
      </c>
      <c r="D322" s="239" t="s">
        <v>3818</v>
      </c>
      <c r="E322" s="239" t="s">
        <v>392</v>
      </c>
      <c r="F322" s="239" t="s">
        <v>393</v>
      </c>
      <c r="G322" s="239" t="s">
        <v>965</v>
      </c>
      <c r="H322" s="239" t="s">
        <v>48</v>
      </c>
      <c r="I322" s="239" t="s">
        <v>399</v>
      </c>
      <c r="J322" s="234">
        <v>46980</v>
      </c>
      <c r="K322" s="234">
        <v>24070</v>
      </c>
      <c r="L322" s="242">
        <v>11</v>
      </c>
      <c r="M322" s="234">
        <v>22910</v>
      </c>
      <c r="N322" s="234">
        <v>20389.900000000001</v>
      </c>
      <c r="O322" s="243" t="s">
        <v>1500</v>
      </c>
      <c r="P322" s="236">
        <v>45897</v>
      </c>
    </row>
    <row r="323" spans="1:16" ht="51" customHeight="1">
      <c r="A323" s="239" t="s">
        <v>1385</v>
      </c>
      <c r="B323" s="240">
        <v>1286</v>
      </c>
      <c r="C323" s="241">
        <v>58413</v>
      </c>
      <c r="D323" s="239" t="s">
        <v>3818</v>
      </c>
      <c r="E323" s="239" t="s">
        <v>413</v>
      </c>
      <c r="F323" s="239" t="s">
        <v>414</v>
      </c>
      <c r="G323" s="239" t="s">
        <v>965</v>
      </c>
      <c r="H323" s="239" t="s">
        <v>48</v>
      </c>
      <c r="I323" s="239" t="s">
        <v>399</v>
      </c>
      <c r="J323" s="234">
        <v>39230</v>
      </c>
      <c r="K323" s="234">
        <v>14950</v>
      </c>
      <c r="L323" s="242">
        <v>12</v>
      </c>
      <c r="M323" s="234">
        <v>24280</v>
      </c>
      <c r="N323" s="234">
        <v>21366.400000000001</v>
      </c>
      <c r="O323" s="243" t="s">
        <v>1501</v>
      </c>
      <c r="P323" s="236">
        <v>45897</v>
      </c>
    </row>
    <row r="324" spans="1:16" ht="51" customHeight="1">
      <c r="A324" s="239" t="s">
        <v>1389</v>
      </c>
      <c r="B324" s="240">
        <v>1288</v>
      </c>
      <c r="C324" s="241">
        <v>58411</v>
      </c>
      <c r="D324" s="239" t="s">
        <v>3818</v>
      </c>
      <c r="E324" s="239" t="s">
        <v>429</v>
      </c>
      <c r="F324" s="239" t="s">
        <v>430</v>
      </c>
      <c r="G324" s="239" t="s">
        <v>965</v>
      </c>
      <c r="H324" s="239" t="s">
        <v>48</v>
      </c>
      <c r="I324" s="239" t="s">
        <v>399</v>
      </c>
      <c r="J324" s="234">
        <v>37910</v>
      </c>
      <c r="K324" s="234">
        <v>14200</v>
      </c>
      <c r="L324" s="242">
        <v>8</v>
      </c>
      <c r="M324" s="234">
        <v>23710</v>
      </c>
      <c r="N324" s="234">
        <v>21813.200000000001</v>
      </c>
      <c r="O324" s="243" t="s">
        <v>1505</v>
      </c>
      <c r="P324" s="236">
        <v>45897</v>
      </c>
    </row>
    <row r="325" spans="1:16" ht="51" customHeight="1">
      <c r="A325" s="239" t="s">
        <v>1391</v>
      </c>
      <c r="B325" s="240">
        <v>1289</v>
      </c>
      <c r="C325" s="241">
        <v>58416</v>
      </c>
      <c r="D325" s="239" t="s">
        <v>3818</v>
      </c>
      <c r="E325" s="239" t="s">
        <v>791</v>
      </c>
      <c r="F325" s="239" t="s">
        <v>792</v>
      </c>
      <c r="G325" s="239" t="s">
        <v>965</v>
      </c>
      <c r="H325" s="239" t="s">
        <v>48</v>
      </c>
      <c r="I325" s="239" t="s">
        <v>399</v>
      </c>
      <c r="J325" s="234">
        <v>40490</v>
      </c>
      <c r="K325" s="234">
        <v>14970</v>
      </c>
      <c r="L325" s="242">
        <v>15</v>
      </c>
      <c r="M325" s="234">
        <v>25520</v>
      </c>
      <c r="N325" s="234">
        <v>21692</v>
      </c>
      <c r="O325" s="243" t="s">
        <v>1507</v>
      </c>
      <c r="P325" s="236">
        <v>45897</v>
      </c>
    </row>
    <row r="326" spans="1:16" ht="51" customHeight="1">
      <c r="A326" s="239" t="s">
        <v>1393</v>
      </c>
      <c r="B326" s="240">
        <v>1291</v>
      </c>
      <c r="C326" s="241">
        <v>58418</v>
      </c>
      <c r="D326" s="239" t="s">
        <v>3818</v>
      </c>
      <c r="E326" s="239" t="s">
        <v>382</v>
      </c>
      <c r="F326" s="239" t="s">
        <v>383</v>
      </c>
      <c r="G326" s="239" t="s">
        <v>965</v>
      </c>
      <c r="H326" s="239" t="s">
        <v>48</v>
      </c>
      <c r="I326" s="239" t="s">
        <v>399</v>
      </c>
      <c r="J326" s="234">
        <v>38590</v>
      </c>
      <c r="K326" s="234">
        <v>14560</v>
      </c>
      <c r="L326" s="242">
        <v>13</v>
      </c>
      <c r="M326" s="234">
        <v>24030</v>
      </c>
      <c r="N326" s="234">
        <v>20906.099999999999</v>
      </c>
      <c r="O326" s="243" t="s">
        <v>1509</v>
      </c>
      <c r="P326" s="236">
        <v>45897</v>
      </c>
    </row>
    <row r="327" spans="1:16" ht="51" customHeight="1">
      <c r="A327" s="239" t="s">
        <v>1395</v>
      </c>
      <c r="B327" s="240">
        <v>1292</v>
      </c>
      <c r="C327" s="241">
        <v>58420</v>
      </c>
      <c r="D327" s="239" t="s">
        <v>3818</v>
      </c>
      <c r="E327" s="239" t="s">
        <v>447</v>
      </c>
      <c r="F327" s="239" t="s">
        <v>448</v>
      </c>
      <c r="G327" s="239" t="s">
        <v>965</v>
      </c>
      <c r="H327" s="239" t="s">
        <v>48</v>
      </c>
      <c r="I327" s="239" t="s">
        <v>399</v>
      </c>
      <c r="J327" s="234">
        <v>46960</v>
      </c>
      <c r="K327" s="234">
        <v>19350</v>
      </c>
      <c r="L327" s="242">
        <v>6</v>
      </c>
      <c r="M327" s="234">
        <v>27610</v>
      </c>
      <c r="N327" s="234">
        <v>25953.4</v>
      </c>
      <c r="O327" s="243" t="s">
        <v>1511</v>
      </c>
      <c r="P327" s="236">
        <v>45897</v>
      </c>
    </row>
    <row r="328" spans="1:16" ht="51" customHeight="1">
      <c r="A328" s="239" t="s">
        <v>1386</v>
      </c>
      <c r="B328" s="240">
        <v>1293</v>
      </c>
      <c r="C328" s="241">
        <v>58432</v>
      </c>
      <c r="D328" s="239" t="s">
        <v>3818</v>
      </c>
      <c r="E328" s="239" t="s">
        <v>380</v>
      </c>
      <c r="F328" s="239" t="s">
        <v>381</v>
      </c>
      <c r="G328" s="239" t="s">
        <v>965</v>
      </c>
      <c r="H328" s="239" t="s">
        <v>48</v>
      </c>
      <c r="I328" s="239" t="s">
        <v>399</v>
      </c>
      <c r="J328" s="234">
        <v>39220</v>
      </c>
      <c r="K328" s="234">
        <v>15040</v>
      </c>
      <c r="L328" s="242">
        <v>6</v>
      </c>
      <c r="M328" s="234">
        <v>24180</v>
      </c>
      <c r="N328" s="234">
        <v>22729.200000000001</v>
      </c>
      <c r="O328" s="243" t="s">
        <v>1502</v>
      </c>
      <c r="P328" s="236">
        <v>45897</v>
      </c>
    </row>
    <row r="329" spans="1:16" ht="51" customHeight="1">
      <c r="A329" s="239" t="s">
        <v>1387</v>
      </c>
      <c r="B329" s="240">
        <v>1294</v>
      </c>
      <c r="C329" s="241">
        <v>58427</v>
      </c>
      <c r="D329" s="239" t="s">
        <v>3818</v>
      </c>
      <c r="E329" s="239" t="s">
        <v>439</v>
      </c>
      <c r="F329" s="239" t="s">
        <v>440</v>
      </c>
      <c r="G329" s="239" t="s">
        <v>965</v>
      </c>
      <c r="H329" s="239" t="s">
        <v>48</v>
      </c>
      <c r="I329" s="239" t="s">
        <v>399</v>
      </c>
      <c r="J329" s="234">
        <v>39160</v>
      </c>
      <c r="K329" s="234">
        <v>14970</v>
      </c>
      <c r="L329" s="242">
        <v>7</v>
      </c>
      <c r="M329" s="234">
        <v>24190</v>
      </c>
      <c r="N329" s="234">
        <v>22496.7</v>
      </c>
      <c r="O329" s="243" t="s">
        <v>1503</v>
      </c>
      <c r="P329" s="236">
        <v>45897</v>
      </c>
    </row>
    <row r="330" spans="1:16" ht="51" customHeight="1">
      <c r="A330" s="239" t="s">
        <v>1388</v>
      </c>
      <c r="B330" s="240">
        <v>1295</v>
      </c>
      <c r="C330" s="241">
        <v>58437</v>
      </c>
      <c r="D330" s="239" t="s">
        <v>3818</v>
      </c>
      <c r="E330" s="239" t="s">
        <v>783</v>
      </c>
      <c r="F330" s="239" t="s">
        <v>784</v>
      </c>
      <c r="G330" s="239" t="s">
        <v>965</v>
      </c>
      <c r="H330" s="239" t="s">
        <v>48</v>
      </c>
      <c r="I330" s="239" t="s">
        <v>399</v>
      </c>
      <c r="J330" s="234">
        <v>40960</v>
      </c>
      <c r="K330" s="234">
        <v>14620</v>
      </c>
      <c r="L330" s="242">
        <v>7</v>
      </c>
      <c r="M330" s="234">
        <v>26340</v>
      </c>
      <c r="N330" s="234">
        <v>24496.2</v>
      </c>
      <c r="O330" s="243" t="s">
        <v>1504</v>
      </c>
      <c r="P330" s="236">
        <v>45897</v>
      </c>
    </row>
    <row r="331" spans="1:16" ht="51" customHeight="1">
      <c r="A331" s="239" t="s">
        <v>1390</v>
      </c>
      <c r="B331" s="240">
        <v>1296</v>
      </c>
      <c r="C331" s="241">
        <v>58425</v>
      </c>
      <c r="D331" s="239" t="s">
        <v>3818</v>
      </c>
      <c r="E331" s="239" t="s">
        <v>841</v>
      </c>
      <c r="F331" s="239" t="s">
        <v>845</v>
      </c>
      <c r="G331" s="239" t="s">
        <v>965</v>
      </c>
      <c r="H331" s="239" t="s">
        <v>48</v>
      </c>
      <c r="I331" s="239" t="s">
        <v>399</v>
      </c>
      <c r="J331" s="234">
        <v>41180</v>
      </c>
      <c r="K331" s="234">
        <v>15670</v>
      </c>
      <c r="L331" s="242">
        <v>9</v>
      </c>
      <c r="M331" s="234">
        <v>25510</v>
      </c>
      <c r="N331" s="234">
        <v>23214.1</v>
      </c>
      <c r="O331" s="243" t="s">
        <v>1506</v>
      </c>
      <c r="P331" s="236">
        <v>45897</v>
      </c>
    </row>
    <row r="332" spans="1:16" ht="51" customHeight="1">
      <c r="A332" s="239" t="s">
        <v>1392</v>
      </c>
      <c r="B332" s="240">
        <v>1297</v>
      </c>
      <c r="C332" s="241">
        <v>58440</v>
      </c>
      <c r="D332" s="239" t="s">
        <v>3818</v>
      </c>
      <c r="E332" s="239" t="s">
        <v>432</v>
      </c>
      <c r="F332" s="239" t="s">
        <v>433</v>
      </c>
      <c r="G332" s="239" t="s">
        <v>965</v>
      </c>
      <c r="H332" s="239" t="s">
        <v>48</v>
      </c>
      <c r="I332" s="239" t="s">
        <v>399</v>
      </c>
      <c r="J332" s="234">
        <v>39780</v>
      </c>
      <c r="K332" s="234">
        <v>15580</v>
      </c>
      <c r="L332" s="242">
        <v>6</v>
      </c>
      <c r="M332" s="234">
        <v>24200</v>
      </c>
      <c r="N332" s="234">
        <v>22748</v>
      </c>
      <c r="O332" s="243" t="s">
        <v>1508</v>
      </c>
      <c r="P332" s="236">
        <v>45897</v>
      </c>
    </row>
    <row r="333" spans="1:16" ht="51" customHeight="1">
      <c r="A333" s="239" t="s">
        <v>1394</v>
      </c>
      <c r="B333" s="240">
        <v>1298</v>
      </c>
      <c r="C333" s="241">
        <v>58448</v>
      </c>
      <c r="D333" s="239" t="s">
        <v>3818</v>
      </c>
      <c r="E333" s="239" t="s">
        <v>794</v>
      </c>
      <c r="F333" s="239" t="s">
        <v>795</v>
      </c>
      <c r="G333" s="239" t="s">
        <v>965</v>
      </c>
      <c r="H333" s="239" t="s">
        <v>48</v>
      </c>
      <c r="I333" s="239" t="s">
        <v>399</v>
      </c>
      <c r="J333" s="234">
        <v>42440</v>
      </c>
      <c r="K333" s="234">
        <v>16120</v>
      </c>
      <c r="L333" s="242">
        <v>6</v>
      </c>
      <c r="M333" s="234">
        <v>26320</v>
      </c>
      <c r="N333" s="234">
        <v>24740.799999999999</v>
      </c>
      <c r="O333" s="243" t="s">
        <v>1510</v>
      </c>
      <c r="P333" s="236">
        <v>45897</v>
      </c>
    </row>
    <row r="334" spans="1:16" ht="51" customHeight="1">
      <c r="A334" s="239" t="s">
        <v>1396</v>
      </c>
      <c r="B334" s="240">
        <v>1300</v>
      </c>
      <c r="C334" s="241">
        <v>58445</v>
      </c>
      <c r="D334" s="239" t="s">
        <v>3818</v>
      </c>
      <c r="E334" s="239" t="s">
        <v>1397</v>
      </c>
      <c r="F334" s="239" t="s">
        <v>1398</v>
      </c>
      <c r="G334" s="239" t="s">
        <v>964</v>
      </c>
      <c r="H334" s="239" t="s">
        <v>777</v>
      </c>
      <c r="I334" s="239" t="s">
        <v>399</v>
      </c>
      <c r="J334" s="234">
        <v>43980</v>
      </c>
      <c r="K334" s="234">
        <v>17080</v>
      </c>
      <c r="L334" s="242">
        <v>13</v>
      </c>
      <c r="M334" s="234">
        <v>26900</v>
      </c>
      <c r="N334" s="234">
        <v>23403</v>
      </c>
      <c r="O334" s="243" t="s">
        <v>1512</v>
      </c>
      <c r="P334" s="236">
        <v>45898</v>
      </c>
    </row>
    <row r="335" spans="1:16" ht="51" customHeight="1">
      <c r="A335" s="239" t="s">
        <v>1399</v>
      </c>
      <c r="B335" s="240">
        <v>1302</v>
      </c>
      <c r="C335" s="241">
        <v>58450</v>
      </c>
      <c r="D335" s="239" t="s">
        <v>3818</v>
      </c>
      <c r="E335" s="239" t="s">
        <v>1400</v>
      </c>
      <c r="F335" s="239" t="s">
        <v>1401</v>
      </c>
      <c r="G335" s="239" t="s">
        <v>964</v>
      </c>
      <c r="H335" s="239" t="s">
        <v>777</v>
      </c>
      <c r="I335" s="239" t="s">
        <v>399</v>
      </c>
      <c r="J335" s="234">
        <v>35120</v>
      </c>
      <c r="K335" s="234">
        <v>14740</v>
      </c>
      <c r="L335" s="242">
        <v>8</v>
      </c>
      <c r="M335" s="234">
        <v>20380</v>
      </c>
      <c r="N335" s="234">
        <v>18749.599999999999</v>
      </c>
      <c r="O335" s="243" t="s">
        <v>1513</v>
      </c>
      <c r="P335" s="236">
        <v>45898</v>
      </c>
    </row>
    <row r="336" spans="1:16" ht="51" customHeight="1">
      <c r="A336" s="239" t="s">
        <v>1402</v>
      </c>
      <c r="B336" s="240">
        <v>1303</v>
      </c>
      <c r="C336" s="241">
        <v>58452</v>
      </c>
      <c r="D336" s="239" t="s">
        <v>3818</v>
      </c>
      <c r="E336" s="239" t="s">
        <v>1403</v>
      </c>
      <c r="F336" s="239" t="s">
        <v>1404</v>
      </c>
      <c r="G336" s="239" t="s">
        <v>964</v>
      </c>
      <c r="H336" s="239" t="s">
        <v>777</v>
      </c>
      <c r="I336" s="239" t="s">
        <v>399</v>
      </c>
      <c r="J336" s="234">
        <v>37730</v>
      </c>
      <c r="K336" s="234">
        <v>14970</v>
      </c>
      <c r="L336" s="242">
        <v>6</v>
      </c>
      <c r="M336" s="234">
        <v>22760</v>
      </c>
      <c r="N336" s="234">
        <v>21394.400000000001</v>
      </c>
      <c r="O336" s="243" t="s">
        <v>1514</v>
      </c>
      <c r="P336" s="236">
        <v>45898</v>
      </c>
    </row>
    <row r="337" spans="1:16" ht="51" customHeight="1">
      <c r="A337" s="239" t="s">
        <v>1405</v>
      </c>
      <c r="B337" s="240">
        <v>1304</v>
      </c>
      <c r="C337" s="241">
        <v>58523</v>
      </c>
      <c r="D337" s="239" t="s">
        <v>3818</v>
      </c>
      <c r="E337" s="239" t="s">
        <v>384</v>
      </c>
      <c r="F337" s="239" t="s">
        <v>385</v>
      </c>
      <c r="G337" s="239" t="s">
        <v>964</v>
      </c>
      <c r="H337" s="239" t="s">
        <v>777</v>
      </c>
      <c r="I337" s="239" t="s">
        <v>399</v>
      </c>
      <c r="J337" s="234">
        <v>36380</v>
      </c>
      <c r="K337" s="234">
        <v>13920</v>
      </c>
      <c r="L337" s="242">
        <v>7</v>
      </c>
      <c r="M337" s="234">
        <v>22460</v>
      </c>
      <c r="N337" s="234">
        <v>20887.8</v>
      </c>
      <c r="O337" s="243" t="s">
        <v>1515</v>
      </c>
      <c r="P337" s="236">
        <v>45898</v>
      </c>
    </row>
    <row r="338" spans="1:16" ht="51" customHeight="1">
      <c r="A338" s="239" t="s">
        <v>1406</v>
      </c>
      <c r="B338" s="240">
        <v>1305</v>
      </c>
      <c r="C338" s="241">
        <v>58492</v>
      </c>
      <c r="D338" s="239" t="s">
        <v>3818</v>
      </c>
      <c r="E338" s="239" t="s">
        <v>388</v>
      </c>
      <c r="F338" s="239" t="s">
        <v>389</v>
      </c>
      <c r="G338" s="239" t="s">
        <v>964</v>
      </c>
      <c r="H338" s="239" t="s">
        <v>777</v>
      </c>
      <c r="I338" s="239" t="s">
        <v>399</v>
      </c>
      <c r="J338" s="234">
        <v>45120</v>
      </c>
      <c r="K338" s="234">
        <v>20860</v>
      </c>
      <c r="L338" s="242">
        <v>8</v>
      </c>
      <c r="M338" s="234">
        <v>24260</v>
      </c>
      <c r="N338" s="234">
        <v>22319.200000000001</v>
      </c>
      <c r="O338" s="243" t="s">
        <v>1516</v>
      </c>
      <c r="P338" s="236">
        <v>45898</v>
      </c>
    </row>
    <row r="339" spans="1:16" ht="51" customHeight="1">
      <c r="A339" s="239" t="s">
        <v>1407</v>
      </c>
      <c r="B339" s="240">
        <v>1306</v>
      </c>
      <c r="C339" s="241">
        <v>58462</v>
      </c>
      <c r="D339" s="239" t="s">
        <v>3818</v>
      </c>
      <c r="E339" s="239" t="s">
        <v>786</v>
      </c>
      <c r="F339" s="239" t="s">
        <v>787</v>
      </c>
      <c r="G339" s="239" t="s">
        <v>964</v>
      </c>
      <c r="H339" s="239" t="s">
        <v>777</v>
      </c>
      <c r="I339" s="239" t="s">
        <v>399</v>
      </c>
      <c r="J339" s="234">
        <v>35850</v>
      </c>
      <c r="K339" s="234">
        <v>13980</v>
      </c>
      <c r="L339" s="242">
        <v>8</v>
      </c>
      <c r="M339" s="234">
        <v>21870</v>
      </c>
      <c r="N339" s="234">
        <v>20120.400000000001</v>
      </c>
      <c r="O339" s="243" t="s">
        <v>1517</v>
      </c>
      <c r="P339" s="236">
        <v>45898</v>
      </c>
    </row>
    <row r="340" spans="1:16" ht="51" customHeight="1">
      <c r="A340" s="239" t="s">
        <v>1408</v>
      </c>
      <c r="B340" s="240">
        <v>1307</v>
      </c>
      <c r="C340" s="241">
        <v>58525</v>
      </c>
      <c r="D340" s="239" t="s">
        <v>3818</v>
      </c>
      <c r="E340" s="239" t="s">
        <v>410</v>
      </c>
      <c r="F340" s="239" t="s">
        <v>411</v>
      </c>
      <c r="G340" s="239" t="s">
        <v>964</v>
      </c>
      <c r="H340" s="239" t="s">
        <v>777</v>
      </c>
      <c r="I340" s="239" t="s">
        <v>399</v>
      </c>
      <c r="J340" s="234">
        <v>37740</v>
      </c>
      <c r="K340" s="234">
        <v>15030</v>
      </c>
      <c r="L340" s="242">
        <v>4</v>
      </c>
      <c r="M340" s="234">
        <v>22710</v>
      </c>
      <c r="N340" s="234">
        <v>21801.599999999999</v>
      </c>
      <c r="O340" s="243" t="s">
        <v>1518</v>
      </c>
      <c r="P340" s="236">
        <v>45898</v>
      </c>
    </row>
    <row r="341" spans="1:16" ht="51" customHeight="1">
      <c r="A341" s="239" t="s">
        <v>1411</v>
      </c>
      <c r="B341" s="240">
        <v>1311</v>
      </c>
      <c r="C341" s="241">
        <v>58535</v>
      </c>
      <c r="D341" s="239" t="s">
        <v>3818</v>
      </c>
      <c r="E341" s="239" t="s">
        <v>453</v>
      </c>
      <c r="F341" s="239" t="s">
        <v>454</v>
      </c>
      <c r="G341" s="239" t="s">
        <v>964</v>
      </c>
      <c r="H341" s="239" t="s">
        <v>777</v>
      </c>
      <c r="I341" s="239" t="s">
        <v>399</v>
      </c>
      <c r="J341" s="234">
        <v>47000</v>
      </c>
      <c r="K341" s="234">
        <v>24160</v>
      </c>
      <c r="L341" s="242">
        <v>6</v>
      </c>
      <c r="M341" s="234">
        <v>22840</v>
      </c>
      <c r="N341" s="234">
        <v>21469.599999999999</v>
      </c>
      <c r="O341" s="243" t="s">
        <v>1519</v>
      </c>
      <c r="P341" s="236">
        <v>45898</v>
      </c>
    </row>
    <row r="342" spans="1:16" ht="51" customHeight="1">
      <c r="A342" s="239" t="s">
        <v>1412</v>
      </c>
      <c r="B342" s="240">
        <v>1312</v>
      </c>
      <c r="C342" s="241">
        <v>58513</v>
      </c>
      <c r="D342" s="239" t="s">
        <v>3818</v>
      </c>
      <c r="E342" s="239" t="s">
        <v>456</v>
      </c>
      <c r="F342" s="239" t="s">
        <v>457</v>
      </c>
      <c r="G342" s="239" t="s">
        <v>964</v>
      </c>
      <c r="H342" s="239" t="s">
        <v>777</v>
      </c>
      <c r="I342" s="239" t="s">
        <v>399</v>
      </c>
      <c r="J342" s="234">
        <v>42350</v>
      </c>
      <c r="K342" s="234">
        <v>15590</v>
      </c>
      <c r="L342" s="242">
        <v>6</v>
      </c>
      <c r="M342" s="234">
        <v>26760</v>
      </c>
      <c r="N342" s="234">
        <v>25154.400000000001</v>
      </c>
      <c r="O342" s="243" t="s">
        <v>1520</v>
      </c>
      <c r="P342" s="236">
        <v>45898</v>
      </c>
    </row>
    <row r="343" spans="1:16" ht="51" customHeight="1">
      <c r="A343" s="239" t="s">
        <v>1413</v>
      </c>
      <c r="B343" s="240">
        <v>1314</v>
      </c>
      <c r="C343" s="241">
        <v>58537</v>
      </c>
      <c r="D343" s="239" t="s">
        <v>3818</v>
      </c>
      <c r="E343" s="239" t="s">
        <v>416</v>
      </c>
      <c r="F343" s="239" t="s">
        <v>417</v>
      </c>
      <c r="G343" s="239" t="s">
        <v>964</v>
      </c>
      <c r="H343" s="239" t="s">
        <v>777</v>
      </c>
      <c r="I343" s="239" t="s">
        <v>399</v>
      </c>
      <c r="J343" s="234">
        <v>36610</v>
      </c>
      <c r="K343" s="234">
        <v>14740</v>
      </c>
      <c r="L343" s="242">
        <v>6</v>
      </c>
      <c r="M343" s="234">
        <v>21870</v>
      </c>
      <c r="N343" s="234">
        <v>20557.8</v>
      </c>
      <c r="O343" s="243" t="s">
        <v>1521</v>
      </c>
      <c r="P343" s="236">
        <v>45898</v>
      </c>
    </row>
    <row r="344" spans="1:16" ht="51" customHeight="1">
      <c r="A344" s="239" t="s">
        <v>1414</v>
      </c>
      <c r="B344" s="240">
        <v>1315</v>
      </c>
      <c r="C344" s="241">
        <v>58539</v>
      </c>
      <c r="D344" s="239" t="s">
        <v>3818</v>
      </c>
      <c r="E344" s="239" t="s">
        <v>420</v>
      </c>
      <c r="F344" s="239" t="s">
        <v>421</v>
      </c>
      <c r="G344" s="239" t="s">
        <v>964</v>
      </c>
      <c r="H344" s="239" t="s">
        <v>777</v>
      </c>
      <c r="I344" s="239" t="s">
        <v>399</v>
      </c>
      <c r="J344" s="234">
        <v>37510</v>
      </c>
      <c r="K344" s="234">
        <v>14910</v>
      </c>
      <c r="L344" s="242">
        <v>8</v>
      </c>
      <c r="M344" s="234">
        <v>22600</v>
      </c>
      <c r="N344" s="234">
        <v>20792</v>
      </c>
      <c r="O344" s="243" t="s">
        <v>1522</v>
      </c>
      <c r="P344" s="236">
        <v>45898</v>
      </c>
    </row>
    <row r="345" spans="1:16" ht="51" customHeight="1">
      <c r="A345" s="239" t="s">
        <v>1415</v>
      </c>
      <c r="B345" s="240">
        <v>1332</v>
      </c>
      <c r="C345" s="241">
        <v>58542</v>
      </c>
      <c r="D345" s="239" t="s">
        <v>3818</v>
      </c>
      <c r="E345" s="239" t="s">
        <v>866</v>
      </c>
      <c r="F345" s="239" t="s">
        <v>867</v>
      </c>
      <c r="G345" s="239" t="s">
        <v>964</v>
      </c>
      <c r="H345" s="239" t="s">
        <v>777</v>
      </c>
      <c r="I345" s="239" t="s">
        <v>399</v>
      </c>
      <c r="J345" s="234">
        <v>38140</v>
      </c>
      <c r="K345" s="234">
        <v>14430</v>
      </c>
      <c r="L345" s="242">
        <v>6</v>
      </c>
      <c r="M345" s="234">
        <v>23710</v>
      </c>
      <c r="N345" s="234">
        <v>22287.4</v>
      </c>
      <c r="O345" s="243" t="s">
        <v>1523</v>
      </c>
      <c r="P345" s="236">
        <v>45898</v>
      </c>
    </row>
    <row r="346" spans="1:16" ht="51" customHeight="1">
      <c r="A346" s="239" t="s">
        <v>1416</v>
      </c>
      <c r="B346" s="240">
        <v>1333</v>
      </c>
      <c r="C346" s="241">
        <v>58544</v>
      </c>
      <c r="D346" s="239" t="s">
        <v>3818</v>
      </c>
      <c r="E346" s="239" t="s">
        <v>369</v>
      </c>
      <c r="F346" s="239" t="s">
        <v>370</v>
      </c>
      <c r="G346" s="239" t="s">
        <v>964</v>
      </c>
      <c r="H346" s="239" t="s">
        <v>777</v>
      </c>
      <c r="I346" s="239" t="s">
        <v>399</v>
      </c>
      <c r="J346" s="234">
        <v>38140</v>
      </c>
      <c r="K346" s="234">
        <v>15040</v>
      </c>
      <c r="L346" s="242">
        <v>5</v>
      </c>
      <c r="M346" s="234">
        <v>23100</v>
      </c>
      <c r="N346" s="234">
        <v>21945</v>
      </c>
      <c r="O346" s="243" t="s">
        <v>1524</v>
      </c>
      <c r="P346" s="236">
        <v>45898</v>
      </c>
    </row>
    <row r="347" spans="1:16" ht="51" customHeight="1">
      <c r="A347" s="239" t="s">
        <v>1418</v>
      </c>
      <c r="B347" s="240">
        <v>1335</v>
      </c>
      <c r="C347" s="241">
        <v>58509</v>
      </c>
      <c r="D347" s="239" t="s">
        <v>3818</v>
      </c>
      <c r="E347" s="239" t="s">
        <v>406</v>
      </c>
      <c r="F347" s="239" t="s">
        <v>407</v>
      </c>
      <c r="G347" s="239" t="s">
        <v>964</v>
      </c>
      <c r="H347" s="239" t="s">
        <v>777</v>
      </c>
      <c r="I347" s="239" t="s">
        <v>399</v>
      </c>
      <c r="J347" s="234">
        <v>38340</v>
      </c>
      <c r="K347" s="234">
        <v>15030</v>
      </c>
      <c r="L347" s="242">
        <v>6</v>
      </c>
      <c r="M347" s="234">
        <v>23310</v>
      </c>
      <c r="N347" s="234">
        <v>21911.4</v>
      </c>
      <c r="O347" s="243" t="s">
        <v>1526</v>
      </c>
      <c r="P347" s="236">
        <v>45898</v>
      </c>
    </row>
    <row r="348" spans="1:16" ht="51" customHeight="1">
      <c r="A348" s="239" t="s">
        <v>1421</v>
      </c>
      <c r="B348" s="240">
        <v>1336</v>
      </c>
      <c r="C348" s="241">
        <v>58511</v>
      </c>
      <c r="D348" s="239" t="s">
        <v>3818</v>
      </c>
      <c r="E348" s="239" t="s">
        <v>1422</v>
      </c>
      <c r="F348" s="239" t="s">
        <v>404</v>
      </c>
      <c r="G348" s="239" t="s">
        <v>964</v>
      </c>
      <c r="H348" s="239" t="s">
        <v>777</v>
      </c>
      <c r="I348" s="239" t="s">
        <v>399</v>
      </c>
      <c r="J348" s="234">
        <v>37500</v>
      </c>
      <c r="K348" s="234">
        <v>14450</v>
      </c>
      <c r="L348" s="242">
        <v>8</v>
      </c>
      <c r="M348" s="234">
        <v>23050</v>
      </c>
      <c r="N348" s="234">
        <v>21206</v>
      </c>
      <c r="O348" s="243" t="s">
        <v>1529</v>
      </c>
      <c r="P348" s="236">
        <v>45898</v>
      </c>
    </row>
    <row r="349" spans="1:16" ht="51" customHeight="1">
      <c r="A349" s="239" t="s">
        <v>1423</v>
      </c>
      <c r="B349" s="240">
        <v>1337</v>
      </c>
      <c r="C349" s="241">
        <v>58546</v>
      </c>
      <c r="D349" s="239" t="s">
        <v>3818</v>
      </c>
      <c r="E349" s="239" t="s">
        <v>386</v>
      </c>
      <c r="F349" s="239" t="s">
        <v>387</v>
      </c>
      <c r="G349" s="239" t="s">
        <v>964</v>
      </c>
      <c r="H349" s="239" t="s">
        <v>777</v>
      </c>
      <c r="I349" s="239" t="s">
        <v>399</v>
      </c>
      <c r="J349" s="234">
        <v>38710</v>
      </c>
      <c r="K349" s="234">
        <v>15400</v>
      </c>
      <c r="L349" s="242">
        <v>4</v>
      </c>
      <c r="M349" s="234">
        <v>23310</v>
      </c>
      <c r="N349" s="234">
        <v>22377.599999999999</v>
      </c>
      <c r="O349" s="243" t="s">
        <v>1530</v>
      </c>
      <c r="P349" s="236">
        <v>45898</v>
      </c>
    </row>
    <row r="350" spans="1:16" ht="51" customHeight="1">
      <c r="A350" s="239" t="s">
        <v>1417</v>
      </c>
      <c r="B350" s="240">
        <v>1338</v>
      </c>
      <c r="C350" s="241">
        <v>58548</v>
      </c>
      <c r="D350" s="239" t="s">
        <v>3818</v>
      </c>
      <c r="E350" s="239" t="s">
        <v>372</v>
      </c>
      <c r="F350" s="239" t="s">
        <v>373</v>
      </c>
      <c r="G350" s="239" t="s">
        <v>964</v>
      </c>
      <c r="H350" s="239" t="s">
        <v>777</v>
      </c>
      <c r="I350" s="239" t="s">
        <v>399</v>
      </c>
      <c r="J350" s="234">
        <v>39510</v>
      </c>
      <c r="K350" s="234">
        <v>14930</v>
      </c>
      <c r="L350" s="242">
        <v>7</v>
      </c>
      <c r="M350" s="234">
        <v>24580</v>
      </c>
      <c r="N350" s="234">
        <v>22859.4</v>
      </c>
      <c r="O350" s="243" t="s">
        <v>1525</v>
      </c>
      <c r="P350" s="236">
        <v>45898</v>
      </c>
    </row>
    <row r="351" spans="1:16" ht="51" customHeight="1">
      <c r="A351" s="239" t="s">
        <v>1419</v>
      </c>
      <c r="B351" s="240">
        <v>1339</v>
      </c>
      <c r="C351" s="241">
        <v>58552</v>
      </c>
      <c r="D351" s="239" t="s">
        <v>3818</v>
      </c>
      <c r="E351" s="239" t="s">
        <v>413</v>
      </c>
      <c r="F351" s="239" t="s">
        <v>414</v>
      </c>
      <c r="G351" s="239" t="s">
        <v>964</v>
      </c>
      <c r="H351" s="239" t="s">
        <v>777</v>
      </c>
      <c r="I351" s="239" t="s">
        <v>399</v>
      </c>
      <c r="J351" s="234">
        <v>39920</v>
      </c>
      <c r="K351" s="234">
        <v>14980</v>
      </c>
      <c r="L351" s="242">
        <v>9</v>
      </c>
      <c r="M351" s="234">
        <v>24940</v>
      </c>
      <c r="N351" s="234">
        <v>22695.4</v>
      </c>
      <c r="O351" s="243" t="s">
        <v>1527</v>
      </c>
      <c r="P351" s="236">
        <v>45898</v>
      </c>
    </row>
    <row r="352" spans="1:16" ht="51" customHeight="1">
      <c r="A352" s="239" t="s">
        <v>1420</v>
      </c>
      <c r="B352" s="240">
        <v>1340</v>
      </c>
      <c r="C352" s="241">
        <v>58550</v>
      </c>
      <c r="D352" s="239" t="s">
        <v>3818</v>
      </c>
      <c r="E352" s="239" t="s">
        <v>429</v>
      </c>
      <c r="F352" s="239" t="s">
        <v>430</v>
      </c>
      <c r="G352" s="239" t="s">
        <v>964</v>
      </c>
      <c r="H352" s="239" t="s">
        <v>777</v>
      </c>
      <c r="I352" s="239" t="s">
        <v>399</v>
      </c>
      <c r="J352" s="234">
        <v>37500</v>
      </c>
      <c r="K352" s="234">
        <v>14230</v>
      </c>
      <c r="L352" s="242">
        <v>6</v>
      </c>
      <c r="M352" s="234">
        <v>23270</v>
      </c>
      <c r="N352" s="234">
        <v>21873.8</v>
      </c>
      <c r="O352" s="243" t="s">
        <v>1528</v>
      </c>
      <c r="P352" s="236">
        <v>45898</v>
      </c>
    </row>
    <row r="353" spans="1:16" ht="51" customHeight="1">
      <c r="A353" s="239" t="s">
        <v>1424</v>
      </c>
      <c r="B353" s="240">
        <v>1341</v>
      </c>
      <c r="C353" s="241">
        <v>58554</v>
      </c>
      <c r="D353" s="239" t="s">
        <v>3818</v>
      </c>
      <c r="E353" s="239" t="s">
        <v>374</v>
      </c>
      <c r="F353" s="239" t="s">
        <v>375</v>
      </c>
      <c r="G353" s="239" t="s">
        <v>964</v>
      </c>
      <c r="H353" s="239" t="s">
        <v>777</v>
      </c>
      <c r="I353" s="239" t="s">
        <v>399</v>
      </c>
      <c r="J353" s="234">
        <v>38670</v>
      </c>
      <c r="K353" s="234">
        <v>15590</v>
      </c>
      <c r="L353" s="242">
        <v>8</v>
      </c>
      <c r="M353" s="234">
        <v>23080</v>
      </c>
      <c r="N353" s="234">
        <v>21233.599999999999</v>
      </c>
      <c r="O353" s="243" t="s">
        <v>1531</v>
      </c>
      <c r="P353" s="236">
        <v>45899</v>
      </c>
    </row>
    <row r="354" spans="1:16" ht="51" customHeight="1">
      <c r="A354" s="239" t="s">
        <v>1425</v>
      </c>
      <c r="B354" s="240">
        <v>1342</v>
      </c>
      <c r="C354" s="241">
        <v>58556</v>
      </c>
      <c r="D354" s="239" t="s">
        <v>3818</v>
      </c>
      <c r="E354" s="239" t="s">
        <v>858</v>
      </c>
      <c r="F354" s="239" t="s">
        <v>859</v>
      </c>
      <c r="G354" s="239" t="s">
        <v>964</v>
      </c>
      <c r="H354" s="239" t="s">
        <v>777</v>
      </c>
      <c r="I354" s="239" t="s">
        <v>399</v>
      </c>
      <c r="J354" s="234">
        <v>37010</v>
      </c>
      <c r="K354" s="234">
        <v>14710</v>
      </c>
      <c r="L354" s="242">
        <v>3</v>
      </c>
      <c r="M354" s="234">
        <v>22300</v>
      </c>
      <c r="N354" s="234">
        <v>21631</v>
      </c>
      <c r="O354" s="243" t="s">
        <v>1532</v>
      </c>
      <c r="P354" s="236">
        <v>45899</v>
      </c>
    </row>
    <row r="355" spans="1:16" ht="51" customHeight="1">
      <c r="A355" s="239" t="s">
        <v>1426</v>
      </c>
      <c r="B355" s="240">
        <v>1343</v>
      </c>
      <c r="C355" s="241">
        <v>58558</v>
      </c>
      <c r="D355" s="239" t="s">
        <v>3818</v>
      </c>
      <c r="E355" s="239" t="s">
        <v>462</v>
      </c>
      <c r="F355" s="239" t="s">
        <v>463</v>
      </c>
      <c r="G355" s="239" t="s">
        <v>964</v>
      </c>
      <c r="H355" s="239" t="s">
        <v>777</v>
      </c>
      <c r="I355" s="239" t="s">
        <v>399</v>
      </c>
      <c r="J355" s="234">
        <v>40570</v>
      </c>
      <c r="K355" s="234">
        <v>16370</v>
      </c>
      <c r="L355" s="242">
        <v>5</v>
      </c>
      <c r="M355" s="234">
        <v>24200</v>
      </c>
      <c r="N355" s="234">
        <v>22990</v>
      </c>
      <c r="O355" s="243" t="s">
        <v>1533</v>
      </c>
      <c r="P355" s="236">
        <v>45899</v>
      </c>
    </row>
    <row r="356" spans="1:16" ht="51" customHeight="1">
      <c r="A356" s="239" t="s">
        <v>1427</v>
      </c>
      <c r="B356" s="240">
        <v>1345</v>
      </c>
      <c r="C356" s="241">
        <v>58560</v>
      </c>
      <c r="D356" s="239" t="s">
        <v>3818</v>
      </c>
      <c r="E356" s="239" t="s">
        <v>447</v>
      </c>
      <c r="F356" s="239" t="s">
        <v>448</v>
      </c>
      <c r="G356" s="239" t="s">
        <v>964</v>
      </c>
      <c r="H356" s="239" t="s">
        <v>777</v>
      </c>
      <c r="I356" s="239" t="s">
        <v>399</v>
      </c>
      <c r="J356" s="234">
        <v>45080</v>
      </c>
      <c r="K356" s="234">
        <v>19250</v>
      </c>
      <c r="L356" s="242">
        <v>9</v>
      </c>
      <c r="M356" s="234">
        <v>25830</v>
      </c>
      <c r="N356" s="234">
        <v>23505.3</v>
      </c>
      <c r="O356" s="243" t="s">
        <v>1534</v>
      </c>
      <c r="P356" s="236">
        <v>45899</v>
      </c>
    </row>
    <row r="357" spans="1:16" ht="51" customHeight="1">
      <c r="A357" s="239" t="s">
        <v>1428</v>
      </c>
      <c r="B357" s="240">
        <v>1346</v>
      </c>
      <c r="C357" s="241">
        <v>58562</v>
      </c>
      <c r="D357" s="239" t="s">
        <v>3818</v>
      </c>
      <c r="E357" s="239" t="s">
        <v>472</v>
      </c>
      <c r="F357" s="239" t="s">
        <v>473</v>
      </c>
      <c r="G357" s="239" t="s">
        <v>964</v>
      </c>
      <c r="H357" s="239" t="s">
        <v>777</v>
      </c>
      <c r="I357" s="239" t="s">
        <v>399</v>
      </c>
      <c r="J357" s="234">
        <v>40030</v>
      </c>
      <c r="K357" s="234">
        <v>16630</v>
      </c>
      <c r="L357" s="242">
        <v>7</v>
      </c>
      <c r="M357" s="234">
        <v>23400</v>
      </c>
      <c r="N357" s="234">
        <v>21762</v>
      </c>
      <c r="O357" s="243" t="s">
        <v>1535</v>
      </c>
      <c r="P357" s="236">
        <v>45899</v>
      </c>
    </row>
    <row r="358" spans="1:16" ht="51" customHeight="1">
      <c r="A358" s="239" t="s">
        <v>1429</v>
      </c>
      <c r="B358" s="240">
        <v>1347</v>
      </c>
      <c r="C358" s="241">
        <v>58579</v>
      </c>
      <c r="D358" s="239" t="s">
        <v>3818</v>
      </c>
      <c r="E358" s="239" t="s">
        <v>380</v>
      </c>
      <c r="F358" s="239" t="s">
        <v>381</v>
      </c>
      <c r="G358" s="239" t="s">
        <v>964</v>
      </c>
      <c r="H358" s="239" t="s">
        <v>777</v>
      </c>
      <c r="I358" s="239" t="s">
        <v>399</v>
      </c>
      <c r="J358" s="234">
        <v>38330</v>
      </c>
      <c r="K358" s="234">
        <v>15050</v>
      </c>
      <c r="L358" s="242">
        <v>5</v>
      </c>
      <c r="M358" s="234">
        <v>23280</v>
      </c>
      <c r="N358" s="234">
        <v>22116</v>
      </c>
      <c r="O358" s="243" t="s">
        <v>1536</v>
      </c>
      <c r="P358" s="236">
        <v>45899</v>
      </c>
    </row>
    <row r="359" spans="1:16" ht="51" customHeight="1">
      <c r="A359" s="239" t="s">
        <v>1431</v>
      </c>
      <c r="B359" s="240">
        <v>1348</v>
      </c>
      <c r="C359" s="241">
        <v>58573</v>
      </c>
      <c r="D359" s="239" t="s">
        <v>3818</v>
      </c>
      <c r="E359" s="239" t="s">
        <v>475</v>
      </c>
      <c r="F359" s="239" t="s">
        <v>476</v>
      </c>
      <c r="G359" s="239" t="s">
        <v>964</v>
      </c>
      <c r="H359" s="239" t="s">
        <v>777</v>
      </c>
      <c r="I359" s="239" t="s">
        <v>399</v>
      </c>
      <c r="J359" s="234">
        <v>39890</v>
      </c>
      <c r="K359" s="234">
        <v>16530</v>
      </c>
      <c r="L359" s="242">
        <v>5</v>
      </c>
      <c r="M359" s="234">
        <v>23360</v>
      </c>
      <c r="N359" s="234">
        <v>22192</v>
      </c>
      <c r="O359" s="243" t="s">
        <v>1538</v>
      </c>
      <c r="P359" s="236">
        <v>45899</v>
      </c>
    </row>
    <row r="360" spans="1:16" ht="51" customHeight="1">
      <c r="A360" s="239" t="s">
        <v>1430</v>
      </c>
      <c r="B360" s="240">
        <v>1349</v>
      </c>
      <c r="C360" s="241">
        <v>58600</v>
      </c>
      <c r="D360" s="239" t="s">
        <v>3818</v>
      </c>
      <c r="E360" s="239" t="s">
        <v>400</v>
      </c>
      <c r="F360" s="239" t="s">
        <v>401</v>
      </c>
      <c r="G360" s="239" t="s">
        <v>964</v>
      </c>
      <c r="H360" s="239" t="s">
        <v>777</v>
      </c>
      <c r="I360" s="239" t="s">
        <v>399</v>
      </c>
      <c r="J360" s="234">
        <v>37300</v>
      </c>
      <c r="K360" s="234">
        <v>14700</v>
      </c>
      <c r="L360" s="242">
        <v>5</v>
      </c>
      <c r="M360" s="234">
        <v>22600</v>
      </c>
      <c r="N360" s="234">
        <v>21470</v>
      </c>
      <c r="O360" s="243" t="s">
        <v>1537</v>
      </c>
      <c r="P360" s="236">
        <v>45899</v>
      </c>
    </row>
    <row r="361" spans="1:16" ht="51" customHeight="1">
      <c r="A361" s="239" t="s">
        <v>1432</v>
      </c>
      <c r="B361" s="240">
        <v>1350</v>
      </c>
      <c r="C361" s="241">
        <v>58581</v>
      </c>
      <c r="D361" s="239" t="s">
        <v>3818</v>
      </c>
      <c r="E361" s="239" t="s">
        <v>439</v>
      </c>
      <c r="F361" s="239" t="s">
        <v>440</v>
      </c>
      <c r="G361" s="239" t="s">
        <v>964</v>
      </c>
      <c r="H361" s="239" t="s">
        <v>777</v>
      </c>
      <c r="I361" s="239" t="s">
        <v>399</v>
      </c>
      <c r="J361" s="234">
        <v>38480</v>
      </c>
      <c r="K361" s="234">
        <v>14960</v>
      </c>
      <c r="L361" s="242">
        <v>6</v>
      </c>
      <c r="M361" s="234">
        <v>23520</v>
      </c>
      <c r="N361" s="234">
        <v>22108.799999999999</v>
      </c>
      <c r="O361" s="243" t="s">
        <v>1539</v>
      </c>
      <c r="P361" s="236">
        <v>45899</v>
      </c>
    </row>
    <row r="362" spans="1:16" ht="51" customHeight="1">
      <c r="A362" s="239" t="s">
        <v>1433</v>
      </c>
      <c r="B362" s="240">
        <v>1356</v>
      </c>
      <c r="C362" s="241">
        <v>58604</v>
      </c>
      <c r="D362" s="239" t="s">
        <v>3818</v>
      </c>
      <c r="E362" s="239" t="s">
        <v>794</v>
      </c>
      <c r="F362" s="239" t="s">
        <v>795</v>
      </c>
      <c r="G362" s="239" t="s">
        <v>964</v>
      </c>
      <c r="H362" s="239" t="s">
        <v>777</v>
      </c>
      <c r="I362" s="239" t="s">
        <v>399</v>
      </c>
      <c r="J362" s="234">
        <v>41450</v>
      </c>
      <c r="K362" s="234">
        <v>16100</v>
      </c>
      <c r="L362" s="242">
        <v>10</v>
      </c>
      <c r="M362" s="234">
        <v>25350</v>
      </c>
      <c r="N362" s="234">
        <v>22815</v>
      </c>
      <c r="O362" s="243" t="s">
        <v>1540</v>
      </c>
      <c r="P362" s="236">
        <v>45899</v>
      </c>
    </row>
    <row r="363" spans="1:16" ht="51" customHeight="1">
      <c r="A363" s="239" t="s">
        <v>1434</v>
      </c>
      <c r="B363" s="240">
        <v>1357</v>
      </c>
      <c r="C363" s="241">
        <v>58606</v>
      </c>
      <c r="D363" s="239" t="s">
        <v>3818</v>
      </c>
      <c r="E363" s="239" t="s">
        <v>432</v>
      </c>
      <c r="F363" s="239" t="s">
        <v>433</v>
      </c>
      <c r="G363" s="239" t="s">
        <v>964</v>
      </c>
      <c r="H363" s="239" t="s">
        <v>777</v>
      </c>
      <c r="I363" s="239" t="s">
        <v>399</v>
      </c>
      <c r="J363" s="234">
        <v>39380</v>
      </c>
      <c r="K363" s="234">
        <v>15570</v>
      </c>
      <c r="L363" s="242">
        <v>7</v>
      </c>
      <c r="M363" s="234">
        <v>23810</v>
      </c>
      <c r="N363" s="234">
        <v>22143.3</v>
      </c>
      <c r="O363" s="243" t="s">
        <v>1541</v>
      </c>
      <c r="P363" s="236">
        <v>45899</v>
      </c>
    </row>
    <row r="364" spans="1:16" ht="51" customHeight="1">
      <c r="A364" s="239" t="s">
        <v>1435</v>
      </c>
      <c r="B364" s="240">
        <v>1358</v>
      </c>
      <c r="C364" s="241">
        <v>58616</v>
      </c>
      <c r="D364" s="239" t="s">
        <v>3818</v>
      </c>
      <c r="E364" s="239" t="s">
        <v>841</v>
      </c>
      <c r="F364" s="239" t="s">
        <v>845</v>
      </c>
      <c r="G364" s="239" t="s">
        <v>964</v>
      </c>
      <c r="H364" s="239" t="s">
        <v>777</v>
      </c>
      <c r="I364" s="239" t="s">
        <v>399</v>
      </c>
      <c r="J364" s="234">
        <v>40820</v>
      </c>
      <c r="K364" s="234">
        <v>15930</v>
      </c>
      <c r="L364" s="242">
        <v>8</v>
      </c>
      <c r="M364" s="234">
        <v>24890</v>
      </c>
      <c r="N364" s="234">
        <v>22898.799999999999</v>
      </c>
      <c r="O364" s="243" t="s">
        <v>1542</v>
      </c>
      <c r="P364" s="236">
        <v>45899</v>
      </c>
    </row>
    <row r="365" spans="1:16" ht="51" customHeight="1">
      <c r="A365" s="239" t="s">
        <v>1436</v>
      </c>
      <c r="B365" s="240">
        <v>1360</v>
      </c>
      <c r="C365" s="241">
        <v>58618</v>
      </c>
      <c r="D365" s="239" t="s">
        <v>3818</v>
      </c>
      <c r="E365" s="239" t="s">
        <v>377</v>
      </c>
      <c r="F365" s="239" t="s">
        <v>378</v>
      </c>
      <c r="G365" s="239" t="s">
        <v>964</v>
      </c>
      <c r="H365" s="239" t="s">
        <v>777</v>
      </c>
      <c r="I365" s="239" t="s">
        <v>399</v>
      </c>
      <c r="J365" s="234">
        <v>41880</v>
      </c>
      <c r="K365" s="234">
        <v>15140</v>
      </c>
      <c r="L365" s="242">
        <v>7</v>
      </c>
      <c r="M365" s="234">
        <v>26740</v>
      </c>
      <c r="N365" s="234">
        <v>24868.2</v>
      </c>
      <c r="O365" s="243" t="s">
        <v>1543</v>
      </c>
      <c r="P365" s="236">
        <v>45899</v>
      </c>
    </row>
    <row r="366" spans="1:16" ht="51" customHeight="1">
      <c r="A366" s="239" t="s">
        <v>1437</v>
      </c>
      <c r="B366" s="240">
        <v>1362</v>
      </c>
      <c r="C366" s="241">
        <v>58620</v>
      </c>
      <c r="D366" s="239" t="s">
        <v>3818</v>
      </c>
      <c r="E366" s="239" t="s">
        <v>783</v>
      </c>
      <c r="F366" s="239" t="s">
        <v>784</v>
      </c>
      <c r="G366" s="239" t="s">
        <v>964</v>
      </c>
      <c r="H366" s="239" t="s">
        <v>777</v>
      </c>
      <c r="I366" s="239" t="s">
        <v>399</v>
      </c>
      <c r="J366" s="234">
        <v>39830</v>
      </c>
      <c r="K366" s="234">
        <v>14600</v>
      </c>
      <c r="L366" s="242">
        <v>6</v>
      </c>
      <c r="M366" s="234">
        <v>25230</v>
      </c>
      <c r="N366" s="234">
        <v>23716.2</v>
      </c>
      <c r="O366" s="243" t="s">
        <v>1544</v>
      </c>
      <c r="P366" s="236">
        <v>45899</v>
      </c>
    </row>
    <row r="367" spans="1:16" ht="51" customHeight="1">
      <c r="A367" s="239" t="s">
        <v>1438</v>
      </c>
      <c r="B367" s="240">
        <v>1363</v>
      </c>
      <c r="C367" s="241">
        <v>58624</v>
      </c>
      <c r="D367" s="239" t="s">
        <v>3818</v>
      </c>
      <c r="E367" s="239" t="s">
        <v>388</v>
      </c>
      <c r="F367" s="239" t="s">
        <v>389</v>
      </c>
      <c r="G367" s="239" t="s">
        <v>964</v>
      </c>
      <c r="H367" s="239" t="s">
        <v>777</v>
      </c>
      <c r="I367" s="239" t="s">
        <v>399</v>
      </c>
      <c r="J367" s="234">
        <v>45060</v>
      </c>
      <c r="K367" s="234">
        <v>20930</v>
      </c>
      <c r="L367" s="242">
        <v>11</v>
      </c>
      <c r="M367" s="234">
        <v>24130</v>
      </c>
      <c r="N367" s="234">
        <v>21475.7</v>
      </c>
      <c r="O367" s="243" t="s">
        <v>1545</v>
      </c>
      <c r="P367" s="236">
        <v>45899</v>
      </c>
    </row>
    <row r="368" spans="1:16" ht="51" customHeight="1">
      <c r="A368" s="239" t="s">
        <v>1439</v>
      </c>
      <c r="B368" s="240">
        <v>1364</v>
      </c>
      <c r="C368" s="241">
        <v>58626</v>
      </c>
      <c r="D368" s="239" t="s">
        <v>3818</v>
      </c>
      <c r="E368" s="239" t="s">
        <v>791</v>
      </c>
      <c r="F368" s="239" t="s">
        <v>792</v>
      </c>
      <c r="G368" s="239" t="s">
        <v>964</v>
      </c>
      <c r="H368" s="239" t="s">
        <v>48</v>
      </c>
      <c r="I368" s="239" t="s">
        <v>399</v>
      </c>
      <c r="J368" s="234">
        <v>40770</v>
      </c>
      <c r="K368" s="234">
        <v>14940</v>
      </c>
      <c r="L368" s="242">
        <v>12</v>
      </c>
      <c r="M368" s="234">
        <v>25830</v>
      </c>
      <c r="N368" s="234">
        <v>22730.400000000001</v>
      </c>
      <c r="O368" s="243" t="s">
        <v>1546</v>
      </c>
      <c r="P368" s="236">
        <v>45899</v>
      </c>
    </row>
    <row r="369" spans="1:16" ht="51" customHeight="1">
      <c r="A369" s="239" t="s">
        <v>1440</v>
      </c>
      <c r="B369" s="240">
        <v>1365</v>
      </c>
      <c r="C369" s="241">
        <v>58628</v>
      </c>
      <c r="D369" s="239" t="s">
        <v>3818</v>
      </c>
      <c r="E369" s="239" t="s">
        <v>382</v>
      </c>
      <c r="F369" s="239" t="s">
        <v>383</v>
      </c>
      <c r="G369" s="239" t="s">
        <v>964</v>
      </c>
      <c r="H369" s="239" t="s">
        <v>48</v>
      </c>
      <c r="I369" s="239" t="s">
        <v>399</v>
      </c>
      <c r="J369" s="234">
        <v>37480</v>
      </c>
      <c r="K369" s="234">
        <v>14540</v>
      </c>
      <c r="L369" s="242">
        <v>13</v>
      </c>
      <c r="M369" s="234">
        <v>22940</v>
      </c>
      <c r="N369" s="234">
        <v>19957.8</v>
      </c>
      <c r="O369" s="243" t="s">
        <v>1547</v>
      </c>
      <c r="P369" s="236">
        <v>45899</v>
      </c>
    </row>
    <row r="370" spans="1:16" ht="51" customHeight="1">
      <c r="A370" s="239" t="s">
        <v>1442</v>
      </c>
      <c r="B370" s="240">
        <v>1367</v>
      </c>
      <c r="C370" s="241">
        <v>58632</v>
      </c>
      <c r="D370" s="239" t="s">
        <v>3818</v>
      </c>
      <c r="E370" s="239" t="s">
        <v>1403</v>
      </c>
      <c r="F370" s="239" t="s">
        <v>1404</v>
      </c>
      <c r="G370" s="239" t="s">
        <v>964</v>
      </c>
      <c r="H370" s="239" t="s">
        <v>48</v>
      </c>
      <c r="I370" s="239" t="s">
        <v>399</v>
      </c>
      <c r="J370" s="234">
        <v>38810</v>
      </c>
      <c r="K370" s="234">
        <v>14800</v>
      </c>
      <c r="L370" s="242">
        <v>9</v>
      </c>
      <c r="M370" s="234">
        <v>24010</v>
      </c>
      <c r="N370" s="234">
        <v>21849.1</v>
      </c>
      <c r="O370" s="243" t="s">
        <v>1549</v>
      </c>
      <c r="P370" s="236">
        <v>45900</v>
      </c>
    </row>
    <row r="371" spans="1:16" ht="51" customHeight="1">
      <c r="A371" s="239" t="s">
        <v>1441</v>
      </c>
      <c r="B371" s="240">
        <v>1366</v>
      </c>
      <c r="C371" s="241">
        <v>58630</v>
      </c>
      <c r="D371" s="239" t="s">
        <v>3818</v>
      </c>
      <c r="E371" s="239" t="s">
        <v>1397</v>
      </c>
      <c r="F371" s="239" t="s">
        <v>1398</v>
      </c>
      <c r="G371" s="239" t="s">
        <v>964</v>
      </c>
      <c r="H371" s="239" t="s">
        <v>48</v>
      </c>
      <c r="I371" s="239" t="s">
        <v>399</v>
      </c>
      <c r="J371" s="234">
        <v>41850</v>
      </c>
      <c r="K371" s="234">
        <v>17020</v>
      </c>
      <c r="L371" s="242">
        <v>8</v>
      </c>
      <c r="M371" s="234">
        <v>24830</v>
      </c>
      <c r="N371" s="234">
        <v>22843.599999999999</v>
      </c>
      <c r="O371" s="243" t="s">
        <v>1548</v>
      </c>
      <c r="P371" s="236">
        <v>45899</v>
      </c>
    </row>
    <row r="372" spans="1:16" ht="51" customHeight="1">
      <c r="A372" s="239" t="s">
        <v>1443</v>
      </c>
      <c r="B372" s="240">
        <v>1368</v>
      </c>
      <c r="C372" s="241">
        <v>58634</v>
      </c>
      <c r="D372" s="239" t="s">
        <v>3818</v>
      </c>
      <c r="E372" s="239" t="s">
        <v>1400</v>
      </c>
      <c r="F372" s="239" t="s">
        <v>1401</v>
      </c>
      <c r="G372" s="239" t="s">
        <v>964</v>
      </c>
      <c r="H372" s="239" t="s">
        <v>48</v>
      </c>
      <c r="I372" s="239" t="s">
        <v>399</v>
      </c>
      <c r="J372" s="234">
        <v>36860</v>
      </c>
      <c r="K372" s="234">
        <v>14770</v>
      </c>
      <c r="L372" s="242">
        <v>9</v>
      </c>
      <c r="M372" s="234">
        <v>22090</v>
      </c>
      <c r="N372" s="234">
        <v>20101.900000000001</v>
      </c>
      <c r="O372" s="243" t="s">
        <v>1550</v>
      </c>
      <c r="P372" s="236">
        <v>45900</v>
      </c>
    </row>
    <row r="373" spans="1:16" ht="51" customHeight="1">
      <c r="A373" s="239" t="s">
        <v>1444</v>
      </c>
      <c r="B373" s="240">
        <v>1369</v>
      </c>
      <c r="C373" s="241">
        <v>58636</v>
      </c>
      <c r="D373" s="239" t="s">
        <v>3818</v>
      </c>
      <c r="E373" s="239" t="s">
        <v>453</v>
      </c>
      <c r="F373" s="239" t="s">
        <v>454</v>
      </c>
      <c r="G373" s="239" t="s">
        <v>964</v>
      </c>
      <c r="H373" s="239" t="s">
        <v>48</v>
      </c>
      <c r="I373" s="239" t="s">
        <v>399</v>
      </c>
      <c r="J373" s="234">
        <v>47140</v>
      </c>
      <c r="K373" s="234">
        <v>24020</v>
      </c>
      <c r="L373" s="242">
        <v>9</v>
      </c>
      <c r="M373" s="234">
        <v>23120</v>
      </c>
      <c r="N373" s="234">
        <v>21039.200000000001</v>
      </c>
      <c r="O373" s="243" t="s">
        <v>1551</v>
      </c>
      <c r="P373" s="236">
        <v>45900</v>
      </c>
    </row>
    <row r="374" spans="1:16" ht="51" customHeight="1">
      <c r="A374" s="239" t="s">
        <v>1445</v>
      </c>
      <c r="B374" s="240">
        <v>1370</v>
      </c>
      <c r="C374" s="241">
        <v>58638</v>
      </c>
      <c r="D374" s="239" t="s">
        <v>3818</v>
      </c>
      <c r="E374" s="239" t="s">
        <v>456</v>
      </c>
      <c r="F374" s="239" t="s">
        <v>457</v>
      </c>
      <c r="G374" s="239" t="s">
        <v>964</v>
      </c>
      <c r="H374" s="239" t="s">
        <v>48</v>
      </c>
      <c r="I374" s="239" t="s">
        <v>399</v>
      </c>
      <c r="J374" s="234">
        <v>43170</v>
      </c>
      <c r="K374" s="234">
        <v>15520</v>
      </c>
      <c r="L374" s="242">
        <v>12</v>
      </c>
      <c r="M374" s="234">
        <v>27650</v>
      </c>
      <c r="N374" s="234">
        <v>24332</v>
      </c>
      <c r="O374" s="243" t="s">
        <v>1552</v>
      </c>
      <c r="P374" s="236">
        <v>45900</v>
      </c>
    </row>
    <row r="375" spans="1:16" ht="51" customHeight="1">
      <c r="A375" s="239" t="s">
        <v>1446</v>
      </c>
      <c r="B375" s="240">
        <v>1371</v>
      </c>
      <c r="C375" s="241">
        <v>58640</v>
      </c>
      <c r="D375" s="239" t="s">
        <v>3818</v>
      </c>
      <c r="E375" s="239" t="s">
        <v>416</v>
      </c>
      <c r="F375" s="239" t="s">
        <v>417</v>
      </c>
      <c r="G375" s="239" t="s">
        <v>961</v>
      </c>
      <c r="H375" s="239" t="s">
        <v>869</v>
      </c>
      <c r="I375" s="239" t="s">
        <v>399</v>
      </c>
      <c r="J375" s="234">
        <v>37630</v>
      </c>
      <c r="K375" s="234">
        <v>14730</v>
      </c>
      <c r="L375" s="242">
        <v>8</v>
      </c>
      <c r="M375" s="234">
        <v>22900</v>
      </c>
      <c r="N375" s="234">
        <v>21068</v>
      </c>
      <c r="O375" s="243" t="s">
        <v>1553</v>
      </c>
      <c r="P375" s="236">
        <v>45900</v>
      </c>
    </row>
    <row r="376" spans="1:16" ht="51" customHeight="1">
      <c r="A376" s="239" t="s">
        <v>1447</v>
      </c>
      <c r="B376" s="240">
        <v>1372</v>
      </c>
      <c r="C376" s="241">
        <v>58642</v>
      </c>
      <c r="D376" s="239" t="s">
        <v>3818</v>
      </c>
      <c r="E376" s="239" t="s">
        <v>420</v>
      </c>
      <c r="F376" s="239" t="s">
        <v>421</v>
      </c>
      <c r="G376" s="239" t="s">
        <v>961</v>
      </c>
      <c r="H376" s="239" t="s">
        <v>869</v>
      </c>
      <c r="I376" s="239" t="s">
        <v>399</v>
      </c>
      <c r="J376" s="234">
        <v>36920</v>
      </c>
      <c r="K376" s="234">
        <v>14860</v>
      </c>
      <c r="L376" s="242">
        <v>19</v>
      </c>
      <c r="M376" s="234">
        <v>22060</v>
      </c>
      <c r="N376" s="234">
        <v>17868.599999999999</v>
      </c>
      <c r="O376" s="243" t="s">
        <v>1554</v>
      </c>
      <c r="P376" s="236">
        <v>45900</v>
      </c>
    </row>
    <row r="377" spans="1:16" ht="51" customHeight="1">
      <c r="A377" s="239" t="s">
        <v>1448</v>
      </c>
      <c r="B377" s="240">
        <v>1373</v>
      </c>
      <c r="C377" s="241">
        <v>58648</v>
      </c>
      <c r="D377" s="239" t="s">
        <v>3818</v>
      </c>
      <c r="E377" s="239" t="s">
        <v>786</v>
      </c>
      <c r="F377" s="239" t="s">
        <v>787</v>
      </c>
      <c r="G377" s="239" t="s">
        <v>961</v>
      </c>
      <c r="H377" s="239" t="s">
        <v>869</v>
      </c>
      <c r="I377" s="239" t="s">
        <v>399</v>
      </c>
      <c r="J377" s="234">
        <v>35040</v>
      </c>
      <c r="K377" s="234">
        <v>13970</v>
      </c>
      <c r="L377" s="242">
        <v>9</v>
      </c>
      <c r="M377" s="234">
        <v>21070</v>
      </c>
      <c r="N377" s="234">
        <v>19173.7</v>
      </c>
      <c r="O377" s="243" t="s">
        <v>1555</v>
      </c>
      <c r="P377" s="236">
        <v>45900</v>
      </c>
    </row>
    <row r="378" spans="1:16" ht="51" customHeight="1">
      <c r="A378" s="239" t="s">
        <v>1449</v>
      </c>
      <c r="B378" s="240">
        <v>1374</v>
      </c>
      <c r="C378" s="241">
        <v>58644</v>
      </c>
      <c r="D378" s="239" t="s">
        <v>3818</v>
      </c>
      <c r="E378" s="239" t="s">
        <v>413</v>
      </c>
      <c r="F378" s="239" t="s">
        <v>414</v>
      </c>
      <c r="G378" s="239" t="s">
        <v>961</v>
      </c>
      <c r="H378" s="239" t="s">
        <v>869</v>
      </c>
      <c r="I378" s="239" t="s">
        <v>399</v>
      </c>
      <c r="J378" s="234">
        <v>40520</v>
      </c>
      <c r="K378" s="234">
        <v>14960</v>
      </c>
      <c r="L378" s="242">
        <v>7</v>
      </c>
      <c r="M378" s="234">
        <v>25560</v>
      </c>
      <c r="N378" s="234">
        <v>23770.799999999999</v>
      </c>
      <c r="O378" s="243" t="s">
        <v>1556</v>
      </c>
      <c r="P378" s="236">
        <v>45900</v>
      </c>
    </row>
    <row r="379" spans="1:16" ht="51" customHeight="1">
      <c r="A379" s="239" t="s">
        <v>1450</v>
      </c>
      <c r="B379" s="240">
        <v>1375</v>
      </c>
      <c r="C379" s="241">
        <v>58655</v>
      </c>
      <c r="D379" s="239" t="s">
        <v>3818</v>
      </c>
      <c r="E379" s="239" t="s">
        <v>462</v>
      </c>
      <c r="F379" s="239" t="s">
        <v>463</v>
      </c>
      <c r="G379" s="239" t="s">
        <v>961</v>
      </c>
      <c r="H379" s="239" t="s">
        <v>869</v>
      </c>
      <c r="I379" s="239" t="s">
        <v>399</v>
      </c>
      <c r="J379" s="234">
        <v>39010</v>
      </c>
      <c r="K379" s="234">
        <v>16270</v>
      </c>
      <c r="L379" s="242">
        <v>16</v>
      </c>
      <c r="M379" s="234">
        <v>22740</v>
      </c>
      <c r="N379" s="234">
        <v>19101.599999999999</v>
      </c>
      <c r="O379" s="243" t="s">
        <v>1557</v>
      </c>
      <c r="P379" s="236">
        <v>45900</v>
      </c>
    </row>
    <row r="380" spans="1:16" ht="51" customHeight="1">
      <c r="A380" s="239" t="s">
        <v>1451</v>
      </c>
      <c r="B380" s="240">
        <v>1378</v>
      </c>
      <c r="C380" s="241">
        <v>58664</v>
      </c>
      <c r="D380" s="239" t="s">
        <v>3818</v>
      </c>
      <c r="E380" s="239" t="s">
        <v>406</v>
      </c>
      <c r="F380" s="239" t="s">
        <v>407</v>
      </c>
      <c r="G380" s="239" t="s">
        <v>961</v>
      </c>
      <c r="H380" s="239" t="s">
        <v>869</v>
      </c>
      <c r="I380" s="239" t="s">
        <v>399</v>
      </c>
      <c r="J380" s="234">
        <v>38240</v>
      </c>
      <c r="K380" s="234">
        <v>15010</v>
      </c>
      <c r="L380" s="242">
        <v>9</v>
      </c>
      <c r="M380" s="234">
        <v>23230</v>
      </c>
      <c r="N380" s="234">
        <v>21139.3</v>
      </c>
      <c r="O380" s="243" t="s">
        <v>1558</v>
      </c>
      <c r="P380" s="236">
        <v>45900</v>
      </c>
    </row>
    <row r="381" spans="1:16" ht="51" customHeight="1">
      <c r="A381" s="239" t="s">
        <v>1452</v>
      </c>
      <c r="B381" s="240">
        <v>1379</v>
      </c>
      <c r="C381" s="241">
        <v>58666</v>
      </c>
      <c r="D381" s="239" t="s">
        <v>3818</v>
      </c>
      <c r="E381" s="239" t="s">
        <v>1422</v>
      </c>
      <c r="F381" s="239" t="s">
        <v>404</v>
      </c>
      <c r="G381" s="239" t="s">
        <v>961</v>
      </c>
      <c r="H381" s="239" t="s">
        <v>869</v>
      </c>
      <c r="I381" s="239" t="s">
        <v>399</v>
      </c>
      <c r="J381" s="234">
        <v>36400</v>
      </c>
      <c r="K381" s="234">
        <v>14440</v>
      </c>
      <c r="L381" s="242">
        <v>6</v>
      </c>
      <c r="M381" s="234">
        <v>21960</v>
      </c>
      <c r="N381" s="234">
        <v>20642.400000000001</v>
      </c>
      <c r="O381" s="243" t="s">
        <v>1559</v>
      </c>
      <c r="P381" s="236">
        <v>45900</v>
      </c>
    </row>
    <row r="382" spans="1:16" ht="51" customHeight="1">
      <c r="A382" s="239" t="s">
        <v>1453</v>
      </c>
      <c r="B382" s="240">
        <v>1383</v>
      </c>
      <c r="C382" s="241">
        <v>58668</v>
      </c>
      <c r="D382" s="239" t="s">
        <v>3818</v>
      </c>
      <c r="E382" s="239" t="s">
        <v>866</v>
      </c>
      <c r="F382" s="239" t="s">
        <v>867</v>
      </c>
      <c r="G382" s="239" t="s">
        <v>961</v>
      </c>
      <c r="H382" s="239" t="s">
        <v>869</v>
      </c>
      <c r="I382" s="239" t="s">
        <v>399</v>
      </c>
      <c r="J382" s="234">
        <v>36500</v>
      </c>
      <c r="K382" s="234">
        <v>14400</v>
      </c>
      <c r="L382" s="242">
        <v>7</v>
      </c>
      <c r="M382" s="234">
        <v>22100</v>
      </c>
      <c r="N382" s="234">
        <v>20553</v>
      </c>
      <c r="O382" s="243" t="s">
        <v>1560</v>
      </c>
      <c r="P382" s="236">
        <v>45900</v>
      </c>
    </row>
    <row r="383" spans="1:16" ht="51" customHeight="1">
      <c r="A383" s="239" t="s">
        <v>1454</v>
      </c>
      <c r="B383" s="240">
        <v>1384</v>
      </c>
      <c r="C383" s="241">
        <v>58670</v>
      </c>
      <c r="D383" s="239" t="s">
        <v>3818</v>
      </c>
      <c r="E383" s="239" t="s">
        <v>369</v>
      </c>
      <c r="F383" s="239" t="s">
        <v>370</v>
      </c>
      <c r="G383" s="239" t="s">
        <v>961</v>
      </c>
      <c r="H383" s="239" t="s">
        <v>869</v>
      </c>
      <c r="I383" s="239" t="s">
        <v>399</v>
      </c>
      <c r="J383" s="234">
        <v>37270</v>
      </c>
      <c r="K383" s="234">
        <v>15010</v>
      </c>
      <c r="L383" s="242">
        <v>11</v>
      </c>
      <c r="M383" s="234">
        <v>22260</v>
      </c>
      <c r="N383" s="234">
        <v>19811.400000000001</v>
      </c>
      <c r="O383" s="243" t="s">
        <v>1561</v>
      </c>
      <c r="P383" s="236">
        <v>45900</v>
      </c>
    </row>
    <row r="384" spans="1:16" ht="51" customHeight="1">
      <c r="A384" s="239" t="s">
        <v>1455</v>
      </c>
      <c r="B384" s="240">
        <v>1385</v>
      </c>
      <c r="C384" s="241">
        <v>58673</v>
      </c>
      <c r="D384" s="239" t="s">
        <v>3818</v>
      </c>
      <c r="E384" s="239" t="s">
        <v>386</v>
      </c>
      <c r="F384" s="239" t="s">
        <v>387</v>
      </c>
      <c r="G384" s="239" t="s">
        <v>961</v>
      </c>
      <c r="H384" s="239" t="s">
        <v>869</v>
      </c>
      <c r="I384" s="239" t="s">
        <v>399</v>
      </c>
      <c r="J384" s="234">
        <v>37610</v>
      </c>
      <c r="K384" s="234">
        <v>15390</v>
      </c>
      <c r="L384" s="242">
        <v>13</v>
      </c>
      <c r="M384" s="234">
        <v>22220</v>
      </c>
      <c r="N384" s="234">
        <v>19331.400000000001</v>
      </c>
      <c r="O384" s="243" t="s">
        <v>1562</v>
      </c>
      <c r="P384" s="236">
        <v>45900</v>
      </c>
    </row>
    <row r="385" spans="1:16" ht="51" customHeight="1">
      <c r="A385" s="239" t="s">
        <v>1456</v>
      </c>
      <c r="B385" s="240">
        <v>1386</v>
      </c>
      <c r="C385" s="241">
        <v>58679</v>
      </c>
      <c r="D385" s="239" t="s">
        <v>3818</v>
      </c>
      <c r="E385" s="239" t="s">
        <v>374</v>
      </c>
      <c r="F385" s="239" t="s">
        <v>375</v>
      </c>
      <c r="G385" s="239" t="s">
        <v>961</v>
      </c>
      <c r="H385" s="239" t="s">
        <v>869</v>
      </c>
      <c r="I385" s="239" t="s">
        <v>399</v>
      </c>
      <c r="J385" s="234">
        <v>37190</v>
      </c>
      <c r="K385" s="234">
        <v>15550</v>
      </c>
      <c r="L385" s="242">
        <v>13</v>
      </c>
      <c r="M385" s="234">
        <v>21640</v>
      </c>
      <c r="N385" s="234">
        <v>18826.8</v>
      </c>
      <c r="O385" s="243" t="s">
        <v>1563</v>
      </c>
      <c r="P385" s="236">
        <v>45900</v>
      </c>
    </row>
    <row r="386" spans="1:16" ht="51" customHeight="1">
      <c r="A386" s="239" t="s">
        <v>1457</v>
      </c>
      <c r="B386" s="240">
        <v>1387</v>
      </c>
      <c r="C386" s="241">
        <v>58681</v>
      </c>
      <c r="D386" s="239" t="s">
        <v>3818</v>
      </c>
      <c r="E386" s="239" t="s">
        <v>472</v>
      </c>
      <c r="F386" s="239" t="s">
        <v>473</v>
      </c>
      <c r="G386" s="239" t="s">
        <v>961</v>
      </c>
      <c r="H386" s="239" t="s">
        <v>869</v>
      </c>
      <c r="I386" s="239" t="s">
        <v>399</v>
      </c>
      <c r="J386" s="234">
        <v>39270</v>
      </c>
      <c r="K386" s="234">
        <v>16580</v>
      </c>
      <c r="L386" s="242">
        <v>18</v>
      </c>
      <c r="M386" s="234">
        <v>22690</v>
      </c>
      <c r="N386" s="234">
        <v>18605.8</v>
      </c>
      <c r="O386" s="243" t="s">
        <v>1564</v>
      </c>
      <c r="P386" s="236">
        <v>45900</v>
      </c>
    </row>
    <row r="387" spans="1:16" ht="51" customHeight="1">
      <c r="A387" s="239" t="s">
        <v>1458</v>
      </c>
      <c r="B387" s="240">
        <v>1388</v>
      </c>
      <c r="C387" s="241">
        <v>58677</v>
      </c>
      <c r="D387" s="239" t="s">
        <v>3818</v>
      </c>
      <c r="E387" s="239" t="s">
        <v>858</v>
      </c>
      <c r="F387" s="239" t="s">
        <v>859</v>
      </c>
      <c r="G387" s="239" t="s">
        <v>961</v>
      </c>
      <c r="H387" s="239" t="s">
        <v>869</v>
      </c>
      <c r="I387" s="239" t="s">
        <v>399</v>
      </c>
      <c r="J387" s="234">
        <v>37730</v>
      </c>
      <c r="K387" s="234">
        <v>14630</v>
      </c>
      <c r="L387" s="242">
        <v>15</v>
      </c>
      <c r="M387" s="234">
        <v>23100</v>
      </c>
      <c r="N387" s="234">
        <v>19635</v>
      </c>
      <c r="O387" s="243" t="s">
        <v>1565</v>
      </c>
      <c r="P387" s="236">
        <v>45900</v>
      </c>
    </row>
    <row r="388" spans="1:16" ht="51" customHeight="1">
      <c r="A388" s="239" t="s">
        <v>1459</v>
      </c>
      <c r="B388" s="240">
        <v>1389</v>
      </c>
      <c r="C388" s="241">
        <v>58683</v>
      </c>
      <c r="D388" s="239" t="s">
        <v>3818</v>
      </c>
      <c r="E388" s="239" t="s">
        <v>475</v>
      </c>
      <c r="F388" s="239" t="s">
        <v>476</v>
      </c>
      <c r="G388" s="239" t="s">
        <v>961</v>
      </c>
      <c r="H388" s="239" t="s">
        <v>869</v>
      </c>
      <c r="I388" s="239" t="s">
        <v>399</v>
      </c>
      <c r="J388" s="234">
        <v>38810</v>
      </c>
      <c r="K388" s="234">
        <v>16620</v>
      </c>
      <c r="L388" s="242">
        <v>23</v>
      </c>
      <c r="M388" s="234">
        <v>22190</v>
      </c>
      <c r="N388" s="234">
        <v>17086.3</v>
      </c>
      <c r="O388" s="243" t="s">
        <v>1566</v>
      </c>
      <c r="P388" s="236">
        <v>45900</v>
      </c>
    </row>
    <row r="389" spans="1:16" ht="51" customHeight="1">
      <c r="A389" s="239" t="s">
        <v>1460</v>
      </c>
      <c r="B389" s="240">
        <v>1391</v>
      </c>
      <c r="C389" s="241">
        <v>58685</v>
      </c>
      <c r="D389" s="239" t="s">
        <v>3818</v>
      </c>
      <c r="E389" s="239" t="s">
        <v>442</v>
      </c>
      <c r="F389" s="239" t="s">
        <v>443</v>
      </c>
      <c r="G389" s="239" t="s">
        <v>961</v>
      </c>
      <c r="H389" s="239" t="s">
        <v>869</v>
      </c>
      <c r="I389" s="239" t="s">
        <v>399</v>
      </c>
      <c r="J389" s="234">
        <v>34720</v>
      </c>
      <c r="K389" s="234">
        <v>14450</v>
      </c>
      <c r="L389" s="242">
        <v>7</v>
      </c>
      <c r="M389" s="234">
        <v>20270</v>
      </c>
      <c r="N389" s="234">
        <v>18851.099999999999</v>
      </c>
      <c r="O389" s="243" t="s">
        <v>1567</v>
      </c>
      <c r="P389" s="236">
        <v>45900</v>
      </c>
    </row>
    <row r="390" spans="1:16" ht="51" customHeight="1">
      <c r="A390" s="239" t="s">
        <v>1461</v>
      </c>
      <c r="B390" s="240">
        <v>1392</v>
      </c>
      <c r="C390" s="241">
        <v>58687</v>
      </c>
      <c r="D390" s="239" t="s">
        <v>3818</v>
      </c>
      <c r="E390" s="239" t="s">
        <v>439</v>
      </c>
      <c r="F390" s="239" t="s">
        <v>440</v>
      </c>
      <c r="G390" s="239" t="s">
        <v>961</v>
      </c>
      <c r="H390" s="239" t="s">
        <v>869</v>
      </c>
      <c r="I390" s="239" t="s">
        <v>399</v>
      </c>
      <c r="J390" s="234">
        <v>39190</v>
      </c>
      <c r="K390" s="234">
        <v>14920</v>
      </c>
      <c r="L390" s="242">
        <v>7</v>
      </c>
      <c r="M390" s="234">
        <v>24270</v>
      </c>
      <c r="N390" s="234">
        <v>22571.1</v>
      </c>
      <c r="O390" s="243" t="s">
        <v>1568</v>
      </c>
      <c r="P390" s="236">
        <v>45900</v>
      </c>
    </row>
    <row r="391" spans="1:16" ht="51" customHeight="1">
      <c r="A391" s="239" t="s">
        <v>1463</v>
      </c>
      <c r="B391" s="240">
        <v>1393</v>
      </c>
      <c r="C391" s="241">
        <v>58689</v>
      </c>
      <c r="D391" s="239" t="s">
        <v>3818</v>
      </c>
      <c r="E391" s="239" t="s">
        <v>432</v>
      </c>
      <c r="F391" s="239" t="s">
        <v>433</v>
      </c>
      <c r="G391" s="239" t="s">
        <v>961</v>
      </c>
      <c r="H391" s="239" t="s">
        <v>869</v>
      </c>
      <c r="I391" s="239" t="s">
        <v>399</v>
      </c>
      <c r="J391" s="234">
        <v>40230</v>
      </c>
      <c r="K391" s="234">
        <v>15600</v>
      </c>
      <c r="L391" s="242">
        <v>10</v>
      </c>
      <c r="M391" s="234">
        <v>24630</v>
      </c>
      <c r="N391" s="234">
        <v>22167</v>
      </c>
      <c r="O391" s="243" t="s">
        <v>1570</v>
      </c>
      <c r="P391" s="236">
        <v>45900</v>
      </c>
    </row>
    <row r="392" spans="1:16" ht="51" customHeight="1">
      <c r="A392" s="239" t="s">
        <v>1462</v>
      </c>
      <c r="B392" s="240">
        <v>1394</v>
      </c>
      <c r="C392" s="241">
        <v>58691</v>
      </c>
      <c r="D392" s="239" t="s">
        <v>3818</v>
      </c>
      <c r="E392" s="239" t="s">
        <v>372</v>
      </c>
      <c r="F392" s="239" t="s">
        <v>373</v>
      </c>
      <c r="G392" s="239" t="s">
        <v>961</v>
      </c>
      <c r="H392" s="239" t="s">
        <v>869</v>
      </c>
      <c r="I392" s="239" t="s">
        <v>399</v>
      </c>
      <c r="J392" s="234">
        <v>37980</v>
      </c>
      <c r="K392" s="234">
        <v>14880</v>
      </c>
      <c r="L392" s="242">
        <v>14</v>
      </c>
      <c r="M392" s="234">
        <v>23100</v>
      </c>
      <c r="N392" s="234">
        <v>19866</v>
      </c>
      <c r="O392" s="243" t="s">
        <v>1569</v>
      </c>
      <c r="P392" s="236">
        <v>45900</v>
      </c>
    </row>
    <row r="393" spans="1:16" ht="51" customHeight="1">
      <c r="A393" s="239" t="s">
        <v>1464</v>
      </c>
      <c r="B393" s="240">
        <v>1395</v>
      </c>
      <c r="C393" s="241">
        <v>58693</v>
      </c>
      <c r="D393" s="239" t="s">
        <v>3818</v>
      </c>
      <c r="E393" s="239" t="s">
        <v>400</v>
      </c>
      <c r="F393" s="239" t="s">
        <v>401</v>
      </c>
      <c r="G393" s="239" t="s">
        <v>961</v>
      </c>
      <c r="H393" s="239" t="s">
        <v>48</v>
      </c>
      <c r="I393" s="239" t="s">
        <v>399</v>
      </c>
      <c r="J393" s="234">
        <v>37800</v>
      </c>
      <c r="K393" s="234">
        <v>14680</v>
      </c>
      <c r="L393" s="242">
        <v>10</v>
      </c>
      <c r="M393" s="234">
        <v>23120</v>
      </c>
      <c r="N393" s="234">
        <v>20808</v>
      </c>
      <c r="O393" s="243" t="s">
        <v>1571</v>
      </c>
      <c r="P393" s="236">
        <v>45900</v>
      </c>
    </row>
    <row r="394" spans="1:16" ht="51" customHeight="1">
      <c r="A394" s="239" t="s">
        <v>1465</v>
      </c>
      <c r="B394" s="240">
        <v>1397</v>
      </c>
      <c r="C394" s="241">
        <v>58697</v>
      </c>
      <c r="D394" s="239" t="s">
        <v>3818</v>
      </c>
      <c r="E394" s="239" t="s">
        <v>791</v>
      </c>
      <c r="F394" s="239" t="s">
        <v>792</v>
      </c>
      <c r="G394" s="239" t="s">
        <v>961</v>
      </c>
      <c r="H394" s="239" t="s">
        <v>48</v>
      </c>
      <c r="I394" s="239" t="s">
        <v>399</v>
      </c>
      <c r="J394" s="234">
        <v>39790</v>
      </c>
      <c r="K394" s="234">
        <v>14970</v>
      </c>
      <c r="L394" s="242">
        <v>15</v>
      </c>
      <c r="M394" s="234">
        <v>24820</v>
      </c>
      <c r="N394" s="234">
        <v>21097</v>
      </c>
      <c r="O394" s="243" t="s">
        <v>1572</v>
      </c>
      <c r="P394" s="236">
        <v>45901</v>
      </c>
    </row>
    <row r="395" spans="1:16" ht="51" customHeight="1">
      <c r="A395" s="239" t="s">
        <v>1466</v>
      </c>
      <c r="B395" s="240">
        <v>1398</v>
      </c>
      <c r="C395" s="241">
        <v>58695</v>
      </c>
      <c r="D395" s="239" t="s">
        <v>3818</v>
      </c>
      <c r="E395" s="239" t="s">
        <v>447</v>
      </c>
      <c r="F395" s="239" t="s">
        <v>448</v>
      </c>
      <c r="G395" s="239" t="s">
        <v>961</v>
      </c>
      <c r="H395" s="239" t="s">
        <v>48</v>
      </c>
      <c r="I395" s="239" t="s">
        <v>399</v>
      </c>
      <c r="J395" s="234">
        <v>46220</v>
      </c>
      <c r="K395" s="234">
        <v>19330</v>
      </c>
      <c r="L395" s="242">
        <v>10</v>
      </c>
      <c r="M395" s="234">
        <v>26890</v>
      </c>
      <c r="N395" s="234">
        <v>24201</v>
      </c>
      <c r="O395" s="243" t="s">
        <v>1573</v>
      </c>
      <c r="P395" s="236">
        <v>45901</v>
      </c>
    </row>
    <row r="396" spans="1:16" ht="51" customHeight="1">
      <c r="A396" s="239" t="s">
        <v>1467</v>
      </c>
      <c r="B396" s="240">
        <v>1399</v>
      </c>
      <c r="C396" s="241">
        <v>58699</v>
      </c>
      <c r="D396" s="239" t="s">
        <v>3818</v>
      </c>
      <c r="E396" s="239" t="s">
        <v>841</v>
      </c>
      <c r="F396" s="239" t="s">
        <v>845</v>
      </c>
      <c r="G396" s="239" t="s">
        <v>961</v>
      </c>
      <c r="H396" s="239" t="s">
        <v>48</v>
      </c>
      <c r="I396" s="239" t="s">
        <v>399</v>
      </c>
      <c r="J396" s="234">
        <v>41690</v>
      </c>
      <c r="K396" s="234">
        <v>15650</v>
      </c>
      <c r="L396" s="242">
        <v>8</v>
      </c>
      <c r="M396" s="234">
        <v>26040</v>
      </c>
      <c r="N396" s="234">
        <v>23956.799999999999</v>
      </c>
      <c r="O396" s="243" t="s">
        <v>1574</v>
      </c>
      <c r="P396" s="236">
        <v>45901</v>
      </c>
    </row>
    <row r="397" spans="1:16" ht="51" customHeight="1">
      <c r="A397" s="239" t="s">
        <v>1468</v>
      </c>
      <c r="B397" s="240">
        <v>1400</v>
      </c>
      <c r="C397" s="241">
        <v>58701</v>
      </c>
      <c r="D397" s="239" t="s">
        <v>3818</v>
      </c>
      <c r="E397" s="239" t="s">
        <v>380</v>
      </c>
      <c r="F397" s="239" t="s">
        <v>381</v>
      </c>
      <c r="G397" s="239" t="s">
        <v>961</v>
      </c>
      <c r="H397" s="239" t="s">
        <v>48</v>
      </c>
      <c r="I397" s="239" t="s">
        <v>399</v>
      </c>
      <c r="J397" s="234">
        <v>38130</v>
      </c>
      <c r="K397" s="234">
        <v>15050</v>
      </c>
      <c r="L397" s="242">
        <v>10</v>
      </c>
      <c r="M397" s="234">
        <v>23080</v>
      </c>
      <c r="N397" s="234">
        <v>20772</v>
      </c>
      <c r="O397" s="243" t="s">
        <v>1575</v>
      </c>
      <c r="P397" s="236">
        <v>45901</v>
      </c>
    </row>
    <row r="398" spans="1:16" ht="51" customHeight="1">
      <c r="A398" s="239" t="s">
        <v>1469</v>
      </c>
      <c r="B398" s="240">
        <v>1402</v>
      </c>
      <c r="C398" s="241">
        <v>58707</v>
      </c>
      <c r="D398" s="239" t="s">
        <v>3818</v>
      </c>
      <c r="E398" s="239" t="s">
        <v>1403</v>
      </c>
      <c r="F398" s="239" t="s">
        <v>1404</v>
      </c>
      <c r="G398" s="239" t="s">
        <v>961</v>
      </c>
      <c r="H398" s="239" t="s">
        <v>48</v>
      </c>
      <c r="I398" s="239" t="s">
        <v>399</v>
      </c>
      <c r="J398" s="234">
        <v>15790</v>
      </c>
      <c r="K398" s="234">
        <v>10120</v>
      </c>
      <c r="L398" s="242">
        <v>7</v>
      </c>
      <c r="M398" s="234">
        <v>5670</v>
      </c>
      <c r="N398" s="234">
        <v>5273.1</v>
      </c>
      <c r="O398" s="243" t="s">
        <v>1576</v>
      </c>
      <c r="P398" s="236">
        <v>45901</v>
      </c>
    </row>
    <row r="399" spans="1:16" ht="51" customHeight="1">
      <c r="A399" s="239" t="s">
        <v>1470</v>
      </c>
      <c r="B399" s="240">
        <v>1401</v>
      </c>
      <c r="C399" s="241">
        <v>58703</v>
      </c>
      <c r="D399" s="239" t="s">
        <v>3818</v>
      </c>
      <c r="E399" s="239" t="s">
        <v>783</v>
      </c>
      <c r="F399" s="239" t="s">
        <v>784</v>
      </c>
      <c r="G399" s="239" t="s">
        <v>961</v>
      </c>
      <c r="H399" s="239" t="s">
        <v>48</v>
      </c>
      <c r="I399" s="239" t="s">
        <v>399</v>
      </c>
      <c r="J399" s="234">
        <v>39010</v>
      </c>
      <c r="K399" s="234">
        <v>14620</v>
      </c>
      <c r="L399" s="242">
        <v>9</v>
      </c>
      <c r="M399" s="234">
        <v>24390</v>
      </c>
      <c r="N399" s="234">
        <v>22194.9</v>
      </c>
      <c r="O399" s="243" t="s">
        <v>1577</v>
      </c>
      <c r="P399" s="236">
        <v>45901</v>
      </c>
    </row>
    <row r="400" spans="1:16" ht="51" customHeight="1">
      <c r="A400" s="239" t="s">
        <v>1471</v>
      </c>
      <c r="B400" s="240">
        <v>1403</v>
      </c>
      <c r="C400" s="241">
        <v>58705</v>
      </c>
      <c r="D400" s="239" t="s">
        <v>3818</v>
      </c>
      <c r="E400" s="239" t="s">
        <v>794</v>
      </c>
      <c r="F400" s="239" t="s">
        <v>795</v>
      </c>
      <c r="G400" s="239" t="s">
        <v>961</v>
      </c>
      <c r="H400" s="239" t="s">
        <v>48</v>
      </c>
      <c r="I400" s="239" t="s">
        <v>399</v>
      </c>
      <c r="J400" s="234">
        <v>41010</v>
      </c>
      <c r="K400" s="234">
        <v>16100</v>
      </c>
      <c r="L400" s="242">
        <v>13</v>
      </c>
      <c r="M400" s="234">
        <v>24910</v>
      </c>
      <c r="N400" s="234">
        <v>21671.7</v>
      </c>
      <c r="O400" s="243" t="s">
        <v>1578</v>
      </c>
      <c r="P400" s="236">
        <v>45901</v>
      </c>
    </row>
    <row r="401" spans="1:16" ht="51" customHeight="1">
      <c r="A401" s="239" t="s">
        <v>1605</v>
      </c>
      <c r="B401" s="240">
        <v>1434</v>
      </c>
      <c r="C401" s="241">
        <v>36952</v>
      </c>
      <c r="D401" s="239" t="s">
        <v>3819</v>
      </c>
      <c r="E401" s="239" t="s">
        <v>384</v>
      </c>
      <c r="F401" s="239" t="s">
        <v>385</v>
      </c>
      <c r="G401" s="239" t="s">
        <v>954</v>
      </c>
      <c r="H401" s="239" t="s">
        <v>51</v>
      </c>
      <c r="I401" s="239" t="s">
        <v>1580</v>
      </c>
      <c r="J401" s="234">
        <v>35120</v>
      </c>
      <c r="K401" s="234">
        <v>13890</v>
      </c>
      <c r="L401" s="242">
        <v>8</v>
      </c>
      <c r="M401" s="234">
        <v>21230</v>
      </c>
      <c r="N401" s="234">
        <v>19531.599999999999</v>
      </c>
      <c r="O401" s="243" t="s">
        <v>1581</v>
      </c>
      <c r="P401" s="236">
        <v>45905</v>
      </c>
    </row>
    <row r="402" spans="1:16" ht="51" customHeight="1">
      <c r="A402" s="239" t="s">
        <v>1606</v>
      </c>
      <c r="B402" s="240">
        <v>1435</v>
      </c>
      <c r="C402" s="241">
        <v>36939</v>
      </c>
      <c r="D402" s="239" t="s">
        <v>3819</v>
      </c>
      <c r="E402" s="239" t="s">
        <v>1397</v>
      </c>
      <c r="F402" s="239" t="s">
        <v>1398</v>
      </c>
      <c r="G402" s="239" t="s">
        <v>954</v>
      </c>
      <c r="H402" s="239" t="s">
        <v>51</v>
      </c>
      <c r="I402" s="239" t="s">
        <v>1580</v>
      </c>
      <c r="J402" s="234">
        <v>42640</v>
      </c>
      <c r="K402" s="234">
        <v>17080</v>
      </c>
      <c r="L402" s="242">
        <v>8</v>
      </c>
      <c r="M402" s="234">
        <v>25560</v>
      </c>
      <c r="N402" s="234">
        <v>23515.200000000001</v>
      </c>
      <c r="O402" s="243" t="s">
        <v>1582</v>
      </c>
      <c r="P402" s="236">
        <v>45905</v>
      </c>
    </row>
    <row r="403" spans="1:16" ht="51" customHeight="1">
      <c r="A403" s="239" t="s">
        <v>1607</v>
      </c>
      <c r="B403" s="240">
        <v>1436</v>
      </c>
      <c r="C403" s="241">
        <v>36946</v>
      </c>
      <c r="D403" s="239" t="s">
        <v>3819</v>
      </c>
      <c r="E403" s="239" t="s">
        <v>1400</v>
      </c>
      <c r="F403" s="239" t="s">
        <v>1401</v>
      </c>
      <c r="G403" s="239" t="s">
        <v>954</v>
      </c>
      <c r="H403" s="239" t="s">
        <v>51</v>
      </c>
      <c r="I403" s="239" t="s">
        <v>1580</v>
      </c>
      <c r="J403" s="234">
        <v>36340</v>
      </c>
      <c r="K403" s="234">
        <v>14730</v>
      </c>
      <c r="L403" s="242">
        <v>4</v>
      </c>
      <c r="M403" s="234">
        <v>21610</v>
      </c>
      <c r="N403" s="234">
        <v>20745.599999999999</v>
      </c>
      <c r="O403" s="243" t="s">
        <v>1583</v>
      </c>
      <c r="P403" s="236">
        <v>45905</v>
      </c>
    </row>
    <row r="404" spans="1:16" ht="51" customHeight="1">
      <c r="A404" s="239" t="s">
        <v>1608</v>
      </c>
      <c r="B404" s="240">
        <v>1437</v>
      </c>
      <c r="C404" s="241">
        <v>36948</v>
      </c>
      <c r="D404" s="239" t="s">
        <v>3819</v>
      </c>
      <c r="E404" s="239" t="s">
        <v>1403</v>
      </c>
      <c r="F404" s="239" t="s">
        <v>1404</v>
      </c>
      <c r="G404" s="239" t="s">
        <v>954</v>
      </c>
      <c r="H404" s="239" t="s">
        <v>51</v>
      </c>
      <c r="I404" s="239" t="s">
        <v>1580</v>
      </c>
      <c r="J404" s="234">
        <v>37830</v>
      </c>
      <c r="K404" s="234">
        <v>14970</v>
      </c>
      <c r="L404" s="242">
        <v>5</v>
      </c>
      <c r="M404" s="234">
        <v>22860</v>
      </c>
      <c r="N404" s="234">
        <v>21717</v>
      </c>
      <c r="O404" s="243" t="s">
        <v>1584</v>
      </c>
      <c r="P404" s="236">
        <v>45905</v>
      </c>
    </row>
    <row r="405" spans="1:16" ht="51" customHeight="1">
      <c r="A405" s="239" t="s">
        <v>1609</v>
      </c>
      <c r="B405" s="240">
        <v>1438</v>
      </c>
      <c r="C405" s="241">
        <v>36959</v>
      </c>
      <c r="D405" s="239" t="s">
        <v>3819</v>
      </c>
      <c r="E405" s="239" t="s">
        <v>377</v>
      </c>
      <c r="F405" s="239" t="s">
        <v>378</v>
      </c>
      <c r="G405" s="239" t="s">
        <v>954</v>
      </c>
      <c r="H405" s="239" t="s">
        <v>51</v>
      </c>
      <c r="I405" s="239" t="s">
        <v>1580</v>
      </c>
      <c r="J405" s="234">
        <v>41640</v>
      </c>
      <c r="K405" s="234">
        <v>15070</v>
      </c>
      <c r="L405" s="242">
        <v>4</v>
      </c>
      <c r="M405" s="234">
        <v>26570</v>
      </c>
      <c r="N405" s="234">
        <v>25507.200000000001</v>
      </c>
      <c r="O405" s="243" t="s">
        <v>1585</v>
      </c>
      <c r="P405" s="236">
        <v>45905</v>
      </c>
    </row>
    <row r="406" spans="1:16" ht="51" customHeight="1">
      <c r="A406" s="239" t="s">
        <v>1610</v>
      </c>
      <c r="B406" s="240">
        <v>1439</v>
      </c>
      <c r="C406" s="241">
        <v>36955</v>
      </c>
      <c r="D406" s="239" t="s">
        <v>3819</v>
      </c>
      <c r="E406" s="239" t="s">
        <v>472</v>
      </c>
      <c r="F406" s="239" t="s">
        <v>473</v>
      </c>
      <c r="G406" s="239" t="s">
        <v>954</v>
      </c>
      <c r="H406" s="239" t="s">
        <v>51</v>
      </c>
      <c r="I406" s="239" t="s">
        <v>1580</v>
      </c>
      <c r="J406" s="234">
        <v>39910</v>
      </c>
      <c r="K406" s="234">
        <v>16520</v>
      </c>
      <c r="L406" s="242">
        <v>5</v>
      </c>
      <c r="M406" s="234">
        <v>23390</v>
      </c>
      <c r="N406" s="234">
        <v>22220.5</v>
      </c>
      <c r="O406" s="243" t="s">
        <v>1586</v>
      </c>
      <c r="P406" s="236">
        <v>45905</v>
      </c>
    </row>
    <row r="407" spans="1:16" ht="51" customHeight="1">
      <c r="A407" s="239" t="s">
        <v>1587</v>
      </c>
      <c r="B407" s="240">
        <v>1441</v>
      </c>
      <c r="C407" s="241">
        <v>36961</v>
      </c>
      <c r="D407" s="239" t="s">
        <v>3819</v>
      </c>
      <c r="E407" s="239" t="s">
        <v>413</v>
      </c>
      <c r="F407" s="239" t="s">
        <v>414</v>
      </c>
      <c r="G407" s="239" t="s">
        <v>954</v>
      </c>
      <c r="H407" s="239" t="s">
        <v>51</v>
      </c>
      <c r="I407" s="239" t="s">
        <v>1580</v>
      </c>
      <c r="J407" s="234">
        <v>41890</v>
      </c>
      <c r="K407" s="234">
        <v>14870</v>
      </c>
      <c r="L407" s="242">
        <v>4</v>
      </c>
      <c r="M407" s="234">
        <v>27020</v>
      </c>
      <c r="N407" s="234">
        <v>25939.200000000001</v>
      </c>
      <c r="O407" s="243" t="s">
        <v>1680</v>
      </c>
      <c r="P407" s="236">
        <v>45905</v>
      </c>
    </row>
    <row r="408" spans="1:16" ht="51" customHeight="1">
      <c r="A408" s="239" t="s">
        <v>1588</v>
      </c>
      <c r="B408" s="240">
        <v>1442</v>
      </c>
      <c r="C408" s="241">
        <v>36963</v>
      </c>
      <c r="D408" s="239" t="s">
        <v>3819</v>
      </c>
      <c r="E408" s="239" t="s">
        <v>429</v>
      </c>
      <c r="F408" s="239" t="s">
        <v>430</v>
      </c>
      <c r="G408" s="239" t="s">
        <v>954</v>
      </c>
      <c r="H408" s="239" t="s">
        <v>51</v>
      </c>
      <c r="I408" s="239" t="s">
        <v>1580</v>
      </c>
      <c r="J408" s="234">
        <v>37360</v>
      </c>
      <c r="K408" s="234">
        <v>14230</v>
      </c>
      <c r="L408" s="242">
        <v>6</v>
      </c>
      <c r="M408" s="234">
        <v>23130</v>
      </c>
      <c r="N408" s="234">
        <v>21742.2</v>
      </c>
      <c r="O408" s="243" t="s">
        <v>1681</v>
      </c>
      <c r="P408" s="236">
        <v>45905</v>
      </c>
    </row>
    <row r="409" spans="1:16" ht="51" customHeight="1">
      <c r="A409" s="239" t="s">
        <v>1589</v>
      </c>
      <c r="B409" s="240">
        <v>1443</v>
      </c>
      <c r="C409" s="241">
        <v>36965</v>
      </c>
      <c r="D409" s="239" t="s">
        <v>3819</v>
      </c>
      <c r="E409" s="239" t="s">
        <v>432</v>
      </c>
      <c r="F409" s="239" t="s">
        <v>433</v>
      </c>
      <c r="G409" s="239" t="s">
        <v>954</v>
      </c>
      <c r="H409" s="239" t="s">
        <v>51</v>
      </c>
      <c r="I409" s="239" t="s">
        <v>1580</v>
      </c>
      <c r="J409" s="234">
        <v>41100</v>
      </c>
      <c r="K409" s="234">
        <v>15530</v>
      </c>
      <c r="L409" s="242">
        <v>6</v>
      </c>
      <c r="M409" s="234">
        <v>25570</v>
      </c>
      <c r="N409" s="234">
        <v>24035.8</v>
      </c>
      <c r="O409" s="243" t="s">
        <v>1682</v>
      </c>
      <c r="P409" s="236">
        <v>45905</v>
      </c>
    </row>
    <row r="410" spans="1:16" ht="51" customHeight="1">
      <c r="A410" s="239" t="s">
        <v>1590</v>
      </c>
      <c r="B410" s="240">
        <v>1412</v>
      </c>
      <c r="C410" s="241">
        <v>77183</v>
      </c>
      <c r="D410" s="239" t="s">
        <v>3818</v>
      </c>
      <c r="E410" s="239" t="s">
        <v>380</v>
      </c>
      <c r="F410" s="239" t="s">
        <v>381</v>
      </c>
      <c r="G410" s="239" t="s">
        <v>961</v>
      </c>
      <c r="H410" s="239" t="s">
        <v>51</v>
      </c>
      <c r="I410" s="239" t="s">
        <v>1580</v>
      </c>
      <c r="J410" s="234">
        <v>37800</v>
      </c>
      <c r="K410" s="234">
        <v>15030</v>
      </c>
      <c r="L410" s="242">
        <v>23</v>
      </c>
      <c r="M410" s="234">
        <v>22770</v>
      </c>
      <c r="N410" s="234">
        <v>17532.900000000001</v>
      </c>
      <c r="O410" s="243" t="s">
        <v>1665</v>
      </c>
      <c r="P410" s="236">
        <v>45903</v>
      </c>
    </row>
    <row r="411" spans="1:16" ht="51" customHeight="1">
      <c r="A411" s="239" t="s">
        <v>1611</v>
      </c>
      <c r="B411" s="240">
        <v>1445</v>
      </c>
      <c r="C411" s="241">
        <v>36969</v>
      </c>
      <c r="D411" s="239" t="s">
        <v>3819</v>
      </c>
      <c r="E411" s="239" t="s">
        <v>400</v>
      </c>
      <c r="F411" s="239" t="s">
        <v>401</v>
      </c>
      <c r="G411" s="239" t="s">
        <v>954</v>
      </c>
      <c r="H411" s="239" t="s">
        <v>51</v>
      </c>
      <c r="I411" s="239" t="s">
        <v>1580</v>
      </c>
      <c r="J411" s="234">
        <v>38140</v>
      </c>
      <c r="K411" s="234">
        <v>14690</v>
      </c>
      <c r="L411" s="242">
        <v>9</v>
      </c>
      <c r="M411" s="234">
        <v>23450</v>
      </c>
      <c r="N411" s="234">
        <v>21339.5</v>
      </c>
      <c r="O411" s="243" t="s">
        <v>1683</v>
      </c>
      <c r="P411" s="236">
        <v>45905</v>
      </c>
    </row>
    <row r="412" spans="1:16" ht="51" customHeight="1">
      <c r="A412" s="239" t="s">
        <v>1591</v>
      </c>
      <c r="B412" s="240">
        <v>1414</v>
      </c>
      <c r="C412" s="241">
        <v>77185</v>
      </c>
      <c r="D412" s="239" t="s">
        <v>3818</v>
      </c>
      <c r="E412" s="239" t="s">
        <v>377</v>
      </c>
      <c r="F412" s="239" t="s">
        <v>378</v>
      </c>
      <c r="G412" s="239" t="s">
        <v>961</v>
      </c>
      <c r="H412" s="239" t="s">
        <v>51</v>
      </c>
      <c r="I412" s="239" t="s">
        <v>1580</v>
      </c>
      <c r="J412" s="234">
        <v>41570</v>
      </c>
      <c r="K412" s="234">
        <v>15090</v>
      </c>
      <c r="L412" s="242">
        <v>15</v>
      </c>
      <c r="M412" s="234">
        <v>26480</v>
      </c>
      <c r="N412" s="234">
        <v>22508</v>
      </c>
      <c r="O412" s="243" t="s">
        <v>1666</v>
      </c>
      <c r="P412" s="236">
        <v>45903</v>
      </c>
    </row>
    <row r="413" spans="1:16" ht="51" customHeight="1">
      <c r="A413" s="239" t="s">
        <v>1592</v>
      </c>
      <c r="B413" s="240">
        <v>1416</v>
      </c>
      <c r="C413" s="241">
        <v>77187</v>
      </c>
      <c r="D413" s="239" t="s">
        <v>3818</v>
      </c>
      <c r="E413" s="239" t="s">
        <v>388</v>
      </c>
      <c r="F413" s="239" t="s">
        <v>389</v>
      </c>
      <c r="G413" s="239" t="s">
        <v>961</v>
      </c>
      <c r="H413" s="239" t="s">
        <v>51</v>
      </c>
      <c r="I413" s="239" t="s">
        <v>1580</v>
      </c>
      <c r="J413" s="234">
        <v>45070</v>
      </c>
      <c r="K413" s="234">
        <v>20980</v>
      </c>
      <c r="L413" s="242">
        <v>16</v>
      </c>
      <c r="M413" s="234">
        <v>24090</v>
      </c>
      <c r="N413" s="234">
        <v>20235.599999999999</v>
      </c>
      <c r="O413" s="243" t="s">
        <v>1667</v>
      </c>
      <c r="P413" s="236">
        <v>45903</v>
      </c>
    </row>
    <row r="414" spans="1:16" ht="51" customHeight="1">
      <c r="A414" s="239" t="s">
        <v>1593</v>
      </c>
      <c r="B414" s="240">
        <v>1417</v>
      </c>
      <c r="C414" s="241">
        <v>77191</v>
      </c>
      <c r="D414" s="239" t="s">
        <v>3818</v>
      </c>
      <c r="E414" s="239" t="s">
        <v>392</v>
      </c>
      <c r="F414" s="239" t="s">
        <v>393</v>
      </c>
      <c r="G414" s="239" t="s">
        <v>961</v>
      </c>
      <c r="H414" s="239" t="s">
        <v>51</v>
      </c>
      <c r="I414" s="239" t="s">
        <v>1580</v>
      </c>
      <c r="J414" s="234">
        <v>46470</v>
      </c>
      <c r="K414" s="234">
        <v>24050</v>
      </c>
      <c r="L414" s="242">
        <v>21</v>
      </c>
      <c r="M414" s="234">
        <v>22420</v>
      </c>
      <c r="N414" s="234">
        <v>17711.8</v>
      </c>
      <c r="O414" s="243" t="s">
        <v>1668</v>
      </c>
      <c r="P414" s="236">
        <v>45903</v>
      </c>
    </row>
    <row r="415" spans="1:16" ht="51" customHeight="1">
      <c r="A415" s="239" t="s">
        <v>1594</v>
      </c>
      <c r="B415" s="240">
        <v>1418</v>
      </c>
      <c r="C415" s="241">
        <v>77189</v>
      </c>
      <c r="D415" s="239" t="s">
        <v>3818</v>
      </c>
      <c r="E415" s="239" t="s">
        <v>390</v>
      </c>
      <c r="F415" s="239" t="s">
        <v>391</v>
      </c>
      <c r="G415" s="239" t="s">
        <v>961</v>
      </c>
      <c r="H415" s="239" t="s">
        <v>51</v>
      </c>
      <c r="I415" s="239" t="s">
        <v>1580</v>
      </c>
      <c r="J415" s="234">
        <v>38410</v>
      </c>
      <c r="K415" s="234">
        <v>14850</v>
      </c>
      <c r="L415" s="242">
        <v>14</v>
      </c>
      <c r="M415" s="234">
        <v>23560</v>
      </c>
      <c r="N415" s="234">
        <v>20261.599999999999</v>
      </c>
      <c r="O415" s="243" t="s">
        <v>1669</v>
      </c>
      <c r="P415" s="236">
        <v>45903</v>
      </c>
    </row>
    <row r="416" spans="1:16" ht="51" customHeight="1">
      <c r="A416" s="239" t="s">
        <v>1595</v>
      </c>
      <c r="B416" s="240">
        <v>1420</v>
      </c>
      <c r="C416" s="241">
        <v>77193</v>
      </c>
      <c r="D416" s="239" t="s">
        <v>3818</v>
      </c>
      <c r="E416" s="239" t="s">
        <v>794</v>
      </c>
      <c r="F416" s="239" t="s">
        <v>795</v>
      </c>
      <c r="G416" s="239" t="s">
        <v>961</v>
      </c>
      <c r="H416" s="239" t="s">
        <v>51</v>
      </c>
      <c r="I416" s="239" t="s">
        <v>1580</v>
      </c>
      <c r="J416" s="234">
        <v>42640</v>
      </c>
      <c r="K416" s="234">
        <v>16100</v>
      </c>
      <c r="L416" s="242">
        <v>11</v>
      </c>
      <c r="M416" s="234">
        <v>26540</v>
      </c>
      <c r="N416" s="234">
        <v>23620.6</v>
      </c>
      <c r="O416" s="243" t="s">
        <v>1670</v>
      </c>
      <c r="P416" s="236">
        <v>45903</v>
      </c>
    </row>
    <row r="417" spans="1:16" ht="51" customHeight="1">
      <c r="A417" s="239" t="s">
        <v>1596</v>
      </c>
      <c r="B417" s="240">
        <v>1421</v>
      </c>
      <c r="C417" s="241">
        <v>77195</v>
      </c>
      <c r="D417" s="239" t="s">
        <v>3818</v>
      </c>
      <c r="E417" s="239" t="s">
        <v>786</v>
      </c>
      <c r="F417" s="239" t="s">
        <v>787</v>
      </c>
      <c r="G417" s="239" t="s">
        <v>961</v>
      </c>
      <c r="H417" s="239" t="s">
        <v>51</v>
      </c>
      <c r="I417" s="239" t="s">
        <v>1580</v>
      </c>
      <c r="J417" s="234">
        <v>36260</v>
      </c>
      <c r="K417" s="234">
        <v>13970</v>
      </c>
      <c r="L417" s="242">
        <v>10</v>
      </c>
      <c r="M417" s="234">
        <v>22290</v>
      </c>
      <c r="N417" s="234">
        <v>20061</v>
      </c>
      <c r="O417" s="243" t="s">
        <v>1671</v>
      </c>
      <c r="P417" s="236">
        <v>45903</v>
      </c>
    </row>
    <row r="418" spans="1:16" ht="51" customHeight="1">
      <c r="A418" s="239" t="s">
        <v>1604</v>
      </c>
      <c r="B418" s="240">
        <v>1432</v>
      </c>
      <c r="C418" s="241">
        <v>77262</v>
      </c>
      <c r="D418" s="239" t="s">
        <v>3818</v>
      </c>
      <c r="E418" s="239" t="s">
        <v>462</v>
      </c>
      <c r="F418" s="239" t="s">
        <v>463</v>
      </c>
      <c r="G418" s="239" t="s">
        <v>961</v>
      </c>
      <c r="H418" s="239" t="s">
        <v>51</v>
      </c>
      <c r="I418" s="239" t="s">
        <v>1580</v>
      </c>
      <c r="J418" s="234">
        <v>21410</v>
      </c>
      <c r="K418" s="234">
        <v>10720</v>
      </c>
      <c r="L418" s="242">
        <v>6</v>
      </c>
      <c r="M418" s="234">
        <v>10690</v>
      </c>
      <c r="N418" s="234">
        <v>10048.6</v>
      </c>
      <c r="O418" s="243" t="s">
        <v>1679</v>
      </c>
      <c r="P418" s="236">
        <v>45904</v>
      </c>
    </row>
    <row r="419" spans="1:16" ht="51" customHeight="1">
      <c r="A419" s="239" t="s">
        <v>1597</v>
      </c>
      <c r="B419" s="240">
        <v>1422</v>
      </c>
      <c r="C419" s="241">
        <v>77199</v>
      </c>
      <c r="D419" s="239" t="s">
        <v>3818</v>
      </c>
      <c r="E419" s="239" t="s">
        <v>783</v>
      </c>
      <c r="F419" s="239" t="s">
        <v>784</v>
      </c>
      <c r="G419" s="239" t="s">
        <v>961</v>
      </c>
      <c r="H419" s="239" t="s">
        <v>51</v>
      </c>
      <c r="I419" s="239" t="s">
        <v>1580</v>
      </c>
      <c r="J419" s="234">
        <v>39940</v>
      </c>
      <c r="K419" s="234">
        <v>14610</v>
      </c>
      <c r="L419" s="242">
        <v>17</v>
      </c>
      <c r="M419" s="234">
        <v>25330</v>
      </c>
      <c r="N419" s="234">
        <v>21023.9</v>
      </c>
      <c r="O419" s="243" t="s">
        <v>1672</v>
      </c>
      <c r="P419" s="236">
        <v>45903</v>
      </c>
    </row>
    <row r="420" spans="1:16" ht="51" customHeight="1">
      <c r="A420" s="239" t="s">
        <v>1603</v>
      </c>
      <c r="B420" s="240">
        <v>1431</v>
      </c>
      <c r="C420" s="241">
        <v>77247</v>
      </c>
      <c r="D420" s="239" t="s">
        <v>3818</v>
      </c>
      <c r="E420" s="239" t="s">
        <v>858</v>
      </c>
      <c r="F420" s="239" t="s">
        <v>859</v>
      </c>
      <c r="G420" s="239" t="s">
        <v>961</v>
      </c>
      <c r="H420" s="239" t="s">
        <v>51</v>
      </c>
      <c r="I420" s="239" t="s">
        <v>1580</v>
      </c>
      <c r="J420" s="234">
        <v>37890</v>
      </c>
      <c r="K420" s="234">
        <v>14660</v>
      </c>
      <c r="L420" s="242">
        <v>7</v>
      </c>
      <c r="M420" s="234">
        <v>23230</v>
      </c>
      <c r="N420" s="234">
        <v>21603.9</v>
      </c>
      <c r="O420" s="243" t="s">
        <v>1678</v>
      </c>
      <c r="P420" s="236">
        <v>45904</v>
      </c>
    </row>
    <row r="421" spans="1:16" ht="51" customHeight="1">
      <c r="A421" s="239" t="s">
        <v>1602</v>
      </c>
      <c r="B421" s="240">
        <v>1429</v>
      </c>
      <c r="C421" s="241">
        <v>77245</v>
      </c>
      <c r="D421" s="239" t="s">
        <v>3818</v>
      </c>
      <c r="E421" s="239" t="s">
        <v>374</v>
      </c>
      <c r="F421" s="239" t="s">
        <v>375</v>
      </c>
      <c r="G421" s="239" t="s">
        <v>961</v>
      </c>
      <c r="H421" s="239" t="s">
        <v>51</v>
      </c>
      <c r="I421" s="239" t="s">
        <v>1580</v>
      </c>
      <c r="J421" s="234">
        <v>39270</v>
      </c>
      <c r="K421" s="234">
        <v>15580</v>
      </c>
      <c r="L421" s="242">
        <v>5</v>
      </c>
      <c r="M421" s="234">
        <v>23690</v>
      </c>
      <c r="N421" s="234">
        <v>22506</v>
      </c>
      <c r="O421" s="243" t="s">
        <v>1677</v>
      </c>
      <c r="P421" s="236">
        <v>45904</v>
      </c>
    </row>
    <row r="422" spans="1:16" ht="51" customHeight="1">
      <c r="A422" s="239" t="s">
        <v>1598</v>
      </c>
      <c r="B422" s="240">
        <v>1423</v>
      </c>
      <c r="C422" s="241">
        <v>77197</v>
      </c>
      <c r="D422" s="239" t="s">
        <v>3818</v>
      </c>
      <c r="E422" s="239" t="s">
        <v>841</v>
      </c>
      <c r="F422" s="239" t="s">
        <v>845</v>
      </c>
      <c r="G422" s="239" t="s">
        <v>961</v>
      </c>
      <c r="H422" s="239" t="s">
        <v>51</v>
      </c>
      <c r="I422" s="239" t="s">
        <v>1580</v>
      </c>
      <c r="J422" s="234">
        <v>42970</v>
      </c>
      <c r="K422" s="234">
        <v>15890</v>
      </c>
      <c r="L422" s="242">
        <v>17</v>
      </c>
      <c r="M422" s="234">
        <v>27080</v>
      </c>
      <c r="N422" s="234">
        <v>22476.400000000001</v>
      </c>
      <c r="O422" s="243" t="s">
        <v>1673</v>
      </c>
      <c r="P422" s="236">
        <v>45904</v>
      </c>
    </row>
    <row r="423" spans="1:16" ht="51" customHeight="1">
      <c r="A423" s="239" t="s">
        <v>1601</v>
      </c>
      <c r="B423" s="240">
        <v>1426</v>
      </c>
      <c r="C423" s="241">
        <v>77237</v>
      </c>
      <c r="D423" s="239" t="s">
        <v>3818</v>
      </c>
      <c r="E423" s="239" t="s">
        <v>386</v>
      </c>
      <c r="F423" s="239" t="s">
        <v>387</v>
      </c>
      <c r="G423" s="239" t="s">
        <v>961</v>
      </c>
      <c r="H423" s="239" t="s">
        <v>51</v>
      </c>
      <c r="I423" s="239" t="s">
        <v>1580</v>
      </c>
      <c r="J423" s="234">
        <v>40090</v>
      </c>
      <c r="K423" s="234">
        <v>15360</v>
      </c>
      <c r="L423" s="242">
        <v>9</v>
      </c>
      <c r="M423" s="234">
        <v>24730</v>
      </c>
      <c r="N423" s="234">
        <v>22504.3</v>
      </c>
      <c r="O423" s="243" t="s">
        <v>1676</v>
      </c>
      <c r="P423" s="236">
        <v>45904</v>
      </c>
    </row>
    <row r="424" spans="1:16" ht="51" customHeight="1">
      <c r="A424" s="239" t="s">
        <v>1600</v>
      </c>
      <c r="B424" s="240">
        <v>1425</v>
      </c>
      <c r="C424" s="241">
        <v>77235</v>
      </c>
      <c r="D424" s="239" t="s">
        <v>3818</v>
      </c>
      <c r="E424" s="239" t="s">
        <v>372</v>
      </c>
      <c r="F424" s="239" t="s">
        <v>373</v>
      </c>
      <c r="G424" s="239" t="s">
        <v>961</v>
      </c>
      <c r="H424" s="239" t="s">
        <v>51</v>
      </c>
      <c r="I424" s="239" t="s">
        <v>1580</v>
      </c>
      <c r="J424" s="234">
        <v>39210</v>
      </c>
      <c r="K424" s="234">
        <v>14870</v>
      </c>
      <c r="L424" s="242">
        <v>15</v>
      </c>
      <c r="M424" s="234">
        <v>24340</v>
      </c>
      <c r="N424" s="234">
        <v>20689</v>
      </c>
      <c r="O424" s="243" t="s">
        <v>1675</v>
      </c>
      <c r="P424" s="236">
        <v>45904</v>
      </c>
    </row>
    <row r="425" spans="1:16" ht="51" customHeight="1">
      <c r="A425" s="239" t="s">
        <v>1599</v>
      </c>
      <c r="B425" s="240">
        <v>1424</v>
      </c>
      <c r="C425" s="241">
        <v>77201</v>
      </c>
      <c r="D425" s="239" t="s">
        <v>3818</v>
      </c>
      <c r="E425" s="239" t="s">
        <v>791</v>
      </c>
      <c r="F425" s="239" t="s">
        <v>792</v>
      </c>
      <c r="G425" s="239" t="s">
        <v>961</v>
      </c>
      <c r="H425" s="239" t="s">
        <v>51</v>
      </c>
      <c r="I425" s="239" t="s">
        <v>1580</v>
      </c>
      <c r="J425" s="234">
        <v>40780</v>
      </c>
      <c r="K425" s="234">
        <v>14930</v>
      </c>
      <c r="L425" s="242">
        <v>16</v>
      </c>
      <c r="M425" s="234">
        <v>25850</v>
      </c>
      <c r="N425" s="234">
        <v>21714</v>
      </c>
      <c r="O425" s="243" t="s">
        <v>1674</v>
      </c>
      <c r="P425" s="236">
        <v>45904</v>
      </c>
    </row>
    <row r="426" spans="1:16" ht="51" customHeight="1">
      <c r="A426" s="239" t="s">
        <v>1612</v>
      </c>
      <c r="B426" s="240">
        <v>1446</v>
      </c>
      <c r="C426" s="241">
        <v>36971</v>
      </c>
      <c r="D426" s="239" t="s">
        <v>3819</v>
      </c>
      <c r="E426" s="239" t="s">
        <v>382</v>
      </c>
      <c r="F426" s="239" t="s">
        <v>383</v>
      </c>
      <c r="G426" s="239" t="s">
        <v>954</v>
      </c>
      <c r="H426" s="239" t="s">
        <v>51</v>
      </c>
      <c r="I426" s="239" t="s">
        <v>1580</v>
      </c>
      <c r="J426" s="234">
        <v>37710</v>
      </c>
      <c r="K426" s="234">
        <v>14560</v>
      </c>
      <c r="L426" s="242">
        <v>5</v>
      </c>
      <c r="M426" s="234">
        <v>23150</v>
      </c>
      <c r="N426" s="234">
        <v>21992.5</v>
      </c>
      <c r="O426" s="243" t="s">
        <v>1684</v>
      </c>
      <c r="P426" s="236">
        <v>45905</v>
      </c>
    </row>
    <row r="427" spans="1:16" ht="51" customHeight="1">
      <c r="A427" s="239" t="s">
        <v>1613</v>
      </c>
      <c r="B427" s="240">
        <v>1447</v>
      </c>
      <c r="C427" s="241">
        <v>36973</v>
      </c>
      <c r="D427" s="239" t="s">
        <v>3819</v>
      </c>
      <c r="E427" s="239" t="s">
        <v>453</v>
      </c>
      <c r="F427" s="239" t="s">
        <v>454</v>
      </c>
      <c r="G427" s="239" t="s">
        <v>954</v>
      </c>
      <c r="H427" s="239" t="s">
        <v>51</v>
      </c>
      <c r="I427" s="239" t="s">
        <v>1580</v>
      </c>
      <c r="J427" s="234">
        <v>54310</v>
      </c>
      <c r="K427" s="234">
        <v>24080</v>
      </c>
      <c r="L427" s="242">
        <v>8</v>
      </c>
      <c r="M427" s="234">
        <v>30230</v>
      </c>
      <c r="N427" s="234">
        <v>27811.599999999999</v>
      </c>
      <c r="O427" s="243" t="s">
        <v>1685</v>
      </c>
      <c r="P427" s="236">
        <v>45905</v>
      </c>
    </row>
    <row r="428" spans="1:16" ht="51" customHeight="1">
      <c r="A428" s="239" t="s">
        <v>1614</v>
      </c>
      <c r="B428" s="240">
        <v>1448</v>
      </c>
      <c r="C428" s="241">
        <v>36975</v>
      </c>
      <c r="D428" s="239" t="s">
        <v>3819</v>
      </c>
      <c r="E428" s="239" t="s">
        <v>456</v>
      </c>
      <c r="F428" s="239" t="s">
        <v>457</v>
      </c>
      <c r="G428" s="239" t="s">
        <v>954</v>
      </c>
      <c r="H428" s="239" t="s">
        <v>51</v>
      </c>
      <c r="I428" s="239" t="s">
        <v>1580</v>
      </c>
      <c r="J428" s="234">
        <v>43750</v>
      </c>
      <c r="K428" s="234">
        <v>15540</v>
      </c>
      <c r="L428" s="242">
        <v>10</v>
      </c>
      <c r="M428" s="234">
        <v>28210</v>
      </c>
      <c r="N428" s="234">
        <v>25389</v>
      </c>
      <c r="O428" s="243" t="s">
        <v>1686</v>
      </c>
      <c r="P428" s="236">
        <v>45905</v>
      </c>
    </row>
    <row r="429" spans="1:16" ht="51" customHeight="1">
      <c r="A429" s="239" t="s">
        <v>1615</v>
      </c>
      <c r="B429" s="240">
        <v>1449</v>
      </c>
      <c r="C429" s="241">
        <v>36967</v>
      </c>
      <c r="D429" s="239" t="s">
        <v>3819</v>
      </c>
      <c r="E429" s="239" t="s">
        <v>786</v>
      </c>
      <c r="F429" s="239" t="s">
        <v>787</v>
      </c>
      <c r="G429" s="239" t="s">
        <v>954</v>
      </c>
      <c r="H429" s="239" t="s">
        <v>51</v>
      </c>
      <c r="I429" s="239" t="s">
        <v>1580</v>
      </c>
      <c r="J429" s="234">
        <v>35210</v>
      </c>
      <c r="K429" s="234">
        <v>13910</v>
      </c>
      <c r="L429" s="242">
        <v>11</v>
      </c>
      <c r="M429" s="234">
        <v>21300</v>
      </c>
      <c r="N429" s="234">
        <v>18957</v>
      </c>
      <c r="O429" s="243" t="s">
        <v>1687</v>
      </c>
      <c r="P429" s="236">
        <v>45905</v>
      </c>
    </row>
    <row r="430" spans="1:16" ht="51" customHeight="1">
      <c r="A430" s="239" t="s">
        <v>1618</v>
      </c>
      <c r="B430" s="240">
        <v>1452</v>
      </c>
      <c r="C430" s="241">
        <v>36957</v>
      </c>
      <c r="D430" s="239" t="s">
        <v>3819</v>
      </c>
      <c r="E430" s="239" t="s">
        <v>475</v>
      </c>
      <c r="F430" s="239" t="s">
        <v>476</v>
      </c>
      <c r="G430" s="239" t="s">
        <v>954</v>
      </c>
      <c r="H430" s="239" t="s">
        <v>51</v>
      </c>
      <c r="I430" s="239" t="s">
        <v>1580</v>
      </c>
      <c r="J430" s="234">
        <v>38410</v>
      </c>
      <c r="K430" s="234">
        <v>16270</v>
      </c>
      <c r="L430" s="242">
        <v>12</v>
      </c>
      <c r="M430" s="234">
        <v>22140</v>
      </c>
      <c r="N430" s="234">
        <v>19483.2</v>
      </c>
      <c r="O430" s="243" t="s">
        <v>1690</v>
      </c>
      <c r="P430" s="236">
        <v>45905</v>
      </c>
    </row>
    <row r="431" spans="1:16" ht="51" customHeight="1">
      <c r="A431" s="239" t="s">
        <v>1619</v>
      </c>
      <c r="B431" s="240">
        <v>1454</v>
      </c>
      <c r="C431" s="241">
        <v>58695</v>
      </c>
      <c r="D431" s="239" t="s">
        <v>3819</v>
      </c>
      <c r="E431" s="239" t="s">
        <v>447</v>
      </c>
      <c r="F431" s="239" t="s">
        <v>448</v>
      </c>
      <c r="G431" s="239" t="s">
        <v>954</v>
      </c>
      <c r="H431" s="239" t="s">
        <v>51</v>
      </c>
      <c r="I431" s="239" t="s">
        <v>1580</v>
      </c>
      <c r="J431" s="234">
        <v>50040</v>
      </c>
      <c r="K431" s="234">
        <v>19260</v>
      </c>
      <c r="L431" s="242">
        <v>8</v>
      </c>
      <c r="M431" s="234">
        <v>30780</v>
      </c>
      <c r="N431" s="234">
        <v>28317.599999999999</v>
      </c>
      <c r="O431" s="243" t="s">
        <v>1691</v>
      </c>
      <c r="P431" s="236">
        <v>45905</v>
      </c>
    </row>
    <row r="432" spans="1:16" ht="51" customHeight="1">
      <c r="A432" s="239" t="s">
        <v>1620</v>
      </c>
      <c r="B432" s="240">
        <v>1455</v>
      </c>
      <c r="C432" s="241">
        <v>58640</v>
      </c>
      <c r="D432" s="239" t="s">
        <v>3819</v>
      </c>
      <c r="E432" s="239" t="s">
        <v>416</v>
      </c>
      <c r="F432" s="239" t="s">
        <v>417</v>
      </c>
      <c r="G432" s="239" t="s">
        <v>954</v>
      </c>
      <c r="H432" s="239" t="s">
        <v>51</v>
      </c>
      <c r="I432" s="239" t="s">
        <v>1580</v>
      </c>
      <c r="J432" s="234">
        <v>38320</v>
      </c>
      <c r="K432" s="234">
        <v>14660</v>
      </c>
      <c r="L432" s="242">
        <v>14</v>
      </c>
      <c r="M432" s="234">
        <v>23660</v>
      </c>
      <c r="N432" s="234">
        <v>20347.599999999999</v>
      </c>
      <c r="O432" s="243" t="s">
        <v>1692</v>
      </c>
      <c r="P432" s="236">
        <v>45905</v>
      </c>
    </row>
    <row r="433" spans="1:16" ht="51" customHeight="1">
      <c r="A433" s="239" t="s">
        <v>1621</v>
      </c>
      <c r="B433" s="240">
        <v>1456</v>
      </c>
      <c r="C433" s="241">
        <v>58642</v>
      </c>
      <c r="D433" s="239" t="s">
        <v>3819</v>
      </c>
      <c r="E433" s="239" t="s">
        <v>420</v>
      </c>
      <c r="F433" s="239" t="s">
        <v>421</v>
      </c>
      <c r="G433" s="239" t="s">
        <v>954</v>
      </c>
      <c r="H433" s="239" t="s">
        <v>51</v>
      </c>
      <c r="I433" s="239" t="s">
        <v>1580</v>
      </c>
      <c r="J433" s="234">
        <v>36840</v>
      </c>
      <c r="K433" s="234">
        <v>14820</v>
      </c>
      <c r="L433" s="242">
        <v>7</v>
      </c>
      <c r="M433" s="234">
        <v>22020</v>
      </c>
      <c r="N433" s="234">
        <v>20478.599999999999</v>
      </c>
      <c r="O433" s="243" t="s">
        <v>1693</v>
      </c>
      <c r="P433" s="236">
        <v>45905</v>
      </c>
    </row>
    <row r="434" spans="1:16" ht="51" customHeight="1">
      <c r="A434" s="239" t="s">
        <v>1623</v>
      </c>
      <c r="B434" s="240">
        <v>1458</v>
      </c>
      <c r="C434" s="241">
        <v>36985</v>
      </c>
      <c r="D434" s="239" t="s">
        <v>3819</v>
      </c>
      <c r="E434" s="239" t="s">
        <v>1422</v>
      </c>
      <c r="F434" s="239" t="s">
        <v>404</v>
      </c>
      <c r="G434" s="239" t="s">
        <v>954</v>
      </c>
      <c r="H434" s="239" t="s">
        <v>51</v>
      </c>
      <c r="I434" s="239" t="s">
        <v>1580</v>
      </c>
      <c r="J434" s="234">
        <v>36040</v>
      </c>
      <c r="K434" s="234">
        <v>14480</v>
      </c>
      <c r="L434" s="242">
        <v>14</v>
      </c>
      <c r="M434" s="234">
        <v>21560</v>
      </c>
      <c r="N434" s="234">
        <v>18541.599999999999</v>
      </c>
      <c r="O434" s="243" t="s">
        <v>1695</v>
      </c>
      <c r="P434" s="236">
        <v>45905</v>
      </c>
    </row>
    <row r="435" spans="1:16" ht="51" customHeight="1">
      <c r="A435" s="239" t="s">
        <v>1624</v>
      </c>
      <c r="B435" s="240">
        <v>1459</v>
      </c>
      <c r="C435" s="241">
        <v>36987</v>
      </c>
      <c r="D435" s="239" t="s">
        <v>3819</v>
      </c>
      <c r="E435" s="239" t="s">
        <v>392</v>
      </c>
      <c r="F435" s="239" t="s">
        <v>393</v>
      </c>
      <c r="G435" s="239" t="s">
        <v>954</v>
      </c>
      <c r="H435" s="239" t="s">
        <v>51</v>
      </c>
      <c r="I435" s="239" t="s">
        <v>1580</v>
      </c>
      <c r="J435" s="234">
        <v>47260</v>
      </c>
      <c r="K435" s="234">
        <v>23990</v>
      </c>
      <c r="L435" s="242">
        <v>19</v>
      </c>
      <c r="M435" s="234">
        <v>23270</v>
      </c>
      <c r="N435" s="234">
        <v>18848.7</v>
      </c>
      <c r="O435" s="243" t="s">
        <v>1696</v>
      </c>
      <c r="P435" s="236">
        <v>45905</v>
      </c>
    </row>
    <row r="436" spans="1:16" ht="51" customHeight="1">
      <c r="A436" s="239" t="s">
        <v>1617</v>
      </c>
      <c r="B436" s="240">
        <v>1460</v>
      </c>
      <c r="C436" s="241">
        <v>36989</v>
      </c>
      <c r="D436" s="239" t="s">
        <v>3819</v>
      </c>
      <c r="E436" s="239" t="s">
        <v>390</v>
      </c>
      <c r="F436" s="239" t="s">
        <v>391</v>
      </c>
      <c r="G436" s="239" t="s">
        <v>954</v>
      </c>
      <c r="H436" s="239" t="s">
        <v>51</v>
      </c>
      <c r="I436" s="239" t="s">
        <v>1580</v>
      </c>
      <c r="J436" s="234">
        <v>37430</v>
      </c>
      <c r="K436" s="234">
        <v>14840</v>
      </c>
      <c r="L436" s="242">
        <v>11</v>
      </c>
      <c r="M436" s="234">
        <v>22590</v>
      </c>
      <c r="N436" s="234">
        <v>20105.099999999999</v>
      </c>
      <c r="O436" s="243" t="s">
        <v>1689</v>
      </c>
      <c r="P436" s="236">
        <v>45905</v>
      </c>
    </row>
    <row r="437" spans="1:16" ht="51" customHeight="1">
      <c r="A437" s="239" t="s">
        <v>1622</v>
      </c>
      <c r="B437" s="240">
        <v>1462</v>
      </c>
      <c r="C437" s="241">
        <v>36991</v>
      </c>
      <c r="D437" s="239" t="s">
        <v>3819</v>
      </c>
      <c r="E437" s="239" t="s">
        <v>388</v>
      </c>
      <c r="F437" s="239" t="s">
        <v>389</v>
      </c>
      <c r="G437" s="239" t="s">
        <v>954</v>
      </c>
      <c r="H437" s="239" t="s">
        <v>51</v>
      </c>
      <c r="I437" s="239" t="s">
        <v>1580</v>
      </c>
      <c r="J437" s="234">
        <v>51650</v>
      </c>
      <c r="K437" s="234">
        <v>20960</v>
      </c>
      <c r="L437" s="242">
        <v>5</v>
      </c>
      <c r="M437" s="234">
        <v>30690</v>
      </c>
      <c r="N437" s="234">
        <v>29155.5</v>
      </c>
      <c r="O437" s="243" t="s">
        <v>1694</v>
      </c>
      <c r="P437" s="236">
        <v>45905</v>
      </c>
    </row>
    <row r="438" spans="1:16" ht="51" customHeight="1">
      <c r="A438" s="239" t="s">
        <v>1625</v>
      </c>
      <c r="B438" s="240">
        <v>1463</v>
      </c>
      <c r="C438" s="241">
        <v>36993</v>
      </c>
      <c r="D438" s="239" t="s">
        <v>3819</v>
      </c>
      <c r="E438" s="239" t="s">
        <v>1410</v>
      </c>
      <c r="F438" s="239" t="s">
        <v>437</v>
      </c>
      <c r="G438" s="239" t="s">
        <v>954</v>
      </c>
      <c r="H438" s="239" t="s">
        <v>51</v>
      </c>
      <c r="I438" s="239" t="s">
        <v>1580</v>
      </c>
      <c r="J438" s="234">
        <v>39560</v>
      </c>
      <c r="K438" s="234">
        <v>14810</v>
      </c>
      <c r="L438" s="242">
        <v>8</v>
      </c>
      <c r="M438" s="234">
        <v>24750</v>
      </c>
      <c r="N438" s="234">
        <v>22770</v>
      </c>
      <c r="O438" s="243" t="s">
        <v>1697</v>
      </c>
      <c r="P438" s="236">
        <v>45905</v>
      </c>
    </row>
    <row r="439" spans="1:16" ht="51" customHeight="1">
      <c r="A439" s="239" t="s">
        <v>1616</v>
      </c>
      <c r="B439" s="240">
        <v>1457</v>
      </c>
      <c r="C439" s="241">
        <v>36983</v>
      </c>
      <c r="D439" s="239" t="s">
        <v>3819</v>
      </c>
      <c r="E439" s="239" t="s">
        <v>406</v>
      </c>
      <c r="F439" s="239" t="s">
        <v>407</v>
      </c>
      <c r="G439" s="239" t="s">
        <v>954</v>
      </c>
      <c r="H439" s="239" t="s">
        <v>51</v>
      </c>
      <c r="I439" s="239" t="s">
        <v>1580</v>
      </c>
      <c r="J439" s="234">
        <v>39030</v>
      </c>
      <c r="K439" s="234">
        <v>14990</v>
      </c>
      <c r="L439" s="242">
        <v>7</v>
      </c>
      <c r="M439" s="234">
        <v>24040</v>
      </c>
      <c r="N439" s="234">
        <v>22357.200000000001</v>
      </c>
      <c r="O439" s="243" t="s">
        <v>1688</v>
      </c>
      <c r="P439" s="236">
        <v>45905</v>
      </c>
    </row>
    <row r="440" spans="1:16" ht="51" customHeight="1">
      <c r="A440" s="239" t="s">
        <v>1626</v>
      </c>
      <c r="B440" s="240">
        <v>1464</v>
      </c>
      <c r="C440" s="241">
        <v>36995</v>
      </c>
      <c r="D440" s="239" t="s">
        <v>3819</v>
      </c>
      <c r="E440" s="239" t="s">
        <v>439</v>
      </c>
      <c r="F440" s="239" t="s">
        <v>440</v>
      </c>
      <c r="G440" s="239" t="s">
        <v>954</v>
      </c>
      <c r="H440" s="239" t="s">
        <v>51</v>
      </c>
      <c r="I440" s="239" t="s">
        <v>1580</v>
      </c>
      <c r="J440" s="234">
        <v>41610</v>
      </c>
      <c r="K440" s="234">
        <v>14950</v>
      </c>
      <c r="L440" s="242">
        <v>9</v>
      </c>
      <c r="M440" s="234">
        <v>26660</v>
      </c>
      <c r="N440" s="234">
        <v>24260.6</v>
      </c>
      <c r="O440" s="243" t="s">
        <v>1698</v>
      </c>
      <c r="P440" s="236">
        <v>45905</v>
      </c>
    </row>
    <row r="441" spans="1:16" ht="51" customHeight="1">
      <c r="A441" s="239" t="s">
        <v>1628</v>
      </c>
      <c r="B441" s="240">
        <v>1468</v>
      </c>
      <c r="C441" s="241">
        <v>37137</v>
      </c>
      <c r="D441" s="239" t="s">
        <v>3819</v>
      </c>
      <c r="E441" s="239" t="s">
        <v>794</v>
      </c>
      <c r="F441" s="239" t="s">
        <v>795</v>
      </c>
      <c r="G441" s="239" t="s">
        <v>948</v>
      </c>
      <c r="H441" s="239" t="s">
        <v>51</v>
      </c>
      <c r="I441" s="239" t="s">
        <v>1580</v>
      </c>
      <c r="J441" s="234">
        <v>42420</v>
      </c>
      <c r="K441" s="234">
        <v>16040</v>
      </c>
      <c r="L441" s="242">
        <v>11</v>
      </c>
      <c r="M441" s="234">
        <v>26380</v>
      </c>
      <c r="N441" s="234">
        <v>23478.2</v>
      </c>
      <c r="O441" s="243" t="s">
        <v>1700</v>
      </c>
      <c r="P441" s="236">
        <v>45907</v>
      </c>
    </row>
    <row r="442" spans="1:16" ht="51" customHeight="1">
      <c r="A442" s="239" t="s">
        <v>1627</v>
      </c>
      <c r="B442" s="240">
        <v>1469</v>
      </c>
      <c r="C442" s="241">
        <v>37139</v>
      </c>
      <c r="D442" s="239" t="s">
        <v>3819</v>
      </c>
      <c r="E442" s="239" t="s">
        <v>841</v>
      </c>
      <c r="F442" s="239" t="s">
        <v>845</v>
      </c>
      <c r="G442" s="239" t="s">
        <v>948</v>
      </c>
      <c r="H442" s="239" t="s">
        <v>51</v>
      </c>
      <c r="I442" s="239" t="s">
        <v>1580</v>
      </c>
      <c r="J442" s="234">
        <v>41610</v>
      </c>
      <c r="K442" s="234">
        <v>15860</v>
      </c>
      <c r="L442" s="242">
        <v>24</v>
      </c>
      <c r="M442" s="234">
        <v>25750</v>
      </c>
      <c r="N442" s="234">
        <v>19570</v>
      </c>
      <c r="O442" s="243" t="s">
        <v>1699</v>
      </c>
      <c r="P442" s="236">
        <v>45907</v>
      </c>
    </row>
    <row r="443" spans="1:16" ht="51" customHeight="1">
      <c r="A443" s="239" t="s">
        <v>1629</v>
      </c>
      <c r="B443" s="240">
        <v>1470</v>
      </c>
      <c r="C443" s="241">
        <v>37141</v>
      </c>
      <c r="D443" s="239" t="s">
        <v>3819</v>
      </c>
      <c r="E443" s="239" t="s">
        <v>783</v>
      </c>
      <c r="F443" s="239" t="s">
        <v>784</v>
      </c>
      <c r="G443" s="239" t="s">
        <v>948</v>
      </c>
      <c r="H443" s="239" t="s">
        <v>51</v>
      </c>
      <c r="I443" s="239" t="s">
        <v>1580</v>
      </c>
      <c r="J443" s="234">
        <v>39610</v>
      </c>
      <c r="K443" s="234">
        <v>14530</v>
      </c>
      <c r="L443" s="242">
        <v>15</v>
      </c>
      <c r="M443" s="234">
        <v>25080</v>
      </c>
      <c r="N443" s="234">
        <v>21318</v>
      </c>
      <c r="O443" s="243" t="s">
        <v>1701</v>
      </c>
      <c r="P443" s="236">
        <v>45907</v>
      </c>
    </row>
    <row r="444" spans="1:16" ht="51" customHeight="1">
      <c r="A444" s="239" t="s">
        <v>1631</v>
      </c>
      <c r="B444" s="240">
        <v>1471</v>
      </c>
      <c r="C444" s="241">
        <v>37143</v>
      </c>
      <c r="D444" s="239" t="s">
        <v>3819</v>
      </c>
      <c r="E444" s="239" t="s">
        <v>791</v>
      </c>
      <c r="F444" s="239" t="s">
        <v>792</v>
      </c>
      <c r="G444" s="239" t="s">
        <v>948</v>
      </c>
      <c r="H444" s="239" t="s">
        <v>51</v>
      </c>
      <c r="I444" s="239" t="s">
        <v>1580</v>
      </c>
      <c r="J444" s="234">
        <v>39580</v>
      </c>
      <c r="K444" s="234">
        <v>14880</v>
      </c>
      <c r="L444" s="242">
        <v>14</v>
      </c>
      <c r="M444" s="234">
        <v>24700</v>
      </c>
      <c r="N444" s="234">
        <v>21242</v>
      </c>
      <c r="O444" s="243" t="s">
        <v>1703</v>
      </c>
      <c r="P444" s="236">
        <v>45908</v>
      </c>
    </row>
    <row r="445" spans="1:16" ht="51" customHeight="1">
      <c r="A445" s="239" t="s">
        <v>1632</v>
      </c>
      <c r="B445" s="240">
        <v>1472</v>
      </c>
      <c r="C445" s="241">
        <v>37149</v>
      </c>
      <c r="D445" s="239" t="s">
        <v>3819</v>
      </c>
      <c r="E445" s="239" t="s">
        <v>1403</v>
      </c>
      <c r="F445" s="239" t="s">
        <v>1404</v>
      </c>
      <c r="G445" s="239" t="s">
        <v>948</v>
      </c>
      <c r="H445" s="239" t="s">
        <v>51</v>
      </c>
      <c r="I445" s="239" t="s">
        <v>1580</v>
      </c>
      <c r="J445" s="234">
        <v>38850</v>
      </c>
      <c r="K445" s="234">
        <v>14940</v>
      </c>
      <c r="L445" s="242">
        <v>20</v>
      </c>
      <c r="M445" s="234">
        <v>23910</v>
      </c>
      <c r="N445" s="234">
        <v>19128</v>
      </c>
      <c r="O445" s="243" t="s">
        <v>1704</v>
      </c>
      <c r="P445" s="236">
        <v>45908</v>
      </c>
    </row>
    <row r="446" spans="1:16" ht="51" customHeight="1">
      <c r="A446" s="239" t="s">
        <v>1633</v>
      </c>
      <c r="B446" s="240">
        <v>1473</v>
      </c>
      <c r="C446" s="241">
        <v>37145</v>
      </c>
      <c r="D446" s="239" t="s">
        <v>3819</v>
      </c>
      <c r="E446" s="239" t="s">
        <v>1397</v>
      </c>
      <c r="F446" s="239" t="s">
        <v>1398</v>
      </c>
      <c r="G446" s="239" t="s">
        <v>948</v>
      </c>
      <c r="H446" s="239" t="s">
        <v>51</v>
      </c>
      <c r="I446" s="239" t="s">
        <v>1580</v>
      </c>
      <c r="J446" s="234">
        <v>42930</v>
      </c>
      <c r="K446" s="234">
        <v>17090</v>
      </c>
      <c r="L446" s="242">
        <v>16</v>
      </c>
      <c r="M446" s="234">
        <v>25840</v>
      </c>
      <c r="N446" s="234">
        <v>21705.599999999999</v>
      </c>
      <c r="O446" s="243" t="s">
        <v>1705</v>
      </c>
      <c r="P446" s="236">
        <v>45908</v>
      </c>
    </row>
    <row r="447" spans="1:16" ht="51" customHeight="1">
      <c r="A447" s="239" t="s">
        <v>1634</v>
      </c>
      <c r="B447" s="240">
        <v>1474</v>
      </c>
      <c r="C447" s="241">
        <v>37147</v>
      </c>
      <c r="D447" s="239" t="s">
        <v>3819</v>
      </c>
      <c r="E447" s="239" t="s">
        <v>1400</v>
      </c>
      <c r="F447" s="239" t="s">
        <v>1401</v>
      </c>
      <c r="G447" s="239" t="s">
        <v>948</v>
      </c>
      <c r="H447" s="239" t="s">
        <v>51</v>
      </c>
      <c r="I447" s="239" t="s">
        <v>1580</v>
      </c>
      <c r="J447" s="234">
        <v>36570</v>
      </c>
      <c r="K447" s="234">
        <v>14800</v>
      </c>
      <c r="L447" s="242">
        <v>9</v>
      </c>
      <c r="M447" s="234">
        <v>21770</v>
      </c>
      <c r="N447" s="234">
        <v>19810.7</v>
      </c>
      <c r="O447" s="243" t="s">
        <v>1706</v>
      </c>
      <c r="P447" s="236">
        <v>45908</v>
      </c>
    </row>
    <row r="448" spans="1:16" ht="51" customHeight="1">
      <c r="A448" s="239" t="s">
        <v>1635</v>
      </c>
      <c r="B448" s="240">
        <v>1475</v>
      </c>
      <c r="C448" s="241">
        <v>37153</v>
      </c>
      <c r="D448" s="239" t="s">
        <v>3819</v>
      </c>
      <c r="E448" s="239" t="s">
        <v>462</v>
      </c>
      <c r="F448" s="239" t="s">
        <v>463</v>
      </c>
      <c r="G448" s="239" t="s">
        <v>948</v>
      </c>
      <c r="H448" s="239" t="s">
        <v>51</v>
      </c>
      <c r="I448" s="239" t="s">
        <v>1580</v>
      </c>
      <c r="J448" s="234">
        <v>39260</v>
      </c>
      <c r="K448" s="234">
        <v>16260</v>
      </c>
      <c r="L448" s="242">
        <v>6</v>
      </c>
      <c r="M448" s="234">
        <v>23000</v>
      </c>
      <c r="N448" s="234">
        <v>21620</v>
      </c>
      <c r="O448" s="243" t="s">
        <v>1707</v>
      </c>
      <c r="P448" s="236">
        <v>45908</v>
      </c>
    </row>
    <row r="449" spans="1:16" ht="51" customHeight="1">
      <c r="A449" s="239" t="s">
        <v>1636</v>
      </c>
      <c r="B449" s="240">
        <v>1476</v>
      </c>
      <c r="C449" s="241">
        <v>37155</v>
      </c>
      <c r="D449" s="239" t="s">
        <v>3819</v>
      </c>
      <c r="E449" s="239" t="s">
        <v>384</v>
      </c>
      <c r="F449" s="239" t="s">
        <v>385</v>
      </c>
      <c r="G449" s="239" t="s">
        <v>948</v>
      </c>
      <c r="H449" s="239" t="s">
        <v>51</v>
      </c>
      <c r="I449" s="239" t="s">
        <v>1580</v>
      </c>
      <c r="J449" s="234">
        <v>35730</v>
      </c>
      <c r="K449" s="234">
        <v>13880</v>
      </c>
      <c r="L449" s="242">
        <v>21</v>
      </c>
      <c r="M449" s="234">
        <v>21850</v>
      </c>
      <c r="N449" s="234">
        <v>17261.5</v>
      </c>
      <c r="O449" s="243" t="s">
        <v>1708</v>
      </c>
      <c r="P449" s="236">
        <v>45908</v>
      </c>
    </row>
    <row r="450" spans="1:16" ht="51" customHeight="1">
      <c r="A450" s="239" t="s">
        <v>1637</v>
      </c>
      <c r="B450" s="240">
        <v>1477</v>
      </c>
      <c r="C450" s="241">
        <v>37151</v>
      </c>
      <c r="D450" s="239" t="s">
        <v>3819</v>
      </c>
      <c r="E450" s="239" t="s">
        <v>786</v>
      </c>
      <c r="F450" s="239" t="s">
        <v>787</v>
      </c>
      <c r="G450" s="239" t="s">
        <v>948</v>
      </c>
      <c r="H450" s="239" t="s">
        <v>51</v>
      </c>
      <c r="I450" s="239" t="s">
        <v>1580</v>
      </c>
      <c r="J450" s="234">
        <v>35690</v>
      </c>
      <c r="K450" s="234">
        <v>13930</v>
      </c>
      <c r="L450" s="242">
        <v>15</v>
      </c>
      <c r="M450" s="234">
        <v>21760</v>
      </c>
      <c r="N450" s="234">
        <v>18496</v>
      </c>
      <c r="O450" s="243" t="s">
        <v>1709</v>
      </c>
      <c r="P450" s="236">
        <v>45908</v>
      </c>
    </row>
    <row r="451" spans="1:16" ht="51" customHeight="1">
      <c r="A451" s="239" t="s">
        <v>1638</v>
      </c>
      <c r="B451" s="240">
        <v>1479</v>
      </c>
      <c r="C451" s="241">
        <v>37157</v>
      </c>
      <c r="D451" s="239" t="s">
        <v>3819</v>
      </c>
      <c r="E451" s="239" t="s">
        <v>377</v>
      </c>
      <c r="F451" s="239" t="s">
        <v>378</v>
      </c>
      <c r="G451" s="239" t="s">
        <v>948</v>
      </c>
      <c r="H451" s="239" t="s">
        <v>51</v>
      </c>
      <c r="I451" s="239" t="s">
        <v>1580</v>
      </c>
      <c r="J451" s="234">
        <v>41690</v>
      </c>
      <c r="K451" s="234">
        <v>15070</v>
      </c>
      <c r="L451" s="242">
        <v>16</v>
      </c>
      <c r="M451" s="234">
        <v>26620</v>
      </c>
      <c r="N451" s="234">
        <v>22360.799999999999</v>
      </c>
      <c r="O451" s="243" t="s">
        <v>1710</v>
      </c>
      <c r="P451" s="236">
        <v>45908</v>
      </c>
    </row>
    <row r="452" spans="1:16" ht="51" customHeight="1">
      <c r="A452" s="239" t="s">
        <v>1630</v>
      </c>
      <c r="B452" s="240">
        <v>1482</v>
      </c>
      <c r="C452" s="241">
        <v>37159</v>
      </c>
      <c r="D452" s="239" t="s">
        <v>3819</v>
      </c>
      <c r="E452" s="239" t="s">
        <v>472</v>
      </c>
      <c r="F452" s="239" t="s">
        <v>473</v>
      </c>
      <c r="G452" s="239" t="s">
        <v>948</v>
      </c>
      <c r="H452" s="239" t="s">
        <v>51</v>
      </c>
      <c r="I452" s="239" t="s">
        <v>1580</v>
      </c>
      <c r="J452" s="234">
        <v>40420</v>
      </c>
      <c r="K452" s="234">
        <v>16500</v>
      </c>
      <c r="L452" s="242">
        <v>12</v>
      </c>
      <c r="M452" s="234">
        <v>23920</v>
      </c>
      <c r="N452" s="234">
        <v>21049.599999999999</v>
      </c>
      <c r="O452" s="243" t="s">
        <v>1702</v>
      </c>
      <c r="P452" s="236">
        <v>45908</v>
      </c>
    </row>
    <row r="453" spans="1:16" ht="51" customHeight="1">
      <c r="A453" s="239" t="s">
        <v>1639</v>
      </c>
      <c r="B453" s="240">
        <v>1483</v>
      </c>
      <c r="C453" s="241">
        <v>37161</v>
      </c>
      <c r="D453" s="239" t="s">
        <v>3819</v>
      </c>
      <c r="E453" s="239" t="s">
        <v>475</v>
      </c>
      <c r="F453" s="239" t="s">
        <v>476</v>
      </c>
      <c r="G453" s="239" t="s">
        <v>948</v>
      </c>
      <c r="H453" s="239" t="s">
        <v>51</v>
      </c>
      <c r="I453" s="239" t="s">
        <v>1580</v>
      </c>
      <c r="J453" s="234">
        <v>38710</v>
      </c>
      <c r="K453" s="234">
        <v>16310</v>
      </c>
      <c r="L453" s="242">
        <v>19</v>
      </c>
      <c r="M453" s="234">
        <v>22400</v>
      </c>
      <c r="N453" s="234">
        <v>18144</v>
      </c>
      <c r="O453" s="243" t="s">
        <v>1711</v>
      </c>
      <c r="P453" s="236">
        <v>45908</v>
      </c>
    </row>
    <row r="454" spans="1:16" ht="51" customHeight="1">
      <c r="A454" s="239" t="s">
        <v>1640</v>
      </c>
      <c r="B454" s="240">
        <v>1487</v>
      </c>
      <c r="C454" s="241">
        <v>37163</v>
      </c>
      <c r="D454" s="239" t="s">
        <v>3819</v>
      </c>
      <c r="E454" s="239" t="s">
        <v>369</v>
      </c>
      <c r="F454" s="239" t="s">
        <v>370</v>
      </c>
      <c r="G454" s="239" t="s">
        <v>948</v>
      </c>
      <c r="H454" s="239" t="s">
        <v>51</v>
      </c>
      <c r="I454" s="239" t="s">
        <v>1580</v>
      </c>
      <c r="J454" s="234">
        <v>38340</v>
      </c>
      <c r="K454" s="234">
        <v>15030</v>
      </c>
      <c r="L454" s="242">
        <v>11</v>
      </c>
      <c r="M454" s="234">
        <v>23310</v>
      </c>
      <c r="N454" s="234">
        <v>20745.900000000001</v>
      </c>
      <c r="O454" s="243" t="s">
        <v>1712</v>
      </c>
      <c r="P454" s="236">
        <v>45908</v>
      </c>
    </row>
    <row r="455" spans="1:16" ht="51" customHeight="1">
      <c r="A455" s="239" t="s">
        <v>1641</v>
      </c>
      <c r="B455" s="240">
        <v>1488</v>
      </c>
      <c r="C455" s="241">
        <v>37167</v>
      </c>
      <c r="D455" s="239" t="s">
        <v>3819</v>
      </c>
      <c r="E455" s="239" t="s">
        <v>374</v>
      </c>
      <c r="F455" s="239" t="s">
        <v>375</v>
      </c>
      <c r="G455" s="239" t="s">
        <v>948</v>
      </c>
      <c r="H455" s="239" t="s">
        <v>51</v>
      </c>
      <c r="I455" s="239" t="s">
        <v>1580</v>
      </c>
      <c r="J455" s="234">
        <v>38340</v>
      </c>
      <c r="K455" s="234">
        <v>15540</v>
      </c>
      <c r="L455" s="242">
        <v>15</v>
      </c>
      <c r="M455" s="234">
        <v>22800</v>
      </c>
      <c r="N455" s="234">
        <v>19380</v>
      </c>
      <c r="O455" s="243" t="s">
        <v>1713</v>
      </c>
      <c r="P455" s="236">
        <v>45908</v>
      </c>
    </row>
    <row r="456" spans="1:16" ht="51" customHeight="1">
      <c r="A456" s="239" t="s">
        <v>1642</v>
      </c>
      <c r="B456" s="240">
        <v>1489</v>
      </c>
      <c r="C456" s="241">
        <v>37165</v>
      </c>
      <c r="D456" s="239" t="s">
        <v>3819</v>
      </c>
      <c r="E456" s="239" t="s">
        <v>380</v>
      </c>
      <c r="F456" s="239" t="s">
        <v>381</v>
      </c>
      <c r="G456" s="239" t="s">
        <v>948</v>
      </c>
      <c r="H456" s="239" t="s">
        <v>51</v>
      </c>
      <c r="I456" s="239" t="s">
        <v>1580</v>
      </c>
      <c r="J456" s="234">
        <v>39840</v>
      </c>
      <c r="K456" s="234">
        <v>15030</v>
      </c>
      <c r="L456" s="242">
        <v>14</v>
      </c>
      <c r="M456" s="234">
        <v>24810</v>
      </c>
      <c r="N456" s="234">
        <v>21336.6</v>
      </c>
      <c r="O456" s="243" t="s">
        <v>1714</v>
      </c>
      <c r="P456" s="236">
        <v>45908</v>
      </c>
    </row>
    <row r="457" spans="1:16" ht="51" customHeight="1">
      <c r="A457" s="239" t="s">
        <v>1643</v>
      </c>
      <c r="B457" s="240">
        <v>1491</v>
      </c>
      <c r="C457" s="241">
        <v>37169</v>
      </c>
      <c r="D457" s="239" t="s">
        <v>3819</v>
      </c>
      <c r="E457" s="239" t="s">
        <v>858</v>
      </c>
      <c r="F457" s="239" t="s">
        <v>859</v>
      </c>
      <c r="G457" s="239" t="s">
        <v>948</v>
      </c>
      <c r="H457" s="239" t="s">
        <v>51</v>
      </c>
      <c r="I457" s="239" t="s">
        <v>1580</v>
      </c>
      <c r="J457" s="234">
        <v>38090</v>
      </c>
      <c r="K457" s="234">
        <v>14680</v>
      </c>
      <c r="L457" s="242">
        <v>9</v>
      </c>
      <c r="M457" s="234">
        <v>23410</v>
      </c>
      <c r="N457" s="234">
        <v>21303.1</v>
      </c>
      <c r="O457" s="243" t="s">
        <v>1715</v>
      </c>
      <c r="P457" s="236">
        <v>45908</v>
      </c>
    </row>
    <row r="458" spans="1:16" ht="51" customHeight="1">
      <c r="A458" s="239" t="s">
        <v>1644</v>
      </c>
      <c r="B458" s="240">
        <v>1494</v>
      </c>
      <c r="C458" s="241">
        <v>37171</v>
      </c>
      <c r="D458" s="239" t="s">
        <v>3819</v>
      </c>
      <c r="E458" s="239" t="s">
        <v>400</v>
      </c>
      <c r="F458" s="239" t="s">
        <v>401</v>
      </c>
      <c r="G458" s="239" t="s">
        <v>948</v>
      </c>
      <c r="H458" s="239" t="s">
        <v>51</v>
      </c>
      <c r="I458" s="239" t="s">
        <v>1580</v>
      </c>
      <c r="J458" s="234">
        <v>37670</v>
      </c>
      <c r="K458" s="234">
        <v>14680</v>
      </c>
      <c r="L458" s="242">
        <v>8</v>
      </c>
      <c r="M458" s="234">
        <v>22990</v>
      </c>
      <c r="N458" s="234">
        <v>21150.799999999999</v>
      </c>
      <c r="O458" s="243" t="s">
        <v>1716</v>
      </c>
      <c r="P458" s="236">
        <v>45908</v>
      </c>
    </row>
    <row r="459" spans="1:16" ht="51" customHeight="1">
      <c r="A459" s="239" t="s">
        <v>1645</v>
      </c>
      <c r="B459" s="240">
        <v>1495</v>
      </c>
      <c r="C459" s="241">
        <v>37173</v>
      </c>
      <c r="D459" s="239" t="s">
        <v>3819</v>
      </c>
      <c r="E459" s="239" t="s">
        <v>372</v>
      </c>
      <c r="F459" s="239" t="s">
        <v>373</v>
      </c>
      <c r="G459" s="239" t="s">
        <v>948</v>
      </c>
      <c r="H459" s="239" t="s">
        <v>51</v>
      </c>
      <c r="I459" s="239" t="s">
        <v>1580</v>
      </c>
      <c r="J459" s="234">
        <v>39320</v>
      </c>
      <c r="K459" s="234">
        <v>14830</v>
      </c>
      <c r="L459" s="242">
        <v>9</v>
      </c>
      <c r="M459" s="234">
        <v>24490</v>
      </c>
      <c r="N459" s="234">
        <v>22285.9</v>
      </c>
      <c r="O459" s="243" t="s">
        <v>1717</v>
      </c>
      <c r="P459" s="236">
        <v>45908</v>
      </c>
    </row>
    <row r="460" spans="1:16" ht="51" customHeight="1">
      <c r="A460" s="239" t="s">
        <v>1646</v>
      </c>
      <c r="B460" s="240">
        <v>1496</v>
      </c>
      <c r="C460" s="241">
        <v>37175</v>
      </c>
      <c r="D460" s="239" t="s">
        <v>3819</v>
      </c>
      <c r="E460" s="239" t="s">
        <v>1305</v>
      </c>
      <c r="F460" s="239" t="s">
        <v>1306</v>
      </c>
      <c r="G460" s="239" t="s">
        <v>948</v>
      </c>
      <c r="H460" s="239" t="s">
        <v>51</v>
      </c>
      <c r="I460" s="239" t="s">
        <v>1580</v>
      </c>
      <c r="J460" s="234">
        <v>35230</v>
      </c>
      <c r="K460" s="234">
        <v>14680</v>
      </c>
      <c r="L460" s="242">
        <v>12</v>
      </c>
      <c r="M460" s="234">
        <v>20550</v>
      </c>
      <c r="N460" s="234">
        <v>18084</v>
      </c>
      <c r="O460" s="243" t="s">
        <v>1718</v>
      </c>
      <c r="P460" s="236">
        <v>45908</v>
      </c>
    </row>
    <row r="461" spans="1:16" ht="51" customHeight="1">
      <c r="A461" s="239" t="s">
        <v>1652</v>
      </c>
      <c r="B461" s="240">
        <v>1500</v>
      </c>
      <c r="C461" s="241">
        <v>37177</v>
      </c>
      <c r="D461" s="239" t="s">
        <v>3819</v>
      </c>
      <c r="E461" s="239" t="s">
        <v>403</v>
      </c>
      <c r="F461" s="239" t="s">
        <v>404</v>
      </c>
      <c r="G461" s="239" t="s">
        <v>948</v>
      </c>
      <c r="H461" s="239" t="s">
        <v>51</v>
      </c>
      <c r="I461" s="239" t="s">
        <v>1580</v>
      </c>
      <c r="J461" s="234">
        <v>39450</v>
      </c>
      <c r="K461" s="234">
        <v>14520</v>
      </c>
      <c r="L461" s="242">
        <v>6</v>
      </c>
      <c r="M461" s="234">
        <v>24930</v>
      </c>
      <c r="N461" s="234">
        <v>23434.2</v>
      </c>
      <c r="O461" s="243" t="s">
        <v>1722</v>
      </c>
      <c r="P461" s="236">
        <v>45908</v>
      </c>
    </row>
    <row r="462" spans="1:16" ht="51" customHeight="1">
      <c r="A462" s="239" t="s">
        <v>1653</v>
      </c>
      <c r="B462" s="240">
        <v>1501</v>
      </c>
      <c r="C462" s="241">
        <v>37179</v>
      </c>
      <c r="D462" s="239" t="s">
        <v>3819</v>
      </c>
      <c r="E462" s="239" t="s">
        <v>406</v>
      </c>
      <c r="F462" s="239" t="s">
        <v>407</v>
      </c>
      <c r="G462" s="239" t="s">
        <v>948</v>
      </c>
      <c r="H462" s="239" t="s">
        <v>51</v>
      </c>
      <c r="I462" s="239" t="s">
        <v>1580</v>
      </c>
      <c r="J462" s="234">
        <v>40120</v>
      </c>
      <c r="K462" s="234">
        <v>14970</v>
      </c>
      <c r="L462" s="242">
        <v>7</v>
      </c>
      <c r="M462" s="234">
        <v>25150</v>
      </c>
      <c r="N462" s="234">
        <v>23389.5</v>
      </c>
      <c r="O462" s="243" t="s">
        <v>1723</v>
      </c>
      <c r="P462" s="236">
        <v>45908</v>
      </c>
    </row>
    <row r="463" spans="1:16" ht="51" customHeight="1">
      <c r="A463" s="239" t="s">
        <v>1654</v>
      </c>
      <c r="B463" s="240">
        <v>1503</v>
      </c>
      <c r="C463" s="241">
        <v>37181</v>
      </c>
      <c r="D463" s="239" t="s">
        <v>3819</v>
      </c>
      <c r="E463" s="239" t="s">
        <v>780</v>
      </c>
      <c r="F463" s="239" t="s">
        <v>781</v>
      </c>
      <c r="G463" s="239" t="s">
        <v>948</v>
      </c>
      <c r="H463" s="239" t="s">
        <v>51</v>
      </c>
      <c r="I463" s="239" t="s">
        <v>1580</v>
      </c>
      <c r="J463" s="234">
        <v>36000</v>
      </c>
      <c r="K463" s="234">
        <v>14780</v>
      </c>
      <c r="L463" s="242">
        <v>6</v>
      </c>
      <c r="M463" s="234">
        <v>21220</v>
      </c>
      <c r="N463" s="234">
        <v>19946.8</v>
      </c>
      <c r="O463" s="243" t="s">
        <v>1724</v>
      </c>
      <c r="P463" s="236">
        <v>45908</v>
      </c>
    </row>
    <row r="464" spans="1:16" ht="51" customHeight="1">
      <c r="A464" s="239" t="s">
        <v>1656</v>
      </c>
      <c r="B464" s="240">
        <v>1504</v>
      </c>
      <c r="C464" s="241">
        <v>37183</v>
      </c>
      <c r="D464" s="239" t="s">
        <v>3819</v>
      </c>
      <c r="E464" s="239" t="s">
        <v>410</v>
      </c>
      <c r="F464" s="239" t="s">
        <v>411</v>
      </c>
      <c r="G464" s="239" t="s">
        <v>948</v>
      </c>
      <c r="H464" s="239" t="s">
        <v>51</v>
      </c>
      <c r="I464" s="239" t="s">
        <v>1580</v>
      </c>
      <c r="J464" s="234">
        <v>37990</v>
      </c>
      <c r="K464" s="234">
        <v>14940</v>
      </c>
      <c r="L464" s="242">
        <v>15</v>
      </c>
      <c r="M464" s="234">
        <v>23050</v>
      </c>
      <c r="N464" s="234">
        <v>19592.5</v>
      </c>
      <c r="O464" s="243" t="s">
        <v>1726</v>
      </c>
      <c r="P464" s="236">
        <v>45908</v>
      </c>
    </row>
    <row r="465" spans="1:16" ht="51" customHeight="1">
      <c r="A465" s="239" t="s">
        <v>1647</v>
      </c>
      <c r="B465" s="240">
        <v>1506</v>
      </c>
      <c r="C465" s="241">
        <v>37189</v>
      </c>
      <c r="D465" s="239" t="s">
        <v>3819</v>
      </c>
      <c r="E465" s="239" t="s">
        <v>1648</v>
      </c>
      <c r="F465" s="239" t="s">
        <v>1649</v>
      </c>
      <c r="G465" s="239" t="s">
        <v>948</v>
      </c>
      <c r="H465" s="239" t="s">
        <v>51</v>
      </c>
      <c r="I465" s="239" t="s">
        <v>1580</v>
      </c>
      <c r="J465" s="234">
        <v>39020</v>
      </c>
      <c r="K465" s="234">
        <v>15630</v>
      </c>
      <c r="L465" s="242">
        <v>14</v>
      </c>
      <c r="M465" s="234">
        <v>23390</v>
      </c>
      <c r="N465" s="234">
        <v>20115.400000000001</v>
      </c>
      <c r="O465" s="243" t="s">
        <v>1719</v>
      </c>
      <c r="P465" s="236">
        <v>45908</v>
      </c>
    </row>
    <row r="466" spans="1:16" ht="51" customHeight="1">
      <c r="A466" s="239" t="s">
        <v>1650</v>
      </c>
      <c r="B466" s="240">
        <v>1507</v>
      </c>
      <c r="C466" s="241">
        <v>37187</v>
      </c>
      <c r="D466" s="239" t="s">
        <v>3819</v>
      </c>
      <c r="E466" s="239" t="s">
        <v>413</v>
      </c>
      <c r="F466" s="239" t="s">
        <v>414</v>
      </c>
      <c r="G466" s="239" t="s">
        <v>948</v>
      </c>
      <c r="H466" s="239" t="s">
        <v>51</v>
      </c>
      <c r="I466" s="239" t="s">
        <v>1580</v>
      </c>
      <c r="J466" s="234">
        <v>43120</v>
      </c>
      <c r="K466" s="234">
        <v>14890</v>
      </c>
      <c r="L466" s="242">
        <v>7</v>
      </c>
      <c r="M466" s="234">
        <v>28230</v>
      </c>
      <c r="N466" s="234">
        <v>26253.9</v>
      </c>
      <c r="O466" s="243" t="s">
        <v>1720</v>
      </c>
      <c r="P466" s="236">
        <v>45908</v>
      </c>
    </row>
    <row r="467" spans="1:16" ht="51" customHeight="1">
      <c r="A467" s="239" t="s">
        <v>1651</v>
      </c>
      <c r="B467" s="240">
        <v>1508</v>
      </c>
      <c r="C467" s="241">
        <v>37185</v>
      </c>
      <c r="D467" s="239" t="s">
        <v>3819</v>
      </c>
      <c r="E467" s="239" t="s">
        <v>432</v>
      </c>
      <c r="F467" s="239" t="s">
        <v>433</v>
      </c>
      <c r="G467" s="239" t="s">
        <v>948</v>
      </c>
      <c r="H467" s="239" t="s">
        <v>51</v>
      </c>
      <c r="I467" s="239" t="s">
        <v>1580</v>
      </c>
      <c r="J467" s="234">
        <v>41580</v>
      </c>
      <c r="K467" s="234">
        <v>15500</v>
      </c>
      <c r="L467" s="242">
        <v>14</v>
      </c>
      <c r="M467" s="234">
        <v>26080</v>
      </c>
      <c r="N467" s="234">
        <v>22428.799999999999</v>
      </c>
      <c r="O467" s="243" t="s">
        <v>1721</v>
      </c>
      <c r="P467" s="236">
        <v>45908</v>
      </c>
    </row>
    <row r="468" spans="1:16" ht="51" customHeight="1">
      <c r="A468" s="239" t="s">
        <v>1655</v>
      </c>
      <c r="B468" s="240">
        <v>1509</v>
      </c>
      <c r="C468" s="241">
        <v>37195</v>
      </c>
      <c r="D468" s="239" t="s">
        <v>3819</v>
      </c>
      <c r="E468" s="239" t="s">
        <v>447</v>
      </c>
      <c r="F468" s="239" t="s">
        <v>448</v>
      </c>
      <c r="G468" s="239" t="s">
        <v>948</v>
      </c>
      <c r="H468" s="239" t="s">
        <v>51</v>
      </c>
      <c r="I468" s="239" t="s">
        <v>1580</v>
      </c>
      <c r="J468" s="234">
        <v>52150</v>
      </c>
      <c r="K468" s="234">
        <v>19280</v>
      </c>
      <c r="L468" s="242">
        <v>9</v>
      </c>
      <c r="M468" s="234">
        <v>32870</v>
      </c>
      <c r="N468" s="234">
        <v>29911.7</v>
      </c>
      <c r="O468" s="243" t="s">
        <v>1725</v>
      </c>
      <c r="P468" s="236">
        <v>45908</v>
      </c>
    </row>
    <row r="469" spans="1:16" ht="51" customHeight="1">
      <c r="A469" s="239" t="s">
        <v>1657</v>
      </c>
      <c r="B469" s="240">
        <v>1510</v>
      </c>
      <c r="C469" s="241">
        <v>37197</v>
      </c>
      <c r="D469" s="239" t="s">
        <v>3819</v>
      </c>
      <c r="E469" s="239" t="s">
        <v>429</v>
      </c>
      <c r="F469" s="239" t="s">
        <v>430</v>
      </c>
      <c r="G469" s="239" t="s">
        <v>948</v>
      </c>
      <c r="H469" s="239" t="s">
        <v>51</v>
      </c>
      <c r="I469" s="239" t="s">
        <v>1580</v>
      </c>
      <c r="J469" s="234">
        <v>38480</v>
      </c>
      <c r="K469" s="234">
        <v>14190</v>
      </c>
      <c r="L469" s="242">
        <v>11</v>
      </c>
      <c r="M469" s="234">
        <v>24290</v>
      </c>
      <c r="N469" s="234">
        <v>21618.1</v>
      </c>
      <c r="O469" s="243" t="s">
        <v>1727</v>
      </c>
      <c r="P469" s="236">
        <v>45908</v>
      </c>
    </row>
    <row r="470" spans="1:16" ht="51" customHeight="1">
      <c r="A470" s="239" t="s">
        <v>1658</v>
      </c>
      <c r="B470" s="240">
        <v>1511</v>
      </c>
      <c r="C470" s="241">
        <v>37191</v>
      </c>
      <c r="D470" s="239" t="s">
        <v>3819</v>
      </c>
      <c r="E470" s="239" t="s">
        <v>1410</v>
      </c>
      <c r="F470" s="239" t="s">
        <v>437</v>
      </c>
      <c r="G470" s="239" t="s">
        <v>948</v>
      </c>
      <c r="H470" s="239" t="s">
        <v>51</v>
      </c>
      <c r="I470" s="239" t="s">
        <v>1580</v>
      </c>
      <c r="J470" s="234">
        <v>40490</v>
      </c>
      <c r="K470" s="234">
        <v>14790</v>
      </c>
      <c r="L470" s="242">
        <v>5</v>
      </c>
      <c r="M470" s="234">
        <v>25700</v>
      </c>
      <c r="N470" s="234">
        <v>24415</v>
      </c>
      <c r="O470" s="243" t="s">
        <v>1728</v>
      </c>
      <c r="P470" s="236">
        <v>45908</v>
      </c>
    </row>
    <row r="471" spans="1:16" ht="51" customHeight="1">
      <c r="A471" s="239" t="s">
        <v>1659</v>
      </c>
      <c r="B471" s="240">
        <v>1512</v>
      </c>
      <c r="C471" s="241">
        <v>37193</v>
      </c>
      <c r="D471" s="239" t="s">
        <v>3819</v>
      </c>
      <c r="E471" s="239" t="s">
        <v>439</v>
      </c>
      <c r="F471" s="239" t="s">
        <v>440</v>
      </c>
      <c r="G471" s="239" t="s">
        <v>948</v>
      </c>
      <c r="H471" s="239" t="s">
        <v>51</v>
      </c>
      <c r="I471" s="239" t="s">
        <v>1580</v>
      </c>
      <c r="J471" s="234">
        <v>38990</v>
      </c>
      <c r="K471" s="234">
        <v>14890</v>
      </c>
      <c r="L471" s="242">
        <v>12</v>
      </c>
      <c r="M471" s="234">
        <v>24100</v>
      </c>
      <c r="N471" s="234">
        <v>21208</v>
      </c>
      <c r="O471" s="243" t="s">
        <v>1729</v>
      </c>
      <c r="P471" s="236">
        <v>45908</v>
      </c>
    </row>
    <row r="472" spans="1:16" ht="51" customHeight="1">
      <c r="A472" s="239" t="s">
        <v>1660</v>
      </c>
      <c r="B472" s="240">
        <v>1513</v>
      </c>
      <c r="C472" s="241">
        <v>37199</v>
      </c>
      <c r="D472" s="239" t="s">
        <v>3819</v>
      </c>
      <c r="E472" s="239" t="s">
        <v>416</v>
      </c>
      <c r="F472" s="239" t="s">
        <v>417</v>
      </c>
      <c r="G472" s="239" t="s">
        <v>948</v>
      </c>
      <c r="H472" s="239" t="s">
        <v>51</v>
      </c>
      <c r="I472" s="239" t="s">
        <v>1580</v>
      </c>
      <c r="J472" s="234">
        <v>37570</v>
      </c>
      <c r="K472" s="234">
        <v>14680</v>
      </c>
      <c r="L472" s="242">
        <v>10</v>
      </c>
      <c r="M472" s="234">
        <v>22890</v>
      </c>
      <c r="N472" s="234">
        <v>20601</v>
      </c>
      <c r="O472" s="243" t="s">
        <v>1730</v>
      </c>
      <c r="P472" s="236">
        <v>45909</v>
      </c>
    </row>
    <row r="473" spans="1:16" ht="51" customHeight="1">
      <c r="A473" s="239" t="s">
        <v>1731</v>
      </c>
      <c r="B473" s="240">
        <v>1514</v>
      </c>
      <c r="C473" s="241">
        <v>37204</v>
      </c>
      <c r="D473" s="239" t="s">
        <v>3819</v>
      </c>
      <c r="E473" s="239" t="s">
        <v>420</v>
      </c>
      <c r="F473" s="239" t="s">
        <v>421</v>
      </c>
      <c r="G473" s="239" t="s">
        <v>948</v>
      </c>
      <c r="H473" s="239" t="s">
        <v>51</v>
      </c>
      <c r="I473" s="239" t="s">
        <v>1580</v>
      </c>
      <c r="J473" s="234">
        <v>36160</v>
      </c>
      <c r="K473" s="234">
        <v>14800</v>
      </c>
      <c r="L473" s="242">
        <v>7</v>
      </c>
      <c r="M473" s="234">
        <v>21360</v>
      </c>
      <c r="N473" s="234">
        <v>19864.8</v>
      </c>
      <c r="O473" s="243" t="s">
        <v>1751</v>
      </c>
      <c r="P473" s="236">
        <v>45909</v>
      </c>
    </row>
    <row r="474" spans="1:16" ht="51" customHeight="1">
      <c r="A474" s="239" t="s">
        <v>1732</v>
      </c>
      <c r="B474" s="240">
        <v>1515</v>
      </c>
      <c r="C474" s="241">
        <v>37224</v>
      </c>
      <c r="D474" s="239" t="s">
        <v>3819</v>
      </c>
      <c r="E474" s="239" t="s">
        <v>1663</v>
      </c>
      <c r="F474" s="239" t="s">
        <v>1733</v>
      </c>
      <c r="G474" s="239" t="s">
        <v>948</v>
      </c>
      <c r="H474" s="239" t="s">
        <v>51</v>
      </c>
      <c r="I474" s="239" t="s">
        <v>1580</v>
      </c>
      <c r="J474" s="234">
        <v>39140</v>
      </c>
      <c r="K474" s="234">
        <v>15480</v>
      </c>
      <c r="L474" s="242">
        <v>9</v>
      </c>
      <c r="M474" s="234">
        <v>23660</v>
      </c>
      <c r="N474" s="234">
        <v>21530.6</v>
      </c>
      <c r="O474" s="243" t="s">
        <v>1752</v>
      </c>
      <c r="P474" s="236">
        <v>45909</v>
      </c>
    </row>
    <row r="475" spans="1:16" ht="51" customHeight="1">
      <c r="A475" s="239" t="s">
        <v>1734</v>
      </c>
      <c r="B475" s="240">
        <v>1516</v>
      </c>
      <c r="C475" s="241">
        <v>37257</v>
      </c>
      <c r="D475" s="239" t="s">
        <v>3819</v>
      </c>
      <c r="E475" s="239" t="s">
        <v>794</v>
      </c>
      <c r="F475" s="239" t="s">
        <v>795</v>
      </c>
      <c r="G475" s="239" t="s">
        <v>948</v>
      </c>
      <c r="H475" s="239" t="s">
        <v>51</v>
      </c>
      <c r="I475" s="239" t="s">
        <v>1580</v>
      </c>
      <c r="J475" s="234">
        <v>42950</v>
      </c>
      <c r="K475" s="234">
        <v>16050</v>
      </c>
      <c r="L475" s="242">
        <v>8</v>
      </c>
      <c r="M475" s="234">
        <v>26900</v>
      </c>
      <c r="N475" s="234">
        <v>24748</v>
      </c>
      <c r="O475" s="243" t="s">
        <v>1753</v>
      </c>
      <c r="P475" s="236">
        <v>45909</v>
      </c>
    </row>
    <row r="476" spans="1:16" ht="51" customHeight="1">
      <c r="A476" s="239" t="s">
        <v>1735</v>
      </c>
      <c r="B476" s="240">
        <v>1518</v>
      </c>
      <c r="C476" s="241">
        <v>37247</v>
      </c>
      <c r="D476" s="239" t="s">
        <v>3819</v>
      </c>
      <c r="E476" s="239" t="s">
        <v>382</v>
      </c>
      <c r="F476" s="239" t="s">
        <v>383</v>
      </c>
      <c r="G476" s="239" t="s">
        <v>948</v>
      </c>
      <c r="H476" s="239" t="s">
        <v>51</v>
      </c>
      <c r="I476" s="239" t="s">
        <v>1580</v>
      </c>
      <c r="J476" s="234">
        <v>36290</v>
      </c>
      <c r="K476" s="234">
        <v>14540</v>
      </c>
      <c r="L476" s="242">
        <v>7</v>
      </c>
      <c r="M476" s="234">
        <v>21750</v>
      </c>
      <c r="N476" s="234">
        <v>20227.5</v>
      </c>
      <c r="O476" s="243" t="s">
        <v>1754</v>
      </c>
      <c r="P476" s="236">
        <v>45909</v>
      </c>
    </row>
    <row r="477" spans="1:16" ht="51" customHeight="1">
      <c r="A477" s="239" t="s">
        <v>1738</v>
      </c>
      <c r="B477" s="240">
        <v>1519</v>
      </c>
      <c r="C477" s="241">
        <v>37263</v>
      </c>
      <c r="D477" s="239" t="s">
        <v>3819</v>
      </c>
      <c r="E477" s="239" t="s">
        <v>462</v>
      </c>
      <c r="F477" s="239" t="s">
        <v>463</v>
      </c>
      <c r="G477" s="239" t="s">
        <v>948</v>
      </c>
      <c r="H477" s="239" t="s">
        <v>51</v>
      </c>
      <c r="I477" s="239" t="s">
        <v>1580</v>
      </c>
      <c r="J477" s="234">
        <v>40640</v>
      </c>
      <c r="K477" s="234">
        <v>16300</v>
      </c>
      <c r="L477" s="242">
        <v>10</v>
      </c>
      <c r="M477" s="234">
        <v>24340</v>
      </c>
      <c r="N477" s="234">
        <v>21906</v>
      </c>
      <c r="O477" s="243" t="s">
        <v>1757</v>
      </c>
      <c r="P477" s="236">
        <v>45909</v>
      </c>
    </row>
    <row r="478" spans="1:16" ht="51" customHeight="1">
      <c r="A478" s="239" t="s">
        <v>1739</v>
      </c>
      <c r="B478" s="240">
        <v>1520</v>
      </c>
      <c r="C478" s="241">
        <v>37259</v>
      </c>
      <c r="D478" s="239" t="s">
        <v>3819</v>
      </c>
      <c r="E478" s="239" t="s">
        <v>791</v>
      </c>
      <c r="F478" s="239" t="s">
        <v>792</v>
      </c>
      <c r="G478" s="239" t="s">
        <v>948</v>
      </c>
      <c r="H478" s="239" t="s">
        <v>51</v>
      </c>
      <c r="I478" s="239" t="s">
        <v>1580</v>
      </c>
      <c r="J478" s="234">
        <v>40300</v>
      </c>
      <c r="K478" s="234">
        <v>14910</v>
      </c>
      <c r="L478" s="242">
        <v>12</v>
      </c>
      <c r="M478" s="234">
        <v>25390</v>
      </c>
      <c r="N478" s="234">
        <v>22343.200000000001</v>
      </c>
      <c r="O478" s="243" t="s">
        <v>1758</v>
      </c>
      <c r="P478" s="236">
        <v>45909</v>
      </c>
    </row>
    <row r="479" spans="1:16" ht="51" customHeight="1">
      <c r="A479" s="239" t="s">
        <v>1740</v>
      </c>
      <c r="B479" s="240">
        <v>1521</v>
      </c>
      <c r="C479" s="241">
        <v>37261</v>
      </c>
      <c r="D479" s="239" t="s">
        <v>3819</v>
      </c>
      <c r="E479" s="239" t="s">
        <v>841</v>
      </c>
      <c r="F479" s="239" t="s">
        <v>845</v>
      </c>
      <c r="G479" s="239" t="s">
        <v>948</v>
      </c>
      <c r="H479" s="239" t="s">
        <v>51</v>
      </c>
      <c r="I479" s="239" t="s">
        <v>1580</v>
      </c>
      <c r="J479" s="234">
        <v>43550</v>
      </c>
      <c r="K479" s="234">
        <v>15910</v>
      </c>
      <c r="L479" s="242">
        <v>8</v>
      </c>
      <c r="M479" s="234">
        <v>27640</v>
      </c>
      <c r="N479" s="234">
        <v>25428.799999999999</v>
      </c>
      <c r="O479" s="243" t="s">
        <v>1759</v>
      </c>
      <c r="P479" s="236">
        <v>45909</v>
      </c>
    </row>
    <row r="480" spans="1:16" ht="51" customHeight="1">
      <c r="A480" s="239" t="s">
        <v>1741</v>
      </c>
      <c r="B480" s="240">
        <v>1528</v>
      </c>
      <c r="C480" s="241">
        <v>37267</v>
      </c>
      <c r="D480" s="239" t="s">
        <v>3819</v>
      </c>
      <c r="E480" s="239" t="s">
        <v>475</v>
      </c>
      <c r="F480" s="239" t="s">
        <v>476</v>
      </c>
      <c r="G480" s="239" t="s">
        <v>955</v>
      </c>
      <c r="H480" s="239" t="s">
        <v>51</v>
      </c>
      <c r="I480" s="239" t="s">
        <v>1580</v>
      </c>
      <c r="J480" s="234">
        <v>40620</v>
      </c>
      <c r="K480" s="234">
        <v>16320</v>
      </c>
      <c r="L480" s="242">
        <v>7</v>
      </c>
      <c r="M480" s="234">
        <v>24300</v>
      </c>
      <c r="N480" s="234">
        <v>22599</v>
      </c>
      <c r="O480" s="243" t="s">
        <v>1760</v>
      </c>
      <c r="P480" s="236">
        <v>45909</v>
      </c>
    </row>
    <row r="481" spans="1:16" ht="51" customHeight="1">
      <c r="A481" s="239" t="s">
        <v>1745</v>
      </c>
      <c r="B481" s="240">
        <v>1522</v>
      </c>
      <c r="C481" s="241">
        <v>37251</v>
      </c>
      <c r="D481" s="239" t="s">
        <v>3819</v>
      </c>
      <c r="E481" s="239" t="s">
        <v>1397</v>
      </c>
      <c r="F481" s="239" t="s">
        <v>1398</v>
      </c>
      <c r="G481" s="239" t="s">
        <v>948</v>
      </c>
      <c r="H481" s="239" t="s">
        <v>51</v>
      </c>
      <c r="I481" s="239" t="s">
        <v>1580</v>
      </c>
      <c r="J481" s="234">
        <v>43010</v>
      </c>
      <c r="K481" s="234">
        <v>16860</v>
      </c>
      <c r="L481" s="242">
        <v>9</v>
      </c>
      <c r="M481" s="234">
        <v>26150</v>
      </c>
      <c r="N481" s="234">
        <v>23796.5</v>
      </c>
      <c r="O481" s="243" t="s">
        <v>1764</v>
      </c>
      <c r="P481" s="236">
        <v>45909</v>
      </c>
    </row>
    <row r="482" spans="1:16" ht="51" customHeight="1">
      <c r="A482" s="239" t="s">
        <v>1746</v>
      </c>
      <c r="B482" s="240">
        <v>1523</v>
      </c>
      <c r="C482" s="241">
        <v>37253</v>
      </c>
      <c r="D482" s="239" t="s">
        <v>3819</v>
      </c>
      <c r="E482" s="239" t="s">
        <v>1403</v>
      </c>
      <c r="F482" s="239" t="s">
        <v>1404</v>
      </c>
      <c r="G482" s="239" t="s">
        <v>948</v>
      </c>
      <c r="H482" s="239" t="s">
        <v>51</v>
      </c>
      <c r="I482" s="239" t="s">
        <v>1580</v>
      </c>
      <c r="J482" s="234">
        <v>38590</v>
      </c>
      <c r="K482" s="234">
        <v>14990</v>
      </c>
      <c r="L482" s="242">
        <v>15</v>
      </c>
      <c r="M482" s="234">
        <v>23600</v>
      </c>
      <c r="N482" s="234">
        <v>20060</v>
      </c>
      <c r="O482" s="243" t="s">
        <v>1765</v>
      </c>
      <c r="P482" s="236">
        <v>45909</v>
      </c>
    </row>
    <row r="483" spans="1:16" ht="51" customHeight="1">
      <c r="A483" s="239" t="s">
        <v>1748</v>
      </c>
      <c r="B483" s="240">
        <v>1524</v>
      </c>
      <c r="C483" s="241">
        <v>37255</v>
      </c>
      <c r="D483" s="239" t="s">
        <v>3819</v>
      </c>
      <c r="E483" s="239" t="s">
        <v>1400</v>
      </c>
      <c r="F483" s="239" t="s">
        <v>1401</v>
      </c>
      <c r="G483" s="239" t="s">
        <v>948</v>
      </c>
      <c r="H483" s="239" t="s">
        <v>51</v>
      </c>
      <c r="I483" s="239" t="s">
        <v>1580</v>
      </c>
      <c r="J483" s="234">
        <v>36670</v>
      </c>
      <c r="K483" s="234">
        <v>14750</v>
      </c>
      <c r="L483" s="242">
        <v>10</v>
      </c>
      <c r="M483" s="234">
        <v>21920</v>
      </c>
      <c r="N483" s="234">
        <v>19728</v>
      </c>
      <c r="O483" s="243" t="s">
        <v>1767</v>
      </c>
      <c r="P483" s="236">
        <v>45909</v>
      </c>
    </row>
    <row r="484" spans="1:16" ht="51" customHeight="1">
      <c r="A484" s="239" t="s">
        <v>1750</v>
      </c>
      <c r="B484" s="240">
        <v>1527</v>
      </c>
      <c r="C484" s="241">
        <v>37265</v>
      </c>
      <c r="D484" s="239" t="s">
        <v>3819</v>
      </c>
      <c r="E484" s="239" t="s">
        <v>472</v>
      </c>
      <c r="F484" s="239" t="s">
        <v>473</v>
      </c>
      <c r="G484" s="239" t="s">
        <v>948</v>
      </c>
      <c r="H484" s="239" t="s">
        <v>51</v>
      </c>
      <c r="I484" s="239" t="s">
        <v>1580</v>
      </c>
      <c r="J484" s="234">
        <v>39300</v>
      </c>
      <c r="K484" s="234">
        <v>16490</v>
      </c>
      <c r="L484" s="242">
        <v>13</v>
      </c>
      <c r="M484" s="234">
        <v>22810</v>
      </c>
      <c r="N484" s="234">
        <v>19844.7</v>
      </c>
      <c r="O484" s="243" t="s">
        <v>1769</v>
      </c>
      <c r="P484" s="236">
        <v>45909</v>
      </c>
    </row>
    <row r="485" spans="1:16" ht="51" customHeight="1">
      <c r="A485" s="239" t="s">
        <v>1736</v>
      </c>
      <c r="B485" s="240">
        <v>1531</v>
      </c>
      <c r="C485" s="241">
        <v>37269</v>
      </c>
      <c r="D485" s="239" t="s">
        <v>3819</v>
      </c>
      <c r="E485" s="239" t="s">
        <v>453</v>
      </c>
      <c r="F485" s="239" t="s">
        <v>454</v>
      </c>
      <c r="G485" s="239" t="s">
        <v>955</v>
      </c>
      <c r="H485" s="239" t="s">
        <v>51</v>
      </c>
      <c r="I485" s="239" t="s">
        <v>1580</v>
      </c>
      <c r="J485" s="234">
        <v>52810</v>
      </c>
      <c r="K485" s="234">
        <v>24090</v>
      </c>
      <c r="L485" s="242">
        <v>11</v>
      </c>
      <c r="M485" s="234">
        <v>28720</v>
      </c>
      <c r="N485" s="234">
        <v>25560.799999999999</v>
      </c>
      <c r="O485" s="243" t="s">
        <v>1755</v>
      </c>
      <c r="P485" s="236">
        <v>45909</v>
      </c>
    </row>
    <row r="486" spans="1:16" ht="51" customHeight="1">
      <c r="A486" s="239" t="s">
        <v>1737</v>
      </c>
      <c r="B486" s="240">
        <v>1532</v>
      </c>
      <c r="C486" s="241">
        <v>37271</v>
      </c>
      <c r="D486" s="239" t="s">
        <v>3819</v>
      </c>
      <c r="E486" s="239" t="s">
        <v>456</v>
      </c>
      <c r="F486" s="239" t="s">
        <v>457</v>
      </c>
      <c r="G486" s="239" t="s">
        <v>955</v>
      </c>
      <c r="H486" s="239" t="s">
        <v>51</v>
      </c>
      <c r="I486" s="239" t="s">
        <v>1580</v>
      </c>
      <c r="J486" s="234">
        <v>44390</v>
      </c>
      <c r="K486" s="234">
        <v>15510</v>
      </c>
      <c r="L486" s="242">
        <v>4</v>
      </c>
      <c r="M486" s="234">
        <v>28880</v>
      </c>
      <c r="N486" s="234">
        <v>27724.799999999999</v>
      </c>
      <c r="O486" s="243" t="s">
        <v>1756</v>
      </c>
      <c r="P486" s="236">
        <v>45909</v>
      </c>
    </row>
    <row r="487" spans="1:16" ht="51" customHeight="1">
      <c r="A487" s="239" t="s">
        <v>1742</v>
      </c>
      <c r="B487" s="240">
        <v>1541</v>
      </c>
      <c r="C487" s="241">
        <v>37275</v>
      </c>
      <c r="D487" s="239" t="s">
        <v>3819</v>
      </c>
      <c r="E487" s="239" t="s">
        <v>390</v>
      </c>
      <c r="F487" s="239" t="s">
        <v>391</v>
      </c>
      <c r="G487" s="239" t="s">
        <v>955</v>
      </c>
      <c r="H487" s="239" t="s">
        <v>51</v>
      </c>
      <c r="I487" s="239" t="s">
        <v>1580</v>
      </c>
      <c r="J487" s="234">
        <v>39830</v>
      </c>
      <c r="K487" s="234">
        <v>15060</v>
      </c>
      <c r="L487" s="242">
        <v>9</v>
      </c>
      <c r="M487" s="234">
        <v>24770</v>
      </c>
      <c r="N487" s="234">
        <v>22540.7</v>
      </c>
      <c r="O487" s="243" t="s">
        <v>1761</v>
      </c>
      <c r="P487" s="236">
        <v>45909</v>
      </c>
    </row>
    <row r="488" spans="1:16" ht="51" customHeight="1">
      <c r="A488" s="239" t="s">
        <v>1743</v>
      </c>
      <c r="B488" s="240">
        <v>1542</v>
      </c>
      <c r="C488" s="241">
        <v>37277</v>
      </c>
      <c r="D488" s="239" t="s">
        <v>3819</v>
      </c>
      <c r="E488" s="239" t="s">
        <v>377</v>
      </c>
      <c r="F488" s="239" t="s">
        <v>378</v>
      </c>
      <c r="G488" s="239" t="s">
        <v>955</v>
      </c>
      <c r="H488" s="239" t="s">
        <v>51</v>
      </c>
      <c r="I488" s="239" t="s">
        <v>1580</v>
      </c>
      <c r="J488" s="234">
        <v>41750</v>
      </c>
      <c r="K488" s="234">
        <v>15110</v>
      </c>
      <c r="L488" s="242">
        <v>12</v>
      </c>
      <c r="M488" s="234">
        <v>26640</v>
      </c>
      <c r="N488" s="234">
        <v>23443.200000000001</v>
      </c>
      <c r="O488" s="243" t="s">
        <v>1762</v>
      </c>
      <c r="P488" s="236">
        <v>45909</v>
      </c>
    </row>
    <row r="489" spans="1:16" ht="51" customHeight="1">
      <c r="A489" s="239" t="s">
        <v>1744</v>
      </c>
      <c r="B489" s="240">
        <v>1543</v>
      </c>
      <c r="C489" s="241">
        <v>37273</v>
      </c>
      <c r="D489" s="239" t="s">
        <v>3819</v>
      </c>
      <c r="E489" s="239" t="s">
        <v>392</v>
      </c>
      <c r="F489" s="239" t="s">
        <v>393</v>
      </c>
      <c r="G489" s="239" t="s">
        <v>955</v>
      </c>
      <c r="H489" s="239" t="s">
        <v>51</v>
      </c>
      <c r="I489" s="239" t="s">
        <v>1580</v>
      </c>
      <c r="J489" s="234">
        <v>58480</v>
      </c>
      <c r="K489" s="234">
        <v>24100</v>
      </c>
      <c r="L489" s="242">
        <v>12</v>
      </c>
      <c r="M489" s="234">
        <v>34380</v>
      </c>
      <c r="N489" s="234">
        <v>30254.400000000001</v>
      </c>
      <c r="O489" s="243" t="s">
        <v>1763</v>
      </c>
      <c r="P489" s="236">
        <v>45909</v>
      </c>
    </row>
    <row r="490" spans="1:16" ht="51" customHeight="1">
      <c r="A490" s="239" t="s">
        <v>1747</v>
      </c>
      <c r="B490" s="240">
        <v>1544</v>
      </c>
      <c r="C490" s="241">
        <v>37279</v>
      </c>
      <c r="D490" s="239" t="s">
        <v>3819</v>
      </c>
      <c r="E490" s="239" t="s">
        <v>388</v>
      </c>
      <c r="F490" s="239" t="s">
        <v>389</v>
      </c>
      <c r="G490" s="239" t="s">
        <v>955</v>
      </c>
      <c r="H490" s="239" t="s">
        <v>51</v>
      </c>
      <c r="I490" s="239" t="s">
        <v>1580</v>
      </c>
      <c r="J490" s="234">
        <v>52910</v>
      </c>
      <c r="K490" s="234">
        <v>20890</v>
      </c>
      <c r="L490" s="242">
        <v>9</v>
      </c>
      <c r="M490" s="234">
        <v>32020</v>
      </c>
      <c r="N490" s="234">
        <v>29138.2</v>
      </c>
      <c r="O490" s="243" t="s">
        <v>1766</v>
      </c>
      <c r="P490" s="236">
        <v>45909</v>
      </c>
    </row>
    <row r="491" spans="1:16" ht="51" customHeight="1">
      <c r="A491" s="239" t="s">
        <v>1749</v>
      </c>
      <c r="B491" s="240">
        <v>1545</v>
      </c>
      <c r="C491" s="241">
        <v>37288</v>
      </c>
      <c r="D491" s="239" t="s">
        <v>3819</v>
      </c>
      <c r="E491" s="239" t="s">
        <v>866</v>
      </c>
      <c r="F491" s="239" t="s">
        <v>867</v>
      </c>
      <c r="G491" s="239" t="s">
        <v>955</v>
      </c>
      <c r="H491" s="239" t="s">
        <v>51</v>
      </c>
      <c r="I491" s="239" t="s">
        <v>1580</v>
      </c>
      <c r="J491" s="234">
        <v>39090</v>
      </c>
      <c r="K491" s="234">
        <v>14460</v>
      </c>
      <c r="L491" s="242">
        <v>8</v>
      </c>
      <c r="M491" s="234">
        <v>24630</v>
      </c>
      <c r="N491" s="234">
        <v>22659.599999999999</v>
      </c>
      <c r="O491" s="243" t="s">
        <v>1768</v>
      </c>
      <c r="P491" s="236">
        <v>45909</v>
      </c>
    </row>
    <row r="492" spans="1:16" ht="51" customHeight="1">
      <c r="A492" s="239" t="s">
        <v>1770</v>
      </c>
      <c r="B492" s="240">
        <v>1546</v>
      </c>
      <c r="C492" s="241">
        <v>37281</v>
      </c>
      <c r="D492" s="239" t="s">
        <v>3819</v>
      </c>
      <c r="E492" s="239" t="s">
        <v>380</v>
      </c>
      <c r="F492" s="239" t="s">
        <v>381</v>
      </c>
      <c r="G492" s="239" t="s">
        <v>955</v>
      </c>
      <c r="H492" s="239" t="s">
        <v>51</v>
      </c>
      <c r="I492" s="239" t="s">
        <v>1580</v>
      </c>
      <c r="J492" s="234">
        <v>38440</v>
      </c>
      <c r="K492" s="234">
        <v>15080</v>
      </c>
      <c r="L492" s="242">
        <v>8</v>
      </c>
      <c r="M492" s="234">
        <v>23360</v>
      </c>
      <c r="N492" s="234">
        <v>21491.200000000001</v>
      </c>
      <c r="O492" s="243" t="s">
        <v>1772</v>
      </c>
      <c r="P492" s="236">
        <v>45909</v>
      </c>
    </row>
    <row r="493" spans="1:16" ht="51" customHeight="1">
      <c r="A493" s="239" t="s">
        <v>1771</v>
      </c>
      <c r="B493" s="240">
        <v>1549</v>
      </c>
      <c r="C493" s="241">
        <v>37290</v>
      </c>
      <c r="D493" s="239" t="s">
        <v>3819</v>
      </c>
      <c r="E493" s="239" t="s">
        <v>374</v>
      </c>
      <c r="F493" s="239" t="s">
        <v>375</v>
      </c>
      <c r="G493" s="239" t="s">
        <v>955</v>
      </c>
      <c r="H493" s="239" t="s">
        <v>51</v>
      </c>
      <c r="I493" s="239" t="s">
        <v>1580</v>
      </c>
      <c r="J493" s="234">
        <v>40000</v>
      </c>
      <c r="K493" s="234">
        <v>15560</v>
      </c>
      <c r="L493" s="242">
        <v>7</v>
      </c>
      <c r="M493" s="234">
        <v>24440</v>
      </c>
      <c r="N493" s="234">
        <v>22729.200000000001</v>
      </c>
      <c r="O493" s="243" t="s">
        <v>1773</v>
      </c>
      <c r="P493" s="236">
        <v>45909</v>
      </c>
    </row>
    <row r="494" spans="1:16" ht="51" customHeight="1">
      <c r="A494" s="239" t="s">
        <v>1775</v>
      </c>
      <c r="B494" s="240">
        <v>1556</v>
      </c>
      <c r="C494" s="241">
        <v>37300</v>
      </c>
      <c r="D494" s="239" t="s">
        <v>3819</v>
      </c>
      <c r="E494" s="239" t="s">
        <v>783</v>
      </c>
      <c r="F494" s="239" t="s">
        <v>784</v>
      </c>
      <c r="G494" s="239" t="s">
        <v>955</v>
      </c>
      <c r="H494" s="239" t="s">
        <v>51</v>
      </c>
      <c r="I494" s="239" t="s">
        <v>1580</v>
      </c>
      <c r="J494" s="234">
        <v>40910</v>
      </c>
      <c r="K494" s="234">
        <v>14520</v>
      </c>
      <c r="L494" s="242">
        <v>12</v>
      </c>
      <c r="M494" s="234">
        <v>26390</v>
      </c>
      <c r="N494" s="234">
        <v>23223.200000000001</v>
      </c>
      <c r="O494" s="243" t="s">
        <v>1782</v>
      </c>
      <c r="P494" s="236">
        <v>45912</v>
      </c>
    </row>
    <row r="495" spans="1:16" ht="51" customHeight="1">
      <c r="A495" s="239" t="s">
        <v>1776</v>
      </c>
      <c r="B495" s="240">
        <v>1558</v>
      </c>
      <c r="C495" s="241">
        <v>37306</v>
      </c>
      <c r="D495" s="239" t="s">
        <v>3819</v>
      </c>
      <c r="E495" s="239" t="s">
        <v>1648</v>
      </c>
      <c r="F495" s="239" t="s">
        <v>1649</v>
      </c>
      <c r="G495" s="239" t="s">
        <v>955</v>
      </c>
      <c r="H495" s="239" t="s">
        <v>51</v>
      </c>
      <c r="I495" s="239" t="s">
        <v>1580</v>
      </c>
      <c r="J495" s="234">
        <v>40600</v>
      </c>
      <c r="K495" s="234">
        <v>15710</v>
      </c>
      <c r="L495" s="242">
        <v>9</v>
      </c>
      <c r="M495" s="234">
        <v>24890</v>
      </c>
      <c r="N495" s="234">
        <v>22649.9</v>
      </c>
      <c r="O495" s="243" t="s">
        <v>1783</v>
      </c>
      <c r="P495" s="236">
        <v>45912</v>
      </c>
    </row>
    <row r="496" spans="1:16" ht="51" customHeight="1">
      <c r="A496" s="239" t="s">
        <v>1777</v>
      </c>
      <c r="B496" s="240">
        <v>1560</v>
      </c>
      <c r="C496" s="241">
        <v>37302</v>
      </c>
      <c r="D496" s="239" t="s">
        <v>3819</v>
      </c>
      <c r="E496" s="239" t="s">
        <v>1663</v>
      </c>
      <c r="F496" s="239" t="s">
        <v>1733</v>
      </c>
      <c r="G496" s="239" t="s">
        <v>955</v>
      </c>
      <c r="H496" s="239" t="s">
        <v>51</v>
      </c>
      <c r="I496" s="239" t="s">
        <v>1580</v>
      </c>
      <c r="J496" s="234">
        <v>39700</v>
      </c>
      <c r="K496" s="234">
        <v>15550</v>
      </c>
      <c r="L496" s="242">
        <v>10</v>
      </c>
      <c r="M496" s="234">
        <v>24150</v>
      </c>
      <c r="N496" s="234">
        <v>21735</v>
      </c>
      <c r="O496" s="243" t="s">
        <v>1784</v>
      </c>
      <c r="P496" s="236">
        <v>45912</v>
      </c>
    </row>
    <row r="497" spans="1:16" ht="51" customHeight="1">
      <c r="A497" s="239" t="s">
        <v>1778</v>
      </c>
      <c r="B497" s="240">
        <v>1559</v>
      </c>
      <c r="C497" s="241">
        <v>37304</v>
      </c>
      <c r="D497" s="239" t="s">
        <v>3819</v>
      </c>
      <c r="E497" s="239" t="s">
        <v>1305</v>
      </c>
      <c r="F497" s="239" t="s">
        <v>1306</v>
      </c>
      <c r="G497" s="239" t="s">
        <v>955</v>
      </c>
      <c r="H497" s="239" t="s">
        <v>51</v>
      </c>
      <c r="I497" s="239" t="s">
        <v>1580</v>
      </c>
      <c r="J497" s="234">
        <v>37430</v>
      </c>
      <c r="K497" s="234">
        <v>14730</v>
      </c>
      <c r="L497" s="242">
        <v>9</v>
      </c>
      <c r="M497" s="234">
        <v>22700</v>
      </c>
      <c r="N497" s="234">
        <v>20657</v>
      </c>
      <c r="O497" s="243" t="s">
        <v>1785</v>
      </c>
      <c r="P497" s="236">
        <v>45912</v>
      </c>
    </row>
    <row r="498" spans="1:16" ht="51" customHeight="1">
      <c r="A498" s="239" t="s">
        <v>1779</v>
      </c>
      <c r="B498" s="240">
        <v>1561</v>
      </c>
      <c r="C498" s="241">
        <v>37310</v>
      </c>
      <c r="D498" s="239" t="s">
        <v>3819</v>
      </c>
      <c r="E498" s="239" t="s">
        <v>413</v>
      </c>
      <c r="F498" s="239" t="s">
        <v>414</v>
      </c>
      <c r="G498" s="239" t="s">
        <v>955</v>
      </c>
      <c r="H498" s="239" t="s">
        <v>51</v>
      </c>
      <c r="I498" s="239" t="s">
        <v>1580</v>
      </c>
      <c r="J498" s="234">
        <v>42430</v>
      </c>
      <c r="K498" s="234">
        <v>14900</v>
      </c>
      <c r="L498" s="242">
        <v>7</v>
      </c>
      <c r="M498" s="234">
        <v>27530</v>
      </c>
      <c r="N498" s="234">
        <v>25602.9</v>
      </c>
      <c r="O498" s="243" t="s">
        <v>1786</v>
      </c>
      <c r="P498" s="236">
        <v>45912</v>
      </c>
    </row>
    <row r="499" spans="1:16" ht="51" customHeight="1">
      <c r="A499" s="239" t="s">
        <v>1780</v>
      </c>
      <c r="B499" s="240">
        <v>1562</v>
      </c>
      <c r="C499" s="241">
        <v>37312</v>
      </c>
      <c r="D499" s="239" t="s">
        <v>3819</v>
      </c>
      <c r="E499" s="239" t="s">
        <v>429</v>
      </c>
      <c r="F499" s="239" t="s">
        <v>430</v>
      </c>
      <c r="G499" s="239" t="s">
        <v>955</v>
      </c>
      <c r="H499" s="239" t="s">
        <v>51</v>
      </c>
      <c r="I499" s="239" t="s">
        <v>1580</v>
      </c>
      <c r="J499" s="234">
        <v>38530</v>
      </c>
      <c r="K499" s="234">
        <v>14170</v>
      </c>
      <c r="L499" s="242">
        <v>6</v>
      </c>
      <c r="M499" s="234">
        <v>24360</v>
      </c>
      <c r="N499" s="234">
        <v>22898.400000000001</v>
      </c>
      <c r="O499" s="243" t="s">
        <v>1787</v>
      </c>
      <c r="P499" s="236">
        <v>45912</v>
      </c>
    </row>
    <row r="500" spans="1:16" ht="51" customHeight="1">
      <c r="A500" s="239" t="s">
        <v>1781</v>
      </c>
      <c r="B500" s="240">
        <v>1563</v>
      </c>
      <c r="C500" s="241">
        <v>37308</v>
      </c>
      <c r="D500" s="239" t="s">
        <v>3819</v>
      </c>
      <c r="E500" s="239" t="s">
        <v>432</v>
      </c>
      <c r="F500" s="239" t="s">
        <v>433</v>
      </c>
      <c r="G500" s="239" t="s">
        <v>955</v>
      </c>
      <c r="H500" s="239" t="s">
        <v>51</v>
      </c>
      <c r="I500" s="239" t="s">
        <v>1580</v>
      </c>
      <c r="J500" s="234">
        <v>42220</v>
      </c>
      <c r="K500" s="234">
        <v>15550</v>
      </c>
      <c r="L500" s="242">
        <v>8</v>
      </c>
      <c r="M500" s="234">
        <v>26670</v>
      </c>
      <c r="N500" s="234">
        <v>24536.400000000001</v>
      </c>
      <c r="O500" s="243" t="s">
        <v>1788</v>
      </c>
      <c r="P500" s="236">
        <v>45912</v>
      </c>
    </row>
    <row r="501" spans="1:16" ht="51" customHeight="1">
      <c r="A501" s="239" t="s">
        <v>1790</v>
      </c>
      <c r="B501" s="240">
        <v>1564</v>
      </c>
      <c r="C501" s="241">
        <v>37314</v>
      </c>
      <c r="D501" s="239" t="s">
        <v>3819</v>
      </c>
      <c r="E501" s="239" t="s">
        <v>416</v>
      </c>
      <c r="F501" s="239" t="s">
        <v>417</v>
      </c>
      <c r="G501" s="239" t="s">
        <v>955</v>
      </c>
      <c r="H501" s="239" t="s">
        <v>51</v>
      </c>
      <c r="I501" s="239" t="s">
        <v>1580</v>
      </c>
      <c r="J501" s="234">
        <v>37070</v>
      </c>
      <c r="K501" s="234">
        <v>14680</v>
      </c>
      <c r="L501" s="242">
        <v>8</v>
      </c>
      <c r="M501" s="234">
        <v>22390</v>
      </c>
      <c r="N501" s="234">
        <v>20598.8</v>
      </c>
      <c r="O501" s="243" t="s">
        <v>1841</v>
      </c>
      <c r="P501" s="236">
        <v>45912</v>
      </c>
    </row>
    <row r="502" spans="1:16" ht="51" customHeight="1">
      <c r="A502" s="239" t="s">
        <v>1791</v>
      </c>
      <c r="B502" s="240">
        <v>1565</v>
      </c>
      <c r="C502" s="241">
        <v>37316</v>
      </c>
      <c r="D502" s="239" t="s">
        <v>3819</v>
      </c>
      <c r="E502" s="239" t="s">
        <v>384</v>
      </c>
      <c r="F502" s="239" t="s">
        <v>385</v>
      </c>
      <c r="G502" s="239" t="s">
        <v>955</v>
      </c>
      <c r="H502" s="239" t="s">
        <v>51</v>
      </c>
      <c r="I502" s="239" t="s">
        <v>1580</v>
      </c>
      <c r="J502" s="234">
        <v>36000</v>
      </c>
      <c r="K502" s="234">
        <v>13860</v>
      </c>
      <c r="L502" s="242">
        <v>11</v>
      </c>
      <c r="M502" s="234">
        <v>22140</v>
      </c>
      <c r="N502" s="234">
        <v>19704.599999999999</v>
      </c>
      <c r="O502" s="243" t="s">
        <v>1842</v>
      </c>
      <c r="P502" s="236">
        <v>45912</v>
      </c>
    </row>
    <row r="503" spans="1:16" ht="51" customHeight="1">
      <c r="A503" s="239" t="s">
        <v>1797</v>
      </c>
      <c r="B503" s="240">
        <v>1566</v>
      </c>
      <c r="C503" s="241">
        <v>37320</v>
      </c>
      <c r="D503" s="239" t="s">
        <v>3819</v>
      </c>
      <c r="E503" s="239" t="s">
        <v>372</v>
      </c>
      <c r="F503" s="239" t="s">
        <v>373</v>
      </c>
      <c r="G503" s="239" t="s">
        <v>955</v>
      </c>
      <c r="H503" s="239" t="s">
        <v>51</v>
      </c>
      <c r="I503" s="239" t="s">
        <v>1580</v>
      </c>
      <c r="J503" s="234">
        <v>38520</v>
      </c>
      <c r="K503" s="234">
        <v>14850</v>
      </c>
      <c r="L503" s="242">
        <v>7</v>
      </c>
      <c r="M503" s="234">
        <v>23670</v>
      </c>
      <c r="N503" s="234">
        <v>22013.1</v>
      </c>
      <c r="O503" s="243" t="s">
        <v>1843</v>
      </c>
      <c r="P503" s="236">
        <v>45912</v>
      </c>
    </row>
    <row r="504" spans="1:16" ht="51" customHeight="1">
      <c r="A504" s="239" t="s">
        <v>1798</v>
      </c>
      <c r="B504" s="240">
        <v>1567</v>
      </c>
      <c r="C504" s="241">
        <v>37322</v>
      </c>
      <c r="D504" s="239" t="s">
        <v>3819</v>
      </c>
      <c r="E504" s="239" t="s">
        <v>369</v>
      </c>
      <c r="F504" s="239" t="s">
        <v>370</v>
      </c>
      <c r="G504" s="239" t="s">
        <v>955</v>
      </c>
      <c r="H504" s="239" t="s">
        <v>51</v>
      </c>
      <c r="I504" s="239" t="s">
        <v>1580</v>
      </c>
      <c r="J504" s="234">
        <v>38600</v>
      </c>
      <c r="K504" s="234">
        <v>15070</v>
      </c>
      <c r="L504" s="242">
        <v>14</v>
      </c>
      <c r="M504" s="234">
        <v>23530</v>
      </c>
      <c r="N504" s="234">
        <v>20235.8</v>
      </c>
      <c r="O504" s="243" t="s">
        <v>1844</v>
      </c>
      <c r="P504" s="236">
        <v>45912</v>
      </c>
    </row>
    <row r="505" spans="1:16" ht="51" customHeight="1">
      <c r="A505" s="239" t="s">
        <v>1801</v>
      </c>
      <c r="B505" s="240">
        <v>1568</v>
      </c>
      <c r="C505" s="241">
        <v>37324</v>
      </c>
      <c r="D505" s="239" t="s">
        <v>3819</v>
      </c>
      <c r="E505" s="239" t="s">
        <v>386</v>
      </c>
      <c r="F505" s="239" t="s">
        <v>387</v>
      </c>
      <c r="G505" s="239" t="s">
        <v>955</v>
      </c>
      <c r="H505" s="239" t="s">
        <v>51</v>
      </c>
      <c r="I505" s="239" t="s">
        <v>1580</v>
      </c>
      <c r="J505" s="234">
        <v>39790</v>
      </c>
      <c r="K505" s="234">
        <v>15420</v>
      </c>
      <c r="L505" s="242">
        <v>11</v>
      </c>
      <c r="M505" s="234">
        <v>24370</v>
      </c>
      <c r="N505" s="234">
        <v>21689.3</v>
      </c>
      <c r="O505" s="243" t="s">
        <v>1845</v>
      </c>
      <c r="P505" s="236">
        <v>45912</v>
      </c>
    </row>
    <row r="506" spans="1:16" ht="51" customHeight="1">
      <c r="A506" s="239" t="s">
        <v>1802</v>
      </c>
      <c r="B506" s="240">
        <v>1570</v>
      </c>
      <c r="C506" s="241">
        <v>37344</v>
      </c>
      <c r="D506" s="239" t="s">
        <v>3819</v>
      </c>
      <c r="E506" s="239" t="s">
        <v>1397</v>
      </c>
      <c r="F506" s="239" t="s">
        <v>1398</v>
      </c>
      <c r="G506" s="239" t="s">
        <v>955</v>
      </c>
      <c r="H506" s="239" t="s">
        <v>51</v>
      </c>
      <c r="I506" s="239" t="s">
        <v>1580</v>
      </c>
      <c r="J506" s="234">
        <v>41800</v>
      </c>
      <c r="K506" s="234">
        <v>16740</v>
      </c>
      <c r="L506" s="242">
        <v>9</v>
      </c>
      <c r="M506" s="234">
        <v>25060</v>
      </c>
      <c r="N506" s="234">
        <v>22804.6</v>
      </c>
      <c r="O506" s="243" t="s">
        <v>1846</v>
      </c>
      <c r="P506" s="236">
        <v>45912</v>
      </c>
    </row>
    <row r="507" spans="1:16" ht="51" customHeight="1">
      <c r="A507" s="239" t="s">
        <v>1803</v>
      </c>
      <c r="B507" s="240">
        <v>1569</v>
      </c>
      <c r="C507" s="241">
        <v>37346</v>
      </c>
      <c r="D507" s="239" t="s">
        <v>3819</v>
      </c>
      <c r="E507" s="239" t="s">
        <v>1403</v>
      </c>
      <c r="F507" s="239" t="s">
        <v>1404</v>
      </c>
      <c r="G507" s="239" t="s">
        <v>955</v>
      </c>
      <c r="H507" s="239" t="s">
        <v>51</v>
      </c>
      <c r="I507" s="239" t="s">
        <v>1580</v>
      </c>
      <c r="J507" s="234">
        <v>38410</v>
      </c>
      <c r="K507" s="234">
        <v>14950</v>
      </c>
      <c r="L507" s="242">
        <v>5</v>
      </c>
      <c r="M507" s="234">
        <v>23460</v>
      </c>
      <c r="N507" s="234">
        <v>22287</v>
      </c>
      <c r="O507" s="243" t="s">
        <v>1847</v>
      </c>
      <c r="P507" s="236">
        <v>45912</v>
      </c>
    </row>
    <row r="508" spans="1:16" ht="51" customHeight="1">
      <c r="A508" s="239" t="s">
        <v>1805</v>
      </c>
      <c r="B508" s="240">
        <v>1571</v>
      </c>
      <c r="C508" s="241">
        <v>37348</v>
      </c>
      <c r="D508" s="239" t="s">
        <v>3819</v>
      </c>
      <c r="E508" s="239" t="s">
        <v>1400</v>
      </c>
      <c r="F508" s="239" t="s">
        <v>1401</v>
      </c>
      <c r="G508" s="239" t="s">
        <v>955</v>
      </c>
      <c r="H508" s="239" t="s">
        <v>51</v>
      </c>
      <c r="I508" s="239" t="s">
        <v>1580</v>
      </c>
      <c r="J508" s="234">
        <v>36940</v>
      </c>
      <c r="K508" s="234">
        <v>14740</v>
      </c>
      <c r="L508" s="242">
        <v>13</v>
      </c>
      <c r="M508" s="234">
        <v>22200</v>
      </c>
      <c r="N508" s="234">
        <v>19314</v>
      </c>
      <c r="O508" s="243" t="s">
        <v>1848</v>
      </c>
      <c r="P508" s="236">
        <v>45912</v>
      </c>
    </row>
    <row r="509" spans="1:16" ht="51" customHeight="1">
      <c r="A509" s="239" t="s">
        <v>1789</v>
      </c>
      <c r="B509" s="240">
        <v>1572</v>
      </c>
      <c r="C509" s="241">
        <v>37318</v>
      </c>
      <c r="D509" s="239" t="s">
        <v>3819</v>
      </c>
      <c r="E509" s="239" t="s">
        <v>453</v>
      </c>
      <c r="F509" s="239" t="s">
        <v>454</v>
      </c>
      <c r="G509" s="239" t="s">
        <v>955</v>
      </c>
      <c r="H509" s="239" t="s">
        <v>51</v>
      </c>
      <c r="I509" s="239" t="s">
        <v>1580</v>
      </c>
      <c r="J509" s="234">
        <v>54940</v>
      </c>
      <c r="K509" s="234">
        <v>24080</v>
      </c>
      <c r="L509" s="242">
        <v>18</v>
      </c>
      <c r="M509" s="234">
        <v>30860</v>
      </c>
      <c r="N509" s="234">
        <v>25305.200000000001</v>
      </c>
      <c r="O509" s="243" t="s">
        <v>1840</v>
      </c>
      <c r="P509" s="236">
        <v>45912</v>
      </c>
    </row>
    <row r="510" spans="1:16" ht="51" customHeight="1">
      <c r="A510" s="239" t="s">
        <v>1792</v>
      </c>
      <c r="B510" s="240">
        <v>1576</v>
      </c>
      <c r="C510" s="241">
        <v>37326</v>
      </c>
      <c r="D510" s="239" t="s">
        <v>3819</v>
      </c>
      <c r="E510" s="239" t="s">
        <v>456</v>
      </c>
      <c r="F510" s="239" t="s">
        <v>457</v>
      </c>
      <c r="G510" s="239" t="s">
        <v>947</v>
      </c>
      <c r="H510" s="239" t="s">
        <v>51</v>
      </c>
      <c r="I510" s="239" t="s">
        <v>1580</v>
      </c>
      <c r="J510" s="234">
        <v>44390</v>
      </c>
      <c r="K510" s="234">
        <v>15590</v>
      </c>
      <c r="L510" s="242">
        <v>11</v>
      </c>
      <c r="M510" s="234">
        <v>28800</v>
      </c>
      <c r="N510" s="234">
        <v>25632</v>
      </c>
      <c r="O510" s="243" t="s">
        <v>1850</v>
      </c>
      <c r="P510" s="236">
        <v>45912</v>
      </c>
    </row>
    <row r="511" spans="1:16" ht="51" customHeight="1">
      <c r="A511" s="239" t="s">
        <v>1793</v>
      </c>
      <c r="B511" s="240">
        <v>1577</v>
      </c>
      <c r="C511" s="241">
        <v>37257</v>
      </c>
      <c r="D511" s="239" t="s">
        <v>3819</v>
      </c>
      <c r="E511" s="239" t="s">
        <v>794</v>
      </c>
      <c r="F511" s="239" t="s">
        <v>795</v>
      </c>
      <c r="G511" s="239" t="s">
        <v>947</v>
      </c>
      <c r="H511" s="239" t="s">
        <v>51</v>
      </c>
      <c r="I511" s="239" t="s">
        <v>1580</v>
      </c>
      <c r="J511" s="234">
        <v>42170</v>
      </c>
      <c r="K511" s="234">
        <v>16050</v>
      </c>
      <c r="L511" s="242">
        <v>12</v>
      </c>
      <c r="M511" s="234">
        <v>26120</v>
      </c>
      <c r="N511" s="234">
        <v>22985.599999999999</v>
      </c>
      <c r="O511" s="243" t="s">
        <v>1851</v>
      </c>
      <c r="P511" s="236">
        <v>45912</v>
      </c>
    </row>
    <row r="512" spans="1:16" ht="51" customHeight="1">
      <c r="A512" s="239" t="s">
        <v>1794</v>
      </c>
      <c r="B512" s="240">
        <v>1578</v>
      </c>
      <c r="C512" s="241">
        <v>37330</v>
      </c>
      <c r="D512" s="239" t="s">
        <v>3819</v>
      </c>
      <c r="E512" s="239" t="s">
        <v>403</v>
      </c>
      <c r="F512" s="239" t="s">
        <v>404</v>
      </c>
      <c r="G512" s="239" t="s">
        <v>947</v>
      </c>
      <c r="H512" s="239" t="s">
        <v>51</v>
      </c>
      <c r="I512" s="239" t="s">
        <v>1580</v>
      </c>
      <c r="J512" s="234">
        <v>40000</v>
      </c>
      <c r="K512" s="234">
        <v>14510</v>
      </c>
      <c r="L512" s="242">
        <v>14</v>
      </c>
      <c r="M512" s="234">
        <v>25490</v>
      </c>
      <c r="N512" s="234">
        <v>21921.4</v>
      </c>
      <c r="O512" s="243" t="s">
        <v>1852</v>
      </c>
      <c r="P512" s="236">
        <v>45912</v>
      </c>
    </row>
    <row r="513" spans="1:16" ht="51" customHeight="1">
      <c r="A513" s="239" t="s">
        <v>1795</v>
      </c>
      <c r="B513" s="240">
        <v>1579</v>
      </c>
      <c r="C513" s="241">
        <v>37332</v>
      </c>
      <c r="D513" s="239" t="s">
        <v>3819</v>
      </c>
      <c r="E513" s="239" t="s">
        <v>406</v>
      </c>
      <c r="F513" s="239" t="s">
        <v>407</v>
      </c>
      <c r="G513" s="239" t="s">
        <v>947</v>
      </c>
      <c r="H513" s="239" t="s">
        <v>51</v>
      </c>
      <c r="I513" s="239" t="s">
        <v>1580</v>
      </c>
      <c r="J513" s="234">
        <v>39680</v>
      </c>
      <c r="K513" s="234">
        <v>14970</v>
      </c>
      <c r="L513" s="242">
        <v>20</v>
      </c>
      <c r="M513" s="234">
        <v>24710</v>
      </c>
      <c r="N513" s="234">
        <v>19768</v>
      </c>
      <c r="O513" s="243" t="s">
        <v>1853</v>
      </c>
      <c r="P513" s="236">
        <v>45912</v>
      </c>
    </row>
    <row r="514" spans="1:16" ht="51" customHeight="1">
      <c r="A514" s="239" t="s">
        <v>1796</v>
      </c>
      <c r="B514" s="240">
        <v>1580</v>
      </c>
      <c r="C514" s="241">
        <v>37334</v>
      </c>
      <c r="D514" s="239" t="s">
        <v>3819</v>
      </c>
      <c r="E514" s="239" t="s">
        <v>392</v>
      </c>
      <c r="F514" s="239" t="s">
        <v>393</v>
      </c>
      <c r="G514" s="239" t="s">
        <v>947</v>
      </c>
      <c r="H514" s="239" t="s">
        <v>51</v>
      </c>
      <c r="I514" s="239" t="s">
        <v>1580</v>
      </c>
      <c r="J514" s="234">
        <v>64250</v>
      </c>
      <c r="K514" s="234">
        <v>23990</v>
      </c>
      <c r="L514" s="242">
        <v>19</v>
      </c>
      <c r="M514" s="234">
        <v>40260</v>
      </c>
      <c r="N514" s="234">
        <v>32610.6</v>
      </c>
      <c r="O514" s="243" t="s">
        <v>1849</v>
      </c>
      <c r="P514" s="236">
        <v>45912</v>
      </c>
    </row>
    <row r="515" spans="1:16" ht="51" customHeight="1">
      <c r="A515" s="239" t="s">
        <v>1799</v>
      </c>
      <c r="B515" s="240">
        <v>1583</v>
      </c>
      <c r="C515" s="241">
        <v>37338</v>
      </c>
      <c r="D515" s="239" t="s">
        <v>3819</v>
      </c>
      <c r="E515" s="239" t="s">
        <v>791</v>
      </c>
      <c r="F515" s="239" t="s">
        <v>792</v>
      </c>
      <c r="G515" s="239" t="s">
        <v>947</v>
      </c>
      <c r="H515" s="239" t="s">
        <v>51</v>
      </c>
      <c r="I515" s="239" t="s">
        <v>1580</v>
      </c>
      <c r="J515" s="234">
        <v>37600</v>
      </c>
      <c r="K515" s="234">
        <v>14890</v>
      </c>
      <c r="L515" s="242">
        <v>9</v>
      </c>
      <c r="M515" s="234">
        <v>22710</v>
      </c>
      <c r="N515" s="234">
        <v>20666.099999999999</v>
      </c>
      <c r="O515" s="243" t="s">
        <v>1854</v>
      </c>
      <c r="P515" s="236">
        <v>45912</v>
      </c>
    </row>
    <row r="516" spans="1:16" ht="51" customHeight="1">
      <c r="A516" s="239" t="s">
        <v>1800</v>
      </c>
      <c r="B516" s="240">
        <v>1584</v>
      </c>
      <c r="C516" s="241">
        <v>37336</v>
      </c>
      <c r="D516" s="239" t="s">
        <v>3819</v>
      </c>
      <c r="E516" s="239" t="s">
        <v>841</v>
      </c>
      <c r="F516" s="239" t="s">
        <v>845</v>
      </c>
      <c r="G516" s="239" t="s">
        <v>947</v>
      </c>
      <c r="H516" s="239" t="s">
        <v>51</v>
      </c>
      <c r="I516" s="239" t="s">
        <v>1580</v>
      </c>
      <c r="J516" s="234">
        <v>41560</v>
      </c>
      <c r="K516" s="234">
        <v>15840</v>
      </c>
      <c r="L516" s="242">
        <v>8</v>
      </c>
      <c r="M516" s="234">
        <v>25720</v>
      </c>
      <c r="N516" s="234">
        <v>23662.400000000001</v>
      </c>
      <c r="O516" s="243" t="s">
        <v>1855</v>
      </c>
      <c r="P516" s="236">
        <v>45912</v>
      </c>
    </row>
    <row r="517" spans="1:16" ht="51" customHeight="1">
      <c r="A517" s="239" t="s">
        <v>1804</v>
      </c>
      <c r="B517" s="240">
        <v>1585</v>
      </c>
      <c r="C517" s="241">
        <v>37350</v>
      </c>
      <c r="D517" s="239" t="s">
        <v>3819</v>
      </c>
      <c r="E517" s="239" t="s">
        <v>462</v>
      </c>
      <c r="F517" s="239" t="s">
        <v>463</v>
      </c>
      <c r="G517" s="239" t="s">
        <v>947</v>
      </c>
      <c r="H517" s="239" t="s">
        <v>51</v>
      </c>
      <c r="I517" s="239" t="s">
        <v>1580</v>
      </c>
      <c r="J517" s="234">
        <v>40250</v>
      </c>
      <c r="K517" s="234">
        <v>16260</v>
      </c>
      <c r="L517" s="242">
        <v>9</v>
      </c>
      <c r="M517" s="234">
        <v>23990</v>
      </c>
      <c r="N517" s="234">
        <v>21830.9</v>
      </c>
      <c r="O517" s="243" t="s">
        <v>1856</v>
      </c>
      <c r="P517" s="236">
        <v>45912</v>
      </c>
    </row>
    <row r="518" spans="1:16" ht="51" customHeight="1">
      <c r="A518" s="239" t="s">
        <v>1806</v>
      </c>
      <c r="B518" s="240">
        <v>1587</v>
      </c>
      <c r="C518" s="241">
        <v>37342</v>
      </c>
      <c r="D518" s="239" t="s">
        <v>3819</v>
      </c>
      <c r="E518" s="239" t="s">
        <v>439</v>
      </c>
      <c r="F518" s="239" t="s">
        <v>440</v>
      </c>
      <c r="G518" s="239" t="s">
        <v>947</v>
      </c>
      <c r="H518" s="239" t="s">
        <v>51</v>
      </c>
      <c r="I518" s="239" t="s">
        <v>1580</v>
      </c>
      <c r="J518" s="234">
        <v>40020</v>
      </c>
      <c r="K518" s="234">
        <v>14930</v>
      </c>
      <c r="L518" s="242">
        <v>10</v>
      </c>
      <c r="M518" s="234">
        <v>25090</v>
      </c>
      <c r="N518" s="234">
        <v>22581</v>
      </c>
      <c r="O518" s="243" t="s">
        <v>1857</v>
      </c>
      <c r="P518" s="236">
        <v>45913</v>
      </c>
    </row>
    <row r="519" spans="1:16" ht="51" customHeight="1">
      <c r="A519" s="239" t="s">
        <v>1810</v>
      </c>
      <c r="B519" s="240">
        <v>1588</v>
      </c>
      <c r="C519" s="241">
        <v>37340</v>
      </c>
      <c r="D519" s="239" t="s">
        <v>3819</v>
      </c>
      <c r="E519" s="239" t="s">
        <v>1410</v>
      </c>
      <c r="F519" s="239" t="s">
        <v>437</v>
      </c>
      <c r="G519" s="239" t="s">
        <v>947</v>
      </c>
      <c r="H519" s="239" t="s">
        <v>51</v>
      </c>
      <c r="I519" s="239" t="s">
        <v>1580</v>
      </c>
      <c r="J519" s="234">
        <v>39610</v>
      </c>
      <c r="K519" s="234">
        <v>14750</v>
      </c>
      <c r="L519" s="242">
        <v>9</v>
      </c>
      <c r="M519" s="234">
        <v>24860</v>
      </c>
      <c r="N519" s="234">
        <v>22622.6</v>
      </c>
      <c r="O519" s="243" t="s">
        <v>1861</v>
      </c>
      <c r="P519" s="236">
        <v>45913</v>
      </c>
    </row>
    <row r="520" spans="1:16" ht="51" customHeight="1">
      <c r="A520" s="239" t="s">
        <v>1811</v>
      </c>
      <c r="B520" s="240">
        <v>1594</v>
      </c>
      <c r="C520" s="241">
        <v>37352</v>
      </c>
      <c r="D520" s="239" t="s">
        <v>3819</v>
      </c>
      <c r="E520" s="239" t="s">
        <v>472</v>
      </c>
      <c r="F520" s="239" t="s">
        <v>473</v>
      </c>
      <c r="G520" s="239" t="s">
        <v>947</v>
      </c>
      <c r="H520" s="239" t="s">
        <v>51</v>
      </c>
      <c r="I520" s="239" t="s">
        <v>1580</v>
      </c>
      <c r="J520" s="234">
        <v>39680</v>
      </c>
      <c r="K520" s="234">
        <v>16390</v>
      </c>
      <c r="L520" s="242">
        <v>8</v>
      </c>
      <c r="M520" s="234">
        <v>23290</v>
      </c>
      <c r="N520" s="234">
        <v>21426.799999999999</v>
      </c>
      <c r="O520" s="243" t="s">
        <v>1862</v>
      </c>
      <c r="P520" s="236">
        <v>45913</v>
      </c>
    </row>
    <row r="521" spans="1:16" ht="51" customHeight="1">
      <c r="A521" s="239" t="s">
        <v>1814</v>
      </c>
      <c r="B521" s="240">
        <v>1599</v>
      </c>
      <c r="C521" s="241">
        <v>37359</v>
      </c>
      <c r="D521" s="239" t="s">
        <v>3819</v>
      </c>
      <c r="E521" s="239" t="s">
        <v>780</v>
      </c>
      <c r="F521" s="239" t="s">
        <v>781</v>
      </c>
      <c r="G521" s="239" t="s">
        <v>947</v>
      </c>
      <c r="H521" s="239" t="s">
        <v>51</v>
      </c>
      <c r="I521" s="239" t="s">
        <v>1580</v>
      </c>
      <c r="J521" s="234">
        <v>36500</v>
      </c>
      <c r="K521" s="234">
        <v>14810</v>
      </c>
      <c r="L521" s="242">
        <v>14</v>
      </c>
      <c r="M521" s="234">
        <v>21690</v>
      </c>
      <c r="N521" s="234">
        <v>18653.400000000001</v>
      </c>
      <c r="O521" s="243" t="s">
        <v>1865</v>
      </c>
      <c r="P521" s="236">
        <v>45913</v>
      </c>
    </row>
    <row r="522" spans="1:16" ht="51" customHeight="1">
      <c r="A522" s="239" t="s">
        <v>1815</v>
      </c>
      <c r="B522" s="240">
        <v>1600</v>
      </c>
      <c r="C522" s="241">
        <v>37361</v>
      </c>
      <c r="D522" s="239" t="s">
        <v>3819</v>
      </c>
      <c r="E522" s="239" t="s">
        <v>442</v>
      </c>
      <c r="F522" s="239" t="s">
        <v>443</v>
      </c>
      <c r="G522" s="239" t="s">
        <v>947</v>
      </c>
      <c r="H522" s="239" t="s">
        <v>51</v>
      </c>
      <c r="I522" s="239" t="s">
        <v>1580</v>
      </c>
      <c r="J522" s="234">
        <v>36620</v>
      </c>
      <c r="K522" s="234">
        <v>14440</v>
      </c>
      <c r="L522" s="242">
        <v>18</v>
      </c>
      <c r="M522" s="234">
        <v>22180</v>
      </c>
      <c r="N522" s="234">
        <v>18187.599999999999</v>
      </c>
      <c r="O522" s="243" t="s">
        <v>1866</v>
      </c>
      <c r="P522" s="236">
        <v>45913</v>
      </c>
    </row>
    <row r="523" spans="1:16" ht="51" customHeight="1">
      <c r="A523" s="239" t="s">
        <v>1818</v>
      </c>
      <c r="B523" s="240">
        <v>1603</v>
      </c>
      <c r="C523" s="241">
        <v>37365</v>
      </c>
      <c r="D523" s="239" t="s">
        <v>3819</v>
      </c>
      <c r="E523" s="239" t="s">
        <v>866</v>
      </c>
      <c r="F523" s="239" t="s">
        <v>867</v>
      </c>
      <c r="G523" s="239" t="s">
        <v>947</v>
      </c>
      <c r="H523" s="239" t="s">
        <v>51</v>
      </c>
      <c r="I523" s="239" t="s">
        <v>1580</v>
      </c>
      <c r="J523" s="234">
        <v>37810</v>
      </c>
      <c r="K523" s="234">
        <v>14430</v>
      </c>
      <c r="L523" s="242">
        <v>10</v>
      </c>
      <c r="M523" s="234">
        <v>23380</v>
      </c>
      <c r="N523" s="234">
        <v>21042</v>
      </c>
      <c r="O523" s="243" t="s">
        <v>1869</v>
      </c>
      <c r="P523" s="236">
        <v>45913</v>
      </c>
    </row>
    <row r="524" spans="1:16" ht="51" customHeight="1">
      <c r="A524" s="239" t="s">
        <v>1820</v>
      </c>
      <c r="B524" s="240">
        <v>1604</v>
      </c>
      <c r="C524" s="241">
        <v>37363</v>
      </c>
      <c r="D524" s="239" t="s">
        <v>3819</v>
      </c>
      <c r="E524" s="239" t="s">
        <v>380</v>
      </c>
      <c r="F524" s="239" t="s">
        <v>381</v>
      </c>
      <c r="G524" s="239" t="s">
        <v>947</v>
      </c>
      <c r="H524" s="239" t="s">
        <v>51</v>
      </c>
      <c r="I524" s="239" t="s">
        <v>1580</v>
      </c>
      <c r="J524" s="234">
        <v>40390</v>
      </c>
      <c r="K524" s="234">
        <v>15010</v>
      </c>
      <c r="L524" s="242">
        <v>19</v>
      </c>
      <c r="M524" s="234">
        <v>25380</v>
      </c>
      <c r="N524" s="234">
        <v>20557.8</v>
      </c>
      <c r="O524" s="243" t="s">
        <v>1871</v>
      </c>
      <c r="P524" s="236">
        <v>45913</v>
      </c>
    </row>
    <row r="525" spans="1:16" ht="51" customHeight="1">
      <c r="A525" s="239" t="s">
        <v>1821</v>
      </c>
      <c r="B525" s="240">
        <v>1616</v>
      </c>
      <c r="C525" s="241">
        <v>37432</v>
      </c>
      <c r="D525" s="239" t="s">
        <v>3819</v>
      </c>
      <c r="E525" s="239" t="s">
        <v>410</v>
      </c>
      <c r="F525" s="239" t="s">
        <v>411</v>
      </c>
      <c r="G525" s="239" t="s">
        <v>952</v>
      </c>
      <c r="H525" s="239" t="s">
        <v>51</v>
      </c>
      <c r="I525" s="239" t="s">
        <v>1580</v>
      </c>
      <c r="J525" s="234">
        <v>38410</v>
      </c>
      <c r="K525" s="234">
        <v>15020</v>
      </c>
      <c r="L525" s="242">
        <v>6</v>
      </c>
      <c r="M525" s="234">
        <v>23390</v>
      </c>
      <c r="N525" s="234">
        <v>21986.6</v>
      </c>
      <c r="O525" s="243" t="s">
        <v>1872</v>
      </c>
      <c r="P525" s="236">
        <v>45913</v>
      </c>
    </row>
    <row r="526" spans="1:16" ht="51" customHeight="1">
      <c r="A526" s="239" t="s">
        <v>1822</v>
      </c>
      <c r="B526" s="240">
        <v>1606</v>
      </c>
      <c r="C526" s="241">
        <v>37367</v>
      </c>
      <c r="D526" s="239" t="s">
        <v>3819</v>
      </c>
      <c r="E526" s="239" t="s">
        <v>374</v>
      </c>
      <c r="F526" s="239" t="s">
        <v>375</v>
      </c>
      <c r="G526" s="239" t="s">
        <v>947</v>
      </c>
      <c r="H526" s="239" t="s">
        <v>51</v>
      </c>
      <c r="I526" s="239" t="s">
        <v>1580</v>
      </c>
      <c r="J526" s="234">
        <v>37980</v>
      </c>
      <c r="K526" s="234">
        <v>15520</v>
      </c>
      <c r="L526" s="242">
        <v>19</v>
      </c>
      <c r="M526" s="234">
        <v>22460</v>
      </c>
      <c r="N526" s="234">
        <v>18192.599999999999</v>
      </c>
      <c r="O526" s="243" t="s">
        <v>1873</v>
      </c>
      <c r="P526" s="236">
        <v>45913</v>
      </c>
    </row>
    <row r="527" spans="1:16" ht="51" customHeight="1">
      <c r="A527" s="239" t="s">
        <v>1807</v>
      </c>
      <c r="B527" s="240">
        <v>1607</v>
      </c>
      <c r="C527" s="241">
        <v>37369</v>
      </c>
      <c r="D527" s="239" t="s">
        <v>3819</v>
      </c>
      <c r="E527" s="239" t="s">
        <v>388</v>
      </c>
      <c r="F527" s="239" t="s">
        <v>389</v>
      </c>
      <c r="G527" s="239" t="s">
        <v>947</v>
      </c>
      <c r="H527" s="239" t="s">
        <v>51</v>
      </c>
      <c r="I527" s="239" t="s">
        <v>1580</v>
      </c>
      <c r="J527" s="234">
        <v>53780</v>
      </c>
      <c r="K527" s="234">
        <v>20920</v>
      </c>
      <c r="L527" s="242">
        <v>15</v>
      </c>
      <c r="M527" s="234">
        <v>32860</v>
      </c>
      <c r="N527" s="234">
        <v>27931</v>
      </c>
      <c r="O527" s="243" t="s">
        <v>1858</v>
      </c>
      <c r="P527" s="236">
        <v>45913</v>
      </c>
    </row>
    <row r="528" spans="1:16" ht="51" customHeight="1">
      <c r="A528" s="239" t="s">
        <v>1808</v>
      </c>
      <c r="B528" s="240">
        <v>1608</v>
      </c>
      <c r="C528" s="241">
        <v>37380</v>
      </c>
      <c r="D528" s="239" t="s">
        <v>3819</v>
      </c>
      <c r="E528" s="239" t="s">
        <v>475</v>
      </c>
      <c r="F528" s="239" t="s">
        <v>476</v>
      </c>
      <c r="G528" s="239" t="s">
        <v>947</v>
      </c>
      <c r="H528" s="239" t="s">
        <v>51</v>
      </c>
      <c r="I528" s="239" t="s">
        <v>1580</v>
      </c>
      <c r="J528" s="234">
        <v>39180</v>
      </c>
      <c r="K528" s="234">
        <v>16310</v>
      </c>
      <c r="L528" s="242">
        <v>16</v>
      </c>
      <c r="M528" s="234">
        <v>22870</v>
      </c>
      <c r="N528" s="234">
        <v>19210.8</v>
      </c>
      <c r="O528" s="243" t="s">
        <v>1859</v>
      </c>
      <c r="P528" s="236">
        <v>45913</v>
      </c>
    </row>
    <row r="529" spans="1:16" ht="51" customHeight="1">
      <c r="A529" s="239" t="s">
        <v>1809</v>
      </c>
      <c r="B529" s="240">
        <v>1609</v>
      </c>
      <c r="C529" s="241">
        <v>37372</v>
      </c>
      <c r="D529" s="239" t="s">
        <v>3819</v>
      </c>
      <c r="E529" s="239" t="s">
        <v>420</v>
      </c>
      <c r="F529" s="239" t="s">
        <v>421</v>
      </c>
      <c r="G529" s="239" t="s">
        <v>947</v>
      </c>
      <c r="H529" s="239" t="s">
        <v>51</v>
      </c>
      <c r="I529" s="239" t="s">
        <v>1580</v>
      </c>
      <c r="J529" s="234">
        <v>36680</v>
      </c>
      <c r="K529" s="234">
        <v>14790</v>
      </c>
      <c r="L529" s="242">
        <v>19</v>
      </c>
      <c r="M529" s="234">
        <v>21890</v>
      </c>
      <c r="N529" s="234">
        <v>17730.900000000001</v>
      </c>
      <c r="O529" s="243" t="s">
        <v>1860</v>
      </c>
      <c r="P529" s="236">
        <v>45913</v>
      </c>
    </row>
    <row r="530" spans="1:16" ht="51" customHeight="1">
      <c r="A530" s="239" t="s">
        <v>1812</v>
      </c>
      <c r="B530" s="240">
        <v>1612</v>
      </c>
      <c r="C530" s="241">
        <v>37382</v>
      </c>
      <c r="D530" s="239" t="s">
        <v>3819</v>
      </c>
      <c r="E530" s="239" t="s">
        <v>400</v>
      </c>
      <c r="F530" s="239" t="s">
        <v>401</v>
      </c>
      <c r="G530" s="239" t="s">
        <v>947</v>
      </c>
      <c r="H530" s="239" t="s">
        <v>51</v>
      </c>
      <c r="I530" s="239" t="s">
        <v>1580</v>
      </c>
      <c r="J530" s="234">
        <v>38450</v>
      </c>
      <c r="K530" s="234">
        <v>14680</v>
      </c>
      <c r="L530" s="242">
        <v>11</v>
      </c>
      <c r="M530" s="234">
        <v>23770</v>
      </c>
      <c r="N530" s="234">
        <v>21155.3</v>
      </c>
      <c r="O530" s="243" t="s">
        <v>1863</v>
      </c>
      <c r="P530" s="236">
        <v>45913</v>
      </c>
    </row>
    <row r="531" spans="1:16" ht="51" customHeight="1">
      <c r="A531" s="239" t="s">
        <v>1813</v>
      </c>
      <c r="B531" s="240">
        <v>1613</v>
      </c>
      <c r="C531" s="241">
        <v>37384</v>
      </c>
      <c r="D531" s="239" t="s">
        <v>3819</v>
      </c>
      <c r="E531" s="239" t="s">
        <v>382</v>
      </c>
      <c r="F531" s="239" t="s">
        <v>383</v>
      </c>
      <c r="G531" s="239" t="s">
        <v>947</v>
      </c>
      <c r="H531" s="239" t="s">
        <v>51</v>
      </c>
      <c r="I531" s="239" t="s">
        <v>1580</v>
      </c>
      <c r="J531" s="234">
        <v>38130</v>
      </c>
      <c r="K531" s="234">
        <v>14540</v>
      </c>
      <c r="L531" s="242">
        <v>11</v>
      </c>
      <c r="M531" s="234">
        <v>23590</v>
      </c>
      <c r="N531" s="234">
        <v>20995.1</v>
      </c>
      <c r="O531" s="243" t="s">
        <v>1864</v>
      </c>
      <c r="P531" s="236">
        <v>45913</v>
      </c>
    </row>
    <row r="532" spans="1:16" ht="51" customHeight="1">
      <c r="A532" s="239" t="s">
        <v>1823</v>
      </c>
      <c r="B532" s="240">
        <v>1622</v>
      </c>
      <c r="C532" s="241">
        <v>37458</v>
      </c>
      <c r="D532" s="239" t="s">
        <v>3819</v>
      </c>
      <c r="E532" s="239" t="s">
        <v>369</v>
      </c>
      <c r="F532" s="239" t="s">
        <v>370</v>
      </c>
      <c r="G532" s="239" t="s">
        <v>950</v>
      </c>
      <c r="H532" s="239" t="s">
        <v>51</v>
      </c>
      <c r="I532" s="239" t="s">
        <v>1580</v>
      </c>
      <c r="J532" s="234">
        <v>38350</v>
      </c>
      <c r="K532" s="234">
        <v>15060</v>
      </c>
      <c r="L532" s="242">
        <v>16</v>
      </c>
      <c r="M532" s="234">
        <v>23290</v>
      </c>
      <c r="N532" s="234">
        <v>19563.599999999999</v>
      </c>
      <c r="O532" s="243" t="s">
        <v>1874</v>
      </c>
      <c r="P532" s="236">
        <v>45914</v>
      </c>
    </row>
    <row r="533" spans="1:16" ht="51" customHeight="1">
      <c r="A533" s="239" t="s">
        <v>1816</v>
      </c>
      <c r="B533" s="240">
        <v>1614</v>
      </c>
      <c r="C533" s="241">
        <v>37421</v>
      </c>
      <c r="D533" s="239" t="s">
        <v>3819</v>
      </c>
      <c r="E533" s="239" t="s">
        <v>783</v>
      </c>
      <c r="F533" s="239" t="s">
        <v>784</v>
      </c>
      <c r="G533" s="239" t="s">
        <v>947</v>
      </c>
      <c r="H533" s="239" t="s">
        <v>51</v>
      </c>
      <c r="I533" s="239" t="s">
        <v>1580</v>
      </c>
      <c r="J533" s="234">
        <v>39780</v>
      </c>
      <c r="K533" s="234">
        <v>14510</v>
      </c>
      <c r="L533" s="242">
        <v>21</v>
      </c>
      <c r="M533" s="234">
        <v>25270</v>
      </c>
      <c r="N533" s="234">
        <v>19963.3</v>
      </c>
      <c r="O533" s="243" t="s">
        <v>1867</v>
      </c>
      <c r="P533" s="236">
        <v>45913</v>
      </c>
    </row>
    <row r="534" spans="1:16" ht="51" customHeight="1">
      <c r="A534" s="239" t="s">
        <v>1817</v>
      </c>
      <c r="B534" s="240">
        <v>1615</v>
      </c>
      <c r="C534" s="241">
        <v>37399</v>
      </c>
      <c r="D534" s="239" t="s">
        <v>3819</v>
      </c>
      <c r="E534" s="239" t="s">
        <v>786</v>
      </c>
      <c r="F534" s="239" t="s">
        <v>787</v>
      </c>
      <c r="G534" s="239" t="s">
        <v>947</v>
      </c>
      <c r="H534" s="239" t="s">
        <v>51</v>
      </c>
      <c r="I534" s="239" t="s">
        <v>1580</v>
      </c>
      <c r="J534" s="234">
        <v>35640</v>
      </c>
      <c r="K534" s="234">
        <v>13890</v>
      </c>
      <c r="L534" s="242">
        <v>21</v>
      </c>
      <c r="M534" s="234">
        <v>21750</v>
      </c>
      <c r="N534" s="234">
        <v>17182.5</v>
      </c>
      <c r="O534" s="243" t="s">
        <v>1868</v>
      </c>
      <c r="P534" s="236">
        <v>45913</v>
      </c>
    </row>
    <row r="535" spans="1:16" ht="51" customHeight="1">
      <c r="A535" s="239" t="s">
        <v>1819</v>
      </c>
      <c r="B535" s="240">
        <v>1618</v>
      </c>
      <c r="C535" s="241">
        <v>37423</v>
      </c>
      <c r="D535" s="239" t="s">
        <v>3819</v>
      </c>
      <c r="E535" s="239" t="s">
        <v>377</v>
      </c>
      <c r="F535" s="239" t="s">
        <v>378</v>
      </c>
      <c r="G535" s="239" t="s">
        <v>947</v>
      </c>
      <c r="H535" s="239" t="s">
        <v>51</v>
      </c>
      <c r="I535" s="239" t="s">
        <v>1580</v>
      </c>
      <c r="J535" s="234">
        <v>42270</v>
      </c>
      <c r="K535" s="234">
        <v>15050</v>
      </c>
      <c r="L535" s="242">
        <v>14</v>
      </c>
      <c r="M535" s="234">
        <v>27220</v>
      </c>
      <c r="N535" s="234">
        <v>23409.200000000001</v>
      </c>
      <c r="O535" s="243" t="s">
        <v>1870</v>
      </c>
      <c r="P535" s="236">
        <v>45913</v>
      </c>
    </row>
    <row r="536" spans="1:16" ht="51" customHeight="1">
      <c r="A536" s="239" t="s">
        <v>1828</v>
      </c>
      <c r="B536" s="240">
        <v>1619</v>
      </c>
      <c r="C536" s="241">
        <v>37428</v>
      </c>
      <c r="D536" s="239" t="s">
        <v>3819</v>
      </c>
      <c r="E536" s="239" t="s">
        <v>1305</v>
      </c>
      <c r="F536" s="239" t="s">
        <v>1306</v>
      </c>
      <c r="G536" s="239" t="s">
        <v>947</v>
      </c>
      <c r="H536" s="239" t="s">
        <v>51</v>
      </c>
      <c r="I536" s="239" t="s">
        <v>1580</v>
      </c>
      <c r="J536" s="234">
        <v>38540</v>
      </c>
      <c r="K536" s="234">
        <v>14780</v>
      </c>
      <c r="L536" s="242">
        <v>14</v>
      </c>
      <c r="M536" s="234">
        <v>23760</v>
      </c>
      <c r="N536" s="234">
        <v>20433.599999999999</v>
      </c>
      <c r="O536" s="243" t="s">
        <v>1879</v>
      </c>
      <c r="P536" s="236">
        <v>45914</v>
      </c>
    </row>
    <row r="537" spans="1:16" ht="51" customHeight="1">
      <c r="A537" s="239" t="s">
        <v>1832</v>
      </c>
      <c r="B537" s="240">
        <v>1620</v>
      </c>
      <c r="C537" s="241">
        <v>37426</v>
      </c>
      <c r="D537" s="239" t="s">
        <v>3819</v>
      </c>
      <c r="E537" s="239" t="s">
        <v>1648</v>
      </c>
      <c r="F537" s="239" t="s">
        <v>1649</v>
      </c>
      <c r="G537" s="239" t="s">
        <v>947</v>
      </c>
      <c r="H537" s="239" t="s">
        <v>51</v>
      </c>
      <c r="I537" s="239" t="s">
        <v>1580</v>
      </c>
      <c r="J537" s="234">
        <v>40350</v>
      </c>
      <c r="K537" s="234">
        <v>15760</v>
      </c>
      <c r="L537" s="242">
        <v>17</v>
      </c>
      <c r="M537" s="234">
        <v>24590</v>
      </c>
      <c r="N537" s="234">
        <v>20409.7</v>
      </c>
      <c r="O537" s="243" t="s">
        <v>1883</v>
      </c>
      <c r="P537" s="236">
        <v>45914</v>
      </c>
    </row>
    <row r="538" spans="1:16" ht="51" customHeight="1">
      <c r="A538" s="239" t="s">
        <v>1833</v>
      </c>
      <c r="B538" s="240">
        <v>1621</v>
      </c>
      <c r="C538" s="241">
        <v>37430</v>
      </c>
      <c r="D538" s="239" t="s">
        <v>3819</v>
      </c>
      <c r="E538" s="239" t="s">
        <v>1663</v>
      </c>
      <c r="F538" s="239" t="s">
        <v>1733</v>
      </c>
      <c r="G538" s="239" t="s">
        <v>947</v>
      </c>
      <c r="H538" s="239" t="s">
        <v>51</v>
      </c>
      <c r="I538" s="239" t="s">
        <v>1580</v>
      </c>
      <c r="J538" s="234">
        <v>39490</v>
      </c>
      <c r="K538" s="234">
        <v>15530</v>
      </c>
      <c r="L538" s="242">
        <v>14</v>
      </c>
      <c r="M538" s="234">
        <v>23960</v>
      </c>
      <c r="N538" s="234">
        <v>20605.599999999999</v>
      </c>
      <c r="O538" s="243" t="s">
        <v>1884</v>
      </c>
      <c r="P538" s="236">
        <v>45914</v>
      </c>
    </row>
    <row r="539" spans="1:16" ht="51" customHeight="1">
      <c r="A539" s="239" t="s">
        <v>1834</v>
      </c>
      <c r="B539" s="240">
        <v>1625</v>
      </c>
      <c r="C539" s="241">
        <v>37434</v>
      </c>
      <c r="D539" s="239" t="s">
        <v>3819</v>
      </c>
      <c r="E539" s="239" t="s">
        <v>858</v>
      </c>
      <c r="F539" s="239" t="s">
        <v>859</v>
      </c>
      <c r="G539" s="239" t="s">
        <v>947</v>
      </c>
      <c r="H539" s="239" t="s">
        <v>51</v>
      </c>
      <c r="I539" s="239" t="s">
        <v>1580</v>
      </c>
      <c r="J539" s="234">
        <v>38860</v>
      </c>
      <c r="K539" s="234">
        <v>14700</v>
      </c>
      <c r="L539" s="242">
        <v>11</v>
      </c>
      <c r="M539" s="234">
        <v>24160</v>
      </c>
      <c r="N539" s="234">
        <v>21502.400000000001</v>
      </c>
      <c r="O539" s="243" t="s">
        <v>1885</v>
      </c>
      <c r="P539" s="236">
        <v>45914</v>
      </c>
    </row>
    <row r="540" spans="1:16" ht="51" customHeight="1">
      <c r="A540" s="239" t="s">
        <v>1835</v>
      </c>
      <c r="B540" s="240">
        <v>1626</v>
      </c>
      <c r="C540" s="241">
        <v>37456</v>
      </c>
      <c r="D540" s="239" t="s">
        <v>3819</v>
      </c>
      <c r="E540" s="239" t="s">
        <v>429</v>
      </c>
      <c r="F540" s="239" t="s">
        <v>430</v>
      </c>
      <c r="G540" s="239" t="s">
        <v>947</v>
      </c>
      <c r="H540" s="239" t="s">
        <v>51</v>
      </c>
      <c r="I540" s="239" t="s">
        <v>1580</v>
      </c>
      <c r="J540" s="234">
        <v>39090</v>
      </c>
      <c r="K540" s="234">
        <v>14170</v>
      </c>
      <c r="L540" s="242">
        <v>17</v>
      </c>
      <c r="M540" s="234">
        <v>24920</v>
      </c>
      <c r="N540" s="234">
        <v>20683.599999999999</v>
      </c>
      <c r="O540" s="243" t="s">
        <v>1886</v>
      </c>
      <c r="P540" s="236">
        <v>45914</v>
      </c>
    </row>
    <row r="541" spans="1:16" ht="51" customHeight="1">
      <c r="A541" s="239" t="s">
        <v>1836</v>
      </c>
      <c r="B541" s="240">
        <v>1627</v>
      </c>
      <c r="C541" s="241">
        <v>37436</v>
      </c>
      <c r="D541" s="239" t="s">
        <v>3819</v>
      </c>
      <c r="E541" s="239" t="s">
        <v>447</v>
      </c>
      <c r="F541" s="239" t="s">
        <v>448</v>
      </c>
      <c r="G541" s="239" t="s">
        <v>947</v>
      </c>
      <c r="H541" s="239" t="s">
        <v>51</v>
      </c>
      <c r="I541" s="239" t="s">
        <v>1580</v>
      </c>
      <c r="J541" s="234">
        <v>44800</v>
      </c>
      <c r="K541" s="234">
        <v>19280</v>
      </c>
      <c r="L541" s="242">
        <v>15</v>
      </c>
      <c r="M541" s="234">
        <v>25520</v>
      </c>
      <c r="N541" s="234">
        <v>21692</v>
      </c>
      <c r="O541" s="243" t="s">
        <v>1887</v>
      </c>
      <c r="P541" s="236">
        <v>45914</v>
      </c>
    </row>
    <row r="542" spans="1:16" ht="51" customHeight="1">
      <c r="A542" s="239" t="s">
        <v>1837</v>
      </c>
      <c r="B542" s="240">
        <v>1629</v>
      </c>
      <c r="C542" s="241">
        <v>37460</v>
      </c>
      <c r="D542" s="239" t="s">
        <v>3819</v>
      </c>
      <c r="E542" s="239" t="s">
        <v>1397</v>
      </c>
      <c r="F542" s="239" t="s">
        <v>1398</v>
      </c>
      <c r="G542" s="239" t="s">
        <v>947</v>
      </c>
      <c r="H542" s="239" t="s">
        <v>51</v>
      </c>
      <c r="I542" s="239" t="s">
        <v>1580</v>
      </c>
      <c r="J542" s="234">
        <v>42170</v>
      </c>
      <c r="K542" s="234">
        <v>17020</v>
      </c>
      <c r="L542" s="242">
        <v>11</v>
      </c>
      <c r="M542" s="234">
        <v>25150</v>
      </c>
      <c r="N542" s="234">
        <v>22383.5</v>
      </c>
      <c r="O542" s="243" t="s">
        <v>1888</v>
      </c>
      <c r="P542" s="236">
        <v>45914</v>
      </c>
    </row>
    <row r="543" spans="1:16" ht="51" customHeight="1">
      <c r="A543" s="239" t="s">
        <v>1838</v>
      </c>
      <c r="B543" s="240">
        <v>1630</v>
      </c>
      <c r="C543" s="241">
        <v>37462</v>
      </c>
      <c r="D543" s="239" t="s">
        <v>3819</v>
      </c>
      <c r="E543" s="239" t="s">
        <v>1400</v>
      </c>
      <c r="F543" s="239" t="s">
        <v>1401</v>
      </c>
      <c r="G543" s="239" t="s">
        <v>947</v>
      </c>
      <c r="H543" s="239" t="s">
        <v>51</v>
      </c>
      <c r="I543" s="239" t="s">
        <v>1580</v>
      </c>
      <c r="J543" s="234">
        <v>36030</v>
      </c>
      <c r="K543" s="234">
        <v>14810</v>
      </c>
      <c r="L543" s="242">
        <v>14</v>
      </c>
      <c r="M543" s="234">
        <v>21220</v>
      </c>
      <c r="N543" s="234">
        <v>18249.2</v>
      </c>
      <c r="O543" s="243" t="s">
        <v>1889</v>
      </c>
      <c r="P543" s="236">
        <v>45914</v>
      </c>
    </row>
    <row r="544" spans="1:16" ht="51" customHeight="1">
      <c r="A544" s="239" t="s">
        <v>1839</v>
      </c>
      <c r="B544" s="240">
        <v>1631</v>
      </c>
      <c r="C544" s="241">
        <v>37464</v>
      </c>
      <c r="D544" s="239" t="s">
        <v>3819</v>
      </c>
      <c r="E544" s="239" t="s">
        <v>1403</v>
      </c>
      <c r="F544" s="239" t="s">
        <v>1404</v>
      </c>
      <c r="G544" s="239" t="s">
        <v>947</v>
      </c>
      <c r="H544" s="239" t="s">
        <v>51</v>
      </c>
      <c r="I544" s="239" t="s">
        <v>1580</v>
      </c>
      <c r="J544" s="234">
        <v>38530</v>
      </c>
      <c r="K544" s="234">
        <v>14920</v>
      </c>
      <c r="L544" s="242">
        <v>20</v>
      </c>
      <c r="M544" s="234">
        <v>23610</v>
      </c>
      <c r="N544" s="234">
        <v>18888</v>
      </c>
      <c r="O544" s="243" t="s">
        <v>1890</v>
      </c>
      <c r="P544" s="236">
        <v>45914</v>
      </c>
    </row>
    <row r="545" spans="1:16" ht="51" customHeight="1">
      <c r="A545" s="239" t="s">
        <v>1825</v>
      </c>
      <c r="B545" s="240">
        <v>1633</v>
      </c>
      <c r="C545" s="241">
        <v>37480</v>
      </c>
      <c r="D545" s="239" t="s">
        <v>3819</v>
      </c>
      <c r="E545" s="239" t="s">
        <v>453</v>
      </c>
      <c r="F545" s="239" t="s">
        <v>454</v>
      </c>
      <c r="G545" s="239" t="s">
        <v>947</v>
      </c>
      <c r="H545" s="239" t="s">
        <v>51</v>
      </c>
      <c r="I545" s="239" t="s">
        <v>1580</v>
      </c>
      <c r="J545" s="234">
        <v>50980</v>
      </c>
      <c r="K545" s="234">
        <v>24120</v>
      </c>
      <c r="L545" s="242">
        <v>12</v>
      </c>
      <c r="M545" s="234">
        <v>26860</v>
      </c>
      <c r="N545" s="234">
        <v>23636.799999999999</v>
      </c>
      <c r="O545" s="243" t="s">
        <v>1876</v>
      </c>
      <c r="P545" s="236">
        <v>45914</v>
      </c>
    </row>
    <row r="546" spans="1:16" ht="51" customHeight="1">
      <c r="A546" s="239" t="s">
        <v>1824</v>
      </c>
      <c r="B546" s="240">
        <v>1632</v>
      </c>
      <c r="C546" s="241">
        <v>37486</v>
      </c>
      <c r="D546" s="239" t="s">
        <v>3819</v>
      </c>
      <c r="E546" s="239" t="s">
        <v>456</v>
      </c>
      <c r="F546" s="239" t="s">
        <v>457</v>
      </c>
      <c r="G546" s="239" t="s">
        <v>947</v>
      </c>
      <c r="H546" s="239" t="s">
        <v>51</v>
      </c>
      <c r="I546" s="239" t="s">
        <v>1580</v>
      </c>
      <c r="J546" s="234">
        <v>43180</v>
      </c>
      <c r="K546" s="234">
        <v>15610</v>
      </c>
      <c r="L546" s="242">
        <v>12</v>
      </c>
      <c r="M546" s="234">
        <v>27570</v>
      </c>
      <c r="N546" s="234">
        <v>24261.599999999999</v>
      </c>
      <c r="O546" s="243" t="s">
        <v>1875</v>
      </c>
      <c r="P546" s="236">
        <v>45914</v>
      </c>
    </row>
    <row r="547" spans="1:16" ht="51" customHeight="1">
      <c r="A547" s="239" t="s">
        <v>1826</v>
      </c>
      <c r="B547" s="240">
        <v>1637</v>
      </c>
      <c r="C547" s="241">
        <v>37494</v>
      </c>
      <c r="D547" s="239" t="s">
        <v>3819</v>
      </c>
      <c r="E547" s="239" t="s">
        <v>386</v>
      </c>
      <c r="F547" s="239" t="s">
        <v>387</v>
      </c>
      <c r="G547" s="239" t="s">
        <v>947</v>
      </c>
      <c r="H547" s="239" t="s">
        <v>51</v>
      </c>
      <c r="I547" s="239" t="s">
        <v>1580</v>
      </c>
      <c r="J547" s="234">
        <v>39910</v>
      </c>
      <c r="K547" s="234">
        <v>15310</v>
      </c>
      <c r="L547" s="242">
        <v>12</v>
      </c>
      <c r="M547" s="234">
        <v>24600</v>
      </c>
      <c r="N547" s="234">
        <v>21648</v>
      </c>
      <c r="O547" s="243" t="s">
        <v>1877</v>
      </c>
      <c r="P547" s="236">
        <v>45914</v>
      </c>
    </row>
    <row r="548" spans="1:16" ht="51" customHeight="1">
      <c r="A548" s="239" t="s">
        <v>1827</v>
      </c>
      <c r="B548" s="240">
        <v>1639</v>
      </c>
      <c r="C548" s="241">
        <v>37492</v>
      </c>
      <c r="D548" s="239" t="s">
        <v>3819</v>
      </c>
      <c r="E548" s="239" t="s">
        <v>372</v>
      </c>
      <c r="F548" s="239" t="s">
        <v>373</v>
      </c>
      <c r="G548" s="239" t="s">
        <v>947</v>
      </c>
      <c r="H548" s="239" t="s">
        <v>51</v>
      </c>
      <c r="I548" s="239" t="s">
        <v>1580</v>
      </c>
      <c r="J548" s="234">
        <v>39710</v>
      </c>
      <c r="K548" s="234">
        <v>14840</v>
      </c>
      <c r="L548" s="242">
        <v>13</v>
      </c>
      <c r="M548" s="234">
        <v>24870</v>
      </c>
      <c r="N548" s="234">
        <v>21636.9</v>
      </c>
      <c r="O548" s="243" t="s">
        <v>1878</v>
      </c>
      <c r="P548" s="236">
        <v>45914</v>
      </c>
    </row>
    <row r="549" spans="1:16" ht="51" customHeight="1">
      <c r="A549" s="239" t="s">
        <v>1829</v>
      </c>
      <c r="B549" s="240">
        <v>1640</v>
      </c>
      <c r="C549" s="241">
        <v>37499</v>
      </c>
      <c r="D549" s="239" t="s">
        <v>3819</v>
      </c>
      <c r="E549" s="239" t="s">
        <v>413</v>
      </c>
      <c r="F549" s="239" t="s">
        <v>414</v>
      </c>
      <c r="G549" s="239" t="s">
        <v>947</v>
      </c>
      <c r="H549" s="239" t="s">
        <v>51</v>
      </c>
      <c r="I549" s="239" t="s">
        <v>1580</v>
      </c>
      <c r="J549" s="234">
        <v>42770</v>
      </c>
      <c r="K549" s="234">
        <v>14850</v>
      </c>
      <c r="L549" s="242">
        <v>7</v>
      </c>
      <c r="M549" s="234">
        <v>27920</v>
      </c>
      <c r="N549" s="234">
        <v>25965.599999999999</v>
      </c>
      <c r="O549" s="243" t="s">
        <v>1880</v>
      </c>
      <c r="P549" s="236">
        <v>45914</v>
      </c>
    </row>
    <row r="550" spans="1:16" ht="51" customHeight="1">
      <c r="A550" s="239" t="s">
        <v>1830</v>
      </c>
      <c r="B550" s="240">
        <v>1641</v>
      </c>
      <c r="C550" s="241">
        <v>37501</v>
      </c>
      <c r="D550" s="239" t="s">
        <v>3819</v>
      </c>
      <c r="E550" s="239" t="s">
        <v>403</v>
      </c>
      <c r="F550" s="239" t="s">
        <v>404</v>
      </c>
      <c r="G550" s="239" t="s">
        <v>947</v>
      </c>
      <c r="H550" s="239" t="s">
        <v>51</v>
      </c>
      <c r="I550" s="239" t="s">
        <v>1580</v>
      </c>
      <c r="J550" s="234">
        <v>39480</v>
      </c>
      <c r="K550" s="234">
        <v>14490</v>
      </c>
      <c r="L550" s="242">
        <v>8</v>
      </c>
      <c r="M550" s="234">
        <v>24990</v>
      </c>
      <c r="N550" s="234">
        <v>22990.799999999999</v>
      </c>
      <c r="O550" s="243" t="s">
        <v>1881</v>
      </c>
      <c r="P550" s="236">
        <v>45914</v>
      </c>
    </row>
    <row r="551" spans="1:16" ht="51" customHeight="1">
      <c r="A551" s="239" t="s">
        <v>1831</v>
      </c>
      <c r="B551" s="240">
        <v>1642</v>
      </c>
      <c r="C551" s="241">
        <v>37503</v>
      </c>
      <c r="D551" s="239" t="s">
        <v>3819</v>
      </c>
      <c r="E551" s="239" t="s">
        <v>406</v>
      </c>
      <c r="F551" s="239" t="s">
        <v>407</v>
      </c>
      <c r="G551" s="239" t="s">
        <v>947</v>
      </c>
      <c r="H551" s="239" t="s">
        <v>51</v>
      </c>
      <c r="I551" s="239" t="s">
        <v>1580</v>
      </c>
      <c r="J551" s="234">
        <v>39400</v>
      </c>
      <c r="K551" s="234">
        <v>15090</v>
      </c>
      <c r="L551" s="242">
        <v>7</v>
      </c>
      <c r="M551" s="234">
        <v>24310</v>
      </c>
      <c r="N551" s="234">
        <v>22608.3</v>
      </c>
      <c r="O551" s="243" t="s">
        <v>1882</v>
      </c>
      <c r="P551" s="236">
        <v>45914</v>
      </c>
    </row>
    <row r="552" spans="1:16" ht="51" customHeight="1">
      <c r="A552" s="239" t="s">
        <v>1912</v>
      </c>
      <c r="B552" s="240">
        <v>1644</v>
      </c>
      <c r="C552" s="241">
        <v>37521</v>
      </c>
      <c r="D552" s="239" t="s">
        <v>3819</v>
      </c>
      <c r="E552" s="239" t="s">
        <v>416</v>
      </c>
      <c r="F552" s="239" t="s">
        <v>417</v>
      </c>
      <c r="G552" s="239" t="s">
        <v>947</v>
      </c>
      <c r="H552" s="239" t="s">
        <v>51</v>
      </c>
      <c r="I552" s="239" t="s">
        <v>1580</v>
      </c>
      <c r="J552" s="234">
        <v>37600</v>
      </c>
      <c r="K552" s="234">
        <v>14670</v>
      </c>
      <c r="L552" s="242">
        <v>11</v>
      </c>
      <c r="M552" s="234">
        <v>22930</v>
      </c>
      <c r="N552" s="234">
        <v>20407.7</v>
      </c>
      <c r="O552" s="243" t="s">
        <v>1953</v>
      </c>
      <c r="P552" s="236">
        <v>45914</v>
      </c>
    </row>
    <row r="553" spans="1:16" ht="51" customHeight="1">
      <c r="A553" s="239" t="s">
        <v>1913</v>
      </c>
      <c r="B553" s="240">
        <v>1646</v>
      </c>
      <c r="C553" s="241">
        <v>37517</v>
      </c>
      <c r="D553" s="239" t="s">
        <v>3819</v>
      </c>
      <c r="E553" s="239" t="s">
        <v>390</v>
      </c>
      <c r="F553" s="239" t="s">
        <v>391</v>
      </c>
      <c r="G553" s="239" t="s">
        <v>947</v>
      </c>
      <c r="H553" s="239" t="s">
        <v>51</v>
      </c>
      <c r="I553" s="239" t="s">
        <v>1580</v>
      </c>
      <c r="J553" s="234">
        <v>40200</v>
      </c>
      <c r="K553" s="234">
        <v>14990</v>
      </c>
      <c r="L553" s="242">
        <v>12</v>
      </c>
      <c r="M553" s="234">
        <v>25210</v>
      </c>
      <c r="N553" s="234">
        <v>22184.799999999999</v>
      </c>
      <c r="O553" s="243" t="s">
        <v>1954</v>
      </c>
      <c r="P553" s="236">
        <v>45914</v>
      </c>
    </row>
    <row r="554" spans="1:16" ht="51" customHeight="1">
      <c r="A554" s="239" t="s">
        <v>1914</v>
      </c>
      <c r="B554" s="240">
        <v>1647</v>
      </c>
      <c r="C554" s="241">
        <v>37515</v>
      </c>
      <c r="D554" s="239" t="s">
        <v>3819</v>
      </c>
      <c r="E554" s="239" t="s">
        <v>392</v>
      </c>
      <c r="F554" s="239" t="s">
        <v>393</v>
      </c>
      <c r="G554" s="239" t="s">
        <v>947</v>
      </c>
      <c r="H554" s="239" t="s">
        <v>51</v>
      </c>
      <c r="I554" s="239" t="s">
        <v>1580</v>
      </c>
      <c r="J554" s="234">
        <v>57060</v>
      </c>
      <c r="K554" s="234">
        <v>24040</v>
      </c>
      <c r="L554" s="242">
        <v>11</v>
      </c>
      <c r="M554" s="234">
        <v>33020</v>
      </c>
      <c r="N554" s="234">
        <v>29387.8</v>
      </c>
      <c r="O554" s="243" t="s">
        <v>1955</v>
      </c>
      <c r="P554" s="236">
        <v>45914</v>
      </c>
    </row>
    <row r="555" spans="1:16" ht="51" customHeight="1">
      <c r="A555" s="239" t="s">
        <v>1915</v>
      </c>
      <c r="B555" s="240">
        <v>1649</v>
      </c>
      <c r="C555" s="241">
        <v>37523</v>
      </c>
      <c r="D555" s="239" t="s">
        <v>3819</v>
      </c>
      <c r="E555" s="239" t="s">
        <v>791</v>
      </c>
      <c r="F555" s="239" t="s">
        <v>792</v>
      </c>
      <c r="G555" s="239" t="s">
        <v>947</v>
      </c>
      <c r="H555" s="239" t="s">
        <v>51</v>
      </c>
      <c r="I555" s="239" t="s">
        <v>1580</v>
      </c>
      <c r="J555" s="234">
        <v>38800</v>
      </c>
      <c r="K555" s="234">
        <v>14880</v>
      </c>
      <c r="L555" s="242">
        <v>19</v>
      </c>
      <c r="M555" s="234">
        <v>23920</v>
      </c>
      <c r="N555" s="234">
        <v>19375.2</v>
      </c>
      <c r="O555" s="243" t="s">
        <v>1956</v>
      </c>
      <c r="P555" s="236">
        <v>45914</v>
      </c>
    </row>
    <row r="556" spans="1:16" ht="51" customHeight="1">
      <c r="A556" s="239" t="s">
        <v>1916</v>
      </c>
      <c r="B556" s="240">
        <v>1651</v>
      </c>
      <c r="C556" s="241">
        <v>37527</v>
      </c>
      <c r="D556" s="239" t="s">
        <v>3819</v>
      </c>
      <c r="E556" s="239" t="s">
        <v>462</v>
      </c>
      <c r="F556" s="239" t="s">
        <v>463</v>
      </c>
      <c r="G556" s="239" t="s">
        <v>947</v>
      </c>
      <c r="H556" s="239" t="s">
        <v>51</v>
      </c>
      <c r="I556" s="239" t="s">
        <v>1580</v>
      </c>
      <c r="J556" s="234">
        <v>40980</v>
      </c>
      <c r="K556" s="234">
        <v>16250</v>
      </c>
      <c r="L556" s="242">
        <v>10</v>
      </c>
      <c r="M556" s="234">
        <v>24730</v>
      </c>
      <c r="N556" s="234">
        <v>22257</v>
      </c>
      <c r="O556" s="243" t="s">
        <v>1957</v>
      </c>
      <c r="P556" s="236">
        <v>45914</v>
      </c>
    </row>
    <row r="557" spans="1:16" ht="51" customHeight="1">
      <c r="A557" s="239" t="s">
        <v>1927</v>
      </c>
      <c r="B557" s="240">
        <v>1652</v>
      </c>
      <c r="C557" s="241">
        <v>37529</v>
      </c>
      <c r="D557" s="239" t="s">
        <v>3819</v>
      </c>
      <c r="E557" s="239" t="s">
        <v>794</v>
      </c>
      <c r="F557" s="239" t="s">
        <v>795</v>
      </c>
      <c r="G557" s="239" t="s">
        <v>947</v>
      </c>
      <c r="H557" s="239" t="s">
        <v>51</v>
      </c>
      <c r="I557" s="239" t="s">
        <v>1580</v>
      </c>
      <c r="J557" s="234">
        <v>41580</v>
      </c>
      <c r="K557" s="234">
        <v>16050</v>
      </c>
      <c r="L557" s="242">
        <v>20</v>
      </c>
      <c r="M557" s="234">
        <v>25530</v>
      </c>
      <c r="N557" s="234">
        <v>20424</v>
      </c>
      <c r="O557" s="243" t="s">
        <v>1968</v>
      </c>
      <c r="P557" s="236">
        <v>45915</v>
      </c>
    </row>
    <row r="558" spans="1:16" ht="51" customHeight="1">
      <c r="A558" s="239" t="s">
        <v>1928</v>
      </c>
      <c r="B558" s="240">
        <v>1653</v>
      </c>
      <c r="C558" s="241">
        <v>37533</v>
      </c>
      <c r="D558" s="239" t="s">
        <v>3819</v>
      </c>
      <c r="E558" s="239" t="s">
        <v>432</v>
      </c>
      <c r="F558" s="239" t="s">
        <v>433</v>
      </c>
      <c r="G558" s="239" t="s">
        <v>947</v>
      </c>
      <c r="H558" s="239" t="s">
        <v>51</v>
      </c>
      <c r="I558" s="239" t="s">
        <v>1580</v>
      </c>
      <c r="J558" s="234">
        <v>42660</v>
      </c>
      <c r="K558" s="234">
        <v>15580</v>
      </c>
      <c r="L558" s="242">
        <v>8</v>
      </c>
      <c r="M558" s="234">
        <v>27080</v>
      </c>
      <c r="N558" s="234">
        <v>24913.599999999999</v>
      </c>
      <c r="O558" s="243" t="s">
        <v>1969</v>
      </c>
      <c r="P558" s="236">
        <v>45915</v>
      </c>
    </row>
    <row r="559" spans="1:16" ht="51" customHeight="1">
      <c r="A559" s="239" t="s">
        <v>1930</v>
      </c>
      <c r="B559" s="240">
        <v>1654</v>
      </c>
      <c r="C559" s="241">
        <v>37535</v>
      </c>
      <c r="D559" s="239" t="s">
        <v>3819</v>
      </c>
      <c r="E559" s="239" t="s">
        <v>439</v>
      </c>
      <c r="F559" s="239" t="s">
        <v>440</v>
      </c>
      <c r="G559" s="239" t="s">
        <v>950</v>
      </c>
      <c r="H559" s="239" t="s">
        <v>51</v>
      </c>
      <c r="I559" s="239" t="s">
        <v>1580</v>
      </c>
      <c r="J559" s="234">
        <v>39050</v>
      </c>
      <c r="K559" s="234">
        <v>14870</v>
      </c>
      <c r="L559" s="242">
        <v>16</v>
      </c>
      <c r="M559" s="234">
        <v>24180</v>
      </c>
      <c r="N559" s="234">
        <v>20311.2</v>
      </c>
      <c r="O559" s="243" t="s">
        <v>1971</v>
      </c>
      <c r="P559" s="236">
        <v>45915</v>
      </c>
    </row>
    <row r="560" spans="1:16" ht="51" customHeight="1">
      <c r="A560" s="239" t="s">
        <v>1931</v>
      </c>
      <c r="B560" s="240">
        <v>1675</v>
      </c>
      <c r="C560" s="241">
        <v>37559</v>
      </c>
      <c r="D560" s="239" t="s">
        <v>3819</v>
      </c>
      <c r="E560" s="239" t="s">
        <v>384</v>
      </c>
      <c r="F560" s="239" t="s">
        <v>385</v>
      </c>
      <c r="G560" s="239" t="s">
        <v>952</v>
      </c>
      <c r="H560" s="239" t="s">
        <v>51</v>
      </c>
      <c r="I560" s="239" t="s">
        <v>1580</v>
      </c>
      <c r="J560" s="234">
        <v>36360</v>
      </c>
      <c r="K560" s="234">
        <v>13850</v>
      </c>
      <c r="L560" s="242">
        <v>12</v>
      </c>
      <c r="M560" s="234">
        <v>22510</v>
      </c>
      <c r="N560" s="234">
        <v>19808.8</v>
      </c>
      <c r="O560" s="243" t="s">
        <v>1972</v>
      </c>
      <c r="P560" s="236">
        <v>45915</v>
      </c>
    </row>
    <row r="561" spans="1:16" ht="51" customHeight="1">
      <c r="A561" s="239" t="s">
        <v>1929</v>
      </c>
      <c r="B561" s="240">
        <v>1676</v>
      </c>
      <c r="C561" s="241">
        <v>37561</v>
      </c>
      <c r="D561" s="239" t="s">
        <v>3819</v>
      </c>
      <c r="E561" s="239" t="s">
        <v>369</v>
      </c>
      <c r="F561" s="239" t="s">
        <v>370</v>
      </c>
      <c r="G561" s="239" t="s">
        <v>953</v>
      </c>
      <c r="H561" s="239" t="s">
        <v>51</v>
      </c>
      <c r="I561" s="239" t="s">
        <v>1580</v>
      </c>
      <c r="J561" s="234">
        <v>38050</v>
      </c>
      <c r="K561" s="234">
        <v>15000</v>
      </c>
      <c r="L561" s="242">
        <v>8</v>
      </c>
      <c r="M561" s="234">
        <v>23050</v>
      </c>
      <c r="N561" s="234">
        <v>21206</v>
      </c>
      <c r="O561" s="243" t="s">
        <v>1970</v>
      </c>
      <c r="P561" s="236">
        <v>45915</v>
      </c>
    </row>
    <row r="562" spans="1:16" ht="51" customHeight="1">
      <c r="A562" s="239" t="s">
        <v>1917</v>
      </c>
      <c r="B562" s="240">
        <v>1655</v>
      </c>
      <c r="C562" s="241">
        <v>37537</v>
      </c>
      <c r="D562" s="239" t="s">
        <v>3819</v>
      </c>
      <c r="E562" s="239" t="s">
        <v>472</v>
      </c>
      <c r="F562" s="239" t="s">
        <v>473</v>
      </c>
      <c r="G562" s="239" t="s">
        <v>950</v>
      </c>
      <c r="H562" s="239" t="s">
        <v>51</v>
      </c>
      <c r="I562" s="239" t="s">
        <v>1580</v>
      </c>
      <c r="J562" s="234">
        <v>39470</v>
      </c>
      <c r="K562" s="234">
        <v>16330</v>
      </c>
      <c r="L562" s="242">
        <v>14</v>
      </c>
      <c r="M562" s="234">
        <v>23140</v>
      </c>
      <c r="N562" s="234">
        <v>19900.400000000001</v>
      </c>
      <c r="O562" s="243" t="s">
        <v>1958</v>
      </c>
      <c r="P562" s="236">
        <v>45915</v>
      </c>
    </row>
    <row r="563" spans="1:16" ht="51" customHeight="1">
      <c r="A563" s="239" t="s">
        <v>1918</v>
      </c>
      <c r="B563" s="240">
        <v>1656</v>
      </c>
      <c r="C563" s="241">
        <v>37539</v>
      </c>
      <c r="D563" s="239" t="s">
        <v>3819</v>
      </c>
      <c r="E563" s="239" t="s">
        <v>475</v>
      </c>
      <c r="F563" s="239" t="s">
        <v>476</v>
      </c>
      <c r="G563" s="239" t="s">
        <v>950</v>
      </c>
      <c r="H563" s="239" t="s">
        <v>51</v>
      </c>
      <c r="I563" s="239" t="s">
        <v>1580</v>
      </c>
      <c r="J563" s="234">
        <v>39250</v>
      </c>
      <c r="K563" s="234">
        <v>16320</v>
      </c>
      <c r="L563" s="242">
        <v>23</v>
      </c>
      <c r="M563" s="234">
        <v>22930</v>
      </c>
      <c r="N563" s="234">
        <v>17656.099999999999</v>
      </c>
      <c r="O563" s="243" t="s">
        <v>1959</v>
      </c>
      <c r="P563" s="236">
        <v>45915</v>
      </c>
    </row>
    <row r="564" spans="1:16" ht="51" customHeight="1">
      <c r="A564" s="239" t="s">
        <v>1919</v>
      </c>
      <c r="B564" s="240">
        <v>1657</v>
      </c>
      <c r="C564" s="241">
        <v>37541</v>
      </c>
      <c r="D564" s="239" t="s">
        <v>3819</v>
      </c>
      <c r="E564" s="239" t="s">
        <v>841</v>
      </c>
      <c r="F564" s="239" t="s">
        <v>845</v>
      </c>
      <c r="G564" s="239" t="s">
        <v>950</v>
      </c>
      <c r="H564" s="239" t="s">
        <v>51</v>
      </c>
      <c r="I564" s="239" t="s">
        <v>1580</v>
      </c>
      <c r="J564" s="234">
        <v>42870</v>
      </c>
      <c r="K564" s="234">
        <v>15830</v>
      </c>
      <c r="L564" s="242">
        <v>17</v>
      </c>
      <c r="M564" s="234">
        <v>27040</v>
      </c>
      <c r="N564" s="234">
        <v>22443.200000000001</v>
      </c>
      <c r="O564" s="243" t="s">
        <v>1960</v>
      </c>
      <c r="P564" s="236">
        <v>45915</v>
      </c>
    </row>
    <row r="565" spans="1:16" ht="51" customHeight="1">
      <c r="A565" s="239" t="s">
        <v>1920</v>
      </c>
      <c r="B565" s="240">
        <v>1658</v>
      </c>
      <c r="C565" s="241">
        <v>37543</v>
      </c>
      <c r="D565" s="239" t="s">
        <v>3819</v>
      </c>
      <c r="E565" s="239" t="s">
        <v>866</v>
      </c>
      <c r="F565" s="239" t="s">
        <v>867</v>
      </c>
      <c r="G565" s="239" t="s">
        <v>950</v>
      </c>
      <c r="H565" s="239" t="s">
        <v>51</v>
      </c>
      <c r="I565" s="239" t="s">
        <v>1580</v>
      </c>
      <c r="J565" s="234">
        <v>39170</v>
      </c>
      <c r="K565" s="234">
        <v>14420</v>
      </c>
      <c r="L565" s="242">
        <v>5</v>
      </c>
      <c r="M565" s="234">
        <v>24750</v>
      </c>
      <c r="N565" s="234">
        <v>23512.5</v>
      </c>
      <c r="O565" s="243" t="s">
        <v>1961</v>
      </c>
      <c r="P565" s="236">
        <v>45915</v>
      </c>
    </row>
    <row r="566" spans="1:16" ht="51" customHeight="1">
      <c r="A566" s="239" t="s">
        <v>1921</v>
      </c>
      <c r="B566" s="240">
        <v>1660</v>
      </c>
      <c r="C566" s="241">
        <v>37545</v>
      </c>
      <c r="D566" s="239" t="s">
        <v>3819</v>
      </c>
      <c r="E566" s="239" t="s">
        <v>388</v>
      </c>
      <c r="F566" s="239" t="s">
        <v>389</v>
      </c>
      <c r="G566" s="239" t="s">
        <v>950</v>
      </c>
      <c r="H566" s="239" t="s">
        <v>51</v>
      </c>
      <c r="I566" s="239" t="s">
        <v>1580</v>
      </c>
      <c r="J566" s="234">
        <v>53280</v>
      </c>
      <c r="K566" s="234">
        <v>20830</v>
      </c>
      <c r="L566" s="242">
        <v>9</v>
      </c>
      <c r="M566" s="234">
        <v>32450</v>
      </c>
      <c r="N566" s="234">
        <v>29529.5</v>
      </c>
      <c r="O566" s="243" t="s">
        <v>1962</v>
      </c>
      <c r="P566" s="236">
        <v>45915</v>
      </c>
    </row>
    <row r="567" spans="1:16" ht="51" customHeight="1">
      <c r="A567" s="239" t="s">
        <v>1922</v>
      </c>
      <c r="B567" s="240">
        <v>1662</v>
      </c>
      <c r="C567" s="241">
        <v>37547</v>
      </c>
      <c r="D567" s="239" t="s">
        <v>3819</v>
      </c>
      <c r="E567" s="239" t="s">
        <v>400</v>
      </c>
      <c r="F567" s="239" t="s">
        <v>401</v>
      </c>
      <c r="G567" s="239" t="s">
        <v>950</v>
      </c>
      <c r="H567" s="239" t="s">
        <v>51</v>
      </c>
      <c r="I567" s="239" t="s">
        <v>1580</v>
      </c>
      <c r="J567" s="234">
        <v>38160</v>
      </c>
      <c r="K567" s="234">
        <v>14690</v>
      </c>
      <c r="L567" s="242">
        <v>14</v>
      </c>
      <c r="M567" s="234">
        <v>23470</v>
      </c>
      <c r="N567" s="234">
        <v>20184.2</v>
      </c>
      <c r="O567" s="243" t="s">
        <v>1963</v>
      </c>
      <c r="P567" s="236">
        <v>45915</v>
      </c>
    </row>
    <row r="568" spans="1:16" ht="51" customHeight="1">
      <c r="A568" s="239" t="s">
        <v>1923</v>
      </c>
      <c r="B568" s="240">
        <v>1663</v>
      </c>
      <c r="C568" s="241">
        <v>37549</v>
      </c>
      <c r="D568" s="239" t="s">
        <v>3819</v>
      </c>
      <c r="E568" s="239" t="s">
        <v>382</v>
      </c>
      <c r="F568" s="239" t="s">
        <v>383</v>
      </c>
      <c r="G568" s="239" t="s">
        <v>950</v>
      </c>
      <c r="H568" s="239" t="s">
        <v>51</v>
      </c>
      <c r="I568" s="239" t="s">
        <v>1580</v>
      </c>
      <c r="J568" s="234">
        <v>37000</v>
      </c>
      <c r="K568" s="234">
        <v>14540</v>
      </c>
      <c r="L568" s="242">
        <v>19</v>
      </c>
      <c r="M568" s="234">
        <v>22460</v>
      </c>
      <c r="N568" s="234">
        <v>18192.599999999999</v>
      </c>
      <c r="O568" s="243" t="s">
        <v>1964</v>
      </c>
      <c r="P568" s="236">
        <v>45915</v>
      </c>
    </row>
    <row r="569" spans="1:16" ht="51" customHeight="1">
      <c r="A569" s="239" t="s">
        <v>1924</v>
      </c>
      <c r="B569" s="240">
        <v>1666</v>
      </c>
      <c r="C569" s="241">
        <v>37551</v>
      </c>
      <c r="D569" s="239" t="s">
        <v>3819</v>
      </c>
      <c r="E569" s="239" t="s">
        <v>374</v>
      </c>
      <c r="F569" s="239" t="s">
        <v>375</v>
      </c>
      <c r="G569" s="239" t="s">
        <v>950</v>
      </c>
      <c r="H569" s="239" t="s">
        <v>51</v>
      </c>
      <c r="I569" s="239" t="s">
        <v>1580</v>
      </c>
      <c r="J569" s="234">
        <v>38670</v>
      </c>
      <c r="K569" s="234">
        <v>15500</v>
      </c>
      <c r="L569" s="242">
        <v>9</v>
      </c>
      <c r="M569" s="234">
        <v>23170</v>
      </c>
      <c r="N569" s="234">
        <v>21084.7</v>
      </c>
      <c r="O569" s="243" t="s">
        <v>1965</v>
      </c>
      <c r="P569" s="236">
        <v>45915</v>
      </c>
    </row>
    <row r="570" spans="1:16" ht="51" customHeight="1">
      <c r="A570" s="239" t="s">
        <v>1925</v>
      </c>
      <c r="B570" s="240">
        <v>1667</v>
      </c>
      <c r="C570" s="241">
        <v>37553</v>
      </c>
      <c r="D570" s="239" t="s">
        <v>3819</v>
      </c>
      <c r="E570" s="239" t="s">
        <v>377</v>
      </c>
      <c r="F570" s="239" t="s">
        <v>378</v>
      </c>
      <c r="G570" s="239" t="s">
        <v>950</v>
      </c>
      <c r="H570" s="239" t="s">
        <v>51</v>
      </c>
      <c r="I570" s="239" t="s">
        <v>1580</v>
      </c>
      <c r="J570" s="234">
        <v>41710</v>
      </c>
      <c r="K570" s="234">
        <v>15130</v>
      </c>
      <c r="L570" s="242">
        <v>10</v>
      </c>
      <c r="M570" s="234">
        <v>26580</v>
      </c>
      <c r="N570" s="234">
        <v>23922</v>
      </c>
      <c r="O570" s="243" t="s">
        <v>1966</v>
      </c>
      <c r="P570" s="236">
        <v>45915</v>
      </c>
    </row>
    <row r="571" spans="1:16" ht="51" customHeight="1">
      <c r="A571" s="239" t="s">
        <v>1926</v>
      </c>
      <c r="B571" s="240">
        <v>1671</v>
      </c>
      <c r="C571" s="241">
        <v>37555</v>
      </c>
      <c r="D571" s="239" t="s">
        <v>3819</v>
      </c>
      <c r="E571" s="239" t="s">
        <v>442</v>
      </c>
      <c r="F571" s="239" t="s">
        <v>443</v>
      </c>
      <c r="G571" s="239" t="s">
        <v>950</v>
      </c>
      <c r="H571" s="239" t="s">
        <v>51</v>
      </c>
      <c r="I571" s="239" t="s">
        <v>1580</v>
      </c>
      <c r="J571" s="234">
        <v>35140</v>
      </c>
      <c r="K571" s="234">
        <v>14430</v>
      </c>
      <c r="L571" s="242">
        <v>18</v>
      </c>
      <c r="M571" s="234">
        <v>20710</v>
      </c>
      <c r="N571" s="234">
        <v>16982.2</v>
      </c>
      <c r="O571" s="243" t="s">
        <v>1967</v>
      </c>
      <c r="P571" s="236">
        <v>45915</v>
      </c>
    </row>
    <row r="572" spans="1:16" ht="51" customHeight="1">
      <c r="A572" s="239" t="s">
        <v>1973</v>
      </c>
      <c r="B572" s="240">
        <v>1674</v>
      </c>
      <c r="C572" s="241">
        <v>37557</v>
      </c>
      <c r="D572" s="239" t="s">
        <v>3819</v>
      </c>
      <c r="E572" s="239" t="s">
        <v>780</v>
      </c>
      <c r="F572" s="239" t="s">
        <v>781</v>
      </c>
      <c r="G572" s="239" t="s">
        <v>950</v>
      </c>
      <c r="H572" s="239" t="s">
        <v>51</v>
      </c>
      <c r="I572" s="239" t="s">
        <v>1580</v>
      </c>
      <c r="J572" s="234">
        <v>36190</v>
      </c>
      <c r="K572" s="234">
        <v>14790</v>
      </c>
      <c r="L572" s="242">
        <v>13</v>
      </c>
      <c r="M572" s="234">
        <v>21400</v>
      </c>
      <c r="N572" s="234">
        <v>18618</v>
      </c>
      <c r="O572" s="243" t="s">
        <v>1974</v>
      </c>
      <c r="P572" s="236">
        <v>45915</v>
      </c>
    </row>
    <row r="573" spans="1:16" ht="51" customHeight="1">
      <c r="A573" s="239" t="s">
        <v>1977</v>
      </c>
      <c r="B573" s="240">
        <v>1682</v>
      </c>
      <c r="C573" s="241">
        <v>136</v>
      </c>
      <c r="D573" s="239" t="s">
        <v>591</v>
      </c>
      <c r="E573" s="239" t="s">
        <v>1978</v>
      </c>
      <c r="F573" s="239" t="s">
        <v>1979</v>
      </c>
      <c r="G573" s="239" t="s">
        <v>966</v>
      </c>
      <c r="H573" s="239" t="s">
        <v>254</v>
      </c>
      <c r="I573" s="239" t="s">
        <v>371</v>
      </c>
      <c r="J573" s="234">
        <v>23210</v>
      </c>
      <c r="K573" s="234">
        <v>14110</v>
      </c>
      <c r="L573" s="242">
        <v>18</v>
      </c>
      <c r="M573" s="234">
        <v>9100</v>
      </c>
      <c r="N573" s="234">
        <v>7462</v>
      </c>
      <c r="O573" s="243" t="s">
        <v>1985</v>
      </c>
      <c r="P573" s="236">
        <v>45916</v>
      </c>
    </row>
    <row r="574" spans="1:16" ht="51" customHeight="1">
      <c r="A574" s="239" t="s">
        <v>1980</v>
      </c>
      <c r="B574" s="240">
        <v>1684</v>
      </c>
      <c r="C574" s="241">
        <v>137</v>
      </c>
      <c r="D574" s="239" t="s">
        <v>591</v>
      </c>
      <c r="E574" s="239" t="s">
        <v>377</v>
      </c>
      <c r="F574" s="239" t="s">
        <v>378</v>
      </c>
      <c r="G574" s="239" t="s">
        <v>966</v>
      </c>
      <c r="H574" s="239" t="s">
        <v>254</v>
      </c>
      <c r="I574" s="239" t="s">
        <v>371</v>
      </c>
      <c r="J574" s="234">
        <v>38560</v>
      </c>
      <c r="K574" s="234">
        <v>15090</v>
      </c>
      <c r="L574" s="242">
        <v>23</v>
      </c>
      <c r="M574" s="234">
        <v>23470</v>
      </c>
      <c r="N574" s="234">
        <v>18071.900000000001</v>
      </c>
      <c r="O574" s="243" t="s">
        <v>1986</v>
      </c>
      <c r="P574" s="236">
        <v>45916</v>
      </c>
    </row>
    <row r="575" spans="1:16" ht="51" customHeight="1">
      <c r="A575" s="239" t="s">
        <v>1981</v>
      </c>
      <c r="B575" s="240">
        <v>1685</v>
      </c>
      <c r="C575" s="241">
        <v>138</v>
      </c>
      <c r="D575" s="239" t="s">
        <v>591</v>
      </c>
      <c r="E575" s="239" t="s">
        <v>400</v>
      </c>
      <c r="F575" s="239" t="s">
        <v>401</v>
      </c>
      <c r="G575" s="239" t="s">
        <v>966</v>
      </c>
      <c r="H575" s="239" t="s">
        <v>254</v>
      </c>
      <c r="I575" s="239" t="s">
        <v>371</v>
      </c>
      <c r="J575" s="234">
        <v>32100</v>
      </c>
      <c r="K575" s="234">
        <v>14880</v>
      </c>
      <c r="L575" s="242">
        <v>22</v>
      </c>
      <c r="M575" s="234">
        <v>17220</v>
      </c>
      <c r="N575" s="234">
        <v>13431.6</v>
      </c>
      <c r="O575" s="243" t="s">
        <v>1987</v>
      </c>
      <c r="P575" s="236">
        <v>45916</v>
      </c>
    </row>
    <row r="576" spans="1:16" ht="51" customHeight="1">
      <c r="A576" s="239" t="s">
        <v>1982</v>
      </c>
      <c r="B576" s="240">
        <v>1686</v>
      </c>
      <c r="C576" s="241">
        <v>139</v>
      </c>
      <c r="D576" s="239" t="s">
        <v>591</v>
      </c>
      <c r="E576" s="239" t="s">
        <v>1978</v>
      </c>
      <c r="F576" s="239" t="s">
        <v>1979</v>
      </c>
      <c r="G576" s="239" t="s">
        <v>966</v>
      </c>
      <c r="H576" s="239" t="s">
        <v>254</v>
      </c>
      <c r="I576" s="239" t="s">
        <v>371</v>
      </c>
      <c r="J576" s="234">
        <v>28680</v>
      </c>
      <c r="K576" s="234">
        <v>14180</v>
      </c>
      <c r="L576" s="242">
        <v>28</v>
      </c>
      <c r="M576" s="234">
        <v>14500</v>
      </c>
      <c r="N576" s="234">
        <v>10440</v>
      </c>
      <c r="O576" s="243" t="s">
        <v>1988</v>
      </c>
      <c r="P576" s="236">
        <v>45917</v>
      </c>
    </row>
    <row r="577" spans="1:16" ht="51" customHeight="1">
      <c r="A577" s="239" t="s">
        <v>1983</v>
      </c>
      <c r="B577" s="240">
        <v>1687</v>
      </c>
      <c r="C577" s="241">
        <v>140</v>
      </c>
      <c r="D577" s="239" t="s">
        <v>591</v>
      </c>
      <c r="E577" s="239" t="s">
        <v>377</v>
      </c>
      <c r="F577" s="239" t="s">
        <v>378</v>
      </c>
      <c r="G577" s="239" t="s">
        <v>966</v>
      </c>
      <c r="H577" s="239" t="s">
        <v>254</v>
      </c>
      <c r="I577" s="239" t="s">
        <v>371</v>
      </c>
      <c r="J577" s="234">
        <v>32420</v>
      </c>
      <c r="K577" s="234">
        <v>15070</v>
      </c>
      <c r="L577" s="242">
        <v>24</v>
      </c>
      <c r="M577" s="234">
        <v>17350</v>
      </c>
      <c r="N577" s="234">
        <v>13186</v>
      </c>
      <c r="O577" s="243" t="s">
        <v>1989</v>
      </c>
      <c r="P577" s="236">
        <v>45917</v>
      </c>
    </row>
    <row r="578" spans="1:16" ht="51" customHeight="1">
      <c r="A578" s="239" t="s">
        <v>1984</v>
      </c>
      <c r="B578" s="240">
        <v>1688</v>
      </c>
      <c r="C578" s="241">
        <v>141</v>
      </c>
      <c r="D578" s="239" t="s">
        <v>591</v>
      </c>
      <c r="E578" s="239" t="s">
        <v>1978</v>
      </c>
      <c r="F578" s="239" t="s">
        <v>1979</v>
      </c>
      <c r="G578" s="239" t="s">
        <v>966</v>
      </c>
      <c r="H578" s="239" t="s">
        <v>254</v>
      </c>
      <c r="I578" s="239" t="s">
        <v>371</v>
      </c>
      <c r="J578" s="234">
        <v>24510</v>
      </c>
      <c r="K578" s="234">
        <v>14170</v>
      </c>
      <c r="L578" s="242">
        <v>26</v>
      </c>
      <c r="M578" s="234">
        <v>10340</v>
      </c>
      <c r="N578" s="234">
        <v>7651.6</v>
      </c>
      <c r="O578" s="243" t="s">
        <v>1990</v>
      </c>
      <c r="P578" s="236">
        <v>45917</v>
      </c>
    </row>
    <row r="579" spans="1:16" ht="51" customHeight="1">
      <c r="A579" s="239" t="s">
        <v>1992</v>
      </c>
      <c r="B579" s="240">
        <v>1691</v>
      </c>
      <c r="C579" s="241">
        <v>142</v>
      </c>
      <c r="D579" s="239" t="s">
        <v>591</v>
      </c>
      <c r="E579" s="239" t="s">
        <v>382</v>
      </c>
      <c r="F579" s="239" t="s">
        <v>383</v>
      </c>
      <c r="G579" s="239" t="s">
        <v>966</v>
      </c>
      <c r="H579" s="239" t="s">
        <v>254</v>
      </c>
      <c r="I579" s="239" t="s">
        <v>371</v>
      </c>
      <c r="J579" s="234">
        <v>28250</v>
      </c>
      <c r="K579" s="234">
        <v>14750</v>
      </c>
      <c r="L579" s="242">
        <v>21</v>
      </c>
      <c r="M579" s="234">
        <v>13500</v>
      </c>
      <c r="N579" s="234">
        <v>10665</v>
      </c>
      <c r="O579" s="243" t="s">
        <v>2066</v>
      </c>
      <c r="P579" s="236">
        <v>45917</v>
      </c>
    </row>
    <row r="580" spans="1:16" ht="51" customHeight="1">
      <c r="A580" s="239" t="s">
        <v>1993</v>
      </c>
      <c r="B580" s="240">
        <v>1692</v>
      </c>
      <c r="C580" s="241">
        <v>143</v>
      </c>
      <c r="D580" s="239" t="s">
        <v>591</v>
      </c>
      <c r="E580" s="239" t="s">
        <v>384</v>
      </c>
      <c r="F580" s="239" t="s">
        <v>385</v>
      </c>
      <c r="G580" s="239" t="s">
        <v>966</v>
      </c>
      <c r="H580" s="239" t="s">
        <v>254</v>
      </c>
      <c r="I580" s="239" t="s">
        <v>371</v>
      </c>
      <c r="J580" s="234">
        <v>27900</v>
      </c>
      <c r="K580" s="234">
        <v>14020</v>
      </c>
      <c r="L580" s="242">
        <v>18</v>
      </c>
      <c r="M580" s="234">
        <v>13880</v>
      </c>
      <c r="N580" s="234">
        <v>11381.6</v>
      </c>
      <c r="O580" s="243" t="s">
        <v>2067</v>
      </c>
      <c r="P580" s="236">
        <v>45917</v>
      </c>
    </row>
    <row r="581" spans="1:16" ht="51" customHeight="1">
      <c r="A581" s="239" t="s">
        <v>1994</v>
      </c>
      <c r="B581" s="240">
        <v>1694</v>
      </c>
      <c r="C581" s="241">
        <v>144</v>
      </c>
      <c r="D581" s="239" t="s">
        <v>591</v>
      </c>
      <c r="E581" s="239" t="s">
        <v>382</v>
      </c>
      <c r="F581" s="239" t="s">
        <v>383</v>
      </c>
      <c r="G581" s="239" t="s">
        <v>966</v>
      </c>
      <c r="H581" s="239" t="s">
        <v>254</v>
      </c>
      <c r="I581" s="239" t="s">
        <v>371</v>
      </c>
      <c r="J581" s="234">
        <v>25200</v>
      </c>
      <c r="K581" s="234">
        <v>14730</v>
      </c>
      <c r="L581" s="242">
        <v>16</v>
      </c>
      <c r="M581" s="234">
        <v>10470</v>
      </c>
      <c r="N581" s="234">
        <v>8794.7999999999993</v>
      </c>
      <c r="O581" s="243" t="s">
        <v>2068</v>
      </c>
      <c r="P581" s="236">
        <v>45917</v>
      </c>
    </row>
    <row r="582" spans="1:16" ht="51" customHeight="1">
      <c r="A582" s="239" t="s">
        <v>1995</v>
      </c>
      <c r="B582" s="240">
        <v>1697</v>
      </c>
      <c r="C582" s="241">
        <v>145</v>
      </c>
      <c r="D582" s="239" t="s">
        <v>591</v>
      </c>
      <c r="E582" s="239" t="s">
        <v>384</v>
      </c>
      <c r="F582" s="239" t="s">
        <v>385</v>
      </c>
      <c r="G582" s="239" t="s">
        <v>966</v>
      </c>
      <c r="H582" s="239" t="s">
        <v>254</v>
      </c>
      <c r="I582" s="239" t="s">
        <v>371</v>
      </c>
      <c r="J582" s="234">
        <v>29610</v>
      </c>
      <c r="K582" s="234">
        <v>14010</v>
      </c>
      <c r="L582" s="242">
        <v>25</v>
      </c>
      <c r="M582" s="234">
        <v>15600</v>
      </c>
      <c r="N582" s="234">
        <v>11700</v>
      </c>
      <c r="O582" s="243" t="s">
        <v>2069</v>
      </c>
      <c r="P582" s="236">
        <v>45917</v>
      </c>
    </row>
    <row r="583" spans="1:16" ht="51" customHeight="1">
      <c r="A583" s="239" t="s">
        <v>1996</v>
      </c>
      <c r="B583" s="240">
        <v>1698</v>
      </c>
      <c r="C583" s="241">
        <v>146</v>
      </c>
      <c r="D583" s="239" t="s">
        <v>591</v>
      </c>
      <c r="E583" s="239" t="s">
        <v>382</v>
      </c>
      <c r="F583" s="239" t="s">
        <v>383</v>
      </c>
      <c r="G583" s="239" t="s">
        <v>966</v>
      </c>
      <c r="H583" s="239" t="s">
        <v>254</v>
      </c>
      <c r="I583" s="239" t="s">
        <v>371</v>
      </c>
      <c r="J583" s="234">
        <v>28690</v>
      </c>
      <c r="K583" s="234">
        <v>14720</v>
      </c>
      <c r="L583" s="242">
        <v>24</v>
      </c>
      <c r="M583" s="234">
        <v>13970</v>
      </c>
      <c r="N583" s="234">
        <v>10617.2</v>
      </c>
      <c r="O583" s="243" t="s">
        <v>2070</v>
      </c>
      <c r="P583" s="236">
        <v>45917</v>
      </c>
    </row>
    <row r="584" spans="1:16" ht="51" customHeight="1">
      <c r="A584" s="239" t="s">
        <v>1997</v>
      </c>
      <c r="B584" s="240">
        <v>1699</v>
      </c>
      <c r="C584" s="241">
        <v>147</v>
      </c>
      <c r="D584" s="239" t="s">
        <v>591</v>
      </c>
      <c r="E584" s="239" t="s">
        <v>384</v>
      </c>
      <c r="F584" s="239" t="s">
        <v>385</v>
      </c>
      <c r="G584" s="239" t="s">
        <v>966</v>
      </c>
      <c r="H584" s="239" t="s">
        <v>254</v>
      </c>
      <c r="I584" s="239" t="s">
        <v>371</v>
      </c>
      <c r="J584" s="234">
        <v>32120</v>
      </c>
      <c r="K584" s="234">
        <v>14000</v>
      </c>
      <c r="L584" s="242">
        <v>25</v>
      </c>
      <c r="M584" s="234">
        <v>18120</v>
      </c>
      <c r="N584" s="234">
        <v>13590</v>
      </c>
      <c r="O584" s="243" t="s">
        <v>2071</v>
      </c>
      <c r="P584" s="236">
        <v>45917</v>
      </c>
    </row>
    <row r="585" spans="1:16" ht="51" customHeight="1">
      <c r="A585" s="239" t="s">
        <v>1998</v>
      </c>
      <c r="B585" s="240">
        <v>1700</v>
      </c>
      <c r="C585" s="241">
        <v>148</v>
      </c>
      <c r="D585" s="239" t="s">
        <v>591</v>
      </c>
      <c r="E585" s="239" t="s">
        <v>382</v>
      </c>
      <c r="F585" s="239" t="s">
        <v>383</v>
      </c>
      <c r="G585" s="239" t="s">
        <v>966</v>
      </c>
      <c r="H585" s="239" t="s">
        <v>254</v>
      </c>
      <c r="I585" s="239" t="s">
        <v>371</v>
      </c>
      <c r="J585" s="234">
        <v>33450</v>
      </c>
      <c r="K585" s="234">
        <v>14720</v>
      </c>
      <c r="L585" s="242">
        <v>19</v>
      </c>
      <c r="M585" s="234">
        <v>18730</v>
      </c>
      <c r="N585" s="234">
        <v>15171.3</v>
      </c>
      <c r="O585" s="243" t="s">
        <v>2072</v>
      </c>
      <c r="P585" s="236">
        <v>45917</v>
      </c>
    </row>
    <row r="586" spans="1:16" ht="51" customHeight="1">
      <c r="A586" s="239" t="s">
        <v>1999</v>
      </c>
      <c r="B586" s="240">
        <v>1701</v>
      </c>
      <c r="C586" s="241">
        <v>149</v>
      </c>
      <c r="D586" s="239" t="s">
        <v>591</v>
      </c>
      <c r="E586" s="239" t="s">
        <v>369</v>
      </c>
      <c r="F586" s="239" t="s">
        <v>370</v>
      </c>
      <c r="G586" s="239" t="s">
        <v>966</v>
      </c>
      <c r="H586" s="239" t="s">
        <v>254</v>
      </c>
      <c r="I586" s="239" t="s">
        <v>371</v>
      </c>
      <c r="J586" s="234">
        <v>30660</v>
      </c>
      <c r="K586" s="234">
        <v>15130</v>
      </c>
      <c r="L586" s="242">
        <v>23</v>
      </c>
      <c r="M586" s="234">
        <v>15530</v>
      </c>
      <c r="N586" s="234">
        <v>11958.1</v>
      </c>
      <c r="O586" s="243" t="s">
        <v>2073</v>
      </c>
      <c r="P586" s="236">
        <v>45917</v>
      </c>
    </row>
    <row r="587" spans="1:16" ht="51" customHeight="1">
      <c r="A587" s="239" t="s">
        <v>2000</v>
      </c>
      <c r="B587" s="240">
        <v>1702</v>
      </c>
      <c r="C587" s="241">
        <v>150</v>
      </c>
      <c r="D587" s="239" t="s">
        <v>591</v>
      </c>
      <c r="E587" s="239" t="s">
        <v>384</v>
      </c>
      <c r="F587" s="239" t="s">
        <v>385</v>
      </c>
      <c r="G587" s="239" t="s">
        <v>966</v>
      </c>
      <c r="H587" s="239" t="s">
        <v>254</v>
      </c>
      <c r="I587" s="239" t="s">
        <v>371</v>
      </c>
      <c r="J587" s="234">
        <v>28770</v>
      </c>
      <c r="K587" s="234">
        <v>13990</v>
      </c>
      <c r="L587" s="242">
        <v>24</v>
      </c>
      <c r="M587" s="234">
        <v>14780</v>
      </c>
      <c r="N587" s="234">
        <v>11232.8</v>
      </c>
      <c r="O587" s="243" t="s">
        <v>2074</v>
      </c>
      <c r="P587" s="236">
        <v>45917</v>
      </c>
    </row>
    <row r="588" spans="1:16" ht="51" customHeight="1">
      <c r="A588" s="239" t="s">
        <v>2001</v>
      </c>
      <c r="B588" s="240">
        <v>1704</v>
      </c>
      <c r="C588" s="241">
        <v>151</v>
      </c>
      <c r="D588" s="239" t="s">
        <v>591</v>
      </c>
      <c r="E588" s="239" t="s">
        <v>382</v>
      </c>
      <c r="F588" s="239" t="s">
        <v>383</v>
      </c>
      <c r="G588" s="239" t="s">
        <v>966</v>
      </c>
      <c r="H588" s="239" t="s">
        <v>254</v>
      </c>
      <c r="I588" s="239" t="s">
        <v>371</v>
      </c>
      <c r="J588" s="234">
        <v>27380</v>
      </c>
      <c r="K588" s="234">
        <v>14700</v>
      </c>
      <c r="L588" s="242">
        <v>25</v>
      </c>
      <c r="M588" s="234">
        <v>12680</v>
      </c>
      <c r="N588" s="234">
        <v>9510</v>
      </c>
      <c r="O588" s="243" t="s">
        <v>2075</v>
      </c>
      <c r="P588" s="236">
        <v>45918</v>
      </c>
    </row>
    <row r="589" spans="1:16" ht="51" customHeight="1">
      <c r="A589" s="239" t="s">
        <v>2002</v>
      </c>
      <c r="B589" s="240">
        <v>1705</v>
      </c>
      <c r="C589" s="241">
        <v>152</v>
      </c>
      <c r="D589" s="239" t="s">
        <v>591</v>
      </c>
      <c r="E589" s="239" t="s">
        <v>384</v>
      </c>
      <c r="F589" s="239" t="s">
        <v>385</v>
      </c>
      <c r="G589" s="239" t="s">
        <v>966</v>
      </c>
      <c r="H589" s="239" t="s">
        <v>254</v>
      </c>
      <c r="I589" s="239" t="s">
        <v>371</v>
      </c>
      <c r="J589" s="234">
        <v>28110</v>
      </c>
      <c r="K589" s="234">
        <v>13990</v>
      </c>
      <c r="L589" s="242">
        <v>28</v>
      </c>
      <c r="M589" s="234">
        <v>14120</v>
      </c>
      <c r="N589" s="234">
        <v>10166.4</v>
      </c>
      <c r="O589" s="243" t="s">
        <v>2076</v>
      </c>
      <c r="P589" s="236">
        <v>45918</v>
      </c>
    </row>
    <row r="590" spans="1:16" ht="51" customHeight="1">
      <c r="A590" s="239" t="s">
        <v>2003</v>
      </c>
      <c r="B590" s="240">
        <v>1706</v>
      </c>
      <c r="C590" s="241">
        <v>153</v>
      </c>
      <c r="D590" s="239" t="s">
        <v>591</v>
      </c>
      <c r="E590" s="239" t="s">
        <v>382</v>
      </c>
      <c r="F590" s="239" t="s">
        <v>383</v>
      </c>
      <c r="G590" s="239" t="s">
        <v>966</v>
      </c>
      <c r="H590" s="239" t="s">
        <v>254</v>
      </c>
      <c r="I590" s="239" t="s">
        <v>371</v>
      </c>
      <c r="J590" s="234">
        <v>28410</v>
      </c>
      <c r="K590" s="234">
        <v>14700</v>
      </c>
      <c r="L590" s="242">
        <v>34</v>
      </c>
      <c r="M590" s="234">
        <v>13710</v>
      </c>
      <c r="N590" s="234">
        <v>9048.6</v>
      </c>
      <c r="O590" s="243" t="s">
        <v>2077</v>
      </c>
      <c r="P590" s="236">
        <v>45918</v>
      </c>
    </row>
    <row r="591" spans="1:16" ht="51" customHeight="1">
      <c r="A591" s="239" t="s">
        <v>2004</v>
      </c>
      <c r="B591" s="240">
        <v>1707</v>
      </c>
      <c r="C591" s="241">
        <v>154</v>
      </c>
      <c r="D591" s="239" t="s">
        <v>591</v>
      </c>
      <c r="E591" s="239" t="s">
        <v>384</v>
      </c>
      <c r="F591" s="239" t="s">
        <v>385</v>
      </c>
      <c r="G591" s="239" t="s">
        <v>966</v>
      </c>
      <c r="H591" s="239" t="s">
        <v>254</v>
      </c>
      <c r="I591" s="239" t="s">
        <v>371</v>
      </c>
      <c r="J591" s="234">
        <v>29600</v>
      </c>
      <c r="K591" s="234">
        <v>13970</v>
      </c>
      <c r="L591" s="242">
        <v>32</v>
      </c>
      <c r="M591" s="234">
        <v>15630</v>
      </c>
      <c r="N591" s="234">
        <v>10628.4</v>
      </c>
      <c r="O591" s="243" t="s">
        <v>2078</v>
      </c>
      <c r="P591" s="236">
        <v>45918</v>
      </c>
    </row>
    <row r="592" spans="1:16" ht="51" customHeight="1">
      <c r="A592" s="239" t="s">
        <v>2005</v>
      </c>
      <c r="B592" s="240">
        <v>1708</v>
      </c>
      <c r="C592" s="241">
        <v>37563</v>
      </c>
      <c r="D592" s="239" t="s">
        <v>3819</v>
      </c>
      <c r="E592" s="239" t="s">
        <v>1663</v>
      </c>
      <c r="F592" s="239" t="s">
        <v>1733</v>
      </c>
      <c r="G592" s="239" t="s">
        <v>953</v>
      </c>
      <c r="H592" s="239" t="s">
        <v>51</v>
      </c>
      <c r="I592" s="239" t="s">
        <v>1580</v>
      </c>
      <c r="J592" s="234">
        <v>39270</v>
      </c>
      <c r="K592" s="234">
        <v>15480</v>
      </c>
      <c r="L592" s="242">
        <v>24</v>
      </c>
      <c r="M592" s="234">
        <v>23790</v>
      </c>
      <c r="N592" s="234">
        <v>18080.400000000001</v>
      </c>
      <c r="O592" s="243" t="s">
        <v>2079</v>
      </c>
      <c r="P592" s="236">
        <v>45918</v>
      </c>
    </row>
    <row r="593" spans="1:16" ht="51" customHeight="1">
      <c r="A593" s="239" t="s">
        <v>2006</v>
      </c>
      <c r="B593" s="240">
        <v>1710</v>
      </c>
      <c r="C593" s="241">
        <v>37565</v>
      </c>
      <c r="D593" s="239" t="s">
        <v>3819</v>
      </c>
      <c r="E593" s="239" t="s">
        <v>1305</v>
      </c>
      <c r="F593" s="239" t="s">
        <v>1306</v>
      </c>
      <c r="G593" s="239" t="s">
        <v>953</v>
      </c>
      <c r="H593" s="239" t="s">
        <v>51</v>
      </c>
      <c r="I593" s="239" t="s">
        <v>1580</v>
      </c>
      <c r="J593" s="234">
        <v>37930</v>
      </c>
      <c r="K593" s="234">
        <v>14740</v>
      </c>
      <c r="L593" s="242">
        <v>14</v>
      </c>
      <c r="M593" s="234">
        <v>23190</v>
      </c>
      <c r="N593" s="234">
        <v>19943.400000000001</v>
      </c>
      <c r="O593" s="243" t="s">
        <v>2080</v>
      </c>
      <c r="P593" s="236">
        <v>45918</v>
      </c>
    </row>
    <row r="594" spans="1:16" ht="51" customHeight="1">
      <c r="A594" s="239" t="s">
        <v>2007</v>
      </c>
      <c r="B594" s="240">
        <v>1711</v>
      </c>
      <c r="C594" s="241">
        <v>37567</v>
      </c>
      <c r="D594" s="239" t="s">
        <v>3819</v>
      </c>
      <c r="E594" s="239" t="s">
        <v>1648</v>
      </c>
      <c r="F594" s="239" t="s">
        <v>1649</v>
      </c>
      <c r="G594" s="239" t="s">
        <v>953</v>
      </c>
      <c r="H594" s="239" t="s">
        <v>51</v>
      </c>
      <c r="I594" s="239" t="s">
        <v>1580</v>
      </c>
      <c r="J594" s="234">
        <v>38430</v>
      </c>
      <c r="K594" s="234">
        <v>15700</v>
      </c>
      <c r="L594" s="242">
        <v>8</v>
      </c>
      <c r="M594" s="234">
        <v>22730</v>
      </c>
      <c r="N594" s="234">
        <v>20911.599999999999</v>
      </c>
      <c r="O594" s="243" t="s">
        <v>2081</v>
      </c>
      <c r="P594" s="236">
        <v>45918</v>
      </c>
    </row>
    <row r="595" spans="1:16" ht="51" customHeight="1">
      <c r="A595" s="239" t="s">
        <v>2008</v>
      </c>
      <c r="B595" s="240">
        <v>1712</v>
      </c>
      <c r="C595" s="241">
        <v>37569</v>
      </c>
      <c r="D595" s="239" t="s">
        <v>3819</v>
      </c>
      <c r="E595" s="239" t="s">
        <v>429</v>
      </c>
      <c r="F595" s="239" t="s">
        <v>430</v>
      </c>
      <c r="G595" s="239" t="s">
        <v>953</v>
      </c>
      <c r="H595" s="239" t="s">
        <v>51</v>
      </c>
      <c r="I595" s="239" t="s">
        <v>1580</v>
      </c>
      <c r="J595" s="234">
        <v>36030</v>
      </c>
      <c r="K595" s="234">
        <v>14160</v>
      </c>
      <c r="L595" s="242">
        <v>8</v>
      </c>
      <c r="M595" s="234">
        <v>21870</v>
      </c>
      <c r="N595" s="234">
        <v>20120.400000000001</v>
      </c>
      <c r="O595" s="243" t="s">
        <v>2082</v>
      </c>
      <c r="P595" s="236">
        <v>45918</v>
      </c>
    </row>
    <row r="596" spans="1:16" ht="51" customHeight="1">
      <c r="A596" s="239" t="s">
        <v>2009</v>
      </c>
      <c r="B596" s="240">
        <v>1713</v>
      </c>
      <c r="C596" s="241">
        <v>37571</v>
      </c>
      <c r="D596" s="239" t="s">
        <v>3819</v>
      </c>
      <c r="E596" s="239" t="s">
        <v>447</v>
      </c>
      <c r="F596" s="239" t="s">
        <v>448</v>
      </c>
      <c r="G596" s="239" t="s">
        <v>953</v>
      </c>
      <c r="H596" s="239" t="s">
        <v>51</v>
      </c>
      <c r="I596" s="239" t="s">
        <v>1580</v>
      </c>
      <c r="J596" s="234">
        <v>46400</v>
      </c>
      <c r="K596" s="234">
        <v>19180</v>
      </c>
      <c r="L596" s="242">
        <v>12</v>
      </c>
      <c r="M596" s="234">
        <v>27220</v>
      </c>
      <c r="N596" s="234">
        <v>23953.599999999999</v>
      </c>
      <c r="O596" s="243" t="s">
        <v>2083</v>
      </c>
      <c r="P596" s="236">
        <v>45918</v>
      </c>
    </row>
    <row r="597" spans="1:16" ht="51" customHeight="1">
      <c r="A597" s="239" t="s">
        <v>2010</v>
      </c>
      <c r="B597" s="240">
        <v>1714</v>
      </c>
      <c r="C597" s="241">
        <v>37573</v>
      </c>
      <c r="D597" s="239" t="s">
        <v>3819</v>
      </c>
      <c r="E597" s="239" t="s">
        <v>1397</v>
      </c>
      <c r="F597" s="239" t="s">
        <v>1398</v>
      </c>
      <c r="G597" s="239" t="s">
        <v>953</v>
      </c>
      <c r="H597" s="239" t="s">
        <v>51</v>
      </c>
      <c r="I597" s="239" t="s">
        <v>1580</v>
      </c>
      <c r="J597" s="234">
        <v>42250</v>
      </c>
      <c r="K597" s="234">
        <v>17000</v>
      </c>
      <c r="L597" s="242">
        <v>8</v>
      </c>
      <c r="M597" s="234">
        <v>25250</v>
      </c>
      <c r="N597" s="234">
        <v>23230</v>
      </c>
      <c r="O597" s="243" t="s">
        <v>2084</v>
      </c>
      <c r="P597" s="236">
        <v>45918</v>
      </c>
    </row>
    <row r="598" spans="1:16" ht="51" customHeight="1">
      <c r="A598" s="239" t="s">
        <v>2011</v>
      </c>
      <c r="B598" s="240">
        <v>1715</v>
      </c>
      <c r="C598" s="241">
        <v>37577</v>
      </c>
      <c r="D598" s="239" t="s">
        <v>3819</v>
      </c>
      <c r="E598" s="239" t="s">
        <v>1403</v>
      </c>
      <c r="F598" s="239" t="s">
        <v>1404</v>
      </c>
      <c r="G598" s="239" t="s">
        <v>953</v>
      </c>
      <c r="H598" s="239" t="s">
        <v>51</v>
      </c>
      <c r="I598" s="239" t="s">
        <v>1580</v>
      </c>
      <c r="J598" s="234">
        <v>36960</v>
      </c>
      <c r="K598" s="234">
        <v>14920</v>
      </c>
      <c r="L598" s="242">
        <v>8</v>
      </c>
      <c r="M598" s="234">
        <v>22040</v>
      </c>
      <c r="N598" s="234">
        <v>20276.8</v>
      </c>
      <c r="O598" s="243" t="s">
        <v>2085</v>
      </c>
      <c r="P598" s="236">
        <v>45918</v>
      </c>
    </row>
    <row r="599" spans="1:16" ht="51" customHeight="1">
      <c r="A599" s="239" t="s">
        <v>2012</v>
      </c>
      <c r="B599" s="240">
        <v>1716</v>
      </c>
      <c r="C599" s="241">
        <v>37575</v>
      </c>
      <c r="D599" s="239" t="s">
        <v>3819</v>
      </c>
      <c r="E599" s="239" t="s">
        <v>1400</v>
      </c>
      <c r="F599" s="239" t="s">
        <v>1401</v>
      </c>
      <c r="G599" s="239" t="s">
        <v>953</v>
      </c>
      <c r="H599" s="239" t="s">
        <v>51</v>
      </c>
      <c r="I599" s="239" t="s">
        <v>1580</v>
      </c>
      <c r="J599" s="234">
        <v>35480</v>
      </c>
      <c r="K599" s="234">
        <v>14820</v>
      </c>
      <c r="L599" s="242">
        <v>8</v>
      </c>
      <c r="M599" s="234">
        <v>20660</v>
      </c>
      <c r="N599" s="234">
        <v>19007.2</v>
      </c>
      <c r="O599" s="243" t="s">
        <v>2086</v>
      </c>
      <c r="P599" s="236">
        <v>45918</v>
      </c>
    </row>
    <row r="600" spans="1:16" ht="51" customHeight="1">
      <c r="A600" s="239" t="s">
        <v>2013</v>
      </c>
      <c r="B600" s="240">
        <v>1718</v>
      </c>
      <c r="C600" s="241">
        <v>37581</v>
      </c>
      <c r="D600" s="239" t="s">
        <v>3819</v>
      </c>
      <c r="E600" s="239" t="s">
        <v>420</v>
      </c>
      <c r="F600" s="239" t="s">
        <v>421</v>
      </c>
      <c r="G600" s="239" t="s">
        <v>953</v>
      </c>
      <c r="H600" s="239" t="s">
        <v>51</v>
      </c>
      <c r="I600" s="239" t="s">
        <v>1580</v>
      </c>
      <c r="J600" s="234">
        <v>34990</v>
      </c>
      <c r="K600" s="234">
        <v>14800</v>
      </c>
      <c r="L600" s="242">
        <v>22</v>
      </c>
      <c r="M600" s="234">
        <v>20190</v>
      </c>
      <c r="N600" s="234">
        <v>15748.2</v>
      </c>
      <c r="O600" s="243" t="s">
        <v>2087</v>
      </c>
      <c r="P600" s="236">
        <v>45918</v>
      </c>
    </row>
    <row r="601" spans="1:16" ht="51" customHeight="1">
      <c r="A601" s="239" t="s">
        <v>2014</v>
      </c>
      <c r="B601" s="240">
        <v>1719</v>
      </c>
      <c r="C601" s="241">
        <v>37579</v>
      </c>
      <c r="D601" s="239" t="s">
        <v>3819</v>
      </c>
      <c r="E601" s="239" t="s">
        <v>858</v>
      </c>
      <c r="F601" s="239" t="s">
        <v>859</v>
      </c>
      <c r="G601" s="239" t="s">
        <v>953</v>
      </c>
      <c r="H601" s="239" t="s">
        <v>51</v>
      </c>
      <c r="I601" s="239" t="s">
        <v>1580</v>
      </c>
      <c r="J601" s="234">
        <v>36500</v>
      </c>
      <c r="K601" s="234">
        <v>14710</v>
      </c>
      <c r="L601" s="242">
        <v>30</v>
      </c>
      <c r="M601" s="234">
        <v>21790</v>
      </c>
      <c r="N601" s="234">
        <v>15253</v>
      </c>
      <c r="O601" s="243" t="s">
        <v>2088</v>
      </c>
      <c r="P601" s="236">
        <v>45918</v>
      </c>
    </row>
    <row r="602" spans="1:16" ht="51" customHeight="1">
      <c r="A602" s="239" t="s">
        <v>2015</v>
      </c>
      <c r="B602" s="240">
        <v>1720</v>
      </c>
      <c r="C602" s="241">
        <v>37590</v>
      </c>
      <c r="D602" s="239" t="s">
        <v>3819</v>
      </c>
      <c r="E602" s="239" t="s">
        <v>372</v>
      </c>
      <c r="F602" s="239" t="s">
        <v>373</v>
      </c>
      <c r="G602" s="239" t="s">
        <v>953</v>
      </c>
      <c r="H602" s="239" t="s">
        <v>51</v>
      </c>
      <c r="I602" s="239" t="s">
        <v>1580</v>
      </c>
      <c r="J602" s="234">
        <v>38540</v>
      </c>
      <c r="K602" s="234">
        <v>14900</v>
      </c>
      <c r="L602" s="242">
        <v>17</v>
      </c>
      <c r="M602" s="234">
        <v>23640</v>
      </c>
      <c r="N602" s="234">
        <v>19621.2</v>
      </c>
      <c r="O602" s="243" t="s">
        <v>2089</v>
      </c>
      <c r="P602" s="236">
        <v>45918</v>
      </c>
    </row>
    <row r="603" spans="1:16" ht="51" customHeight="1">
      <c r="A603" s="239" t="s">
        <v>2016</v>
      </c>
      <c r="B603" s="240">
        <v>1721</v>
      </c>
      <c r="C603" s="241">
        <v>37593</v>
      </c>
      <c r="D603" s="239" t="s">
        <v>3819</v>
      </c>
      <c r="E603" s="239" t="s">
        <v>386</v>
      </c>
      <c r="F603" s="239" t="s">
        <v>387</v>
      </c>
      <c r="G603" s="239" t="s">
        <v>953</v>
      </c>
      <c r="H603" s="239" t="s">
        <v>51</v>
      </c>
      <c r="I603" s="239" t="s">
        <v>1580</v>
      </c>
      <c r="J603" s="234">
        <v>37810</v>
      </c>
      <c r="K603" s="234">
        <v>15380</v>
      </c>
      <c r="L603" s="242">
        <v>9</v>
      </c>
      <c r="M603" s="234">
        <v>22430</v>
      </c>
      <c r="N603" s="234">
        <v>20411.3</v>
      </c>
      <c r="O603" s="243" t="s">
        <v>2090</v>
      </c>
      <c r="P603" s="236">
        <v>45918</v>
      </c>
    </row>
    <row r="604" spans="1:16" ht="51" customHeight="1">
      <c r="A604" s="239" t="s">
        <v>2017</v>
      </c>
      <c r="B604" s="240">
        <v>1722</v>
      </c>
      <c r="C604" s="241">
        <v>37595</v>
      </c>
      <c r="D604" s="239" t="s">
        <v>3819</v>
      </c>
      <c r="E604" s="239" t="s">
        <v>453</v>
      </c>
      <c r="F604" s="239" t="s">
        <v>454</v>
      </c>
      <c r="G604" s="239" t="s">
        <v>953</v>
      </c>
      <c r="H604" s="239" t="s">
        <v>51</v>
      </c>
      <c r="I604" s="239" t="s">
        <v>1580</v>
      </c>
      <c r="J604" s="234">
        <v>51930</v>
      </c>
      <c r="K604" s="234">
        <v>24090</v>
      </c>
      <c r="L604" s="242">
        <v>9</v>
      </c>
      <c r="M604" s="234">
        <v>27840</v>
      </c>
      <c r="N604" s="234">
        <v>25334.400000000001</v>
      </c>
      <c r="O604" s="243" t="s">
        <v>2091</v>
      </c>
      <c r="P604" s="236">
        <v>45918</v>
      </c>
    </row>
    <row r="605" spans="1:16" ht="51" customHeight="1">
      <c r="A605" s="239" t="s">
        <v>2018</v>
      </c>
      <c r="B605" s="240">
        <v>1723</v>
      </c>
      <c r="C605" s="241">
        <v>37602</v>
      </c>
      <c r="D605" s="239" t="s">
        <v>3819</v>
      </c>
      <c r="E605" s="239" t="s">
        <v>413</v>
      </c>
      <c r="F605" s="239" t="s">
        <v>414</v>
      </c>
      <c r="G605" s="239" t="s">
        <v>953</v>
      </c>
      <c r="H605" s="239" t="s">
        <v>51</v>
      </c>
      <c r="I605" s="239" t="s">
        <v>1580</v>
      </c>
      <c r="J605" s="234">
        <v>40860</v>
      </c>
      <c r="K605" s="234">
        <v>14910</v>
      </c>
      <c r="L605" s="242">
        <v>7</v>
      </c>
      <c r="M605" s="234">
        <v>25950</v>
      </c>
      <c r="N605" s="234">
        <v>24133.5</v>
      </c>
      <c r="O605" s="243" t="s">
        <v>2092</v>
      </c>
      <c r="P605" s="236">
        <v>45918</v>
      </c>
    </row>
    <row r="606" spans="1:16" ht="51" customHeight="1">
      <c r="A606" s="239" t="s">
        <v>2019</v>
      </c>
      <c r="B606" s="240">
        <v>1724</v>
      </c>
      <c r="C606" s="241">
        <v>37616</v>
      </c>
      <c r="D606" s="239" t="s">
        <v>3819</v>
      </c>
      <c r="E606" s="239" t="s">
        <v>380</v>
      </c>
      <c r="F606" s="239" t="s">
        <v>381</v>
      </c>
      <c r="G606" s="239" t="s">
        <v>953</v>
      </c>
      <c r="H606" s="239" t="s">
        <v>51</v>
      </c>
      <c r="I606" s="239" t="s">
        <v>1580</v>
      </c>
      <c r="J606" s="234">
        <v>39270</v>
      </c>
      <c r="K606" s="234">
        <v>15040</v>
      </c>
      <c r="L606" s="242">
        <v>12</v>
      </c>
      <c r="M606" s="234">
        <v>24230</v>
      </c>
      <c r="N606" s="234">
        <v>21322.400000000001</v>
      </c>
      <c r="O606" s="243" t="s">
        <v>2093</v>
      </c>
      <c r="P606" s="236">
        <v>45918</v>
      </c>
    </row>
    <row r="607" spans="1:16" ht="51" customHeight="1">
      <c r="A607" s="239" t="s">
        <v>2020</v>
      </c>
      <c r="B607" s="240">
        <v>1725</v>
      </c>
      <c r="C607" s="241">
        <v>37618</v>
      </c>
      <c r="D607" s="239" t="s">
        <v>3819</v>
      </c>
      <c r="E607" s="239" t="s">
        <v>786</v>
      </c>
      <c r="F607" s="239" t="s">
        <v>787</v>
      </c>
      <c r="G607" s="239" t="s">
        <v>953</v>
      </c>
      <c r="H607" s="239" t="s">
        <v>51</v>
      </c>
      <c r="I607" s="239" t="s">
        <v>1580</v>
      </c>
      <c r="J607" s="234">
        <v>35090</v>
      </c>
      <c r="K607" s="234">
        <v>13970</v>
      </c>
      <c r="L607" s="242">
        <v>13</v>
      </c>
      <c r="M607" s="234">
        <v>21120</v>
      </c>
      <c r="N607" s="234">
        <v>18374.400000000001</v>
      </c>
      <c r="O607" s="243" t="s">
        <v>2094</v>
      </c>
      <c r="P607" s="236">
        <v>45918</v>
      </c>
    </row>
    <row r="608" spans="1:16" ht="51" customHeight="1">
      <c r="A608" s="239" t="s">
        <v>2021</v>
      </c>
      <c r="B608" s="240">
        <v>1726</v>
      </c>
      <c r="C608" s="241">
        <v>37624</v>
      </c>
      <c r="D608" s="239" t="s">
        <v>3819</v>
      </c>
      <c r="E608" s="239" t="s">
        <v>403</v>
      </c>
      <c r="F608" s="239" t="s">
        <v>404</v>
      </c>
      <c r="G608" s="239" t="s">
        <v>953</v>
      </c>
      <c r="H608" s="239" t="s">
        <v>51</v>
      </c>
      <c r="I608" s="239" t="s">
        <v>1580</v>
      </c>
      <c r="J608" s="234">
        <v>39280</v>
      </c>
      <c r="K608" s="234">
        <v>14530</v>
      </c>
      <c r="L608" s="242">
        <v>8</v>
      </c>
      <c r="M608" s="234">
        <v>24750</v>
      </c>
      <c r="N608" s="234">
        <v>22770</v>
      </c>
      <c r="O608" s="243" t="s">
        <v>2095</v>
      </c>
      <c r="P608" s="236">
        <v>45918</v>
      </c>
    </row>
    <row r="609" spans="1:16" ht="51" customHeight="1">
      <c r="A609" s="239" t="s">
        <v>2022</v>
      </c>
      <c r="B609" s="240">
        <v>1727</v>
      </c>
      <c r="C609" s="241">
        <v>37626</v>
      </c>
      <c r="D609" s="239" t="s">
        <v>3819</v>
      </c>
      <c r="E609" s="239" t="s">
        <v>406</v>
      </c>
      <c r="F609" s="239" t="s">
        <v>407</v>
      </c>
      <c r="G609" s="239" t="s">
        <v>953</v>
      </c>
      <c r="H609" s="239" t="s">
        <v>51</v>
      </c>
      <c r="I609" s="239" t="s">
        <v>1580</v>
      </c>
      <c r="J609" s="234">
        <v>39690</v>
      </c>
      <c r="K609" s="234">
        <v>15120</v>
      </c>
      <c r="L609" s="242">
        <v>5</v>
      </c>
      <c r="M609" s="234">
        <v>24570</v>
      </c>
      <c r="N609" s="234">
        <v>23341.5</v>
      </c>
      <c r="O609" s="243" t="s">
        <v>2096</v>
      </c>
      <c r="P609" s="236">
        <v>45918</v>
      </c>
    </row>
    <row r="610" spans="1:16" ht="51" customHeight="1">
      <c r="A610" s="239" t="s">
        <v>2023</v>
      </c>
      <c r="B610" s="240">
        <v>1728</v>
      </c>
      <c r="C610" s="241">
        <v>37622</v>
      </c>
      <c r="D610" s="239" t="s">
        <v>3819</v>
      </c>
      <c r="E610" s="239" t="s">
        <v>410</v>
      </c>
      <c r="F610" s="239" t="s">
        <v>411</v>
      </c>
      <c r="G610" s="239" t="s">
        <v>953</v>
      </c>
      <c r="H610" s="239" t="s">
        <v>51</v>
      </c>
      <c r="I610" s="239" t="s">
        <v>1580</v>
      </c>
      <c r="J610" s="234">
        <v>38880</v>
      </c>
      <c r="K610" s="234">
        <v>14980</v>
      </c>
      <c r="L610" s="242">
        <v>7</v>
      </c>
      <c r="M610" s="234">
        <v>23900</v>
      </c>
      <c r="N610" s="234">
        <v>22227</v>
      </c>
      <c r="O610" s="243" t="s">
        <v>2097</v>
      </c>
      <c r="P610" s="236">
        <v>45918</v>
      </c>
    </row>
    <row r="611" spans="1:16" ht="51" customHeight="1">
      <c r="A611" s="239" t="s">
        <v>2024</v>
      </c>
      <c r="B611" s="240">
        <v>1730</v>
      </c>
      <c r="C611" s="241">
        <v>37693</v>
      </c>
      <c r="D611" s="239" t="s">
        <v>3819</v>
      </c>
      <c r="E611" s="239" t="s">
        <v>392</v>
      </c>
      <c r="F611" s="239" t="s">
        <v>393</v>
      </c>
      <c r="G611" s="239" t="s">
        <v>950</v>
      </c>
      <c r="H611" s="239" t="s">
        <v>51</v>
      </c>
      <c r="I611" s="239" t="s">
        <v>1580</v>
      </c>
      <c r="J611" s="234">
        <v>56660</v>
      </c>
      <c r="K611" s="234">
        <v>24020</v>
      </c>
      <c r="L611" s="242">
        <v>12</v>
      </c>
      <c r="M611" s="234">
        <v>32640</v>
      </c>
      <c r="N611" s="234">
        <v>28723.200000000001</v>
      </c>
      <c r="O611" s="243" t="s">
        <v>2098</v>
      </c>
      <c r="P611" s="236">
        <v>45919</v>
      </c>
    </row>
    <row r="612" spans="1:16" ht="51" customHeight="1">
      <c r="A612" s="239" t="s">
        <v>2025</v>
      </c>
      <c r="B612" s="240">
        <v>1731</v>
      </c>
      <c r="C612" s="241">
        <v>37695</v>
      </c>
      <c r="D612" s="239" t="s">
        <v>3819</v>
      </c>
      <c r="E612" s="239" t="s">
        <v>390</v>
      </c>
      <c r="F612" s="239" t="s">
        <v>391</v>
      </c>
      <c r="G612" s="239" t="s">
        <v>950</v>
      </c>
      <c r="H612" s="239" t="s">
        <v>51</v>
      </c>
      <c r="I612" s="239" t="s">
        <v>1580</v>
      </c>
      <c r="J612" s="234">
        <v>39540</v>
      </c>
      <c r="K612" s="234">
        <v>15060</v>
      </c>
      <c r="L612" s="242">
        <v>8</v>
      </c>
      <c r="M612" s="234">
        <v>24480</v>
      </c>
      <c r="N612" s="234">
        <v>22521.599999999999</v>
      </c>
      <c r="O612" s="243" t="s">
        <v>2099</v>
      </c>
      <c r="P612" s="236">
        <v>45919</v>
      </c>
    </row>
    <row r="613" spans="1:16" ht="51" customHeight="1">
      <c r="A613" s="239" t="s">
        <v>2026</v>
      </c>
      <c r="B613" s="240">
        <v>1732</v>
      </c>
      <c r="C613" s="241">
        <v>37628</v>
      </c>
      <c r="D613" s="239" t="s">
        <v>3819</v>
      </c>
      <c r="E613" s="239" t="s">
        <v>783</v>
      </c>
      <c r="F613" s="239" t="s">
        <v>784</v>
      </c>
      <c r="G613" s="239" t="s">
        <v>950</v>
      </c>
      <c r="H613" s="239" t="s">
        <v>51</v>
      </c>
      <c r="I613" s="239" t="s">
        <v>1580</v>
      </c>
      <c r="J613" s="234">
        <v>39670</v>
      </c>
      <c r="K613" s="234">
        <v>14570</v>
      </c>
      <c r="L613" s="242">
        <v>7</v>
      </c>
      <c r="M613" s="234">
        <v>25100</v>
      </c>
      <c r="N613" s="234">
        <v>23343</v>
      </c>
      <c r="O613" s="243" t="s">
        <v>2100</v>
      </c>
      <c r="P613" s="236">
        <v>45919</v>
      </c>
    </row>
    <row r="614" spans="1:16" ht="51" customHeight="1">
      <c r="A614" s="239" t="s">
        <v>2027</v>
      </c>
      <c r="B614" s="240">
        <v>1733</v>
      </c>
      <c r="C614" s="241">
        <v>37683</v>
      </c>
      <c r="D614" s="239" t="s">
        <v>3819</v>
      </c>
      <c r="E614" s="239" t="s">
        <v>432</v>
      </c>
      <c r="F614" s="239" t="s">
        <v>433</v>
      </c>
      <c r="G614" s="239" t="s">
        <v>950</v>
      </c>
      <c r="H614" s="239" t="s">
        <v>51</v>
      </c>
      <c r="I614" s="239" t="s">
        <v>1580</v>
      </c>
      <c r="J614" s="234">
        <v>41470</v>
      </c>
      <c r="K614" s="234">
        <v>15550</v>
      </c>
      <c r="L614" s="242">
        <v>11</v>
      </c>
      <c r="M614" s="234">
        <v>25920</v>
      </c>
      <c r="N614" s="234">
        <v>23068.799999999999</v>
      </c>
      <c r="O614" s="243" t="s">
        <v>2101</v>
      </c>
      <c r="P614" s="236">
        <v>45919</v>
      </c>
    </row>
    <row r="615" spans="1:16" ht="51" customHeight="1">
      <c r="A615" s="239" t="s">
        <v>2028</v>
      </c>
      <c r="B615" s="240">
        <v>1734</v>
      </c>
      <c r="C615" s="241">
        <v>37689</v>
      </c>
      <c r="D615" s="239" t="s">
        <v>3819</v>
      </c>
      <c r="E615" s="239" t="s">
        <v>456</v>
      </c>
      <c r="F615" s="239" t="s">
        <v>457</v>
      </c>
      <c r="G615" s="239" t="s">
        <v>950</v>
      </c>
      <c r="H615" s="239" t="s">
        <v>51</v>
      </c>
      <c r="I615" s="239" t="s">
        <v>1580</v>
      </c>
      <c r="J615" s="234">
        <v>42850</v>
      </c>
      <c r="K615" s="234">
        <v>15520</v>
      </c>
      <c r="L615" s="242">
        <v>14</v>
      </c>
      <c r="M615" s="234">
        <v>27330</v>
      </c>
      <c r="N615" s="234">
        <v>23503.8</v>
      </c>
      <c r="O615" s="243" t="s">
        <v>2102</v>
      </c>
      <c r="P615" s="236">
        <v>45919</v>
      </c>
    </row>
    <row r="616" spans="1:16" ht="51" customHeight="1">
      <c r="A616" s="239" t="s">
        <v>2029</v>
      </c>
      <c r="B616" s="240">
        <v>1735</v>
      </c>
      <c r="C616" s="241">
        <v>37697</v>
      </c>
      <c r="D616" s="239" t="s">
        <v>3819</v>
      </c>
      <c r="E616" s="239" t="s">
        <v>462</v>
      </c>
      <c r="F616" s="239" t="s">
        <v>463</v>
      </c>
      <c r="G616" s="239" t="s">
        <v>950</v>
      </c>
      <c r="H616" s="239" t="s">
        <v>51</v>
      </c>
      <c r="I616" s="239" t="s">
        <v>1580</v>
      </c>
      <c r="J616" s="234">
        <v>41270</v>
      </c>
      <c r="K616" s="234">
        <v>16310</v>
      </c>
      <c r="L616" s="242">
        <v>4</v>
      </c>
      <c r="M616" s="234">
        <v>24960</v>
      </c>
      <c r="N616" s="234">
        <v>23961.599999999999</v>
      </c>
      <c r="O616" s="243" t="s">
        <v>2103</v>
      </c>
      <c r="P616" s="236">
        <v>45919</v>
      </c>
    </row>
    <row r="617" spans="1:16" ht="51" customHeight="1">
      <c r="A617" s="239" t="s">
        <v>2030</v>
      </c>
      <c r="B617" s="240">
        <v>1737</v>
      </c>
      <c r="C617" s="241">
        <v>37699</v>
      </c>
      <c r="D617" s="239" t="s">
        <v>3819</v>
      </c>
      <c r="E617" s="239" t="s">
        <v>472</v>
      </c>
      <c r="F617" s="239" t="s">
        <v>473</v>
      </c>
      <c r="G617" s="239" t="s">
        <v>950</v>
      </c>
      <c r="H617" s="239" t="s">
        <v>51</v>
      </c>
      <c r="I617" s="239" t="s">
        <v>1580</v>
      </c>
      <c r="J617" s="234">
        <v>39830</v>
      </c>
      <c r="K617" s="234">
        <v>16410</v>
      </c>
      <c r="L617" s="242">
        <v>8</v>
      </c>
      <c r="M617" s="234">
        <v>23420</v>
      </c>
      <c r="N617" s="234">
        <v>21546.400000000001</v>
      </c>
      <c r="O617" s="243" t="s">
        <v>2104</v>
      </c>
      <c r="P617" s="236">
        <v>45919</v>
      </c>
    </row>
    <row r="618" spans="1:16" ht="51" customHeight="1">
      <c r="A618" s="239" t="s">
        <v>2031</v>
      </c>
      <c r="B618" s="240">
        <v>1738</v>
      </c>
      <c r="C618" s="241">
        <v>37701</v>
      </c>
      <c r="D618" s="239" t="s">
        <v>3819</v>
      </c>
      <c r="E618" s="239" t="s">
        <v>475</v>
      </c>
      <c r="F618" s="239" t="s">
        <v>476</v>
      </c>
      <c r="G618" s="239" t="s">
        <v>952</v>
      </c>
      <c r="H618" s="239" t="s">
        <v>51</v>
      </c>
      <c r="I618" s="239" t="s">
        <v>1580</v>
      </c>
      <c r="J618" s="234">
        <v>40400</v>
      </c>
      <c r="K618" s="234">
        <v>16310</v>
      </c>
      <c r="L618" s="242">
        <v>4</v>
      </c>
      <c r="M618" s="234">
        <v>24090</v>
      </c>
      <c r="N618" s="234">
        <v>23126.400000000001</v>
      </c>
      <c r="O618" s="243" t="s">
        <v>2105</v>
      </c>
      <c r="P618" s="236">
        <v>45919</v>
      </c>
    </row>
    <row r="619" spans="1:16" ht="51" customHeight="1">
      <c r="A619" s="239" t="s">
        <v>2032</v>
      </c>
      <c r="B619" s="240">
        <v>1739</v>
      </c>
      <c r="C619" s="241">
        <v>37703</v>
      </c>
      <c r="D619" s="239" t="s">
        <v>3819</v>
      </c>
      <c r="E619" s="239" t="s">
        <v>841</v>
      </c>
      <c r="F619" s="239" t="s">
        <v>845</v>
      </c>
      <c r="G619" s="239" t="s">
        <v>952</v>
      </c>
      <c r="H619" s="239" t="s">
        <v>51</v>
      </c>
      <c r="I619" s="239" t="s">
        <v>1580</v>
      </c>
      <c r="J619" s="234">
        <v>40680</v>
      </c>
      <c r="K619" s="234">
        <v>15850</v>
      </c>
      <c r="L619" s="242">
        <v>9</v>
      </c>
      <c r="M619" s="234">
        <v>24830</v>
      </c>
      <c r="N619" s="234">
        <v>22595.3</v>
      </c>
      <c r="O619" s="243" t="s">
        <v>2106</v>
      </c>
      <c r="P619" s="236">
        <v>45919</v>
      </c>
    </row>
    <row r="620" spans="1:16" ht="51" customHeight="1">
      <c r="A620" s="239" t="s">
        <v>2033</v>
      </c>
      <c r="B620" s="240">
        <v>1740</v>
      </c>
      <c r="C620" s="241">
        <v>37705</v>
      </c>
      <c r="D620" s="239" t="s">
        <v>3819</v>
      </c>
      <c r="E620" s="239" t="s">
        <v>791</v>
      </c>
      <c r="F620" s="239" t="s">
        <v>792</v>
      </c>
      <c r="G620" s="239" t="s">
        <v>952</v>
      </c>
      <c r="H620" s="239" t="s">
        <v>51</v>
      </c>
      <c r="I620" s="239" t="s">
        <v>1580</v>
      </c>
      <c r="J620" s="234">
        <v>39970</v>
      </c>
      <c r="K620" s="234">
        <v>14930</v>
      </c>
      <c r="L620" s="242">
        <v>10</v>
      </c>
      <c r="M620" s="234">
        <v>25040</v>
      </c>
      <c r="N620" s="234">
        <v>22536</v>
      </c>
      <c r="O620" s="243" t="s">
        <v>2107</v>
      </c>
      <c r="P620" s="236">
        <v>45919</v>
      </c>
    </row>
    <row r="621" spans="1:16" ht="51" customHeight="1">
      <c r="A621" s="239" t="s">
        <v>2034</v>
      </c>
      <c r="B621" s="240">
        <v>1743</v>
      </c>
      <c r="C621" s="241">
        <v>37709</v>
      </c>
      <c r="D621" s="239" t="s">
        <v>3819</v>
      </c>
      <c r="E621" s="239" t="s">
        <v>416</v>
      </c>
      <c r="F621" s="239" t="s">
        <v>417</v>
      </c>
      <c r="G621" s="239" t="s">
        <v>952</v>
      </c>
      <c r="H621" s="239" t="s">
        <v>51</v>
      </c>
      <c r="I621" s="239" t="s">
        <v>1580</v>
      </c>
      <c r="J621" s="234">
        <v>37740</v>
      </c>
      <c r="K621" s="234">
        <v>14670</v>
      </c>
      <c r="L621" s="242">
        <v>4</v>
      </c>
      <c r="M621" s="234">
        <v>23070</v>
      </c>
      <c r="N621" s="234">
        <v>22147.200000000001</v>
      </c>
      <c r="O621" s="243" t="s">
        <v>2108</v>
      </c>
      <c r="P621" s="236">
        <v>45919</v>
      </c>
    </row>
    <row r="622" spans="1:16" ht="51" customHeight="1">
      <c r="A622" s="239" t="s">
        <v>2035</v>
      </c>
      <c r="B622" s="240">
        <v>1745</v>
      </c>
      <c r="C622" s="241">
        <v>37711</v>
      </c>
      <c r="D622" s="239" t="s">
        <v>3819</v>
      </c>
      <c r="E622" s="239" t="s">
        <v>1410</v>
      </c>
      <c r="F622" s="239" t="s">
        <v>437</v>
      </c>
      <c r="G622" s="239" t="s">
        <v>950</v>
      </c>
      <c r="H622" s="239" t="s">
        <v>51</v>
      </c>
      <c r="I622" s="239" t="s">
        <v>1580</v>
      </c>
      <c r="J622" s="234">
        <v>38820</v>
      </c>
      <c r="K622" s="234">
        <v>14760</v>
      </c>
      <c r="L622" s="242">
        <v>5</v>
      </c>
      <c r="M622" s="234">
        <v>24060</v>
      </c>
      <c r="N622" s="234">
        <v>22857</v>
      </c>
      <c r="O622" s="243" t="s">
        <v>2109</v>
      </c>
      <c r="P622" s="236">
        <v>45919</v>
      </c>
    </row>
    <row r="623" spans="1:16" ht="51" customHeight="1">
      <c r="A623" s="239" t="s">
        <v>2036</v>
      </c>
      <c r="B623" s="240">
        <v>1746</v>
      </c>
      <c r="C623" s="241">
        <v>37715</v>
      </c>
      <c r="D623" s="239" t="s">
        <v>3819</v>
      </c>
      <c r="E623" s="239" t="s">
        <v>374</v>
      </c>
      <c r="F623" s="239" t="s">
        <v>375</v>
      </c>
      <c r="G623" s="239" t="s">
        <v>952</v>
      </c>
      <c r="H623" s="239" t="s">
        <v>51</v>
      </c>
      <c r="I623" s="239" t="s">
        <v>1580</v>
      </c>
      <c r="J623" s="234">
        <v>38620</v>
      </c>
      <c r="K623" s="234">
        <v>15550</v>
      </c>
      <c r="L623" s="242">
        <v>9</v>
      </c>
      <c r="M623" s="234">
        <v>23070</v>
      </c>
      <c r="N623" s="234">
        <v>20993.7</v>
      </c>
      <c r="O623" s="243" t="s">
        <v>2110</v>
      </c>
      <c r="P623" s="236">
        <v>45919</v>
      </c>
    </row>
    <row r="624" spans="1:16" ht="51" customHeight="1">
      <c r="A624" s="239" t="s">
        <v>2037</v>
      </c>
      <c r="B624" s="240">
        <v>1747</v>
      </c>
      <c r="C624" s="241">
        <v>37719</v>
      </c>
      <c r="D624" s="239" t="s">
        <v>3819</v>
      </c>
      <c r="E624" s="239" t="s">
        <v>377</v>
      </c>
      <c r="F624" s="239" t="s">
        <v>378</v>
      </c>
      <c r="G624" s="239" t="s">
        <v>952</v>
      </c>
      <c r="H624" s="239" t="s">
        <v>51</v>
      </c>
      <c r="I624" s="239" t="s">
        <v>1580</v>
      </c>
      <c r="J624" s="234">
        <v>42670</v>
      </c>
      <c r="K624" s="234">
        <v>15080</v>
      </c>
      <c r="L624" s="242">
        <v>4</v>
      </c>
      <c r="M624" s="234">
        <v>27590</v>
      </c>
      <c r="N624" s="234">
        <v>26486.400000000001</v>
      </c>
      <c r="O624" s="243" t="s">
        <v>2111</v>
      </c>
      <c r="P624" s="236">
        <v>45919</v>
      </c>
    </row>
    <row r="625" spans="1:16" ht="51" customHeight="1">
      <c r="A625" s="239" t="s">
        <v>2038</v>
      </c>
      <c r="B625" s="240">
        <v>1748</v>
      </c>
      <c r="C625" s="241">
        <v>37724</v>
      </c>
      <c r="D625" s="239" t="s">
        <v>3819</v>
      </c>
      <c r="E625" s="239" t="s">
        <v>447</v>
      </c>
      <c r="F625" s="239" t="s">
        <v>448</v>
      </c>
      <c r="G625" s="239" t="s">
        <v>952</v>
      </c>
      <c r="H625" s="239" t="s">
        <v>51</v>
      </c>
      <c r="I625" s="239" t="s">
        <v>1580</v>
      </c>
      <c r="J625" s="234">
        <v>53330</v>
      </c>
      <c r="K625" s="234">
        <v>19220</v>
      </c>
      <c r="L625" s="242">
        <v>9</v>
      </c>
      <c r="M625" s="234">
        <v>34110</v>
      </c>
      <c r="N625" s="234">
        <v>31040.1</v>
      </c>
      <c r="O625" s="243" t="s">
        <v>2112</v>
      </c>
      <c r="P625" s="236">
        <v>45919</v>
      </c>
    </row>
    <row r="626" spans="1:16" ht="51" customHeight="1">
      <c r="A626" s="239" t="s">
        <v>2039</v>
      </c>
      <c r="B626" s="240">
        <v>1749</v>
      </c>
      <c r="C626" s="239" t="s">
        <v>2040</v>
      </c>
      <c r="D626" s="239" t="s">
        <v>3819</v>
      </c>
      <c r="E626" s="239" t="s">
        <v>388</v>
      </c>
      <c r="F626" s="239" t="s">
        <v>389</v>
      </c>
      <c r="G626" s="239" t="s">
        <v>952</v>
      </c>
      <c r="H626" s="239" t="s">
        <v>51</v>
      </c>
      <c r="I626" s="239" t="s">
        <v>1580</v>
      </c>
      <c r="J626" s="234">
        <v>55380</v>
      </c>
      <c r="K626" s="234">
        <v>20890</v>
      </c>
      <c r="L626" s="242">
        <v>8</v>
      </c>
      <c r="M626" s="234">
        <v>34490</v>
      </c>
      <c r="N626" s="234">
        <v>31730.799999999999</v>
      </c>
      <c r="O626" s="243" t="s">
        <v>2113</v>
      </c>
      <c r="P626" s="236">
        <v>45919</v>
      </c>
    </row>
    <row r="627" spans="1:16" ht="51" customHeight="1">
      <c r="A627" s="239" t="s">
        <v>2041</v>
      </c>
      <c r="B627" s="240">
        <v>1751</v>
      </c>
      <c r="C627" s="241">
        <v>37728</v>
      </c>
      <c r="D627" s="239" t="s">
        <v>3819</v>
      </c>
      <c r="E627" s="239" t="s">
        <v>1397</v>
      </c>
      <c r="F627" s="239" t="s">
        <v>1398</v>
      </c>
      <c r="G627" s="239" t="s">
        <v>952</v>
      </c>
      <c r="H627" s="239" t="s">
        <v>51</v>
      </c>
      <c r="I627" s="239" t="s">
        <v>1580</v>
      </c>
      <c r="J627" s="234">
        <v>44420</v>
      </c>
      <c r="K627" s="234">
        <v>17030</v>
      </c>
      <c r="L627" s="242">
        <v>5</v>
      </c>
      <c r="M627" s="234">
        <v>27390</v>
      </c>
      <c r="N627" s="234">
        <v>26020.5</v>
      </c>
      <c r="O627" s="243" t="s">
        <v>2114</v>
      </c>
      <c r="P627" s="236">
        <v>45919</v>
      </c>
    </row>
    <row r="628" spans="1:16" ht="51" customHeight="1">
      <c r="A628" s="239" t="s">
        <v>2042</v>
      </c>
      <c r="B628" s="240">
        <v>1752</v>
      </c>
      <c r="C628" s="241">
        <v>37726</v>
      </c>
      <c r="D628" s="239" t="s">
        <v>3819</v>
      </c>
      <c r="E628" s="239" t="s">
        <v>1403</v>
      </c>
      <c r="F628" s="239" t="s">
        <v>1404</v>
      </c>
      <c r="G628" s="239" t="s">
        <v>952</v>
      </c>
      <c r="H628" s="239" t="s">
        <v>51</v>
      </c>
      <c r="I628" s="239" t="s">
        <v>1580</v>
      </c>
      <c r="J628" s="234">
        <v>39350</v>
      </c>
      <c r="K628" s="234">
        <v>14940</v>
      </c>
      <c r="L628" s="242">
        <v>5</v>
      </c>
      <c r="M628" s="234">
        <v>24410</v>
      </c>
      <c r="N628" s="234">
        <v>23189.5</v>
      </c>
      <c r="O628" s="243" t="s">
        <v>2115</v>
      </c>
      <c r="P628" s="236">
        <v>45919</v>
      </c>
    </row>
    <row r="629" spans="1:16" ht="51" customHeight="1">
      <c r="A629" s="239" t="s">
        <v>2043</v>
      </c>
      <c r="B629" s="240">
        <v>1753</v>
      </c>
      <c r="C629" s="241">
        <v>37730</v>
      </c>
      <c r="D629" s="239" t="s">
        <v>3819</v>
      </c>
      <c r="E629" s="239" t="s">
        <v>1400</v>
      </c>
      <c r="F629" s="239" t="s">
        <v>1401</v>
      </c>
      <c r="G629" s="239" t="s">
        <v>952</v>
      </c>
      <c r="H629" s="239" t="s">
        <v>51</v>
      </c>
      <c r="I629" s="239" t="s">
        <v>1580</v>
      </c>
      <c r="J629" s="234">
        <v>36890</v>
      </c>
      <c r="K629" s="234">
        <v>14720</v>
      </c>
      <c r="L629" s="242">
        <v>10</v>
      </c>
      <c r="M629" s="234">
        <v>22170</v>
      </c>
      <c r="N629" s="234">
        <v>19953</v>
      </c>
      <c r="O629" s="243" t="s">
        <v>2116</v>
      </c>
      <c r="P629" s="236">
        <v>45919</v>
      </c>
    </row>
    <row r="630" spans="1:16" ht="51" customHeight="1">
      <c r="A630" s="239" t="s">
        <v>2044</v>
      </c>
      <c r="B630" s="240">
        <v>1754</v>
      </c>
      <c r="C630" s="241">
        <v>37736</v>
      </c>
      <c r="D630" s="239" t="s">
        <v>3819</v>
      </c>
      <c r="E630" s="239" t="s">
        <v>453</v>
      </c>
      <c r="F630" s="239" t="s">
        <v>454</v>
      </c>
      <c r="G630" s="239" t="s">
        <v>952</v>
      </c>
      <c r="H630" s="239" t="s">
        <v>51</v>
      </c>
      <c r="I630" s="239" t="s">
        <v>1580</v>
      </c>
      <c r="J630" s="234">
        <v>58870</v>
      </c>
      <c r="K630" s="234">
        <v>24080</v>
      </c>
      <c r="L630" s="242">
        <v>12</v>
      </c>
      <c r="M630" s="234">
        <v>34790</v>
      </c>
      <c r="N630" s="234">
        <v>30615.200000000001</v>
      </c>
      <c r="O630" s="243" t="s">
        <v>2117</v>
      </c>
      <c r="P630" s="236">
        <v>45920</v>
      </c>
    </row>
    <row r="631" spans="1:16" ht="51" customHeight="1">
      <c r="A631" s="239" t="s">
        <v>2045</v>
      </c>
      <c r="B631" s="240">
        <v>1755</v>
      </c>
      <c r="C631" s="241">
        <v>37738</v>
      </c>
      <c r="D631" s="239" t="s">
        <v>3819</v>
      </c>
      <c r="E631" s="239" t="s">
        <v>439</v>
      </c>
      <c r="F631" s="239" t="s">
        <v>440</v>
      </c>
      <c r="G631" s="239" t="s">
        <v>952</v>
      </c>
      <c r="H631" s="239" t="s">
        <v>51</v>
      </c>
      <c r="I631" s="239" t="s">
        <v>1580</v>
      </c>
      <c r="J631" s="234">
        <v>42430</v>
      </c>
      <c r="K631" s="234">
        <v>14930</v>
      </c>
      <c r="L631" s="242">
        <v>10</v>
      </c>
      <c r="M631" s="234">
        <v>27500</v>
      </c>
      <c r="N631" s="234">
        <v>24750</v>
      </c>
      <c r="O631" s="243" t="s">
        <v>2118</v>
      </c>
      <c r="P631" s="236">
        <v>45920</v>
      </c>
    </row>
    <row r="632" spans="1:16" ht="51" customHeight="1">
      <c r="A632" s="239" t="s">
        <v>2046</v>
      </c>
      <c r="B632" s="240">
        <v>1756</v>
      </c>
      <c r="C632" s="241">
        <v>37742</v>
      </c>
      <c r="D632" s="239" t="s">
        <v>3819</v>
      </c>
      <c r="E632" s="239" t="s">
        <v>429</v>
      </c>
      <c r="F632" s="239" t="s">
        <v>430</v>
      </c>
      <c r="G632" s="239" t="s">
        <v>952</v>
      </c>
      <c r="H632" s="239" t="s">
        <v>51</v>
      </c>
      <c r="I632" s="239" t="s">
        <v>1580</v>
      </c>
      <c r="J632" s="234">
        <v>39630</v>
      </c>
      <c r="K632" s="234">
        <v>14170</v>
      </c>
      <c r="L632" s="242">
        <v>12</v>
      </c>
      <c r="M632" s="234">
        <v>25460</v>
      </c>
      <c r="N632" s="234">
        <v>22404.799999999999</v>
      </c>
      <c r="O632" s="243" t="s">
        <v>2119</v>
      </c>
      <c r="P632" s="236">
        <v>45920</v>
      </c>
    </row>
    <row r="633" spans="1:16" ht="51" customHeight="1">
      <c r="A633" s="239" t="s">
        <v>2047</v>
      </c>
      <c r="B633" s="240">
        <v>1757</v>
      </c>
      <c r="C633" s="241">
        <v>37744</v>
      </c>
      <c r="D633" s="239" t="s">
        <v>3819</v>
      </c>
      <c r="E633" s="239" t="s">
        <v>420</v>
      </c>
      <c r="F633" s="239" t="s">
        <v>421</v>
      </c>
      <c r="G633" s="239" t="s">
        <v>952</v>
      </c>
      <c r="H633" s="239" t="s">
        <v>51</v>
      </c>
      <c r="I633" s="239" t="s">
        <v>1580</v>
      </c>
      <c r="J633" s="234">
        <v>38110</v>
      </c>
      <c r="K633" s="234">
        <v>14860</v>
      </c>
      <c r="L633" s="242">
        <v>5</v>
      </c>
      <c r="M633" s="234">
        <v>23250</v>
      </c>
      <c r="N633" s="234">
        <v>22087.5</v>
      </c>
      <c r="O633" s="243" t="s">
        <v>2120</v>
      </c>
      <c r="P633" s="236">
        <v>45920</v>
      </c>
    </row>
    <row r="634" spans="1:16" ht="51" customHeight="1">
      <c r="A634" s="239" t="s">
        <v>2048</v>
      </c>
      <c r="B634" s="240">
        <v>1758</v>
      </c>
      <c r="C634" s="241">
        <v>37747</v>
      </c>
      <c r="D634" s="239" t="s">
        <v>3819</v>
      </c>
      <c r="E634" s="239" t="s">
        <v>456</v>
      </c>
      <c r="F634" s="239" t="s">
        <v>457</v>
      </c>
      <c r="G634" s="239" t="s">
        <v>952</v>
      </c>
      <c r="H634" s="239" t="s">
        <v>51</v>
      </c>
      <c r="I634" s="239" t="s">
        <v>1580</v>
      </c>
      <c r="J634" s="234">
        <v>44560</v>
      </c>
      <c r="K634" s="234">
        <v>15750</v>
      </c>
      <c r="L634" s="242">
        <v>6</v>
      </c>
      <c r="M634" s="234">
        <v>28810</v>
      </c>
      <c r="N634" s="234">
        <v>27081.4</v>
      </c>
      <c r="O634" s="243" t="s">
        <v>2121</v>
      </c>
      <c r="P634" s="236">
        <v>45920</v>
      </c>
    </row>
    <row r="635" spans="1:16" ht="51" customHeight="1">
      <c r="A635" s="239" t="s">
        <v>2049</v>
      </c>
      <c r="B635" s="240">
        <v>1759</v>
      </c>
      <c r="C635" s="241">
        <v>37749</v>
      </c>
      <c r="D635" s="239" t="s">
        <v>3819</v>
      </c>
      <c r="E635" s="239" t="s">
        <v>786</v>
      </c>
      <c r="F635" s="239" t="s">
        <v>787</v>
      </c>
      <c r="G635" s="239" t="s">
        <v>952</v>
      </c>
      <c r="H635" s="239" t="s">
        <v>51</v>
      </c>
      <c r="I635" s="239" t="s">
        <v>1580</v>
      </c>
      <c r="J635" s="234">
        <v>36170</v>
      </c>
      <c r="K635" s="234">
        <v>13990</v>
      </c>
      <c r="L635" s="242">
        <v>8</v>
      </c>
      <c r="M635" s="234">
        <v>22180</v>
      </c>
      <c r="N635" s="234">
        <v>20405.599999999999</v>
      </c>
      <c r="O635" s="243" t="s">
        <v>2122</v>
      </c>
      <c r="P635" s="236">
        <v>45920</v>
      </c>
    </row>
    <row r="636" spans="1:16" ht="51" customHeight="1">
      <c r="A636" s="239" t="s">
        <v>2050</v>
      </c>
      <c r="B636" s="240">
        <v>1761</v>
      </c>
      <c r="C636" s="241">
        <v>37755</v>
      </c>
      <c r="D636" s="239" t="s">
        <v>3819</v>
      </c>
      <c r="E636" s="239" t="s">
        <v>462</v>
      </c>
      <c r="F636" s="239" t="s">
        <v>463</v>
      </c>
      <c r="G636" s="239" t="s">
        <v>952</v>
      </c>
      <c r="H636" s="239" t="s">
        <v>51</v>
      </c>
      <c r="I636" s="239" t="s">
        <v>1580</v>
      </c>
      <c r="J636" s="234">
        <v>41690</v>
      </c>
      <c r="K636" s="234">
        <v>16310</v>
      </c>
      <c r="L636" s="242">
        <v>6</v>
      </c>
      <c r="M636" s="234">
        <v>25380</v>
      </c>
      <c r="N636" s="234">
        <v>23857.200000000001</v>
      </c>
      <c r="O636" s="243" t="s">
        <v>2123</v>
      </c>
      <c r="P636" s="236">
        <v>45920</v>
      </c>
    </row>
    <row r="637" spans="1:16" ht="51" customHeight="1">
      <c r="A637" s="239" t="s">
        <v>2051</v>
      </c>
      <c r="B637" s="240">
        <v>1764</v>
      </c>
      <c r="C637" s="241">
        <v>37753</v>
      </c>
      <c r="D637" s="239" t="s">
        <v>3819</v>
      </c>
      <c r="E637" s="239" t="s">
        <v>791</v>
      </c>
      <c r="F637" s="239" t="s">
        <v>792</v>
      </c>
      <c r="G637" s="239" t="s">
        <v>952</v>
      </c>
      <c r="H637" s="239" t="s">
        <v>51</v>
      </c>
      <c r="I637" s="239" t="s">
        <v>1580</v>
      </c>
      <c r="J637" s="234">
        <v>40790</v>
      </c>
      <c r="K637" s="234">
        <v>14950</v>
      </c>
      <c r="L637" s="242">
        <v>8</v>
      </c>
      <c r="M637" s="234">
        <v>25840</v>
      </c>
      <c r="N637" s="234">
        <v>23772.799999999999</v>
      </c>
      <c r="O637" s="243" t="s">
        <v>2124</v>
      </c>
      <c r="P637" s="236">
        <v>45920</v>
      </c>
    </row>
    <row r="638" spans="1:16" ht="51" customHeight="1">
      <c r="A638" s="239" t="s">
        <v>2052</v>
      </c>
      <c r="B638" s="240">
        <v>1768</v>
      </c>
      <c r="C638" s="241">
        <v>155</v>
      </c>
      <c r="D638" s="239" t="s">
        <v>591</v>
      </c>
      <c r="E638" s="239" t="s">
        <v>2053</v>
      </c>
      <c r="F638" s="239" t="s">
        <v>2054</v>
      </c>
      <c r="G638" s="239" t="s">
        <v>966</v>
      </c>
      <c r="H638" s="239" t="s">
        <v>254</v>
      </c>
      <c r="I638" s="239" t="s">
        <v>371</v>
      </c>
      <c r="J638" s="234">
        <v>24080</v>
      </c>
      <c r="K638" s="234">
        <v>14330</v>
      </c>
      <c r="L638" s="242">
        <v>30</v>
      </c>
      <c r="M638" s="234">
        <v>9750</v>
      </c>
      <c r="N638" s="234">
        <v>6825</v>
      </c>
      <c r="O638" s="243" t="s">
        <v>2125</v>
      </c>
      <c r="P638" s="236">
        <v>45920</v>
      </c>
    </row>
    <row r="639" spans="1:16" ht="51" customHeight="1">
      <c r="A639" s="239" t="s">
        <v>2055</v>
      </c>
      <c r="B639" s="240">
        <v>1769</v>
      </c>
      <c r="C639" s="241">
        <v>156</v>
      </c>
      <c r="D639" s="239" t="s">
        <v>591</v>
      </c>
      <c r="E639" s="239" t="s">
        <v>369</v>
      </c>
      <c r="F639" s="239" t="s">
        <v>370</v>
      </c>
      <c r="G639" s="239" t="s">
        <v>966</v>
      </c>
      <c r="H639" s="239" t="s">
        <v>254</v>
      </c>
      <c r="I639" s="239" t="s">
        <v>371</v>
      </c>
      <c r="J639" s="234">
        <v>34840</v>
      </c>
      <c r="K639" s="234">
        <v>15140</v>
      </c>
      <c r="L639" s="242">
        <v>21</v>
      </c>
      <c r="M639" s="234">
        <v>19700</v>
      </c>
      <c r="N639" s="234">
        <v>15563</v>
      </c>
      <c r="O639" s="243" t="s">
        <v>2126</v>
      </c>
      <c r="P639" s="236">
        <v>45920</v>
      </c>
    </row>
    <row r="640" spans="1:16" ht="51" customHeight="1">
      <c r="A640" s="239" t="s">
        <v>2057</v>
      </c>
      <c r="B640" s="240">
        <v>1771</v>
      </c>
      <c r="C640" s="241">
        <v>157</v>
      </c>
      <c r="D640" s="239" t="s">
        <v>591</v>
      </c>
      <c r="E640" s="239" t="s">
        <v>386</v>
      </c>
      <c r="F640" s="239" t="s">
        <v>387</v>
      </c>
      <c r="G640" s="239" t="s">
        <v>966</v>
      </c>
      <c r="H640" s="239" t="s">
        <v>254</v>
      </c>
      <c r="I640" s="239" t="s">
        <v>371</v>
      </c>
      <c r="J640" s="234">
        <v>37700</v>
      </c>
      <c r="K640" s="234">
        <v>15500</v>
      </c>
      <c r="L640" s="242">
        <v>32</v>
      </c>
      <c r="M640" s="234">
        <v>22200</v>
      </c>
      <c r="N640" s="234">
        <v>15096</v>
      </c>
      <c r="O640" s="243" t="s">
        <v>2128</v>
      </c>
      <c r="P640" s="236">
        <v>45920</v>
      </c>
    </row>
    <row r="641" spans="1:16" ht="51" customHeight="1">
      <c r="A641" s="239" t="s">
        <v>2058</v>
      </c>
      <c r="B641" s="240">
        <v>1772</v>
      </c>
      <c r="C641" s="241">
        <v>158</v>
      </c>
      <c r="D641" s="239" t="s">
        <v>591</v>
      </c>
      <c r="E641" s="239" t="s">
        <v>866</v>
      </c>
      <c r="F641" s="239" t="s">
        <v>867</v>
      </c>
      <c r="G641" s="239" t="s">
        <v>966</v>
      </c>
      <c r="H641" s="239" t="s">
        <v>254</v>
      </c>
      <c r="I641" s="239" t="s">
        <v>371</v>
      </c>
      <c r="J641" s="234">
        <v>37170</v>
      </c>
      <c r="K641" s="234">
        <v>14620</v>
      </c>
      <c r="L641" s="242">
        <v>33</v>
      </c>
      <c r="M641" s="234">
        <v>22550</v>
      </c>
      <c r="N641" s="234">
        <v>15108.5</v>
      </c>
      <c r="O641" s="243" t="s">
        <v>2129</v>
      </c>
      <c r="P641" s="236">
        <v>45920</v>
      </c>
    </row>
    <row r="642" spans="1:16" ht="51" customHeight="1">
      <c r="A642" s="239" t="s">
        <v>2059</v>
      </c>
      <c r="B642" s="240">
        <v>1773</v>
      </c>
      <c r="C642" s="241">
        <v>159</v>
      </c>
      <c r="D642" s="239" t="s">
        <v>591</v>
      </c>
      <c r="E642" s="239" t="s">
        <v>2053</v>
      </c>
      <c r="F642" s="239" t="s">
        <v>2054</v>
      </c>
      <c r="G642" s="239" t="s">
        <v>966</v>
      </c>
      <c r="H642" s="239" t="s">
        <v>254</v>
      </c>
      <c r="I642" s="239" t="s">
        <v>371</v>
      </c>
      <c r="J642" s="234">
        <v>25480</v>
      </c>
      <c r="K642" s="234">
        <v>14600</v>
      </c>
      <c r="L642" s="242">
        <v>27</v>
      </c>
      <c r="M642" s="234">
        <v>10880</v>
      </c>
      <c r="N642" s="234">
        <v>7942.4</v>
      </c>
      <c r="O642" s="243" t="s">
        <v>2130</v>
      </c>
      <c r="P642" s="236">
        <v>45920</v>
      </c>
    </row>
    <row r="643" spans="1:16" ht="51" customHeight="1">
      <c r="A643" s="239" t="s">
        <v>2060</v>
      </c>
      <c r="B643" s="240">
        <v>1774</v>
      </c>
      <c r="C643" s="241">
        <v>160</v>
      </c>
      <c r="D643" s="239" t="s">
        <v>591</v>
      </c>
      <c r="E643" s="239" t="s">
        <v>369</v>
      </c>
      <c r="F643" s="239" t="s">
        <v>370</v>
      </c>
      <c r="G643" s="239" t="s">
        <v>966</v>
      </c>
      <c r="H643" s="239" t="s">
        <v>254</v>
      </c>
      <c r="I643" s="239" t="s">
        <v>371</v>
      </c>
      <c r="J643" s="234">
        <v>37590</v>
      </c>
      <c r="K643" s="234">
        <v>15380</v>
      </c>
      <c r="L643" s="242">
        <v>22</v>
      </c>
      <c r="M643" s="234">
        <v>22210</v>
      </c>
      <c r="N643" s="234">
        <v>17323.8</v>
      </c>
      <c r="O643" s="243" t="s">
        <v>2131</v>
      </c>
      <c r="P643" s="236">
        <v>45920</v>
      </c>
    </row>
    <row r="644" spans="1:16" ht="51" customHeight="1">
      <c r="A644" s="239" t="s">
        <v>2062</v>
      </c>
      <c r="B644" s="240">
        <v>1776</v>
      </c>
      <c r="C644" s="241">
        <v>161</v>
      </c>
      <c r="D644" s="239" t="s">
        <v>591</v>
      </c>
      <c r="E644" s="239" t="s">
        <v>386</v>
      </c>
      <c r="F644" s="239" t="s">
        <v>387</v>
      </c>
      <c r="G644" s="239" t="s">
        <v>966</v>
      </c>
      <c r="H644" s="239" t="s">
        <v>254</v>
      </c>
      <c r="I644" s="239" t="s">
        <v>371</v>
      </c>
      <c r="J644" s="234">
        <v>33080</v>
      </c>
      <c r="K644" s="234">
        <v>15820</v>
      </c>
      <c r="L644" s="242">
        <v>31</v>
      </c>
      <c r="M644" s="234">
        <v>17260</v>
      </c>
      <c r="N644" s="234">
        <v>11909.4</v>
      </c>
      <c r="O644" s="243" t="s">
        <v>2133</v>
      </c>
      <c r="P644" s="236">
        <v>45920</v>
      </c>
    </row>
    <row r="645" spans="1:16" ht="51" customHeight="1">
      <c r="A645" s="239" t="s">
        <v>2056</v>
      </c>
      <c r="B645" s="240">
        <v>1770</v>
      </c>
      <c r="C645" s="241">
        <v>37751</v>
      </c>
      <c r="D645" s="239" t="s">
        <v>3819</v>
      </c>
      <c r="E645" s="239" t="s">
        <v>1978</v>
      </c>
      <c r="F645" s="239" t="s">
        <v>1979</v>
      </c>
      <c r="G645" s="239" t="s">
        <v>952</v>
      </c>
      <c r="H645" s="239" t="s">
        <v>51</v>
      </c>
      <c r="I645" s="239" t="s">
        <v>1580</v>
      </c>
      <c r="J645" s="234">
        <v>24020</v>
      </c>
      <c r="K645" s="234">
        <v>14170</v>
      </c>
      <c r="L645" s="242">
        <v>4</v>
      </c>
      <c r="M645" s="234">
        <v>9850</v>
      </c>
      <c r="N645" s="234">
        <v>9456</v>
      </c>
      <c r="O645" s="243" t="s">
        <v>2127</v>
      </c>
      <c r="P645" s="236">
        <v>45920</v>
      </c>
    </row>
    <row r="646" spans="1:16" ht="51" customHeight="1">
      <c r="A646" s="239" t="s">
        <v>2061</v>
      </c>
      <c r="B646" s="240">
        <v>1775</v>
      </c>
      <c r="C646" s="241">
        <v>37740</v>
      </c>
      <c r="D646" s="239" t="s">
        <v>3819</v>
      </c>
      <c r="E646" s="239" t="s">
        <v>447</v>
      </c>
      <c r="F646" s="239" t="s">
        <v>448</v>
      </c>
      <c r="G646" s="239" t="s">
        <v>952</v>
      </c>
      <c r="H646" s="239" t="s">
        <v>51</v>
      </c>
      <c r="I646" s="239" t="s">
        <v>1580</v>
      </c>
      <c r="J646" s="234">
        <v>48500</v>
      </c>
      <c r="K646" s="234">
        <v>19270</v>
      </c>
      <c r="L646" s="242">
        <v>4</v>
      </c>
      <c r="M646" s="234">
        <v>29230</v>
      </c>
      <c r="N646" s="234">
        <v>28060.799999999999</v>
      </c>
      <c r="O646" s="243" t="s">
        <v>2132</v>
      </c>
      <c r="P646" s="236">
        <v>45920</v>
      </c>
    </row>
    <row r="647" spans="1:16" ht="51" customHeight="1">
      <c r="A647" s="239" t="s">
        <v>2063</v>
      </c>
      <c r="B647" s="240">
        <v>1777</v>
      </c>
      <c r="C647" s="241">
        <v>162</v>
      </c>
      <c r="D647" s="239" t="s">
        <v>591</v>
      </c>
      <c r="E647" s="239" t="s">
        <v>866</v>
      </c>
      <c r="F647" s="239" t="s">
        <v>867</v>
      </c>
      <c r="G647" s="239" t="s">
        <v>966</v>
      </c>
      <c r="H647" s="239" t="s">
        <v>254</v>
      </c>
      <c r="I647" s="239" t="s">
        <v>371</v>
      </c>
      <c r="J647" s="234">
        <v>37650</v>
      </c>
      <c r="K647" s="234">
        <v>14710</v>
      </c>
      <c r="L647" s="242">
        <v>16</v>
      </c>
      <c r="M647" s="234">
        <v>22940</v>
      </c>
      <c r="N647" s="234">
        <v>19269.599999999999</v>
      </c>
      <c r="O647" s="243" t="s">
        <v>2134</v>
      </c>
      <c r="P647" s="236">
        <v>45921</v>
      </c>
    </row>
    <row r="648" spans="1:16" ht="51" customHeight="1">
      <c r="A648" s="239" t="s">
        <v>2064</v>
      </c>
      <c r="B648" s="240">
        <v>1778</v>
      </c>
      <c r="C648" s="241">
        <v>163</v>
      </c>
      <c r="D648" s="239" t="s">
        <v>591</v>
      </c>
      <c r="E648" s="239" t="s">
        <v>1978</v>
      </c>
      <c r="F648" s="239" t="s">
        <v>1979</v>
      </c>
      <c r="G648" s="239" t="s">
        <v>966</v>
      </c>
      <c r="H648" s="239" t="s">
        <v>254</v>
      </c>
      <c r="I648" s="239" t="s">
        <v>371</v>
      </c>
      <c r="J648" s="234">
        <v>32320</v>
      </c>
      <c r="K648" s="234">
        <v>14210</v>
      </c>
      <c r="L648" s="242">
        <v>15</v>
      </c>
      <c r="M648" s="234">
        <v>18110</v>
      </c>
      <c r="N648" s="234">
        <v>15393.5</v>
      </c>
      <c r="O648" s="243" t="s">
        <v>2135</v>
      </c>
      <c r="P648" s="236">
        <v>45921</v>
      </c>
    </row>
    <row r="649" spans="1:16" ht="51" customHeight="1">
      <c r="A649" s="239" t="s">
        <v>2065</v>
      </c>
      <c r="B649" s="240">
        <v>1779</v>
      </c>
      <c r="C649" s="241">
        <v>164</v>
      </c>
      <c r="D649" s="239" t="s">
        <v>591</v>
      </c>
      <c r="E649" s="239" t="s">
        <v>369</v>
      </c>
      <c r="F649" s="239" t="s">
        <v>370</v>
      </c>
      <c r="G649" s="239" t="s">
        <v>966</v>
      </c>
      <c r="H649" s="239" t="s">
        <v>254</v>
      </c>
      <c r="I649" s="239" t="s">
        <v>371</v>
      </c>
      <c r="J649" s="234">
        <v>38100</v>
      </c>
      <c r="K649" s="234">
        <v>15150</v>
      </c>
      <c r="L649" s="242">
        <v>8</v>
      </c>
      <c r="M649" s="234">
        <v>22950</v>
      </c>
      <c r="N649" s="234">
        <v>21114</v>
      </c>
      <c r="O649" s="243" t="s">
        <v>2136</v>
      </c>
      <c r="P649" s="236">
        <v>45921</v>
      </c>
    </row>
    <row r="650" spans="1:16" ht="51" customHeight="1">
      <c r="A650" s="239" t="s">
        <v>2137</v>
      </c>
      <c r="B650" s="240">
        <v>1780</v>
      </c>
      <c r="C650" s="241">
        <v>165</v>
      </c>
      <c r="D650" s="239" t="s">
        <v>591</v>
      </c>
      <c r="E650" s="239" t="s">
        <v>866</v>
      </c>
      <c r="F650" s="239" t="s">
        <v>867</v>
      </c>
      <c r="G650" s="239" t="s">
        <v>968</v>
      </c>
      <c r="H650" s="239" t="s">
        <v>163</v>
      </c>
      <c r="I650" s="239" t="s">
        <v>371</v>
      </c>
      <c r="J650" s="234">
        <v>37510</v>
      </c>
      <c r="K650" s="234">
        <v>14680</v>
      </c>
      <c r="L650" s="242">
        <v>4</v>
      </c>
      <c r="M650" s="234">
        <v>22830</v>
      </c>
      <c r="N650" s="234">
        <v>21916.799999999999</v>
      </c>
      <c r="O650" s="243" t="s">
        <v>2139</v>
      </c>
      <c r="P650" s="236">
        <v>45921</v>
      </c>
    </row>
    <row r="651" spans="1:16" ht="51" customHeight="1">
      <c r="A651" s="239" t="s">
        <v>2138</v>
      </c>
      <c r="B651" s="240">
        <v>1781</v>
      </c>
      <c r="C651" s="241">
        <v>166</v>
      </c>
      <c r="D651" s="239" t="s">
        <v>591</v>
      </c>
      <c r="E651" s="239" t="s">
        <v>1978</v>
      </c>
      <c r="F651" s="239" t="s">
        <v>1979</v>
      </c>
      <c r="G651" s="239" t="s">
        <v>968</v>
      </c>
      <c r="H651" s="239" t="s">
        <v>163</v>
      </c>
      <c r="I651" s="239" t="s">
        <v>371</v>
      </c>
      <c r="J651" s="234">
        <v>22380</v>
      </c>
      <c r="K651" s="234">
        <v>14190</v>
      </c>
      <c r="L651" s="242">
        <v>10</v>
      </c>
      <c r="M651" s="234">
        <v>8190</v>
      </c>
      <c r="N651" s="234">
        <v>7371</v>
      </c>
      <c r="O651" s="243" t="s">
        <v>2140</v>
      </c>
      <c r="P651" s="236">
        <v>45921</v>
      </c>
    </row>
    <row r="652" spans="1:16" ht="51" customHeight="1">
      <c r="A652" s="239" t="s">
        <v>2147</v>
      </c>
      <c r="B652" s="240">
        <v>1789</v>
      </c>
      <c r="C652" s="241">
        <v>167</v>
      </c>
      <c r="D652" s="239" t="s">
        <v>591</v>
      </c>
      <c r="E652" s="239" t="s">
        <v>400</v>
      </c>
      <c r="F652" s="239" t="s">
        <v>401</v>
      </c>
      <c r="G652" s="239" t="s">
        <v>117</v>
      </c>
      <c r="H652" s="239" t="s">
        <v>41</v>
      </c>
      <c r="I652" s="239" t="s">
        <v>379</v>
      </c>
      <c r="J652" s="234">
        <v>37340</v>
      </c>
      <c r="K652" s="234">
        <v>14870</v>
      </c>
      <c r="L652" s="242">
        <v>17</v>
      </c>
      <c r="M652" s="234">
        <v>22470</v>
      </c>
      <c r="N652" s="234">
        <v>18650.099999999999</v>
      </c>
      <c r="O652" s="243" t="s">
        <v>2170</v>
      </c>
      <c r="P652" s="236">
        <v>45925</v>
      </c>
    </row>
    <row r="653" spans="1:16" ht="51" customHeight="1">
      <c r="A653" s="239" t="s">
        <v>2148</v>
      </c>
      <c r="B653" s="240">
        <v>1790</v>
      </c>
      <c r="C653" s="241">
        <v>168</v>
      </c>
      <c r="D653" s="239" t="s">
        <v>591</v>
      </c>
      <c r="E653" s="239" t="s">
        <v>384</v>
      </c>
      <c r="F653" s="239" t="s">
        <v>385</v>
      </c>
      <c r="G653" s="239" t="s">
        <v>117</v>
      </c>
      <c r="H653" s="239" t="s">
        <v>41</v>
      </c>
      <c r="I653" s="239" t="s">
        <v>379</v>
      </c>
      <c r="J653" s="234">
        <v>34150</v>
      </c>
      <c r="K653" s="234">
        <v>13950</v>
      </c>
      <c r="L653" s="242">
        <v>26</v>
      </c>
      <c r="M653" s="234">
        <v>20200</v>
      </c>
      <c r="N653" s="234">
        <v>14948</v>
      </c>
      <c r="O653" s="243" t="s">
        <v>2171</v>
      </c>
      <c r="P653" s="236">
        <v>45925</v>
      </c>
    </row>
    <row r="654" spans="1:16" ht="51" customHeight="1">
      <c r="A654" s="239" t="s">
        <v>2149</v>
      </c>
      <c r="B654" s="240">
        <v>1791</v>
      </c>
      <c r="C654" s="241">
        <v>169</v>
      </c>
      <c r="D654" s="239" t="s">
        <v>591</v>
      </c>
      <c r="E654" s="239" t="s">
        <v>382</v>
      </c>
      <c r="F654" s="239" t="s">
        <v>383</v>
      </c>
      <c r="G654" s="239" t="s">
        <v>117</v>
      </c>
      <c r="H654" s="239" t="s">
        <v>41</v>
      </c>
      <c r="I654" s="239" t="s">
        <v>379</v>
      </c>
      <c r="J654" s="234">
        <v>34070</v>
      </c>
      <c r="K654" s="234">
        <v>14710</v>
      </c>
      <c r="L654" s="242">
        <v>10</v>
      </c>
      <c r="M654" s="234">
        <v>19360</v>
      </c>
      <c r="N654" s="234">
        <v>17424</v>
      </c>
      <c r="O654" s="243" t="s">
        <v>2172</v>
      </c>
      <c r="P654" s="236">
        <v>45925</v>
      </c>
    </row>
    <row r="655" spans="1:16" ht="51" customHeight="1">
      <c r="A655" s="239" t="s">
        <v>2150</v>
      </c>
      <c r="B655" s="240">
        <v>1792</v>
      </c>
      <c r="C655" s="241">
        <v>170</v>
      </c>
      <c r="D655" s="239" t="s">
        <v>591</v>
      </c>
      <c r="E655" s="239" t="s">
        <v>400</v>
      </c>
      <c r="F655" s="239" t="s">
        <v>401</v>
      </c>
      <c r="G655" s="239" t="s">
        <v>117</v>
      </c>
      <c r="H655" s="239" t="s">
        <v>41</v>
      </c>
      <c r="I655" s="239" t="s">
        <v>379</v>
      </c>
      <c r="J655" s="234">
        <v>37180</v>
      </c>
      <c r="K655" s="234">
        <v>14860</v>
      </c>
      <c r="L655" s="242">
        <v>8</v>
      </c>
      <c r="M655" s="234">
        <v>22320</v>
      </c>
      <c r="N655" s="234">
        <v>20534.400000000001</v>
      </c>
      <c r="O655" s="243" t="s">
        <v>2173</v>
      </c>
      <c r="P655" s="236">
        <v>45925</v>
      </c>
    </row>
    <row r="656" spans="1:16" ht="51" customHeight="1">
      <c r="A656" s="239" t="s">
        <v>2151</v>
      </c>
      <c r="B656" s="240">
        <v>1793</v>
      </c>
      <c r="C656" s="241">
        <v>54984</v>
      </c>
      <c r="D656" s="239" t="s">
        <v>2152</v>
      </c>
      <c r="E656" s="239" t="s">
        <v>380</v>
      </c>
      <c r="F656" s="239" t="s">
        <v>381</v>
      </c>
      <c r="G656" s="239" t="s">
        <v>946</v>
      </c>
      <c r="H656" s="239" t="s">
        <v>51</v>
      </c>
      <c r="I656" s="239" t="s">
        <v>2153</v>
      </c>
      <c r="J656" s="234">
        <v>39420</v>
      </c>
      <c r="K656" s="234">
        <v>15110</v>
      </c>
      <c r="L656" s="242">
        <v>5</v>
      </c>
      <c r="M656" s="234">
        <v>24310</v>
      </c>
      <c r="N656" s="234">
        <v>23094.5</v>
      </c>
      <c r="O656" s="243" t="s">
        <v>2174</v>
      </c>
      <c r="P656" s="236">
        <v>45925</v>
      </c>
    </row>
    <row r="657" spans="1:16" ht="51" customHeight="1">
      <c r="A657" s="239" t="s">
        <v>2154</v>
      </c>
      <c r="B657" s="240">
        <v>1794</v>
      </c>
      <c r="C657" s="241">
        <v>171</v>
      </c>
      <c r="D657" s="239" t="s">
        <v>591</v>
      </c>
      <c r="E657" s="239" t="s">
        <v>384</v>
      </c>
      <c r="F657" s="239" t="s">
        <v>385</v>
      </c>
      <c r="G657" s="239" t="s">
        <v>117</v>
      </c>
      <c r="H657" s="239" t="s">
        <v>41</v>
      </c>
      <c r="I657" s="239" t="s">
        <v>379</v>
      </c>
      <c r="J657" s="234">
        <v>34930</v>
      </c>
      <c r="K657" s="234">
        <v>13940</v>
      </c>
      <c r="L657" s="242">
        <v>8</v>
      </c>
      <c r="M657" s="234">
        <v>20990</v>
      </c>
      <c r="N657" s="234">
        <v>19310.8</v>
      </c>
      <c r="O657" s="243" t="s">
        <v>2175</v>
      </c>
      <c r="P657" s="236">
        <v>45925</v>
      </c>
    </row>
    <row r="658" spans="1:16" ht="51" customHeight="1">
      <c r="A658" s="239" t="s">
        <v>2155</v>
      </c>
      <c r="B658" s="240">
        <v>1795</v>
      </c>
      <c r="C658" s="241">
        <v>172</v>
      </c>
      <c r="D658" s="239" t="s">
        <v>591</v>
      </c>
      <c r="E658" s="239" t="s">
        <v>382</v>
      </c>
      <c r="F658" s="239" t="s">
        <v>383</v>
      </c>
      <c r="G658" s="239" t="s">
        <v>117</v>
      </c>
      <c r="H658" s="239" t="s">
        <v>41</v>
      </c>
      <c r="I658" s="239" t="s">
        <v>379</v>
      </c>
      <c r="J658" s="234">
        <v>32550</v>
      </c>
      <c r="K658" s="234">
        <v>14700</v>
      </c>
      <c r="L658" s="242">
        <v>7</v>
      </c>
      <c r="M658" s="234">
        <v>17850</v>
      </c>
      <c r="N658" s="234">
        <v>16600.5</v>
      </c>
      <c r="O658" s="243" t="s">
        <v>2176</v>
      </c>
      <c r="P658" s="236">
        <v>45925</v>
      </c>
    </row>
    <row r="659" spans="1:16" ht="51" customHeight="1">
      <c r="A659" s="239" t="s">
        <v>2156</v>
      </c>
      <c r="B659" s="240">
        <v>1797</v>
      </c>
      <c r="C659" s="241">
        <v>173</v>
      </c>
      <c r="D659" s="239" t="s">
        <v>591</v>
      </c>
      <c r="E659" s="239" t="s">
        <v>400</v>
      </c>
      <c r="F659" s="239" t="s">
        <v>401</v>
      </c>
      <c r="G659" s="239" t="s">
        <v>117</v>
      </c>
      <c r="H659" s="239" t="s">
        <v>41</v>
      </c>
      <c r="I659" s="239" t="s">
        <v>379</v>
      </c>
      <c r="J659" s="234">
        <v>36110</v>
      </c>
      <c r="K659" s="234">
        <v>14840</v>
      </c>
      <c r="L659" s="242">
        <v>14</v>
      </c>
      <c r="M659" s="234">
        <v>21270</v>
      </c>
      <c r="N659" s="234">
        <v>18292.2</v>
      </c>
      <c r="O659" s="243" t="s">
        <v>2177</v>
      </c>
      <c r="P659" s="236">
        <v>45925</v>
      </c>
    </row>
    <row r="660" spans="1:16" ht="51" customHeight="1">
      <c r="A660" s="239" t="s">
        <v>2157</v>
      </c>
      <c r="B660" s="240">
        <v>1799</v>
      </c>
      <c r="C660" s="241">
        <v>174</v>
      </c>
      <c r="D660" s="239" t="s">
        <v>591</v>
      </c>
      <c r="E660" s="239" t="s">
        <v>380</v>
      </c>
      <c r="F660" s="239" t="s">
        <v>381</v>
      </c>
      <c r="G660" s="239" t="s">
        <v>117</v>
      </c>
      <c r="H660" s="239" t="s">
        <v>41</v>
      </c>
      <c r="I660" s="239" t="s">
        <v>379</v>
      </c>
      <c r="J660" s="234">
        <v>37490</v>
      </c>
      <c r="K660" s="234">
        <v>15110</v>
      </c>
      <c r="L660" s="242">
        <v>11</v>
      </c>
      <c r="M660" s="234">
        <v>22380</v>
      </c>
      <c r="N660" s="234">
        <v>19918.2</v>
      </c>
      <c r="O660" s="243" t="s">
        <v>2178</v>
      </c>
      <c r="P660" s="236">
        <v>45925</v>
      </c>
    </row>
    <row r="661" spans="1:16" ht="51" customHeight="1">
      <c r="A661" s="239" t="s">
        <v>2158</v>
      </c>
      <c r="B661" s="240">
        <v>1801</v>
      </c>
      <c r="C661" s="241">
        <v>175</v>
      </c>
      <c r="D661" s="239" t="s">
        <v>591</v>
      </c>
      <c r="E661" s="239" t="s">
        <v>384</v>
      </c>
      <c r="F661" s="239" t="s">
        <v>385</v>
      </c>
      <c r="G661" s="239" t="s">
        <v>117</v>
      </c>
      <c r="H661" s="239" t="s">
        <v>41</v>
      </c>
      <c r="I661" s="239" t="s">
        <v>379</v>
      </c>
      <c r="J661" s="234">
        <v>35850</v>
      </c>
      <c r="K661" s="234">
        <v>13930</v>
      </c>
      <c r="L661" s="242">
        <v>20</v>
      </c>
      <c r="M661" s="234">
        <v>21920</v>
      </c>
      <c r="N661" s="234">
        <v>17536</v>
      </c>
      <c r="O661" s="243" t="s">
        <v>2179</v>
      </c>
      <c r="P661" s="236">
        <v>45925</v>
      </c>
    </row>
    <row r="662" spans="1:16" ht="51" customHeight="1">
      <c r="A662" s="239" t="s">
        <v>2159</v>
      </c>
      <c r="B662" s="240">
        <v>1802</v>
      </c>
      <c r="C662" s="241">
        <v>176</v>
      </c>
      <c r="D662" s="239" t="s">
        <v>591</v>
      </c>
      <c r="E662" s="239" t="s">
        <v>382</v>
      </c>
      <c r="F662" s="239" t="s">
        <v>383</v>
      </c>
      <c r="G662" s="239" t="s">
        <v>117</v>
      </c>
      <c r="H662" s="239" t="s">
        <v>41</v>
      </c>
      <c r="I662" s="239" t="s">
        <v>379</v>
      </c>
      <c r="J662" s="234">
        <v>30940</v>
      </c>
      <c r="K662" s="234">
        <v>14690</v>
      </c>
      <c r="L662" s="242">
        <v>8</v>
      </c>
      <c r="M662" s="234">
        <v>16250</v>
      </c>
      <c r="N662" s="234">
        <v>14950</v>
      </c>
      <c r="O662" s="243" t="s">
        <v>2180</v>
      </c>
      <c r="P662" s="236">
        <v>45925</v>
      </c>
    </row>
    <row r="663" spans="1:16" ht="51" customHeight="1">
      <c r="A663" s="239" t="s">
        <v>2160</v>
      </c>
      <c r="B663" s="240">
        <v>1803</v>
      </c>
      <c r="C663" s="241">
        <v>177</v>
      </c>
      <c r="D663" s="239" t="s">
        <v>591</v>
      </c>
      <c r="E663" s="239" t="s">
        <v>400</v>
      </c>
      <c r="F663" s="239" t="s">
        <v>401</v>
      </c>
      <c r="G663" s="239" t="s">
        <v>117</v>
      </c>
      <c r="H663" s="239" t="s">
        <v>41</v>
      </c>
      <c r="I663" s="239" t="s">
        <v>379</v>
      </c>
      <c r="J663" s="234">
        <v>37140</v>
      </c>
      <c r="K663" s="234">
        <v>14830</v>
      </c>
      <c r="L663" s="242">
        <v>13</v>
      </c>
      <c r="M663" s="234">
        <v>22310</v>
      </c>
      <c r="N663" s="234">
        <v>19409.7</v>
      </c>
      <c r="O663" s="243" t="s">
        <v>2181</v>
      </c>
      <c r="P663" s="236">
        <v>45925</v>
      </c>
    </row>
    <row r="664" spans="1:16" ht="51" customHeight="1">
      <c r="A664" s="239" t="s">
        <v>2161</v>
      </c>
      <c r="B664" s="240">
        <v>1804</v>
      </c>
      <c r="C664" s="241">
        <v>178</v>
      </c>
      <c r="D664" s="239" t="s">
        <v>591</v>
      </c>
      <c r="E664" s="239" t="s">
        <v>380</v>
      </c>
      <c r="F664" s="239" t="s">
        <v>381</v>
      </c>
      <c r="G664" s="239" t="s">
        <v>117</v>
      </c>
      <c r="H664" s="239" t="s">
        <v>41</v>
      </c>
      <c r="I664" s="239" t="s">
        <v>379</v>
      </c>
      <c r="J664" s="234">
        <v>38710</v>
      </c>
      <c r="K664" s="234">
        <v>15090</v>
      </c>
      <c r="L664" s="242">
        <v>6</v>
      </c>
      <c r="M664" s="234">
        <v>23620</v>
      </c>
      <c r="N664" s="234">
        <v>22202.799999999999</v>
      </c>
      <c r="O664" s="243" t="s">
        <v>2182</v>
      </c>
      <c r="P664" s="236">
        <v>45925</v>
      </c>
    </row>
    <row r="665" spans="1:16" ht="51" customHeight="1">
      <c r="A665" s="239" t="s">
        <v>2162</v>
      </c>
      <c r="B665" s="240">
        <v>1806</v>
      </c>
      <c r="C665" s="241">
        <v>179</v>
      </c>
      <c r="D665" s="239" t="s">
        <v>591</v>
      </c>
      <c r="E665" s="239" t="s">
        <v>384</v>
      </c>
      <c r="F665" s="239" t="s">
        <v>385</v>
      </c>
      <c r="G665" s="239" t="s">
        <v>117</v>
      </c>
      <c r="H665" s="239" t="s">
        <v>41</v>
      </c>
      <c r="I665" s="239" t="s">
        <v>379</v>
      </c>
      <c r="J665" s="234">
        <v>34160</v>
      </c>
      <c r="K665" s="234">
        <v>13920</v>
      </c>
      <c r="L665" s="242">
        <v>8</v>
      </c>
      <c r="M665" s="234">
        <v>20240</v>
      </c>
      <c r="N665" s="234">
        <v>18620.8</v>
      </c>
      <c r="O665" s="243" t="s">
        <v>2183</v>
      </c>
      <c r="P665" s="236">
        <v>45925</v>
      </c>
    </row>
    <row r="666" spans="1:16" ht="51" customHeight="1">
      <c r="A666" s="239" t="s">
        <v>2163</v>
      </c>
      <c r="B666" s="240">
        <v>1808</v>
      </c>
      <c r="C666" s="241">
        <v>180</v>
      </c>
      <c r="D666" s="239" t="s">
        <v>591</v>
      </c>
      <c r="E666" s="239" t="s">
        <v>382</v>
      </c>
      <c r="F666" s="239" t="s">
        <v>383</v>
      </c>
      <c r="G666" s="239" t="s">
        <v>117</v>
      </c>
      <c r="H666" s="239" t="s">
        <v>41</v>
      </c>
      <c r="I666" s="239" t="s">
        <v>379</v>
      </c>
      <c r="J666" s="234">
        <v>32270</v>
      </c>
      <c r="K666" s="234">
        <v>14680</v>
      </c>
      <c r="L666" s="242">
        <v>8</v>
      </c>
      <c r="M666" s="234">
        <v>17590</v>
      </c>
      <c r="N666" s="234">
        <v>16182.8</v>
      </c>
      <c r="O666" s="243" t="s">
        <v>2184</v>
      </c>
      <c r="P666" s="236">
        <v>45925</v>
      </c>
    </row>
    <row r="667" spans="1:16" ht="51" customHeight="1">
      <c r="A667" s="239" t="s">
        <v>2164</v>
      </c>
      <c r="B667" s="240">
        <v>1809</v>
      </c>
      <c r="C667" s="241">
        <v>181</v>
      </c>
      <c r="D667" s="239" t="s">
        <v>591</v>
      </c>
      <c r="E667" s="239" t="s">
        <v>400</v>
      </c>
      <c r="F667" s="239" t="s">
        <v>401</v>
      </c>
      <c r="G667" s="239" t="s">
        <v>117</v>
      </c>
      <c r="H667" s="239" t="s">
        <v>41</v>
      </c>
      <c r="I667" s="239" t="s">
        <v>379</v>
      </c>
      <c r="J667" s="234">
        <v>37840</v>
      </c>
      <c r="K667" s="234">
        <v>14820</v>
      </c>
      <c r="L667" s="242">
        <v>29</v>
      </c>
      <c r="M667" s="234">
        <v>23020</v>
      </c>
      <c r="N667" s="234">
        <v>16344.2</v>
      </c>
      <c r="O667" s="243" t="s">
        <v>2185</v>
      </c>
      <c r="P667" s="236">
        <v>45925</v>
      </c>
    </row>
    <row r="668" spans="1:16" ht="51" customHeight="1">
      <c r="A668" s="239" t="s">
        <v>2165</v>
      </c>
      <c r="B668" s="240">
        <v>1811</v>
      </c>
      <c r="C668" s="241">
        <v>182</v>
      </c>
      <c r="D668" s="239" t="s">
        <v>591</v>
      </c>
      <c r="E668" s="239" t="s">
        <v>380</v>
      </c>
      <c r="F668" s="239" t="s">
        <v>381</v>
      </c>
      <c r="G668" s="239" t="s">
        <v>117</v>
      </c>
      <c r="H668" s="239" t="s">
        <v>41</v>
      </c>
      <c r="I668" s="239" t="s">
        <v>379</v>
      </c>
      <c r="J668" s="234">
        <v>37150</v>
      </c>
      <c r="K668" s="234">
        <v>15080</v>
      </c>
      <c r="L668" s="242">
        <v>19</v>
      </c>
      <c r="M668" s="234">
        <v>22070</v>
      </c>
      <c r="N668" s="234">
        <v>17876.7</v>
      </c>
      <c r="O668" s="243" t="s">
        <v>2186</v>
      </c>
      <c r="P668" s="236">
        <v>45925</v>
      </c>
    </row>
    <row r="669" spans="1:16" ht="51" customHeight="1">
      <c r="A669" s="239" t="s">
        <v>2166</v>
      </c>
      <c r="B669" s="240">
        <v>1812</v>
      </c>
      <c r="C669" s="241">
        <v>183</v>
      </c>
      <c r="D669" s="239" t="s">
        <v>591</v>
      </c>
      <c r="E669" s="239" t="s">
        <v>384</v>
      </c>
      <c r="F669" s="239" t="s">
        <v>385</v>
      </c>
      <c r="G669" s="239" t="s">
        <v>117</v>
      </c>
      <c r="H669" s="239" t="s">
        <v>41</v>
      </c>
      <c r="I669" s="239" t="s">
        <v>379</v>
      </c>
      <c r="J669" s="234">
        <v>34900</v>
      </c>
      <c r="K669" s="234">
        <v>13920</v>
      </c>
      <c r="L669" s="242">
        <v>18</v>
      </c>
      <c r="M669" s="234">
        <v>20980</v>
      </c>
      <c r="N669" s="234">
        <v>17203.599999999999</v>
      </c>
      <c r="O669" s="243" t="s">
        <v>2187</v>
      </c>
      <c r="P669" s="236">
        <v>45925</v>
      </c>
    </row>
    <row r="670" spans="1:16" ht="51" customHeight="1">
      <c r="A670" s="239" t="s">
        <v>2167</v>
      </c>
      <c r="B670" s="240">
        <v>1813</v>
      </c>
      <c r="C670" s="241">
        <v>184</v>
      </c>
      <c r="D670" s="239" t="s">
        <v>591</v>
      </c>
      <c r="E670" s="239" t="s">
        <v>382</v>
      </c>
      <c r="F670" s="239" t="s">
        <v>383</v>
      </c>
      <c r="G670" s="239" t="s">
        <v>117</v>
      </c>
      <c r="H670" s="239" t="s">
        <v>41</v>
      </c>
      <c r="I670" s="239" t="s">
        <v>379</v>
      </c>
      <c r="J670" s="234">
        <v>33330</v>
      </c>
      <c r="K670" s="234">
        <v>14700</v>
      </c>
      <c r="L670" s="242">
        <v>20</v>
      </c>
      <c r="M670" s="234">
        <v>18630</v>
      </c>
      <c r="N670" s="234">
        <v>14904</v>
      </c>
      <c r="O670" s="243" t="s">
        <v>2188</v>
      </c>
      <c r="P670" s="236">
        <v>45925</v>
      </c>
    </row>
    <row r="671" spans="1:16" ht="51" customHeight="1">
      <c r="A671" s="239" t="s">
        <v>2168</v>
      </c>
      <c r="B671" s="240">
        <v>1814</v>
      </c>
      <c r="C671" s="241">
        <v>185</v>
      </c>
      <c r="D671" s="239" t="s">
        <v>591</v>
      </c>
      <c r="E671" s="239" t="s">
        <v>400</v>
      </c>
      <c r="F671" s="239" t="s">
        <v>401</v>
      </c>
      <c r="G671" s="239" t="s">
        <v>117</v>
      </c>
      <c r="H671" s="239" t="s">
        <v>41</v>
      </c>
      <c r="I671" s="239" t="s">
        <v>379</v>
      </c>
      <c r="J671" s="234">
        <v>36210</v>
      </c>
      <c r="K671" s="234">
        <v>14860</v>
      </c>
      <c r="L671" s="242">
        <v>30</v>
      </c>
      <c r="M671" s="234">
        <v>21350</v>
      </c>
      <c r="N671" s="234">
        <v>14945</v>
      </c>
      <c r="O671" s="243" t="s">
        <v>2189</v>
      </c>
      <c r="P671" s="236">
        <v>45926</v>
      </c>
    </row>
    <row r="672" spans="1:16" ht="51" customHeight="1">
      <c r="A672" s="239" t="s">
        <v>2169</v>
      </c>
      <c r="B672" s="240">
        <v>1815</v>
      </c>
      <c r="C672" s="241">
        <v>186</v>
      </c>
      <c r="D672" s="239" t="s">
        <v>591</v>
      </c>
      <c r="E672" s="239" t="s">
        <v>380</v>
      </c>
      <c r="F672" s="239" t="s">
        <v>381</v>
      </c>
      <c r="G672" s="239" t="s">
        <v>117</v>
      </c>
      <c r="H672" s="239" t="s">
        <v>41</v>
      </c>
      <c r="I672" s="239" t="s">
        <v>379</v>
      </c>
      <c r="J672" s="234">
        <v>38190</v>
      </c>
      <c r="K672" s="234">
        <v>15160</v>
      </c>
      <c r="L672" s="242">
        <v>18</v>
      </c>
      <c r="M672" s="234">
        <v>23030</v>
      </c>
      <c r="N672" s="234">
        <v>18884.599999999999</v>
      </c>
      <c r="O672" s="243" t="s">
        <v>2190</v>
      </c>
      <c r="P672" s="236">
        <v>45926</v>
      </c>
    </row>
    <row r="673" spans="1:16" ht="51" customHeight="1">
      <c r="A673" s="239" t="s">
        <v>2192</v>
      </c>
      <c r="B673" s="240">
        <v>1819</v>
      </c>
      <c r="C673" s="241">
        <v>187</v>
      </c>
      <c r="D673" s="239" t="s">
        <v>591</v>
      </c>
      <c r="E673" s="239" t="s">
        <v>369</v>
      </c>
      <c r="F673" s="239" t="s">
        <v>370</v>
      </c>
      <c r="G673" s="239" t="s">
        <v>117</v>
      </c>
      <c r="H673" s="239" t="s">
        <v>41</v>
      </c>
      <c r="I673" s="239" t="s">
        <v>379</v>
      </c>
      <c r="J673" s="234">
        <v>36530</v>
      </c>
      <c r="K673" s="234">
        <v>15110</v>
      </c>
      <c r="L673" s="242">
        <v>15</v>
      </c>
      <c r="M673" s="234">
        <v>21420</v>
      </c>
      <c r="N673" s="234">
        <v>18207</v>
      </c>
      <c r="O673" s="243" t="s">
        <v>2237</v>
      </c>
      <c r="P673" s="236">
        <v>45926</v>
      </c>
    </row>
    <row r="674" spans="1:16" ht="51" customHeight="1">
      <c r="A674" s="239" t="s">
        <v>2193</v>
      </c>
      <c r="B674" s="240">
        <v>1823</v>
      </c>
      <c r="C674" s="241">
        <v>188</v>
      </c>
      <c r="D674" s="239" t="s">
        <v>591</v>
      </c>
      <c r="E674" s="239" t="s">
        <v>377</v>
      </c>
      <c r="F674" s="239" t="s">
        <v>378</v>
      </c>
      <c r="G674" s="239" t="s">
        <v>117</v>
      </c>
      <c r="H674" s="239" t="s">
        <v>41</v>
      </c>
      <c r="I674" s="239" t="s">
        <v>379</v>
      </c>
      <c r="J674" s="234">
        <v>37710</v>
      </c>
      <c r="K674" s="234">
        <v>15140</v>
      </c>
      <c r="L674" s="242">
        <v>17</v>
      </c>
      <c r="M674" s="234">
        <v>22570</v>
      </c>
      <c r="N674" s="234">
        <v>18733.099999999999</v>
      </c>
      <c r="O674" s="243" t="s">
        <v>2238</v>
      </c>
      <c r="P674" s="236">
        <v>45926</v>
      </c>
    </row>
    <row r="675" spans="1:16" ht="51" customHeight="1">
      <c r="A675" s="239" t="s">
        <v>2194</v>
      </c>
      <c r="B675" s="240">
        <v>1824</v>
      </c>
      <c r="C675" s="241">
        <v>189</v>
      </c>
      <c r="D675" s="239" t="s">
        <v>591</v>
      </c>
      <c r="E675" s="239" t="s">
        <v>374</v>
      </c>
      <c r="F675" s="239" t="s">
        <v>375</v>
      </c>
      <c r="G675" s="239" t="s">
        <v>117</v>
      </c>
      <c r="H675" s="239" t="s">
        <v>41</v>
      </c>
      <c r="I675" s="239" t="s">
        <v>379</v>
      </c>
      <c r="J675" s="234">
        <v>38000</v>
      </c>
      <c r="K675" s="234">
        <v>15760</v>
      </c>
      <c r="L675" s="242">
        <v>16</v>
      </c>
      <c r="M675" s="234">
        <v>22240</v>
      </c>
      <c r="N675" s="234">
        <v>18681.599999999999</v>
      </c>
      <c r="O675" s="243" t="s">
        <v>2239</v>
      </c>
      <c r="P675" s="236">
        <v>45926</v>
      </c>
    </row>
    <row r="676" spans="1:16" ht="51" customHeight="1">
      <c r="A676" s="239" t="s">
        <v>2195</v>
      </c>
      <c r="B676" s="240">
        <v>1825</v>
      </c>
      <c r="C676" s="241">
        <v>190</v>
      </c>
      <c r="D676" s="239" t="s">
        <v>591</v>
      </c>
      <c r="E676" s="239" t="s">
        <v>866</v>
      </c>
      <c r="F676" s="239" t="s">
        <v>867</v>
      </c>
      <c r="G676" s="239" t="s">
        <v>117</v>
      </c>
      <c r="H676" s="239" t="s">
        <v>51</v>
      </c>
      <c r="I676" s="239" t="s">
        <v>379</v>
      </c>
      <c r="J676" s="234">
        <v>34460</v>
      </c>
      <c r="K676" s="234">
        <v>14560</v>
      </c>
      <c r="L676" s="242">
        <v>15</v>
      </c>
      <c r="M676" s="234">
        <v>19900</v>
      </c>
      <c r="N676" s="234">
        <v>16915</v>
      </c>
      <c r="O676" s="243" t="s">
        <v>2240</v>
      </c>
      <c r="P676" s="236">
        <v>45926</v>
      </c>
    </row>
    <row r="677" spans="1:16" ht="51" customHeight="1">
      <c r="A677" s="239" t="s">
        <v>2196</v>
      </c>
      <c r="B677" s="240">
        <v>1827</v>
      </c>
      <c r="C677" s="241">
        <v>191</v>
      </c>
      <c r="D677" s="239" t="s">
        <v>591</v>
      </c>
      <c r="E677" s="239" t="s">
        <v>369</v>
      </c>
      <c r="F677" s="239" t="s">
        <v>370</v>
      </c>
      <c r="G677" s="239" t="s">
        <v>117</v>
      </c>
      <c r="H677" s="239" t="s">
        <v>51</v>
      </c>
      <c r="I677" s="239" t="s">
        <v>379</v>
      </c>
      <c r="J677" s="234">
        <v>34560</v>
      </c>
      <c r="K677" s="234">
        <v>15070</v>
      </c>
      <c r="L677" s="242">
        <v>15</v>
      </c>
      <c r="M677" s="234">
        <v>19490</v>
      </c>
      <c r="N677" s="234">
        <v>16566.5</v>
      </c>
      <c r="O677" s="243" t="s">
        <v>2241</v>
      </c>
      <c r="P677" s="236">
        <v>45926</v>
      </c>
    </row>
    <row r="678" spans="1:16" ht="51" customHeight="1">
      <c r="A678" s="239" t="s">
        <v>2197</v>
      </c>
      <c r="B678" s="240">
        <v>1829</v>
      </c>
      <c r="C678" s="241">
        <v>192</v>
      </c>
      <c r="D678" s="239" t="s">
        <v>591</v>
      </c>
      <c r="E678" s="239" t="s">
        <v>377</v>
      </c>
      <c r="F678" s="239" t="s">
        <v>378</v>
      </c>
      <c r="G678" s="239" t="s">
        <v>117</v>
      </c>
      <c r="H678" s="239" t="s">
        <v>51</v>
      </c>
      <c r="I678" s="239" t="s">
        <v>379</v>
      </c>
      <c r="J678" s="234">
        <v>39260</v>
      </c>
      <c r="K678" s="234">
        <v>15130</v>
      </c>
      <c r="L678" s="242">
        <v>13</v>
      </c>
      <c r="M678" s="234">
        <v>24130</v>
      </c>
      <c r="N678" s="234">
        <v>20993.1</v>
      </c>
      <c r="O678" s="243" t="s">
        <v>2242</v>
      </c>
      <c r="P678" s="236">
        <v>45926</v>
      </c>
    </row>
    <row r="679" spans="1:16" ht="51" customHeight="1">
      <c r="A679" s="239" t="s">
        <v>2198</v>
      </c>
      <c r="B679" s="240">
        <v>1830</v>
      </c>
      <c r="C679" s="241">
        <v>193</v>
      </c>
      <c r="D679" s="239" t="s">
        <v>591</v>
      </c>
      <c r="E679" s="239" t="s">
        <v>374</v>
      </c>
      <c r="F679" s="239" t="s">
        <v>375</v>
      </c>
      <c r="G679" s="239" t="s">
        <v>117</v>
      </c>
      <c r="H679" s="239" t="s">
        <v>51</v>
      </c>
      <c r="I679" s="239" t="s">
        <v>379</v>
      </c>
      <c r="J679" s="234">
        <v>35360</v>
      </c>
      <c r="K679" s="234">
        <v>15750</v>
      </c>
      <c r="L679" s="242">
        <v>26</v>
      </c>
      <c r="M679" s="234">
        <v>19610</v>
      </c>
      <c r="N679" s="234">
        <v>14511.4</v>
      </c>
      <c r="O679" s="243" t="s">
        <v>2243</v>
      </c>
      <c r="P679" s="236">
        <v>45926</v>
      </c>
    </row>
    <row r="680" spans="1:16" ht="51" customHeight="1">
      <c r="A680" s="239" t="s">
        <v>2199</v>
      </c>
      <c r="B680" s="240">
        <v>1831</v>
      </c>
      <c r="C680" s="241">
        <v>194</v>
      </c>
      <c r="D680" s="239" t="s">
        <v>591</v>
      </c>
      <c r="E680" s="239" t="s">
        <v>866</v>
      </c>
      <c r="F680" s="239" t="s">
        <v>867</v>
      </c>
      <c r="G680" s="239" t="s">
        <v>117</v>
      </c>
      <c r="H680" s="239" t="s">
        <v>51</v>
      </c>
      <c r="I680" s="239" t="s">
        <v>379</v>
      </c>
      <c r="J680" s="234">
        <v>37220</v>
      </c>
      <c r="K680" s="234">
        <v>14540</v>
      </c>
      <c r="L680" s="242">
        <v>19</v>
      </c>
      <c r="M680" s="234">
        <v>22680</v>
      </c>
      <c r="N680" s="234">
        <v>18370.8</v>
      </c>
      <c r="O680" s="243" t="s">
        <v>2244</v>
      </c>
      <c r="P680" s="236">
        <v>45926</v>
      </c>
    </row>
    <row r="681" spans="1:16" ht="51" customHeight="1">
      <c r="A681" s="239" t="s">
        <v>2200</v>
      </c>
      <c r="B681" s="240">
        <v>1832</v>
      </c>
      <c r="C681" s="241">
        <v>195</v>
      </c>
      <c r="D681" s="239" t="s">
        <v>591</v>
      </c>
      <c r="E681" s="239" t="s">
        <v>369</v>
      </c>
      <c r="F681" s="239" t="s">
        <v>370</v>
      </c>
      <c r="G681" s="239" t="s">
        <v>117</v>
      </c>
      <c r="H681" s="239" t="s">
        <v>51</v>
      </c>
      <c r="I681" s="239" t="s">
        <v>379</v>
      </c>
      <c r="J681" s="234">
        <v>35380</v>
      </c>
      <c r="K681" s="234">
        <v>15060</v>
      </c>
      <c r="L681" s="242">
        <v>16</v>
      </c>
      <c r="M681" s="234">
        <v>20320</v>
      </c>
      <c r="N681" s="234">
        <v>17068.8</v>
      </c>
      <c r="O681" s="243" t="s">
        <v>2245</v>
      </c>
      <c r="P681" s="236">
        <v>45926</v>
      </c>
    </row>
    <row r="682" spans="1:16" ht="51" customHeight="1">
      <c r="A682" s="239" t="s">
        <v>2201</v>
      </c>
      <c r="B682" s="240">
        <v>1833</v>
      </c>
      <c r="C682" s="241">
        <v>196</v>
      </c>
      <c r="D682" s="239" t="s">
        <v>591</v>
      </c>
      <c r="E682" s="239" t="s">
        <v>377</v>
      </c>
      <c r="F682" s="239" t="s">
        <v>378</v>
      </c>
      <c r="G682" s="239" t="s">
        <v>117</v>
      </c>
      <c r="H682" s="239" t="s">
        <v>51</v>
      </c>
      <c r="I682" s="239" t="s">
        <v>379</v>
      </c>
      <c r="J682" s="234">
        <v>38820</v>
      </c>
      <c r="K682" s="234">
        <v>15110</v>
      </c>
      <c r="L682" s="242">
        <v>9</v>
      </c>
      <c r="M682" s="234">
        <v>23710</v>
      </c>
      <c r="N682" s="234">
        <v>21576.1</v>
      </c>
      <c r="O682" s="243" t="s">
        <v>2246</v>
      </c>
      <c r="P682" s="236">
        <v>45926</v>
      </c>
    </row>
    <row r="683" spans="1:16" ht="51" customHeight="1">
      <c r="A683" s="239" t="s">
        <v>2202</v>
      </c>
      <c r="B683" s="240">
        <v>1834</v>
      </c>
      <c r="C683" s="241">
        <v>197</v>
      </c>
      <c r="D683" s="239" t="s">
        <v>591</v>
      </c>
      <c r="E683" s="239" t="s">
        <v>374</v>
      </c>
      <c r="F683" s="239" t="s">
        <v>375</v>
      </c>
      <c r="G683" s="239" t="s">
        <v>117</v>
      </c>
      <c r="H683" s="239" t="s">
        <v>51</v>
      </c>
      <c r="I683" s="239" t="s">
        <v>379</v>
      </c>
      <c r="J683" s="234">
        <v>39130</v>
      </c>
      <c r="K683" s="234">
        <v>15730</v>
      </c>
      <c r="L683" s="242">
        <v>10</v>
      </c>
      <c r="M683" s="234">
        <v>23400</v>
      </c>
      <c r="N683" s="234">
        <v>21060</v>
      </c>
      <c r="O683" s="243" t="s">
        <v>2247</v>
      </c>
      <c r="P683" s="236">
        <v>45926</v>
      </c>
    </row>
    <row r="684" spans="1:16" ht="51" customHeight="1">
      <c r="A684" s="239" t="s">
        <v>2203</v>
      </c>
      <c r="B684" s="240">
        <v>1835</v>
      </c>
      <c r="C684" s="241">
        <v>198</v>
      </c>
      <c r="D684" s="239" t="s">
        <v>591</v>
      </c>
      <c r="E684" s="239" t="s">
        <v>866</v>
      </c>
      <c r="F684" s="239" t="s">
        <v>867</v>
      </c>
      <c r="G684" s="239" t="s">
        <v>117</v>
      </c>
      <c r="H684" s="239" t="s">
        <v>51</v>
      </c>
      <c r="I684" s="239" t="s">
        <v>379</v>
      </c>
      <c r="J684" s="234">
        <v>36560</v>
      </c>
      <c r="K684" s="234">
        <v>14530</v>
      </c>
      <c r="L684" s="242">
        <v>6</v>
      </c>
      <c r="M684" s="234">
        <v>22030</v>
      </c>
      <c r="N684" s="234">
        <v>20708.2</v>
      </c>
      <c r="O684" s="243" t="s">
        <v>2248</v>
      </c>
      <c r="P684" s="236">
        <v>45926</v>
      </c>
    </row>
    <row r="685" spans="1:16" ht="51" customHeight="1">
      <c r="A685" s="239" t="s">
        <v>2204</v>
      </c>
      <c r="B685" s="240">
        <v>1837</v>
      </c>
      <c r="C685" s="241">
        <v>199</v>
      </c>
      <c r="D685" s="239" t="s">
        <v>591</v>
      </c>
      <c r="E685" s="239" t="s">
        <v>369</v>
      </c>
      <c r="F685" s="239" t="s">
        <v>370</v>
      </c>
      <c r="G685" s="239" t="s">
        <v>117</v>
      </c>
      <c r="H685" s="239" t="s">
        <v>51</v>
      </c>
      <c r="I685" s="239" t="s">
        <v>379</v>
      </c>
      <c r="J685" s="234">
        <v>34850</v>
      </c>
      <c r="K685" s="234">
        <v>15040</v>
      </c>
      <c r="L685" s="242">
        <v>17</v>
      </c>
      <c r="M685" s="234">
        <v>19810</v>
      </c>
      <c r="N685" s="234">
        <v>16442.3</v>
      </c>
      <c r="O685" s="243" t="s">
        <v>2249</v>
      </c>
      <c r="P685" s="236">
        <v>45926</v>
      </c>
    </row>
    <row r="686" spans="1:16" ht="51" customHeight="1">
      <c r="A686" s="239" t="s">
        <v>2205</v>
      </c>
      <c r="B686" s="240">
        <v>1839</v>
      </c>
      <c r="C686" s="241">
        <v>200</v>
      </c>
      <c r="D686" s="239" t="s">
        <v>591</v>
      </c>
      <c r="E686" s="239" t="s">
        <v>377</v>
      </c>
      <c r="F686" s="239" t="s">
        <v>378</v>
      </c>
      <c r="G686" s="239" t="s">
        <v>117</v>
      </c>
      <c r="H686" s="239" t="s">
        <v>51</v>
      </c>
      <c r="I686" s="239" t="s">
        <v>379</v>
      </c>
      <c r="J686" s="234">
        <v>38420</v>
      </c>
      <c r="K686" s="234">
        <v>15180</v>
      </c>
      <c r="L686" s="242">
        <v>12</v>
      </c>
      <c r="M686" s="234">
        <v>23240</v>
      </c>
      <c r="N686" s="234">
        <v>20451.2</v>
      </c>
      <c r="O686" s="243" t="s">
        <v>2250</v>
      </c>
      <c r="P686" s="236">
        <v>45926</v>
      </c>
    </row>
    <row r="687" spans="1:16" ht="51" customHeight="1">
      <c r="A687" s="239" t="s">
        <v>2206</v>
      </c>
      <c r="B687" s="240">
        <v>1840</v>
      </c>
      <c r="C687" s="241">
        <v>201</v>
      </c>
      <c r="D687" s="239" t="s">
        <v>591</v>
      </c>
      <c r="E687" s="239" t="s">
        <v>374</v>
      </c>
      <c r="F687" s="239" t="s">
        <v>375</v>
      </c>
      <c r="G687" s="239" t="s">
        <v>117</v>
      </c>
      <c r="H687" s="239" t="s">
        <v>51</v>
      </c>
      <c r="I687" s="239" t="s">
        <v>379</v>
      </c>
      <c r="J687" s="234">
        <v>38790</v>
      </c>
      <c r="K687" s="234">
        <v>15750</v>
      </c>
      <c r="L687" s="242">
        <v>6</v>
      </c>
      <c r="M687" s="234">
        <v>23040</v>
      </c>
      <c r="N687" s="234">
        <v>21657.599999999999</v>
      </c>
      <c r="O687" s="243" t="s">
        <v>2251</v>
      </c>
      <c r="P687" s="236">
        <v>45926</v>
      </c>
    </row>
    <row r="688" spans="1:16" ht="51" customHeight="1">
      <c r="A688" s="239" t="s">
        <v>2207</v>
      </c>
      <c r="B688" s="240">
        <v>1841</v>
      </c>
      <c r="C688" s="241">
        <v>202</v>
      </c>
      <c r="D688" s="239" t="s">
        <v>591</v>
      </c>
      <c r="E688" s="239" t="s">
        <v>866</v>
      </c>
      <c r="F688" s="239" t="s">
        <v>867</v>
      </c>
      <c r="G688" s="239" t="s">
        <v>117</v>
      </c>
      <c r="H688" s="239" t="s">
        <v>51</v>
      </c>
      <c r="I688" s="239" t="s">
        <v>379</v>
      </c>
      <c r="J688" s="234">
        <v>36040</v>
      </c>
      <c r="K688" s="234">
        <v>14510</v>
      </c>
      <c r="L688" s="242">
        <v>12</v>
      </c>
      <c r="M688" s="234">
        <v>21530</v>
      </c>
      <c r="N688" s="234">
        <v>18946.400000000001</v>
      </c>
      <c r="O688" s="243" t="s">
        <v>2252</v>
      </c>
      <c r="P688" s="236">
        <v>45926</v>
      </c>
    </row>
    <row r="689" spans="1:16" ht="51" customHeight="1">
      <c r="A689" s="239" t="s">
        <v>2208</v>
      </c>
      <c r="B689" s="240">
        <v>1842</v>
      </c>
      <c r="C689" s="241">
        <v>203</v>
      </c>
      <c r="D689" s="239" t="s">
        <v>591</v>
      </c>
      <c r="E689" s="239" t="s">
        <v>369</v>
      </c>
      <c r="F689" s="239" t="s">
        <v>370</v>
      </c>
      <c r="G689" s="239" t="s">
        <v>117</v>
      </c>
      <c r="H689" s="239" t="s">
        <v>51</v>
      </c>
      <c r="I689" s="239" t="s">
        <v>379</v>
      </c>
      <c r="J689" s="234">
        <v>36800</v>
      </c>
      <c r="K689" s="234">
        <v>15070</v>
      </c>
      <c r="L689" s="242">
        <v>7</v>
      </c>
      <c r="M689" s="234">
        <v>21730</v>
      </c>
      <c r="N689" s="234">
        <v>20208.900000000001</v>
      </c>
      <c r="O689" s="243" t="s">
        <v>2253</v>
      </c>
      <c r="P689" s="236">
        <v>45926</v>
      </c>
    </row>
    <row r="690" spans="1:16" ht="51" customHeight="1">
      <c r="A690" s="239" t="s">
        <v>2209</v>
      </c>
      <c r="B690" s="240">
        <v>1843</v>
      </c>
      <c r="C690" s="241">
        <v>204</v>
      </c>
      <c r="D690" s="239" t="s">
        <v>591</v>
      </c>
      <c r="E690" s="239" t="s">
        <v>377</v>
      </c>
      <c r="F690" s="239" t="s">
        <v>378</v>
      </c>
      <c r="G690" s="239" t="s">
        <v>117</v>
      </c>
      <c r="H690" s="239" t="s">
        <v>51</v>
      </c>
      <c r="I690" s="239" t="s">
        <v>379</v>
      </c>
      <c r="J690" s="234">
        <v>39100</v>
      </c>
      <c r="K690" s="234">
        <v>15090</v>
      </c>
      <c r="L690" s="242">
        <v>8</v>
      </c>
      <c r="M690" s="234">
        <v>24010</v>
      </c>
      <c r="N690" s="234">
        <v>22089.200000000001</v>
      </c>
      <c r="O690" s="243" t="s">
        <v>2254</v>
      </c>
      <c r="P690" s="236">
        <v>45927</v>
      </c>
    </row>
    <row r="691" spans="1:16" ht="51" customHeight="1">
      <c r="A691" s="239" t="s">
        <v>2210</v>
      </c>
      <c r="B691" s="240">
        <v>1846</v>
      </c>
      <c r="C691" s="241">
        <v>205</v>
      </c>
      <c r="D691" s="239" t="s">
        <v>591</v>
      </c>
      <c r="E691" s="239" t="s">
        <v>374</v>
      </c>
      <c r="F691" s="239" t="s">
        <v>375</v>
      </c>
      <c r="G691" s="239" t="s">
        <v>117</v>
      </c>
      <c r="H691" s="239" t="s">
        <v>51</v>
      </c>
      <c r="I691" s="239" t="s">
        <v>379</v>
      </c>
      <c r="J691" s="234">
        <v>37920</v>
      </c>
      <c r="K691" s="234">
        <v>15720</v>
      </c>
      <c r="L691" s="242">
        <v>11</v>
      </c>
      <c r="M691" s="234">
        <v>22200</v>
      </c>
      <c r="N691" s="234">
        <v>19758</v>
      </c>
      <c r="O691" s="243" t="s">
        <v>2255</v>
      </c>
      <c r="P691" s="236">
        <v>45927</v>
      </c>
    </row>
    <row r="692" spans="1:16" ht="51" customHeight="1">
      <c r="A692" s="239" t="s">
        <v>2211</v>
      </c>
      <c r="B692" s="240">
        <v>1847</v>
      </c>
      <c r="C692" s="241">
        <v>206</v>
      </c>
      <c r="D692" s="239" t="s">
        <v>591</v>
      </c>
      <c r="E692" s="239" t="s">
        <v>866</v>
      </c>
      <c r="F692" s="239" t="s">
        <v>867</v>
      </c>
      <c r="G692" s="239" t="s">
        <v>117</v>
      </c>
      <c r="H692" s="239" t="s">
        <v>51</v>
      </c>
      <c r="I692" s="239" t="s">
        <v>379</v>
      </c>
      <c r="J692" s="234">
        <v>37070</v>
      </c>
      <c r="K692" s="234">
        <v>14510</v>
      </c>
      <c r="L692" s="242">
        <v>8</v>
      </c>
      <c r="M692" s="234">
        <v>22560</v>
      </c>
      <c r="N692" s="234">
        <v>20755.2</v>
      </c>
      <c r="O692" s="243" t="s">
        <v>2256</v>
      </c>
      <c r="P692" s="236">
        <v>45927</v>
      </c>
    </row>
    <row r="693" spans="1:16" ht="51" customHeight="1">
      <c r="A693" s="239" t="s">
        <v>2212</v>
      </c>
      <c r="B693" s="240">
        <v>1848</v>
      </c>
      <c r="C693" s="241">
        <v>207</v>
      </c>
      <c r="D693" s="239" t="s">
        <v>591</v>
      </c>
      <c r="E693" s="239" t="s">
        <v>369</v>
      </c>
      <c r="F693" s="239" t="s">
        <v>370</v>
      </c>
      <c r="G693" s="239" t="s">
        <v>117</v>
      </c>
      <c r="H693" s="239" t="s">
        <v>51</v>
      </c>
      <c r="I693" s="239" t="s">
        <v>379</v>
      </c>
      <c r="J693" s="234">
        <v>36570</v>
      </c>
      <c r="K693" s="234">
        <v>15050</v>
      </c>
      <c r="L693" s="242">
        <v>10</v>
      </c>
      <c r="M693" s="234">
        <v>21520</v>
      </c>
      <c r="N693" s="234">
        <v>19368</v>
      </c>
      <c r="O693" s="243" t="s">
        <v>2257</v>
      </c>
      <c r="P693" s="236">
        <v>45927</v>
      </c>
    </row>
    <row r="694" spans="1:16" ht="51" customHeight="1">
      <c r="A694" s="239" t="s">
        <v>2213</v>
      </c>
      <c r="B694" s="240">
        <v>1849</v>
      </c>
      <c r="C694" s="241">
        <v>208</v>
      </c>
      <c r="D694" s="239" t="s">
        <v>591</v>
      </c>
      <c r="E694" s="239" t="s">
        <v>374</v>
      </c>
      <c r="F694" s="239" t="s">
        <v>375</v>
      </c>
      <c r="G694" s="239" t="s">
        <v>117</v>
      </c>
      <c r="H694" s="239" t="s">
        <v>51</v>
      </c>
      <c r="I694" s="239" t="s">
        <v>379</v>
      </c>
      <c r="J694" s="234">
        <v>39150</v>
      </c>
      <c r="K694" s="234">
        <v>15720</v>
      </c>
      <c r="L694" s="242">
        <v>9</v>
      </c>
      <c r="M694" s="234">
        <v>23430</v>
      </c>
      <c r="N694" s="234">
        <v>21321.3</v>
      </c>
      <c r="O694" s="243" t="s">
        <v>2258</v>
      </c>
      <c r="P694" s="236">
        <v>45927</v>
      </c>
    </row>
    <row r="695" spans="1:16" ht="51" customHeight="1">
      <c r="A695" s="239" t="s">
        <v>2214</v>
      </c>
      <c r="B695" s="240">
        <v>1850</v>
      </c>
      <c r="C695" s="241">
        <v>209</v>
      </c>
      <c r="D695" s="239" t="s">
        <v>591</v>
      </c>
      <c r="E695" s="239" t="s">
        <v>866</v>
      </c>
      <c r="F695" s="239" t="s">
        <v>867</v>
      </c>
      <c r="G695" s="239" t="s">
        <v>117</v>
      </c>
      <c r="H695" s="239" t="s">
        <v>51</v>
      </c>
      <c r="I695" s="239" t="s">
        <v>379</v>
      </c>
      <c r="J695" s="234">
        <v>36270</v>
      </c>
      <c r="K695" s="234">
        <v>14510</v>
      </c>
      <c r="L695" s="242">
        <v>8</v>
      </c>
      <c r="M695" s="234">
        <v>21760</v>
      </c>
      <c r="N695" s="234">
        <v>20019.2</v>
      </c>
      <c r="O695" s="243" t="s">
        <v>2259</v>
      </c>
      <c r="P695" s="236">
        <v>45927</v>
      </c>
    </row>
    <row r="696" spans="1:16" ht="51" customHeight="1">
      <c r="A696" s="239" t="s">
        <v>2215</v>
      </c>
      <c r="B696" s="240">
        <v>1852</v>
      </c>
      <c r="C696" s="241">
        <v>210</v>
      </c>
      <c r="D696" s="239" t="s">
        <v>591</v>
      </c>
      <c r="E696" s="239" t="s">
        <v>442</v>
      </c>
      <c r="F696" s="239" t="s">
        <v>443</v>
      </c>
      <c r="G696" s="239" t="s">
        <v>117</v>
      </c>
      <c r="H696" s="239" t="s">
        <v>51</v>
      </c>
      <c r="I696" s="239" t="s">
        <v>379</v>
      </c>
      <c r="J696" s="234">
        <v>33980</v>
      </c>
      <c r="K696" s="234">
        <v>14560</v>
      </c>
      <c r="L696" s="242">
        <v>14</v>
      </c>
      <c r="M696" s="234">
        <v>19420</v>
      </c>
      <c r="N696" s="234">
        <v>16701.2</v>
      </c>
      <c r="O696" s="243" t="s">
        <v>2260</v>
      </c>
      <c r="P696" s="236">
        <v>45927</v>
      </c>
    </row>
    <row r="697" spans="1:16" ht="51" customHeight="1">
      <c r="A697" s="239" t="s">
        <v>2216</v>
      </c>
      <c r="B697" s="240">
        <v>1854</v>
      </c>
      <c r="C697" s="241">
        <v>211</v>
      </c>
      <c r="D697" s="239" t="s">
        <v>591</v>
      </c>
      <c r="E697" s="239" t="s">
        <v>780</v>
      </c>
      <c r="F697" s="239" t="s">
        <v>781</v>
      </c>
      <c r="G697" s="239" t="s">
        <v>117</v>
      </c>
      <c r="H697" s="239" t="s">
        <v>51</v>
      </c>
      <c r="I697" s="239" t="s">
        <v>379</v>
      </c>
      <c r="J697" s="234">
        <v>34820</v>
      </c>
      <c r="K697" s="234">
        <v>14890</v>
      </c>
      <c r="L697" s="242">
        <v>18</v>
      </c>
      <c r="M697" s="234">
        <v>19930</v>
      </c>
      <c r="N697" s="234">
        <v>16342.6</v>
      </c>
      <c r="O697" s="243" t="s">
        <v>2261</v>
      </c>
      <c r="P697" s="236">
        <v>45927</v>
      </c>
    </row>
    <row r="698" spans="1:16" ht="51" customHeight="1">
      <c r="A698" s="239" t="s">
        <v>2217</v>
      </c>
      <c r="B698" s="240">
        <v>1856</v>
      </c>
      <c r="C698" s="241">
        <v>212</v>
      </c>
      <c r="D698" s="239" t="s">
        <v>591</v>
      </c>
      <c r="E698" s="239" t="s">
        <v>410</v>
      </c>
      <c r="F698" s="239" t="s">
        <v>411</v>
      </c>
      <c r="G698" s="239" t="s">
        <v>117</v>
      </c>
      <c r="H698" s="239" t="s">
        <v>51</v>
      </c>
      <c r="I698" s="239" t="s">
        <v>379</v>
      </c>
      <c r="J698" s="234">
        <v>36510</v>
      </c>
      <c r="K698" s="234">
        <v>15250</v>
      </c>
      <c r="L698" s="242">
        <v>21</v>
      </c>
      <c r="M698" s="234">
        <v>21260</v>
      </c>
      <c r="N698" s="234">
        <v>16795.400000000001</v>
      </c>
      <c r="O698" s="243" t="s">
        <v>2262</v>
      </c>
      <c r="P698" s="236">
        <v>45927</v>
      </c>
    </row>
    <row r="699" spans="1:16" ht="51" customHeight="1">
      <c r="A699" s="239" t="s">
        <v>2218</v>
      </c>
      <c r="B699" s="240">
        <v>1857</v>
      </c>
      <c r="C699" s="241">
        <v>213</v>
      </c>
      <c r="D699" s="239" t="s">
        <v>591</v>
      </c>
      <c r="E699" s="239" t="s">
        <v>372</v>
      </c>
      <c r="F699" s="239" t="s">
        <v>373</v>
      </c>
      <c r="G699" s="239" t="s">
        <v>117</v>
      </c>
      <c r="H699" s="239" t="s">
        <v>51</v>
      </c>
      <c r="I699" s="239" t="s">
        <v>379</v>
      </c>
      <c r="J699" s="234">
        <v>36110</v>
      </c>
      <c r="K699" s="234">
        <v>15090</v>
      </c>
      <c r="L699" s="242">
        <v>23</v>
      </c>
      <c r="M699" s="234">
        <v>21020</v>
      </c>
      <c r="N699" s="234">
        <v>16185.4</v>
      </c>
      <c r="O699" s="243" t="s">
        <v>2263</v>
      </c>
      <c r="P699" s="236">
        <v>45927</v>
      </c>
    </row>
    <row r="700" spans="1:16" ht="51" customHeight="1">
      <c r="A700" s="239" t="s">
        <v>2219</v>
      </c>
      <c r="B700" s="240">
        <v>1858</v>
      </c>
      <c r="C700" s="241">
        <v>214</v>
      </c>
      <c r="D700" s="239" t="s">
        <v>591</v>
      </c>
      <c r="E700" s="239" t="s">
        <v>442</v>
      </c>
      <c r="F700" s="239" t="s">
        <v>443</v>
      </c>
      <c r="G700" s="239" t="s">
        <v>117</v>
      </c>
      <c r="H700" s="239" t="s">
        <v>51</v>
      </c>
      <c r="I700" s="239" t="s">
        <v>379</v>
      </c>
      <c r="J700" s="234">
        <v>34360</v>
      </c>
      <c r="K700" s="234">
        <v>14550</v>
      </c>
      <c r="L700" s="242">
        <v>23</v>
      </c>
      <c r="M700" s="234">
        <v>19810</v>
      </c>
      <c r="N700" s="234">
        <v>15253.7</v>
      </c>
      <c r="O700" s="243" t="s">
        <v>2264</v>
      </c>
      <c r="P700" s="236">
        <v>45927</v>
      </c>
    </row>
    <row r="701" spans="1:16" ht="51" customHeight="1">
      <c r="A701" s="239" t="s">
        <v>2220</v>
      </c>
      <c r="B701" s="240">
        <v>1861</v>
      </c>
      <c r="C701" s="241">
        <v>215</v>
      </c>
      <c r="D701" s="239" t="s">
        <v>591</v>
      </c>
      <c r="E701" s="239" t="s">
        <v>780</v>
      </c>
      <c r="F701" s="239" t="s">
        <v>781</v>
      </c>
      <c r="G701" s="239" t="s">
        <v>117</v>
      </c>
      <c r="H701" s="239" t="s">
        <v>51</v>
      </c>
      <c r="I701" s="239" t="s">
        <v>379</v>
      </c>
      <c r="J701" s="234">
        <v>34830</v>
      </c>
      <c r="K701" s="234">
        <v>14880</v>
      </c>
      <c r="L701" s="242">
        <v>16</v>
      </c>
      <c r="M701" s="234">
        <v>19950</v>
      </c>
      <c r="N701" s="234">
        <v>16758</v>
      </c>
      <c r="O701" s="243" t="s">
        <v>2265</v>
      </c>
      <c r="P701" s="236">
        <v>45927</v>
      </c>
    </row>
    <row r="702" spans="1:16" ht="51" customHeight="1">
      <c r="A702" s="239" t="s">
        <v>2221</v>
      </c>
      <c r="B702" s="240">
        <v>1862</v>
      </c>
      <c r="C702" s="241">
        <v>216</v>
      </c>
      <c r="D702" s="239" t="s">
        <v>591</v>
      </c>
      <c r="E702" s="239" t="s">
        <v>410</v>
      </c>
      <c r="F702" s="239" t="s">
        <v>411</v>
      </c>
      <c r="G702" s="239" t="s">
        <v>117</v>
      </c>
      <c r="H702" s="239" t="s">
        <v>51</v>
      </c>
      <c r="I702" s="239" t="s">
        <v>379</v>
      </c>
      <c r="J702" s="234">
        <v>37530</v>
      </c>
      <c r="K702" s="234">
        <v>15230</v>
      </c>
      <c r="L702" s="242">
        <v>14</v>
      </c>
      <c r="M702" s="234">
        <v>22300</v>
      </c>
      <c r="N702" s="234">
        <v>19178</v>
      </c>
      <c r="O702" s="243" t="s">
        <v>2266</v>
      </c>
      <c r="P702" s="236">
        <v>45927</v>
      </c>
    </row>
    <row r="703" spans="1:16" ht="51" customHeight="1">
      <c r="A703" s="239" t="s">
        <v>2222</v>
      </c>
      <c r="B703" s="240">
        <v>1863</v>
      </c>
      <c r="C703" s="241">
        <v>217</v>
      </c>
      <c r="D703" s="239" t="s">
        <v>591</v>
      </c>
      <c r="E703" s="239" t="s">
        <v>372</v>
      </c>
      <c r="F703" s="239" t="s">
        <v>373</v>
      </c>
      <c r="G703" s="239" t="s">
        <v>117</v>
      </c>
      <c r="H703" s="239" t="s">
        <v>51</v>
      </c>
      <c r="I703" s="239" t="s">
        <v>379</v>
      </c>
      <c r="J703" s="234">
        <v>34840</v>
      </c>
      <c r="K703" s="234">
        <v>15070</v>
      </c>
      <c r="L703" s="242">
        <v>22</v>
      </c>
      <c r="M703" s="234">
        <v>19770</v>
      </c>
      <c r="N703" s="234">
        <v>15420.6</v>
      </c>
      <c r="O703" s="243" t="s">
        <v>2267</v>
      </c>
      <c r="P703" s="236">
        <v>45927</v>
      </c>
    </row>
    <row r="704" spans="1:16" ht="51" customHeight="1">
      <c r="A704" s="239" t="s">
        <v>2223</v>
      </c>
      <c r="B704" s="240">
        <v>1864</v>
      </c>
      <c r="C704" s="241">
        <v>218</v>
      </c>
      <c r="D704" s="239" t="s">
        <v>591</v>
      </c>
      <c r="E704" s="239" t="s">
        <v>442</v>
      </c>
      <c r="F704" s="239" t="s">
        <v>443</v>
      </c>
      <c r="G704" s="239" t="s">
        <v>117</v>
      </c>
      <c r="H704" s="239" t="s">
        <v>51</v>
      </c>
      <c r="I704" s="239" t="s">
        <v>379</v>
      </c>
      <c r="J704" s="234">
        <v>34370</v>
      </c>
      <c r="K704" s="234">
        <v>14550</v>
      </c>
      <c r="L704" s="242">
        <v>19</v>
      </c>
      <c r="M704" s="234">
        <v>19820</v>
      </c>
      <c r="N704" s="234">
        <v>16054.2</v>
      </c>
      <c r="O704" s="243" t="s">
        <v>2268</v>
      </c>
      <c r="P704" s="236">
        <v>45927</v>
      </c>
    </row>
    <row r="705" spans="1:16" ht="51" customHeight="1">
      <c r="A705" s="239" t="s">
        <v>2224</v>
      </c>
      <c r="B705" s="240">
        <v>1865</v>
      </c>
      <c r="C705" s="241">
        <v>219</v>
      </c>
      <c r="D705" s="239" t="s">
        <v>591</v>
      </c>
      <c r="E705" s="239" t="s">
        <v>780</v>
      </c>
      <c r="F705" s="239" t="s">
        <v>781</v>
      </c>
      <c r="G705" s="239" t="s">
        <v>117</v>
      </c>
      <c r="H705" s="239" t="s">
        <v>51</v>
      </c>
      <c r="I705" s="239" t="s">
        <v>379</v>
      </c>
      <c r="J705" s="234">
        <v>35060</v>
      </c>
      <c r="K705" s="234">
        <v>14880</v>
      </c>
      <c r="L705" s="242">
        <v>18</v>
      </c>
      <c r="M705" s="234">
        <v>20180</v>
      </c>
      <c r="N705" s="234">
        <v>16547.599999999999</v>
      </c>
      <c r="O705" s="243" t="s">
        <v>2269</v>
      </c>
      <c r="P705" s="236">
        <v>45927</v>
      </c>
    </row>
    <row r="706" spans="1:16" ht="51" customHeight="1">
      <c r="A706" s="239" t="s">
        <v>2225</v>
      </c>
      <c r="B706" s="240">
        <v>1867</v>
      </c>
      <c r="C706" s="241">
        <v>220</v>
      </c>
      <c r="D706" s="239" t="s">
        <v>591</v>
      </c>
      <c r="E706" s="239" t="s">
        <v>410</v>
      </c>
      <c r="F706" s="239" t="s">
        <v>411</v>
      </c>
      <c r="G706" s="239" t="s">
        <v>117</v>
      </c>
      <c r="H706" s="239" t="s">
        <v>51</v>
      </c>
      <c r="I706" s="239" t="s">
        <v>379</v>
      </c>
      <c r="J706" s="234">
        <v>37830</v>
      </c>
      <c r="K706" s="234">
        <v>15230</v>
      </c>
      <c r="L706" s="242">
        <v>20</v>
      </c>
      <c r="M706" s="234">
        <v>22600</v>
      </c>
      <c r="N706" s="234">
        <v>18080</v>
      </c>
      <c r="O706" s="243" t="s">
        <v>2270</v>
      </c>
      <c r="P706" s="236">
        <v>45927</v>
      </c>
    </row>
    <row r="707" spans="1:16" ht="51" customHeight="1">
      <c r="A707" s="239" t="s">
        <v>2226</v>
      </c>
      <c r="B707" s="240">
        <v>1868</v>
      </c>
      <c r="C707" s="241">
        <v>221</v>
      </c>
      <c r="D707" s="239" t="s">
        <v>591</v>
      </c>
      <c r="E707" s="239" t="s">
        <v>372</v>
      </c>
      <c r="F707" s="239" t="s">
        <v>373</v>
      </c>
      <c r="G707" s="239" t="s">
        <v>117</v>
      </c>
      <c r="H707" s="239" t="s">
        <v>51</v>
      </c>
      <c r="I707" s="239" t="s">
        <v>379</v>
      </c>
      <c r="J707" s="234">
        <v>36440</v>
      </c>
      <c r="K707" s="234">
        <v>15070</v>
      </c>
      <c r="L707" s="242">
        <v>16</v>
      </c>
      <c r="M707" s="234">
        <v>21370</v>
      </c>
      <c r="N707" s="234">
        <v>17950.8</v>
      </c>
      <c r="O707" s="243" t="s">
        <v>2271</v>
      </c>
      <c r="P707" s="236">
        <v>45927</v>
      </c>
    </row>
    <row r="708" spans="1:16" ht="51" customHeight="1">
      <c r="A708" s="239" t="s">
        <v>2227</v>
      </c>
      <c r="B708" s="240">
        <v>1869</v>
      </c>
      <c r="C708" s="241">
        <v>222</v>
      </c>
      <c r="D708" s="239" t="s">
        <v>591</v>
      </c>
      <c r="E708" s="239" t="s">
        <v>442</v>
      </c>
      <c r="F708" s="239" t="s">
        <v>443</v>
      </c>
      <c r="G708" s="239" t="s">
        <v>117</v>
      </c>
      <c r="H708" s="239" t="s">
        <v>51</v>
      </c>
      <c r="I708" s="239" t="s">
        <v>379</v>
      </c>
      <c r="J708" s="234">
        <v>34030</v>
      </c>
      <c r="K708" s="234">
        <v>14520</v>
      </c>
      <c r="L708" s="242">
        <v>20</v>
      </c>
      <c r="M708" s="234">
        <v>19510</v>
      </c>
      <c r="N708" s="234">
        <v>15608</v>
      </c>
      <c r="O708" s="243" t="s">
        <v>2272</v>
      </c>
      <c r="P708" s="236">
        <v>45927</v>
      </c>
    </row>
    <row r="709" spans="1:16" ht="51" customHeight="1">
      <c r="A709" s="239" t="s">
        <v>2228</v>
      </c>
      <c r="B709" s="240">
        <v>1870</v>
      </c>
      <c r="C709" s="241">
        <v>223</v>
      </c>
      <c r="D709" s="239" t="s">
        <v>591</v>
      </c>
      <c r="E709" s="239" t="s">
        <v>780</v>
      </c>
      <c r="F709" s="239" t="s">
        <v>781</v>
      </c>
      <c r="G709" s="239" t="s">
        <v>117</v>
      </c>
      <c r="H709" s="239" t="s">
        <v>51</v>
      </c>
      <c r="I709" s="239" t="s">
        <v>379</v>
      </c>
      <c r="J709" s="234">
        <v>34410</v>
      </c>
      <c r="K709" s="234">
        <v>14860</v>
      </c>
      <c r="L709" s="242">
        <v>16</v>
      </c>
      <c r="M709" s="234">
        <v>19550</v>
      </c>
      <c r="N709" s="234">
        <v>16422</v>
      </c>
      <c r="O709" s="243" t="s">
        <v>2273</v>
      </c>
      <c r="P709" s="236">
        <v>45927</v>
      </c>
    </row>
    <row r="710" spans="1:16" ht="51" customHeight="1">
      <c r="A710" s="239" t="s">
        <v>2229</v>
      </c>
      <c r="B710" s="240">
        <v>1871</v>
      </c>
      <c r="C710" s="241">
        <v>224</v>
      </c>
      <c r="D710" s="239" t="s">
        <v>591</v>
      </c>
      <c r="E710" s="239" t="s">
        <v>410</v>
      </c>
      <c r="F710" s="239" t="s">
        <v>411</v>
      </c>
      <c r="G710" s="239" t="s">
        <v>117</v>
      </c>
      <c r="H710" s="239" t="s">
        <v>51</v>
      </c>
      <c r="I710" s="239" t="s">
        <v>379</v>
      </c>
      <c r="J710" s="234">
        <v>33930</v>
      </c>
      <c r="K710" s="234">
        <v>15210</v>
      </c>
      <c r="L710" s="242">
        <v>16</v>
      </c>
      <c r="M710" s="234">
        <v>18720</v>
      </c>
      <c r="N710" s="234">
        <v>15724.8</v>
      </c>
      <c r="O710" s="243" t="s">
        <v>2274</v>
      </c>
      <c r="P710" s="236">
        <v>45927</v>
      </c>
    </row>
    <row r="711" spans="1:16" ht="51" customHeight="1">
      <c r="A711" s="239" t="s">
        <v>2231</v>
      </c>
      <c r="B711" s="240">
        <v>1875</v>
      </c>
      <c r="C711" s="241">
        <v>226</v>
      </c>
      <c r="D711" s="239" t="s">
        <v>591</v>
      </c>
      <c r="E711" s="239" t="s">
        <v>442</v>
      </c>
      <c r="F711" s="239" t="s">
        <v>443</v>
      </c>
      <c r="G711" s="239" t="s">
        <v>117</v>
      </c>
      <c r="H711" s="239" t="s">
        <v>51</v>
      </c>
      <c r="I711" s="239" t="s">
        <v>379</v>
      </c>
      <c r="J711" s="234">
        <v>33100</v>
      </c>
      <c r="K711" s="234">
        <v>14530</v>
      </c>
      <c r="L711" s="242">
        <v>6</v>
      </c>
      <c r="M711" s="234">
        <v>18570</v>
      </c>
      <c r="N711" s="234">
        <v>17455.8</v>
      </c>
      <c r="O711" s="243" t="s">
        <v>2276</v>
      </c>
      <c r="P711" s="236">
        <v>45927</v>
      </c>
    </row>
    <row r="712" spans="1:16" ht="51" customHeight="1">
      <c r="A712" s="239" t="s">
        <v>2232</v>
      </c>
      <c r="B712" s="240">
        <v>1876</v>
      </c>
      <c r="C712" s="241">
        <v>227</v>
      </c>
      <c r="D712" s="239" t="s">
        <v>591</v>
      </c>
      <c r="E712" s="239" t="s">
        <v>780</v>
      </c>
      <c r="F712" s="239" t="s">
        <v>781</v>
      </c>
      <c r="G712" s="239" t="s">
        <v>117</v>
      </c>
      <c r="H712" s="239" t="s">
        <v>51</v>
      </c>
      <c r="I712" s="239" t="s">
        <v>379</v>
      </c>
      <c r="J712" s="234">
        <v>34630</v>
      </c>
      <c r="K712" s="234">
        <v>14860</v>
      </c>
      <c r="L712" s="242">
        <v>8</v>
      </c>
      <c r="M712" s="234">
        <v>19770</v>
      </c>
      <c r="N712" s="234">
        <v>18188.400000000001</v>
      </c>
      <c r="O712" s="243" t="s">
        <v>2277</v>
      </c>
      <c r="P712" s="236">
        <v>45927</v>
      </c>
    </row>
    <row r="713" spans="1:16" ht="51" customHeight="1">
      <c r="A713" s="239" t="s">
        <v>2233</v>
      </c>
      <c r="B713" s="240">
        <v>1877</v>
      </c>
      <c r="C713" s="241">
        <v>228</v>
      </c>
      <c r="D713" s="239" t="s">
        <v>591</v>
      </c>
      <c r="E713" s="239" t="s">
        <v>410</v>
      </c>
      <c r="F713" s="239" t="s">
        <v>411</v>
      </c>
      <c r="G713" s="239" t="s">
        <v>117</v>
      </c>
      <c r="H713" s="239" t="s">
        <v>51</v>
      </c>
      <c r="I713" s="239" t="s">
        <v>379</v>
      </c>
      <c r="J713" s="234">
        <v>35390</v>
      </c>
      <c r="K713" s="234">
        <v>15230</v>
      </c>
      <c r="L713" s="242">
        <v>10</v>
      </c>
      <c r="M713" s="234">
        <v>20160</v>
      </c>
      <c r="N713" s="234">
        <v>18144</v>
      </c>
      <c r="O713" s="243" t="s">
        <v>2278</v>
      </c>
      <c r="P713" s="236">
        <v>45927</v>
      </c>
    </row>
    <row r="714" spans="1:16" ht="51" customHeight="1">
      <c r="A714" s="239" t="s">
        <v>2234</v>
      </c>
      <c r="B714" s="240">
        <v>1878</v>
      </c>
      <c r="C714" s="241">
        <v>229</v>
      </c>
      <c r="D714" s="239" t="s">
        <v>591</v>
      </c>
      <c r="E714" s="239" t="s">
        <v>372</v>
      </c>
      <c r="F714" s="239" t="s">
        <v>373</v>
      </c>
      <c r="G714" s="239" t="s">
        <v>117</v>
      </c>
      <c r="H714" s="239" t="s">
        <v>51</v>
      </c>
      <c r="I714" s="239" t="s">
        <v>379</v>
      </c>
      <c r="J714" s="234">
        <v>36180</v>
      </c>
      <c r="K714" s="234">
        <v>15050</v>
      </c>
      <c r="L714" s="242">
        <v>6</v>
      </c>
      <c r="M714" s="234">
        <v>21130</v>
      </c>
      <c r="N714" s="234">
        <v>19862.2</v>
      </c>
      <c r="O714" s="243" t="s">
        <v>2279</v>
      </c>
      <c r="P714" s="236">
        <v>45927</v>
      </c>
    </row>
    <row r="715" spans="1:16" ht="51" customHeight="1">
      <c r="A715" s="239" t="s">
        <v>2235</v>
      </c>
      <c r="B715" s="240">
        <v>1879</v>
      </c>
      <c r="C715" s="241">
        <v>230</v>
      </c>
      <c r="D715" s="239" t="s">
        <v>591</v>
      </c>
      <c r="E715" s="239" t="s">
        <v>442</v>
      </c>
      <c r="F715" s="239" t="s">
        <v>443</v>
      </c>
      <c r="G715" s="239" t="s">
        <v>117</v>
      </c>
      <c r="H715" s="239" t="s">
        <v>51</v>
      </c>
      <c r="I715" s="239" t="s">
        <v>379</v>
      </c>
      <c r="J715" s="234">
        <v>33520</v>
      </c>
      <c r="K715" s="234">
        <v>14510</v>
      </c>
      <c r="L715" s="242">
        <v>22</v>
      </c>
      <c r="M715" s="234">
        <v>19010</v>
      </c>
      <c r="N715" s="234">
        <v>14827.8</v>
      </c>
      <c r="O715" s="243" t="s">
        <v>2280</v>
      </c>
      <c r="P715" s="236">
        <v>45928</v>
      </c>
    </row>
    <row r="716" spans="1:16" ht="51" customHeight="1">
      <c r="A716" s="239" t="s">
        <v>2236</v>
      </c>
      <c r="B716" s="240">
        <v>1881</v>
      </c>
      <c r="C716" s="241">
        <v>231</v>
      </c>
      <c r="D716" s="239" t="s">
        <v>591</v>
      </c>
      <c r="E716" s="239" t="s">
        <v>780</v>
      </c>
      <c r="F716" s="239" t="s">
        <v>781</v>
      </c>
      <c r="G716" s="239" t="s">
        <v>117</v>
      </c>
      <c r="H716" s="239" t="s">
        <v>51</v>
      </c>
      <c r="I716" s="239" t="s">
        <v>379</v>
      </c>
      <c r="J716" s="234">
        <v>34290</v>
      </c>
      <c r="K716" s="234">
        <v>14850</v>
      </c>
      <c r="L716" s="242">
        <v>14</v>
      </c>
      <c r="M716" s="234">
        <v>19440</v>
      </c>
      <c r="N716" s="234">
        <v>16718.400000000001</v>
      </c>
      <c r="O716" s="243" t="s">
        <v>2281</v>
      </c>
      <c r="P716" s="236">
        <v>45928</v>
      </c>
    </row>
    <row r="717" spans="1:16" ht="51" customHeight="1">
      <c r="A717" s="239" t="s">
        <v>2230</v>
      </c>
      <c r="B717" s="240">
        <v>1874</v>
      </c>
      <c r="C717" s="241">
        <v>225</v>
      </c>
      <c r="D717" s="239" t="s">
        <v>591</v>
      </c>
      <c r="E717" s="239" t="s">
        <v>372</v>
      </c>
      <c r="F717" s="239" t="s">
        <v>373</v>
      </c>
      <c r="G717" s="239" t="s">
        <v>117</v>
      </c>
      <c r="H717" s="239" t="s">
        <v>51</v>
      </c>
      <c r="I717" s="239" t="s">
        <v>379</v>
      </c>
      <c r="J717" s="234">
        <v>37910</v>
      </c>
      <c r="K717" s="234">
        <v>15050</v>
      </c>
      <c r="L717" s="242">
        <v>21</v>
      </c>
      <c r="M717" s="234">
        <v>22860</v>
      </c>
      <c r="N717" s="234">
        <v>18059.400000000001</v>
      </c>
      <c r="O717" s="243" t="s">
        <v>2275</v>
      </c>
      <c r="P717" s="236">
        <v>45927</v>
      </c>
    </row>
    <row r="718" spans="1:16" ht="51" customHeight="1">
      <c r="A718" s="239" t="s">
        <v>2303</v>
      </c>
      <c r="B718" s="240">
        <v>1917</v>
      </c>
      <c r="C718" s="241">
        <v>253</v>
      </c>
      <c r="D718" s="239" t="s">
        <v>591</v>
      </c>
      <c r="E718" s="239" t="s">
        <v>369</v>
      </c>
      <c r="F718" s="239" t="s">
        <v>370</v>
      </c>
      <c r="G718" s="239" t="s">
        <v>968</v>
      </c>
      <c r="H718" s="239" t="s">
        <v>394</v>
      </c>
      <c r="I718" s="239" t="s">
        <v>371</v>
      </c>
      <c r="J718" s="234">
        <v>34200</v>
      </c>
      <c r="K718" s="234">
        <v>15090</v>
      </c>
      <c r="L718" s="242">
        <v>16</v>
      </c>
      <c r="M718" s="234">
        <v>19110</v>
      </c>
      <c r="N718" s="234">
        <v>16052.4</v>
      </c>
      <c r="O718" s="243" t="s">
        <v>2337</v>
      </c>
      <c r="P718" s="236">
        <v>45929</v>
      </c>
    </row>
    <row r="719" spans="1:16" ht="51" customHeight="1">
      <c r="A719" s="239" t="s">
        <v>2304</v>
      </c>
      <c r="B719" s="240">
        <v>1921</v>
      </c>
      <c r="C719" s="241">
        <v>54990</v>
      </c>
      <c r="D719" s="239" t="s">
        <v>2152</v>
      </c>
      <c r="E719" s="239" t="s">
        <v>866</v>
      </c>
      <c r="F719" s="239" t="s">
        <v>867</v>
      </c>
      <c r="G719" s="239" t="s">
        <v>946</v>
      </c>
      <c r="H719" s="239" t="s">
        <v>51</v>
      </c>
      <c r="I719" s="239" t="s">
        <v>2153</v>
      </c>
      <c r="J719" s="234">
        <v>38510</v>
      </c>
      <c r="K719" s="234">
        <v>14580</v>
      </c>
      <c r="L719" s="242">
        <v>5</v>
      </c>
      <c r="M719" s="234">
        <v>23930</v>
      </c>
      <c r="N719" s="234">
        <v>22733.5</v>
      </c>
      <c r="O719" s="243" t="s">
        <v>2338</v>
      </c>
      <c r="P719" s="236">
        <v>45929</v>
      </c>
    </row>
    <row r="720" spans="1:16" ht="51" customHeight="1">
      <c r="A720" s="239" t="s">
        <v>2305</v>
      </c>
      <c r="B720" s="240">
        <v>1922</v>
      </c>
      <c r="C720" s="241">
        <v>54991</v>
      </c>
      <c r="D720" s="239" t="s">
        <v>2152</v>
      </c>
      <c r="E720" s="239" t="s">
        <v>372</v>
      </c>
      <c r="F720" s="239" t="s">
        <v>373</v>
      </c>
      <c r="G720" s="239" t="s">
        <v>946</v>
      </c>
      <c r="H720" s="239" t="s">
        <v>51</v>
      </c>
      <c r="I720" s="239" t="s">
        <v>2153</v>
      </c>
      <c r="J720" s="234">
        <v>38390</v>
      </c>
      <c r="K720" s="234">
        <v>14970</v>
      </c>
      <c r="L720" s="242">
        <v>6</v>
      </c>
      <c r="M720" s="234">
        <v>23420</v>
      </c>
      <c r="N720" s="234">
        <v>22014.799999999999</v>
      </c>
      <c r="O720" s="243" t="s">
        <v>2339</v>
      </c>
      <c r="P720" s="236">
        <v>45929</v>
      </c>
    </row>
    <row r="721" spans="1:16" ht="51" customHeight="1">
      <c r="A721" s="239" t="s">
        <v>2306</v>
      </c>
      <c r="B721" s="240">
        <v>1923</v>
      </c>
      <c r="C721" s="241">
        <v>54992</v>
      </c>
      <c r="D721" s="239" t="s">
        <v>2152</v>
      </c>
      <c r="E721" s="239" t="s">
        <v>374</v>
      </c>
      <c r="F721" s="239" t="s">
        <v>375</v>
      </c>
      <c r="G721" s="239" t="s">
        <v>946</v>
      </c>
      <c r="H721" s="239" t="s">
        <v>51</v>
      </c>
      <c r="I721" s="239" t="s">
        <v>2153</v>
      </c>
      <c r="J721" s="234">
        <v>40940</v>
      </c>
      <c r="K721" s="234">
        <v>15730</v>
      </c>
      <c r="L721" s="242">
        <v>6</v>
      </c>
      <c r="M721" s="234">
        <v>25210</v>
      </c>
      <c r="N721" s="234">
        <v>23697.4</v>
      </c>
      <c r="O721" s="243" t="s">
        <v>2340</v>
      </c>
      <c r="P721" s="236">
        <v>45929</v>
      </c>
    </row>
    <row r="722" spans="1:16" ht="51" customHeight="1">
      <c r="A722" s="239" t="s">
        <v>2282</v>
      </c>
      <c r="B722" s="240">
        <v>1882</v>
      </c>
      <c r="C722" s="241">
        <v>232</v>
      </c>
      <c r="D722" s="239" t="s">
        <v>591</v>
      </c>
      <c r="E722" s="239" t="s">
        <v>410</v>
      </c>
      <c r="F722" s="239" t="s">
        <v>411</v>
      </c>
      <c r="G722" s="239" t="s">
        <v>969</v>
      </c>
      <c r="H722" s="239" t="s">
        <v>41</v>
      </c>
      <c r="I722" s="239" t="s">
        <v>379</v>
      </c>
      <c r="J722" s="234">
        <v>36800</v>
      </c>
      <c r="K722" s="234">
        <v>15180</v>
      </c>
      <c r="L722" s="242">
        <v>24</v>
      </c>
      <c r="M722" s="234">
        <v>21620</v>
      </c>
      <c r="N722" s="234">
        <v>16431.2</v>
      </c>
      <c r="O722" s="243" t="s">
        <v>2316</v>
      </c>
      <c r="P722" s="236">
        <v>45928</v>
      </c>
    </row>
    <row r="723" spans="1:16" ht="51" customHeight="1">
      <c r="A723" s="239" t="s">
        <v>2283</v>
      </c>
      <c r="B723" s="240">
        <v>1883</v>
      </c>
      <c r="C723" s="241">
        <v>233</v>
      </c>
      <c r="D723" s="239" t="s">
        <v>591</v>
      </c>
      <c r="E723" s="239" t="s">
        <v>372</v>
      </c>
      <c r="F723" s="239" t="s">
        <v>373</v>
      </c>
      <c r="G723" s="239" t="s">
        <v>969</v>
      </c>
      <c r="H723" s="239" t="s">
        <v>41</v>
      </c>
      <c r="I723" s="239" t="s">
        <v>379</v>
      </c>
      <c r="J723" s="234">
        <v>36630</v>
      </c>
      <c r="K723" s="234">
        <v>15020</v>
      </c>
      <c r="L723" s="242">
        <v>15</v>
      </c>
      <c r="M723" s="234">
        <v>21610</v>
      </c>
      <c r="N723" s="234">
        <v>18368.5</v>
      </c>
      <c r="O723" s="243" t="s">
        <v>2317</v>
      </c>
      <c r="P723" s="236">
        <v>45928</v>
      </c>
    </row>
    <row r="724" spans="1:16" ht="51" customHeight="1">
      <c r="A724" s="239" t="s">
        <v>2307</v>
      </c>
      <c r="B724" s="240">
        <v>1924</v>
      </c>
      <c r="C724" s="241">
        <v>54992</v>
      </c>
      <c r="D724" s="239" t="s">
        <v>2152</v>
      </c>
      <c r="E724" s="239" t="s">
        <v>382</v>
      </c>
      <c r="F724" s="239" t="s">
        <v>383</v>
      </c>
      <c r="G724" s="239" t="s">
        <v>946</v>
      </c>
      <c r="H724" s="239" t="s">
        <v>51</v>
      </c>
      <c r="I724" s="239" t="s">
        <v>2153</v>
      </c>
      <c r="J724" s="234">
        <v>39870</v>
      </c>
      <c r="K724" s="234">
        <v>14700</v>
      </c>
      <c r="L724" s="242">
        <v>6</v>
      </c>
      <c r="M724" s="234">
        <v>25170</v>
      </c>
      <c r="N724" s="234">
        <v>23659.8</v>
      </c>
      <c r="O724" s="243" t="s">
        <v>2341</v>
      </c>
      <c r="P724" s="236">
        <v>45929</v>
      </c>
    </row>
    <row r="725" spans="1:16" ht="51" customHeight="1">
      <c r="A725" s="239" t="s">
        <v>2284</v>
      </c>
      <c r="B725" s="240">
        <v>1884</v>
      </c>
      <c r="C725" s="241">
        <v>234</v>
      </c>
      <c r="D725" s="239" t="s">
        <v>591</v>
      </c>
      <c r="E725" s="239" t="s">
        <v>442</v>
      </c>
      <c r="F725" s="239" t="s">
        <v>443</v>
      </c>
      <c r="G725" s="239" t="s">
        <v>969</v>
      </c>
      <c r="H725" s="239" t="s">
        <v>41</v>
      </c>
      <c r="I725" s="239" t="s">
        <v>379</v>
      </c>
      <c r="J725" s="234">
        <v>33650</v>
      </c>
      <c r="K725" s="234">
        <v>14490</v>
      </c>
      <c r="L725" s="242">
        <v>24</v>
      </c>
      <c r="M725" s="234">
        <v>19160</v>
      </c>
      <c r="N725" s="234">
        <v>14561.6</v>
      </c>
      <c r="O725" s="243" t="s">
        <v>2318</v>
      </c>
      <c r="P725" s="236">
        <v>45928</v>
      </c>
    </row>
    <row r="726" spans="1:16" ht="51" customHeight="1">
      <c r="A726" s="239" t="s">
        <v>2285</v>
      </c>
      <c r="B726" s="240">
        <v>1885</v>
      </c>
      <c r="C726" s="241">
        <v>235</v>
      </c>
      <c r="D726" s="239" t="s">
        <v>591</v>
      </c>
      <c r="E726" s="239" t="s">
        <v>780</v>
      </c>
      <c r="F726" s="239" t="s">
        <v>781</v>
      </c>
      <c r="G726" s="239" t="s">
        <v>969</v>
      </c>
      <c r="H726" s="239" t="s">
        <v>41</v>
      </c>
      <c r="I726" s="239" t="s">
        <v>379</v>
      </c>
      <c r="J726" s="234">
        <v>33770</v>
      </c>
      <c r="K726" s="234">
        <v>14840</v>
      </c>
      <c r="L726" s="242">
        <v>24</v>
      </c>
      <c r="M726" s="234">
        <v>18930</v>
      </c>
      <c r="N726" s="234">
        <v>14386.8</v>
      </c>
      <c r="O726" s="243" t="s">
        <v>2319</v>
      </c>
      <c r="P726" s="236">
        <v>45928</v>
      </c>
    </row>
    <row r="727" spans="1:16" ht="51" customHeight="1">
      <c r="A727" s="239" t="s">
        <v>2286</v>
      </c>
      <c r="B727" s="240">
        <v>1886</v>
      </c>
      <c r="C727" s="241">
        <v>236</v>
      </c>
      <c r="D727" s="239" t="s">
        <v>591</v>
      </c>
      <c r="E727" s="239" t="s">
        <v>410</v>
      </c>
      <c r="F727" s="239" t="s">
        <v>411</v>
      </c>
      <c r="G727" s="239" t="s">
        <v>969</v>
      </c>
      <c r="H727" s="239" t="s">
        <v>41</v>
      </c>
      <c r="I727" s="239" t="s">
        <v>379</v>
      </c>
      <c r="J727" s="234">
        <v>38150</v>
      </c>
      <c r="K727" s="234">
        <v>15170</v>
      </c>
      <c r="L727" s="242">
        <v>23</v>
      </c>
      <c r="M727" s="234">
        <v>22980</v>
      </c>
      <c r="N727" s="234">
        <v>17694.599999999999</v>
      </c>
      <c r="O727" s="243" t="s">
        <v>2320</v>
      </c>
      <c r="P727" s="236">
        <v>45928</v>
      </c>
    </row>
    <row r="728" spans="1:16" ht="51" customHeight="1">
      <c r="A728" s="239" t="s">
        <v>2302</v>
      </c>
      <c r="B728" s="240">
        <v>1915</v>
      </c>
      <c r="C728" s="241">
        <v>252</v>
      </c>
      <c r="D728" s="239" t="s">
        <v>591</v>
      </c>
      <c r="E728" s="239" t="s">
        <v>384</v>
      </c>
      <c r="F728" s="239" t="s">
        <v>385</v>
      </c>
      <c r="G728" s="239" t="s">
        <v>969</v>
      </c>
      <c r="H728" s="239" t="s">
        <v>41</v>
      </c>
      <c r="I728" s="239" t="s">
        <v>379</v>
      </c>
      <c r="J728" s="234">
        <v>27540</v>
      </c>
      <c r="K728" s="234">
        <v>14050</v>
      </c>
      <c r="L728" s="242">
        <v>28</v>
      </c>
      <c r="M728" s="234">
        <v>13490</v>
      </c>
      <c r="N728" s="234">
        <v>9712.7999999999993</v>
      </c>
      <c r="O728" s="243" t="s">
        <v>2336</v>
      </c>
      <c r="P728" s="236">
        <v>45928</v>
      </c>
    </row>
    <row r="729" spans="1:16" ht="51" customHeight="1">
      <c r="A729" s="239" t="s">
        <v>2287</v>
      </c>
      <c r="B729" s="240">
        <v>1888</v>
      </c>
      <c r="C729" s="241">
        <v>237</v>
      </c>
      <c r="D729" s="239" t="s">
        <v>591</v>
      </c>
      <c r="E729" s="239" t="s">
        <v>372</v>
      </c>
      <c r="F729" s="239" t="s">
        <v>373</v>
      </c>
      <c r="G729" s="239" t="s">
        <v>969</v>
      </c>
      <c r="H729" s="239" t="s">
        <v>41</v>
      </c>
      <c r="I729" s="239" t="s">
        <v>379</v>
      </c>
      <c r="J729" s="234">
        <v>36220</v>
      </c>
      <c r="K729" s="234">
        <v>15010</v>
      </c>
      <c r="L729" s="242">
        <v>34</v>
      </c>
      <c r="M729" s="234">
        <v>21210</v>
      </c>
      <c r="N729" s="234">
        <v>13998.6</v>
      </c>
      <c r="O729" s="243" t="s">
        <v>2321</v>
      </c>
      <c r="P729" s="236">
        <v>45928</v>
      </c>
    </row>
    <row r="730" spans="1:16" ht="51" customHeight="1">
      <c r="A730" s="239" t="s">
        <v>2288</v>
      </c>
      <c r="B730" s="240">
        <v>1890</v>
      </c>
      <c r="C730" s="241">
        <v>238</v>
      </c>
      <c r="D730" s="239" t="s">
        <v>591</v>
      </c>
      <c r="E730" s="239" t="s">
        <v>400</v>
      </c>
      <c r="F730" s="239" t="s">
        <v>401</v>
      </c>
      <c r="G730" s="239" t="s">
        <v>969</v>
      </c>
      <c r="H730" s="239" t="s">
        <v>41</v>
      </c>
      <c r="I730" s="239" t="s">
        <v>379</v>
      </c>
      <c r="J730" s="234">
        <v>36180</v>
      </c>
      <c r="K730" s="234">
        <v>14810</v>
      </c>
      <c r="L730" s="242">
        <v>27</v>
      </c>
      <c r="M730" s="234">
        <v>21370</v>
      </c>
      <c r="N730" s="234">
        <v>15600.1</v>
      </c>
      <c r="O730" s="243" t="s">
        <v>2322</v>
      </c>
      <c r="P730" s="236">
        <v>45928</v>
      </c>
    </row>
    <row r="731" spans="1:16" ht="51" customHeight="1">
      <c r="A731" s="239" t="s">
        <v>2301</v>
      </c>
      <c r="B731" s="240">
        <v>1914</v>
      </c>
      <c r="C731" s="241">
        <v>251</v>
      </c>
      <c r="D731" s="239" t="s">
        <v>591</v>
      </c>
      <c r="E731" s="239" t="s">
        <v>380</v>
      </c>
      <c r="F731" s="239" t="s">
        <v>381</v>
      </c>
      <c r="G731" s="239" t="s">
        <v>969</v>
      </c>
      <c r="H731" s="239" t="s">
        <v>41</v>
      </c>
      <c r="I731" s="239" t="s">
        <v>379</v>
      </c>
      <c r="J731" s="234">
        <v>37650</v>
      </c>
      <c r="K731" s="234">
        <v>15140</v>
      </c>
      <c r="L731" s="242">
        <v>32</v>
      </c>
      <c r="M731" s="234">
        <v>22510</v>
      </c>
      <c r="N731" s="234">
        <v>15306.8</v>
      </c>
      <c r="O731" s="243" t="s">
        <v>2335</v>
      </c>
      <c r="P731" s="236">
        <v>45928</v>
      </c>
    </row>
    <row r="732" spans="1:16" ht="51" customHeight="1">
      <c r="A732" s="239" t="s">
        <v>2289</v>
      </c>
      <c r="B732" s="240">
        <v>1892</v>
      </c>
      <c r="C732" s="241">
        <v>239</v>
      </c>
      <c r="D732" s="239" t="s">
        <v>591</v>
      </c>
      <c r="E732" s="239" t="s">
        <v>380</v>
      </c>
      <c r="F732" s="239" t="s">
        <v>381</v>
      </c>
      <c r="G732" s="239" t="s">
        <v>969</v>
      </c>
      <c r="H732" s="239" t="s">
        <v>41</v>
      </c>
      <c r="I732" s="239" t="s">
        <v>379</v>
      </c>
      <c r="J732" s="234">
        <v>36890</v>
      </c>
      <c r="K732" s="234">
        <v>15050</v>
      </c>
      <c r="L732" s="242">
        <v>30</v>
      </c>
      <c r="M732" s="234">
        <v>21840</v>
      </c>
      <c r="N732" s="234">
        <v>15288</v>
      </c>
      <c r="O732" s="243" t="s">
        <v>2323</v>
      </c>
      <c r="P732" s="236">
        <v>45928</v>
      </c>
    </row>
    <row r="733" spans="1:16" ht="51" customHeight="1">
      <c r="A733" s="239" t="s">
        <v>2300</v>
      </c>
      <c r="B733" s="240">
        <v>1913</v>
      </c>
      <c r="C733" s="241">
        <v>250</v>
      </c>
      <c r="D733" s="239" t="s">
        <v>591</v>
      </c>
      <c r="E733" s="239" t="s">
        <v>400</v>
      </c>
      <c r="F733" s="239" t="s">
        <v>401</v>
      </c>
      <c r="G733" s="239" t="s">
        <v>969</v>
      </c>
      <c r="H733" s="239" t="s">
        <v>41</v>
      </c>
      <c r="I733" s="239" t="s">
        <v>379</v>
      </c>
      <c r="J733" s="234">
        <v>35520</v>
      </c>
      <c r="K733" s="234">
        <v>14730</v>
      </c>
      <c r="L733" s="242">
        <v>31</v>
      </c>
      <c r="M733" s="234">
        <v>20790</v>
      </c>
      <c r="N733" s="234">
        <v>14345.1</v>
      </c>
      <c r="O733" s="243" t="s">
        <v>2334</v>
      </c>
      <c r="P733" s="236">
        <v>45928</v>
      </c>
    </row>
    <row r="734" spans="1:16" ht="51" customHeight="1">
      <c r="A734" s="239" t="s">
        <v>2290</v>
      </c>
      <c r="B734" s="240">
        <v>1896</v>
      </c>
      <c r="C734" s="241">
        <v>240</v>
      </c>
      <c r="D734" s="239" t="s">
        <v>591</v>
      </c>
      <c r="E734" s="239" t="s">
        <v>384</v>
      </c>
      <c r="F734" s="239" t="s">
        <v>385</v>
      </c>
      <c r="G734" s="239" t="s">
        <v>969</v>
      </c>
      <c r="H734" s="239" t="s">
        <v>41</v>
      </c>
      <c r="I734" s="239" t="s">
        <v>379</v>
      </c>
      <c r="J734" s="234">
        <v>33960</v>
      </c>
      <c r="K734" s="234">
        <v>14000</v>
      </c>
      <c r="L734" s="242">
        <v>27</v>
      </c>
      <c r="M734" s="234">
        <v>19960</v>
      </c>
      <c r="N734" s="234">
        <v>14570.8</v>
      </c>
      <c r="O734" s="243" t="s">
        <v>2324</v>
      </c>
      <c r="P734" s="236">
        <v>45928</v>
      </c>
    </row>
    <row r="735" spans="1:16" ht="51" customHeight="1">
      <c r="A735" s="239" t="s">
        <v>2291</v>
      </c>
      <c r="B735" s="240">
        <v>1897</v>
      </c>
      <c r="C735" s="241">
        <v>241</v>
      </c>
      <c r="D735" s="239" t="s">
        <v>591</v>
      </c>
      <c r="E735" s="239" t="s">
        <v>369</v>
      </c>
      <c r="F735" s="239" t="s">
        <v>370</v>
      </c>
      <c r="G735" s="239" t="s">
        <v>969</v>
      </c>
      <c r="H735" s="239" t="s">
        <v>41</v>
      </c>
      <c r="I735" s="239" t="s">
        <v>379</v>
      </c>
      <c r="J735" s="234">
        <v>36370</v>
      </c>
      <c r="K735" s="234">
        <v>15120</v>
      </c>
      <c r="L735" s="242">
        <v>31</v>
      </c>
      <c r="M735" s="234">
        <v>21250</v>
      </c>
      <c r="N735" s="234">
        <v>14662.5</v>
      </c>
      <c r="O735" s="243" t="s">
        <v>2325</v>
      </c>
      <c r="P735" s="236">
        <v>45928</v>
      </c>
    </row>
    <row r="736" spans="1:16" ht="51" customHeight="1">
      <c r="A736" s="239" t="s">
        <v>2299</v>
      </c>
      <c r="B736" s="240">
        <v>1911</v>
      </c>
      <c r="C736" s="241">
        <v>249</v>
      </c>
      <c r="D736" s="239" t="s">
        <v>591</v>
      </c>
      <c r="E736" s="239" t="s">
        <v>369</v>
      </c>
      <c r="F736" s="239" t="s">
        <v>370</v>
      </c>
      <c r="G736" s="239" t="s">
        <v>969</v>
      </c>
      <c r="H736" s="239" t="s">
        <v>41</v>
      </c>
      <c r="I736" s="239" t="s">
        <v>379</v>
      </c>
      <c r="J736" s="234">
        <v>35330</v>
      </c>
      <c r="K736" s="234">
        <v>15100</v>
      </c>
      <c r="L736" s="242">
        <v>25</v>
      </c>
      <c r="M736" s="234">
        <v>20230</v>
      </c>
      <c r="N736" s="234">
        <v>15172.5</v>
      </c>
      <c r="O736" s="243" t="s">
        <v>2333</v>
      </c>
      <c r="P736" s="236">
        <v>45928</v>
      </c>
    </row>
    <row r="737" spans="1:16" ht="51" customHeight="1">
      <c r="A737" s="239" t="s">
        <v>2292</v>
      </c>
      <c r="B737" s="240">
        <v>1900</v>
      </c>
      <c r="C737" s="241">
        <v>242</v>
      </c>
      <c r="D737" s="239" t="s">
        <v>591</v>
      </c>
      <c r="E737" s="239" t="s">
        <v>400</v>
      </c>
      <c r="F737" s="239" t="s">
        <v>401</v>
      </c>
      <c r="G737" s="239" t="s">
        <v>969</v>
      </c>
      <c r="H737" s="239" t="s">
        <v>41</v>
      </c>
      <c r="I737" s="239" t="s">
        <v>379</v>
      </c>
      <c r="J737" s="234">
        <v>37630</v>
      </c>
      <c r="K737" s="234">
        <v>14780</v>
      </c>
      <c r="L737" s="242">
        <v>22</v>
      </c>
      <c r="M737" s="234">
        <v>22850</v>
      </c>
      <c r="N737" s="234">
        <v>17823</v>
      </c>
      <c r="O737" s="243" t="s">
        <v>2326</v>
      </c>
      <c r="P737" s="236">
        <v>45928</v>
      </c>
    </row>
    <row r="738" spans="1:16" ht="51" customHeight="1">
      <c r="A738" s="239" t="s">
        <v>2298</v>
      </c>
      <c r="B738" s="240">
        <v>1908</v>
      </c>
      <c r="C738" s="241">
        <v>248</v>
      </c>
      <c r="D738" s="239" t="s">
        <v>591</v>
      </c>
      <c r="E738" s="239" t="s">
        <v>384</v>
      </c>
      <c r="F738" s="239" t="s">
        <v>385</v>
      </c>
      <c r="G738" s="239" t="s">
        <v>969</v>
      </c>
      <c r="H738" s="239" t="s">
        <v>41</v>
      </c>
      <c r="I738" s="239" t="s">
        <v>379</v>
      </c>
      <c r="J738" s="234">
        <v>35450</v>
      </c>
      <c r="K738" s="234">
        <v>13970</v>
      </c>
      <c r="L738" s="242">
        <v>32</v>
      </c>
      <c r="M738" s="234">
        <v>21480</v>
      </c>
      <c r="N738" s="234">
        <v>14606.4</v>
      </c>
      <c r="O738" s="243" t="s">
        <v>2332</v>
      </c>
      <c r="P738" s="236">
        <v>45928</v>
      </c>
    </row>
    <row r="739" spans="1:16" ht="51" customHeight="1">
      <c r="A739" s="239" t="s">
        <v>2293</v>
      </c>
      <c r="B739" s="240">
        <v>1901</v>
      </c>
      <c r="C739" s="241">
        <v>243</v>
      </c>
      <c r="D739" s="239" t="s">
        <v>591</v>
      </c>
      <c r="E739" s="239" t="s">
        <v>380</v>
      </c>
      <c r="F739" s="239" t="s">
        <v>381</v>
      </c>
      <c r="G739" s="239" t="s">
        <v>969</v>
      </c>
      <c r="H739" s="239" t="s">
        <v>41</v>
      </c>
      <c r="I739" s="239" t="s">
        <v>379</v>
      </c>
      <c r="J739" s="234">
        <v>39250</v>
      </c>
      <c r="K739" s="234">
        <v>15170</v>
      </c>
      <c r="L739" s="242">
        <v>29</v>
      </c>
      <c r="M739" s="234">
        <v>24080</v>
      </c>
      <c r="N739" s="234">
        <v>17096.8</v>
      </c>
      <c r="O739" s="243" t="s">
        <v>2327</v>
      </c>
      <c r="P739" s="236">
        <v>45928</v>
      </c>
    </row>
    <row r="740" spans="1:16" ht="51" customHeight="1">
      <c r="A740" s="239" t="s">
        <v>2294</v>
      </c>
      <c r="B740" s="240">
        <v>1902</v>
      </c>
      <c r="C740" s="241">
        <v>244</v>
      </c>
      <c r="D740" s="239" t="s">
        <v>591</v>
      </c>
      <c r="E740" s="239" t="s">
        <v>384</v>
      </c>
      <c r="F740" s="239" t="s">
        <v>385</v>
      </c>
      <c r="G740" s="239" t="s">
        <v>969</v>
      </c>
      <c r="H740" s="239" t="s">
        <v>41</v>
      </c>
      <c r="I740" s="239" t="s">
        <v>379</v>
      </c>
      <c r="J740" s="234">
        <v>35190</v>
      </c>
      <c r="K740" s="234">
        <v>13980</v>
      </c>
      <c r="L740" s="242">
        <v>29</v>
      </c>
      <c r="M740" s="234">
        <v>21210</v>
      </c>
      <c r="N740" s="234">
        <v>15059.1</v>
      </c>
      <c r="O740" s="243" t="s">
        <v>2328</v>
      </c>
      <c r="P740" s="236">
        <v>45928</v>
      </c>
    </row>
    <row r="741" spans="1:16" ht="51" customHeight="1">
      <c r="A741" s="239" t="s">
        <v>2297</v>
      </c>
      <c r="B741" s="240">
        <v>1907</v>
      </c>
      <c r="C741" s="241">
        <v>247</v>
      </c>
      <c r="D741" s="239" t="s">
        <v>591</v>
      </c>
      <c r="E741" s="239" t="s">
        <v>380</v>
      </c>
      <c r="F741" s="239" t="s">
        <v>381</v>
      </c>
      <c r="G741" s="239" t="s">
        <v>969</v>
      </c>
      <c r="H741" s="239" t="s">
        <v>41</v>
      </c>
      <c r="I741" s="239" t="s">
        <v>379</v>
      </c>
      <c r="J741" s="234">
        <v>36860</v>
      </c>
      <c r="K741" s="234">
        <v>15150</v>
      </c>
      <c r="L741" s="242">
        <v>33</v>
      </c>
      <c r="M741" s="234">
        <v>21710</v>
      </c>
      <c r="N741" s="234">
        <v>14545.7</v>
      </c>
      <c r="O741" s="243" t="s">
        <v>2331</v>
      </c>
      <c r="P741" s="236">
        <v>45928</v>
      </c>
    </row>
    <row r="742" spans="1:16" ht="51" customHeight="1">
      <c r="A742" s="239" t="s">
        <v>2295</v>
      </c>
      <c r="B742" s="240">
        <v>1903</v>
      </c>
      <c r="C742" s="241">
        <v>245</v>
      </c>
      <c r="D742" s="239" t="s">
        <v>591</v>
      </c>
      <c r="E742" s="239" t="s">
        <v>369</v>
      </c>
      <c r="F742" s="239" t="s">
        <v>370</v>
      </c>
      <c r="G742" s="239" t="s">
        <v>969</v>
      </c>
      <c r="H742" s="239" t="s">
        <v>41</v>
      </c>
      <c r="I742" s="239" t="s">
        <v>379</v>
      </c>
      <c r="J742" s="234">
        <v>36680</v>
      </c>
      <c r="K742" s="234">
        <v>15100</v>
      </c>
      <c r="L742" s="242">
        <v>16</v>
      </c>
      <c r="M742" s="234">
        <v>21580</v>
      </c>
      <c r="N742" s="234">
        <v>18127.2</v>
      </c>
      <c r="O742" s="243" t="s">
        <v>2329</v>
      </c>
      <c r="P742" s="236">
        <v>45928</v>
      </c>
    </row>
    <row r="743" spans="1:16" ht="51" customHeight="1">
      <c r="A743" s="239" t="s">
        <v>2296</v>
      </c>
      <c r="B743" s="240">
        <v>1904</v>
      </c>
      <c r="C743" s="241">
        <v>246</v>
      </c>
      <c r="D743" s="239" t="s">
        <v>591</v>
      </c>
      <c r="E743" s="239" t="s">
        <v>400</v>
      </c>
      <c r="F743" s="239" t="s">
        <v>401</v>
      </c>
      <c r="G743" s="239" t="s">
        <v>969</v>
      </c>
      <c r="H743" s="239" t="s">
        <v>41</v>
      </c>
      <c r="I743" s="239" t="s">
        <v>379</v>
      </c>
      <c r="J743" s="234">
        <v>36630</v>
      </c>
      <c r="K743" s="234">
        <v>14770</v>
      </c>
      <c r="L743" s="242">
        <v>31</v>
      </c>
      <c r="M743" s="234">
        <v>21860</v>
      </c>
      <c r="N743" s="234">
        <v>15083.4</v>
      </c>
      <c r="O743" s="243" t="s">
        <v>2330</v>
      </c>
      <c r="P743" s="236">
        <v>45928</v>
      </c>
    </row>
    <row r="744" spans="1:16" ht="51" customHeight="1">
      <c r="A744" s="239" t="s">
        <v>2308</v>
      </c>
      <c r="B744" s="240">
        <v>1927</v>
      </c>
      <c r="C744" s="241">
        <v>54993</v>
      </c>
      <c r="D744" s="239" t="s">
        <v>2152</v>
      </c>
      <c r="E744" s="239" t="s">
        <v>403</v>
      </c>
      <c r="F744" s="239" t="s">
        <v>404</v>
      </c>
      <c r="G744" s="239" t="s">
        <v>946</v>
      </c>
      <c r="H744" s="239" t="s">
        <v>51</v>
      </c>
      <c r="I744" s="239" t="s">
        <v>2153</v>
      </c>
      <c r="J744" s="234">
        <v>41110</v>
      </c>
      <c r="K744" s="234">
        <v>14700</v>
      </c>
      <c r="L744" s="242">
        <v>5</v>
      </c>
      <c r="M744" s="234">
        <v>26410</v>
      </c>
      <c r="N744" s="234">
        <v>25089.5</v>
      </c>
      <c r="O744" s="243" t="s">
        <v>2342</v>
      </c>
      <c r="P744" s="236">
        <v>45929</v>
      </c>
    </row>
    <row r="745" spans="1:16" ht="51" customHeight="1">
      <c r="A745" s="239" t="s">
        <v>2309</v>
      </c>
      <c r="B745" s="240">
        <v>1928</v>
      </c>
      <c r="C745" s="241">
        <v>54993</v>
      </c>
      <c r="D745" s="239" t="s">
        <v>2152</v>
      </c>
      <c r="E745" s="239" t="s">
        <v>406</v>
      </c>
      <c r="F745" s="239" t="s">
        <v>407</v>
      </c>
      <c r="G745" s="239" t="s">
        <v>946</v>
      </c>
      <c r="H745" s="239" t="s">
        <v>51</v>
      </c>
      <c r="I745" s="239" t="s">
        <v>2153</v>
      </c>
      <c r="J745" s="234">
        <v>40780</v>
      </c>
      <c r="K745" s="234">
        <v>15030</v>
      </c>
      <c r="L745" s="242">
        <v>5</v>
      </c>
      <c r="M745" s="234">
        <v>25750</v>
      </c>
      <c r="N745" s="234">
        <v>24462.5</v>
      </c>
      <c r="O745" s="243" t="s">
        <v>2343</v>
      </c>
      <c r="P745" s="236">
        <v>45929</v>
      </c>
    </row>
    <row r="746" spans="1:16" ht="51" customHeight="1">
      <c r="A746" s="239" t="s">
        <v>2310</v>
      </c>
      <c r="B746" s="240">
        <v>1929</v>
      </c>
      <c r="C746" s="241">
        <v>54994</v>
      </c>
      <c r="D746" s="239" t="s">
        <v>2152</v>
      </c>
      <c r="E746" s="239" t="s">
        <v>392</v>
      </c>
      <c r="F746" s="239" t="s">
        <v>393</v>
      </c>
      <c r="G746" s="239" t="s">
        <v>946</v>
      </c>
      <c r="H746" s="239" t="s">
        <v>51</v>
      </c>
      <c r="I746" s="239" t="s">
        <v>2153</v>
      </c>
      <c r="J746" s="234">
        <v>66060</v>
      </c>
      <c r="K746" s="234">
        <v>24280</v>
      </c>
      <c r="L746" s="242">
        <v>7</v>
      </c>
      <c r="M746" s="234">
        <v>41780</v>
      </c>
      <c r="N746" s="234">
        <v>38855.4</v>
      </c>
      <c r="O746" s="243" t="s">
        <v>2344</v>
      </c>
      <c r="P746" s="236">
        <v>45929</v>
      </c>
    </row>
    <row r="747" spans="1:16" ht="51" customHeight="1">
      <c r="A747" s="239" t="s">
        <v>2311</v>
      </c>
      <c r="B747" s="240">
        <v>1930</v>
      </c>
      <c r="C747" s="241">
        <v>54995</v>
      </c>
      <c r="D747" s="239" t="s">
        <v>2152</v>
      </c>
      <c r="E747" s="239" t="s">
        <v>390</v>
      </c>
      <c r="F747" s="239" t="s">
        <v>391</v>
      </c>
      <c r="G747" s="239" t="s">
        <v>946</v>
      </c>
      <c r="H747" s="239" t="s">
        <v>51</v>
      </c>
      <c r="I747" s="239" t="s">
        <v>2153</v>
      </c>
      <c r="J747" s="234">
        <v>41340</v>
      </c>
      <c r="K747" s="234">
        <v>15180</v>
      </c>
      <c r="L747" s="242">
        <v>8</v>
      </c>
      <c r="M747" s="234">
        <v>26160</v>
      </c>
      <c r="N747" s="234">
        <v>24067.200000000001</v>
      </c>
      <c r="O747" s="243" t="s">
        <v>2345</v>
      </c>
      <c r="P747" s="236">
        <v>45929</v>
      </c>
    </row>
    <row r="748" spans="1:16" ht="51" customHeight="1">
      <c r="A748" s="239" t="s">
        <v>2312</v>
      </c>
      <c r="B748" s="240">
        <v>1932</v>
      </c>
      <c r="C748" s="241">
        <v>54996</v>
      </c>
      <c r="D748" s="239" t="s">
        <v>2152</v>
      </c>
      <c r="E748" s="239" t="s">
        <v>388</v>
      </c>
      <c r="F748" s="239" t="s">
        <v>389</v>
      </c>
      <c r="G748" s="239" t="s">
        <v>946</v>
      </c>
      <c r="H748" s="239" t="s">
        <v>51</v>
      </c>
      <c r="I748" s="239" t="s">
        <v>2153</v>
      </c>
      <c r="J748" s="234">
        <v>55580</v>
      </c>
      <c r="K748" s="234">
        <v>21120</v>
      </c>
      <c r="L748" s="242">
        <v>7</v>
      </c>
      <c r="M748" s="234">
        <v>34460</v>
      </c>
      <c r="N748" s="234">
        <v>32047.8</v>
      </c>
      <c r="O748" s="243" t="s">
        <v>2346</v>
      </c>
      <c r="P748" s="236">
        <v>45929</v>
      </c>
    </row>
    <row r="749" spans="1:16" ht="51" customHeight="1">
      <c r="A749" s="239" t="s">
        <v>2313</v>
      </c>
      <c r="B749" s="240">
        <v>1933</v>
      </c>
      <c r="C749" s="239"/>
      <c r="D749" s="239" t="s">
        <v>2152</v>
      </c>
      <c r="E749" s="239" t="s">
        <v>400</v>
      </c>
      <c r="F749" s="239" t="s">
        <v>401</v>
      </c>
      <c r="G749" s="239" t="s">
        <v>946</v>
      </c>
      <c r="H749" s="239" t="s">
        <v>51</v>
      </c>
      <c r="I749" s="239" t="s">
        <v>2153</v>
      </c>
      <c r="J749" s="234">
        <v>39360</v>
      </c>
      <c r="K749" s="234">
        <v>14970</v>
      </c>
      <c r="L749" s="242">
        <v>7</v>
      </c>
      <c r="M749" s="234">
        <v>24390</v>
      </c>
      <c r="N749" s="234">
        <v>22682.7</v>
      </c>
      <c r="O749" s="243" t="s">
        <v>2347</v>
      </c>
      <c r="P749" s="236">
        <v>45929</v>
      </c>
    </row>
    <row r="750" spans="1:16" ht="51" customHeight="1">
      <c r="A750" s="239" t="s">
        <v>2314</v>
      </c>
      <c r="B750" s="240">
        <v>1934</v>
      </c>
      <c r="C750" s="239"/>
      <c r="D750" s="239" t="s">
        <v>2152</v>
      </c>
      <c r="E750" s="239" t="s">
        <v>858</v>
      </c>
      <c r="F750" s="239" t="s">
        <v>859</v>
      </c>
      <c r="G750" s="239" t="s">
        <v>946</v>
      </c>
      <c r="H750" s="239" t="s">
        <v>51</v>
      </c>
      <c r="I750" s="239" t="s">
        <v>2153</v>
      </c>
      <c r="J750" s="234">
        <v>41090</v>
      </c>
      <c r="K750" s="234">
        <v>15090</v>
      </c>
      <c r="L750" s="242">
        <v>7</v>
      </c>
      <c r="M750" s="234">
        <v>26000</v>
      </c>
      <c r="N750" s="234">
        <v>24180</v>
      </c>
      <c r="O750" s="243" t="s">
        <v>2348</v>
      </c>
      <c r="P750" s="236">
        <v>45929</v>
      </c>
    </row>
    <row r="751" spans="1:16" ht="51" customHeight="1">
      <c r="A751" s="239" t="s">
        <v>2315</v>
      </c>
      <c r="B751" s="240">
        <v>1935</v>
      </c>
      <c r="C751" s="239"/>
      <c r="D751" s="239" t="s">
        <v>2152</v>
      </c>
      <c r="E751" s="239" t="s">
        <v>410</v>
      </c>
      <c r="F751" s="239" t="s">
        <v>411</v>
      </c>
      <c r="G751" s="239" t="s">
        <v>946</v>
      </c>
      <c r="H751" s="239" t="s">
        <v>51</v>
      </c>
      <c r="I751" s="239" t="s">
        <v>2153</v>
      </c>
      <c r="J751" s="234">
        <v>40960</v>
      </c>
      <c r="K751" s="234">
        <v>15210</v>
      </c>
      <c r="L751" s="242">
        <v>7</v>
      </c>
      <c r="M751" s="234">
        <v>25750</v>
      </c>
      <c r="N751" s="234">
        <v>23947.5</v>
      </c>
      <c r="O751" s="243" t="s">
        <v>2349</v>
      </c>
      <c r="P751" s="236">
        <v>45929</v>
      </c>
    </row>
    <row r="752" spans="1:16" ht="51" customHeight="1">
      <c r="A752" s="239" t="s">
        <v>2352</v>
      </c>
      <c r="B752" s="240">
        <v>1955</v>
      </c>
      <c r="C752" s="241">
        <v>254</v>
      </c>
      <c r="D752" s="239" t="s">
        <v>591</v>
      </c>
      <c r="E752" s="239" t="s">
        <v>2053</v>
      </c>
      <c r="F752" s="239" t="s">
        <v>2054</v>
      </c>
      <c r="G752" s="239" t="s">
        <v>968</v>
      </c>
      <c r="H752" s="239" t="s">
        <v>394</v>
      </c>
      <c r="I752" s="239" t="s">
        <v>371</v>
      </c>
      <c r="J752" s="234">
        <v>28750</v>
      </c>
      <c r="K752" s="234">
        <v>14420</v>
      </c>
      <c r="L752" s="242">
        <v>31</v>
      </c>
      <c r="M752" s="234">
        <v>14330</v>
      </c>
      <c r="N752" s="234">
        <v>9887.7000000000007</v>
      </c>
      <c r="O752" s="243" t="s">
        <v>2354</v>
      </c>
      <c r="P752" s="236">
        <v>45931</v>
      </c>
    </row>
    <row r="753" spans="1:16" ht="51" customHeight="1">
      <c r="A753" s="239" t="s">
        <v>2353</v>
      </c>
      <c r="B753" s="240">
        <v>1956</v>
      </c>
      <c r="C753" s="241">
        <v>255</v>
      </c>
      <c r="D753" s="239" t="s">
        <v>591</v>
      </c>
      <c r="E753" s="239" t="s">
        <v>1978</v>
      </c>
      <c r="F753" s="239" t="s">
        <v>1979</v>
      </c>
      <c r="G753" s="239" t="s">
        <v>968</v>
      </c>
      <c r="H753" s="239" t="s">
        <v>394</v>
      </c>
      <c r="I753" s="239" t="s">
        <v>371</v>
      </c>
      <c r="J753" s="234">
        <v>29430</v>
      </c>
      <c r="K753" s="234">
        <v>14250</v>
      </c>
      <c r="L753" s="242">
        <v>48</v>
      </c>
      <c r="M753" s="234">
        <v>15180</v>
      </c>
      <c r="N753" s="234">
        <v>7893.6</v>
      </c>
      <c r="O753" s="243" t="s">
        <v>2355</v>
      </c>
      <c r="P753" s="236">
        <v>45931</v>
      </c>
    </row>
    <row r="754" spans="1:16" ht="51" customHeight="1">
      <c r="A754" s="239" t="s">
        <v>2356</v>
      </c>
      <c r="B754" s="240">
        <v>1957</v>
      </c>
      <c r="C754" s="239" t="s">
        <v>2357</v>
      </c>
      <c r="D754" s="239" t="s">
        <v>2152</v>
      </c>
      <c r="E754" s="239" t="s">
        <v>380</v>
      </c>
      <c r="F754" s="239" t="s">
        <v>381</v>
      </c>
      <c r="G754" s="239" t="s">
        <v>946</v>
      </c>
      <c r="H754" s="239" t="s">
        <v>51</v>
      </c>
      <c r="I754" s="239" t="s">
        <v>2153</v>
      </c>
      <c r="J754" s="234">
        <v>39690</v>
      </c>
      <c r="K754" s="234">
        <v>15100</v>
      </c>
      <c r="L754" s="242">
        <v>20</v>
      </c>
      <c r="M754" s="234">
        <v>24590</v>
      </c>
      <c r="N754" s="234">
        <v>19672</v>
      </c>
      <c r="O754" s="243" t="s">
        <v>2364</v>
      </c>
      <c r="P754" s="236">
        <v>45931</v>
      </c>
    </row>
    <row r="755" spans="1:16" ht="51" customHeight="1">
      <c r="A755" s="239" t="s">
        <v>2358</v>
      </c>
      <c r="B755" s="240">
        <v>1958</v>
      </c>
      <c r="C755" s="239" t="s">
        <v>2357</v>
      </c>
      <c r="D755" s="239" t="s">
        <v>2152</v>
      </c>
      <c r="E755" s="239" t="s">
        <v>866</v>
      </c>
      <c r="F755" s="239" t="s">
        <v>867</v>
      </c>
      <c r="G755" s="239" t="s">
        <v>946</v>
      </c>
      <c r="H755" s="239" t="s">
        <v>51</v>
      </c>
      <c r="I755" s="239" t="s">
        <v>2153</v>
      </c>
      <c r="J755" s="234">
        <v>39460</v>
      </c>
      <c r="K755" s="234">
        <v>14590</v>
      </c>
      <c r="L755" s="242">
        <v>11</v>
      </c>
      <c r="M755" s="234">
        <v>24870</v>
      </c>
      <c r="N755" s="234">
        <v>22134.3</v>
      </c>
      <c r="O755" s="243" t="s">
        <v>2365</v>
      </c>
      <c r="P755" s="236">
        <v>45931</v>
      </c>
    </row>
    <row r="756" spans="1:16" ht="51" customHeight="1">
      <c r="A756" s="239" t="s">
        <v>2359</v>
      </c>
      <c r="B756" s="240">
        <v>1959</v>
      </c>
      <c r="C756" s="239" t="s">
        <v>2357</v>
      </c>
      <c r="D756" s="239" t="s">
        <v>2152</v>
      </c>
      <c r="E756" s="239" t="s">
        <v>858</v>
      </c>
      <c r="F756" s="239" t="s">
        <v>859</v>
      </c>
      <c r="G756" s="239" t="s">
        <v>946</v>
      </c>
      <c r="H756" s="239" t="s">
        <v>51</v>
      </c>
      <c r="I756" s="239" t="s">
        <v>2153</v>
      </c>
      <c r="J756" s="234">
        <v>41130</v>
      </c>
      <c r="K756" s="234">
        <v>14980</v>
      </c>
      <c r="L756" s="242">
        <v>11</v>
      </c>
      <c r="M756" s="234">
        <v>26150</v>
      </c>
      <c r="N756" s="234">
        <v>23273.5</v>
      </c>
      <c r="O756" s="243" t="s">
        <v>2366</v>
      </c>
      <c r="P756" s="236">
        <v>45931</v>
      </c>
    </row>
    <row r="757" spans="1:16" ht="51" customHeight="1">
      <c r="A757" s="239" t="s">
        <v>2360</v>
      </c>
      <c r="B757" s="240">
        <v>1961</v>
      </c>
      <c r="C757" s="239" t="s">
        <v>2357</v>
      </c>
      <c r="D757" s="239" t="s">
        <v>2152</v>
      </c>
      <c r="E757" s="239" t="s">
        <v>372</v>
      </c>
      <c r="F757" s="239" t="s">
        <v>373</v>
      </c>
      <c r="G757" s="239" t="s">
        <v>946</v>
      </c>
      <c r="H757" s="239" t="s">
        <v>51</v>
      </c>
      <c r="I757" s="239" t="s">
        <v>2153</v>
      </c>
      <c r="J757" s="234">
        <v>39410</v>
      </c>
      <c r="K757" s="234">
        <v>14860</v>
      </c>
      <c r="L757" s="242">
        <v>6</v>
      </c>
      <c r="M757" s="234">
        <v>24550</v>
      </c>
      <c r="N757" s="234">
        <v>23077</v>
      </c>
      <c r="O757" s="243" t="s">
        <v>2367</v>
      </c>
      <c r="P757" s="236">
        <v>45931</v>
      </c>
    </row>
    <row r="758" spans="1:16" ht="51" customHeight="1">
      <c r="A758" s="239" t="s">
        <v>2361</v>
      </c>
      <c r="B758" s="240">
        <v>1962</v>
      </c>
      <c r="C758" s="239" t="s">
        <v>2357</v>
      </c>
      <c r="D758" s="239" t="s">
        <v>2152</v>
      </c>
      <c r="E758" s="239" t="s">
        <v>384</v>
      </c>
      <c r="F758" s="239" t="s">
        <v>385</v>
      </c>
      <c r="G758" s="239" t="s">
        <v>946</v>
      </c>
      <c r="H758" s="239" t="s">
        <v>51</v>
      </c>
      <c r="I758" s="239" t="s">
        <v>2153</v>
      </c>
      <c r="J758" s="234">
        <v>36920</v>
      </c>
      <c r="K758" s="234">
        <v>13920</v>
      </c>
      <c r="L758" s="242">
        <v>12</v>
      </c>
      <c r="M758" s="234">
        <v>23000</v>
      </c>
      <c r="N758" s="234">
        <v>20240</v>
      </c>
      <c r="O758" s="243" t="s">
        <v>2368</v>
      </c>
      <c r="P758" s="236">
        <v>45931</v>
      </c>
    </row>
    <row r="759" spans="1:16" ht="51" customHeight="1">
      <c r="A759" s="239" t="s">
        <v>2362</v>
      </c>
      <c r="B759" s="240">
        <v>1963</v>
      </c>
      <c r="C759" s="239" t="s">
        <v>2357</v>
      </c>
      <c r="D759" s="239" t="s">
        <v>2152</v>
      </c>
      <c r="E759" s="239" t="s">
        <v>374</v>
      </c>
      <c r="F759" s="239" t="s">
        <v>375</v>
      </c>
      <c r="G759" s="239" t="s">
        <v>946</v>
      </c>
      <c r="H759" s="239" t="s">
        <v>51</v>
      </c>
      <c r="I759" s="239" t="s">
        <v>2153</v>
      </c>
      <c r="J759" s="234">
        <v>41340</v>
      </c>
      <c r="K759" s="234">
        <v>15650</v>
      </c>
      <c r="L759" s="242">
        <v>19</v>
      </c>
      <c r="M759" s="234">
        <v>25690</v>
      </c>
      <c r="N759" s="234">
        <v>20808.900000000001</v>
      </c>
      <c r="O759" s="243" t="s">
        <v>2369</v>
      </c>
      <c r="P759" s="236">
        <v>45931</v>
      </c>
    </row>
    <row r="760" spans="1:16" ht="51" customHeight="1">
      <c r="A760" s="239" t="s">
        <v>2363</v>
      </c>
      <c r="B760" s="240">
        <v>1964</v>
      </c>
      <c r="C760" s="239" t="s">
        <v>2357</v>
      </c>
      <c r="D760" s="239" t="s">
        <v>2152</v>
      </c>
      <c r="E760" s="239" t="s">
        <v>382</v>
      </c>
      <c r="F760" s="239" t="s">
        <v>383</v>
      </c>
      <c r="G760" s="239" t="s">
        <v>946</v>
      </c>
      <c r="H760" s="239" t="s">
        <v>51</v>
      </c>
      <c r="I760" s="239" t="s">
        <v>2153</v>
      </c>
      <c r="J760" s="234">
        <v>39930</v>
      </c>
      <c r="K760" s="234">
        <v>14660</v>
      </c>
      <c r="L760" s="242">
        <v>17</v>
      </c>
      <c r="M760" s="234">
        <v>25270</v>
      </c>
      <c r="N760" s="234">
        <v>20974.1</v>
      </c>
      <c r="O760" s="243" t="s">
        <v>2370</v>
      </c>
      <c r="P760" s="236">
        <v>45931</v>
      </c>
    </row>
    <row r="761" spans="1:16" ht="51" customHeight="1">
      <c r="A761" s="239" t="s">
        <v>2372</v>
      </c>
      <c r="B761" s="240">
        <v>1966</v>
      </c>
      <c r="C761" s="241">
        <v>57726</v>
      </c>
      <c r="D761" s="239" t="s">
        <v>2152</v>
      </c>
      <c r="E761" s="239" t="s">
        <v>400</v>
      </c>
      <c r="F761" s="239" t="s">
        <v>401</v>
      </c>
      <c r="G761" s="239" t="s">
        <v>943</v>
      </c>
      <c r="H761" s="239" t="s">
        <v>51</v>
      </c>
      <c r="I761" s="239" t="s">
        <v>2153</v>
      </c>
      <c r="J761" s="234">
        <v>40340</v>
      </c>
      <c r="K761" s="234">
        <v>14820</v>
      </c>
      <c r="L761" s="242">
        <v>27</v>
      </c>
      <c r="M761" s="234">
        <v>25520</v>
      </c>
      <c r="N761" s="234">
        <v>18629.599999999999</v>
      </c>
      <c r="O761" s="243" t="s">
        <v>2386</v>
      </c>
      <c r="P761" s="236">
        <v>45931</v>
      </c>
    </row>
    <row r="762" spans="1:16" ht="51" customHeight="1">
      <c r="A762" s="239" t="s">
        <v>2375</v>
      </c>
      <c r="B762" s="240">
        <v>1969</v>
      </c>
      <c r="C762" s="239" t="s">
        <v>2376</v>
      </c>
      <c r="D762" s="239" t="s">
        <v>2152</v>
      </c>
      <c r="E762" s="239" t="s">
        <v>390</v>
      </c>
      <c r="F762" s="239" t="s">
        <v>391</v>
      </c>
      <c r="G762" s="239" t="s">
        <v>943</v>
      </c>
      <c r="H762" s="239" t="s">
        <v>51</v>
      </c>
      <c r="I762" s="239" t="s">
        <v>2153</v>
      </c>
      <c r="J762" s="234">
        <v>41690</v>
      </c>
      <c r="K762" s="234">
        <v>15080</v>
      </c>
      <c r="L762" s="242">
        <v>9</v>
      </c>
      <c r="M762" s="234">
        <v>26610</v>
      </c>
      <c r="N762" s="234">
        <v>24215.1</v>
      </c>
      <c r="O762" s="243" t="s">
        <v>2389</v>
      </c>
      <c r="P762" s="236">
        <v>45931</v>
      </c>
    </row>
    <row r="763" spans="1:16" ht="51" customHeight="1">
      <c r="A763" s="239" t="s">
        <v>2371</v>
      </c>
      <c r="B763" s="240">
        <v>1970</v>
      </c>
      <c r="C763" s="239" t="s">
        <v>2357</v>
      </c>
      <c r="D763" s="239" t="s">
        <v>2152</v>
      </c>
      <c r="E763" s="239" t="s">
        <v>392</v>
      </c>
      <c r="F763" s="239" t="s">
        <v>393</v>
      </c>
      <c r="G763" s="239" t="s">
        <v>943</v>
      </c>
      <c r="H763" s="239" t="s">
        <v>51</v>
      </c>
      <c r="I763" s="239" t="s">
        <v>2153</v>
      </c>
      <c r="J763" s="234">
        <v>66000</v>
      </c>
      <c r="K763" s="234">
        <v>24150</v>
      </c>
      <c r="L763" s="242">
        <v>15</v>
      </c>
      <c r="M763" s="234">
        <v>41850</v>
      </c>
      <c r="N763" s="234">
        <v>35572.5</v>
      </c>
      <c r="O763" s="243" t="s">
        <v>2385</v>
      </c>
      <c r="P763" s="236">
        <v>45931</v>
      </c>
    </row>
    <row r="764" spans="1:16" ht="51" customHeight="1">
      <c r="A764" s="239" t="s">
        <v>2374</v>
      </c>
      <c r="B764" s="240">
        <v>1973</v>
      </c>
      <c r="C764" s="239" t="s">
        <v>2357</v>
      </c>
      <c r="D764" s="239" t="s">
        <v>2152</v>
      </c>
      <c r="E764" s="239" t="s">
        <v>403</v>
      </c>
      <c r="F764" s="239" t="s">
        <v>404</v>
      </c>
      <c r="G764" s="239" t="s">
        <v>943</v>
      </c>
      <c r="H764" s="239" t="s">
        <v>51</v>
      </c>
      <c r="I764" s="239" t="s">
        <v>2153</v>
      </c>
      <c r="J764" s="234">
        <v>40200</v>
      </c>
      <c r="K764" s="234">
        <v>14620</v>
      </c>
      <c r="L764" s="242">
        <v>10</v>
      </c>
      <c r="M764" s="234">
        <v>25580</v>
      </c>
      <c r="N764" s="234">
        <v>23022</v>
      </c>
      <c r="O764" s="243" t="s">
        <v>2388</v>
      </c>
      <c r="P764" s="236">
        <v>45931</v>
      </c>
    </row>
    <row r="765" spans="1:16" ht="51" customHeight="1">
      <c r="A765" s="239" t="s">
        <v>2377</v>
      </c>
      <c r="B765" s="240">
        <v>1974</v>
      </c>
      <c r="C765" s="239" t="s">
        <v>2357</v>
      </c>
      <c r="D765" s="239" t="s">
        <v>2152</v>
      </c>
      <c r="E765" s="239" t="s">
        <v>780</v>
      </c>
      <c r="F765" s="239" t="s">
        <v>781</v>
      </c>
      <c r="G765" s="239" t="s">
        <v>943</v>
      </c>
      <c r="H765" s="239" t="s">
        <v>51</v>
      </c>
      <c r="I765" s="239" t="s">
        <v>2153</v>
      </c>
      <c r="J765" s="234">
        <v>37610</v>
      </c>
      <c r="K765" s="234">
        <v>14930</v>
      </c>
      <c r="L765" s="242">
        <v>10</v>
      </c>
      <c r="M765" s="234">
        <v>22680</v>
      </c>
      <c r="N765" s="234">
        <v>20412</v>
      </c>
      <c r="O765" s="243" t="s">
        <v>2390</v>
      </c>
      <c r="P765" s="236">
        <v>45931</v>
      </c>
    </row>
    <row r="766" spans="1:16" ht="51" customHeight="1">
      <c r="A766" s="239" t="s">
        <v>2378</v>
      </c>
      <c r="B766" s="240">
        <v>1975</v>
      </c>
      <c r="C766" s="239" t="s">
        <v>2357</v>
      </c>
      <c r="D766" s="239" t="s">
        <v>2152</v>
      </c>
      <c r="E766" s="239" t="s">
        <v>442</v>
      </c>
      <c r="F766" s="239" t="s">
        <v>443</v>
      </c>
      <c r="G766" s="239" t="s">
        <v>943</v>
      </c>
      <c r="H766" s="239" t="s">
        <v>51</v>
      </c>
      <c r="I766" s="239" t="s">
        <v>2153</v>
      </c>
      <c r="J766" s="234">
        <v>35620</v>
      </c>
      <c r="K766" s="234">
        <v>14550</v>
      </c>
      <c r="L766" s="242">
        <v>13</v>
      </c>
      <c r="M766" s="234">
        <v>21070</v>
      </c>
      <c r="N766" s="234">
        <v>18330.900000000001</v>
      </c>
      <c r="O766" s="243" t="s">
        <v>2391</v>
      </c>
      <c r="P766" s="236">
        <v>45931</v>
      </c>
    </row>
    <row r="767" spans="1:16" ht="51" customHeight="1">
      <c r="A767" s="239" t="s">
        <v>2379</v>
      </c>
      <c r="B767" s="240">
        <v>1976</v>
      </c>
      <c r="C767" s="239" t="s">
        <v>2357</v>
      </c>
      <c r="D767" s="239" t="s">
        <v>2152</v>
      </c>
      <c r="E767" s="239" t="s">
        <v>380</v>
      </c>
      <c r="F767" s="239" t="s">
        <v>381</v>
      </c>
      <c r="G767" s="239" t="s">
        <v>943</v>
      </c>
      <c r="H767" s="239" t="s">
        <v>51</v>
      </c>
      <c r="I767" s="239" t="s">
        <v>2153</v>
      </c>
      <c r="J767" s="234">
        <v>40780</v>
      </c>
      <c r="K767" s="234">
        <v>15160</v>
      </c>
      <c r="L767" s="242">
        <v>10</v>
      </c>
      <c r="M767" s="234">
        <v>25620</v>
      </c>
      <c r="N767" s="234">
        <v>23058</v>
      </c>
      <c r="O767" s="243" t="s">
        <v>2392</v>
      </c>
      <c r="P767" s="236">
        <v>45932</v>
      </c>
    </row>
    <row r="768" spans="1:16" ht="51" customHeight="1">
      <c r="A768" s="239" t="s">
        <v>2380</v>
      </c>
      <c r="B768" s="240">
        <v>1978</v>
      </c>
      <c r="C768" s="239" t="s">
        <v>2357</v>
      </c>
      <c r="D768" s="239" t="s">
        <v>2152</v>
      </c>
      <c r="E768" s="239" t="s">
        <v>866</v>
      </c>
      <c r="F768" s="239" t="s">
        <v>867</v>
      </c>
      <c r="G768" s="239" t="s">
        <v>943</v>
      </c>
      <c r="H768" s="239" t="s">
        <v>51</v>
      </c>
      <c r="I768" s="239" t="s">
        <v>2153</v>
      </c>
      <c r="J768" s="234">
        <v>38860</v>
      </c>
      <c r="K768" s="234">
        <v>14600</v>
      </c>
      <c r="L768" s="242">
        <v>10</v>
      </c>
      <c r="M768" s="234">
        <v>24260</v>
      </c>
      <c r="N768" s="234">
        <v>21834</v>
      </c>
      <c r="O768" s="243" t="s">
        <v>2393</v>
      </c>
      <c r="P768" s="236">
        <v>45932</v>
      </c>
    </row>
    <row r="769" spans="1:16" ht="51" customHeight="1">
      <c r="A769" s="239" t="s">
        <v>2381</v>
      </c>
      <c r="B769" s="240">
        <v>1979</v>
      </c>
      <c r="C769" s="239" t="s">
        <v>2357</v>
      </c>
      <c r="D769" s="239" t="s">
        <v>2152</v>
      </c>
      <c r="E769" s="239" t="s">
        <v>410</v>
      </c>
      <c r="F769" s="239" t="s">
        <v>411</v>
      </c>
      <c r="G769" s="239" t="s">
        <v>943</v>
      </c>
      <c r="H769" s="239" t="s">
        <v>51</v>
      </c>
      <c r="I769" s="239" t="s">
        <v>2153</v>
      </c>
      <c r="J769" s="234">
        <v>39950</v>
      </c>
      <c r="K769" s="234">
        <v>15260</v>
      </c>
      <c r="L769" s="242">
        <v>10</v>
      </c>
      <c r="M769" s="234">
        <v>24690</v>
      </c>
      <c r="N769" s="234">
        <v>22221</v>
      </c>
      <c r="O769" s="243" t="s">
        <v>2394</v>
      </c>
      <c r="P769" s="236">
        <v>45932</v>
      </c>
    </row>
    <row r="770" spans="1:16" ht="51" customHeight="1">
      <c r="A770" s="239" t="s">
        <v>2382</v>
      </c>
      <c r="B770" s="240">
        <v>1980</v>
      </c>
      <c r="C770" s="239" t="s">
        <v>2357</v>
      </c>
      <c r="D770" s="239" t="s">
        <v>2152</v>
      </c>
      <c r="E770" s="239" t="s">
        <v>388</v>
      </c>
      <c r="F770" s="239" t="s">
        <v>389</v>
      </c>
      <c r="G770" s="239" t="s">
        <v>943</v>
      </c>
      <c r="H770" s="239" t="s">
        <v>51</v>
      </c>
      <c r="I770" s="239" t="s">
        <v>2153</v>
      </c>
      <c r="J770" s="234">
        <v>55700</v>
      </c>
      <c r="K770" s="234">
        <v>21030</v>
      </c>
      <c r="L770" s="242">
        <v>9</v>
      </c>
      <c r="M770" s="234">
        <v>34670</v>
      </c>
      <c r="N770" s="234">
        <v>31549.7</v>
      </c>
      <c r="O770" s="243" t="s">
        <v>2395</v>
      </c>
      <c r="P770" s="236">
        <v>45932</v>
      </c>
    </row>
    <row r="771" spans="1:16" ht="51" customHeight="1">
      <c r="A771" s="239" t="s">
        <v>2383</v>
      </c>
      <c r="B771" s="240">
        <v>1981</v>
      </c>
      <c r="C771" s="241">
        <v>57727</v>
      </c>
      <c r="D771" s="239" t="s">
        <v>2152</v>
      </c>
      <c r="E771" s="239" t="s">
        <v>858</v>
      </c>
      <c r="F771" s="239" t="s">
        <v>859</v>
      </c>
      <c r="G771" s="239" t="s">
        <v>943</v>
      </c>
      <c r="H771" s="239" t="s">
        <v>51</v>
      </c>
      <c r="I771" s="239" t="s">
        <v>2153</v>
      </c>
      <c r="J771" s="234">
        <v>39090</v>
      </c>
      <c r="K771" s="234">
        <v>14900</v>
      </c>
      <c r="L771" s="242">
        <v>10</v>
      </c>
      <c r="M771" s="234">
        <v>24190</v>
      </c>
      <c r="N771" s="234">
        <v>21771</v>
      </c>
      <c r="O771" s="243" t="s">
        <v>2396</v>
      </c>
      <c r="P771" s="236">
        <v>45932</v>
      </c>
    </row>
    <row r="772" spans="1:16" ht="51" customHeight="1">
      <c r="A772" s="239" t="s">
        <v>2373</v>
      </c>
      <c r="B772" s="240">
        <v>1972</v>
      </c>
      <c r="C772" s="239" t="s">
        <v>2357</v>
      </c>
      <c r="D772" s="239" t="s">
        <v>2152</v>
      </c>
      <c r="E772" s="239" t="s">
        <v>406</v>
      </c>
      <c r="F772" s="239" t="s">
        <v>407</v>
      </c>
      <c r="G772" s="239" t="s">
        <v>943</v>
      </c>
      <c r="H772" s="239" t="s">
        <v>51</v>
      </c>
      <c r="I772" s="239" t="s">
        <v>2153</v>
      </c>
      <c r="J772" s="234">
        <v>40140</v>
      </c>
      <c r="K772" s="234">
        <v>15210</v>
      </c>
      <c r="L772" s="242">
        <v>10</v>
      </c>
      <c r="M772" s="234">
        <v>24930</v>
      </c>
      <c r="N772" s="234">
        <v>22437</v>
      </c>
      <c r="O772" s="243" t="s">
        <v>2387</v>
      </c>
      <c r="P772" s="236">
        <v>45931</v>
      </c>
    </row>
    <row r="773" spans="1:16" ht="51" customHeight="1">
      <c r="A773" s="239" t="s">
        <v>2384</v>
      </c>
      <c r="B773" s="240">
        <v>1983</v>
      </c>
      <c r="C773" s="241">
        <v>57728</v>
      </c>
      <c r="D773" s="239" t="s">
        <v>2152</v>
      </c>
      <c r="E773" s="239" t="s">
        <v>372</v>
      </c>
      <c r="F773" s="239" t="s">
        <v>373</v>
      </c>
      <c r="G773" s="239" t="s">
        <v>943</v>
      </c>
      <c r="H773" s="239" t="s">
        <v>51</v>
      </c>
      <c r="I773" s="239" t="s">
        <v>2153</v>
      </c>
      <c r="J773" s="234">
        <v>38010</v>
      </c>
      <c r="K773" s="234">
        <v>14820</v>
      </c>
      <c r="L773" s="242">
        <v>8</v>
      </c>
      <c r="M773" s="234">
        <v>23190</v>
      </c>
      <c r="N773" s="234">
        <v>21334.799999999999</v>
      </c>
      <c r="O773" s="243" t="s">
        <v>2397</v>
      </c>
      <c r="P773" s="236">
        <v>45932</v>
      </c>
    </row>
    <row r="774" spans="1:16" ht="51" customHeight="1">
      <c r="A774" s="239" t="s">
        <v>2398</v>
      </c>
      <c r="B774" s="240">
        <v>1984</v>
      </c>
      <c r="C774" s="241">
        <v>57729</v>
      </c>
      <c r="D774" s="239" t="s">
        <v>2152</v>
      </c>
      <c r="E774" s="239" t="s">
        <v>377</v>
      </c>
      <c r="F774" s="239" t="s">
        <v>378</v>
      </c>
      <c r="G774" s="239" t="s">
        <v>943</v>
      </c>
      <c r="H774" s="239" t="s">
        <v>51</v>
      </c>
      <c r="I774" s="239" t="s">
        <v>2153</v>
      </c>
      <c r="J774" s="234">
        <v>41820</v>
      </c>
      <c r="K774" s="234">
        <v>15120</v>
      </c>
      <c r="L774" s="242">
        <v>8</v>
      </c>
      <c r="M774" s="234">
        <v>26700</v>
      </c>
      <c r="N774" s="234">
        <v>24564</v>
      </c>
      <c r="O774" s="243" t="s">
        <v>2400</v>
      </c>
      <c r="P774" s="236">
        <v>45932</v>
      </c>
    </row>
    <row r="775" spans="1:16" ht="51" customHeight="1">
      <c r="A775" s="239" t="s">
        <v>2399</v>
      </c>
      <c r="B775" s="240">
        <v>1987</v>
      </c>
      <c r="C775" s="241">
        <v>57730</v>
      </c>
      <c r="D775" s="239" t="s">
        <v>2152</v>
      </c>
      <c r="E775" s="239" t="s">
        <v>382</v>
      </c>
      <c r="F775" s="239" t="s">
        <v>383</v>
      </c>
      <c r="G775" s="239" t="s">
        <v>943</v>
      </c>
      <c r="H775" s="239" t="s">
        <v>51</v>
      </c>
      <c r="I775" s="239" t="s">
        <v>2153</v>
      </c>
      <c r="J775" s="234">
        <v>38420</v>
      </c>
      <c r="K775" s="234">
        <v>14580</v>
      </c>
      <c r="L775" s="242">
        <v>7</v>
      </c>
      <c r="M775" s="234">
        <v>23840</v>
      </c>
      <c r="N775" s="234">
        <v>22171.200000000001</v>
      </c>
      <c r="O775" s="243" t="s">
        <v>2401</v>
      </c>
      <c r="P775" s="236">
        <v>45932</v>
      </c>
    </row>
    <row r="776" spans="1:16" ht="51" customHeight="1">
      <c r="A776" s="239" t="s">
        <v>2402</v>
      </c>
      <c r="B776" s="240">
        <v>1992</v>
      </c>
      <c r="C776" s="241">
        <v>57730</v>
      </c>
      <c r="D776" s="239" t="s">
        <v>2152</v>
      </c>
      <c r="E776" s="239" t="s">
        <v>400</v>
      </c>
      <c r="F776" s="239" t="s">
        <v>401</v>
      </c>
      <c r="G776" s="239" t="s">
        <v>945</v>
      </c>
      <c r="H776" s="239" t="s">
        <v>51</v>
      </c>
      <c r="I776" s="239" t="s">
        <v>2153</v>
      </c>
      <c r="J776" s="234">
        <v>39900</v>
      </c>
      <c r="K776" s="234">
        <v>14740</v>
      </c>
      <c r="L776" s="242">
        <v>14</v>
      </c>
      <c r="M776" s="234">
        <v>25160</v>
      </c>
      <c r="N776" s="234">
        <v>21637.599999999999</v>
      </c>
      <c r="O776" s="243" t="s">
        <v>2420</v>
      </c>
      <c r="P776" s="236">
        <v>45932</v>
      </c>
    </row>
    <row r="777" spans="1:16" ht="51" customHeight="1">
      <c r="A777" s="239" t="s">
        <v>2403</v>
      </c>
      <c r="B777" s="240">
        <v>1993</v>
      </c>
      <c r="C777" s="241">
        <v>57731</v>
      </c>
      <c r="D777" s="239" t="s">
        <v>2152</v>
      </c>
      <c r="E777" s="239" t="s">
        <v>403</v>
      </c>
      <c r="F777" s="239" t="s">
        <v>404</v>
      </c>
      <c r="G777" s="239" t="s">
        <v>945</v>
      </c>
      <c r="H777" s="239" t="s">
        <v>51</v>
      </c>
      <c r="I777" s="239" t="s">
        <v>2153</v>
      </c>
      <c r="J777" s="234">
        <v>39830</v>
      </c>
      <c r="K777" s="234">
        <v>14550</v>
      </c>
      <c r="L777" s="242">
        <v>6</v>
      </c>
      <c r="M777" s="234">
        <v>25280</v>
      </c>
      <c r="N777" s="234">
        <v>23763.200000000001</v>
      </c>
      <c r="O777" s="243" t="s">
        <v>2421</v>
      </c>
      <c r="P777" s="236">
        <v>45932</v>
      </c>
    </row>
    <row r="778" spans="1:16" ht="51" customHeight="1">
      <c r="A778" s="239" t="s">
        <v>2404</v>
      </c>
      <c r="B778" s="240">
        <v>1994</v>
      </c>
      <c r="C778" s="239" t="s">
        <v>2376</v>
      </c>
      <c r="D778" s="239" t="s">
        <v>2152</v>
      </c>
      <c r="E778" s="239" t="s">
        <v>390</v>
      </c>
      <c r="F778" s="239" t="s">
        <v>391</v>
      </c>
      <c r="G778" s="239" t="s">
        <v>945</v>
      </c>
      <c r="H778" s="239" t="s">
        <v>51</v>
      </c>
      <c r="I778" s="239" t="s">
        <v>2153</v>
      </c>
      <c r="J778" s="234">
        <v>40780</v>
      </c>
      <c r="K778" s="234">
        <v>15150</v>
      </c>
      <c r="L778" s="242">
        <v>7</v>
      </c>
      <c r="M778" s="234">
        <v>25630</v>
      </c>
      <c r="N778" s="234">
        <v>23835.9</v>
      </c>
      <c r="O778" s="243" t="s">
        <v>2422</v>
      </c>
      <c r="P778" s="236">
        <v>45932</v>
      </c>
    </row>
    <row r="779" spans="1:16" ht="51" customHeight="1">
      <c r="A779" s="239" t="s">
        <v>2408</v>
      </c>
      <c r="B779" s="240">
        <v>1995</v>
      </c>
      <c r="C779" s="239" t="s">
        <v>2357</v>
      </c>
      <c r="D779" s="239" t="s">
        <v>2152</v>
      </c>
      <c r="E779" s="239" t="s">
        <v>392</v>
      </c>
      <c r="F779" s="239" t="s">
        <v>393</v>
      </c>
      <c r="G779" s="239" t="s">
        <v>945</v>
      </c>
      <c r="H779" s="239" t="s">
        <v>51</v>
      </c>
      <c r="I779" s="239" t="s">
        <v>2153</v>
      </c>
      <c r="J779" s="234">
        <v>65180</v>
      </c>
      <c r="K779" s="234">
        <v>24220</v>
      </c>
      <c r="L779" s="242">
        <v>6</v>
      </c>
      <c r="M779" s="234">
        <v>40960</v>
      </c>
      <c r="N779" s="234">
        <v>38502.400000000001</v>
      </c>
      <c r="O779" s="243" t="s">
        <v>2426</v>
      </c>
      <c r="P779" s="236">
        <v>45932</v>
      </c>
    </row>
    <row r="780" spans="1:16" ht="51" customHeight="1">
      <c r="A780" s="239" t="s">
        <v>2409</v>
      </c>
      <c r="B780" s="240">
        <v>1996</v>
      </c>
      <c r="C780" s="239" t="s">
        <v>2357</v>
      </c>
      <c r="D780" s="239" t="s">
        <v>2152</v>
      </c>
      <c r="E780" s="239" t="s">
        <v>374</v>
      </c>
      <c r="F780" s="239" t="s">
        <v>375</v>
      </c>
      <c r="G780" s="239" t="s">
        <v>945</v>
      </c>
      <c r="H780" s="239" t="s">
        <v>51</v>
      </c>
      <c r="I780" s="239" t="s">
        <v>2153</v>
      </c>
      <c r="J780" s="234">
        <v>41130</v>
      </c>
      <c r="K780" s="234">
        <v>15710</v>
      </c>
      <c r="L780" s="242">
        <v>11</v>
      </c>
      <c r="M780" s="234">
        <v>25420</v>
      </c>
      <c r="N780" s="234">
        <v>22623.8</v>
      </c>
      <c r="O780" s="243" t="s">
        <v>2427</v>
      </c>
      <c r="P780" s="236">
        <v>45932</v>
      </c>
    </row>
    <row r="781" spans="1:16" ht="51" customHeight="1">
      <c r="A781" s="239" t="s">
        <v>2411</v>
      </c>
      <c r="B781" s="240">
        <v>1998</v>
      </c>
      <c r="C781" s="239" t="s">
        <v>2357</v>
      </c>
      <c r="D781" s="239" t="s">
        <v>2152</v>
      </c>
      <c r="E781" s="239" t="s">
        <v>866</v>
      </c>
      <c r="F781" s="239" t="s">
        <v>867</v>
      </c>
      <c r="G781" s="239" t="s">
        <v>945</v>
      </c>
      <c r="H781" s="239" t="s">
        <v>51</v>
      </c>
      <c r="I781" s="239" t="s">
        <v>2153</v>
      </c>
      <c r="J781" s="234">
        <v>39340</v>
      </c>
      <c r="K781" s="234">
        <v>14580</v>
      </c>
      <c r="L781" s="242">
        <v>6</v>
      </c>
      <c r="M781" s="234">
        <v>24760</v>
      </c>
      <c r="N781" s="234">
        <v>23274.400000000001</v>
      </c>
      <c r="O781" s="243" t="s">
        <v>2429</v>
      </c>
      <c r="P781" s="236">
        <v>45932</v>
      </c>
    </row>
    <row r="782" spans="1:16" ht="51" customHeight="1">
      <c r="A782" s="239" t="s">
        <v>2414</v>
      </c>
      <c r="B782" s="240">
        <v>2000</v>
      </c>
      <c r="C782" s="239" t="s">
        <v>2357</v>
      </c>
      <c r="D782" s="239" t="s">
        <v>2152</v>
      </c>
      <c r="E782" s="239" t="s">
        <v>380</v>
      </c>
      <c r="F782" s="239" t="s">
        <v>381</v>
      </c>
      <c r="G782" s="239" t="s">
        <v>945</v>
      </c>
      <c r="H782" s="239" t="s">
        <v>51</v>
      </c>
      <c r="I782" s="239" t="s">
        <v>2153</v>
      </c>
      <c r="J782" s="234">
        <v>40640</v>
      </c>
      <c r="K782" s="234">
        <v>15090</v>
      </c>
      <c r="L782" s="242">
        <v>11</v>
      </c>
      <c r="M782" s="234">
        <v>25550</v>
      </c>
      <c r="N782" s="234">
        <v>22739.5</v>
      </c>
      <c r="O782" s="243" t="s">
        <v>2432</v>
      </c>
      <c r="P782" s="236">
        <v>45932</v>
      </c>
    </row>
    <row r="783" spans="1:16" ht="51" customHeight="1">
      <c r="A783" s="239" t="s">
        <v>2415</v>
      </c>
      <c r="B783" s="240">
        <v>2001</v>
      </c>
      <c r="C783" s="239" t="s">
        <v>2357</v>
      </c>
      <c r="D783" s="239" t="s">
        <v>2152</v>
      </c>
      <c r="E783" s="239" t="s">
        <v>388</v>
      </c>
      <c r="F783" s="239" t="s">
        <v>389</v>
      </c>
      <c r="G783" s="239" t="s">
        <v>945</v>
      </c>
      <c r="H783" s="239" t="s">
        <v>51</v>
      </c>
      <c r="I783" s="239" t="s">
        <v>2153</v>
      </c>
      <c r="J783" s="234">
        <v>56280</v>
      </c>
      <c r="K783" s="234">
        <v>20970</v>
      </c>
      <c r="L783" s="242">
        <v>11</v>
      </c>
      <c r="M783" s="234">
        <v>35310</v>
      </c>
      <c r="N783" s="234">
        <v>31425.9</v>
      </c>
      <c r="O783" s="243" t="s">
        <v>2433</v>
      </c>
      <c r="P783" s="236">
        <v>45932</v>
      </c>
    </row>
    <row r="784" spans="1:16" ht="51" customHeight="1">
      <c r="A784" s="239" t="s">
        <v>2419</v>
      </c>
      <c r="B784" s="240">
        <v>2003</v>
      </c>
      <c r="C784" s="239" t="s">
        <v>2357</v>
      </c>
      <c r="D784" s="239" t="s">
        <v>2152</v>
      </c>
      <c r="E784" s="239" t="s">
        <v>442</v>
      </c>
      <c r="F784" s="239" t="s">
        <v>443</v>
      </c>
      <c r="G784" s="239" t="s">
        <v>945</v>
      </c>
      <c r="H784" s="239" t="s">
        <v>51</v>
      </c>
      <c r="I784" s="239" t="s">
        <v>2153</v>
      </c>
      <c r="J784" s="234">
        <v>35970</v>
      </c>
      <c r="K784" s="234">
        <v>14490</v>
      </c>
      <c r="L784" s="242">
        <v>6</v>
      </c>
      <c r="M784" s="234">
        <v>21480</v>
      </c>
      <c r="N784" s="234">
        <v>20191.2</v>
      </c>
      <c r="O784" s="243" t="s">
        <v>2437</v>
      </c>
      <c r="P784" s="236">
        <v>45932</v>
      </c>
    </row>
    <row r="785" spans="1:16" ht="51" customHeight="1">
      <c r="A785" s="239" t="s">
        <v>2405</v>
      </c>
      <c r="B785" s="240">
        <v>2004</v>
      </c>
      <c r="C785" s="239" t="s">
        <v>2357</v>
      </c>
      <c r="D785" s="239" t="s">
        <v>2152</v>
      </c>
      <c r="E785" s="239" t="s">
        <v>780</v>
      </c>
      <c r="F785" s="239" t="s">
        <v>781</v>
      </c>
      <c r="G785" s="239" t="s">
        <v>945</v>
      </c>
      <c r="H785" s="239" t="s">
        <v>51</v>
      </c>
      <c r="I785" s="239" t="s">
        <v>2153</v>
      </c>
      <c r="J785" s="234">
        <v>34630</v>
      </c>
      <c r="K785" s="234">
        <v>14870</v>
      </c>
      <c r="L785" s="242">
        <v>14</v>
      </c>
      <c r="M785" s="234">
        <v>19760</v>
      </c>
      <c r="N785" s="234">
        <v>16993.599999999999</v>
      </c>
      <c r="O785" s="243" t="s">
        <v>2423</v>
      </c>
      <c r="P785" s="236">
        <v>45932</v>
      </c>
    </row>
    <row r="786" spans="1:16" ht="51" customHeight="1">
      <c r="A786" s="239" t="s">
        <v>2406</v>
      </c>
      <c r="B786" s="240">
        <v>2005</v>
      </c>
      <c r="C786" s="239" t="s">
        <v>2357</v>
      </c>
      <c r="D786" s="239" t="s">
        <v>2152</v>
      </c>
      <c r="E786" s="239" t="s">
        <v>372</v>
      </c>
      <c r="F786" s="239" t="s">
        <v>373</v>
      </c>
      <c r="G786" s="239" t="s">
        <v>945</v>
      </c>
      <c r="H786" s="239" t="s">
        <v>51</v>
      </c>
      <c r="I786" s="239" t="s">
        <v>2153</v>
      </c>
      <c r="J786" s="234">
        <v>38450</v>
      </c>
      <c r="K786" s="234">
        <v>14940</v>
      </c>
      <c r="L786" s="242">
        <v>21</v>
      </c>
      <c r="M786" s="234">
        <v>23510</v>
      </c>
      <c r="N786" s="234">
        <v>18572.900000000001</v>
      </c>
      <c r="O786" s="243" t="s">
        <v>2424</v>
      </c>
      <c r="P786" s="236">
        <v>45932</v>
      </c>
    </row>
    <row r="787" spans="1:16" ht="51" customHeight="1">
      <c r="A787" s="239" t="s">
        <v>2407</v>
      </c>
      <c r="B787" s="240">
        <v>2006</v>
      </c>
      <c r="C787" s="239" t="s">
        <v>2357</v>
      </c>
      <c r="D787" s="239" t="s">
        <v>2152</v>
      </c>
      <c r="E787" s="239" t="s">
        <v>858</v>
      </c>
      <c r="F787" s="239" t="s">
        <v>859</v>
      </c>
      <c r="G787" s="239" t="s">
        <v>945</v>
      </c>
      <c r="H787" s="239" t="s">
        <v>51</v>
      </c>
      <c r="I787" s="239" t="s">
        <v>2153</v>
      </c>
      <c r="J787" s="234">
        <v>39040</v>
      </c>
      <c r="K787" s="234">
        <v>14790</v>
      </c>
      <c r="L787" s="242">
        <v>9</v>
      </c>
      <c r="M787" s="234">
        <v>24250</v>
      </c>
      <c r="N787" s="234">
        <v>22067.5</v>
      </c>
      <c r="O787" s="243" t="s">
        <v>2425</v>
      </c>
      <c r="P787" s="236">
        <v>45932</v>
      </c>
    </row>
    <row r="788" spans="1:16" ht="51" customHeight="1">
      <c r="A788" s="239" t="s">
        <v>2410</v>
      </c>
      <c r="B788" s="240">
        <v>2007</v>
      </c>
      <c r="C788" s="239" t="s">
        <v>2357</v>
      </c>
      <c r="D788" s="239" t="s">
        <v>2152</v>
      </c>
      <c r="E788" s="239" t="s">
        <v>377</v>
      </c>
      <c r="F788" s="239" t="s">
        <v>378</v>
      </c>
      <c r="G788" s="239" t="s">
        <v>945</v>
      </c>
      <c r="H788" s="239" t="s">
        <v>51</v>
      </c>
      <c r="I788" s="239" t="s">
        <v>2153</v>
      </c>
      <c r="J788" s="234">
        <v>43570</v>
      </c>
      <c r="K788" s="234">
        <v>15200</v>
      </c>
      <c r="L788" s="242">
        <v>12</v>
      </c>
      <c r="M788" s="234">
        <v>28370</v>
      </c>
      <c r="N788" s="234">
        <v>24965.599999999999</v>
      </c>
      <c r="O788" s="243" t="s">
        <v>2428</v>
      </c>
      <c r="P788" s="236">
        <v>45932</v>
      </c>
    </row>
    <row r="789" spans="1:16" ht="51" customHeight="1">
      <c r="A789" s="239" t="s">
        <v>2412</v>
      </c>
      <c r="B789" s="240">
        <v>2008</v>
      </c>
      <c r="C789" s="239" t="s">
        <v>2357</v>
      </c>
      <c r="D789" s="239" t="s">
        <v>2152</v>
      </c>
      <c r="E789" s="239" t="s">
        <v>410</v>
      </c>
      <c r="F789" s="239" t="s">
        <v>411</v>
      </c>
      <c r="G789" s="239" t="s">
        <v>945</v>
      </c>
      <c r="H789" s="239" t="s">
        <v>51</v>
      </c>
      <c r="I789" s="239" t="s">
        <v>2153</v>
      </c>
      <c r="J789" s="234">
        <v>39790</v>
      </c>
      <c r="K789" s="234">
        <v>15190</v>
      </c>
      <c r="L789" s="242">
        <v>13</v>
      </c>
      <c r="M789" s="234">
        <v>24600</v>
      </c>
      <c r="N789" s="234">
        <v>21402</v>
      </c>
      <c r="O789" s="243" t="s">
        <v>2430</v>
      </c>
      <c r="P789" s="236">
        <v>45932</v>
      </c>
    </row>
    <row r="790" spans="1:16" ht="51" customHeight="1">
      <c r="A790" s="239" t="s">
        <v>2413</v>
      </c>
      <c r="B790" s="240">
        <v>2009</v>
      </c>
      <c r="C790" s="239" t="s">
        <v>2357</v>
      </c>
      <c r="D790" s="239" t="s">
        <v>2152</v>
      </c>
      <c r="E790" s="239" t="s">
        <v>384</v>
      </c>
      <c r="F790" s="239" t="s">
        <v>385</v>
      </c>
      <c r="G790" s="239" t="s">
        <v>945</v>
      </c>
      <c r="H790" s="239" t="s">
        <v>51</v>
      </c>
      <c r="I790" s="239" t="s">
        <v>2153</v>
      </c>
      <c r="J790" s="234">
        <v>36600</v>
      </c>
      <c r="K790" s="234">
        <v>13980</v>
      </c>
      <c r="L790" s="242">
        <v>12</v>
      </c>
      <c r="M790" s="234">
        <v>22620</v>
      </c>
      <c r="N790" s="234">
        <v>19905.599999999999</v>
      </c>
      <c r="O790" s="243" t="s">
        <v>2431</v>
      </c>
      <c r="P790" s="236">
        <v>45932</v>
      </c>
    </row>
    <row r="791" spans="1:16" ht="51" customHeight="1">
      <c r="A791" s="239" t="s">
        <v>2416</v>
      </c>
      <c r="B791" s="240">
        <v>2010</v>
      </c>
      <c r="C791" s="239" t="s">
        <v>2357</v>
      </c>
      <c r="D791" s="239" t="s">
        <v>2152</v>
      </c>
      <c r="E791" s="239" t="s">
        <v>403</v>
      </c>
      <c r="F791" s="239" t="s">
        <v>404</v>
      </c>
      <c r="G791" s="239" t="s">
        <v>945</v>
      </c>
      <c r="H791" s="239" t="s">
        <v>51</v>
      </c>
      <c r="I791" s="239" t="s">
        <v>2153</v>
      </c>
      <c r="J791" s="234">
        <v>38560</v>
      </c>
      <c r="K791" s="234">
        <v>14490</v>
      </c>
      <c r="L791" s="242">
        <v>11</v>
      </c>
      <c r="M791" s="234">
        <v>24070</v>
      </c>
      <c r="N791" s="234">
        <v>21422.3</v>
      </c>
      <c r="O791" s="243" t="s">
        <v>2434</v>
      </c>
      <c r="P791" s="236">
        <v>45932</v>
      </c>
    </row>
    <row r="792" spans="1:16" ht="51" customHeight="1">
      <c r="A792" s="239" t="s">
        <v>2417</v>
      </c>
      <c r="B792" s="240">
        <v>2011</v>
      </c>
      <c r="C792" s="239" t="s">
        <v>2357</v>
      </c>
      <c r="D792" s="239" t="s">
        <v>2152</v>
      </c>
      <c r="E792" s="239" t="s">
        <v>400</v>
      </c>
      <c r="F792" s="239" t="s">
        <v>401</v>
      </c>
      <c r="G792" s="239" t="s">
        <v>945</v>
      </c>
      <c r="H792" s="239" t="s">
        <v>51</v>
      </c>
      <c r="I792" s="239" t="s">
        <v>2153</v>
      </c>
      <c r="J792" s="234">
        <v>38730</v>
      </c>
      <c r="K792" s="234">
        <v>14840</v>
      </c>
      <c r="L792" s="242">
        <v>17</v>
      </c>
      <c r="M792" s="234">
        <v>23890</v>
      </c>
      <c r="N792" s="234">
        <v>19828.7</v>
      </c>
      <c r="O792" s="243" t="s">
        <v>2435</v>
      </c>
      <c r="P792" s="236">
        <v>45932</v>
      </c>
    </row>
    <row r="793" spans="1:16" ht="51" customHeight="1">
      <c r="A793" s="239" t="s">
        <v>2418</v>
      </c>
      <c r="B793" s="240">
        <v>2012</v>
      </c>
      <c r="C793" s="239" t="s">
        <v>2357</v>
      </c>
      <c r="D793" s="239" t="s">
        <v>2152</v>
      </c>
      <c r="E793" s="239" t="s">
        <v>382</v>
      </c>
      <c r="F793" s="239" t="s">
        <v>383</v>
      </c>
      <c r="G793" s="239" t="s">
        <v>945</v>
      </c>
      <c r="H793" s="239" t="s">
        <v>51</v>
      </c>
      <c r="I793" s="239" t="s">
        <v>2153</v>
      </c>
      <c r="J793" s="234">
        <v>38530</v>
      </c>
      <c r="K793" s="234">
        <v>14660</v>
      </c>
      <c r="L793" s="242">
        <v>16</v>
      </c>
      <c r="M793" s="234">
        <v>23870</v>
      </c>
      <c r="N793" s="234">
        <v>20050.8</v>
      </c>
      <c r="O793" s="243" t="s">
        <v>2436</v>
      </c>
      <c r="P793" s="236">
        <v>45932</v>
      </c>
    </row>
    <row r="794" spans="1:16" ht="51" customHeight="1">
      <c r="A794" s="239" t="s">
        <v>2438</v>
      </c>
      <c r="B794" s="240">
        <v>2013</v>
      </c>
      <c r="C794" s="239" t="s">
        <v>2357</v>
      </c>
      <c r="D794" s="239" t="s">
        <v>2152</v>
      </c>
      <c r="E794" s="239" t="s">
        <v>392</v>
      </c>
      <c r="F794" s="239" t="s">
        <v>393</v>
      </c>
      <c r="G794" s="239" t="s">
        <v>945</v>
      </c>
      <c r="H794" s="239" t="s">
        <v>51</v>
      </c>
      <c r="I794" s="239" t="s">
        <v>2153</v>
      </c>
      <c r="J794" s="234">
        <v>63840</v>
      </c>
      <c r="K794" s="234">
        <v>24140</v>
      </c>
      <c r="L794" s="242">
        <v>15</v>
      </c>
      <c r="M794" s="234">
        <v>39700</v>
      </c>
      <c r="N794" s="234">
        <v>33745</v>
      </c>
      <c r="O794" s="243" t="s">
        <v>2439</v>
      </c>
      <c r="P794" s="236">
        <v>45933</v>
      </c>
    </row>
    <row r="795" spans="1:16" ht="51" customHeight="1">
      <c r="A795" s="239" t="s">
        <v>2441</v>
      </c>
      <c r="B795" s="240">
        <v>2017</v>
      </c>
      <c r="C795" s="239" t="s">
        <v>2357</v>
      </c>
      <c r="D795" s="239" t="s">
        <v>2152</v>
      </c>
      <c r="E795" s="239" t="s">
        <v>390</v>
      </c>
      <c r="F795" s="239" t="s">
        <v>391</v>
      </c>
      <c r="G795" s="239" t="s">
        <v>943</v>
      </c>
      <c r="H795" s="239" t="s">
        <v>51</v>
      </c>
      <c r="I795" s="239" t="s">
        <v>2153</v>
      </c>
      <c r="J795" s="234">
        <v>38600</v>
      </c>
      <c r="K795" s="234">
        <v>15070</v>
      </c>
      <c r="L795" s="242">
        <v>18</v>
      </c>
      <c r="M795" s="234">
        <v>23530</v>
      </c>
      <c r="N795" s="234">
        <v>19294.599999999999</v>
      </c>
      <c r="O795" s="243" t="s">
        <v>2442</v>
      </c>
      <c r="P795" s="236">
        <v>45933</v>
      </c>
    </row>
    <row r="796" spans="1:16" ht="51" customHeight="1">
      <c r="A796" s="239" t="s">
        <v>2443</v>
      </c>
      <c r="B796" s="240">
        <v>2018</v>
      </c>
      <c r="C796" s="239" t="s">
        <v>2357</v>
      </c>
      <c r="D796" s="239" t="s">
        <v>2152</v>
      </c>
      <c r="E796" s="239" t="s">
        <v>374</v>
      </c>
      <c r="F796" s="239" t="s">
        <v>375</v>
      </c>
      <c r="G796" s="239" t="s">
        <v>943</v>
      </c>
      <c r="H796" s="239" t="s">
        <v>51</v>
      </c>
      <c r="I796" s="239" t="s">
        <v>2153</v>
      </c>
      <c r="J796" s="234">
        <v>40640</v>
      </c>
      <c r="K796" s="234">
        <v>15650</v>
      </c>
      <c r="L796" s="242">
        <v>12</v>
      </c>
      <c r="M796" s="234">
        <v>24990</v>
      </c>
      <c r="N796" s="234">
        <v>21991.200000000001</v>
      </c>
      <c r="O796" s="243" t="s">
        <v>2444</v>
      </c>
      <c r="P796" s="236">
        <v>45933</v>
      </c>
    </row>
    <row r="797" spans="1:16" ht="51" customHeight="1">
      <c r="A797" s="239" t="s">
        <v>2445</v>
      </c>
      <c r="B797" s="240">
        <v>2019</v>
      </c>
      <c r="C797" s="239" t="s">
        <v>2357</v>
      </c>
      <c r="D797" s="239" t="s">
        <v>2152</v>
      </c>
      <c r="E797" s="239" t="s">
        <v>866</v>
      </c>
      <c r="F797" s="239" t="s">
        <v>867</v>
      </c>
      <c r="G797" s="239" t="s">
        <v>943</v>
      </c>
      <c r="H797" s="239" t="s">
        <v>51</v>
      </c>
      <c r="I797" s="239" t="s">
        <v>2153</v>
      </c>
      <c r="J797" s="234">
        <v>38770</v>
      </c>
      <c r="K797" s="234">
        <v>14580</v>
      </c>
      <c r="L797" s="242">
        <v>13</v>
      </c>
      <c r="M797" s="234">
        <v>24190</v>
      </c>
      <c r="N797" s="234">
        <v>21045.3</v>
      </c>
      <c r="O797" s="243" t="s">
        <v>2446</v>
      </c>
      <c r="P797" s="236">
        <v>45933</v>
      </c>
    </row>
    <row r="798" spans="1:16" ht="51" customHeight="1">
      <c r="A798" s="239" t="s">
        <v>2450</v>
      </c>
      <c r="B798" s="240">
        <v>2026</v>
      </c>
      <c r="C798" s="239" t="s">
        <v>2357</v>
      </c>
      <c r="D798" s="239" t="s">
        <v>2152</v>
      </c>
      <c r="E798" s="239" t="s">
        <v>380</v>
      </c>
      <c r="F798" s="239" t="s">
        <v>381</v>
      </c>
      <c r="G798" s="239" t="s">
        <v>943</v>
      </c>
      <c r="H798" s="239" t="s">
        <v>51</v>
      </c>
      <c r="I798" s="239" t="s">
        <v>2153</v>
      </c>
      <c r="J798" s="234">
        <v>39840</v>
      </c>
      <c r="K798" s="234">
        <v>15050</v>
      </c>
      <c r="L798" s="242">
        <v>10</v>
      </c>
      <c r="M798" s="234">
        <v>24790</v>
      </c>
      <c r="N798" s="234">
        <v>22311</v>
      </c>
      <c r="O798" s="243" t="s">
        <v>2466</v>
      </c>
      <c r="P798" s="236">
        <v>45933</v>
      </c>
    </row>
    <row r="799" spans="1:16" ht="51" customHeight="1">
      <c r="A799" s="239" t="s">
        <v>2451</v>
      </c>
      <c r="B799" s="240">
        <v>2027</v>
      </c>
      <c r="C799" s="239" t="s">
        <v>2357</v>
      </c>
      <c r="D799" s="239" t="s">
        <v>2152</v>
      </c>
      <c r="E799" s="239" t="s">
        <v>372</v>
      </c>
      <c r="F799" s="239" t="s">
        <v>373</v>
      </c>
      <c r="G799" s="239" t="s">
        <v>943</v>
      </c>
      <c r="H799" s="239" t="s">
        <v>51</v>
      </c>
      <c r="I799" s="239" t="s">
        <v>2153</v>
      </c>
      <c r="J799" s="234">
        <v>39140</v>
      </c>
      <c r="K799" s="234">
        <v>14870</v>
      </c>
      <c r="L799" s="242">
        <v>7</v>
      </c>
      <c r="M799" s="234">
        <v>24270</v>
      </c>
      <c r="N799" s="234">
        <v>22571.1</v>
      </c>
      <c r="O799" s="243" t="s">
        <v>2467</v>
      </c>
      <c r="P799" s="236">
        <v>45933</v>
      </c>
    </row>
    <row r="800" spans="1:16" ht="51" customHeight="1">
      <c r="A800" s="239" t="s">
        <v>2452</v>
      </c>
      <c r="B800" s="240">
        <v>2028</v>
      </c>
      <c r="C800" s="239" t="s">
        <v>2357</v>
      </c>
      <c r="D800" s="239" t="s">
        <v>2152</v>
      </c>
      <c r="E800" s="239" t="s">
        <v>388</v>
      </c>
      <c r="F800" s="239" t="s">
        <v>389</v>
      </c>
      <c r="G800" s="239" t="s">
        <v>943</v>
      </c>
      <c r="H800" s="239" t="s">
        <v>51</v>
      </c>
      <c r="I800" s="239" t="s">
        <v>2153</v>
      </c>
      <c r="J800" s="234">
        <v>54420</v>
      </c>
      <c r="K800" s="234">
        <v>20910</v>
      </c>
      <c r="L800" s="242">
        <v>8</v>
      </c>
      <c r="M800" s="234">
        <v>33510</v>
      </c>
      <c r="N800" s="234">
        <v>30829.200000000001</v>
      </c>
      <c r="O800" s="243" t="s">
        <v>2468</v>
      </c>
      <c r="P800" s="236">
        <v>45933</v>
      </c>
    </row>
    <row r="801" spans="1:16" ht="51" customHeight="1">
      <c r="A801" s="239" t="s">
        <v>2459</v>
      </c>
      <c r="B801" s="240">
        <v>2030</v>
      </c>
      <c r="C801" s="239" t="s">
        <v>2357</v>
      </c>
      <c r="D801" s="239" t="s">
        <v>2152</v>
      </c>
      <c r="E801" s="239" t="s">
        <v>377</v>
      </c>
      <c r="F801" s="239" t="s">
        <v>378</v>
      </c>
      <c r="G801" s="239" t="s">
        <v>943</v>
      </c>
      <c r="H801" s="239" t="s">
        <v>51</v>
      </c>
      <c r="I801" s="239" t="s">
        <v>2153</v>
      </c>
      <c r="J801" s="234">
        <v>42320</v>
      </c>
      <c r="K801" s="234">
        <v>15130</v>
      </c>
      <c r="L801" s="242">
        <v>7</v>
      </c>
      <c r="M801" s="234">
        <v>27190</v>
      </c>
      <c r="N801" s="234">
        <v>25286.7</v>
      </c>
      <c r="O801" s="243" t="s">
        <v>2475</v>
      </c>
      <c r="P801" s="236">
        <v>45933</v>
      </c>
    </row>
    <row r="802" spans="1:16" ht="51" customHeight="1">
      <c r="A802" s="239" t="s">
        <v>2460</v>
      </c>
      <c r="B802" s="240">
        <v>2031</v>
      </c>
      <c r="C802" s="239" t="s">
        <v>2357</v>
      </c>
      <c r="D802" s="239" t="s">
        <v>2152</v>
      </c>
      <c r="E802" s="239" t="s">
        <v>858</v>
      </c>
      <c r="F802" s="239" t="s">
        <v>859</v>
      </c>
      <c r="G802" s="239" t="s">
        <v>943</v>
      </c>
      <c r="H802" s="239" t="s">
        <v>51</v>
      </c>
      <c r="I802" s="239" t="s">
        <v>2153</v>
      </c>
      <c r="J802" s="234">
        <v>40530</v>
      </c>
      <c r="K802" s="234">
        <v>14720</v>
      </c>
      <c r="L802" s="242">
        <v>10</v>
      </c>
      <c r="M802" s="234">
        <v>25810</v>
      </c>
      <c r="N802" s="234">
        <v>23229</v>
      </c>
      <c r="O802" s="243" t="s">
        <v>2476</v>
      </c>
      <c r="P802" s="236">
        <v>45933</v>
      </c>
    </row>
    <row r="803" spans="1:16" ht="51" customHeight="1">
      <c r="A803" s="239" t="s">
        <v>2461</v>
      </c>
      <c r="B803" s="240">
        <v>2032</v>
      </c>
      <c r="C803" s="239" t="s">
        <v>2357</v>
      </c>
      <c r="D803" s="239" t="s">
        <v>2152</v>
      </c>
      <c r="E803" s="239" t="s">
        <v>403</v>
      </c>
      <c r="F803" s="239" t="s">
        <v>404</v>
      </c>
      <c r="G803" s="239" t="s">
        <v>943</v>
      </c>
      <c r="H803" s="239" t="s">
        <v>51</v>
      </c>
      <c r="I803" s="239" t="s">
        <v>2153</v>
      </c>
      <c r="J803" s="234">
        <v>40010</v>
      </c>
      <c r="K803" s="234">
        <v>14520</v>
      </c>
      <c r="L803" s="242">
        <v>12</v>
      </c>
      <c r="M803" s="234">
        <v>25490</v>
      </c>
      <c r="N803" s="234">
        <v>22431.200000000001</v>
      </c>
      <c r="O803" s="243" t="s">
        <v>2477</v>
      </c>
      <c r="P803" s="236">
        <v>45933</v>
      </c>
    </row>
    <row r="804" spans="1:16" ht="51" customHeight="1">
      <c r="A804" s="239" t="s">
        <v>2462</v>
      </c>
      <c r="B804" s="240">
        <v>2035</v>
      </c>
      <c r="C804" s="239" t="s">
        <v>2357</v>
      </c>
      <c r="D804" s="239" t="s">
        <v>2152</v>
      </c>
      <c r="E804" s="239" t="s">
        <v>410</v>
      </c>
      <c r="F804" s="239" t="s">
        <v>411</v>
      </c>
      <c r="G804" s="239" t="s">
        <v>943</v>
      </c>
      <c r="H804" s="239" t="s">
        <v>51</v>
      </c>
      <c r="I804" s="239" t="s">
        <v>2153</v>
      </c>
      <c r="J804" s="234">
        <v>40370</v>
      </c>
      <c r="K804" s="234">
        <v>15120</v>
      </c>
      <c r="L804" s="242">
        <v>14</v>
      </c>
      <c r="M804" s="234">
        <v>25250</v>
      </c>
      <c r="N804" s="234">
        <v>21715</v>
      </c>
      <c r="O804" s="243" t="s">
        <v>2478</v>
      </c>
      <c r="P804" s="236">
        <v>45933</v>
      </c>
    </row>
    <row r="805" spans="1:16" ht="51" customHeight="1">
      <c r="A805" s="239" t="s">
        <v>2453</v>
      </c>
      <c r="B805" s="240">
        <v>2036</v>
      </c>
      <c r="C805" s="239" t="s">
        <v>2357</v>
      </c>
      <c r="D805" s="239" t="s">
        <v>2152</v>
      </c>
      <c r="E805" s="239" t="s">
        <v>382</v>
      </c>
      <c r="F805" s="239" t="s">
        <v>383</v>
      </c>
      <c r="G805" s="239" t="s">
        <v>943</v>
      </c>
      <c r="H805" s="239" t="s">
        <v>51</v>
      </c>
      <c r="I805" s="239" t="s">
        <v>2153</v>
      </c>
      <c r="J805" s="234">
        <v>38250</v>
      </c>
      <c r="K805" s="234">
        <v>14760</v>
      </c>
      <c r="L805" s="242">
        <v>16</v>
      </c>
      <c r="M805" s="234">
        <v>23490</v>
      </c>
      <c r="N805" s="234">
        <v>19731.599999999999</v>
      </c>
      <c r="O805" s="243" t="s">
        <v>2469</v>
      </c>
      <c r="P805" s="236">
        <v>45933</v>
      </c>
    </row>
    <row r="806" spans="1:16" ht="51" customHeight="1">
      <c r="A806" s="239" t="s">
        <v>2454</v>
      </c>
      <c r="B806" s="240">
        <v>2037</v>
      </c>
      <c r="C806" s="239" t="s">
        <v>2357</v>
      </c>
      <c r="D806" s="239" t="s">
        <v>2152</v>
      </c>
      <c r="E806" s="239" t="s">
        <v>384</v>
      </c>
      <c r="F806" s="239" t="s">
        <v>385</v>
      </c>
      <c r="G806" s="239" t="s">
        <v>943</v>
      </c>
      <c r="H806" s="239" t="s">
        <v>51</v>
      </c>
      <c r="I806" s="239" t="s">
        <v>2153</v>
      </c>
      <c r="J806" s="234">
        <v>37280</v>
      </c>
      <c r="K806" s="234">
        <v>13910</v>
      </c>
      <c r="L806" s="242">
        <v>9</v>
      </c>
      <c r="M806" s="234">
        <v>23370</v>
      </c>
      <c r="N806" s="234">
        <v>21266.7</v>
      </c>
      <c r="O806" s="243" t="s">
        <v>2470</v>
      </c>
      <c r="P806" s="236">
        <v>45933</v>
      </c>
    </row>
    <row r="807" spans="1:16" ht="51" customHeight="1">
      <c r="A807" s="239" t="s">
        <v>2455</v>
      </c>
      <c r="B807" s="240">
        <v>2039</v>
      </c>
      <c r="C807" s="239" t="s">
        <v>2357</v>
      </c>
      <c r="D807" s="239" t="s">
        <v>2152</v>
      </c>
      <c r="E807" s="239" t="s">
        <v>442</v>
      </c>
      <c r="F807" s="239" t="s">
        <v>443</v>
      </c>
      <c r="G807" s="239" t="s">
        <v>943</v>
      </c>
      <c r="H807" s="239" t="s">
        <v>51</v>
      </c>
      <c r="I807" s="239" t="s">
        <v>2153</v>
      </c>
      <c r="J807" s="234">
        <v>35150</v>
      </c>
      <c r="K807" s="234">
        <v>14490</v>
      </c>
      <c r="L807" s="242">
        <v>15</v>
      </c>
      <c r="M807" s="234">
        <v>20660</v>
      </c>
      <c r="N807" s="234">
        <v>17561</v>
      </c>
      <c r="O807" s="243" t="s">
        <v>2471</v>
      </c>
      <c r="P807" s="236">
        <v>45933</v>
      </c>
    </row>
    <row r="808" spans="1:16" ht="51" customHeight="1">
      <c r="A808" s="239" t="s">
        <v>2456</v>
      </c>
      <c r="B808" s="240">
        <v>2042</v>
      </c>
      <c r="C808" s="239" t="s">
        <v>2357</v>
      </c>
      <c r="D808" s="239" t="s">
        <v>2152</v>
      </c>
      <c r="E808" s="239" t="s">
        <v>406</v>
      </c>
      <c r="F808" s="239" t="s">
        <v>407</v>
      </c>
      <c r="G808" s="239" t="s">
        <v>943</v>
      </c>
      <c r="H808" s="239" t="s">
        <v>51</v>
      </c>
      <c r="I808" s="239" t="s">
        <v>2153</v>
      </c>
      <c r="J808" s="234">
        <v>40170</v>
      </c>
      <c r="K808" s="234">
        <v>15120</v>
      </c>
      <c r="L808" s="242">
        <v>13</v>
      </c>
      <c r="M808" s="234">
        <v>25050</v>
      </c>
      <c r="N808" s="234">
        <v>21793.5</v>
      </c>
      <c r="O808" s="243" t="s">
        <v>2472</v>
      </c>
      <c r="P808" s="236">
        <v>45933</v>
      </c>
    </row>
    <row r="809" spans="1:16" ht="51" customHeight="1">
      <c r="A809" s="239" t="s">
        <v>2458</v>
      </c>
      <c r="B809" s="240">
        <v>2044</v>
      </c>
      <c r="C809" s="239" t="s">
        <v>2357</v>
      </c>
      <c r="D809" s="239" t="s">
        <v>2152</v>
      </c>
      <c r="E809" s="239" t="s">
        <v>392</v>
      </c>
      <c r="F809" s="239" t="s">
        <v>393</v>
      </c>
      <c r="G809" s="239" t="s">
        <v>943</v>
      </c>
      <c r="H809" s="239" t="s">
        <v>51</v>
      </c>
      <c r="I809" s="239" t="s">
        <v>2153</v>
      </c>
      <c r="J809" s="234">
        <v>64730</v>
      </c>
      <c r="K809" s="234">
        <v>24080</v>
      </c>
      <c r="L809" s="242">
        <v>12</v>
      </c>
      <c r="M809" s="234">
        <v>40650</v>
      </c>
      <c r="N809" s="234">
        <v>35772</v>
      </c>
      <c r="O809" s="243" t="s">
        <v>2474</v>
      </c>
      <c r="P809" s="236">
        <v>45933</v>
      </c>
    </row>
    <row r="810" spans="1:16" ht="51" customHeight="1">
      <c r="A810" s="239" t="s">
        <v>2457</v>
      </c>
      <c r="B810" s="240">
        <v>2043</v>
      </c>
      <c r="C810" s="239" t="s">
        <v>2357</v>
      </c>
      <c r="D810" s="239" t="s">
        <v>2152</v>
      </c>
      <c r="E810" s="239" t="s">
        <v>390</v>
      </c>
      <c r="F810" s="239" t="s">
        <v>391</v>
      </c>
      <c r="G810" s="239" t="s">
        <v>943</v>
      </c>
      <c r="H810" s="239" t="s">
        <v>51</v>
      </c>
      <c r="I810" s="239" t="s">
        <v>2153</v>
      </c>
      <c r="J810" s="234">
        <v>40950</v>
      </c>
      <c r="K810" s="234">
        <v>15020</v>
      </c>
      <c r="L810" s="242">
        <v>17</v>
      </c>
      <c r="M810" s="234">
        <v>25930</v>
      </c>
      <c r="N810" s="234">
        <v>21521.9</v>
      </c>
      <c r="O810" s="243" t="s">
        <v>2473</v>
      </c>
      <c r="P810" s="236">
        <v>45933</v>
      </c>
    </row>
    <row r="811" spans="1:16" ht="51" customHeight="1">
      <c r="A811" s="239" t="s">
        <v>2463</v>
      </c>
      <c r="B811" s="240">
        <v>2045</v>
      </c>
      <c r="C811" s="241">
        <v>57732</v>
      </c>
      <c r="D811" s="239" t="s">
        <v>2152</v>
      </c>
      <c r="E811" s="239" t="s">
        <v>374</v>
      </c>
      <c r="F811" s="239" t="s">
        <v>375</v>
      </c>
      <c r="G811" s="239" t="s">
        <v>943</v>
      </c>
      <c r="H811" s="239" t="s">
        <v>51</v>
      </c>
      <c r="I811" s="239" t="s">
        <v>2153</v>
      </c>
      <c r="J811" s="234">
        <v>31590</v>
      </c>
      <c r="K811" s="234">
        <v>15570</v>
      </c>
      <c r="L811" s="242">
        <v>13</v>
      </c>
      <c r="M811" s="234">
        <v>16020</v>
      </c>
      <c r="N811" s="234">
        <v>13937.4</v>
      </c>
      <c r="O811" s="243" t="s">
        <v>2479</v>
      </c>
      <c r="P811" s="236">
        <v>45934</v>
      </c>
    </row>
    <row r="812" spans="1:16" ht="51" customHeight="1">
      <c r="A812" s="239" t="s">
        <v>2481</v>
      </c>
      <c r="B812" s="240">
        <v>2047</v>
      </c>
      <c r="C812" s="241">
        <v>1</v>
      </c>
      <c r="D812" s="239" t="s">
        <v>2482</v>
      </c>
      <c r="E812" s="239" t="s">
        <v>1410</v>
      </c>
      <c r="F812" s="239" t="s">
        <v>437</v>
      </c>
      <c r="G812" s="239" t="s">
        <v>958</v>
      </c>
      <c r="H812" s="239" t="s">
        <v>51</v>
      </c>
      <c r="I812" s="239" t="s">
        <v>2465</v>
      </c>
      <c r="J812" s="234">
        <v>40570</v>
      </c>
      <c r="K812" s="234">
        <v>14980</v>
      </c>
      <c r="L812" s="242">
        <v>27</v>
      </c>
      <c r="M812" s="234">
        <v>25590</v>
      </c>
      <c r="N812" s="234">
        <v>18680.7</v>
      </c>
      <c r="O812" s="243" t="s">
        <v>2513</v>
      </c>
      <c r="P812" s="236">
        <v>45934</v>
      </c>
    </row>
    <row r="813" spans="1:16" ht="51" customHeight="1">
      <c r="A813" s="239" t="s">
        <v>2483</v>
      </c>
      <c r="B813" s="240">
        <v>2048</v>
      </c>
      <c r="C813" s="241">
        <v>2</v>
      </c>
      <c r="D813" s="239" t="s">
        <v>2482</v>
      </c>
      <c r="E813" s="239" t="s">
        <v>439</v>
      </c>
      <c r="F813" s="239" t="s">
        <v>440</v>
      </c>
      <c r="G813" s="239" t="s">
        <v>958</v>
      </c>
      <c r="H813" s="239" t="s">
        <v>51</v>
      </c>
      <c r="I813" s="239" t="s">
        <v>2465</v>
      </c>
      <c r="J813" s="234">
        <v>42870</v>
      </c>
      <c r="K813" s="234">
        <v>15190</v>
      </c>
      <c r="L813" s="242">
        <v>15</v>
      </c>
      <c r="M813" s="234">
        <v>27680</v>
      </c>
      <c r="N813" s="234">
        <v>23528</v>
      </c>
      <c r="O813" s="243" t="s">
        <v>2514</v>
      </c>
      <c r="P813" s="236">
        <v>45934</v>
      </c>
    </row>
    <row r="814" spans="1:16" ht="51" customHeight="1">
      <c r="A814" s="239" t="s">
        <v>2484</v>
      </c>
      <c r="B814" s="240">
        <v>2049</v>
      </c>
      <c r="C814" s="241">
        <v>3</v>
      </c>
      <c r="D814" s="239" t="s">
        <v>2482</v>
      </c>
      <c r="E814" s="239" t="s">
        <v>413</v>
      </c>
      <c r="F814" s="239" t="s">
        <v>414</v>
      </c>
      <c r="G814" s="239" t="s">
        <v>958</v>
      </c>
      <c r="H814" s="239" t="s">
        <v>51</v>
      </c>
      <c r="I814" s="239" t="s">
        <v>2465</v>
      </c>
      <c r="J814" s="234">
        <v>43320</v>
      </c>
      <c r="K814" s="234">
        <v>15070</v>
      </c>
      <c r="L814" s="242">
        <v>15</v>
      </c>
      <c r="M814" s="234">
        <v>28250</v>
      </c>
      <c r="N814" s="234">
        <v>24012.5</v>
      </c>
      <c r="O814" s="243" t="s">
        <v>2515</v>
      </c>
      <c r="P814" s="236">
        <v>45934</v>
      </c>
    </row>
    <row r="815" spans="1:16" ht="51" customHeight="1">
      <c r="A815" s="239" t="s">
        <v>2485</v>
      </c>
      <c r="B815" s="240">
        <v>2050</v>
      </c>
      <c r="C815" s="241">
        <v>4</v>
      </c>
      <c r="D815" s="239" t="s">
        <v>2482</v>
      </c>
      <c r="E815" s="239" t="s">
        <v>432</v>
      </c>
      <c r="F815" s="239" t="s">
        <v>433</v>
      </c>
      <c r="G815" s="239" t="s">
        <v>958</v>
      </c>
      <c r="H815" s="239" t="s">
        <v>51</v>
      </c>
      <c r="I815" s="239" t="s">
        <v>2465</v>
      </c>
      <c r="J815" s="234">
        <v>43110</v>
      </c>
      <c r="K815" s="234">
        <v>15750</v>
      </c>
      <c r="L815" s="242">
        <v>14</v>
      </c>
      <c r="M815" s="234">
        <v>27360</v>
      </c>
      <c r="N815" s="234">
        <v>23529.599999999999</v>
      </c>
      <c r="O815" s="243" t="s">
        <v>2516</v>
      </c>
      <c r="P815" s="236">
        <v>45934</v>
      </c>
    </row>
    <row r="816" spans="1:16" ht="51" customHeight="1">
      <c r="A816" s="239" t="s">
        <v>2486</v>
      </c>
      <c r="B816" s="240">
        <v>2051</v>
      </c>
      <c r="C816" s="241">
        <v>5</v>
      </c>
      <c r="D816" s="239" t="s">
        <v>2482</v>
      </c>
      <c r="E816" s="239" t="s">
        <v>447</v>
      </c>
      <c r="F816" s="239" t="s">
        <v>448</v>
      </c>
      <c r="G816" s="239" t="s">
        <v>958</v>
      </c>
      <c r="H816" s="239" t="s">
        <v>51</v>
      </c>
      <c r="I816" s="239" t="s">
        <v>2465</v>
      </c>
      <c r="J816" s="234">
        <v>49980</v>
      </c>
      <c r="K816" s="234">
        <v>19530</v>
      </c>
      <c r="L816" s="242">
        <v>29</v>
      </c>
      <c r="M816" s="234">
        <v>30450</v>
      </c>
      <c r="N816" s="234">
        <v>21619.5</v>
      </c>
      <c r="O816" s="243" t="s">
        <v>2517</v>
      </c>
      <c r="P816" s="236">
        <v>45934</v>
      </c>
    </row>
    <row r="817" spans="1:16" ht="51" customHeight="1">
      <c r="A817" s="239" t="s">
        <v>2487</v>
      </c>
      <c r="B817" s="240">
        <v>2056</v>
      </c>
      <c r="C817" s="241">
        <v>6</v>
      </c>
      <c r="D817" s="239" t="s">
        <v>2482</v>
      </c>
      <c r="E817" s="239" t="s">
        <v>453</v>
      </c>
      <c r="F817" s="239" t="s">
        <v>454</v>
      </c>
      <c r="G817" s="239" t="s">
        <v>958</v>
      </c>
      <c r="H817" s="239" t="s">
        <v>51</v>
      </c>
      <c r="I817" s="239" t="s">
        <v>2465</v>
      </c>
      <c r="J817" s="234">
        <v>57850</v>
      </c>
      <c r="K817" s="234">
        <v>24260</v>
      </c>
      <c r="L817" s="242">
        <v>15</v>
      </c>
      <c r="M817" s="234">
        <v>33590</v>
      </c>
      <c r="N817" s="234">
        <v>28551.5</v>
      </c>
      <c r="O817" s="243" t="s">
        <v>2518</v>
      </c>
      <c r="P817" s="236">
        <v>45934</v>
      </c>
    </row>
    <row r="818" spans="1:16" ht="51" customHeight="1">
      <c r="A818" s="239" t="s">
        <v>2488</v>
      </c>
      <c r="B818" s="240">
        <v>2057</v>
      </c>
      <c r="C818" s="241">
        <v>7</v>
      </c>
      <c r="D818" s="239" t="s">
        <v>2482</v>
      </c>
      <c r="E818" s="239" t="s">
        <v>456</v>
      </c>
      <c r="F818" s="239" t="s">
        <v>457</v>
      </c>
      <c r="G818" s="239" t="s">
        <v>958</v>
      </c>
      <c r="H818" s="239" t="s">
        <v>51</v>
      </c>
      <c r="I818" s="239" t="s">
        <v>2465</v>
      </c>
      <c r="J818" s="234">
        <v>43910</v>
      </c>
      <c r="K818" s="234">
        <v>15720</v>
      </c>
      <c r="L818" s="242">
        <v>22</v>
      </c>
      <c r="M818" s="234">
        <v>28190</v>
      </c>
      <c r="N818" s="234">
        <v>21988.2</v>
      </c>
      <c r="O818" s="243" t="s">
        <v>2519</v>
      </c>
      <c r="P818" s="236">
        <v>45934</v>
      </c>
    </row>
    <row r="819" spans="1:16" ht="51" customHeight="1">
      <c r="A819" s="239" t="s">
        <v>2490</v>
      </c>
      <c r="B819" s="240">
        <v>2061</v>
      </c>
      <c r="C819" s="241">
        <v>9</v>
      </c>
      <c r="D819" s="239" t="s">
        <v>2482</v>
      </c>
      <c r="E819" s="239" t="s">
        <v>416</v>
      </c>
      <c r="F819" s="239" t="s">
        <v>417</v>
      </c>
      <c r="G819" s="239" t="s">
        <v>958</v>
      </c>
      <c r="H819" s="239" t="s">
        <v>51</v>
      </c>
      <c r="I819" s="239" t="s">
        <v>2465</v>
      </c>
      <c r="J819" s="234">
        <v>37380</v>
      </c>
      <c r="K819" s="234">
        <v>14800</v>
      </c>
      <c r="L819" s="242">
        <v>23</v>
      </c>
      <c r="M819" s="234">
        <v>22580</v>
      </c>
      <c r="N819" s="234">
        <v>17386.599999999999</v>
      </c>
      <c r="O819" s="243" t="s">
        <v>2521</v>
      </c>
      <c r="P819" s="236">
        <v>45934</v>
      </c>
    </row>
    <row r="820" spans="1:16" ht="51" customHeight="1">
      <c r="A820" s="239" t="s">
        <v>2489</v>
      </c>
      <c r="B820" s="240">
        <v>2060</v>
      </c>
      <c r="C820" s="241">
        <v>8</v>
      </c>
      <c r="D820" s="239" t="s">
        <v>2482</v>
      </c>
      <c r="E820" s="239" t="s">
        <v>406</v>
      </c>
      <c r="F820" s="239" t="s">
        <v>407</v>
      </c>
      <c r="G820" s="239" t="s">
        <v>958</v>
      </c>
      <c r="H820" s="239" t="s">
        <v>51</v>
      </c>
      <c r="I820" s="239" t="s">
        <v>2465</v>
      </c>
      <c r="J820" s="234">
        <v>40440</v>
      </c>
      <c r="K820" s="234">
        <v>15020</v>
      </c>
      <c r="L820" s="242">
        <v>19</v>
      </c>
      <c r="M820" s="234">
        <v>25420</v>
      </c>
      <c r="N820" s="234">
        <v>20590.2</v>
      </c>
      <c r="O820" s="243" t="s">
        <v>2520</v>
      </c>
      <c r="P820" s="236">
        <v>45934</v>
      </c>
    </row>
    <row r="821" spans="1:16" ht="51" customHeight="1">
      <c r="A821" s="239" t="s">
        <v>2491</v>
      </c>
      <c r="B821" s="240">
        <v>2064</v>
      </c>
      <c r="C821" s="241">
        <v>2</v>
      </c>
      <c r="D821" s="239" t="s">
        <v>2482</v>
      </c>
      <c r="E821" s="239" t="s">
        <v>372</v>
      </c>
      <c r="F821" s="239" t="s">
        <v>373</v>
      </c>
      <c r="G821" s="239" t="s">
        <v>958</v>
      </c>
      <c r="H821" s="239" t="s">
        <v>51</v>
      </c>
      <c r="I821" s="239" t="s">
        <v>2465</v>
      </c>
      <c r="J821" s="234">
        <v>39350</v>
      </c>
      <c r="K821" s="234">
        <v>15010</v>
      </c>
      <c r="L821" s="242">
        <v>12</v>
      </c>
      <c r="M821" s="234">
        <v>24340</v>
      </c>
      <c r="N821" s="234">
        <v>21419.200000000001</v>
      </c>
      <c r="O821" s="243" t="s">
        <v>2522</v>
      </c>
      <c r="P821" s="236">
        <v>45934</v>
      </c>
    </row>
    <row r="822" spans="1:16" ht="51" customHeight="1">
      <c r="A822" s="239" t="s">
        <v>2492</v>
      </c>
      <c r="B822" s="240">
        <v>2066</v>
      </c>
      <c r="C822" s="241">
        <v>1</v>
      </c>
      <c r="D822" s="239" t="s">
        <v>2482</v>
      </c>
      <c r="E822" s="239" t="s">
        <v>388</v>
      </c>
      <c r="F822" s="239" t="s">
        <v>389</v>
      </c>
      <c r="G822" s="239" t="s">
        <v>958</v>
      </c>
      <c r="H822" s="239" t="s">
        <v>51</v>
      </c>
      <c r="I822" s="239" t="s">
        <v>2465</v>
      </c>
      <c r="J822" s="234">
        <v>55700</v>
      </c>
      <c r="K822" s="234">
        <v>21000</v>
      </c>
      <c r="L822" s="242">
        <v>9</v>
      </c>
      <c r="M822" s="234">
        <v>34700</v>
      </c>
      <c r="N822" s="234">
        <v>31577</v>
      </c>
      <c r="O822" s="243" t="s">
        <v>2523</v>
      </c>
      <c r="P822" s="236">
        <v>45934</v>
      </c>
    </row>
    <row r="823" spans="1:16" ht="51" customHeight="1">
      <c r="A823" s="239" t="s">
        <v>2493</v>
      </c>
      <c r="B823" s="240">
        <v>2067</v>
      </c>
      <c r="C823" s="241">
        <v>3</v>
      </c>
      <c r="D823" s="239" t="s">
        <v>2482</v>
      </c>
      <c r="E823" s="239" t="s">
        <v>858</v>
      </c>
      <c r="F823" s="239" t="s">
        <v>859</v>
      </c>
      <c r="G823" s="239" t="s">
        <v>958</v>
      </c>
      <c r="H823" s="239" t="s">
        <v>51</v>
      </c>
      <c r="I823" s="239" t="s">
        <v>2465</v>
      </c>
      <c r="J823" s="234">
        <v>41050</v>
      </c>
      <c r="K823" s="234">
        <v>14940</v>
      </c>
      <c r="L823" s="242">
        <v>7</v>
      </c>
      <c r="M823" s="234">
        <v>26110</v>
      </c>
      <c r="N823" s="234">
        <v>24282.3</v>
      </c>
      <c r="O823" s="243" t="s">
        <v>2524</v>
      </c>
      <c r="P823" s="236">
        <v>45934</v>
      </c>
    </row>
    <row r="824" spans="1:16" ht="51" customHeight="1">
      <c r="A824" s="239" t="s">
        <v>2494</v>
      </c>
      <c r="B824" s="240">
        <v>2068</v>
      </c>
      <c r="C824" s="241">
        <v>4</v>
      </c>
      <c r="D824" s="239" t="s">
        <v>2482</v>
      </c>
      <c r="E824" s="239" t="s">
        <v>400</v>
      </c>
      <c r="F824" s="239" t="s">
        <v>401</v>
      </c>
      <c r="G824" s="239" t="s">
        <v>958</v>
      </c>
      <c r="H824" s="239" t="s">
        <v>51</v>
      </c>
      <c r="I824" s="239" t="s">
        <v>2465</v>
      </c>
      <c r="J824" s="234">
        <v>39460</v>
      </c>
      <c r="K824" s="234">
        <v>14810</v>
      </c>
      <c r="L824" s="242">
        <v>12</v>
      </c>
      <c r="M824" s="234">
        <v>24650</v>
      </c>
      <c r="N824" s="234">
        <v>21692</v>
      </c>
      <c r="O824" s="243" t="s">
        <v>2525</v>
      </c>
      <c r="P824" s="236">
        <v>45934</v>
      </c>
    </row>
    <row r="825" spans="1:16" ht="51" customHeight="1">
      <c r="A825" s="239" t="s">
        <v>2495</v>
      </c>
      <c r="B825" s="240">
        <v>2069</v>
      </c>
      <c r="C825" s="241">
        <v>8</v>
      </c>
      <c r="D825" s="239" t="s">
        <v>2482</v>
      </c>
      <c r="E825" s="239" t="s">
        <v>866</v>
      </c>
      <c r="F825" s="239" t="s">
        <v>867</v>
      </c>
      <c r="G825" s="239" t="s">
        <v>958</v>
      </c>
      <c r="H825" s="239" t="s">
        <v>51</v>
      </c>
      <c r="I825" s="239" t="s">
        <v>2465</v>
      </c>
      <c r="J825" s="234">
        <v>38800</v>
      </c>
      <c r="K825" s="234">
        <v>14550</v>
      </c>
      <c r="L825" s="242">
        <v>8</v>
      </c>
      <c r="M825" s="234">
        <v>24250</v>
      </c>
      <c r="N825" s="234">
        <v>22310</v>
      </c>
      <c r="O825" s="243" t="s">
        <v>2526</v>
      </c>
      <c r="P825" s="236">
        <v>45934</v>
      </c>
    </row>
    <row r="826" spans="1:16" ht="51" customHeight="1">
      <c r="A826" s="239" t="s">
        <v>2496</v>
      </c>
      <c r="B826" s="240">
        <v>2070</v>
      </c>
      <c r="C826" s="241">
        <v>9</v>
      </c>
      <c r="D826" s="239" t="s">
        <v>2482</v>
      </c>
      <c r="E826" s="239" t="s">
        <v>380</v>
      </c>
      <c r="F826" s="239" t="s">
        <v>381</v>
      </c>
      <c r="G826" s="239" t="s">
        <v>958</v>
      </c>
      <c r="H826" s="239" t="s">
        <v>51</v>
      </c>
      <c r="I826" s="239" t="s">
        <v>2465</v>
      </c>
      <c r="J826" s="234">
        <v>40960</v>
      </c>
      <c r="K826" s="234">
        <v>15130</v>
      </c>
      <c r="L826" s="242">
        <v>12</v>
      </c>
      <c r="M826" s="234">
        <v>25830</v>
      </c>
      <c r="N826" s="234">
        <v>22730.400000000001</v>
      </c>
      <c r="O826" s="243" t="s">
        <v>2527</v>
      </c>
      <c r="P826" s="236">
        <v>45934</v>
      </c>
    </row>
    <row r="827" spans="1:16" ht="51" customHeight="1">
      <c r="A827" s="239" t="s">
        <v>2497</v>
      </c>
      <c r="B827" s="240">
        <v>2071</v>
      </c>
      <c r="C827" s="241">
        <v>5</v>
      </c>
      <c r="D827" s="239" t="s">
        <v>2482</v>
      </c>
      <c r="E827" s="239" t="s">
        <v>392</v>
      </c>
      <c r="F827" s="239" t="s">
        <v>393</v>
      </c>
      <c r="G827" s="239" t="s">
        <v>958</v>
      </c>
      <c r="H827" s="239" t="s">
        <v>51</v>
      </c>
      <c r="I827" s="239" t="s">
        <v>2465</v>
      </c>
      <c r="J827" s="234">
        <v>65020</v>
      </c>
      <c r="K827" s="234">
        <v>24160</v>
      </c>
      <c r="L827" s="242">
        <v>12</v>
      </c>
      <c r="M827" s="234">
        <v>40860</v>
      </c>
      <c r="N827" s="234">
        <v>35956.800000000003</v>
      </c>
      <c r="O827" s="243" t="s">
        <v>2528</v>
      </c>
      <c r="P827" s="236">
        <v>45934</v>
      </c>
    </row>
    <row r="828" spans="1:16" ht="51" customHeight="1">
      <c r="A828" s="239" t="s">
        <v>2498</v>
      </c>
      <c r="B828" s="240">
        <v>2072</v>
      </c>
      <c r="C828" s="241">
        <v>6</v>
      </c>
      <c r="D828" s="239" t="s">
        <v>2482</v>
      </c>
      <c r="E828" s="239" t="s">
        <v>374</v>
      </c>
      <c r="F828" s="239" t="s">
        <v>375</v>
      </c>
      <c r="G828" s="239" t="s">
        <v>958</v>
      </c>
      <c r="H828" s="239" t="s">
        <v>51</v>
      </c>
      <c r="I828" s="239" t="s">
        <v>2465</v>
      </c>
      <c r="J828" s="234">
        <v>40330</v>
      </c>
      <c r="K828" s="234">
        <v>15700</v>
      </c>
      <c r="L828" s="242">
        <v>6</v>
      </c>
      <c r="M828" s="234">
        <v>24630</v>
      </c>
      <c r="N828" s="234">
        <v>23152.2</v>
      </c>
      <c r="O828" s="243" t="s">
        <v>2529</v>
      </c>
      <c r="P828" s="236">
        <v>45934</v>
      </c>
    </row>
    <row r="829" spans="1:16" ht="51" customHeight="1">
      <c r="A829" s="239" t="s">
        <v>2499</v>
      </c>
      <c r="B829" s="240">
        <v>2073</v>
      </c>
      <c r="C829" s="241">
        <v>7</v>
      </c>
      <c r="D829" s="239" t="s">
        <v>2482</v>
      </c>
      <c r="E829" s="239" t="s">
        <v>384</v>
      </c>
      <c r="F829" s="239" t="s">
        <v>385</v>
      </c>
      <c r="G829" s="239" t="s">
        <v>958</v>
      </c>
      <c r="H829" s="239" t="s">
        <v>51</v>
      </c>
      <c r="I829" s="239" t="s">
        <v>2465</v>
      </c>
      <c r="J829" s="234">
        <v>37300</v>
      </c>
      <c r="K829" s="234">
        <v>13890</v>
      </c>
      <c r="L829" s="242">
        <v>11</v>
      </c>
      <c r="M829" s="234">
        <v>23410</v>
      </c>
      <c r="N829" s="234">
        <v>20834.900000000001</v>
      </c>
      <c r="O829" s="243" t="s">
        <v>2530</v>
      </c>
      <c r="P829" s="236">
        <v>45934</v>
      </c>
    </row>
    <row r="830" spans="1:16" ht="51" customHeight="1">
      <c r="A830" s="239" t="s">
        <v>2500</v>
      </c>
      <c r="B830" s="240">
        <v>2074</v>
      </c>
      <c r="C830" s="241">
        <v>13</v>
      </c>
      <c r="D830" s="239" t="s">
        <v>2482</v>
      </c>
      <c r="E830" s="239" t="s">
        <v>1410</v>
      </c>
      <c r="F830" s="239" t="s">
        <v>437</v>
      </c>
      <c r="G830" s="239" t="s">
        <v>958</v>
      </c>
      <c r="H830" s="239" t="s">
        <v>51</v>
      </c>
      <c r="I830" s="239" t="s">
        <v>2465</v>
      </c>
      <c r="J830" s="234">
        <v>40380</v>
      </c>
      <c r="K830" s="234">
        <v>14890</v>
      </c>
      <c r="L830" s="242">
        <v>5</v>
      </c>
      <c r="M830" s="234">
        <v>25490</v>
      </c>
      <c r="N830" s="234">
        <v>24215.5</v>
      </c>
      <c r="O830" s="243" t="s">
        <v>2531</v>
      </c>
      <c r="P830" s="236">
        <v>45935</v>
      </c>
    </row>
    <row r="831" spans="1:16" ht="51" customHeight="1">
      <c r="A831" s="239" t="s">
        <v>2501</v>
      </c>
      <c r="B831" s="240">
        <v>2075</v>
      </c>
      <c r="C831" s="241">
        <v>15</v>
      </c>
      <c r="D831" s="239" t="s">
        <v>2482</v>
      </c>
      <c r="E831" s="239" t="s">
        <v>439</v>
      </c>
      <c r="F831" s="239" t="s">
        <v>440</v>
      </c>
      <c r="G831" s="239" t="s">
        <v>958</v>
      </c>
      <c r="H831" s="239" t="s">
        <v>51</v>
      </c>
      <c r="I831" s="239" t="s">
        <v>2465</v>
      </c>
      <c r="J831" s="234">
        <v>43210</v>
      </c>
      <c r="K831" s="234">
        <v>15110</v>
      </c>
      <c r="L831" s="242">
        <v>18</v>
      </c>
      <c r="M831" s="234">
        <v>28100</v>
      </c>
      <c r="N831" s="234">
        <v>23042</v>
      </c>
      <c r="O831" s="243" t="s">
        <v>2532</v>
      </c>
      <c r="P831" s="236">
        <v>45935</v>
      </c>
    </row>
    <row r="832" spans="1:16" ht="51" customHeight="1">
      <c r="A832" s="239" t="s">
        <v>2502</v>
      </c>
      <c r="B832" s="240">
        <v>2077</v>
      </c>
      <c r="C832" s="241">
        <v>10</v>
      </c>
      <c r="D832" s="239" t="s">
        <v>2482</v>
      </c>
      <c r="E832" s="239" t="s">
        <v>432</v>
      </c>
      <c r="F832" s="239" t="s">
        <v>433</v>
      </c>
      <c r="G832" s="239" t="s">
        <v>958</v>
      </c>
      <c r="H832" s="239" t="s">
        <v>51</v>
      </c>
      <c r="I832" s="239" t="s">
        <v>2465</v>
      </c>
      <c r="J832" s="234">
        <v>43730</v>
      </c>
      <c r="K832" s="234">
        <v>15760</v>
      </c>
      <c r="L832" s="242">
        <v>8</v>
      </c>
      <c r="M832" s="234">
        <v>27970</v>
      </c>
      <c r="N832" s="234">
        <v>25732.400000000001</v>
      </c>
      <c r="O832" s="243" t="s">
        <v>2533</v>
      </c>
      <c r="P832" s="236">
        <v>45935</v>
      </c>
    </row>
    <row r="833" spans="1:16" ht="51" customHeight="1">
      <c r="A833" s="239" t="s">
        <v>2503</v>
      </c>
      <c r="B833" s="240">
        <v>2078</v>
      </c>
      <c r="C833" s="241">
        <v>11</v>
      </c>
      <c r="D833" s="239" t="s">
        <v>2482</v>
      </c>
      <c r="E833" s="239" t="s">
        <v>377</v>
      </c>
      <c r="F833" s="239" t="s">
        <v>378</v>
      </c>
      <c r="G833" s="239" t="s">
        <v>960</v>
      </c>
      <c r="H833" s="239" t="s">
        <v>51</v>
      </c>
      <c r="I833" s="239" t="s">
        <v>2465</v>
      </c>
      <c r="J833" s="234">
        <v>42740</v>
      </c>
      <c r="K833" s="234">
        <v>15120</v>
      </c>
      <c r="L833" s="242">
        <v>16</v>
      </c>
      <c r="M833" s="234">
        <v>27620</v>
      </c>
      <c r="N833" s="234">
        <v>23200.799999999999</v>
      </c>
      <c r="O833" s="243" t="s">
        <v>2534</v>
      </c>
      <c r="P833" s="236">
        <v>45935</v>
      </c>
    </row>
    <row r="834" spans="1:16" ht="51" customHeight="1">
      <c r="A834" s="239" t="s">
        <v>2504</v>
      </c>
      <c r="B834" s="240">
        <v>2079</v>
      </c>
      <c r="C834" s="241">
        <v>12</v>
      </c>
      <c r="D834" s="239" t="s">
        <v>2482</v>
      </c>
      <c r="E834" s="239" t="s">
        <v>447</v>
      </c>
      <c r="F834" s="239" t="s">
        <v>448</v>
      </c>
      <c r="G834" s="239" t="s">
        <v>960</v>
      </c>
      <c r="H834" s="239" t="s">
        <v>51</v>
      </c>
      <c r="I834" s="239" t="s">
        <v>2465</v>
      </c>
      <c r="J834" s="234">
        <v>54350</v>
      </c>
      <c r="K834" s="234">
        <v>19420</v>
      </c>
      <c r="L834" s="242">
        <v>21</v>
      </c>
      <c r="M834" s="234">
        <v>34930</v>
      </c>
      <c r="N834" s="234">
        <v>27594.7</v>
      </c>
      <c r="O834" s="243" t="s">
        <v>2535</v>
      </c>
      <c r="P834" s="236">
        <v>45935</v>
      </c>
    </row>
    <row r="835" spans="1:16" ht="51" customHeight="1">
      <c r="A835" s="239" t="s">
        <v>2464</v>
      </c>
      <c r="B835" s="240">
        <v>2080</v>
      </c>
      <c r="C835" s="241">
        <v>14</v>
      </c>
      <c r="D835" s="239" t="s">
        <v>2482</v>
      </c>
      <c r="E835" s="239" t="s">
        <v>410</v>
      </c>
      <c r="F835" s="239" t="s">
        <v>411</v>
      </c>
      <c r="G835" s="239" t="s">
        <v>960</v>
      </c>
      <c r="H835" s="239" t="s">
        <v>51</v>
      </c>
      <c r="I835" s="239" t="s">
        <v>2465</v>
      </c>
      <c r="J835" s="234">
        <v>38630</v>
      </c>
      <c r="K835" s="234">
        <v>15240</v>
      </c>
      <c r="L835" s="242">
        <v>26</v>
      </c>
      <c r="M835" s="234">
        <v>23390</v>
      </c>
      <c r="N835" s="234">
        <v>17308.599999999999</v>
      </c>
      <c r="O835" s="243" t="s">
        <v>2480</v>
      </c>
      <c r="P835" s="236">
        <v>45935</v>
      </c>
    </row>
    <row r="836" spans="1:16" ht="51" customHeight="1">
      <c r="A836" s="239" t="s">
        <v>2505</v>
      </c>
      <c r="B836" s="240">
        <v>2082</v>
      </c>
      <c r="C836" s="241">
        <v>18</v>
      </c>
      <c r="D836" s="239" t="s">
        <v>2482</v>
      </c>
      <c r="E836" s="239" t="s">
        <v>416</v>
      </c>
      <c r="F836" s="239" t="s">
        <v>417</v>
      </c>
      <c r="G836" s="239" t="s">
        <v>960</v>
      </c>
      <c r="H836" s="239" t="s">
        <v>51</v>
      </c>
      <c r="I836" s="239" t="s">
        <v>2465</v>
      </c>
      <c r="J836" s="234">
        <v>38520</v>
      </c>
      <c r="K836" s="234">
        <v>14740</v>
      </c>
      <c r="L836" s="242">
        <v>51</v>
      </c>
      <c r="M836" s="234">
        <v>23780</v>
      </c>
      <c r="N836" s="234">
        <v>11652.2</v>
      </c>
      <c r="O836" s="243" t="s">
        <v>2536</v>
      </c>
      <c r="P836" s="236">
        <v>45935</v>
      </c>
    </row>
    <row r="837" spans="1:16" ht="51" customHeight="1">
      <c r="A837" s="239" t="s">
        <v>2507</v>
      </c>
      <c r="B837" s="240">
        <v>2085</v>
      </c>
      <c r="C837" s="241">
        <v>16</v>
      </c>
      <c r="D837" s="239" t="s">
        <v>2482</v>
      </c>
      <c r="E837" s="239" t="s">
        <v>453</v>
      </c>
      <c r="F837" s="239" t="s">
        <v>454</v>
      </c>
      <c r="G837" s="239" t="s">
        <v>960</v>
      </c>
      <c r="H837" s="239" t="s">
        <v>51</v>
      </c>
      <c r="I837" s="239" t="s">
        <v>2465</v>
      </c>
      <c r="J837" s="234">
        <v>58110</v>
      </c>
      <c r="K837" s="234">
        <v>24240</v>
      </c>
      <c r="L837" s="242">
        <v>21</v>
      </c>
      <c r="M837" s="234">
        <v>33870</v>
      </c>
      <c r="N837" s="234">
        <v>26757.3</v>
      </c>
      <c r="O837" s="243" t="s">
        <v>2538</v>
      </c>
      <c r="P837" s="236">
        <v>45935</v>
      </c>
    </row>
    <row r="838" spans="1:16" ht="51" customHeight="1">
      <c r="A838" s="239" t="s">
        <v>2506</v>
      </c>
      <c r="B838" s="240">
        <v>2084</v>
      </c>
      <c r="C838" s="241">
        <v>17</v>
      </c>
      <c r="D838" s="239" t="s">
        <v>2482</v>
      </c>
      <c r="E838" s="239" t="s">
        <v>456</v>
      </c>
      <c r="F838" s="239" t="s">
        <v>457</v>
      </c>
      <c r="G838" s="239" t="s">
        <v>960</v>
      </c>
      <c r="H838" s="239" t="s">
        <v>51</v>
      </c>
      <c r="I838" s="239" t="s">
        <v>2465</v>
      </c>
      <c r="J838" s="234">
        <v>44230</v>
      </c>
      <c r="K838" s="234">
        <v>15680</v>
      </c>
      <c r="L838" s="242">
        <v>30</v>
      </c>
      <c r="M838" s="234">
        <v>28550</v>
      </c>
      <c r="N838" s="234">
        <v>19985</v>
      </c>
      <c r="O838" s="243" t="s">
        <v>2537</v>
      </c>
      <c r="P838" s="236">
        <v>45935</v>
      </c>
    </row>
    <row r="839" spans="1:16" ht="51" customHeight="1">
      <c r="A839" s="239" t="s">
        <v>2508</v>
      </c>
      <c r="B839" s="240">
        <v>2086</v>
      </c>
      <c r="C839" s="241">
        <v>19</v>
      </c>
      <c r="D839" s="239" t="s">
        <v>2482</v>
      </c>
      <c r="E839" s="239" t="s">
        <v>403</v>
      </c>
      <c r="F839" s="239" t="s">
        <v>404</v>
      </c>
      <c r="G839" s="239" t="s">
        <v>960</v>
      </c>
      <c r="H839" s="239" t="s">
        <v>51</v>
      </c>
      <c r="I839" s="239" t="s">
        <v>2465</v>
      </c>
      <c r="J839" s="234">
        <v>39990</v>
      </c>
      <c r="K839" s="234">
        <v>14650</v>
      </c>
      <c r="L839" s="242">
        <v>28</v>
      </c>
      <c r="M839" s="234">
        <v>25340</v>
      </c>
      <c r="N839" s="234">
        <v>18244.8</v>
      </c>
      <c r="O839" s="243" t="s">
        <v>2539</v>
      </c>
      <c r="P839" s="236">
        <v>45935</v>
      </c>
    </row>
    <row r="840" spans="1:16" ht="51" customHeight="1">
      <c r="A840" s="239" t="s">
        <v>2509</v>
      </c>
      <c r="B840" s="240">
        <v>2087</v>
      </c>
      <c r="C840" s="241">
        <v>20</v>
      </c>
      <c r="D840" s="239" t="s">
        <v>2482</v>
      </c>
      <c r="E840" s="239" t="s">
        <v>406</v>
      </c>
      <c r="F840" s="239" t="s">
        <v>407</v>
      </c>
      <c r="G840" s="239" t="s">
        <v>960</v>
      </c>
      <c r="H840" s="239" t="s">
        <v>51</v>
      </c>
      <c r="I840" s="239" t="s">
        <v>2465</v>
      </c>
      <c r="J840" s="234">
        <v>39750</v>
      </c>
      <c r="K840" s="234">
        <v>14980</v>
      </c>
      <c r="L840" s="242">
        <v>12</v>
      </c>
      <c r="M840" s="234">
        <v>24770</v>
      </c>
      <c r="N840" s="234">
        <v>21797.599999999999</v>
      </c>
      <c r="O840" s="243" t="s">
        <v>2540</v>
      </c>
      <c r="P840" s="236">
        <v>45935</v>
      </c>
    </row>
    <row r="841" spans="1:16" ht="51" customHeight="1">
      <c r="A841" s="239" t="s">
        <v>2545</v>
      </c>
      <c r="B841" s="240">
        <v>2092</v>
      </c>
      <c r="C841" s="241">
        <v>1</v>
      </c>
      <c r="D841" s="239" t="s">
        <v>2482</v>
      </c>
      <c r="E841" s="239" t="s">
        <v>382</v>
      </c>
      <c r="F841" s="239" t="s">
        <v>383</v>
      </c>
      <c r="G841" s="239" t="s">
        <v>962</v>
      </c>
      <c r="H841" s="239" t="s">
        <v>971</v>
      </c>
      <c r="I841" s="239" t="s">
        <v>2465</v>
      </c>
      <c r="J841" s="234">
        <v>38960</v>
      </c>
      <c r="K841" s="234">
        <v>14640</v>
      </c>
      <c r="L841" s="242">
        <v>11</v>
      </c>
      <c r="M841" s="234">
        <v>24320</v>
      </c>
      <c r="N841" s="234">
        <v>21644.799999999999</v>
      </c>
      <c r="O841" s="243" t="s">
        <v>2577</v>
      </c>
      <c r="P841" s="236">
        <v>45935</v>
      </c>
    </row>
    <row r="842" spans="1:16" ht="51" customHeight="1">
      <c r="A842" s="239" t="s">
        <v>2546</v>
      </c>
      <c r="B842" s="240">
        <v>2094</v>
      </c>
      <c r="C842" s="241">
        <v>8</v>
      </c>
      <c r="D842" s="239" t="s">
        <v>2482</v>
      </c>
      <c r="E842" s="239" t="s">
        <v>858</v>
      </c>
      <c r="F842" s="239" t="s">
        <v>859</v>
      </c>
      <c r="G842" s="239" t="s">
        <v>962</v>
      </c>
      <c r="H842" s="239" t="s">
        <v>971</v>
      </c>
      <c r="I842" s="239" t="s">
        <v>2465</v>
      </c>
      <c r="J842" s="234">
        <v>40580</v>
      </c>
      <c r="K842" s="234">
        <v>14900</v>
      </c>
      <c r="L842" s="242">
        <v>11</v>
      </c>
      <c r="M842" s="234">
        <v>25680</v>
      </c>
      <c r="N842" s="234">
        <v>22855.200000000001</v>
      </c>
      <c r="O842" s="243" t="s">
        <v>2578</v>
      </c>
      <c r="P842" s="236">
        <v>45935</v>
      </c>
    </row>
    <row r="843" spans="1:16" ht="51" customHeight="1">
      <c r="A843" s="239" t="s">
        <v>2547</v>
      </c>
      <c r="B843" s="240">
        <v>2095</v>
      </c>
      <c r="C843" s="241">
        <v>9</v>
      </c>
      <c r="D843" s="239" t="s">
        <v>2482</v>
      </c>
      <c r="E843" s="239" t="s">
        <v>388</v>
      </c>
      <c r="F843" s="239" t="s">
        <v>389</v>
      </c>
      <c r="G843" s="239" t="s">
        <v>962</v>
      </c>
      <c r="H843" s="239" t="s">
        <v>971</v>
      </c>
      <c r="I843" s="239" t="s">
        <v>2465</v>
      </c>
      <c r="J843" s="234">
        <v>63510</v>
      </c>
      <c r="K843" s="234">
        <v>21300</v>
      </c>
      <c r="L843" s="242">
        <v>10</v>
      </c>
      <c r="M843" s="234">
        <v>42210</v>
      </c>
      <c r="N843" s="234">
        <v>37989</v>
      </c>
      <c r="O843" s="243" t="s">
        <v>2579</v>
      </c>
      <c r="P843" s="236">
        <v>45935</v>
      </c>
    </row>
    <row r="844" spans="1:16" ht="51" customHeight="1">
      <c r="A844" s="239" t="s">
        <v>2510</v>
      </c>
      <c r="B844" s="240">
        <v>2102</v>
      </c>
      <c r="C844" s="241">
        <v>7776</v>
      </c>
      <c r="D844" s="239" t="s">
        <v>2511</v>
      </c>
      <c r="E844" s="239" t="s">
        <v>783</v>
      </c>
      <c r="F844" s="239" t="s">
        <v>784</v>
      </c>
      <c r="G844" s="239" t="s">
        <v>933</v>
      </c>
      <c r="H844" s="239" t="s">
        <v>51</v>
      </c>
      <c r="I844" s="239" t="s">
        <v>2512</v>
      </c>
      <c r="J844" s="234">
        <v>40310</v>
      </c>
      <c r="K844" s="234">
        <v>14620</v>
      </c>
      <c r="L844" s="242">
        <v>11</v>
      </c>
      <c r="M844" s="234">
        <v>25690</v>
      </c>
      <c r="N844" s="234">
        <v>22864.1</v>
      </c>
      <c r="O844" s="243" t="s">
        <v>2541</v>
      </c>
      <c r="P844" s="236">
        <v>45935</v>
      </c>
    </row>
    <row r="845" spans="1:16" ht="51" customHeight="1">
      <c r="A845" s="239" t="s">
        <v>2548</v>
      </c>
      <c r="B845" s="240">
        <v>2096</v>
      </c>
      <c r="C845" s="241">
        <v>2</v>
      </c>
      <c r="D845" s="239" t="s">
        <v>2482</v>
      </c>
      <c r="E845" s="239" t="s">
        <v>400</v>
      </c>
      <c r="F845" s="239" t="s">
        <v>401</v>
      </c>
      <c r="G845" s="239" t="s">
        <v>962</v>
      </c>
      <c r="H845" s="239" t="s">
        <v>971</v>
      </c>
      <c r="I845" s="239" t="s">
        <v>2465</v>
      </c>
      <c r="J845" s="234">
        <v>39540</v>
      </c>
      <c r="K845" s="234">
        <v>14900</v>
      </c>
      <c r="L845" s="242">
        <v>18</v>
      </c>
      <c r="M845" s="234">
        <v>24640</v>
      </c>
      <c r="N845" s="234">
        <v>20204.8</v>
      </c>
      <c r="O845" s="243" t="s">
        <v>2580</v>
      </c>
      <c r="P845" s="236">
        <v>45935</v>
      </c>
    </row>
    <row r="846" spans="1:16" ht="51" customHeight="1">
      <c r="A846" s="239" t="s">
        <v>2549</v>
      </c>
      <c r="B846" s="240">
        <v>2097</v>
      </c>
      <c r="C846" s="241">
        <v>3</v>
      </c>
      <c r="D846" s="239" t="s">
        <v>2482</v>
      </c>
      <c r="E846" s="239" t="s">
        <v>390</v>
      </c>
      <c r="F846" s="239" t="s">
        <v>391</v>
      </c>
      <c r="G846" s="239" t="s">
        <v>962</v>
      </c>
      <c r="H846" s="239" t="s">
        <v>971</v>
      </c>
      <c r="I846" s="239" t="s">
        <v>2465</v>
      </c>
      <c r="J846" s="234">
        <v>41540</v>
      </c>
      <c r="K846" s="234">
        <v>15150</v>
      </c>
      <c r="L846" s="242">
        <v>7</v>
      </c>
      <c r="M846" s="234">
        <v>26390</v>
      </c>
      <c r="N846" s="234">
        <v>24542.7</v>
      </c>
      <c r="O846" s="243" t="s">
        <v>2581</v>
      </c>
      <c r="P846" s="236">
        <v>45935</v>
      </c>
    </row>
    <row r="847" spans="1:16" ht="51" customHeight="1">
      <c r="A847" s="239" t="s">
        <v>2550</v>
      </c>
      <c r="B847" s="240">
        <v>2098</v>
      </c>
      <c r="C847" s="241">
        <v>4</v>
      </c>
      <c r="D847" s="239" t="s">
        <v>2482</v>
      </c>
      <c r="E847" s="239" t="s">
        <v>432</v>
      </c>
      <c r="F847" s="239" t="s">
        <v>433</v>
      </c>
      <c r="G847" s="239" t="s">
        <v>962</v>
      </c>
      <c r="H847" s="239" t="s">
        <v>971</v>
      </c>
      <c r="I847" s="239" t="s">
        <v>2465</v>
      </c>
      <c r="J847" s="234">
        <v>42660</v>
      </c>
      <c r="K847" s="234">
        <v>15800</v>
      </c>
      <c r="L847" s="242">
        <v>13</v>
      </c>
      <c r="M847" s="234">
        <v>26860</v>
      </c>
      <c r="N847" s="234">
        <v>23368.2</v>
      </c>
      <c r="O847" s="243" t="s">
        <v>2582</v>
      </c>
      <c r="P847" s="236">
        <v>45935</v>
      </c>
    </row>
    <row r="848" spans="1:16" ht="51" customHeight="1">
      <c r="A848" s="239" t="s">
        <v>2551</v>
      </c>
      <c r="B848" s="240">
        <v>2099</v>
      </c>
      <c r="C848" s="241">
        <v>7</v>
      </c>
      <c r="D848" s="239" t="s">
        <v>2482</v>
      </c>
      <c r="E848" s="239" t="s">
        <v>372</v>
      </c>
      <c r="F848" s="239" t="s">
        <v>373</v>
      </c>
      <c r="G848" s="239" t="s">
        <v>962</v>
      </c>
      <c r="H848" s="239" t="s">
        <v>971</v>
      </c>
      <c r="I848" s="239" t="s">
        <v>2465</v>
      </c>
      <c r="J848" s="234">
        <v>39450</v>
      </c>
      <c r="K848" s="234">
        <v>15010</v>
      </c>
      <c r="L848" s="242">
        <v>16</v>
      </c>
      <c r="M848" s="234">
        <v>24440</v>
      </c>
      <c r="N848" s="234">
        <v>20529.599999999999</v>
      </c>
      <c r="O848" s="243" t="s">
        <v>2583</v>
      </c>
      <c r="P848" s="236">
        <v>45935</v>
      </c>
    </row>
    <row r="849" spans="1:16" ht="51" customHeight="1">
      <c r="A849" s="239" t="s">
        <v>2552</v>
      </c>
      <c r="B849" s="240">
        <v>2100</v>
      </c>
      <c r="C849" s="241">
        <v>5</v>
      </c>
      <c r="D849" s="239" t="s">
        <v>2482</v>
      </c>
      <c r="E849" s="239" t="s">
        <v>1410</v>
      </c>
      <c r="F849" s="239" t="s">
        <v>437</v>
      </c>
      <c r="G849" s="239" t="s">
        <v>962</v>
      </c>
      <c r="H849" s="239" t="s">
        <v>971</v>
      </c>
      <c r="I849" s="239" t="s">
        <v>2465</v>
      </c>
      <c r="J849" s="234">
        <v>40810</v>
      </c>
      <c r="K849" s="234">
        <v>15010</v>
      </c>
      <c r="L849" s="242">
        <v>8</v>
      </c>
      <c r="M849" s="234">
        <v>25800</v>
      </c>
      <c r="N849" s="234">
        <v>23736</v>
      </c>
      <c r="O849" s="243" t="s">
        <v>2584</v>
      </c>
      <c r="P849" s="236">
        <v>45935</v>
      </c>
    </row>
    <row r="850" spans="1:16" ht="51" customHeight="1">
      <c r="A850" s="239" t="s">
        <v>2553</v>
      </c>
      <c r="B850" s="240">
        <v>2101</v>
      </c>
      <c r="C850" s="241">
        <v>6</v>
      </c>
      <c r="D850" s="239" t="s">
        <v>2482</v>
      </c>
      <c r="E850" s="239" t="s">
        <v>439</v>
      </c>
      <c r="F850" s="239" t="s">
        <v>440</v>
      </c>
      <c r="G850" s="239" t="s">
        <v>962</v>
      </c>
      <c r="H850" s="239" t="s">
        <v>971</v>
      </c>
      <c r="I850" s="239" t="s">
        <v>2465</v>
      </c>
      <c r="J850" s="234">
        <v>42010</v>
      </c>
      <c r="K850" s="234">
        <v>15260</v>
      </c>
      <c r="L850" s="242">
        <v>8</v>
      </c>
      <c r="M850" s="234">
        <v>26750</v>
      </c>
      <c r="N850" s="234">
        <v>24610</v>
      </c>
      <c r="O850" s="243" t="s">
        <v>2585</v>
      </c>
      <c r="P850" s="236">
        <v>45935</v>
      </c>
    </row>
    <row r="851" spans="1:16" ht="51" customHeight="1">
      <c r="A851" s="239" t="s">
        <v>2556</v>
      </c>
      <c r="B851" s="240">
        <v>2107</v>
      </c>
      <c r="C851" s="241">
        <v>12</v>
      </c>
      <c r="D851" s="239" t="s">
        <v>2482</v>
      </c>
      <c r="E851" s="239" t="s">
        <v>410</v>
      </c>
      <c r="F851" s="239" t="s">
        <v>411</v>
      </c>
      <c r="G851" s="239" t="s">
        <v>962</v>
      </c>
      <c r="H851" s="239" t="s">
        <v>971</v>
      </c>
      <c r="I851" s="239" t="s">
        <v>2465</v>
      </c>
      <c r="J851" s="234">
        <v>40000</v>
      </c>
      <c r="K851" s="234">
        <v>15290</v>
      </c>
      <c r="L851" s="242">
        <v>22</v>
      </c>
      <c r="M851" s="234">
        <v>24710</v>
      </c>
      <c r="N851" s="234">
        <v>19273.8</v>
      </c>
      <c r="O851" s="243" t="s">
        <v>2588</v>
      </c>
      <c r="P851" s="236">
        <v>45936</v>
      </c>
    </row>
    <row r="852" spans="1:16" ht="51" customHeight="1">
      <c r="A852" s="239" t="s">
        <v>2555</v>
      </c>
      <c r="B852" s="240">
        <v>2105</v>
      </c>
      <c r="C852" s="241">
        <v>11</v>
      </c>
      <c r="D852" s="239" t="s">
        <v>2482</v>
      </c>
      <c r="E852" s="239" t="s">
        <v>377</v>
      </c>
      <c r="F852" s="239" t="s">
        <v>378</v>
      </c>
      <c r="G852" s="239" t="s">
        <v>962</v>
      </c>
      <c r="H852" s="239" t="s">
        <v>971</v>
      </c>
      <c r="I852" s="239" t="s">
        <v>2465</v>
      </c>
      <c r="J852" s="234">
        <v>42790</v>
      </c>
      <c r="K852" s="234">
        <v>15190</v>
      </c>
      <c r="L852" s="242">
        <v>9</v>
      </c>
      <c r="M852" s="234">
        <v>27600</v>
      </c>
      <c r="N852" s="234">
        <v>25116</v>
      </c>
      <c r="O852" s="243" t="s">
        <v>2587</v>
      </c>
      <c r="P852" s="236">
        <v>45935</v>
      </c>
    </row>
    <row r="853" spans="1:16" ht="51" customHeight="1">
      <c r="A853" s="239" t="s">
        <v>2554</v>
      </c>
      <c r="B853" s="240">
        <v>2104</v>
      </c>
      <c r="C853" s="241">
        <v>10</v>
      </c>
      <c r="D853" s="239" t="s">
        <v>2482</v>
      </c>
      <c r="E853" s="239" t="s">
        <v>392</v>
      </c>
      <c r="F853" s="239" t="s">
        <v>393</v>
      </c>
      <c r="G853" s="239" t="s">
        <v>962</v>
      </c>
      <c r="H853" s="239" t="s">
        <v>971</v>
      </c>
      <c r="I853" s="239" t="s">
        <v>2465</v>
      </c>
      <c r="J853" s="234">
        <v>65350</v>
      </c>
      <c r="K853" s="234">
        <v>24070</v>
      </c>
      <c r="L853" s="242">
        <v>8</v>
      </c>
      <c r="M853" s="234">
        <v>41280</v>
      </c>
      <c r="N853" s="234">
        <v>37977.599999999999</v>
      </c>
      <c r="O853" s="243" t="s">
        <v>2586</v>
      </c>
      <c r="P853" s="236">
        <v>45935</v>
      </c>
    </row>
    <row r="854" spans="1:16" ht="51" customHeight="1">
      <c r="A854" s="239" t="s">
        <v>2557</v>
      </c>
      <c r="B854" s="240">
        <v>2108</v>
      </c>
      <c r="C854" s="241">
        <v>13</v>
      </c>
      <c r="D854" s="239" t="s">
        <v>2482</v>
      </c>
      <c r="E854" s="239" t="s">
        <v>447</v>
      </c>
      <c r="F854" s="239" t="s">
        <v>448</v>
      </c>
      <c r="G854" s="239" t="s">
        <v>962</v>
      </c>
      <c r="H854" s="239" t="s">
        <v>971</v>
      </c>
      <c r="I854" s="239" t="s">
        <v>2465</v>
      </c>
      <c r="J854" s="234">
        <v>53310</v>
      </c>
      <c r="K854" s="234">
        <v>19420</v>
      </c>
      <c r="L854" s="242">
        <v>7</v>
      </c>
      <c r="M854" s="234">
        <v>33890</v>
      </c>
      <c r="N854" s="234">
        <v>31517.7</v>
      </c>
      <c r="O854" s="243" t="s">
        <v>2589</v>
      </c>
      <c r="P854" s="236">
        <v>45936</v>
      </c>
    </row>
    <row r="855" spans="1:16" ht="51" customHeight="1">
      <c r="A855" s="239" t="s">
        <v>2558</v>
      </c>
      <c r="B855" s="240">
        <v>2109</v>
      </c>
      <c r="C855" s="241">
        <v>14</v>
      </c>
      <c r="D855" s="239" t="s">
        <v>2482</v>
      </c>
      <c r="E855" s="239" t="s">
        <v>453</v>
      </c>
      <c r="F855" s="239" t="s">
        <v>454</v>
      </c>
      <c r="G855" s="239" t="s">
        <v>962</v>
      </c>
      <c r="H855" s="239" t="s">
        <v>971</v>
      </c>
      <c r="I855" s="239" t="s">
        <v>2465</v>
      </c>
      <c r="J855" s="234">
        <v>57980</v>
      </c>
      <c r="K855" s="234">
        <v>24220</v>
      </c>
      <c r="L855" s="242">
        <v>12</v>
      </c>
      <c r="M855" s="234">
        <v>33760</v>
      </c>
      <c r="N855" s="234">
        <v>29708.799999999999</v>
      </c>
      <c r="O855" s="243" t="s">
        <v>2590</v>
      </c>
      <c r="P855" s="236">
        <v>45936</v>
      </c>
    </row>
    <row r="856" spans="1:16" ht="51" customHeight="1">
      <c r="A856" s="239" t="s">
        <v>2559</v>
      </c>
      <c r="B856" s="240">
        <v>2110</v>
      </c>
      <c r="C856" s="241">
        <v>15</v>
      </c>
      <c r="D856" s="239" t="s">
        <v>2482</v>
      </c>
      <c r="E856" s="239" t="s">
        <v>456</v>
      </c>
      <c r="F856" s="239" t="s">
        <v>457</v>
      </c>
      <c r="G856" s="239" t="s">
        <v>962</v>
      </c>
      <c r="H856" s="239" t="s">
        <v>971</v>
      </c>
      <c r="I856" s="239" t="s">
        <v>2465</v>
      </c>
      <c r="J856" s="234">
        <v>44690</v>
      </c>
      <c r="K856" s="234">
        <v>15670</v>
      </c>
      <c r="L856" s="242">
        <v>11</v>
      </c>
      <c r="M856" s="234">
        <v>29020</v>
      </c>
      <c r="N856" s="234">
        <v>25827.8</v>
      </c>
      <c r="O856" s="243" t="s">
        <v>2591</v>
      </c>
      <c r="P856" s="236">
        <v>45936</v>
      </c>
    </row>
    <row r="857" spans="1:16" ht="51" customHeight="1">
      <c r="A857" s="239" t="s">
        <v>2560</v>
      </c>
      <c r="B857" s="240">
        <v>2111</v>
      </c>
      <c r="C857" s="241">
        <v>16</v>
      </c>
      <c r="D857" s="239" t="s">
        <v>2482</v>
      </c>
      <c r="E857" s="239" t="s">
        <v>416</v>
      </c>
      <c r="F857" s="239" t="s">
        <v>417</v>
      </c>
      <c r="G857" s="239" t="s">
        <v>962</v>
      </c>
      <c r="H857" s="239" t="s">
        <v>971</v>
      </c>
      <c r="I857" s="239" t="s">
        <v>2465</v>
      </c>
      <c r="J857" s="234">
        <v>39120</v>
      </c>
      <c r="K857" s="234">
        <v>14710</v>
      </c>
      <c r="L857" s="242">
        <v>12</v>
      </c>
      <c r="M857" s="234">
        <v>24410</v>
      </c>
      <c r="N857" s="234">
        <v>21480.799999999999</v>
      </c>
      <c r="O857" s="243" t="s">
        <v>2592</v>
      </c>
      <c r="P857" s="236">
        <v>45936</v>
      </c>
    </row>
    <row r="858" spans="1:16" ht="51" customHeight="1">
      <c r="A858" s="239" t="s">
        <v>2561</v>
      </c>
      <c r="B858" s="240">
        <v>2113</v>
      </c>
      <c r="C858" s="241">
        <v>17</v>
      </c>
      <c r="D858" s="239" t="s">
        <v>2482</v>
      </c>
      <c r="E858" s="239" t="s">
        <v>403</v>
      </c>
      <c r="F858" s="239" t="s">
        <v>404</v>
      </c>
      <c r="G858" s="239" t="s">
        <v>962</v>
      </c>
      <c r="H858" s="239" t="s">
        <v>971</v>
      </c>
      <c r="I858" s="239" t="s">
        <v>2465</v>
      </c>
      <c r="J858" s="234">
        <v>39800</v>
      </c>
      <c r="K858" s="234">
        <v>14640</v>
      </c>
      <c r="L858" s="242">
        <v>15</v>
      </c>
      <c r="M858" s="234">
        <v>25160</v>
      </c>
      <c r="N858" s="234">
        <v>21386</v>
      </c>
      <c r="O858" s="243" t="s">
        <v>2593</v>
      </c>
      <c r="P858" s="236">
        <v>45936</v>
      </c>
    </row>
    <row r="859" spans="1:16" ht="51" customHeight="1">
      <c r="A859" s="239" t="s">
        <v>2562</v>
      </c>
      <c r="B859" s="240">
        <v>2114</v>
      </c>
      <c r="C859" s="241">
        <v>18</v>
      </c>
      <c r="D859" s="239" t="s">
        <v>2482</v>
      </c>
      <c r="E859" s="239" t="s">
        <v>406</v>
      </c>
      <c r="F859" s="239" t="s">
        <v>407</v>
      </c>
      <c r="G859" s="239" t="s">
        <v>962</v>
      </c>
      <c r="H859" s="239" t="s">
        <v>971</v>
      </c>
      <c r="I859" s="239" t="s">
        <v>2465</v>
      </c>
      <c r="J859" s="234">
        <v>39980</v>
      </c>
      <c r="K859" s="234">
        <v>15230</v>
      </c>
      <c r="L859" s="242">
        <v>9</v>
      </c>
      <c r="M859" s="234">
        <v>24750</v>
      </c>
      <c r="N859" s="234">
        <v>22522.5</v>
      </c>
      <c r="O859" s="243" t="s">
        <v>2594</v>
      </c>
      <c r="P859" s="236">
        <v>45936</v>
      </c>
    </row>
    <row r="860" spans="1:16" ht="51" customHeight="1">
      <c r="A860" s="239" t="s">
        <v>2563</v>
      </c>
      <c r="B860" s="240">
        <v>2115</v>
      </c>
      <c r="C860" s="241">
        <v>19</v>
      </c>
      <c r="D860" s="239" t="s">
        <v>2482</v>
      </c>
      <c r="E860" s="239" t="s">
        <v>780</v>
      </c>
      <c r="F860" s="239" t="s">
        <v>781</v>
      </c>
      <c r="G860" s="239" t="s">
        <v>962</v>
      </c>
      <c r="H860" s="239" t="s">
        <v>42</v>
      </c>
      <c r="I860" s="239" t="s">
        <v>2465</v>
      </c>
      <c r="J860" s="234">
        <v>37540</v>
      </c>
      <c r="K860" s="234">
        <v>14980</v>
      </c>
      <c r="L860" s="242">
        <v>15</v>
      </c>
      <c r="M860" s="234">
        <v>22560</v>
      </c>
      <c r="N860" s="234">
        <v>19176</v>
      </c>
      <c r="O860" s="243" t="s">
        <v>2595</v>
      </c>
      <c r="P860" s="236">
        <v>45936</v>
      </c>
    </row>
    <row r="861" spans="1:16" ht="51" customHeight="1">
      <c r="A861" s="239" t="s">
        <v>2564</v>
      </c>
      <c r="B861" s="240">
        <v>2116</v>
      </c>
      <c r="C861" s="241">
        <v>20</v>
      </c>
      <c r="D861" s="239" t="s">
        <v>2482</v>
      </c>
      <c r="E861" s="239" t="s">
        <v>442</v>
      </c>
      <c r="F861" s="239" t="s">
        <v>443</v>
      </c>
      <c r="G861" s="239" t="s">
        <v>962</v>
      </c>
      <c r="H861" s="239" t="s">
        <v>42</v>
      </c>
      <c r="I861" s="239" t="s">
        <v>2465</v>
      </c>
      <c r="J861" s="234">
        <v>35640</v>
      </c>
      <c r="K861" s="234">
        <v>14560</v>
      </c>
      <c r="L861" s="242">
        <v>9</v>
      </c>
      <c r="M861" s="234">
        <v>21080</v>
      </c>
      <c r="N861" s="234">
        <v>19182.8</v>
      </c>
      <c r="O861" s="243" t="s">
        <v>2596</v>
      </c>
      <c r="P861" s="236">
        <v>45936</v>
      </c>
    </row>
    <row r="862" spans="1:16" ht="51" customHeight="1">
      <c r="A862" s="239" t="s">
        <v>2565</v>
      </c>
      <c r="B862" s="240">
        <v>2120</v>
      </c>
      <c r="C862" s="241">
        <v>21</v>
      </c>
      <c r="D862" s="239" t="s">
        <v>2482</v>
      </c>
      <c r="E862" s="239" t="s">
        <v>374</v>
      </c>
      <c r="F862" s="239" t="s">
        <v>375</v>
      </c>
      <c r="G862" s="239" t="s">
        <v>962</v>
      </c>
      <c r="H862" s="239" t="s">
        <v>42</v>
      </c>
      <c r="I862" s="239" t="s">
        <v>2465</v>
      </c>
      <c r="J862" s="234">
        <v>42180</v>
      </c>
      <c r="K862" s="234">
        <v>15570</v>
      </c>
      <c r="L862" s="242">
        <v>7</v>
      </c>
      <c r="M862" s="234">
        <v>26610</v>
      </c>
      <c r="N862" s="234">
        <v>24747.3</v>
      </c>
      <c r="O862" s="243" t="s">
        <v>2597</v>
      </c>
      <c r="P862" s="236">
        <v>45936</v>
      </c>
    </row>
    <row r="863" spans="1:16" ht="51" customHeight="1">
      <c r="A863" s="239" t="s">
        <v>2569</v>
      </c>
      <c r="B863" s="240">
        <v>2131</v>
      </c>
      <c r="C863" s="241">
        <v>7810</v>
      </c>
      <c r="D863" s="239" t="s">
        <v>2511</v>
      </c>
      <c r="E863" s="239" t="s">
        <v>388</v>
      </c>
      <c r="F863" s="239" t="s">
        <v>389</v>
      </c>
      <c r="G863" s="239" t="s">
        <v>933</v>
      </c>
      <c r="H863" s="239" t="s">
        <v>51</v>
      </c>
      <c r="I863" s="239" t="s">
        <v>2512</v>
      </c>
      <c r="J863" s="234">
        <v>62860</v>
      </c>
      <c r="K863" s="234">
        <v>21250</v>
      </c>
      <c r="L863" s="242">
        <v>1</v>
      </c>
      <c r="M863" s="234">
        <v>41610</v>
      </c>
      <c r="N863" s="234">
        <v>41193.9</v>
      </c>
      <c r="O863" s="243" t="s">
        <v>2601</v>
      </c>
      <c r="P863" s="236">
        <v>45936</v>
      </c>
    </row>
    <row r="864" spans="1:16" ht="51" customHeight="1">
      <c r="A864" s="239" t="s">
        <v>2572</v>
      </c>
      <c r="B864" s="240">
        <v>2132</v>
      </c>
      <c r="C864" s="241">
        <v>7811</v>
      </c>
      <c r="D864" s="239" t="s">
        <v>2511</v>
      </c>
      <c r="E864" s="239" t="s">
        <v>841</v>
      </c>
      <c r="F864" s="239" t="s">
        <v>845</v>
      </c>
      <c r="G864" s="239" t="s">
        <v>933</v>
      </c>
      <c r="H864" s="239" t="s">
        <v>51</v>
      </c>
      <c r="I864" s="239" t="s">
        <v>2512</v>
      </c>
      <c r="J864" s="234">
        <v>43480</v>
      </c>
      <c r="K864" s="234">
        <v>15890</v>
      </c>
      <c r="L864" s="242">
        <v>4</v>
      </c>
      <c r="M864" s="234">
        <v>27590</v>
      </c>
      <c r="N864" s="234">
        <v>26486.400000000001</v>
      </c>
      <c r="O864" s="243" t="s">
        <v>2604</v>
      </c>
      <c r="P864" s="236">
        <v>45936</v>
      </c>
    </row>
    <row r="865" spans="1:16" ht="51" customHeight="1">
      <c r="A865" s="239" t="s">
        <v>2566</v>
      </c>
      <c r="B865" s="240">
        <v>2133</v>
      </c>
      <c r="C865" s="241">
        <v>7812</v>
      </c>
      <c r="D865" s="239" t="s">
        <v>2511</v>
      </c>
      <c r="E865" s="239" t="s">
        <v>794</v>
      </c>
      <c r="F865" s="239" t="s">
        <v>795</v>
      </c>
      <c r="G865" s="239" t="s">
        <v>933</v>
      </c>
      <c r="H865" s="239" t="s">
        <v>51</v>
      </c>
      <c r="I865" s="239" t="s">
        <v>2512</v>
      </c>
      <c r="J865" s="234">
        <v>42180</v>
      </c>
      <c r="K865" s="234">
        <v>16120</v>
      </c>
      <c r="L865" s="242">
        <v>5</v>
      </c>
      <c r="M865" s="234">
        <v>26060</v>
      </c>
      <c r="N865" s="234">
        <v>24757</v>
      </c>
      <c r="O865" s="243" t="s">
        <v>2598</v>
      </c>
      <c r="P865" s="236">
        <v>45936</v>
      </c>
    </row>
    <row r="866" spans="1:16" ht="51" customHeight="1">
      <c r="A866" s="239" t="s">
        <v>2567</v>
      </c>
      <c r="B866" s="240">
        <v>2135</v>
      </c>
      <c r="C866" s="241">
        <v>7814</v>
      </c>
      <c r="D866" s="239" t="s">
        <v>2511</v>
      </c>
      <c r="E866" s="239" t="s">
        <v>791</v>
      </c>
      <c r="F866" s="239" t="s">
        <v>792</v>
      </c>
      <c r="G866" s="239" t="s">
        <v>933</v>
      </c>
      <c r="H866" s="239" t="s">
        <v>51</v>
      </c>
      <c r="I866" s="239" t="s">
        <v>2512</v>
      </c>
      <c r="J866" s="234">
        <v>41270</v>
      </c>
      <c r="K866" s="234">
        <v>14960</v>
      </c>
      <c r="L866" s="242">
        <v>5</v>
      </c>
      <c r="M866" s="234">
        <v>26310</v>
      </c>
      <c r="N866" s="234">
        <v>24994.5</v>
      </c>
      <c r="O866" s="243" t="s">
        <v>2599</v>
      </c>
      <c r="P866" s="236">
        <v>45936</v>
      </c>
    </row>
    <row r="867" spans="1:16" ht="51" customHeight="1">
      <c r="A867" s="239" t="s">
        <v>2568</v>
      </c>
      <c r="B867" s="240">
        <v>2136</v>
      </c>
      <c r="C867" s="241">
        <v>7815</v>
      </c>
      <c r="D867" s="239" t="s">
        <v>2511</v>
      </c>
      <c r="E867" s="239" t="s">
        <v>786</v>
      </c>
      <c r="F867" s="239" t="s">
        <v>787</v>
      </c>
      <c r="G867" s="239" t="s">
        <v>933</v>
      </c>
      <c r="H867" s="239" t="s">
        <v>51</v>
      </c>
      <c r="I867" s="239" t="s">
        <v>2512</v>
      </c>
      <c r="J867" s="234">
        <v>36090</v>
      </c>
      <c r="K867" s="234">
        <v>13980</v>
      </c>
      <c r="L867" s="242">
        <v>5</v>
      </c>
      <c r="M867" s="234">
        <v>22110</v>
      </c>
      <c r="N867" s="234">
        <v>21004.5</v>
      </c>
      <c r="O867" s="243" t="s">
        <v>2600</v>
      </c>
      <c r="P867" s="236">
        <v>45936</v>
      </c>
    </row>
    <row r="868" spans="1:16" ht="51" customHeight="1">
      <c r="A868" s="239" t="s">
        <v>2570</v>
      </c>
      <c r="B868" s="240">
        <v>2139</v>
      </c>
      <c r="C868" s="241">
        <v>7823</v>
      </c>
      <c r="D868" s="239" t="s">
        <v>2511</v>
      </c>
      <c r="E868" s="239" t="s">
        <v>400</v>
      </c>
      <c r="F868" s="239" t="s">
        <v>401</v>
      </c>
      <c r="G868" s="239" t="s">
        <v>933</v>
      </c>
      <c r="H868" s="239" t="s">
        <v>51</v>
      </c>
      <c r="I868" s="239" t="s">
        <v>2512</v>
      </c>
      <c r="J868" s="234">
        <v>37970</v>
      </c>
      <c r="K868" s="234">
        <v>14720</v>
      </c>
      <c r="L868" s="242">
        <v>4</v>
      </c>
      <c r="M868" s="234">
        <v>23250</v>
      </c>
      <c r="N868" s="234">
        <v>22320</v>
      </c>
      <c r="O868" s="243" t="s">
        <v>2602</v>
      </c>
      <c r="P868" s="236">
        <v>45936</v>
      </c>
    </row>
    <row r="869" spans="1:16" ht="51" customHeight="1">
      <c r="A869" s="239" t="s">
        <v>2571</v>
      </c>
      <c r="B869" s="240">
        <v>2140</v>
      </c>
      <c r="C869" s="241">
        <v>7824</v>
      </c>
      <c r="D869" s="239" t="s">
        <v>2511</v>
      </c>
      <c r="E869" s="239" t="s">
        <v>382</v>
      </c>
      <c r="F869" s="239" t="s">
        <v>383</v>
      </c>
      <c r="G869" s="239" t="s">
        <v>933</v>
      </c>
      <c r="H869" s="239" t="s">
        <v>51</v>
      </c>
      <c r="I869" s="239" t="s">
        <v>2512</v>
      </c>
      <c r="J869" s="234">
        <v>37130</v>
      </c>
      <c r="K869" s="234">
        <v>14560</v>
      </c>
      <c r="L869" s="242">
        <v>4</v>
      </c>
      <c r="M869" s="234">
        <v>22570</v>
      </c>
      <c r="N869" s="234">
        <v>21667.200000000001</v>
      </c>
      <c r="O869" s="243" t="s">
        <v>2603</v>
      </c>
      <c r="P869" s="236">
        <v>45936</v>
      </c>
    </row>
    <row r="870" spans="1:16" ht="51" customHeight="1">
      <c r="A870" s="239" t="s">
        <v>2573</v>
      </c>
      <c r="B870" s="240">
        <v>2142</v>
      </c>
      <c r="C870" s="241">
        <v>7829</v>
      </c>
      <c r="D870" s="239" t="s">
        <v>2511</v>
      </c>
      <c r="E870" s="239" t="s">
        <v>462</v>
      </c>
      <c r="F870" s="239" t="s">
        <v>463</v>
      </c>
      <c r="G870" s="239" t="s">
        <v>933</v>
      </c>
      <c r="H870" s="239" t="s">
        <v>51</v>
      </c>
      <c r="I870" s="239" t="s">
        <v>2512</v>
      </c>
      <c r="J870" s="234">
        <v>40780</v>
      </c>
      <c r="K870" s="234">
        <v>16330</v>
      </c>
      <c r="L870" s="242">
        <v>6</v>
      </c>
      <c r="M870" s="234">
        <v>24450</v>
      </c>
      <c r="N870" s="234">
        <v>22983</v>
      </c>
      <c r="O870" s="243" t="s">
        <v>2605</v>
      </c>
      <c r="P870" s="236">
        <v>45937</v>
      </c>
    </row>
    <row r="871" spans="1:16" ht="51" customHeight="1">
      <c r="A871" s="239" t="s">
        <v>2574</v>
      </c>
      <c r="B871" s="240">
        <v>2143</v>
      </c>
      <c r="C871" s="241">
        <v>7828</v>
      </c>
      <c r="D871" s="239" t="s">
        <v>2511</v>
      </c>
      <c r="E871" s="239" t="s">
        <v>432</v>
      </c>
      <c r="F871" s="239" t="s">
        <v>433</v>
      </c>
      <c r="G871" s="239" t="s">
        <v>933</v>
      </c>
      <c r="H871" s="239" t="s">
        <v>51</v>
      </c>
      <c r="I871" s="239" t="s">
        <v>2512</v>
      </c>
      <c r="J871" s="234">
        <v>42870</v>
      </c>
      <c r="K871" s="234">
        <v>15700</v>
      </c>
      <c r="L871" s="242">
        <v>5</v>
      </c>
      <c r="M871" s="234">
        <v>27170</v>
      </c>
      <c r="N871" s="234">
        <v>25811.5</v>
      </c>
      <c r="O871" s="243" t="s">
        <v>2606</v>
      </c>
      <c r="P871" s="236">
        <v>45937</v>
      </c>
    </row>
    <row r="872" spans="1:16" ht="51" customHeight="1">
      <c r="A872" s="239" t="s">
        <v>2575</v>
      </c>
      <c r="B872" s="240">
        <v>2144</v>
      </c>
      <c r="C872" s="241">
        <v>7776</v>
      </c>
      <c r="D872" s="239" t="s">
        <v>2511</v>
      </c>
      <c r="E872" s="239" t="s">
        <v>783</v>
      </c>
      <c r="F872" s="239" t="s">
        <v>784</v>
      </c>
      <c r="G872" s="239" t="s">
        <v>933</v>
      </c>
      <c r="H872" s="239" t="s">
        <v>51</v>
      </c>
      <c r="I872" s="239" t="s">
        <v>2512</v>
      </c>
      <c r="J872" s="234">
        <v>39200</v>
      </c>
      <c r="K872" s="234">
        <v>14380</v>
      </c>
      <c r="L872" s="242">
        <v>7</v>
      </c>
      <c r="M872" s="234">
        <v>24820</v>
      </c>
      <c r="N872" s="234">
        <v>23082.6</v>
      </c>
      <c r="O872" s="243" t="s">
        <v>2607</v>
      </c>
      <c r="P872" s="236">
        <v>45937</v>
      </c>
    </row>
    <row r="873" spans="1:16" ht="51" customHeight="1">
      <c r="A873" s="239" t="s">
        <v>2576</v>
      </c>
      <c r="B873" s="240">
        <v>2145</v>
      </c>
      <c r="C873" s="241">
        <v>7843</v>
      </c>
      <c r="D873" s="239" t="s">
        <v>2511</v>
      </c>
      <c r="E873" s="239" t="s">
        <v>377</v>
      </c>
      <c r="F873" s="239" t="s">
        <v>378</v>
      </c>
      <c r="G873" s="239" t="s">
        <v>933</v>
      </c>
      <c r="H873" s="239" t="s">
        <v>51</v>
      </c>
      <c r="I873" s="239" t="s">
        <v>2512</v>
      </c>
      <c r="J873" s="234">
        <v>42760</v>
      </c>
      <c r="K873" s="234">
        <v>15080</v>
      </c>
      <c r="L873" s="242">
        <v>6</v>
      </c>
      <c r="M873" s="234">
        <v>27680</v>
      </c>
      <c r="N873" s="234">
        <v>26019.200000000001</v>
      </c>
      <c r="O873" s="243" t="s">
        <v>2608</v>
      </c>
      <c r="P873" s="236">
        <v>45937</v>
      </c>
    </row>
    <row r="874" spans="1:16" ht="51" customHeight="1">
      <c r="A874" s="239" t="s">
        <v>2609</v>
      </c>
      <c r="B874" s="240">
        <v>2147</v>
      </c>
      <c r="C874" s="241">
        <v>7847</v>
      </c>
      <c r="D874" s="239" t="s">
        <v>2511</v>
      </c>
      <c r="E874" s="239" t="s">
        <v>472</v>
      </c>
      <c r="F874" s="239" t="s">
        <v>473</v>
      </c>
      <c r="G874" s="239" t="s">
        <v>933</v>
      </c>
      <c r="H874" s="239" t="s">
        <v>51</v>
      </c>
      <c r="I874" s="239" t="s">
        <v>2512</v>
      </c>
      <c r="J874" s="234">
        <v>41170</v>
      </c>
      <c r="K874" s="234">
        <v>16480</v>
      </c>
      <c r="L874" s="242">
        <v>6</v>
      </c>
      <c r="M874" s="234">
        <v>24690</v>
      </c>
      <c r="N874" s="234">
        <v>23208.6</v>
      </c>
      <c r="O874" s="243" t="s">
        <v>2610</v>
      </c>
      <c r="P874" s="236">
        <v>45937</v>
      </c>
    </row>
    <row r="875" spans="1:16" ht="51" customHeight="1">
      <c r="A875" s="239" t="s">
        <v>2611</v>
      </c>
      <c r="B875" s="240">
        <v>2148</v>
      </c>
      <c r="C875" s="241">
        <v>7848</v>
      </c>
      <c r="D875" s="239" t="s">
        <v>2511</v>
      </c>
      <c r="E875" s="239" t="s">
        <v>475</v>
      </c>
      <c r="F875" s="239" t="s">
        <v>476</v>
      </c>
      <c r="G875" s="239" t="s">
        <v>933</v>
      </c>
      <c r="H875" s="239" t="s">
        <v>51</v>
      </c>
      <c r="I875" s="239" t="s">
        <v>2512</v>
      </c>
      <c r="J875" s="234">
        <v>41130</v>
      </c>
      <c r="K875" s="234">
        <v>16370</v>
      </c>
      <c r="L875" s="242">
        <v>4</v>
      </c>
      <c r="M875" s="234">
        <v>24760</v>
      </c>
      <c r="N875" s="234">
        <v>23769.599999999999</v>
      </c>
      <c r="O875" s="243" t="s">
        <v>2612</v>
      </c>
      <c r="P875" s="236">
        <v>45937</v>
      </c>
    </row>
    <row r="876" spans="1:16" ht="51" customHeight="1">
      <c r="A876" s="239" t="s">
        <v>2613</v>
      </c>
      <c r="B876" s="240">
        <v>2156</v>
      </c>
      <c r="C876" s="241">
        <v>1</v>
      </c>
      <c r="D876" s="239" t="s">
        <v>2482</v>
      </c>
      <c r="E876" s="239" t="s">
        <v>392</v>
      </c>
      <c r="F876" s="239" t="s">
        <v>393</v>
      </c>
      <c r="G876" s="239" t="s">
        <v>960</v>
      </c>
      <c r="H876" s="239" t="s">
        <v>51</v>
      </c>
      <c r="I876" s="239" t="s">
        <v>2465</v>
      </c>
      <c r="J876" s="234">
        <v>64650</v>
      </c>
      <c r="K876" s="234">
        <v>24150</v>
      </c>
      <c r="L876" s="242">
        <v>4</v>
      </c>
      <c r="M876" s="234">
        <v>40500</v>
      </c>
      <c r="N876" s="234">
        <v>38880</v>
      </c>
      <c r="O876" s="243" t="s">
        <v>2631</v>
      </c>
      <c r="P876" s="236">
        <v>45937</v>
      </c>
    </row>
    <row r="877" spans="1:16" ht="51" customHeight="1">
      <c r="A877" s="239" t="s">
        <v>2614</v>
      </c>
      <c r="B877" s="240">
        <v>2157</v>
      </c>
      <c r="C877" s="241">
        <v>2</v>
      </c>
      <c r="D877" s="239" t="s">
        <v>2482</v>
      </c>
      <c r="E877" s="239" t="s">
        <v>390</v>
      </c>
      <c r="F877" s="239" t="s">
        <v>391</v>
      </c>
      <c r="G877" s="239" t="s">
        <v>960</v>
      </c>
      <c r="H877" s="239" t="s">
        <v>51</v>
      </c>
      <c r="I877" s="239" t="s">
        <v>2465</v>
      </c>
      <c r="J877" s="234">
        <v>40870</v>
      </c>
      <c r="K877" s="234">
        <v>15130</v>
      </c>
      <c r="L877" s="242">
        <v>6</v>
      </c>
      <c r="M877" s="234">
        <v>25740</v>
      </c>
      <c r="N877" s="234">
        <v>24195.599999999999</v>
      </c>
      <c r="O877" s="243" t="s">
        <v>2632</v>
      </c>
      <c r="P877" s="236">
        <v>45937</v>
      </c>
    </row>
    <row r="878" spans="1:16" ht="51" customHeight="1">
      <c r="A878" s="239" t="s">
        <v>2615</v>
      </c>
      <c r="B878" s="240">
        <v>2159</v>
      </c>
      <c r="C878" s="241">
        <v>3</v>
      </c>
      <c r="D878" s="239" t="s">
        <v>2482</v>
      </c>
      <c r="E878" s="239" t="s">
        <v>858</v>
      </c>
      <c r="F878" s="239" t="s">
        <v>859</v>
      </c>
      <c r="G878" s="239" t="s">
        <v>960</v>
      </c>
      <c r="H878" s="239" t="s">
        <v>51</v>
      </c>
      <c r="I878" s="239" t="s">
        <v>2465</v>
      </c>
      <c r="J878" s="234">
        <v>40600</v>
      </c>
      <c r="K878" s="234">
        <v>14960</v>
      </c>
      <c r="L878" s="242">
        <v>9</v>
      </c>
      <c r="M878" s="234">
        <v>25640</v>
      </c>
      <c r="N878" s="234">
        <v>23332.400000000001</v>
      </c>
      <c r="O878" s="243" t="s">
        <v>2633</v>
      </c>
      <c r="P878" s="236">
        <v>45937</v>
      </c>
    </row>
    <row r="879" spans="1:16" ht="51" customHeight="1">
      <c r="A879" s="239" t="s">
        <v>2616</v>
      </c>
      <c r="B879" s="240">
        <v>2164</v>
      </c>
      <c r="C879" s="241">
        <v>4</v>
      </c>
      <c r="D879" s="239" t="s">
        <v>2482</v>
      </c>
      <c r="E879" s="239" t="s">
        <v>456</v>
      </c>
      <c r="F879" s="239" t="s">
        <v>457</v>
      </c>
      <c r="G879" s="239" t="s">
        <v>960</v>
      </c>
      <c r="H879" s="239" t="s">
        <v>51</v>
      </c>
      <c r="I879" s="239" t="s">
        <v>2465</v>
      </c>
      <c r="J879" s="234">
        <v>45180</v>
      </c>
      <c r="K879" s="234">
        <v>15840</v>
      </c>
      <c r="L879" s="242">
        <v>5</v>
      </c>
      <c r="M879" s="234">
        <v>29340</v>
      </c>
      <c r="N879" s="234">
        <v>27873</v>
      </c>
      <c r="O879" s="243" t="s">
        <v>2634</v>
      </c>
      <c r="P879" s="236">
        <v>45937</v>
      </c>
    </row>
    <row r="880" spans="1:16" ht="51" customHeight="1">
      <c r="A880" s="239" t="s">
        <v>2617</v>
      </c>
      <c r="B880" s="240">
        <v>2165</v>
      </c>
      <c r="C880" s="241">
        <v>5</v>
      </c>
      <c r="D880" s="239" t="s">
        <v>2482</v>
      </c>
      <c r="E880" s="239" t="s">
        <v>413</v>
      </c>
      <c r="F880" s="239" t="s">
        <v>414</v>
      </c>
      <c r="G880" s="239" t="s">
        <v>960</v>
      </c>
      <c r="H880" s="239" t="s">
        <v>51</v>
      </c>
      <c r="I880" s="239" t="s">
        <v>2465</v>
      </c>
      <c r="J880" s="234">
        <v>44360</v>
      </c>
      <c r="K880" s="234">
        <v>15080</v>
      </c>
      <c r="L880" s="242">
        <v>10</v>
      </c>
      <c r="M880" s="234">
        <v>29280</v>
      </c>
      <c r="N880" s="234">
        <v>26352</v>
      </c>
      <c r="O880" s="243" t="s">
        <v>2635</v>
      </c>
      <c r="P880" s="236">
        <v>45937</v>
      </c>
    </row>
    <row r="881" spans="1:16" ht="51" customHeight="1">
      <c r="A881" s="239" t="s">
        <v>2618</v>
      </c>
      <c r="B881" s="240">
        <v>2166</v>
      </c>
      <c r="C881" s="241">
        <v>6</v>
      </c>
      <c r="D881" s="239" t="s">
        <v>2482</v>
      </c>
      <c r="E881" s="239" t="s">
        <v>429</v>
      </c>
      <c r="F881" s="239" t="s">
        <v>430</v>
      </c>
      <c r="G881" s="239" t="s">
        <v>960</v>
      </c>
      <c r="H881" s="239" t="s">
        <v>51</v>
      </c>
      <c r="I881" s="239" t="s">
        <v>2465</v>
      </c>
      <c r="J881" s="234">
        <v>39660</v>
      </c>
      <c r="K881" s="234">
        <v>14410</v>
      </c>
      <c r="L881" s="242">
        <v>14</v>
      </c>
      <c r="M881" s="234">
        <v>25250</v>
      </c>
      <c r="N881" s="234">
        <v>21715</v>
      </c>
      <c r="O881" s="243" t="s">
        <v>2636</v>
      </c>
      <c r="P881" s="236">
        <v>45937</v>
      </c>
    </row>
    <row r="882" spans="1:16" ht="51" customHeight="1">
      <c r="A882" s="239" t="s">
        <v>2619</v>
      </c>
      <c r="B882" s="240">
        <v>2169</v>
      </c>
      <c r="C882" s="241">
        <v>7</v>
      </c>
      <c r="D882" s="239" t="s">
        <v>2482</v>
      </c>
      <c r="E882" s="239" t="s">
        <v>447</v>
      </c>
      <c r="F882" s="239" t="s">
        <v>448</v>
      </c>
      <c r="G882" s="239" t="s">
        <v>960</v>
      </c>
      <c r="H882" s="239" t="s">
        <v>51</v>
      </c>
      <c r="I882" s="239" t="s">
        <v>2465</v>
      </c>
      <c r="J882" s="234">
        <v>51660</v>
      </c>
      <c r="K882" s="234">
        <v>19570</v>
      </c>
      <c r="L882" s="242">
        <v>8</v>
      </c>
      <c r="M882" s="234">
        <v>32090</v>
      </c>
      <c r="N882" s="234">
        <v>29522.799999999999</v>
      </c>
      <c r="O882" s="243" t="s">
        <v>2637</v>
      </c>
      <c r="P882" s="236">
        <v>45937</v>
      </c>
    </row>
    <row r="883" spans="1:16" ht="51" customHeight="1">
      <c r="A883" s="239" t="s">
        <v>2623</v>
      </c>
      <c r="B883" s="240">
        <v>2170</v>
      </c>
      <c r="C883" s="241">
        <v>8</v>
      </c>
      <c r="D883" s="239" t="s">
        <v>2482</v>
      </c>
      <c r="E883" s="239" t="s">
        <v>416</v>
      </c>
      <c r="F883" s="239" t="s">
        <v>417</v>
      </c>
      <c r="G883" s="239" t="s">
        <v>960</v>
      </c>
      <c r="H883" s="239" t="s">
        <v>51</v>
      </c>
      <c r="I883" s="239" t="s">
        <v>2465</v>
      </c>
      <c r="J883" s="234">
        <v>40270</v>
      </c>
      <c r="K883" s="234">
        <v>14800</v>
      </c>
      <c r="L883" s="242">
        <v>15</v>
      </c>
      <c r="M883" s="234">
        <v>25470</v>
      </c>
      <c r="N883" s="234">
        <v>21649.5</v>
      </c>
      <c r="O883" s="243" t="s">
        <v>2641</v>
      </c>
      <c r="P883" s="236">
        <v>45937</v>
      </c>
    </row>
    <row r="884" spans="1:16" ht="51" customHeight="1">
      <c r="A884" s="239" t="s">
        <v>2624</v>
      </c>
      <c r="B884" s="240">
        <v>2172</v>
      </c>
      <c r="C884" s="241">
        <v>9</v>
      </c>
      <c r="D884" s="239" t="s">
        <v>2482</v>
      </c>
      <c r="E884" s="239" t="s">
        <v>420</v>
      </c>
      <c r="F884" s="239" t="s">
        <v>421</v>
      </c>
      <c r="G884" s="239" t="s">
        <v>960</v>
      </c>
      <c r="H884" s="239" t="s">
        <v>51</v>
      </c>
      <c r="I884" s="239" t="s">
        <v>2465</v>
      </c>
      <c r="J884" s="234">
        <v>38530</v>
      </c>
      <c r="K884" s="234">
        <v>14940</v>
      </c>
      <c r="L884" s="242">
        <v>7</v>
      </c>
      <c r="M884" s="234">
        <v>23590</v>
      </c>
      <c r="N884" s="234">
        <v>21938.7</v>
      </c>
      <c r="O884" s="243" t="s">
        <v>2642</v>
      </c>
      <c r="P884" s="236">
        <v>45937</v>
      </c>
    </row>
    <row r="885" spans="1:16" ht="51" customHeight="1">
      <c r="A885" s="239" t="s">
        <v>2625</v>
      </c>
      <c r="B885" s="240">
        <v>2174</v>
      </c>
      <c r="C885" s="241">
        <v>10</v>
      </c>
      <c r="D885" s="239" t="s">
        <v>2482</v>
      </c>
      <c r="E885" s="239" t="s">
        <v>403</v>
      </c>
      <c r="F885" s="239" t="s">
        <v>404</v>
      </c>
      <c r="G885" s="239" t="s">
        <v>960</v>
      </c>
      <c r="H885" s="239" t="s">
        <v>51</v>
      </c>
      <c r="I885" s="239" t="s">
        <v>2465</v>
      </c>
      <c r="J885" s="234">
        <v>40510</v>
      </c>
      <c r="K885" s="234">
        <v>14550</v>
      </c>
      <c r="L885" s="242">
        <v>12</v>
      </c>
      <c r="M885" s="234">
        <v>25960</v>
      </c>
      <c r="N885" s="234">
        <v>22844.799999999999</v>
      </c>
      <c r="O885" s="243" t="s">
        <v>2643</v>
      </c>
      <c r="P885" s="236">
        <v>45937</v>
      </c>
    </row>
    <row r="886" spans="1:16" ht="51" customHeight="1">
      <c r="A886" s="239" t="s">
        <v>2620</v>
      </c>
      <c r="B886" s="240">
        <v>2175</v>
      </c>
      <c r="C886" s="241">
        <v>12</v>
      </c>
      <c r="D886" s="239" t="s">
        <v>2482</v>
      </c>
      <c r="E886" s="239" t="s">
        <v>866</v>
      </c>
      <c r="F886" s="239" t="s">
        <v>867</v>
      </c>
      <c r="G886" s="239" t="s">
        <v>960</v>
      </c>
      <c r="H886" s="239" t="s">
        <v>51</v>
      </c>
      <c r="I886" s="239" t="s">
        <v>2465</v>
      </c>
      <c r="J886" s="234">
        <v>37170</v>
      </c>
      <c r="K886" s="234">
        <v>14570</v>
      </c>
      <c r="L886" s="242">
        <v>8</v>
      </c>
      <c r="M886" s="234">
        <v>22600</v>
      </c>
      <c r="N886" s="234">
        <v>20792</v>
      </c>
      <c r="O886" s="243" t="s">
        <v>2638</v>
      </c>
      <c r="P886" s="236">
        <v>45937</v>
      </c>
    </row>
    <row r="887" spans="1:16" ht="51" customHeight="1">
      <c r="A887" s="239" t="s">
        <v>2621</v>
      </c>
      <c r="B887" s="240">
        <v>2176</v>
      </c>
      <c r="C887" s="241">
        <v>11</v>
      </c>
      <c r="D887" s="239" t="s">
        <v>2482</v>
      </c>
      <c r="E887" s="239" t="s">
        <v>406</v>
      </c>
      <c r="F887" s="239" t="s">
        <v>407</v>
      </c>
      <c r="G887" s="239" t="s">
        <v>960</v>
      </c>
      <c r="H887" s="239" t="s">
        <v>51</v>
      </c>
      <c r="I887" s="239" t="s">
        <v>2465</v>
      </c>
      <c r="J887" s="234">
        <v>39720</v>
      </c>
      <c r="K887" s="234">
        <v>15120</v>
      </c>
      <c r="L887" s="242">
        <v>16</v>
      </c>
      <c r="M887" s="234">
        <v>24600</v>
      </c>
      <c r="N887" s="234">
        <v>20664</v>
      </c>
      <c r="O887" s="243" t="s">
        <v>2639</v>
      </c>
      <c r="P887" s="236">
        <v>45937</v>
      </c>
    </row>
    <row r="888" spans="1:16" ht="51" customHeight="1">
      <c r="A888" s="239" t="s">
        <v>2622</v>
      </c>
      <c r="B888" s="240">
        <v>2177</v>
      </c>
      <c r="C888" s="241">
        <v>13</v>
      </c>
      <c r="D888" s="239" t="s">
        <v>2482</v>
      </c>
      <c r="E888" s="239" t="s">
        <v>380</v>
      </c>
      <c r="F888" s="239" t="s">
        <v>381</v>
      </c>
      <c r="G888" s="239" t="s">
        <v>960</v>
      </c>
      <c r="H888" s="239" t="s">
        <v>51</v>
      </c>
      <c r="I888" s="239" t="s">
        <v>2465</v>
      </c>
      <c r="J888" s="234">
        <v>39490</v>
      </c>
      <c r="K888" s="234">
        <v>15120</v>
      </c>
      <c r="L888" s="242">
        <v>15</v>
      </c>
      <c r="M888" s="234">
        <v>24370</v>
      </c>
      <c r="N888" s="234">
        <v>20714.5</v>
      </c>
      <c r="O888" s="243" t="s">
        <v>2640</v>
      </c>
      <c r="P888" s="236">
        <v>45937</v>
      </c>
    </row>
    <row r="889" spans="1:16" ht="51" customHeight="1">
      <c r="A889" s="239" t="s">
        <v>2626</v>
      </c>
      <c r="B889" s="240">
        <v>2179</v>
      </c>
      <c r="C889" s="241">
        <v>14</v>
      </c>
      <c r="D889" s="239" t="s">
        <v>2482</v>
      </c>
      <c r="E889" s="239" t="s">
        <v>453</v>
      </c>
      <c r="F889" s="239" t="s">
        <v>454</v>
      </c>
      <c r="G889" s="239" t="s">
        <v>960</v>
      </c>
      <c r="H889" s="239" t="s">
        <v>51</v>
      </c>
      <c r="I889" s="239" t="s">
        <v>2465</v>
      </c>
      <c r="J889" s="234">
        <v>64150</v>
      </c>
      <c r="K889" s="234">
        <v>24560</v>
      </c>
      <c r="L889" s="242">
        <v>17</v>
      </c>
      <c r="M889" s="234">
        <v>39590</v>
      </c>
      <c r="N889" s="234">
        <v>32859.699999999997</v>
      </c>
      <c r="O889" s="243" t="s">
        <v>2644</v>
      </c>
      <c r="P889" s="236">
        <v>45937</v>
      </c>
    </row>
    <row r="890" spans="1:16" ht="51" customHeight="1">
      <c r="A890" s="239" t="s">
        <v>2627</v>
      </c>
      <c r="B890" s="240">
        <v>2180</v>
      </c>
      <c r="C890" s="241">
        <v>15</v>
      </c>
      <c r="D890" s="239" t="s">
        <v>2482</v>
      </c>
      <c r="E890" s="239" t="s">
        <v>388</v>
      </c>
      <c r="F890" s="239" t="s">
        <v>389</v>
      </c>
      <c r="G890" s="239" t="s">
        <v>960</v>
      </c>
      <c r="H890" s="239" t="s">
        <v>51</v>
      </c>
      <c r="I890" s="239" t="s">
        <v>2465</v>
      </c>
      <c r="J890" s="234">
        <v>62530</v>
      </c>
      <c r="K890" s="234">
        <v>21380</v>
      </c>
      <c r="L890" s="242">
        <v>20</v>
      </c>
      <c r="M890" s="234">
        <v>41150</v>
      </c>
      <c r="N890" s="234">
        <v>32920</v>
      </c>
      <c r="O890" s="243" t="s">
        <v>2645</v>
      </c>
      <c r="P890" s="236">
        <v>45937</v>
      </c>
    </row>
    <row r="891" spans="1:16" ht="51" customHeight="1">
      <c r="A891" s="239" t="s">
        <v>2628</v>
      </c>
      <c r="B891" s="240">
        <v>2181</v>
      </c>
      <c r="C891" s="241">
        <v>16</v>
      </c>
      <c r="D891" s="239" t="s">
        <v>2482</v>
      </c>
      <c r="E891" s="239" t="s">
        <v>1305</v>
      </c>
      <c r="F891" s="239" t="s">
        <v>1306</v>
      </c>
      <c r="G891" s="239" t="s">
        <v>960</v>
      </c>
      <c r="H891" s="239" t="s">
        <v>51</v>
      </c>
      <c r="I891" s="239" t="s">
        <v>2465</v>
      </c>
      <c r="J891" s="234">
        <v>36870</v>
      </c>
      <c r="K891" s="234">
        <v>14780</v>
      </c>
      <c r="L891" s="242">
        <v>19</v>
      </c>
      <c r="M891" s="234">
        <v>22090</v>
      </c>
      <c r="N891" s="234">
        <v>17892.900000000001</v>
      </c>
      <c r="O891" s="243" t="s">
        <v>2646</v>
      </c>
      <c r="P891" s="236">
        <v>45938</v>
      </c>
    </row>
    <row r="892" spans="1:16" ht="51" customHeight="1">
      <c r="A892" s="239" t="s">
        <v>2629</v>
      </c>
      <c r="B892" s="240">
        <v>2182</v>
      </c>
      <c r="C892" s="241">
        <v>17</v>
      </c>
      <c r="D892" s="239" t="s">
        <v>2482</v>
      </c>
      <c r="E892" s="239" t="s">
        <v>432</v>
      </c>
      <c r="F892" s="239" t="s">
        <v>433</v>
      </c>
      <c r="G892" s="239" t="s">
        <v>960</v>
      </c>
      <c r="H892" s="239" t="s">
        <v>51</v>
      </c>
      <c r="I892" s="239" t="s">
        <v>2465</v>
      </c>
      <c r="J892" s="234">
        <v>41690</v>
      </c>
      <c r="K892" s="234">
        <v>15810</v>
      </c>
      <c r="L892" s="242">
        <v>9</v>
      </c>
      <c r="M892" s="234">
        <v>25880</v>
      </c>
      <c r="N892" s="234">
        <v>23550.799999999999</v>
      </c>
      <c r="O892" s="243" t="s">
        <v>2647</v>
      </c>
      <c r="P892" s="236">
        <v>45938</v>
      </c>
    </row>
    <row r="893" spans="1:16" ht="51" customHeight="1">
      <c r="A893" s="239" t="s">
        <v>2630</v>
      </c>
      <c r="B893" s="240">
        <v>2184</v>
      </c>
      <c r="C893" s="241">
        <v>18</v>
      </c>
      <c r="D893" s="239" t="s">
        <v>2482</v>
      </c>
      <c r="E893" s="239" t="s">
        <v>377</v>
      </c>
      <c r="F893" s="239" t="s">
        <v>378</v>
      </c>
      <c r="G893" s="239" t="s">
        <v>960</v>
      </c>
      <c r="H893" s="239" t="s">
        <v>51</v>
      </c>
      <c r="I893" s="239" t="s">
        <v>2465</v>
      </c>
      <c r="J893" s="234">
        <v>41670</v>
      </c>
      <c r="K893" s="234">
        <v>15240</v>
      </c>
      <c r="L893" s="242">
        <v>22</v>
      </c>
      <c r="M893" s="234">
        <v>26430</v>
      </c>
      <c r="N893" s="234">
        <v>20615.400000000001</v>
      </c>
      <c r="O893" s="243" t="s">
        <v>2648</v>
      </c>
      <c r="P893" s="236">
        <v>45938</v>
      </c>
    </row>
    <row r="894" spans="1:16" ht="51" customHeight="1">
      <c r="A894" s="239" t="s">
        <v>2650</v>
      </c>
      <c r="B894" s="240">
        <v>2185</v>
      </c>
      <c r="C894" s="241">
        <v>19</v>
      </c>
      <c r="D894" s="239" t="s">
        <v>2482</v>
      </c>
      <c r="E894" s="239" t="s">
        <v>400</v>
      </c>
      <c r="F894" s="239" t="s">
        <v>401</v>
      </c>
      <c r="G894" s="239" t="s">
        <v>960</v>
      </c>
      <c r="H894" s="239" t="s">
        <v>51</v>
      </c>
      <c r="I894" s="239" t="s">
        <v>2465</v>
      </c>
      <c r="J894" s="234">
        <v>39650</v>
      </c>
      <c r="K894" s="234">
        <v>14830</v>
      </c>
      <c r="L894" s="242">
        <v>16</v>
      </c>
      <c r="M894" s="234">
        <v>24820</v>
      </c>
      <c r="N894" s="234">
        <v>20848.8</v>
      </c>
      <c r="O894" s="243" t="s">
        <v>2651</v>
      </c>
      <c r="P894" s="236">
        <v>45938</v>
      </c>
    </row>
    <row r="895" spans="1:16" ht="51" customHeight="1">
      <c r="A895" s="239" t="s">
        <v>2658</v>
      </c>
      <c r="B895" s="240">
        <v>2186</v>
      </c>
      <c r="C895" s="241">
        <v>21</v>
      </c>
      <c r="D895" s="239" t="s">
        <v>2482</v>
      </c>
      <c r="E895" s="239" t="s">
        <v>442</v>
      </c>
      <c r="F895" s="239" t="s">
        <v>443</v>
      </c>
      <c r="G895" s="239" t="s">
        <v>960</v>
      </c>
      <c r="H895" s="239" t="s">
        <v>51</v>
      </c>
      <c r="I895" s="239" t="s">
        <v>2465</v>
      </c>
      <c r="J895" s="234">
        <v>34960</v>
      </c>
      <c r="K895" s="234">
        <v>14490</v>
      </c>
      <c r="L895" s="242">
        <v>24</v>
      </c>
      <c r="M895" s="234">
        <v>20470</v>
      </c>
      <c r="N895" s="234">
        <v>15557.2</v>
      </c>
      <c r="O895" s="243" t="s">
        <v>2659</v>
      </c>
      <c r="P895" s="236">
        <v>45938</v>
      </c>
    </row>
    <row r="896" spans="1:16" ht="51" customHeight="1">
      <c r="A896" s="239" t="s">
        <v>2652</v>
      </c>
      <c r="B896" s="240">
        <v>2188</v>
      </c>
      <c r="C896" s="241">
        <v>20</v>
      </c>
      <c r="D896" s="239" t="s">
        <v>2482</v>
      </c>
      <c r="E896" s="239" t="s">
        <v>382</v>
      </c>
      <c r="F896" s="239" t="s">
        <v>383</v>
      </c>
      <c r="G896" s="239" t="s">
        <v>960</v>
      </c>
      <c r="H896" s="239" t="s">
        <v>51</v>
      </c>
      <c r="I896" s="239" t="s">
        <v>2465</v>
      </c>
      <c r="J896" s="234">
        <v>36690</v>
      </c>
      <c r="K896" s="234">
        <v>14680</v>
      </c>
      <c r="L896" s="242">
        <v>12</v>
      </c>
      <c r="M896" s="234">
        <v>22010</v>
      </c>
      <c r="N896" s="234">
        <v>19368.8</v>
      </c>
      <c r="O896" s="243" t="s">
        <v>2653</v>
      </c>
      <c r="P896" s="236">
        <v>45938</v>
      </c>
    </row>
    <row r="897" spans="1:16" ht="51" customHeight="1">
      <c r="A897" s="239" t="s">
        <v>2654</v>
      </c>
      <c r="B897" s="240">
        <v>2187</v>
      </c>
      <c r="C897" s="241">
        <v>22</v>
      </c>
      <c r="D897" s="239" t="s">
        <v>2482</v>
      </c>
      <c r="E897" s="239" t="s">
        <v>780</v>
      </c>
      <c r="F897" s="239" t="s">
        <v>781</v>
      </c>
      <c r="G897" s="239" t="s">
        <v>962</v>
      </c>
      <c r="H897" s="239" t="s">
        <v>42</v>
      </c>
      <c r="I897" s="239" t="s">
        <v>2465</v>
      </c>
      <c r="J897" s="234">
        <v>37310</v>
      </c>
      <c r="K897" s="234">
        <v>14970</v>
      </c>
      <c r="L897" s="242">
        <v>13</v>
      </c>
      <c r="M897" s="234">
        <v>22340</v>
      </c>
      <c r="N897" s="234">
        <v>19435.8</v>
      </c>
      <c r="O897" s="243" t="s">
        <v>2655</v>
      </c>
      <c r="P897" s="236">
        <v>45938</v>
      </c>
    </row>
    <row r="898" spans="1:16" ht="51" customHeight="1">
      <c r="A898" s="239" t="s">
        <v>2656</v>
      </c>
      <c r="B898" s="240">
        <v>2189</v>
      </c>
      <c r="C898" s="241">
        <v>23</v>
      </c>
      <c r="D898" s="239" t="s">
        <v>2482</v>
      </c>
      <c r="E898" s="239" t="s">
        <v>384</v>
      </c>
      <c r="F898" s="239" t="s">
        <v>385</v>
      </c>
      <c r="G898" s="239" t="s">
        <v>962</v>
      </c>
      <c r="H898" s="239" t="s">
        <v>42</v>
      </c>
      <c r="I898" s="239" t="s">
        <v>2465</v>
      </c>
      <c r="J898" s="234">
        <v>36970</v>
      </c>
      <c r="K898" s="234">
        <v>13930</v>
      </c>
      <c r="L898" s="242">
        <v>18</v>
      </c>
      <c r="M898" s="234">
        <v>23040</v>
      </c>
      <c r="N898" s="234">
        <v>18892.8</v>
      </c>
      <c r="O898" s="243" t="s">
        <v>2657</v>
      </c>
      <c r="P898" s="236">
        <v>45938</v>
      </c>
    </row>
    <row r="899" spans="1:16" ht="51" customHeight="1">
      <c r="A899" s="239" t="s">
        <v>2660</v>
      </c>
      <c r="B899" s="240">
        <v>2191</v>
      </c>
      <c r="C899" s="241">
        <v>24</v>
      </c>
      <c r="D899" s="239" t="s">
        <v>2482</v>
      </c>
      <c r="E899" s="239" t="s">
        <v>372</v>
      </c>
      <c r="F899" s="239" t="s">
        <v>373</v>
      </c>
      <c r="G899" s="239" t="s">
        <v>962</v>
      </c>
      <c r="H899" s="239" t="s">
        <v>42</v>
      </c>
      <c r="I899" s="239" t="s">
        <v>2465</v>
      </c>
      <c r="J899" s="234">
        <v>39190</v>
      </c>
      <c r="K899" s="234">
        <v>15110</v>
      </c>
      <c r="L899" s="242">
        <v>9</v>
      </c>
      <c r="M899" s="234">
        <v>24080</v>
      </c>
      <c r="N899" s="234">
        <v>21912.799999999999</v>
      </c>
      <c r="O899" s="243" t="s">
        <v>2683</v>
      </c>
      <c r="P899" s="236">
        <v>45938</v>
      </c>
    </row>
    <row r="900" spans="1:16" ht="51" customHeight="1">
      <c r="A900" s="239" t="s">
        <v>2661</v>
      </c>
      <c r="B900" s="240">
        <v>2192</v>
      </c>
      <c r="C900" s="241">
        <v>25</v>
      </c>
      <c r="D900" s="239" t="s">
        <v>2482</v>
      </c>
      <c r="E900" s="239" t="s">
        <v>858</v>
      </c>
      <c r="F900" s="239" t="s">
        <v>859</v>
      </c>
      <c r="G900" s="239" t="s">
        <v>962</v>
      </c>
      <c r="H900" s="239" t="s">
        <v>42</v>
      </c>
      <c r="I900" s="239" t="s">
        <v>2465</v>
      </c>
      <c r="J900" s="234">
        <v>42070</v>
      </c>
      <c r="K900" s="234">
        <v>14900</v>
      </c>
      <c r="L900" s="242">
        <v>9</v>
      </c>
      <c r="M900" s="234">
        <v>27170</v>
      </c>
      <c r="N900" s="234">
        <v>24724.7</v>
      </c>
      <c r="O900" s="243" t="s">
        <v>2684</v>
      </c>
      <c r="P900" s="236">
        <v>45938</v>
      </c>
    </row>
    <row r="901" spans="1:16" ht="51" customHeight="1">
      <c r="A901" s="239" t="s">
        <v>2662</v>
      </c>
      <c r="B901" s="240">
        <v>2198</v>
      </c>
      <c r="C901" s="241">
        <v>27</v>
      </c>
      <c r="D901" s="239" t="s">
        <v>2482</v>
      </c>
      <c r="E901" s="239" t="s">
        <v>410</v>
      </c>
      <c r="F901" s="239" t="s">
        <v>411</v>
      </c>
      <c r="G901" s="239" t="s">
        <v>962</v>
      </c>
      <c r="H901" s="239" t="s">
        <v>42</v>
      </c>
      <c r="I901" s="239" t="s">
        <v>2465</v>
      </c>
      <c r="J901" s="234">
        <v>42650</v>
      </c>
      <c r="K901" s="234">
        <v>15250</v>
      </c>
      <c r="L901" s="242">
        <v>10</v>
      </c>
      <c r="M901" s="234">
        <v>27400</v>
      </c>
      <c r="N901" s="234">
        <v>24660</v>
      </c>
      <c r="O901" s="243" t="s">
        <v>2685</v>
      </c>
      <c r="P901" s="236">
        <v>45938</v>
      </c>
    </row>
    <row r="902" spans="1:16" ht="51" customHeight="1">
      <c r="A902" s="239" t="s">
        <v>2664</v>
      </c>
      <c r="B902" s="240">
        <v>2200</v>
      </c>
      <c r="C902" s="241">
        <v>26</v>
      </c>
      <c r="D902" s="239" t="s">
        <v>2482</v>
      </c>
      <c r="E902" s="239" t="s">
        <v>374</v>
      </c>
      <c r="F902" s="239" t="s">
        <v>375</v>
      </c>
      <c r="G902" s="239" t="s">
        <v>962</v>
      </c>
      <c r="H902" s="239" t="s">
        <v>42</v>
      </c>
      <c r="I902" s="239" t="s">
        <v>2465</v>
      </c>
      <c r="J902" s="234">
        <v>40100</v>
      </c>
      <c r="K902" s="234">
        <v>15720</v>
      </c>
      <c r="L902" s="242">
        <v>9</v>
      </c>
      <c r="M902" s="234">
        <v>24380</v>
      </c>
      <c r="N902" s="234">
        <v>22185.8</v>
      </c>
      <c r="O902" s="243" t="s">
        <v>2687</v>
      </c>
      <c r="P902" s="236">
        <v>45938</v>
      </c>
    </row>
    <row r="903" spans="1:16" ht="51" customHeight="1">
      <c r="A903" s="239" t="s">
        <v>2667</v>
      </c>
      <c r="B903" s="240">
        <v>2201</v>
      </c>
      <c r="C903" s="241">
        <v>28</v>
      </c>
      <c r="D903" s="239" t="s">
        <v>2482</v>
      </c>
      <c r="E903" s="239" t="s">
        <v>456</v>
      </c>
      <c r="F903" s="239" t="s">
        <v>457</v>
      </c>
      <c r="G903" s="239" t="s">
        <v>962</v>
      </c>
      <c r="H903" s="239" t="s">
        <v>42</v>
      </c>
      <c r="I903" s="239" t="s">
        <v>2465</v>
      </c>
      <c r="J903" s="234">
        <v>45650</v>
      </c>
      <c r="K903" s="234">
        <v>15740</v>
      </c>
      <c r="L903" s="242">
        <v>9</v>
      </c>
      <c r="M903" s="234">
        <v>29910</v>
      </c>
      <c r="N903" s="234">
        <v>27218.1</v>
      </c>
      <c r="O903" s="243" t="s">
        <v>2690</v>
      </c>
      <c r="P903" s="236">
        <v>45938</v>
      </c>
    </row>
    <row r="904" spans="1:16" ht="51" customHeight="1">
      <c r="A904" s="239" t="s">
        <v>2670</v>
      </c>
      <c r="B904" s="240">
        <v>2205</v>
      </c>
      <c r="C904" s="241">
        <v>29</v>
      </c>
      <c r="D904" s="239" t="s">
        <v>2482</v>
      </c>
      <c r="E904" s="239" t="s">
        <v>1410</v>
      </c>
      <c r="F904" s="239" t="s">
        <v>437</v>
      </c>
      <c r="G904" s="239" t="s">
        <v>962</v>
      </c>
      <c r="H904" s="239" t="s">
        <v>42</v>
      </c>
      <c r="I904" s="239" t="s">
        <v>2465</v>
      </c>
      <c r="J904" s="234">
        <v>42240</v>
      </c>
      <c r="K904" s="234">
        <v>15060</v>
      </c>
      <c r="L904" s="242">
        <v>6</v>
      </c>
      <c r="M904" s="234">
        <v>27180</v>
      </c>
      <c r="N904" s="234">
        <v>25549.200000000001</v>
      </c>
      <c r="O904" s="243" t="s">
        <v>2693</v>
      </c>
      <c r="P904" s="236">
        <v>45938</v>
      </c>
    </row>
    <row r="905" spans="1:16" ht="51" customHeight="1">
      <c r="A905" s="239" t="s">
        <v>2672</v>
      </c>
      <c r="B905" s="240">
        <v>2206</v>
      </c>
      <c r="C905" s="241">
        <v>1</v>
      </c>
      <c r="D905" s="239" t="s">
        <v>2482</v>
      </c>
      <c r="E905" s="239" t="s">
        <v>439</v>
      </c>
      <c r="F905" s="239" t="s">
        <v>440</v>
      </c>
      <c r="G905" s="239" t="s">
        <v>962</v>
      </c>
      <c r="H905" s="239" t="s">
        <v>42</v>
      </c>
      <c r="I905" s="239" t="s">
        <v>2465</v>
      </c>
      <c r="J905" s="234">
        <v>44060</v>
      </c>
      <c r="K905" s="234">
        <v>15210</v>
      </c>
      <c r="L905" s="242">
        <v>9</v>
      </c>
      <c r="M905" s="234">
        <v>28850</v>
      </c>
      <c r="N905" s="234">
        <v>26253.5</v>
      </c>
      <c r="O905" s="243" t="s">
        <v>2695</v>
      </c>
      <c r="P905" s="236">
        <v>45938</v>
      </c>
    </row>
    <row r="906" spans="1:16" ht="51" customHeight="1">
      <c r="A906" s="239" t="s">
        <v>2675</v>
      </c>
      <c r="B906" s="240">
        <v>2207</v>
      </c>
      <c r="C906" s="241">
        <v>2</v>
      </c>
      <c r="D906" s="239" t="s">
        <v>2482</v>
      </c>
      <c r="E906" s="239" t="s">
        <v>413</v>
      </c>
      <c r="F906" s="239" t="s">
        <v>414</v>
      </c>
      <c r="G906" s="239" t="s">
        <v>962</v>
      </c>
      <c r="H906" s="239" t="s">
        <v>42</v>
      </c>
      <c r="I906" s="239" t="s">
        <v>2465</v>
      </c>
      <c r="J906" s="234">
        <v>43910</v>
      </c>
      <c r="K906" s="234">
        <v>14980</v>
      </c>
      <c r="L906" s="242">
        <v>7</v>
      </c>
      <c r="M906" s="234">
        <v>28930</v>
      </c>
      <c r="N906" s="234">
        <v>26904.9</v>
      </c>
      <c r="O906" s="243" t="s">
        <v>2697</v>
      </c>
      <c r="P906" s="236">
        <v>45938</v>
      </c>
    </row>
    <row r="907" spans="1:16" ht="51" customHeight="1">
      <c r="A907" s="239" t="s">
        <v>2663</v>
      </c>
      <c r="B907" s="240">
        <v>2209</v>
      </c>
      <c r="C907" s="241">
        <v>4</v>
      </c>
      <c r="D907" s="239" t="s">
        <v>2482</v>
      </c>
      <c r="E907" s="239" t="s">
        <v>447</v>
      </c>
      <c r="F907" s="239" t="s">
        <v>448</v>
      </c>
      <c r="G907" s="239" t="s">
        <v>962</v>
      </c>
      <c r="H907" s="239" t="s">
        <v>42</v>
      </c>
      <c r="I907" s="239" t="s">
        <v>2465</v>
      </c>
      <c r="J907" s="234">
        <v>43020</v>
      </c>
      <c r="K907" s="234">
        <v>19460</v>
      </c>
      <c r="L907" s="242">
        <v>8</v>
      </c>
      <c r="M907" s="234">
        <v>23560</v>
      </c>
      <c r="N907" s="234">
        <v>21675.200000000001</v>
      </c>
      <c r="O907" s="243" t="s">
        <v>2686</v>
      </c>
      <c r="P907" s="236">
        <v>45938</v>
      </c>
    </row>
    <row r="908" spans="1:16" ht="51" customHeight="1">
      <c r="A908" s="239" t="s">
        <v>2665</v>
      </c>
      <c r="B908" s="240">
        <v>2210</v>
      </c>
      <c r="C908" s="241">
        <v>3</v>
      </c>
      <c r="D908" s="239" t="s">
        <v>2482</v>
      </c>
      <c r="E908" s="239" t="s">
        <v>429</v>
      </c>
      <c r="F908" s="239" t="s">
        <v>430</v>
      </c>
      <c r="G908" s="239" t="s">
        <v>962</v>
      </c>
      <c r="H908" s="239" t="s">
        <v>42</v>
      </c>
      <c r="I908" s="239" t="s">
        <v>2465</v>
      </c>
      <c r="J908" s="234">
        <v>41080</v>
      </c>
      <c r="K908" s="234">
        <v>14320</v>
      </c>
      <c r="L908" s="242">
        <v>11</v>
      </c>
      <c r="M908" s="234">
        <v>26760</v>
      </c>
      <c r="N908" s="234">
        <v>23816.400000000001</v>
      </c>
      <c r="O908" s="243" t="s">
        <v>2688</v>
      </c>
      <c r="P908" s="236">
        <v>45938</v>
      </c>
    </row>
    <row r="909" spans="1:16" ht="51" customHeight="1">
      <c r="A909" s="239" t="s">
        <v>2666</v>
      </c>
      <c r="B909" s="240">
        <v>2212</v>
      </c>
      <c r="C909" s="241">
        <v>5</v>
      </c>
      <c r="D909" s="239" t="s">
        <v>2482</v>
      </c>
      <c r="E909" s="239" t="s">
        <v>392</v>
      </c>
      <c r="F909" s="239" t="s">
        <v>393</v>
      </c>
      <c r="G909" s="239" t="s">
        <v>962</v>
      </c>
      <c r="H909" s="239" t="s">
        <v>42</v>
      </c>
      <c r="I909" s="239" t="s">
        <v>2465</v>
      </c>
      <c r="J909" s="234">
        <v>49570</v>
      </c>
      <c r="K909" s="234">
        <v>24060</v>
      </c>
      <c r="L909" s="242">
        <v>11</v>
      </c>
      <c r="M909" s="234">
        <v>25510</v>
      </c>
      <c r="N909" s="234">
        <v>22703.9</v>
      </c>
      <c r="O909" s="243" t="s">
        <v>2689</v>
      </c>
      <c r="P909" s="236">
        <v>45938</v>
      </c>
    </row>
    <row r="910" spans="1:16" ht="51" customHeight="1">
      <c r="A910" s="239" t="s">
        <v>2668</v>
      </c>
      <c r="B910" s="240">
        <v>2213</v>
      </c>
      <c r="C910" s="241">
        <v>6</v>
      </c>
      <c r="D910" s="239" t="s">
        <v>2482</v>
      </c>
      <c r="E910" s="239" t="s">
        <v>416</v>
      </c>
      <c r="F910" s="239" t="s">
        <v>417</v>
      </c>
      <c r="G910" s="239" t="s">
        <v>962</v>
      </c>
      <c r="H910" s="239" t="s">
        <v>42</v>
      </c>
      <c r="I910" s="239" t="s">
        <v>2465</v>
      </c>
      <c r="J910" s="234">
        <v>40390</v>
      </c>
      <c r="K910" s="234">
        <v>14710</v>
      </c>
      <c r="L910" s="242">
        <v>8</v>
      </c>
      <c r="M910" s="234">
        <v>25680</v>
      </c>
      <c r="N910" s="234">
        <v>23625.599999999999</v>
      </c>
      <c r="O910" s="243" t="s">
        <v>2691</v>
      </c>
      <c r="P910" s="236">
        <v>45938</v>
      </c>
    </row>
    <row r="911" spans="1:16" ht="51" customHeight="1">
      <c r="A911" s="239" t="s">
        <v>2669</v>
      </c>
      <c r="B911" s="240">
        <v>2214</v>
      </c>
      <c r="C911" s="241">
        <v>7</v>
      </c>
      <c r="D911" s="239" t="s">
        <v>2482</v>
      </c>
      <c r="E911" s="239" t="s">
        <v>420</v>
      </c>
      <c r="F911" s="239" t="s">
        <v>421</v>
      </c>
      <c r="G911" s="239" t="s">
        <v>962</v>
      </c>
      <c r="H911" s="239" t="s">
        <v>42</v>
      </c>
      <c r="I911" s="239" t="s">
        <v>2465</v>
      </c>
      <c r="J911" s="234">
        <v>37450</v>
      </c>
      <c r="K911" s="234">
        <v>14890</v>
      </c>
      <c r="L911" s="242">
        <v>13</v>
      </c>
      <c r="M911" s="234">
        <v>22560</v>
      </c>
      <c r="N911" s="234">
        <v>19627.2</v>
      </c>
      <c r="O911" s="243" t="s">
        <v>2692</v>
      </c>
      <c r="P911" s="236">
        <v>45938</v>
      </c>
    </row>
    <row r="912" spans="1:16" ht="51" customHeight="1">
      <c r="A912" s="239" t="s">
        <v>2671</v>
      </c>
      <c r="B912" s="240">
        <v>2215</v>
      </c>
      <c r="C912" s="241">
        <v>8</v>
      </c>
      <c r="D912" s="239" t="s">
        <v>2482</v>
      </c>
      <c r="E912" s="239" t="s">
        <v>453</v>
      </c>
      <c r="F912" s="239" t="s">
        <v>454</v>
      </c>
      <c r="G912" s="239" t="s">
        <v>962</v>
      </c>
      <c r="H912" s="239" t="s">
        <v>42</v>
      </c>
      <c r="I912" s="239" t="s">
        <v>2465</v>
      </c>
      <c r="J912" s="234">
        <v>54820</v>
      </c>
      <c r="K912" s="234">
        <v>24430</v>
      </c>
      <c r="L912" s="242">
        <v>9</v>
      </c>
      <c r="M912" s="234">
        <v>30390</v>
      </c>
      <c r="N912" s="234">
        <v>27654.9</v>
      </c>
      <c r="O912" s="243" t="s">
        <v>2694</v>
      </c>
      <c r="P912" s="236">
        <v>45938</v>
      </c>
    </row>
    <row r="913" spans="1:16" ht="51" customHeight="1">
      <c r="A913" s="239" t="s">
        <v>2673</v>
      </c>
      <c r="B913" s="240">
        <v>2216</v>
      </c>
      <c r="C913" s="239" t="s">
        <v>2674</v>
      </c>
      <c r="D913" s="239" t="s">
        <v>2482</v>
      </c>
      <c r="E913" s="239" t="s">
        <v>403</v>
      </c>
      <c r="F913" s="239" t="s">
        <v>404</v>
      </c>
      <c r="G913" s="239" t="s">
        <v>962</v>
      </c>
      <c r="H913" s="239" t="s">
        <v>42</v>
      </c>
      <c r="I913" s="239" t="s">
        <v>2465</v>
      </c>
      <c r="J913" s="234">
        <v>36240</v>
      </c>
      <c r="K913" s="234">
        <v>14630</v>
      </c>
      <c r="L913" s="242">
        <v>10</v>
      </c>
      <c r="M913" s="234">
        <v>21610</v>
      </c>
      <c r="N913" s="234">
        <v>19449</v>
      </c>
      <c r="O913" s="243" t="s">
        <v>2696</v>
      </c>
      <c r="P913" s="236">
        <v>45938</v>
      </c>
    </row>
    <row r="914" spans="1:16" ht="51" customHeight="1">
      <c r="A914" s="239" t="s">
        <v>2676</v>
      </c>
      <c r="B914" s="240">
        <v>2217</v>
      </c>
      <c r="C914" s="241">
        <v>11</v>
      </c>
      <c r="D914" s="239" t="s">
        <v>2482</v>
      </c>
      <c r="E914" s="239" t="s">
        <v>432</v>
      </c>
      <c r="F914" s="239" t="s">
        <v>433</v>
      </c>
      <c r="G914" s="239" t="s">
        <v>962</v>
      </c>
      <c r="H914" s="239" t="s">
        <v>42</v>
      </c>
      <c r="I914" s="239" t="s">
        <v>2465</v>
      </c>
      <c r="J914" s="234">
        <v>36620</v>
      </c>
      <c r="K914" s="234">
        <v>15900</v>
      </c>
      <c r="L914" s="242">
        <v>16</v>
      </c>
      <c r="M914" s="234">
        <v>20720</v>
      </c>
      <c r="N914" s="234">
        <v>17404.8</v>
      </c>
      <c r="O914" s="243" t="s">
        <v>2698</v>
      </c>
      <c r="P914" s="236">
        <v>45938</v>
      </c>
    </row>
    <row r="915" spans="1:16" ht="51" customHeight="1">
      <c r="A915" s="239" t="s">
        <v>2677</v>
      </c>
      <c r="B915" s="240">
        <v>2218</v>
      </c>
      <c r="C915" s="241">
        <v>10</v>
      </c>
      <c r="D915" s="239" t="s">
        <v>2482</v>
      </c>
      <c r="E915" s="239" t="s">
        <v>406</v>
      </c>
      <c r="F915" s="239" t="s">
        <v>407</v>
      </c>
      <c r="G915" s="239" t="s">
        <v>962</v>
      </c>
      <c r="H915" s="239" t="s">
        <v>42</v>
      </c>
      <c r="I915" s="239" t="s">
        <v>2465</v>
      </c>
      <c r="J915" s="234">
        <v>36600</v>
      </c>
      <c r="K915" s="234">
        <v>15060</v>
      </c>
      <c r="L915" s="242">
        <v>8</v>
      </c>
      <c r="M915" s="234">
        <v>21540</v>
      </c>
      <c r="N915" s="234">
        <v>19816.8</v>
      </c>
      <c r="O915" s="243" t="s">
        <v>2699</v>
      </c>
      <c r="P915" s="236">
        <v>45938</v>
      </c>
    </row>
    <row r="916" spans="1:16" ht="51" customHeight="1">
      <c r="A916" s="239" t="s">
        <v>2678</v>
      </c>
      <c r="B916" s="240">
        <v>2220</v>
      </c>
      <c r="C916" s="241">
        <v>12</v>
      </c>
      <c r="D916" s="239" t="s">
        <v>2482</v>
      </c>
      <c r="E916" s="239" t="s">
        <v>1305</v>
      </c>
      <c r="F916" s="239" t="s">
        <v>1306</v>
      </c>
      <c r="G916" s="239" t="s">
        <v>962</v>
      </c>
      <c r="H916" s="239" t="s">
        <v>42</v>
      </c>
      <c r="I916" s="239" t="s">
        <v>2465</v>
      </c>
      <c r="J916" s="234">
        <v>33910</v>
      </c>
      <c r="K916" s="234">
        <v>14680</v>
      </c>
      <c r="L916" s="242">
        <v>5</v>
      </c>
      <c r="M916" s="234">
        <v>19230</v>
      </c>
      <c r="N916" s="234">
        <v>18268.5</v>
      </c>
      <c r="O916" s="243" t="s">
        <v>2700</v>
      </c>
      <c r="P916" s="236">
        <v>45938</v>
      </c>
    </row>
    <row r="917" spans="1:16" ht="51" customHeight="1">
      <c r="A917" s="239" t="s">
        <v>2679</v>
      </c>
      <c r="B917" s="240">
        <v>2221</v>
      </c>
      <c r="C917" s="241">
        <v>19</v>
      </c>
      <c r="D917" s="239" t="s">
        <v>2482</v>
      </c>
      <c r="E917" s="239" t="s">
        <v>400</v>
      </c>
      <c r="F917" s="239" t="s">
        <v>401</v>
      </c>
      <c r="G917" s="239" t="s">
        <v>962</v>
      </c>
      <c r="H917" s="239" t="s">
        <v>42</v>
      </c>
      <c r="I917" s="239" t="s">
        <v>2465</v>
      </c>
      <c r="J917" s="234">
        <v>30970</v>
      </c>
      <c r="K917" s="234">
        <v>14760</v>
      </c>
      <c r="L917" s="242">
        <v>12</v>
      </c>
      <c r="M917" s="234">
        <v>16210</v>
      </c>
      <c r="N917" s="234">
        <v>14264.8</v>
      </c>
      <c r="O917" s="243" t="s">
        <v>2701</v>
      </c>
      <c r="P917" s="236">
        <v>45938</v>
      </c>
    </row>
    <row r="918" spans="1:16" ht="51" customHeight="1">
      <c r="A918" s="239" t="s">
        <v>2680</v>
      </c>
      <c r="B918" s="240">
        <v>2222</v>
      </c>
      <c r="C918" s="241">
        <v>18</v>
      </c>
      <c r="D918" s="239" t="s">
        <v>2482</v>
      </c>
      <c r="E918" s="239" t="s">
        <v>377</v>
      </c>
      <c r="F918" s="239" t="s">
        <v>378</v>
      </c>
      <c r="G918" s="239" t="s">
        <v>962</v>
      </c>
      <c r="H918" s="239" t="s">
        <v>42</v>
      </c>
      <c r="I918" s="239" t="s">
        <v>2465</v>
      </c>
      <c r="J918" s="234">
        <v>35060</v>
      </c>
      <c r="K918" s="234">
        <v>15160</v>
      </c>
      <c r="L918" s="242">
        <v>17</v>
      </c>
      <c r="M918" s="234">
        <v>19900</v>
      </c>
      <c r="N918" s="234">
        <v>16517</v>
      </c>
      <c r="O918" s="243" t="s">
        <v>2702</v>
      </c>
      <c r="P918" s="236">
        <v>45938</v>
      </c>
    </row>
    <row r="919" spans="1:16" ht="51" customHeight="1">
      <c r="A919" s="239" t="s">
        <v>2681</v>
      </c>
      <c r="B919" s="240">
        <v>2224</v>
      </c>
      <c r="C919" s="241">
        <v>7951</v>
      </c>
      <c r="D919" s="239" t="s">
        <v>2511</v>
      </c>
      <c r="E919" s="239" t="s">
        <v>794</v>
      </c>
      <c r="F919" s="239" t="s">
        <v>795</v>
      </c>
      <c r="G919" s="239" t="s">
        <v>933</v>
      </c>
      <c r="H919" s="239" t="s">
        <v>51</v>
      </c>
      <c r="I919" s="239" t="s">
        <v>2512</v>
      </c>
      <c r="J919" s="234">
        <v>43310</v>
      </c>
      <c r="K919" s="234">
        <v>16150</v>
      </c>
      <c r="L919" s="242">
        <v>5</v>
      </c>
      <c r="M919" s="234">
        <v>27160</v>
      </c>
      <c r="N919" s="234">
        <v>25802</v>
      </c>
      <c r="O919" s="243" t="s">
        <v>2703</v>
      </c>
      <c r="P919" s="236">
        <v>45939</v>
      </c>
    </row>
    <row r="920" spans="1:16" ht="51" customHeight="1">
      <c r="A920" s="239" t="s">
        <v>2682</v>
      </c>
      <c r="B920" s="240">
        <v>2225</v>
      </c>
      <c r="C920" s="241">
        <v>7952</v>
      </c>
      <c r="D920" s="239" t="s">
        <v>2511</v>
      </c>
      <c r="E920" s="239" t="s">
        <v>841</v>
      </c>
      <c r="F920" s="239" t="s">
        <v>845</v>
      </c>
      <c r="G920" s="239" t="s">
        <v>933</v>
      </c>
      <c r="H920" s="239" t="s">
        <v>51</v>
      </c>
      <c r="I920" s="239" t="s">
        <v>2512</v>
      </c>
      <c r="J920" s="234">
        <v>43110</v>
      </c>
      <c r="K920" s="234">
        <v>15940</v>
      </c>
      <c r="L920" s="242">
        <v>5</v>
      </c>
      <c r="M920" s="234">
        <v>27170</v>
      </c>
      <c r="N920" s="234">
        <v>25811.5</v>
      </c>
      <c r="O920" s="243" t="s">
        <v>2704</v>
      </c>
      <c r="P920" s="236">
        <v>45939</v>
      </c>
    </row>
    <row r="921" spans="1:16" ht="51" customHeight="1">
      <c r="A921" s="239" t="s">
        <v>2705</v>
      </c>
      <c r="B921" s="240">
        <v>2227</v>
      </c>
      <c r="C921" s="241">
        <v>7853</v>
      </c>
      <c r="D921" s="239" t="s">
        <v>2511</v>
      </c>
      <c r="E921" s="239" t="s">
        <v>786</v>
      </c>
      <c r="F921" s="239" t="s">
        <v>787</v>
      </c>
      <c r="G921" s="239" t="s">
        <v>933</v>
      </c>
      <c r="H921" s="239" t="s">
        <v>51</v>
      </c>
      <c r="I921" s="239" t="s">
        <v>2512</v>
      </c>
      <c r="J921" s="234">
        <v>36340</v>
      </c>
      <c r="K921" s="234">
        <v>14030</v>
      </c>
      <c r="L921" s="242">
        <v>10</v>
      </c>
      <c r="M921" s="234">
        <v>22310</v>
      </c>
      <c r="N921" s="234">
        <v>20079</v>
      </c>
      <c r="O921" s="243" t="s">
        <v>2707</v>
      </c>
      <c r="P921" s="236">
        <v>45939</v>
      </c>
    </row>
    <row r="922" spans="1:16" ht="51" customHeight="1">
      <c r="A922" s="239" t="s">
        <v>2706</v>
      </c>
      <c r="B922" s="240">
        <v>2231</v>
      </c>
      <c r="C922" s="241">
        <v>7955</v>
      </c>
      <c r="D922" s="239" t="s">
        <v>2511</v>
      </c>
      <c r="E922" s="239" t="s">
        <v>783</v>
      </c>
      <c r="F922" s="239" t="s">
        <v>784</v>
      </c>
      <c r="G922" s="239" t="s">
        <v>933</v>
      </c>
      <c r="H922" s="239" t="s">
        <v>51</v>
      </c>
      <c r="I922" s="239" t="s">
        <v>2512</v>
      </c>
      <c r="J922" s="234">
        <v>39920</v>
      </c>
      <c r="K922" s="234">
        <v>14700</v>
      </c>
      <c r="L922" s="242">
        <v>10</v>
      </c>
      <c r="M922" s="234">
        <v>25220</v>
      </c>
      <c r="N922" s="234">
        <v>22698</v>
      </c>
      <c r="O922" s="243" t="s">
        <v>2708</v>
      </c>
      <c r="P922" s="236">
        <v>45939</v>
      </c>
    </row>
    <row r="923" spans="1:16" ht="51" customHeight="1">
      <c r="A923" s="239" t="s">
        <v>2713</v>
      </c>
      <c r="B923" s="240">
        <v>2232</v>
      </c>
      <c r="C923" s="241">
        <v>7954</v>
      </c>
      <c r="D923" s="239" t="s">
        <v>2511</v>
      </c>
      <c r="E923" s="239" t="s">
        <v>791</v>
      </c>
      <c r="F923" s="239" t="s">
        <v>792</v>
      </c>
      <c r="G923" s="239" t="s">
        <v>933</v>
      </c>
      <c r="H923" s="239" t="s">
        <v>51</v>
      </c>
      <c r="I923" s="239" t="s">
        <v>2512</v>
      </c>
      <c r="J923" s="234">
        <v>41100</v>
      </c>
      <c r="K923" s="234">
        <v>15060</v>
      </c>
      <c r="L923" s="242">
        <v>5</v>
      </c>
      <c r="M923" s="234">
        <v>26040</v>
      </c>
      <c r="N923" s="234">
        <v>24738</v>
      </c>
      <c r="O923" s="243" t="s">
        <v>2714</v>
      </c>
      <c r="P923" s="236">
        <v>45939</v>
      </c>
    </row>
    <row r="924" spans="1:16" ht="51" customHeight="1">
      <c r="A924" s="239" t="s">
        <v>2715</v>
      </c>
      <c r="B924" s="240">
        <v>2234</v>
      </c>
      <c r="C924" s="241">
        <v>7958</v>
      </c>
      <c r="D924" s="239" t="s">
        <v>2511</v>
      </c>
      <c r="E924" s="239" t="s">
        <v>1397</v>
      </c>
      <c r="F924" s="239" t="s">
        <v>1398</v>
      </c>
      <c r="G924" s="239" t="s">
        <v>933</v>
      </c>
      <c r="H924" s="239" t="s">
        <v>51</v>
      </c>
      <c r="I924" s="239" t="s">
        <v>2512</v>
      </c>
      <c r="J924" s="234">
        <v>42410</v>
      </c>
      <c r="K924" s="234">
        <v>17130</v>
      </c>
      <c r="L924" s="242">
        <v>10</v>
      </c>
      <c r="M924" s="234">
        <v>25280</v>
      </c>
      <c r="N924" s="234">
        <v>22752</v>
      </c>
      <c r="O924" s="243" t="s">
        <v>2716</v>
      </c>
      <c r="P924" s="236">
        <v>45939</v>
      </c>
    </row>
    <row r="925" spans="1:16" ht="51" customHeight="1">
      <c r="A925" s="239" t="s">
        <v>2717</v>
      </c>
      <c r="B925" s="240">
        <v>2236</v>
      </c>
      <c r="C925" s="241">
        <v>7959</v>
      </c>
      <c r="D925" s="239" t="s">
        <v>2511</v>
      </c>
      <c r="E925" s="239" t="s">
        <v>1403</v>
      </c>
      <c r="F925" s="239" t="s">
        <v>1404</v>
      </c>
      <c r="G925" s="239" t="s">
        <v>933</v>
      </c>
      <c r="H925" s="239" t="s">
        <v>51</v>
      </c>
      <c r="I925" s="239" t="s">
        <v>2512</v>
      </c>
      <c r="J925" s="234">
        <v>39830</v>
      </c>
      <c r="K925" s="234">
        <v>14980</v>
      </c>
      <c r="L925" s="242">
        <v>9</v>
      </c>
      <c r="M925" s="234">
        <v>24850</v>
      </c>
      <c r="N925" s="234">
        <v>22613.5</v>
      </c>
      <c r="O925" s="243" t="s">
        <v>2718</v>
      </c>
      <c r="P925" s="236">
        <v>45939</v>
      </c>
    </row>
    <row r="926" spans="1:16" ht="51" customHeight="1">
      <c r="A926" s="239" t="s">
        <v>2719</v>
      </c>
      <c r="B926" s="240">
        <v>2237</v>
      </c>
      <c r="C926" s="241">
        <v>7960</v>
      </c>
      <c r="D926" s="239" t="s">
        <v>2511</v>
      </c>
      <c r="E926" s="239" t="s">
        <v>1400</v>
      </c>
      <c r="F926" s="239" t="s">
        <v>1401</v>
      </c>
      <c r="G926" s="239" t="s">
        <v>933</v>
      </c>
      <c r="H926" s="239" t="s">
        <v>51</v>
      </c>
      <c r="I926" s="239" t="s">
        <v>2512</v>
      </c>
      <c r="J926" s="234">
        <v>37100</v>
      </c>
      <c r="K926" s="234">
        <v>14760</v>
      </c>
      <c r="L926" s="242">
        <v>5</v>
      </c>
      <c r="M926" s="234">
        <v>22340</v>
      </c>
      <c r="N926" s="234">
        <v>21223</v>
      </c>
      <c r="O926" s="243" t="s">
        <v>2720</v>
      </c>
      <c r="P926" s="236">
        <v>45939</v>
      </c>
    </row>
    <row r="927" spans="1:16" ht="51" customHeight="1">
      <c r="A927" s="239" t="s">
        <v>2721</v>
      </c>
      <c r="B927" s="240">
        <v>2238</v>
      </c>
      <c r="C927" s="241">
        <v>7961</v>
      </c>
      <c r="D927" s="239" t="s">
        <v>2511</v>
      </c>
      <c r="E927" s="239" t="s">
        <v>462</v>
      </c>
      <c r="F927" s="239" t="s">
        <v>463</v>
      </c>
      <c r="G927" s="239" t="s">
        <v>933</v>
      </c>
      <c r="H927" s="239" t="s">
        <v>51</v>
      </c>
      <c r="I927" s="239" t="s">
        <v>2512</v>
      </c>
      <c r="J927" s="234">
        <v>40670</v>
      </c>
      <c r="K927" s="234">
        <v>16330</v>
      </c>
      <c r="L927" s="242">
        <v>11</v>
      </c>
      <c r="M927" s="234">
        <v>24340</v>
      </c>
      <c r="N927" s="234">
        <v>21662.6</v>
      </c>
      <c r="O927" s="243" t="s">
        <v>2722</v>
      </c>
      <c r="P927" s="236">
        <v>45939</v>
      </c>
    </row>
    <row r="928" spans="1:16" ht="51" customHeight="1">
      <c r="A928" s="239" t="s">
        <v>2723</v>
      </c>
      <c r="B928" s="240">
        <v>2240</v>
      </c>
      <c r="C928" s="241">
        <v>7962</v>
      </c>
      <c r="D928" s="239" t="s">
        <v>2511</v>
      </c>
      <c r="E928" s="239" t="s">
        <v>472</v>
      </c>
      <c r="F928" s="239" t="s">
        <v>473</v>
      </c>
      <c r="G928" s="239" t="s">
        <v>933</v>
      </c>
      <c r="H928" s="239" t="s">
        <v>51</v>
      </c>
      <c r="I928" s="239" t="s">
        <v>2512</v>
      </c>
      <c r="J928" s="234">
        <v>39060</v>
      </c>
      <c r="K928" s="234">
        <v>16560</v>
      </c>
      <c r="L928" s="242">
        <v>13</v>
      </c>
      <c r="M928" s="234">
        <v>22500</v>
      </c>
      <c r="N928" s="234">
        <v>19575</v>
      </c>
      <c r="O928" s="243" t="s">
        <v>2724</v>
      </c>
      <c r="P928" s="236">
        <v>45939</v>
      </c>
    </row>
    <row r="929" spans="1:16" ht="51" customHeight="1">
      <c r="A929" s="239" t="s">
        <v>2725</v>
      </c>
      <c r="B929" s="240">
        <v>2241</v>
      </c>
      <c r="C929" s="241">
        <v>7963</v>
      </c>
      <c r="D929" s="239" t="s">
        <v>2511</v>
      </c>
      <c r="E929" s="239" t="s">
        <v>475</v>
      </c>
      <c r="F929" s="239" t="s">
        <v>476</v>
      </c>
      <c r="G929" s="239" t="s">
        <v>933</v>
      </c>
      <c r="H929" s="239" t="s">
        <v>51</v>
      </c>
      <c r="I929" s="239" t="s">
        <v>2512</v>
      </c>
      <c r="J929" s="234">
        <v>39900</v>
      </c>
      <c r="K929" s="234">
        <v>16470</v>
      </c>
      <c r="L929" s="242">
        <v>12</v>
      </c>
      <c r="M929" s="234">
        <v>23430</v>
      </c>
      <c r="N929" s="234">
        <v>20618.400000000001</v>
      </c>
      <c r="O929" s="243" t="s">
        <v>2726</v>
      </c>
      <c r="P929" s="236">
        <v>45939</v>
      </c>
    </row>
    <row r="930" spans="1:16" ht="51" customHeight="1">
      <c r="A930" s="239" t="s">
        <v>2727</v>
      </c>
      <c r="B930" s="240">
        <v>2243</v>
      </c>
      <c r="C930" s="241">
        <v>7974</v>
      </c>
      <c r="D930" s="239" t="s">
        <v>2511</v>
      </c>
      <c r="E930" s="239" t="s">
        <v>388</v>
      </c>
      <c r="F930" s="239" t="s">
        <v>389</v>
      </c>
      <c r="G930" s="239" t="s">
        <v>933</v>
      </c>
      <c r="H930" s="239" t="s">
        <v>51</v>
      </c>
      <c r="I930" s="239" t="s">
        <v>2512</v>
      </c>
      <c r="J930" s="234">
        <v>60510</v>
      </c>
      <c r="K930" s="234">
        <v>21280</v>
      </c>
      <c r="L930" s="242">
        <v>13</v>
      </c>
      <c r="M930" s="234">
        <v>39230</v>
      </c>
      <c r="N930" s="234">
        <v>34130.1</v>
      </c>
      <c r="O930" s="243" t="s">
        <v>2728</v>
      </c>
      <c r="P930" s="236">
        <v>45939</v>
      </c>
    </row>
    <row r="931" spans="1:16" ht="51" customHeight="1">
      <c r="A931" s="239" t="s">
        <v>2729</v>
      </c>
      <c r="B931" s="240">
        <v>2244</v>
      </c>
      <c r="C931" s="241">
        <v>7975</v>
      </c>
      <c r="D931" s="239" t="s">
        <v>2511</v>
      </c>
      <c r="E931" s="239" t="s">
        <v>413</v>
      </c>
      <c r="F931" s="239" t="s">
        <v>414</v>
      </c>
      <c r="G931" s="239" t="s">
        <v>933</v>
      </c>
      <c r="H931" s="239" t="s">
        <v>51</v>
      </c>
      <c r="I931" s="239" t="s">
        <v>2512</v>
      </c>
      <c r="J931" s="234">
        <v>43940</v>
      </c>
      <c r="K931" s="234">
        <v>14990</v>
      </c>
      <c r="L931" s="242">
        <v>8</v>
      </c>
      <c r="M931" s="234">
        <v>28950</v>
      </c>
      <c r="N931" s="234">
        <v>26634</v>
      </c>
      <c r="O931" s="243" t="s">
        <v>2730</v>
      </c>
      <c r="P931" s="236">
        <v>45939</v>
      </c>
    </row>
    <row r="932" spans="1:16" ht="51" customHeight="1">
      <c r="A932" s="239" t="s">
        <v>2731</v>
      </c>
      <c r="B932" s="240">
        <v>2245</v>
      </c>
      <c r="C932" s="241">
        <v>7977</v>
      </c>
      <c r="D932" s="239" t="s">
        <v>2511</v>
      </c>
      <c r="E932" s="239" t="s">
        <v>1410</v>
      </c>
      <c r="F932" s="239" t="s">
        <v>437</v>
      </c>
      <c r="G932" s="239" t="s">
        <v>933</v>
      </c>
      <c r="H932" s="239" t="s">
        <v>51</v>
      </c>
      <c r="I932" s="239" t="s">
        <v>2512</v>
      </c>
      <c r="J932" s="234">
        <v>41370</v>
      </c>
      <c r="K932" s="234">
        <v>14910</v>
      </c>
      <c r="L932" s="242">
        <v>9</v>
      </c>
      <c r="M932" s="234">
        <v>26460</v>
      </c>
      <c r="N932" s="234">
        <v>24078.6</v>
      </c>
      <c r="O932" s="243" t="s">
        <v>2732</v>
      </c>
      <c r="P932" s="236">
        <v>45939</v>
      </c>
    </row>
    <row r="933" spans="1:16" ht="51" customHeight="1">
      <c r="A933" s="239" t="s">
        <v>2733</v>
      </c>
      <c r="B933" s="240">
        <v>2246</v>
      </c>
      <c r="C933" s="241">
        <v>7978</v>
      </c>
      <c r="D933" s="239" t="s">
        <v>2511</v>
      </c>
      <c r="E933" s="239" t="s">
        <v>439</v>
      </c>
      <c r="F933" s="239" t="s">
        <v>440</v>
      </c>
      <c r="G933" s="239" t="s">
        <v>933</v>
      </c>
      <c r="H933" s="239" t="s">
        <v>51</v>
      </c>
      <c r="I933" s="239" t="s">
        <v>2512</v>
      </c>
      <c r="J933" s="234">
        <v>43900</v>
      </c>
      <c r="K933" s="234">
        <v>15050</v>
      </c>
      <c r="L933" s="242">
        <v>14</v>
      </c>
      <c r="M933" s="234">
        <v>28850</v>
      </c>
      <c r="N933" s="234">
        <v>24811</v>
      </c>
      <c r="O933" s="243" t="s">
        <v>2734</v>
      </c>
      <c r="P933" s="236">
        <v>45939</v>
      </c>
    </row>
    <row r="934" spans="1:16" ht="51" customHeight="1">
      <c r="A934" s="239" t="s">
        <v>2735</v>
      </c>
      <c r="B934" s="240">
        <v>2247</v>
      </c>
      <c r="C934" s="241">
        <v>7982</v>
      </c>
      <c r="D934" s="239" t="s">
        <v>2511</v>
      </c>
      <c r="E934" s="239" t="s">
        <v>392</v>
      </c>
      <c r="F934" s="239" t="s">
        <v>393</v>
      </c>
      <c r="G934" s="239" t="s">
        <v>933</v>
      </c>
      <c r="H934" s="239" t="s">
        <v>51</v>
      </c>
      <c r="I934" s="239" t="s">
        <v>2512</v>
      </c>
      <c r="J934" s="234">
        <v>64040</v>
      </c>
      <c r="K934" s="234">
        <v>24020</v>
      </c>
      <c r="L934" s="242">
        <v>14</v>
      </c>
      <c r="M934" s="234">
        <v>40020</v>
      </c>
      <c r="N934" s="234">
        <v>34417.199999999997</v>
      </c>
      <c r="O934" s="243" t="s">
        <v>2736</v>
      </c>
      <c r="P934" s="236">
        <v>45939</v>
      </c>
    </row>
    <row r="935" spans="1:16" ht="51" customHeight="1">
      <c r="A935" s="239" t="s">
        <v>2737</v>
      </c>
      <c r="B935" s="240">
        <v>2248</v>
      </c>
      <c r="C935" s="241">
        <v>7987</v>
      </c>
      <c r="D935" s="239" t="s">
        <v>2511</v>
      </c>
      <c r="E935" s="239" t="s">
        <v>447</v>
      </c>
      <c r="F935" s="239" t="s">
        <v>448</v>
      </c>
      <c r="G935" s="239" t="s">
        <v>933</v>
      </c>
      <c r="H935" s="239" t="s">
        <v>51</v>
      </c>
      <c r="I935" s="239" t="s">
        <v>2512</v>
      </c>
      <c r="J935" s="234">
        <v>50900</v>
      </c>
      <c r="K935" s="234">
        <v>19430</v>
      </c>
      <c r="L935" s="242">
        <v>12</v>
      </c>
      <c r="M935" s="234">
        <v>31470</v>
      </c>
      <c r="N935" s="234">
        <v>27693.599999999999</v>
      </c>
      <c r="O935" s="243" t="s">
        <v>2738</v>
      </c>
      <c r="P935" s="236">
        <v>45939</v>
      </c>
    </row>
    <row r="936" spans="1:16" ht="51" customHeight="1">
      <c r="A936" s="239" t="s">
        <v>2739</v>
      </c>
      <c r="B936" s="240">
        <v>2249</v>
      </c>
      <c r="C936" s="241">
        <v>7993</v>
      </c>
      <c r="D936" s="239" t="s">
        <v>2511</v>
      </c>
      <c r="E936" s="239" t="s">
        <v>374</v>
      </c>
      <c r="F936" s="239" t="s">
        <v>375</v>
      </c>
      <c r="G936" s="239" t="s">
        <v>933</v>
      </c>
      <c r="H936" s="239" t="s">
        <v>51</v>
      </c>
      <c r="I936" s="239" t="s">
        <v>2512</v>
      </c>
      <c r="J936" s="234">
        <v>40210</v>
      </c>
      <c r="K936" s="234">
        <v>15610</v>
      </c>
      <c r="L936" s="242">
        <v>12</v>
      </c>
      <c r="M936" s="234">
        <v>24600</v>
      </c>
      <c r="N936" s="234">
        <v>21648</v>
      </c>
      <c r="O936" s="243" t="s">
        <v>2740</v>
      </c>
      <c r="P936" s="236">
        <v>45940</v>
      </c>
    </row>
    <row r="937" spans="1:16" ht="51" customHeight="1">
      <c r="A937" s="239" t="s">
        <v>2741</v>
      </c>
      <c r="B937" s="240">
        <v>2250</v>
      </c>
      <c r="C937" s="241">
        <v>7994</v>
      </c>
      <c r="D937" s="239" t="s">
        <v>2511</v>
      </c>
      <c r="E937" s="239" t="s">
        <v>858</v>
      </c>
      <c r="F937" s="239" t="s">
        <v>859</v>
      </c>
      <c r="G937" s="239" t="s">
        <v>933</v>
      </c>
      <c r="H937" s="239" t="s">
        <v>51</v>
      </c>
      <c r="I937" s="239" t="s">
        <v>2512</v>
      </c>
      <c r="J937" s="234">
        <v>39940</v>
      </c>
      <c r="K937" s="234">
        <v>14910</v>
      </c>
      <c r="L937" s="242">
        <v>13</v>
      </c>
      <c r="M937" s="234">
        <v>25030</v>
      </c>
      <c r="N937" s="234">
        <v>21776.1</v>
      </c>
      <c r="O937" s="243" t="s">
        <v>2742</v>
      </c>
      <c r="P937" s="236">
        <v>45940</v>
      </c>
    </row>
    <row r="938" spans="1:16" ht="51" customHeight="1">
      <c r="A938" s="239" t="s">
        <v>2743</v>
      </c>
      <c r="B938" s="240">
        <v>2251</v>
      </c>
      <c r="C938" s="241">
        <v>7995</v>
      </c>
      <c r="D938" s="239" t="s">
        <v>2511</v>
      </c>
      <c r="E938" s="239" t="s">
        <v>372</v>
      </c>
      <c r="F938" s="239" t="s">
        <v>373</v>
      </c>
      <c r="G938" s="239" t="s">
        <v>933</v>
      </c>
      <c r="H938" s="239" t="s">
        <v>51</v>
      </c>
      <c r="I938" s="239" t="s">
        <v>2512</v>
      </c>
      <c r="J938" s="234">
        <v>36810</v>
      </c>
      <c r="K938" s="234">
        <v>14910</v>
      </c>
      <c r="L938" s="242">
        <v>16</v>
      </c>
      <c r="M938" s="234">
        <v>21900</v>
      </c>
      <c r="N938" s="234">
        <v>18396</v>
      </c>
      <c r="O938" s="243" t="s">
        <v>2744</v>
      </c>
      <c r="P938" s="236">
        <v>45940</v>
      </c>
    </row>
    <row r="939" spans="1:16" ht="51" customHeight="1">
      <c r="A939" s="239" t="s">
        <v>2745</v>
      </c>
      <c r="B939" s="240">
        <v>2252</v>
      </c>
      <c r="C939" s="241">
        <v>7998</v>
      </c>
      <c r="D939" s="239" t="s">
        <v>2511</v>
      </c>
      <c r="E939" s="239" t="s">
        <v>453</v>
      </c>
      <c r="F939" s="239" t="s">
        <v>454</v>
      </c>
      <c r="G939" s="239" t="s">
        <v>933</v>
      </c>
      <c r="H939" s="239" t="s">
        <v>51</v>
      </c>
      <c r="I939" s="239" t="s">
        <v>2512</v>
      </c>
      <c r="J939" s="234">
        <v>64690</v>
      </c>
      <c r="K939" s="234">
        <v>24450</v>
      </c>
      <c r="L939" s="242">
        <v>7</v>
      </c>
      <c r="M939" s="234">
        <v>40240</v>
      </c>
      <c r="N939" s="234">
        <v>37423.199999999997</v>
      </c>
      <c r="O939" s="243" t="s">
        <v>2746</v>
      </c>
      <c r="P939" s="236">
        <v>45940</v>
      </c>
    </row>
    <row r="940" spans="1:16" ht="51" customHeight="1">
      <c r="A940" s="239" t="s">
        <v>2747</v>
      </c>
      <c r="B940" s="240">
        <v>2253</v>
      </c>
      <c r="C940" s="241">
        <v>7999</v>
      </c>
      <c r="D940" s="239" t="s">
        <v>2511</v>
      </c>
      <c r="E940" s="239" t="s">
        <v>456</v>
      </c>
      <c r="F940" s="239" t="s">
        <v>457</v>
      </c>
      <c r="G940" s="239" t="s">
        <v>933</v>
      </c>
      <c r="H940" s="239" t="s">
        <v>51</v>
      </c>
      <c r="I940" s="239" t="s">
        <v>2512</v>
      </c>
      <c r="J940" s="234">
        <v>44900</v>
      </c>
      <c r="K940" s="234">
        <v>15720</v>
      </c>
      <c r="L940" s="242">
        <v>16</v>
      </c>
      <c r="M940" s="234">
        <v>29180</v>
      </c>
      <c r="N940" s="234">
        <v>24511.200000000001</v>
      </c>
      <c r="O940" s="243" t="s">
        <v>2748</v>
      </c>
      <c r="P940" s="236">
        <v>45940</v>
      </c>
    </row>
    <row r="941" spans="1:16" ht="51" customHeight="1">
      <c r="A941" s="239" t="s">
        <v>2750</v>
      </c>
      <c r="B941" s="240">
        <v>2254</v>
      </c>
      <c r="C941" s="241">
        <v>8000</v>
      </c>
      <c r="D941" s="239" t="s">
        <v>2511</v>
      </c>
      <c r="E941" s="239" t="s">
        <v>432</v>
      </c>
      <c r="F941" s="239" t="s">
        <v>433</v>
      </c>
      <c r="G941" s="239" t="s">
        <v>933</v>
      </c>
      <c r="H941" s="239" t="s">
        <v>51</v>
      </c>
      <c r="I941" s="239" t="s">
        <v>2512</v>
      </c>
      <c r="J941" s="234">
        <v>41590</v>
      </c>
      <c r="K941" s="234">
        <v>15670</v>
      </c>
      <c r="L941" s="242">
        <v>14</v>
      </c>
      <c r="M941" s="234">
        <v>25920</v>
      </c>
      <c r="N941" s="234">
        <v>22291.200000000001</v>
      </c>
      <c r="O941" s="243" t="s">
        <v>2751</v>
      </c>
      <c r="P941" s="236">
        <v>45940</v>
      </c>
    </row>
    <row r="942" spans="1:16" ht="51" customHeight="1">
      <c r="A942" s="239" t="s">
        <v>2752</v>
      </c>
      <c r="B942" s="240">
        <v>2255</v>
      </c>
      <c r="C942" s="241">
        <v>8005</v>
      </c>
      <c r="D942" s="239" t="s">
        <v>2511</v>
      </c>
      <c r="E942" s="239" t="s">
        <v>377</v>
      </c>
      <c r="F942" s="239" t="s">
        <v>378</v>
      </c>
      <c r="G942" s="239" t="s">
        <v>933</v>
      </c>
      <c r="H942" s="239" t="s">
        <v>51</v>
      </c>
      <c r="I942" s="239" t="s">
        <v>2512</v>
      </c>
      <c r="J942" s="234">
        <v>43180</v>
      </c>
      <c r="K942" s="234">
        <v>15080</v>
      </c>
      <c r="L942" s="242">
        <v>8</v>
      </c>
      <c r="M942" s="234">
        <v>28100</v>
      </c>
      <c r="N942" s="234">
        <v>25852</v>
      </c>
      <c r="O942" s="243" t="s">
        <v>2753</v>
      </c>
      <c r="P942" s="236">
        <v>45940</v>
      </c>
    </row>
    <row r="943" spans="1:16" ht="51" customHeight="1">
      <c r="A943" s="239" t="s">
        <v>2754</v>
      </c>
      <c r="B943" s="240">
        <v>2256</v>
      </c>
      <c r="C943" s="241">
        <v>8006</v>
      </c>
      <c r="D943" s="239" t="s">
        <v>2511</v>
      </c>
      <c r="E943" s="239" t="s">
        <v>410</v>
      </c>
      <c r="F943" s="239" t="s">
        <v>411</v>
      </c>
      <c r="G943" s="239" t="s">
        <v>933</v>
      </c>
      <c r="H943" s="239" t="s">
        <v>51</v>
      </c>
      <c r="I943" s="239" t="s">
        <v>2512</v>
      </c>
      <c r="J943" s="234">
        <v>40820</v>
      </c>
      <c r="K943" s="234">
        <v>15050</v>
      </c>
      <c r="L943" s="242">
        <v>7</v>
      </c>
      <c r="M943" s="234">
        <v>25770</v>
      </c>
      <c r="N943" s="234">
        <v>23966.1</v>
      </c>
      <c r="O943" s="243" t="s">
        <v>2755</v>
      </c>
      <c r="P943" s="236">
        <v>45940</v>
      </c>
    </row>
    <row r="944" spans="1:16" ht="51" customHeight="1">
      <c r="A944" s="239" t="s">
        <v>2756</v>
      </c>
      <c r="B944" s="240">
        <v>2257</v>
      </c>
      <c r="C944" s="241">
        <v>8007</v>
      </c>
      <c r="D944" s="239" t="s">
        <v>2511</v>
      </c>
      <c r="E944" s="239" t="s">
        <v>794</v>
      </c>
      <c r="F944" s="239" t="s">
        <v>795</v>
      </c>
      <c r="G944" s="239" t="s">
        <v>933</v>
      </c>
      <c r="H944" s="239" t="s">
        <v>51</v>
      </c>
      <c r="I944" s="239" t="s">
        <v>2512</v>
      </c>
      <c r="J944" s="234">
        <v>43140</v>
      </c>
      <c r="K944" s="234">
        <v>15940</v>
      </c>
      <c r="L944" s="242">
        <v>23</v>
      </c>
      <c r="M944" s="234">
        <v>27200</v>
      </c>
      <c r="N944" s="234">
        <v>20944</v>
      </c>
      <c r="O944" s="243" t="s">
        <v>2817</v>
      </c>
      <c r="P944" s="236">
        <v>45940</v>
      </c>
    </row>
    <row r="945" spans="1:16" ht="51" customHeight="1">
      <c r="A945" s="239" t="s">
        <v>2757</v>
      </c>
      <c r="B945" s="240">
        <v>2259</v>
      </c>
      <c r="C945" s="241">
        <v>8010</v>
      </c>
      <c r="D945" s="239" t="s">
        <v>2511</v>
      </c>
      <c r="E945" s="239" t="s">
        <v>841</v>
      </c>
      <c r="F945" s="239" t="s">
        <v>845</v>
      </c>
      <c r="G945" s="239" t="s">
        <v>933</v>
      </c>
      <c r="H945" s="239" t="s">
        <v>51</v>
      </c>
      <c r="I945" s="239" t="s">
        <v>2512</v>
      </c>
      <c r="J945" s="234">
        <v>42450</v>
      </c>
      <c r="K945" s="234">
        <v>15720</v>
      </c>
      <c r="L945" s="242">
        <v>9</v>
      </c>
      <c r="M945" s="234">
        <v>26730</v>
      </c>
      <c r="N945" s="234">
        <v>24324.3</v>
      </c>
      <c r="O945" s="243" t="s">
        <v>2818</v>
      </c>
      <c r="P945" s="236">
        <v>45940</v>
      </c>
    </row>
    <row r="946" spans="1:16" ht="51" customHeight="1">
      <c r="A946" s="239" t="s">
        <v>2758</v>
      </c>
      <c r="B946" s="240">
        <v>2262</v>
      </c>
      <c r="C946" s="241">
        <v>8012</v>
      </c>
      <c r="D946" s="239" t="s">
        <v>2511</v>
      </c>
      <c r="E946" s="239" t="s">
        <v>786</v>
      </c>
      <c r="F946" s="239" t="s">
        <v>787</v>
      </c>
      <c r="G946" s="239" t="s">
        <v>933</v>
      </c>
      <c r="H946" s="239" t="s">
        <v>51</v>
      </c>
      <c r="I946" s="239" t="s">
        <v>2512</v>
      </c>
      <c r="J946" s="234">
        <v>36100</v>
      </c>
      <c r="K946" s="234">
        <v>13800</v>
      </c>
      <c r="L946" s="242">
        <v>10</v>
      </c>
      <c r="M946" s="234">
        <v>22300</v>
      </c>
      <c r="N946" s="234">
        <v>20070</v>
      </c>
      <c r="O946" s="243" t="s">
        <v>2819</v>
      </c>
      <c r="P946" s="236">
        <v>45940</v>
      </c>
    </row>
    <row r="947" spans="1:16" ht="51" customHeight="1">
      <c r="A947" s="239" t="s">
        <v>2759</v>
      </c>
      <c r="B947" s="240">
        <v>2265</v>
      </c>
      <c r="C947" s="241">
        <v>8017</v>
      </c>
      <c r="D947" s="239" t="s">
        <v>2511</v>
      </c>
      <c r="E947" s="239" t="s">
        <v>783</v>
      </c>
      <c r="F947" s="239" t="s">
        <v>784</v>
      </c>
      <c r="G947" s="239" t="s">
        <v>933</v>
      </c>
      <c r="H947" s="239" t="s">
        <v>51</v>
      </c>
      <c r="I947" s="239" t="s">
        <v>2512</v>
      </c>
      <c r="J947" s="234">
        <v>39530</v>
      </c>
      <c r="K947" s="234">
        <v>14450</v>
      </c>
      <c r="L947" s="242">
        <v>13</v>
      </c>
      <c r="M947" s="234">
        <v>25080</v>
      </c>
      <c r="N947" s="234">
        <v>21819.599999999999</v>
      </c>
      <c r="O947" s="243" t="s">
        <v>2820</v>
      </c>
      <c r="P947" s="236">
        <v>45940</v>
      </c>
    </row>
    <row r="948" spans="1:16" ht="51" customHeight="1">
      <c r="A948" s="239" t="s">
        <v>2760</v>
      </c>
      <c r="B948" s="240">
        <v>2266</v>
      </c>
      <c r="C948" s="241">
        <v>8019</v>
      </c>
      <c r="D948" s="239" t="s">
        <v>2511</v>
      </c>
      <c r="E948" s="239" t="s">
        <v>791</v>
      </c>
      <c r="F948" s="239" t="s">
        <v>792</v>
      </c>
      <c r="G948" s="239" t="s">
        <v>933</v>
      </c>
      <c r="H948" s="239" t="s">
        <v>51</v>
      </c>
      <c r="I948" s="239" t="s">
        <v>2512</v>
      </c>
      <c r="J948" s="234">
        <v>40370</v>
      </c>
      <c r="K948" s="234">
        <v>14810</v>
      </c>
      <c r="L948" s="242">
        <v>6</v>
      </c>
      <c r="M948" s="234">
        <v>25560</v>
      </c>
      <c r="N948" s="234">
        <v>24026.400000000001</v>
      </c>
      <c r="O948" s="243" t="s">
        <v>2821</v>
      </c>
      <c r="P948" s="236">
        <v>45940</v>
      </c>
    </row>
    <row r="949" spans="1:16" ht="51" customHeight="1">
      <c r="A949" s="239" t="s">
        <v>2761</v>
      </c>
      <c r="B949" s="240">
        <v>2267</v>
      </c>
      <c r="C949" s="241">
        <v>8028</v>
      </c>
      <c r="D949" s="239" t="s">
        <v>2511</v>
      </c>
      <c r="E949" s="239" t="s">
        <v>1397</v>
      </c>
      <c r="F949" s="239" t="s">
        <v>1398</v>
      </c>
      <c r="G949" s="239" t="s">
        <v>933</v>
      </c>
      <c r="H949" s="239" t="s">
        <v>51</v>
      </c>
      <c r="I949" s="239" t="s">
        <v>2512</v>
      </c>
      <c r="J949" s="234">
        <v>44620</v>
      </c>
      <c r="K949" s="234">
        <v>17090</v>
      </c>
      <c r="L949" s="242">
        <v>4</v>
      </c>
      <c r="M949" s="234">
        <v>27530</v>
      </c>
      <c r="N949" s="234">
        <v>26428.799999999999</v>
      </c>
      <c r="O949" s="243" t="s">
        <v>2822</v>
      </c>
      <c r="P949" s="236">
        <v>45940</v>
      </c>
    </row>
    <row r="950" spans="1:16" ht="51" customHeight="1">
      <c r="A950" s="239" t="s">
        <v>2762</v>
      </c>
      <c r="B950" s="240">
        <v>2269</v>
      </c>
      <c r="C950" s="241">
        <v>8029</v>
      </c>
      <c r="D950" s="239" t="s">
        <v>2511</v>
      </c>
      <c r="E950" s="239" t="s">
        <v>1403</v>
      </c>
      <c r="F950" s="239" t="s">
        <v>1404</v>
      </c>
      <c r="G950" s="239" t="s">
        <v>933</v>
      </c>
      <c r="H950" s="239" t="s">
        <v>51</v>
      </c>
      <c r="I950" s="239" t="s">
        <v>2512</v>
      </c>
      <c r="J950" s="234">
        <v>39260</v>
      </c>
      <c r="K950" s="234">
        <v>15000</v>
      </c>
      <c r="L950" s="242">
        <v>15</v>
      </c>
      <c r="M950" s="234">
        <v>24260</v>
      </c>
      <c r="N950" s="234">
        <v>20621</v>
      </c>
      <c r="O950" s="243" t="s">
        <v>2823</v>
      </c>
      <c r="P950" s="236">
        <v>45940</v>
      </c>
    </row>
    <row r="951" spans="1:16" ht="51" customHeight="1">
      <c r="A951" s="239" t="s">
        <v>2763</v>
      </c>
      <c r="B951" s="240">
        <v>2270</v>
      </c>
      <c r="C951" s="241">
        <v>8030</v>
      </c>
      <c r="D951" s="239" t="s">
        <v>2511</v>
      </c>
      <c r="E951" s="239" t="s">
        <v>1400</v>
      </c>
      <c r="F951" s="239" t="s">
        <v>1401</v>
      </c>
      <c r="G951" s="239" t="s">
        <v>931</v>
      </c>
      <c r="H951" s="239" t="s">
        <v>51</v>
      </c>
      <c r="I951" s="239" t="s">
        <v>2512</v>
      </c>
      <c r="J951" s="234">
        <v>37000</v>
      </c>
      <c r="K951" s="234">
        <v>14770</v>
      </c>
      <c r="L951" s="242">
        <v>12</v>
      </c>
      <c r="M951" s="234">
        <v>22230</v>
      </c>
      <c r="N951" s="234">
        <v>19562.400000000001</v>
      </c>
      <c r="O951" s="243" t="s">
        <v>2824</v>
      </c>
      <c r="P951" s="236">
        <v>45940</v>
      </c>
    </row>
    <row r="952" spans="1:16" ht="51" customHeight="1">
      <c r="A952" s="239" t="s">
        <v>2764</v>
      </c>
      <c r="B952" s="240">
        <v>2272</v>
      </c>
      <c r="C952" s="241">
        <v>8035</v>
      </c>
      <c r="D952" s="239" t="s">
        <v>2511</v>
      </c>
      <c r="E952" s="239" t="s">
        <v>462</v>
      </c>
      <c r="F952" s="239" t="s">
        <v>463</v>
      </c>
      <c r="G952" s="239" t="s">
        <v>931</v>
      </c>
      <c r="H952" s="239" t="s">
        <v>51</v>
      </c>
      <c r="I952" s="239" t="s">
        <v>2512</v>
      </c>
      <c r="J952" s="234">
        <v>40260</v>
      </c>
      <c r="K952" s="234">
        <v>16390</v>
      </c>
      <c r="L952" s="242">
        <v>4</v>
      </c>
      <c r="M952" s="234">
        <v>23870</v>
      </c>
      <c r="N952" s="234">
        <v>22915.200000000001</v>
      </c>
      <c r="O952" s="243" t="s">
        <v>2825</v>
      </c>
      <c r="P952" s="236">
        <v>45940</v>
      </c>
    </row>
    <row r="953" spans="1:16" ht="51" customHeight="1">
      <c r="A953" s="239" t="s">
        <v>2765</v>
      </c>
      <c r="B953" s="240">
        <v>2273</v>
      </c>
      <c r="C953" s="241">
        <v>8036</v>
      </c>
      <c r="D953" s="239" t="s">
        <v>2511</v>
      </c>
      <c r="E953" s="239" t="s">
        <v>472</v>
      </c>
      <c r="F953" s="239" t="s">
        <v>473</v>
      </c>
      <c r="G953" s="239" t="s">
        <v>931</v>
      </c>
      <c r="H953" s="239" t="s">
        <v>51</v>
      </c>
      <c r="I953" s="239" t="s">
        <v>2512</v>
      </c>
      <c r="J953" s="234">
        <v>41390</v>
      </c>
      <c r="K953" s="234">
        <v>16500</v>
      </c>
      <c r="L953" s="242">
        <v>7</v>
      </c>
      <c r="M953" s="234">
        <v>24890</v>
      </c>
      <c r="N953" s="234">
        <v>23147.7</v>
      </c>
      <c r="O953" s="243" t="s">
        <v>2826</v>
      </c>
      <c r="P953" s="236">
        <v>45940</v>
      </c>
    </row>
    <row r="954" spans="1:16" ht="51" customHeight="1">
      <c r="A954" s="239" t="s">
        <v>2766</v>
      </c>
      <c r="B954" s="240">
        <v>2276</v>
      </c>
      <c r="C954" s="241">
        <v>8037</v>
      </c>
      <c r="D954" s="239" t="s">
        <v>2511</v>
      </c>
      <c r="E954" s="239" t="s">
        <v>475</v>
      </c>
      <c r="F954" s="239" t="s">
        <v>476</v>
      </c>
      <c r="G954" s="239" t="s">
        <v>931</v>
      </c>
      <c r="H954" s="239" t="s">
        <v>51</v>
      </c>
      <c r="I954" s="239" t="s">
        <v>2512</v>
      </c>
      <c r="J954" s="234">
        <v>40310</v>
      </c>
      <c r="K954" s="234">
        <v>16450</v>
      </c>
      <c r="L954" s="242">
        <v>8</v>
      </c>
      <c r="M954" s="234">
        <v>23860</v>
      </c>
      <c r="N954" s="234">
        <v>21951.200000000001</v>
      </c>
      <c r="O954" s="243" t="s">
        <v>2827</v>
      </c>
      <c r="P954" s="236">
        <v>45940</v>
      </c>
    </row>
    <row r="955" spans="1:16" ht="51" customHeight="1">
      <c r="A955" s="239" t="s">
        <v>2767</v>
      </c>
      <c r="B955" s="240">
        <v>2277</v>
      </c>
      <c r="C955" s="241">
        <v>8041</v>
      </c>
      <c r="D955" s="239" t="s">
        <v>2511</v>
      </c>
      <c r="E955" s="239" t="s">
        <v>429</v>
      </c>
      <c r="F955" s="239" t="s">
        <v>430</v>
      </c>
      <c r="G955" s="239" t="s">
        <v>931</v>
      </c>
      <c r="H955" s="239" t="s">
        <v>51</v>
      </c>
      <c r="I955" s="239" t="s">
        <v>2512</v>
      </c>
      <c r="J955" s="234">
        <v>40760</v>
      </c>
      <c r="K955" s="234">
        <v>14360</v>
      </c>
      <c r="L955" s="242">
        <v>9</v>
      </c>
      <c r="M955" s="234">
        <v>26400</v>
      </c>
      <c r="N955" s="234">
        <v>24024</v>
      </c>
      <c r="O955" s="243" t="s">
        <v>2828</v>
      </c>
      <c r="P955" s="236">
        <v>45940</v>
      </c>
    </row>
    <row r="956" spans="1:16" ht="51" customHeight="1">
      <c r="A956" s="239" t="s">
        <v>2768</v>
      </c>
      <c r="B956" s="240">
        <v>2278</v>
      </c>
      <c r="C956" s="241">
        <v>8044</v>
      </c>
      <c r="D956" s="239" t="s">
        <v>2511</v>
      </c>
      <c r="E956" s="239" t="s">
        <v>420</v>
      </c>
      <c r="F956" s="239" t="s">
        <v>421</v>
      </c>
      <c r="G956" s="239" t="s">
        <v>931</v>
      </c>
      <c r="H956" s="239" t="s">
        <v>51</v>
      </c>
      <c r="I956" s="239" t="s">
        <v>2512</v>
      </c>
      <c r="J956" s="234">
        <v>37080</v>
      </c>
      <c r="K956" s="234">
        <v>14970</v>
      </c>
      <c r="L956" s="242">
        <v>8</v>
      </c>
      <c r="M956" s="234">
        <v>22110</v>
      </c>
      <c r="N956" s="234">
        <v>20341.2</v>
      </c>
      <c r="O956" s="243" t="s">
        <v>2829</v>
      </c>
      <c r="P956" s="236">
        <v>45941</v>
      </c>
    </row>
    <row r="957" spans="1:16" ht="51" customHeight="1">
      <c r="A957" s="239" t="s">
        <v>2769</v>
      </c>
      <c r="B957" s="240">
        <v>2279</v>
      </c>
      <c r="C957" s="241">
        <v>8043</v>
      </c>
      <c r="D957" s="239" t="s">
        <v>2511</v>
      </c>
      <c r="E957" s="239" t="s">
        <v>416</v>
      </c>
      <c r="F957" s="239" t="s">
        <v>417</v>
      </c>
      <c r="G957" s="239" t="s">
        <v>931</v>
      </c>
      <c r="H957" s="239" t="s">
        <v>51</v>
      </c>
      <c r="I957" s="239" t="s">
        <v>2512</v>
      </c>
      <c r="J957" s="234">
        <v>38710</v>
      </c>
      <c r="K957" s="234">
        <v>14800</v>
      </c>
      <c r="L957" s="242">
        <v>9</v>
      </c>
      <c r="M957" s="234">
        <v>23910</v>
      </c>
      <c r="N957" s="234">
        <v>21758.1</v>
      </c>
      <c r="O957" s="243" t="s">
        <v>2830</v>
      </c>
      <c r="P957" s="236">
        <v>45941</v>
      </c>
    </row>
    <row r="958" spans="1:16" ht="51" customHeight="1">
      <c r="A958" s="239" t="s">
        <v>2770</v>
      </c>
      <c r="B958" s="240">
        <v>2280</v>
      </c>
      <c r="C958" s="241">
        <v>8046</v>
      </c>
      <c r="D958" s="239" t="s">
        <v>2511</v>
      </c>
      <c r="E958" s="239" t="s">
        <v>413</v>
      </c>
      <c r="F958" s="239" t="s">
        <v>414</v>
      </c>
      <c r="G958" s="239" t="s">
        <v>931</v>
      </c>
      <c r="H958" s="239" t="s">
        <v>51</v>
      </c>
      <c r="I958" s="239" t="s">
        <v>2512</v>
      </c>
      <c r="J958" s="234">
        <v>43140</v>
      </c>
      <c r="K958" s="234">
        <v>14990</v>
      </c>
      <c r="L958" s="242">
        <v>6</v>
      </c>
      <c r="M958" s="234">
        <v>28150</v>
      </c>
      <c r="N958" s="234">
        <v>26461</v>
      </c>
      <c r="O958" s="243" t="s">
        <v>2831</v>
      </c>
      <c r="P958" s="236">
        <v>45941</v>
      </c>
    </row>
    <row r="959" spans="1:16" ht="51" customHeight="1">
      <c r="A959" s="239" t="s">
        <v>2771</v>
      </c>
      <c r="B959" s="240">
        <v>2281</v>
      </c>
      <c r="C959" s="241">
        <v>8055</v>
      </c>
      <c r="D959" s="239" t="s">
        <v>2511</v>
      </c>
      <c r="E959" s="239" t="s">
        <v>1410</v>
      </c>
      <c r="F959" s="239" t="s">
        <v>437</v>
      </c>
      <c r="G959" s="239" t="s">
        <v>931</v>
      </c>
      <c r="H959" s="239" t="s">
        <v>51</v>
      </c>
      <c r="I959" s="239" t="s">
        <v>2512</v>
      </c>
      <c r="J959" s="234">
        <v>41040</v>
      </c>
      <c r="K959" s="234">
        <v>14840</v>
      </c>
      <c r="L959" s="242">
        <v>5</v>
      </c>
      <c r="M959" s="234">
        <v>26200</v>
      </c>
      <c r="N959" s="234">
        <v>24890</v>
      </c>
      <c r="O959" s="243" t="s">
        <v>2832</v>
      </c>
      <c r="P959" s="236">
        <v>45941</v>
      </c>
    </row>
    <row r="960" spans="1:16" ht="51" customHeight="1">
      <c r="A960" s="239" t="s">
        <v>2772</v>
      </c>
      <c r="B960" s="240">
        <v>2282</v>
      </c>
      <c r="C960" s="241">
        <v>8054</v>
      </c>
      <c r="D960" s="239" t="s">
        <v>2511</v>
      </c>
      <c r="E960" s="239" t="s">
        <v>439</v>
      </c>
      <c r="F960" s="239" t="s">
        <v>440</v>
      </c>
      <c r="G960" s="239" t="s">
        <v>931</v>
      </c>
      <c r="H960" s="239" t="s">
        <v>51</v>
      </c>
      <c r="I960" s="239" t="s">
        <v>2512</v>
      </c>
      <c r="J960" s="234">
        <v>43820</v>
      </c>
      <c r="K960" s="234">
        <v>15060</v>
      </c>
      <c r="L960" s="242">
        <v>8</v>
      </c>
      <c r="M960" s="234">
        <v>28760</v>
      </c>
      <c r="N960" s="234">
        <v>26459.200000000001</v>
      </c>
      <c r="O960" s="243" t="s">
        <v>2833</v>
      </c>
      <c r="P960" s="236">
        <v>45941</v>
      </c>
    </row>
    <row r="961" spans="1:16" ht="51" customHeight="1">
      <c r="A961" s="239" t="s">
        <v>2773</v>
      </c>
      <c r="B961" s="240">
        <v>2283</v>
      </c>
      <c r="C961" s="241">
        <v>8069</v>
      </c>
      <c r="D961" s="239" t="s">
        <v>2511</v>
      </c>
      <c r="E961" s="239" t="s">
        <v>406</v>
      </c>
      <c r="F961" s="239" t="s">
        <v>407</v>
      </c>
      <c r="G961" s="239" t="s">
        <v>931</v>
      </c>
      <c r="H961" s="239" t="s">
        <v>51</v>
      </c>
      <c r="I961" s="239" t="s">
        <v>2512</v>
      </c>
      <c r="J961" s="234">
        <v>39210</v>
      </c>
      <c r="K961" s="234">
        <v>15130</v>
      </c>
      <c r="L961" s="242">
        <v>11</v>
      </c>
      <c r="M961" s="234">
        <v>24080</v>
      </c>
      <c r="N961" s="234">
        <v>21431.200000000001</v>
      </c>
      <c r="O961" s="243" t="s">
        <v>2834</v>
      </c>
      <c r="P961" s="236">
        <v>45941</v>
      </c>
    </row>
    <row r="962" spans="1:16" ht="51" customHeight="1">
      <c r="A962" s="239" t="s">
        <v>2774</v>
      </c>
      <c r="B962" s="240">
        <v>2285</v>
      </c>
      <c r="C962" s="241">
        <v>8059</v>
      </c>
      <c r="D962" s="239" t="s">
        <v>2511</v>
      </c>
      <c r="E962" s="239" t="s">
        <v>388</v>
      </c>
      <c r="F962" s="239" t="s">
        <v>389</v>
      </c>
      <c r="G962" s="239" t="s">
        <v>931</v>
      </c>
      <c r="H962" s="239" t="s">
        <v>51</v>
      </c>
      <c r="I962" s="239" t="s">
        <v>2512</v>
      </c>
      <c r="J962" s="234">
        <v>62730</v>
      </c>
      <c r="K962" s="234">
        <v>21170</v>
      </c>
      <c r="L962" s="242">
        <v>8</v>
      </c>
      <c r="M962" s="234">
        <v>41560</v>
      </c>
      <c r="N962" s="234">
        <v>38235.199999999997</v>
      </c>
      <c r="O962" s="243" t="s">
        <v>2835</v>
      </c>
      <c r="P962" s="236">
        <v>45941</v>
      </c>
    </row>
    <row r="963" spans="1:16" ht="51" customHeight="1">
      <c r="A963" s="239" t="s">
        <v>2775</v>
      </c>
      <c r="B963" s="240">
        <v>2286</v>
      </c>
      <c r="C963" s="241">
        <v>8072</v>
      </c>
      <c r="D963" s="239" t="s">
        <v>2511</v>
      </c>
      <c r="E963" s="239" t="s">
        <v>372</v>
      </c>
      <c r="F963" s="239" t="s">
        <v>373</v>
      </c>
      <c r="G963" s="239" t="s">
        <v>931</v>
      </c>
      <c r="H963" s="239" t="s">
        <v>51</v>
      </c>
      <c r="I963" s="239" t="s">
        <v>2512</v>
      </c>
      <c r="J963" s="234">
        <v>38730</v>
      </c>
      <c r="K963" s="234">
        <v>14950</v>
      </c>
      <c r="L963" s="242">
        <v>9</v>
      </c>
      <c r="M963" s="234">
        <v>23780</v>
      </c>
      <c r="N963" s="234">
        <v>21639.8</v>
      </c>
      <c r="O963" s="243" t="s">
        <v>2836</v>
      </c>
      <c r="P963" s="236">
        <v>45941</v>
      </c>
    </row>
    <row r="964" spans="1:16" ht="51" customHeight="1">
      <c r="A964" s="239" t="s">
        <v>2776</v>
      </c>
      <c r="B964" s="240">
        <v>2289</v>
      </c>
      <c r="C964" s="241">
        <v>8073</v>
      </c>
      <c r="D964" s="239" t="s">
        <v>2511</v>
      </c>
      <c r="E964" s="239" t="s">
        <v>858</v>
      </c>
      <c r="F964" s="239" t="s">
        <v>859</v>
      </c>
      <c r="G964" s="239" t="s">
        <v>931</v>
      </c>
      <c r="H964" s="239" t="s">
        <v>51</v>
      </c>
      <c r="I964" s="239" t="s">
        <v>2512</v>
      </c>
      <c r="J964" s="234">
        <v>39790</v>
      </c>
      <c r="K964" s="234">
        <v>14850</v>
      </c>
      <c r="L964" s="242">
        <v>7</v>
      </c>
      <c r="M964" s="234">
        <v>24940</v>
      </c>
      <c r="N964" s="234">
        <v>23194.2</v>
      </c>
      <c r="O964" s="243" t="s">
        <v>2837</v>
      </c>
      <c r="P964" s="236">
        <v>45941</v>
      </c>
    </row>
    <row r="965" spans="1:16" ht="51" customHeight="1">
      <c r="A965" s="239" t="s">
        <v>2777</v>
      </c>
      <c r="B965" s="240">
        <v>2291</v>
      </c>
      <c r="C965" s="241">
        <v>8076</v>
      </c>
      <c r="D965" s="239" t="s">
        <v>2511</v>
      </c>
      <c r="E965" s="239" t="s">
        <v>447</v>
      </c>
      <c r="F965" s="239" t="s">
        <v>448</v>
      </c>
      <c r="G965" s="239" t="s">
        <v>931</v>
      </c>
      <c r="H965" s="239" t="s">
        <v>51</v>
      </c>
      <c r="I965" s="239" t="s">
        <v>2512</v>
      </c>
      <c r="J965" s="234">
        <v>50680</v>
      </c>
      <c r="K965" s="234">
        <v>19290</v>
      </c>
      <c r="L965" s="242">
        <v>7</v>
      </c>
      <c r="M965" s="234">
        <v>31390</v>
      </c>
      <c r="N965" s="234">
        <v>29192.7</v>
      </c>
      <c r="O965" s="243" t="s">
        <v>2838</v>
      </c>
      <c r="P965" s="236">
        <v>45941</v>
      </c>
    </row>
    <row r="966" spans="1:16" ht="51" customHeight="1">
      <c r="A966" s="239" t="s">
        <v>2778</v>
      </c>
      <c r="B966" s="240">
        <v>2294</v>
      </c>
      <c r="C966" s="241">
        <v>8083</v>
      </c>
      <c r="D966" s="239" t="s">
        <v>2511</v>
      </c>
      <c r="E966" s="239" t="s">
        <v>432</v>
      </c>
      <c r="F966" s="239" t="s">
        <v>433</v>
      </c>
      <c r="G966" s="239" t="s">
        <v>931</v>
      </c>
      <c r="H966" s="239" t="s">
        <v>51</v>
      </c>
      <c r="I966" s="239" t="s">
        <v>2512</v>
      </c>
      <c r="J966" s="234">
        <v>43880</v>
      </c>
      <c r="K966" s="234">
        <v>15650</v>
      </c>
      <c r="L966" s="242">
        <v>8</v>
      </c>
      <c r="M966" s="234">
        <v>28230</v>
      </c>
      <c r="N966" s="234">
        <v>25971.599999999999</v>
      </c>
      <c r="O966" s="243" t="s">
        <v>2839</v>
      </c>
      <c r="P966" s="236">
        <v>45941</v>
      </c>
    </row>
    <row r="967" spans="1:16" ht="51" customHeight="1">
      <c r="A967" s="239" t="s">
        <v>2782</v>
      </c>
      <c r="B967" s="240">
        <v>2296</v>
      </c>
      <c r="C967" s="241">
        <v>8085</v>
      </c>
      <c r="D967" s="239" t="s">
        <v>2511</v>
      </c>
      <c r="E967" s="239" t="s">
        <v>453</v>
      </c>
      <c r="F967" s="239" t="s">
        <v>454</v>
      </c>
      <c r="G967" s="239" t="s">
        <v>931</v>
      </c>
      <c r="H967" s="239" t="s">
        <v>51</v>
      </c>
      <c r="I967" s="239" t="s">
        <v>2512</v>
      </c>
      <c r="J967" s="234">
        <v>65180</v>
      </c>
      <c r="K967" s="234">
        <v>24450</v>
      </c>
      <c r="L967" s="242">
        <v>6</v>
      </c>
      <c r="M967" s="234">
        <v>40730</v>
      </c>
      <c r="N967" s="234">
        <v>38286.199999999997</v>
      </c>
      <c r="O967" s="243" t="s">
        <v>2843</v>
      </c>
      <c r="P967" s="236">
        <v>45941</v>
      </c>
    </row>
    <row r="968" spans="1:16" ht="51" customHeight="1">
      <c r="A968" s="239" t="s">
        <v>2783</v>
      </c>
      <c r="B968" s="240">
        <v>2297</v>
      </c>
      <c r="C968" s="241">
        <v>8086</v>
      </c>
      <c r="D968" s="239" t="s">
        <v>2511</v>
      </c>
      <c r="E968" s="239" t="s">
        <v>456</v>
      </c>
      <c r="F968" s="239" t="s">
        <v>457</v>
      </c>
      <c r="G968" s="239" t="s">
        <v>931</v>
      </c>
      <c r="H968" s="239" t="s">
        <v>51</v>
      </c>
      <c r="I968" s="239" t="s">
        <v>2512</v>
      </c>
      <c r="J968" s="234">
        <v>45260</v>
      </c>
      <c r="K968" s="234">
        <v>15650</v>
      </c>
      <c r="L968" s="242">
        <v>7</v>
      </c>
      <c r="M968" s="234">
        <v>29610</v>
      </c>
      <c r="N968" s="234">
        <v>27537.3</v>
      </c>
      <c r="O968" s="243" t="s">
        <v>2844</v>
      </c>
      <c r="P968" s="236">
        <v>45941</v>
      </c>
    </row>
    <row r="969" spans="1:16" ht="51" customHeight="1">
      <c r="A969" s="239" t="s">
        <v>2786</v>
      </c>
      <c r="B969" s="240">
        <v>2299</v>
      </c>
      <c r="C969" s="241">
        <v>4</v>
      </c>
      <c r="D969" s="239" t="s">
        <v>2482</v>
      </c>
      <c r="E969" s="239" t="s">
        <v>384</v>
      </c>
      <c r="F969" s="239" t="s">
        <v>385</v>
      </c>
      <c r="G969" s="239" t="s">
        <v>960</v>
      </c>
      <c r="H969" s="239" t="s">
        <v>51</v>
      </c>
      <c r="I969" s="239" t="s">
        <v>2465</v>
      </c>
      <c r="J969" s="234">
        <v>36750</v>
      </c>
      <c r="K969" s="234">
        <v>13990</v>
      </c>
      <c r="L969" s="242">
        <v>7</v>
      </c>
      <c r="M969" s="234">
        <v>22760</v>
      </c>
      <c r="N969" s="234">
        <v>21166.799999999999</v>
      </c>
      <c r="O969" s="243" t="s">
        <v>2847</v>
      </c>
      <c r="P969" s="236">
        <v>45941</v>
      </c>
    </row>
    <row r="970" spans="1:16" ht="51" customHeight="1">
      <c r="A970" s="239" t="s">
        <v>2787</v>
      </c>
      <c r="B970" s="240">
        <v>2298</v>
      </c>
      <c r="C970" s="241">
        <v>2</v>
      </c>
      <c r="D970" s="239" t="s">
        <v>2482</v>
      </c>
      <c r="E970" s="239" t="s">
        <v>406</v>
      </c>
      <c r="F970" s="239" t="s">
        <v>407</v>
      </c>
      <c r="G970" s="239" t="s">
        <v>960</v>
      </c>
      <c r="H970" s="239" t="s">
        <v>51</v>
      </c>
      <c r="I970" s="239" t="s">
        <v>2465</v>
      </c>
      <c r="J970" s="234">
        <v>39250</v>
      </c>
      <c r="K970" s="234">
        <v>15020</v>
      </c>
      <c r="L970" s="242">
        <v>9</v>
      </c>
      <c r="M970" s="234">
        <v>24230</v>
      </c>
      <c r="N970" s="234">
        <v>22049.3</v>
      </c>
      <c r="O970" s="243" t="s">
        <v>2848</v>
      </c>
      <c r="P970" s="236">
        <v>45941</v>
      </c>
    </row>
    <row r="971" spans="1:16" ht="51" customHeight="1">
      <c r="A971" s="239" t="s">
        <v>2788</v>
      </c>
      <c r="B971" s="240">
        <v>2300</v>
      </c>
      <c r="C971" s="241">
        <v>3</v>
      </c>
      <c r="D971" s="239" t="s">
        <v>2482</v>
      </c>
      <c r="E971" s="239" t="s">
        <v>410</v>
      </c>
      <c r="F971" s="239" t="s">
        <v>411</v>
      </c>
      <c r="G971" s="239" t="s">
        <v>960</v>
      </c>
      <c r="H971" s="239" t="s">
        <v>51</v>
      </c>
      <c r="I971" s="239" t="s">
        <v>2465</v>
      </c>
      <c r="J971" s="234">
        <v>40230</v>
      </c>
      <c r="K971" s="234">
        <v>15230</v>
      </c>
      <c r="L971" s="242">
        <v>8</v>
      </c>
      <c r="M971" s="234">
        <v>25000</v>
      </c>
      <c r="N971" s="234">
        <v>23000</v>
      </c>
      <c r="O971" s="243" t="s">
        <v>2849</v>
      </c>
      <c r="P971" s="236">
        <v>45941</v>
      </c>
    </row>
    <row r="972" spans="1:16" ht="51" customHeight="1">
      <c r="A972" s="239" t="s">
        <v>2779</v>
      </c>
      <c r="B972" s="240">
        <v>2301</v>
      </c>
      <c r="C972" s="241">
        <v>8093</v>
      </c>
      <c r="D972" s="239" t="s">
        <v>2511</v>
      </c>
      <c r="E972" s="239" t="s">
        <v>374</v>
      </c>
      <c r="F972" s="239" t="s">
        <v>375</v>
      </c>
      <c r="G972" s="239" t="s">
        <v>931</v>
      </c>
      <c r="H972" s="239" t="s">
        <v>51</v>
      </c>
      <c r="I972" s="239" t="s">
        <v>2512</v>
      </c>
      <c r="J972" s="234">
        <v>40130</v>
      </c>
      <c r="K972" s="234">
        <v>15580</v>
      </c>
      <c r="L972" s="242">
        <v>8</v>
      </c>
      <c r="M972" s="234">
        <v>24550</v>
      </c>
      <c r="N972" s="234">
        <v>22586</v>
      </c>
      <c r="O972" s="243" t="s">
        <v>2840</v>
      </c>
      <c r="P972" s="236">
        <v>45941</v>
      </c>
    </row>
    <row r="973" spans="1:16" ht="51" customHeight="1">
      <c r="A973" s="239" t="s">
        <v>2780</v>
      </c>
      <c r="B973" s="240">
        <v>2302</v>
      </c>
      <c r="C973" s="241">
        <v>1</v>
      </c>
      <c r="D973" s="239" t="s">
        <v>2482</v>
      </c>
      <c r="E973" s="239" t="s">
        <v>372</v>
      </c>
      <c r="F973" s="239" t="s">
        <v>373</v>
      </c>
      <c r="G973" s="239" t="s">
        <v>960</v>
      </c>
      <c r="H973" s="239" t="s">
        <v>51</v>
      </c>
      <c r="I973" s="239" t="s">
        <v>2465</v>
      </c>
      <c r="J973" s="234">
        <v>38700</v>
      </c>
      <c r="K973" s="234">
        <v>15120</v>
      </c>
      <c r="L973" s="242">
        <v>7</v>
      </c>
      <c r="M973" s="234">
        <v>23580</v>
      </c>
      <c r="N973" s="234">
        <v>21929.4</v>
      </c>
      <c r="O973" s="243" t="s">
        <v>2841</v>
      </c>
      <c r="P973" s="236">
        <v>45941</v>
      </c>
    </row>
    <row r="974" spans="1:16" ht="51" customHeight="1">
      <c r="A974" s="239" t="s">
        <v>2790</v>
      </c>
      <c r="B974" s="240">
        <v>2313</v>
      </c>
      <c r="C974" s="241">
        <v>7</v>
      </c>
      <c r="D974" s="239" t="s">
        <v>2482</v>
      </c>
      <c r="E974" s="239" t="s">
        <v>858</v>
      </c>
      <c r="F974" s="239" t="s">
        <v>859</v>
      </c>
      <c r="G974" s="239"/>
      <c r="H974" s="239" t="s">
        <v>51</v>
      </c>
      <c r="I974" s="239" t="s">
        <v>2465</v>
      </c>
      <c r="J974" s="234">
        <v>21960</v>
      </c>
      <c r="K974" s="234">
        <v>14840</v>
      </c>
      <c r="L974" s="242">
        <v>21</v>
      </c>
      <c r="M974" s="234">
        <v>7120</v>
      </c>
      <c r="N974" s="234">
        <v>5624.8</v>
      </c>
      <c r="O974" s="243" t="s">
        <v>2851</v>
      </c>
      <c r="P974" s="236">
        <v>45942</v>
      </c>
    </row>
    <row r="975" spans="1:16" ht="51" customHeight="1">
      <c r="A975" s="239" t="s">
        <v>2784</v>
      </c>
      <c r="B975" s="240">
        <v>2305</v>
      </c>
      <c r="C975" s="241">
        <v>3</v>
      </c>
      <c r="D975" s="239" t="s">
        <v>2482</v>
      </c>
      <c r="E975" s="239" t="s">
        <v>2053</v>
      </c>
      <c r="F975" s="239" t="s">
        <v>2054</v>
      </c>
      <c r="G975" s="239" t="s">
        <v>960</v>
      </c>
      <c r="H975" s="239" t="s">
        <v>51</v>
      </c>
      <c r="I975" s="239" t="s">
        <v>2465</v>
      </c>
      <c r="J975" s="234">
        <v>31230</v>
      </c>
      <c r="K975" s="234">
        <v>14400</v>
      </c>
      <c r="L975" s="242">
        <v>7</v>
      </c>
      <c r="M975" s="234">
        <v>16830</v>
      </c>
      <c r="N975" s="234">
        <v>15651.9</v>
      </c>
      <c r="O975" s="243" t="s">
        <v>2845</v>
      </c>
      <c r="P975" s="236">
        <v>45941</v>
      </c>
    </row>
    <row r="976" spans="1:16" ht="51" customHeight="1">
      <c r="A976" s="239" t="s">
        <v>2785</v>
      </c>
      <c r="B976" s="240">
        <v>2306</v>
      </c>
      <c r="C976" s="241">
        <v>2</v>
      </c>
      <c r="D976" s="239" t="s">
        <v>2482</v>
      </c>
      <c r="E976" s="239" t="s">
        <v>1978</v>
      </c>
      <c r="F976" s="239" t="s">
        <v>1979</v>
      </c>
      <c r="G976" s="239" t="s">
        <v>960</v>
      </c>
      <c r="H976" s="239" t="s">
        <v>51</v>
      </c>
      <c r="I976" s="239" t="s">
        <v>2465</v>
      </c>
      <c r="J976" s="234">
        <v>19190</v>
      </c>
      <c r="K976" s="234">
        <v>9570</v>
      </c>
      <c r="L976" s="242">
        <v>10</v>
      </c>
      <c r="M976" s="234">
        <v>9620</v>
      </c>
      <c r="N976" s="234">
        <v>8658</v>
      </c>
      <c r="O976" s="243" t="s">
        <v>2846</v>
      </c>
      <c r="P976" s="236">
        <v>45941</v>
      </c>
    </row>
    <row r="977" spans="1:16" ht="51" customHeight="1">
      <c r="A977" s="239" t="s">
        <v>2789</v>
      </c>
      <c r="B977" s="240">
        <v>2307</v>
      </c>
      <c r="C977" s="241">
        <v>8091</v>
      </c>
      <c r="D977" s="239" t="s">
        <v>2511</v>
      </c>
      <c r="E977" s="239" t="s">
        <v>403</v>
      </c>
      <c r="F977" s="239" t="s">
        <v>404</v>
      </c>
      <c r="G977" s="239" t="s">
        <v>931</v>
      </c>
      <c r="H977" s="239" t="s">
        <v>51</v>
      </c>
      <c r="I977" s="239" t="s">
        <v>2512</v>
      </c>
      <c r="J977" s="234">
        <v>38350</v>
      </c>
      <c r="K977" s="234">
        <v>14520</v>
      </c>
      <c r="L977" s="242">
        <v>14</v>
      </c>
      <c r="M977" s="234">
        <v>23830</v>
      </c>
      <c r="N977" s="234">
        <v>20493.8</v>
      </c>
      <c r="O977" s="243" t="s">
        <v>2850</v>
      </c>
      <c r="P977" s="236">
        <v>45941</v>
      </c>
    </row>
    <row r="978" spans="1:16" ht="51" customHeight="1">
      <c r="A978" s="239" t="s">
        <v>2791</v>
      </c>
      <c r="B978" s="240">
        <v>2309</v>
      </c>
      <c r="C978" s="241">
        <v>9444</v>
      </c>
      <c r="D978" s="239" t="s">
        <v>2511</v>
      </c>
      <c r="E978" s="239" t="s">
        <v>425</v>
      </c>
      <c r="F978" s="239" t="s">
        <v>426</v>
      </c>
      <c r="G978" s="239" t="s">
        <v>931</v>
      </c>
      <c r="H978" s="239" t="s">
        <v>51</v>
      </c>
      <c r="I978" s="239" t="s">
        <v>2512</v>
      </c>
      <c r="J978" s="234">
        <v>50600</v>
      </c>
      <c r="K978" s="234">
        <v>18710</v>
      </c>
      <c r="L978" s="242">
        <v>12</v>
      </c>
      <c r="M978" s="234">
        <v>31890</v>
      </c>
      <c r="N978" s="234">
        <v>28063.200000000001</v>
      </c>
      <c r="O978" s="243" t="s">
        <v>2852</v>
      </c>
      <c r="P978" s="236">
        <v>45942</v>
      </c>
    </row>
    <row r="979" spans="1:16" ht="51" customHeight="1">
      <c r="A979" s="239" t="s">
        <v>2792</v>
      </c>
      <c r="B979" s="240">
        <v>2312</v>
      </c>
      <c r="C979" s="241">
        <v>9445</v>
      </c>
      <c r="D979" s="239" t="s">
        <v>2511</v>
      </c>
      <c r="E979" s="239" t="s">
        <v>2793</v>
      </c>
      <c r="F979" s="239" t="s">
        <v>2794</v>
      </c>
      <c r="G979" s="239" t="s">
        <v>931</v>
      </c>
      <c r="H979" s="239" t="s">
        <v>51</v>
      </c>
      <c r="I979" s="239" t="s">
        <v>2512</v>
      </c>
      <c r="J979" s="234">
        <v>47990</v>
      </c>
      <c r="K979" s="234">
        <v>17490</v>
      </c>
      <c r="L979" s="242">
        <v>7</v>
      </c>
      <c r="M979" s="234">
        <v>30500</v>
      </c>
      <c r="N979" s="234">
        <v>28365</v>
      </c>
      <c r="O979" s="243" t="s">
        <v>2853</v>
      </c>
      <c r="P979" s="236">
        <v>45942</v>
      </c>
    </row>
    <row r="980" spans="1:16" ht="51" customHeight="1">
      <c r="A980" s="239" t="s">
        <v>2781</v>
      </c>
      <c r="B980" s="240">
        <v>2303</v>
      </c>
      <c r="C980" s="241">
        <v>9430</v>
      </c>
      <c r="D980" s="239" t="s">
        <v>2511</v>
      </c>
      <c r="E980" s="239" t="s">
        <v>794</v>
      </c>
      <c r="F980" s="239" t="s">
        <v>795</v>
      </c>
      <c r="G980" s="239" t="s">
        <v>931</v>
      </c>
      <c r="H980" s="239" t="s">
        <v>51</v>
      </c>
      <c r="I980" s="239" t="s">
        <v>2512</v>
      </c>
      <c r="J980" s="234">
        <v>42180</v>
      </c>
      <c r="K980" s="234">
        <v>16000</v>
      </c>
      <c r="L980" s="242">
        <v>6</v>
      </c>
      <c r="M980" s="234">
        <v>26180</v>
      </c>
      <c r="N980" s="234">
        <v>24609.200000000001</v>
      </c>
      <c r="O980" s="243" t="s">
        <v>2842</v>
      </c>
      <c r="P980" s="236">
        <v>45941</v>
      </c>
    </row>
    <row r="981" spans="1:16" ht="51" customHeight="1">
      <c r="A981" s="239" t="s">
        <v>2795</v>
      </c>
      <c r="B981" s="240">
        <v>2315</v>
      </c>
      <c r="C981" s="241">
        <v>9449</v>
      </c>
      <c r="D981" s="239" t="s">
        <v>2511</v>
      </c>
      <c r="E981" s="239" t="s">
        <v>390</v>
      </c>
      <c r="F981" s="239" t="s">
        <v>391</v>
      </c>
      <c r="G981" s="239" t="s">
        <v>931</v>
      </c>
      <c r="H981" s="239" t="s">
        <v>51</v>
      </c>
      <c r="I981" s="239" t="s">
        <v>2512</v>
      </c>
      <c r="J981" s="234">
        <v>41170</v>
      </c>
      <c r="K981" s="234">
        <v>15030</v>
      </c>
      <c r="L981" s="242">
        <v>8</v>
      </c>
      <c r="M981" s="234">
        <v>26140</v>
      </c>
      <c r="N981" s="234">
        <v>24048.799999999999</v>
      </c>
      <c r="O981" s="243" t="s">
        <v>2854</v>
      </c>
      <c r="P981" s="236">
        <v>45942</v>
      </c>
    </row>
    <row r="982" spans="1:16" ht="51" customHeight="1">
      <c r="A982" s="239" t="s">
        <v>2796</v>
      </c>
      <c r="B982" s="240">
        <v>2314</v>
      </c>
      <c r="C982" s="241">
        <v>9450</v>
      </c>
      <c r="D982" s="239" t="s">
        <v>2511</v>
      </c>
      <c r="E982" s="239" t="s">
        <v>392</v>
      </c>
      <c r="F982" s="239" t="s">
        <v>393</v>
      </c>
      <c r="G982" s="239" t="s">
        <v>931</v>
      </c>
      <c r="H982" s="239" t="s">
        <v>51</v>
      </c>
      <c r="I982" s="239" t="s">
        <v>2512</v>
      </c>
      <c r="J982" s="234">
        <v>64080</v>
      </c>
      <c r="K982" s="234">
        <v>24130</v>
      </c>
      <c r="L982" s="242">
        <v>10</v>
      </c>
      <c r="M982" s="234">
        <v>39950</v>
      </c>
      <c r="N982" s="234">
        <v>35955</v>
      </c>
      <c r="O982" s="243" t="s">
        <v>2855</v>
      </c>
      <c r="P982" s="236">
        <v>45942</v>
      </c>
    </row>
    <row r="983" spans="1:16" ht="51" customHeight="1">
      <c r="A983" s="239" t="s">
        <v>2797</v>
      </c>
      <c r="B983" s="240">
        <v>2317</v>
      </c>
      <c r="C983" s="241">
        <v>9453</v>
      </c>
      <c r="D983" s="239" t="s">
        <v>2511</v>
      </c>
      <c r="E983" s="239" t="s">
        <v>400</v>
      </c>
      <c r="F983" s="239" t="s">
        <v>401</v>
      </c>
      <c r="G983" s="239" t="s">
        <v>931</v>
      </c>
      <c r="H983" s="239" t="s">
        <v>51</v>
      </c>
      <c r="I983" s="239" t="s">
        <v>2512</v>
      </c>
      <c r="J983" s="234">
        <v>39390</v>
      </c>
      <c r="K983" s="234">
        <v>14780</v>
      </c>
      <c r="L983" s="242">
        <v>16</v>
      </c>
      <c r="M983" s="234">
        <v>24610</v>
      </c>
      <c r="N983" s="234">
        <v>20672.400000000001</v>
      </c>
      <c r="O983" s="243" t="s">
        <v>2856</v>
      </c>
      <c r="P983" s="236">
        <v>45942</v>
      </c>
    </row>
    <row r="984" spans="1:16" ht="51" customHeight="1">
      <c r="A984" s="239" t="s">
        <v>2798</v>
      </c>
      <c r="B984" s="240">
        <v>2318</v>
      </c>
      <c r="C984" s="241">
        <v>9455</v>
      </c>
      <c r="D984" s="239" t="s">
        <v>2511</v>
      </c>
      <c r="E984" s="239" t="s">
        <v>382</v>
      </c>
      <c r="F984" s="239" t="s">
        <v>383</v>
      </c>
      <c r="G984" s="239" t="s">
        <v>931</v>
      </c>
      <c r="H984" s="239" t="s">
        <v>51</v>
      </c>
      <c r="I984" s="239" t="s">
        <v>2512</v>
      </c>
      <c r="J984" s="234">
        <v>37380</v>
      </c>
      <c r="K984" s="234">
        <v>14610</v>
      </c>
      <c r="L984" s="242">
        <v>13</v>
      </c>
      <c r="M984" s="234">
        <v>22770</v>
      </c>
      <c r="N984" s="234">
        <v>19809.900000000001</v>
      </c>
      <c r="O984" s="243" t="s">
        <v>2857</v>
      </c>
      <c r="P984" s="236">
        <v>45942</v>
      </c>
    </row>
    <row r="985" spans="1:16" ht="51" customHeight="1">
      <c r="A985" s="239" t="s">
        <v>2799</v>
      </c>
      <c r="B985" s="240">
        <v>2320</v>
      </c>
      <c r="C985" s="241">
        <v>9459</v>
      </c>
      <c r="D985" s="239" t="s">
        <v>2511</v>
      </c>
      <c r="E985" s="239" t="s">
        <v>783</v>
      </c>
      <c r="F985" s="239" t="s">
        <v>784</v>
      </c>
      <c r="G985" s="239" t="s">
        <v>931</v>
      </c>
      <c r="H985" s="239" t="s">
        <v>51</v>
      </c>
      <c r="I985" s="239" t="s">
        <v>2512</v>
      </c>
      <c r="J985" s="234">
        <v>38580</v>
      </c>
      <c r="K985" s="234">
        <v>14490</v>
      </c>
      <c r="L985" s="242">
        <v>12</v>
      </c>
      <c r="M985" s="234">
        <v>24090</v>
      </c>
      <c r="N985" s="234">
        <v>21199.200000000001</v>
      </c>
      <c r="O985" s="243" t="s">
        <v>2858</v>
      </c>
      <c r="P985" s="236">
        <v>45942</v>
      </c>
    </row>
    <row r="986" spans="1:16" ht="51" customHeight="1">
      <c r="A986" s="239" t="s">
        <v>2800</v>
      </c>
      <c r="B986" s="240">
        <v>2321</v>
      </c>
      <c r="C986" s="241">
        <v>9462</v>
      </c>
      <c r="D986" s="239" t="s">
        <v>2511</v>
      </c>
      <c r="E986" s="239" t="s">
        <v>1305</v>
      </c>
      <c r="F986" s="239" t="s">
        <v>1306</v>
      </c>
      <c r="G986" s="239" t="s">
        <v>931</v>
      </c>
      <c r="H986" s="239" t="s">
        <v>51</v>
      </c>
      <c r="I986" s="239" t="s">
        <v>2512</v>
      </c>
      <c r="J986" s="234">
        <v>35980</v>
      </c>
      <c r="K986" s="234">
        <v>14780</v>
      </c>
      <c r="L986" s="242">
        <v>7</v>
      </c>
      <c r="M986" s="234">
        <v>21200</v>
      </c>
      <c r="N986" s="234">
        <v>19716</v>
      </c>
      <c r="O986" s="243" t="s">
        <v>2859</v>
      </c>
      <c r="P986" s="236">
        <v>45942</v>
      </c>
    </row>
    <row r="987" spans="1:16" ht="51" customHeight="1">
      <c r="A987" s="239" t="s">
        <v>2801</v>
      </c>
      <c r="B987" s="240">
        <v>2323</v>
      </c>
      <c r="C987" s="241">
        <v>9410</v>
      </c>
      <c r="D987" s="239" t="s">
        <v>2511</v>
      </c>
      <c r="E987" s="239" t="s">
        <v>786</v>
      </c>
      <c r="F987" s="239" t="s">
        <v>787</v>
      </c>
      <c r="G987" s="239" t="s">
        <v>931</v>
      </c>
      <c r="H987" s="239" t="s">
        <v>51</v>
      </c>
      <c r="I987" s="239" t="s">
        <v>2512</v>
      </c>
      <c r="J987" s="234">
        <v>35870</v>
      </c>
      <c r="K987" s="234">
        <v>13850</v>
      </c>
      <c r="L987" s="242">
        <v>9</v>
      </c>
      <c r="M987" s="234">
        <v>22020</v>
      </c>
      <c r="N987" s="234">
        <v>20038.2</v>
      </c>
      <c r="O987" s="243" t="s">
        <v>2860</v>
      </c>
      <c r="P987" s="236">
        <v>45942</v>
      </c>
    </row>
    <row r="988" spans="1:16" ht="51" customHeight="1">
      <c r="A988" s="239" t="s">
        <v>2802</v>
      </c>
      <c r="B988" s="240">
        <v>2326</v>
      </c>
      <c r="C988" s="241">
        <v>9411</v>
      </c>
      <c r="D988" s="239" t="s">
        <v>2511</v>
      </c>
      <c r="E988" s="239" t="s">
        <v>780</v>
      </c>
      <c r="F988" s="239" t="s">
        <v>781</v>
      </c>
      <c r="G988" s="239" t="s">
        <v>931</v>
      </c>
      <c r="H988" s="239" t="s">
        <v>51</v>
      </c>
      <c r="I988" s="239" t="s">
        <v>2512</v>
      </c>
      <c r="J988" s="234">
        <v>37320</v>
      </c>
      <c r="K988" s="234">
        <v>14940</v>
      </c>
      <c r="L988" s="242">
        <v>10</v>
      </c>
      <c r="M988" s="234">
        <v>22380</v>
      </c>
      <c r="N988" s="234">
        <v>20142</v>
      </c>
      <c r="O988" s="243" t="s">
        <v>2861</v>
      </c>
      <c r="P988" s="236">
        <v>45942</v>
      </c>
    </row>
    <row r="989" spans="1:16" ht="51" customHeight="1">
      <c r="A989" s="239" t="s">
        <v>2804</v>
      </c>
      <c r="B989" s="240">
        <v>2327</v>
      </c>
      <c r="C989" s="241">
        <v>9412</v>
      </c>
      <c r="D989" s="239" t="s">
        <v>2511</v>
      </c>
      <c r="E989" s="239" t="s">
        <v>442</v>
      </c>
      <c r="F989" s="239" t="s">
        <v>443</v>
      </c>
      <c r="G989" s="239" t="s">
        <v>931</v>
      </c>
      <c r="H989" s="239" t="s">
        <v>51</v>
      </c>
      <c r="I989" s="239" t="s">
        <v>2512</v>
      </c>
      <c r="J989" s="234">
        <v>35520</v>
      </c>
      <c r="K989" s="234">
        <v>14470</v>
      </c>
      <c r="L989" s="242">
        <v>10</v>
      </c>
      <c r="M989" s="234">
        <v>21050</v>
      </c>
      <c r="N989" s="234">
        <v>18945</v>
      </c>
      <c r="O989" s="243" t="s">
        <v>2863</v>
      </c>
      <c r="P989" s="236">
        <v>45942</v>
      </c>
    </row>
    <row r="990" spans="1:16" ht="51" customHeight="1">
      <c r="A990" s="239" t="s">
        <v>2805</v>
      </c>
      <c r="B990" s="240">
        <v>2328</v>
      </c>
      <c r="C990" s="241">
        <v>9413</v>
      </c>
      <c r="D990" s="239" t="s">
        <v>2511</v>
      </c>
      <c r="E990" s="239" t="s">
        <v>841</v>
      </c>
      <c r="F990" s="239" t="s">
        <v>845</v>
      </c>
      <c r="G990" s="239" t="s">
        <v>931</v>
      </c>
      <c r="H990" s="239" t="s">
        <v>51</v>
      </c>
      <c r="I990" s="239" t="s">
        <v>2512</v>
      </c>
      <c r="J990" s="234">
        <v>42540</v>
      </c>
      <c r="K990" s="234">
        <v>15940</v>
      </c>
      <c r="L990" s="242">
        <v>8</v>
      </c>
      <c r="M990" s="234">
        <v>26600</v>
      </c>
      <c r="N990" s="234">
        <v>24472</v>
      </c>
      <c r="O990" s="243" t="s">
        <v>2864</v>
      </c>
      <c r="P990" s="236">
        <v>45942</v>
      </c>
    </row>
    <row r="991" spans="1:16" ht="51" customHeight="1">
      <c r="A991" s="239" t="s">
        <v>2806</v>
      </c>
      <c r="B991" s="240">
        <v>2333</v>
      </c>
      <c r="C991" s="241">
        <v>9416</v>
      </c>
      <c r="D991" s="239" t="s">
        <v>2511</v>
      </c>
      <c r="E991" s="239" t="s">
        <v>1403</v>
      </c>
      <c r="F991" s="239" t="s">
        <v>1404</v>
      </c>
      <c r="G991" s="239" t="s">
        <v>931</v>
      </c>
      <c r="H991" s="239" t="s">
        <v>51</v>
      </c>
      <c r="I991" s="239" t="s">
        <v>2512</v>
      </c>
      <c r="J991" s="234">
        <v>38860</v>
      </c>
      <c r="K991" s="234">
        <v>14960</v>
      </c>
      <c r="L991" s="242">
        <v>7</v>
      </c>
      <c r="M991" s="234">
        <v>23900</v>
      </c>
      <c r="N991" s="234">
        <v>22227</v>
      </c>
      <c r="O991" s="243" t="s">
        <v>2865</v>
      </c>
      <c r="P991" s="236">
        <v>45942</v>
      </c>
    </row>
    <row r="992" spans="1:16" ht="51" customHeight="1">
      <c r="A992" s="239" t="s">
        <v>2803</v>
      </c>
      <c r="B992" s="240">
        <v>2334</v>
      </c>
      <c r="C992" s="241">
        <v>9417</v>
      </c>
      <c r="D992" s="239" t="s">
        <v>2511</v>
      </c>
      <c r="E992" s="239" t="s">
        <v>1400</v>
      </c>
      <c r="F992" s="239" t="s">
        <v>1401</v>
      </c>
      <c r="G992" s="239" t="s">
        <v>931</v>
      </c>
      <c r="H992" s="239" t="s">
        <v>51</v>
      </c>
      <c r="I992" s="239" t="s">
        <v>2512</v>
      </c>
      <c r="J992" s="234">
        <v>36170</v>
      </c>
      <c r="K992" s="234">
        <v>14740</v>
      </c>
      <c r="L992" s="242">
        <v>6</v>
      </c>
      <c r="M992" s="234">
        <v>21430</v>
      </c>
      <c r="N992" s="234">
        <v>20144.2</v>
      </c>
      <c r="O992" s="243" t="s">
        <v>2862</v>
      </c>
      <c r="P992" s="236">
        <v>45942</v>
      </c>
    </row>
    <row r="993" spans="1:16" ht="51" customHeight="1">
      <c r="A993" s="239" t="s">
        <v>2809</v>
      </c>
      <c r="B993" s="240">
        <v>2335</v>
      </c>
      <c r="C993" s="241">
        <v>9415</v>
      </c>
      <c r="D993" s="239" t="s">
        <v>2511</v>
      </c>
      <c r="E993" s="239" t="s">
        <v>1397</v>
      </c>
      <c r="F993" s="239" t="s">
        <v>1398</v>
      </c>
      <c r="G993" s="239" t="s">
        <v>931</v>
      </c>
      <c r="H993" s="239" t="s">
        <v>51</v>
      </c>
      <c r="I993" s="239" t="s">
        <v>2512</v>
      </c>
      <c r="J993" s="234">
        <v>43410</v>
      </c>
      <c r="K993" s="234">
        <v>17080</v>
      </c>
      <c r="L993" s="242">
        <v>6</v>
      </c>
      <c r="M993" s="234">
        <v>26330</v>
      </c>
      <c r="N993" s="234">
        <v>24750.2</v>
      </c>
      <c r="O993" s="243" t="s">
        <v>2868</v>
      </c>
      <c r="P993" s="236">
        <v>45942</v>
      </c>
    </row>
    <row r="994" spans="1:16" ht="51" customHeight="1">
      <c r="A994" s="239" t="s">
        <v>2810</v>
      </c>
      <c r="B994" s="240">
        <v>2336</v>
      </c>
      <c r="C994" s="241">
        <v>9419</v>
      </c>
      <c r="D994" s="239" t="s">
        <v>2511</v>
      </c>
      <c r="E994" s="239" t="s">
        <v>791</v>
      </c>
      <c r="F994" s="239" t="s">
        <v>792</v>
      </c>
      <c r="G994" s="239" t="s">
        <v>931</v>
      </c>
      <c r="H994" s="239" t="s">
        <v>51</v>
      </c>
      <c r="I994" s="239" t="s">
        <v>2512</v>
      </c>
      <c r="J994" s="234">
        <v>40210</v>
      </c>
      <c r="K994" s="234">
        <v>14880</v>
      </c>
      <c r="L994" s="242">
        <v>4</v>
      </c>
      <c r="M994" s="234">
        <v>25330</v>
      </c>
      <c r="N994" s="234">
        <v>24316.799999999999</v>
      </c>
      <c r="O994" s="243" t="s">
        <v>2869</v>
      </c>
      <c r="P994" s="236">
        <v>45942</v>
      </c>
    </row>
    <row r="995" spans="1:16" ht="51" customHeight="1">
      <c r="A995" s="239" t="s">
        <v>2812</v>
      </c>
      <c r="B995" s="240">
        <v>2338</v>
      </c>
      <c r="C995" s="241">
        <v>9470</v>
      </c>
      <c r="D995" s="239" t="s">
        <v>2511</v>
      </c>
      <c r="E995" s="239" t="s">
        <v>413</v>
      </c>
      <c r="F995" s="239" t="s">
        <v>414</v>
      </c>
      <c r="G995" s="239" t="s">
        <v>931</v>
      </c>
      <c r="H995" s="239" t="s">
        <v>51</v>
      </c>
      <c r="I995" s="239" t="s">
        <v>2512</v>
      </c>
      <c r="J995" s="234">
        <v>42970</v>
      </c>
      <c r="K995" s="234">
        <v>14970</v>
      </c>
      <c r="L995" s="242">
        <v>7</v>
      </c>
      <c r="M995" s="234">
        <v>28000</v>
      </c>
      <c r="N995" s="234">
        <v>26040</v>
      </c>
      <c r="O995" s="243" t="s">
        <v>2871</v>
      </c>
      <c r="P995" s="236">
        <v>45942</v>
      </c>
    </row>
    <row r="996" spans="1:16" ht="51" customHeight="1">
      <c r="A996" s="239" t="s">
        <v>2813</v>
      </c>
      <c r="B996" s="240">
        <v>2341</v>
      </c>
      <c r="C996" s="241">
        <v>8041</v>
      </c>
      <c r="D996" s="239" t="s">
        <v>2511</v>
      </c>
      <c r="E996" s="239" t="s">
        <v>429</v>
      </c>
      <c r="F996" s="239" t="s">
        <v>430</v>
      </c>
      <c r="G996" s="239" t="s">
        <v>931</v>
      </c>
      <c r="H996" s="239" t="s">
        <v>51</v>
      </c>
      <c r="I996" s="239" t="s">
        <v>2512</v>
      </c>
      <c r="J996" s="234">
        <v>39970</v>
      </c>
      <c r="K996" s="234">
        <v>14400</v>
      </c>
      <c r="L996" s="242">
        <v>12</v>
      </c>
      <c r="M996" s="234">
        <v>25570</v>
      </c>
      <c r="N996" s="234">
        <v>22501.599999999999</v>
      </c>
      <c r="O996" s="243" t="s">
        <v>2872</v>
      </c>
      <c r="P996" s="236">
        <v>45942</v>
      </c>
    </row>
    <row r="997" spans="1:16" ht="51" customHeight="1">
      <c r="A997" s="239" t="s">
        <v>2807</v>
      </c>
      <c r="B997" s="240">
        <v>2342</v>
      </c>
      <c r="C997" s="241">
        <v>9476</v>
      </c>
      <c r="D997" s="239" t="s">
        <v>2511</v>
      </c>
      <c r="E997" s="239" t="s">
        <v>380</v>
      </c>
      <c r="F997" s="239" t="s">
        <v>381</v>
      </c>
      <c r="G997" s="239" t="s">
        <v>931</v>
      </c>
      <c r="H997" s="239" t="s">
        <v>51</v>
      </c>
      <c r="I997" s="239" t="s">
        <v>2512</v>
      </c>
      <c r="J997" s="234">
        <v>39290</v>
      </c>
      <c r="K997" s="234">
        <v>15100</v>
      </c>
      <c r="L997" s="242">
        <v>12</v>
      </c>
      <c r="M997" s="234">
        <v>24190</v>
      </c>
      <c r="N997" s="234">
        <v>21287.200000000001</v>
      </c>
      <c r="O997" s="243" t="s">
        <v>2866</v>
      </c>
      <c r="P997" s="236">
        <v>45942</v>
      </c>
    </row>
    <row r="998" spans="1:16" ht="51" customHeight="1">
      <c r="A998" s="239" t="s">
        <v>2808</v>
      </c>
      <c r="B998" s="240">
        <v>2343</v>
      </c>
      <c r="C998" s="241">
        <v>9504</v>
      </c>
      <c r="D998" s="239" t="s">
        <v>2511</v>
      </c>
      <c r="E998" s="239" t="s">
        <v>462</v>
      </c>
      <c r="F998" s="239" t="s">
        <v>463</v>
      </c>
      <c r="G998" s="239" t="s">
        <v>931</v>
      </c>
      <c r="H998" s="239" t="s">
        <v>51</v>
      </c>
      <c r="I998" s="239" t="s">
        <v>2512</v>
      </c>
      <c r="J998" s="234">
        <v>39920</v>
      </c>
      <c r="K998" s="234">
        <v>16350</v>
      </c>
      <c r="L998" s="242">
        <v>7</v>
      </c>
      <c r="M998" s="234">
        <v>23570</v>
      </c>
      <c r="N998" s="234">
        <v>21920.1</v>
      </c>
      <c r="O998" s="243" t="s">
        <v>2867</v>
      </c>
      <c r="P998" s="236">
        <v>45942</v>
      </c>
    </row>
    <row r="999" spans="1:16" ht="51" customHeight="1">
      <c r="A999" s="239" t="s">
        <v>2811</v>
      </c>
      <c r="B999" s="240">
        <v>2344</v>
      </c>
      <c r="C999" s="241">
        <v>9505</v>
      </c>
      <c r="D999" s="239" t="s">
        <v>2511</v>
      </c>
      <c r="E999" s="239" t="s">
        <v>794</v>
      </c>
      <c r="F999" s="239" t="s">
        <v>795</v>
      </c>
      <c r="G999" s="239" t="s">
        <v>931</v>
      </c>
      <c r="H999" s="239" t="s">
        <v>51</v>
      </c>
      <c r="I999" s="239" t="s">
        <v>2512</v>
      </c>
      <c r="J999" s="234">
        <v>42460</v>
      </c>
      <c r="K999" s="234">
        <v>16030</v>
      </c>
      <c r="L999" s="242">
        <v>7</v>
      </c>
      <c r="M999" s="234">
        <v>26430</v>
      </c>
      <c r="N999" s="234">
        <v>24579.9</v>
      </c>
      <c r="O999" s="243" t="s">
        <v>2870</v>
      </c>
      <c r="P999" s="236">
        <v>45942</v>
      </c>
    </row>
    <row r="1000" spans="1:16" ht="51" customHeight="1">
      <c r="A1000" s="239" t="s">
        <v>2814</v>
      </c>
      <c r="B1000" s="240">
        <v>2346</v>
      </c>
      <c r="C1000" s="241">
        <v>9506</v>
      </c>
      <c r="D1000" s="239" t="s">
        <v>2511</v>
      </c>
      <c r="E1000" s="239" t="s">
        <v>472</v>
      </c>
      <c r="F1000" s="239" t="s">
        <v>473</v>
      </c>
      <c r="G1000" s="239" t="s">
        <v>931</v>
      </c>
      <c r="H1000" s="239" t="s">
        <v>51</v>
      </c>
      <c r="I1000" s="239" t="s">
        <v>2512</v>
      </c>
      <c r="J1000" s="234">
        <v>40740</v>
      </c>
      <c r="K1000" s="234">
        <v>16450</v>
      </c>
      <c r="L1000" s="242">
        <v>7</v>
      </c>
      <c r="M1000" s="234">
        <v>24290</v>
      </c>
      <c r="N1000" s="234">
        <v>22589.7</v>
      </c>
      <c r="O1000" s="243" t="s">
        <v>2873</v>
      </c>
      <c r="P1000" s="236">
        <v>45943</v>
      </c>
    </row>
    <row r="1001" spans="1:16" ht="51" customHeight="1">
      <c r="A1001" s="239" t="s">
        <v>2815</v>
      </c>
      <c r="B1001" s="240">
        <v>2347</v>
      </c>
      <c r="C1001" s="241">
        <v>9507</v>
      </c>
      <c r="D1001" s="239" t="s">
        <v>2511</v>
      </c>
      <c r="E1001" s="239" t="s">
        <v>475</v>
      </c>
      <c r="F1001" s="239" t="s">
        <v>476</v>
      </c>
      <c r="G1001" s="239" t="s">
        <v>931</v>
      </c>
      <c r="H1001" s="239" t="s">
        <v>51</v>
      </c>
      <c r="I1001" s="239" t="s">
        <v>2512</v>
      </c>
      <c r="J1001" s="234">
        <v>40490</v>
      </c>
      <c r="K1001" s="234">
        <v>16400</v>
      </c>
      <c r="L1001" s="242">
        <v>9</v>
      </c>
      <c r="M1001" s="234">
        <v>24090</v>
      </c>
      <c r="N1001" s="234">
        <v>21921.9</v>
      </c>
      <c r="O1001" s="243" t="s">
        <v>2874</v>
      </c>
      <c r="P1001" s="236">
        <v>45943</v>
      </c>
    </row>
    <row r="1002" spans="1:16" ht="51" customHeight="1">
      <c r="A1002" s="239" t="s">
        <v>2816</v>
      </c>
      <c r="B1002" s="240">
        <v>2348</v>
      </c>
      <c r="C1002" s="241">
        <v>9559</v>
      </c>
      <c r="D1002" s="239" t="s">
        <v>2511</v>
      </c>
      <c r="E1002" s="239" t="s">
        <v>841</v>
      </c>
      <c r="F1002" s="239" t="s">
        <v>845</v>
      </c>
      <c r="G1002" s="239" t="s">
        <v>932</v>
      </c>
      <c r="H1002" s="239" t="s">
        <v>51</v>
      </c>
      <c r="I1002" s="239" t="s">
        <v>2512</v>
      </c>
      <c r="J1002" s="234">
        <v>37520</v>
      </c>
      <c r="K1002" s="234">
        <v>15680</v>
      </c>
      <c r="L1002" s="242">
        <v>16</v>
      </c>
      <c r="M1002" s="234">
        <v>21840</v>
      </c>
      <c r="N1002" s="234">
        <v>18345.599999999999</v>
      </c>
      <c r="O1002" s="243" t="s">
        <v>2875</v>
      </c>
      <c r="P1002" s="236">
        <v>45943</v>
      </c>
    </row>
    <row r="1003" spans="1:16" ht="51" customHeight="1">
      <c r="A1003" s="239" t="s">
        <v>2878</v>
      </c>
      <c r="B1003" s="240">
        <v>2350</v>
      </c>
      <c r="C1003" s="241">
        <v>1</v>
      </c>
      <c r="D1003" s="239" t="s">
        <v>2482</v>
      </c>
      <c r="E1003" s="239" t="s">
        <v>1305</v>
      </c>
      <c r="F1003" s="239" t="s">
        <v>1306</v>
      </c>
      <c r="G1003" s="239" t="s">
        <v>960</v>
      </c>
      <c r="H1003" s="239" t="s">
        <v>51</v>
      </c>
      <c r="I1003" s="239" t="s">
        <v>2465</v>
      </c>
      <c r="J1003" s="234">
        <v>35650</v>
      </c>
      <c r="K1003" s="234">
        <v>14740</v>
      </c>
      <c r="L1003" s="242">
        <v>29</v>
      </c>
      <c r="M1003" s="234">
        <v>20910</v>
      </c>
      <c r="N1003" s="234">
        <v>14846.1</v>
      </c>
      <c r="O1003" s="243" t="s">
        <v>2879</v>
      </c>
      <c r="P1003" s="236">
        <v>45943</v>
      </c>
    </row>
    <row r="1004" spans="1:16" ht="51" customHeight="1">
      <c r="A1004" s="239" t="s">
        <v>2880</v>
      </c>
      <c r="B1004" s="240">
        <v>2351</v>
      </c>
      <c r="C1004" s="241">
        <v>1</v>
      </c>
      <c r="D1004" s="239" t="s">
        <v>2881</v>
      </c>
      <c r="E1004" s="239" t="s">
        <v>439</v>
      </c>
      <c r="F1004" s="239" t="s">
        <v>440</v>
      </c>
      <c r="G1004" s="239" t="s">
        <v>949</v>
      </c>
      <c r="H1004" s="239" t="s">
        <v>51</v>
      </c>
      <c r="I1004" s="239" t="s">
        <v>2882</v>
      </c>
      <c r="J1004" s="234">
        <v>40030</v>
      </c>
      <c r="K1004" s="234">
        <v>15160</v>
      </c>
      <c r="L1004" s="242">
        <v>5</v>
      </c>
      <c r="M1004" s="234">
        <v>24870</v>
      </c>
      <c r="N1004" s="234">
        <v>23626.5</v>
      </c>
      <c r="O1004" s="243" t="s">
        <v>2885</v>
      </c>
      <c r="P1004" s="236">
        <v>45943</v>
      </c>
    </row>
    <row r="1005" spans="1:16" ht="51" customHeight="1">
      <c r="A1005" s="239" t="s">
        <v>2883</v>
      </c>
      <c r="B1005" s="240">
        <v>2353</v>
      </c>
      <c r="C1005" s="241">
        <v>2</v>
      </c>
      <c r="D1005" s="239" t="s">
        <v>2881</v>
      </c>
      <c r="E1005" s="239" t="s">
        <v>432</v>
      </c>
      <c r="F1005" s="239" t="s">
        <v>433</v>
      </c>
      <c r="G1005" s="239" t="s">
        <v>142</v>
      </c>
      <c r="H1005" s="239" t="s">
        <v>42</v>
      </c>
      <c r="I1005" s="239" t="s">
        <v>2882</v>
      </c>
      <c r="J1005" s="234">
        <v>41510</v>
      </c>
      <c r="K1005" s="234">
        <v>15790</v>
      </c>
      <c r="L1005" s="242">
        <v>5</v>
      </c>
      <c r="M1005" s="234">
        <v>25720</v>
      </c>
      <c r="N1005" s="234">
        <v>24434</v>
      </c>
      <c r="O1005" s="243" t="s">
        <v>2886</v>
      </c>
      <c r="P1005" s="236">
        <v>45943</v>
      </c>
    </row>
    <row r="1006" spans="1:16" ht="51" customHeight="1">
      <c r="A1006" s="239" t="s">
        <v>2884</v>
      </c>
      <c r="B1006" s="240">
        <v>2355</v>
      </c>
      <c r="C1006" s="241">
        <v>3</v>
      </c>
      <c r="D1006" s="239" t="s">
        <v>2881</v>
      </c>
      <c r="E1006" s="239" t="s">
        <v>1410</v>
      </c>
      <c r="F1006" s="239" t="s">
        <v>437</v>
      </c>
      <c r="G1006" s="239" t="s">
        <v>144</v>
      </c>
      <c r="H1006" s="239" t="s">
        <v>51</v>
      </c>
      <c r="I1006" s="239" t="s">
        <v>2882</v>
      </c>
      <c r="J1006" s="234">
        <v>39040</v>
      </c>
      <c r="K1006" s="234">
        <v>15070</v>
      </c>
      <c r="L1006" s="242">
        <v>5</v>
      </c>
      <c r="M1006" s="234">
        <v>23970</v>
      </c>
      <c r="N1006" s="234">
        <v>22771.5</v>
      </c>
      <c r="O1006" s="243" t="s">
        <v>2887</v>
      </c>
      <c r="P1006" s="236">
        <v>45943</v>
      </c>
    </row>
    <row r="1007" spans="1:16" ht="51" customHeight="1">
      <c r="A1007" s="239" t="s">
        <v>2889</v>
      </c>
      <c r="B1007" s="240">
        <v>2363</v>
      </c>
      <c r="C1007" s="241">
        <v>4</v>
      </c>
      <c r="D1007" s="239" t="s">
        <v>2881</v>
      </c>
      <c r="E1007" s="239" t="s">
        <v>384</v>
      </c>
      <c r="F1007" s="239" t="s">
        <v>385</v>
      </c>
      <c r="G1007" s="239" t="s">
        <v>142</v>
      </c>
      <c r="H1007" s="239" t="s">
        <v>42</v>
      </c>
      <c r="I1007" s="239" t="s">
        <v>2882</v>
      </c>
      <c r="J1007" s="234">
        <v>36500</v>
      </c>
      <c r="K1007" s="234">
        <v>13950</v>
      </c>
      <c r="L1007" s="242">
        <v>15</v>
      </c>
      <c r="M1007" s="234">
        <v>22550</v>
      </c>
      <c r="N1007" s="234">
        <v>19167.5</v>
      </c>
      <c r="O1007" s="243" t="s">
        <v>2897</v>
      </c>
      <c r="P1007" s="236">
        <v>45945</v>
      </c>
    </row>
    <row r="1008" spans="1:16" ht="51" customHeight="1">
      <c r="A1008" s="239" t="s">
        <v>2890</v>
      </c>
      <c r="B1008" s="240">
        <v>2364</v>
      </c>
      <c r="C1008" s="241">
        <v>5</v>
      </c>
      <c r="D1008" s="239" t="s">
        <v>2881</v>
      </c>
      <c r="E1008" s="239" t="s">
        <v>866</v>
      </c>
      <c r="F1008" s="239" t="s">
        <v>867</v>
      </c>
      <c r="G1008" s="239" t="s">
        <v>142</v>
      </c>
      <c r="H1008" s="239" t="s">
        <v>42</v>
      </c>
      <c r="I1008" s="239" t="s">
        <v>2882</v>
      </c>
      <c r="J1008" s="234">
        <v>39090</v>
      </c>
      <c r="K1008" s="234">
        <v>14640</v>
      </c>
      <c r="L1008" s="242">
        <v>12</v>
      </c>
      <c r="M1008" s="234">
        <v>24450</v>
      </c>
      <c r="N1008" s="234">
        <v>21516</v>
      </c>
      <c r="O1008" s="243" t="s">
        <v>2898</v>
      </c>
      <c r="P1008" s="236">
        <v>45945</v>
      </c>
    </row>
    <row r="1009" spans="1:16" ht="51" customHeight="1">
      <c r="A1009" s="239" t="s">
        <v>2891</v>
      </c>
      <c r="B1009" s="240">
        <v>2365</v>
      </c>
      <c r="C1009" s="241">
        <v>6</v>
      </c>
      <c r="D1009" s="239" t="s">
        <v>2881</v>
      </c>
      <c r="E1009" s="239" t="s">
        <v>369</v>
      </c>
      <c r="F1009" s="239" t="s">
        <v>370</v>
      </c>
      <c r="G1009" s="239" t="s">
        <v>142</v>
      </c>
      <c r="H1009" s="239" t="s">
        <v>42</v>
      </c>
      <c r="I1009" s="239" t="s">
        <v>2882</v>
      </c>
      <c r="J1009" s="234">
        <v>38780</v>
      </c>
      <c r="K1009" s="234">
        <v>15250</v>
      </c>
      <c r="L1009" s="242">
        <v>9</v>
      </c>
      <c r="M1009" s="234">
        <v>23530</v>
      </c>
      <c r="N1009" s="234">
        <v>21412.3</v>
      </c>
      <c r="O1009" s="243" t="s">
        <v>2899</v>
      </c>
      <c r="P1009" s="236">
        <v>45945</v>
      </c>
    </row>
    <row r="1010" spans="1:16" ht="51" customHeight="1">
      <c r="A1010" s="239" t="s">
        <v>2892</v>
      </c>
      <c r="B1010" s="240">
        <v>2366</v>
      </c>
      <c r="C1010" s="241">
        <v>7</v>
      </c>
      <c r="D1010" s="239" t="s">
        <v>2881</v>
      </c>
      <c r="E1010" s="239" t="s">
        <v>380</v>
      </c>
      <c r="F1010" s="239" t="s">
        <v>381</v>
      </c>
      <c r="G1010" s="239" t="s">
        <v>142</v>
      </c>
      <c r="H1010" s="239" t="s">
        <v>42</v>
      </c>
      <c r="I1010" s="239" t="s">
        <v>2882</v>
      </c>
      <c r="J1010" s="234">
        <v>41350</v>
      </c>
      <c r="K1010" s="234">
        <v>15190</v>
      </c>
      <c r="L1010" s="242">
        <v>6</v>
      </c>
      <c r="M1010" s="234">
        <v>26160</v>
      </c>
      <c r="N1010" s="234">
        <v>24590.400000000001</v>
      </c>
      <c r="O1010" s="243" t="s">
        <v>2900</v>
      </c>
      <c r="P1010" s="236">
        <v>45945</v>
      </c>
    </row>
    <row r="1011" spans="1:16" ht="51" customHeight="1">
      <c r="A1011" s="239" t="s">
        <v>2893</v>
      </c>
      <c r="B1011" s="240">
        <v>2367</v>
      </c>
      <c r="C1011" s="241">
        <v>8</v>
      </c>
      <c r="D1011" s="239" t="s">
        <v>2881</v>
      </c>
      <c r="E1011" s="239" t="s">
        <v>374</v>
      </c>
      <c r="F1011" s="239" t="s">
        <v>375</v>
      </c>
      <c r="G1011" s="239" t="s">
        <v>142</v>
      </c>
      <c r="H1011" s="239" t="s">
        <v>42</v>
      </c>
      <c r="I1011" s="239" t="s">
        <v>2882</v>
      </c>
      <c r="J1011" s="234">
        <v>41760</v>
      </c>
      <c r="K1011" s="234">
        <v>15730</v>
      </c>
      <c r="L1011" s="242">
        <v>13</v>
      </c>
      <c r="M1011" s="234">
        <v>26030</v>
      </c>
      <c r="N1011" s="234">
        <v>22646.1</v>
      </c>
      <c r="O1011" s="243" t="s">
        <v>2901</v>
      </c>
      <c r="P1011" s="236">
        <v>45946</v>
      </c>
    </row>
    <row r="1012" spans="1:16" ht="51" customHeight="1">
      <c r="A1012" s="239" t="s">
        <v>2894</v>
      </c>
      <c r="B1012" s="240">
        <v>2368</v>
      </c>
      <c r="C1012" s="241">
        <v>9</v>
      </c>
      <c r="D1012" s="239" t="s">
        <v>2881</v>
      </c>
      <c r="E1012" s="239" t="s">
        <v>858</v>
      </c>
      <c r="F1012" s="239" t="s">
        <v>859</v>
      </c>
      <c r="G1012" s="239" t="s">
        <v>142</v>
      </c>
      <c r="H1012" s="239" t="s">
        <v>42</v>
      </c>
      <c r="I1012" s="239" t="s">
        <v>2882</v>
      </c>
      <c r="J1012" s="234">
        <v>42560</v>
      </c>
      <c r="K1012" s="234">
        <v>14950</v>
      </c>
      <c r="L1012" s="242">
        <v>8</v>
      </c>
      <c r="M1012" s="234">
        <v>27610</v>
      </c>
      <c r="N1012" s="234">
        <v>25401.200000000001</v>
      </c>
      <c r="O1012" s="243" t="s">
        <v>2902</v>
      </c>
      <c r="P1012" s="236">
        <v>45946</v>
      </c>
    </row>
    <row r="1013" spans="1:16" ht="51" customHeight="1">
      <c r="A1013" s="239" t="s">
        <v>2895</v>
      </c>
      <c r="B1013" s="240">
        <v>2369</v>
      </c>
      <c r="C1013" s="241">
        <v>10</v>
      </c>
      <c r="D1013" s="239" t="s">
        <v>2881</v>
      </c>
      <c r="E1013" s="239" t="s">
        <v>1305</v>
      </c>
      <c r="F1013" s="239" t="s">
        <v>1306</v>
      </c>
      <c r="G1013" s="239" t="s">
        <v>142</v>
      </c>
      <c r="H1013" s="239" t="s">
        <v>42</v>
      </c>
      <c r="I1013" s="239" t="s">
        <v>2882</v>
      </c>
      <c r="J1013" s="234">
        <v>38420</v>
      </c>
      <c r="K1013" s="234">
        <v>14800</v>
      </c>
      <c r="L1013" s="242">
        <v>17</v>
      </c>
      <c r="M1013" s="234">
        <v>23620</v>
      </c>
      <c r="N1013" s="234">
        <v>19604.599999999999</v>
      </c>
      <c r="O1013" s="243" t="s">
        <v>2903</v>
      </c>
      <c r="P1013" s="236">
        <v>45946</v>
      </c>
    </row>
    <row r="1014" spans="1:16" ht="51" customHeight="1">
      <c r="A1014" s="239" t="s">
        <v>2896</v>
      </c>
      <c r="B1014" s="240">
        <v>2370</v>
      </c>
      <c r="C1014" s="241">
        <v>11</v>
      </c>
      <c r="D1014" s="239" t="s">
        <v>2881</v>
      </c>
      <c r="E1014" s="239" t="s">
        <v>372</v>
      </c>
      <c r="F1014" s="239" t="s">
        <v>373</v>
      </c>
      <c r="G1014" s="239" t="s">
        <v>142</v>
      </c>
      <c r="H1014" s="239" t="s">
        <v>42</v>
      </c>
      <c r="I1014" s="239" t="s">
        <v>2882</v>
      </c>
      <c r="J1014" s="234">
        <v>40190</v>
      </c>
      <c r="K1014" s="234">
        <v>15040</v>
      </c>
      <c r="L1014" s="242">
        <v>10</v>
      </c>
      <c r="M1014" s="234">
        <v>25150</v>
      </c>
      <c r="N1014" s="234">
        <v>22635</v>
      </c>
      <c r="O1014" s="243" t="s">
        <v>2904</v>
      </c>
      <c r="P1014" s="236">
        <v>45946</v>
      </c>
    </row>
    <row r="1015" spans="1:16" ht="51" customHeight="1">
      <c r="A1015" s="239" t="s">
        <v>3822</v>
      </c>
      <c r="B1015" s="240">
        <v>2371</v>
      </c>
      <c r="C1015" s="241">
        <v>12</v>
      </c>
      <c r="D1015" s="239" t="s">
        <v>2881</v>
      </c>
      <c r="E1015" s="239" t="s">
        <v>377</v>
      </c>
      <c r="F1015" s="239" t="s">
        <v>378</v>
      </c>
      <c r="G1015" s="239" t="s">
        <v>142</v>
      </c>
      <c r="H1015" s="239" t="s">
        <v>42</v>
      </c>
      <c r="I1015" s="239" t="s">
        <v>2882</v>
      </c>
      <c r="J1015" s="234">
        <v>43730</v>
      </c>
      <c r="K1015" s="234">
        <v>15240</v>
      </c>
      <c r="L1015" s="242">
        <v>9</v>
      </c>
      <c r="M1015" s="234">
        <v>28490</v>
      </c>
      <c r="N1015" s="234">
        <v>25925.9</v>
      </c>
      <c r="O1015" s="243" t="s">
        <v>2906</v>
      </c>
      <c r="P1015" s="236">
        <v>45946</v>
      </c>
    </row>
    <row r="1016" spans="1:16" ht="51" customHeight="1">
      <c r="A1016" s="239" t="s">
        <v>2909</v>
      </c>
      <c r="B1016" s="240">
        <v>2372</v>
      </c>
      <c r="C1016" s="241">
        <v>13</v>
      </c>
      <c r="D1016" s="239" t="s">
        <v>2881</v>
      </c>
      <c r="E1016" s="239" t="s">
        <v>410</v>
      </c>
      <c r="F1016" s="239" t="s">
        <v>411</v>
      </c>
      <c r="G1016" s="239" t="s">
        <v>142</v>
      </c>
      <c r="H1016" s="239" t="s">
        <v>42</v>
      </c>
      <c r="I1016" s="239" t="s">
        <v>2882</v>
      </c>
      <c r="J1016" s="234">
        <v>40790</v>
      </c>
      <c r="K1016" s="234">
        <v>15300</v>
      </c>
      <c r="L1016" s="242">
        <v>13</v>
      </c>
      <c r="M1016" s="234">
        <v>25490</v>
      </c>
      <c r="N1016" s="234">
        <v>22176.3</v>
      </c>
      <c r="O1016" s="243" t="s">
        <v>3823</v>
      </c>
      <c r="P1016" s="236">
        <v>45946</v>
      </c>
    </row>
    <row r="1017" spans="1:16" ht="51" customHeight="1">
      <c r="A1017" s="239" t="s">
        <v>2908</v>
      </c>
      <c r="B1017" s="240">
        <v>2373</v>
      </c>
      <c r="C1017" s="241">
        <v>14</v>
      </c>
      <c r="D1017" s="239" t="s">
        <v>2881</v>
      </c>
      <c r="E1017" s="239" t="s">
        <v>400</v>
      </c>
      <c r="F1017" s="239" t="s">
        <v>401</v>
      </c>
      <c r="G1017" s="239" t="s">
        <v>142</v>
      </c>
      <c r="H1017" s="239" t="s">
        <v>42</v>
      </c>
      <c r="I1017" s="239" t="s">
        <v>2882</v>
      </c>
      <c r="J1017" s="234">
        <v>39590</v>
      </c>
      <c r="K1017" s="234">
        <v>14910</v>
      </c>
      <c r="L1017" s="242">
        <v>16</v>
      </c>
      <c r="M1017" s="234">
        <v>24680</v>
      </c>
      <c r="N1017" s="234">
        <v>20731.2</v>
      </c>
      <c r="O1017" s="243" t="s">
        <v>3824</v>
      </c>
      <c r="P1017" s="236">
        <v>45946</v>
      </c>
    </row>
    <row r="1018" spans="1:16" ht="51" customHeight="1">
      <c r="A1018" s="239" t="s">
        <v>2914</v>
      </c>
      <c r="B1018" s="240">
        <v>2378</v>
      </c>
      <c r="C1018" s="241">
        <v>15</v>
      </c>
      <c r="D1018" s="239" t="s">
        <v>2881</v>
      </c>
      <c r="E1018" s="239" t="s">
        <v>425</v>
      </c>
      <c r="F1018" s="239" t="s">
        <v>426</v>
      </c>
      <c r="G1018" s="239" t="s">
        <v>142</v>
      </c>
      <c r="H1018" s="239" t="s">
        <v>42</v>
      </c>
      <c r="I1018" s="239" t="s">
        <v>2882</v>
      </c>
      <c r="J1018" s="234">
        <v>50820</v>
      </c>
      <c r="K1018" s="234">
        <v>18920</v>
      </c>
      <c r="L1018" s="242">
        <v>12</v>
      </c>
      <c r="M1018" s="234">
        <v>31900</v>
      </c>
      <c r="N1018" s="234">
        <v>28072</v>
      </c>
      <c r="O1018" s="243" t="s">
        <v>2915</v>
      </c>
      <c r="P1018" s="236">
        <v>45946</v>
      </c>
    </row>
    <row r="1019" spans="1:16" ht="51" customHeight="1">
      <c r="A1019" s="239" t="s">
        <v>2918</v>
      </c>
      <c r="B1019" s="240">
        <v>2380</v>
      </c>
      <c r="C1019" s="241">
        <v>16</v>
      </c>
      <c r="D1019" s="239" t="s">
        <v>2881</v>
      </c>
      <c r="E1019" s="239" t="s">
        <v>2793</v>
      </c>
      <c r="F1019" s="239" t="s">
        <v>2794</v>
      </c>
      <c r="G1019" s="239" t="s">
        <v>142</v>
      </c>
      <c r="H1019" s="239" t="s">
        <v>42</v>
      </c>
      <c r="I1019" s="239" t="s">
        <v>2882</v>
      </c>
      <c r="J1019" s="234">
        <v>49390</v>
      </c>
      <c r="K1019" s="234">
        <v>17650</v>
      </c>
      <c r="L1019" s="242">
        <v>13</v>
      </c>
      <c r="M1019" s="234">
        <v>31740</v>
      </c>
      <c r="N1019" s="234">
        <v>27613.8</v>
      </c>
      <c r="O1019" s="243" t="s">
        <v>2931</v>
      </c>
      <c r="P1019" s="236">
        <v>45946</v>
      </c>
    </row>
    <row r="1020" spans="1:16" ht="51" customHeight="1">
      <c r="A1020" s="239" t="s">
        <v>2919</v>
      </c>
      <c r="B1020" s="240">
        <v>2385</v>
      </c>
      <c r="C1020" s="241">
        <v>17</v>
      </c>
      <c r="D1020" s="239" t="s">
        <v>2881</v>
      </c>
      <c r="E1020" s="239" t="s">
        <v>388</v>
      </c>
      <c r="F1020" s="239" t="s">
        <v>389</v>
      </c>
      <c r="G1020" s="239" t="s">
        <v>142</v>
      </c>
      <c r="H1020" s="239" t="s">
        <v>42</v>
      </c>
      <c r="I1020" s="239" t="s">
        <v>2882</v>
      </c>
      <c r="J1020" s="234">
        <v>63670</v>
      </c>
      <c r="K1020" s="234">
        <v>21410</v>
      </c>
      <c r="L1020" s="242">
        <v>10</v>
      </c>
      <c r="M1020" s="234">
        <v>42260</v>
      </c>
      <c r="N1020" s="234">
        <v>38034</v>
      </c>
      <c r="O1020" s="243" t="s">
        <v>2932</v>
      </c>
      <c r="P1020" s="236">
        <v>45946</v>
      </c>
    </row>
    <row r="1021" spans="1:16" ht="51" customHeight="1">
      <c r="A1021" s="239" t="s">
        <v>2920</v>
      </c>
      <c r="B1021" s="240">
        <v>2387</v>
      </c>
      <c r="C1021" s="241">
        <v>18</v>
      </c>
      <c r="D1021" s="239" t="s">
        <v>2881</v>
      </c>
      <c r="E1021" s="239" t="s">
        <v>416</v>
      </c>
      <c r="F1021" s="239" t="s">
        <v>417</v>
      </c>
      <c r="G1021" s="239" t="s">
        <v>142</v>
      </c>
      <c r="H1021" s="239" t="s">
        <v>42</v>
      </c>
      <c r="I1021" s="239" t="s">
        <v>2882</v>
      </c>
      <c r="J1021" s="234">
        <v>40550</v>
      </c>
      <c r="K1021" s="234">
        <v>14940</v>
      </c>
      <c r="L1021" s="242">
        <v>13</v>
      </c>
      <c r="M1021" s="234">
        <v>25610</v>
      </c>
      <c r="N1021" s="234">
        <v>22280.7</v>
      </c>
      <c r="O1021" s="243" t="s">
        <v>2933</v>
      </c>
      <c r="P1021" s="236">
        <v>45946</v>
      </c>
    </row>
    <row r="1022" spans="1:16" ht="51" customHeight="1">
      <c r="A1022" s="239" t="s">
        <v>2921</v>
      </c>
      <c r="B1022" s="240">
        <v>2388</v>
      </c>
      <c r="C1022" s="241">
        <v>20</v>
      </c>
      <c r="D1022" s="239" t="s">
        <v>2881</v>
      </c>
      <c r="E1022" s="239" t="s">
        <v>420</v>
      </c>
      <c r="F1022" s="239" t="s">
        <v>421</v>
      </c>
      <c r="G1022" s="239" t="s">
        <v>142</v>
      </c>
      <c r="H1022" s="239" t="s">
        <v>42</v>
      </c>
      <c r="I1022" s="239" t="s">
        <v>2882</v>
      </c>
      <c r="J1022" s="234">
        <v>35970</v>
      </c>
      <c r="K1022" s="234">
        <v>15110</v>
      </c>
      <c r="L1022" s="242">
        <v>15</v>
      </c>
      <c r="M1022" s="234">
        <v>20860</v>
      </c>
      <c r="N1022" s="234">
        <v>17731</v>
      </c>
      <c r="O1022" s="243" t="s">
        <v>2934</v>
      </c>
      <c r="P1022" s="236">
        <v>45946</v>
      </c>
    </row>
    <row r="1023" spans="1:16" ht="51" customHeight="1">
      <c r="A1023" s="239" t="s">
        <v>2922</v>
      </c>
      <c r="B1023" s="240">
        <v>2389</v>
      </c>
      <c r="C1023" s="241">
        <v>19</v>
      </c>
      <c r="D1023" s="239" t="s">
        <v>2881</v>
      </c>
      <c r="E1023" s="239" t="s">
        <v>456</v>
      </c>
      <c r="F1023" s="239" t="s">
        <v>457</v>
      </c>
      <c r="G1023" s="239" t="s">
        <v>142</v>
      </c>
      <c r="H1023" s="239" t="s">
        <v>42</v>
      </c>
      <c r="I1023" s="239" t="s">
        <v>2882</v>
      </c>
      <c r="J1023" s="234">
        <v>47070</v>
      </c>
      <c r="K1023" s="234">
        <v>15930</v>
      </c>
      <c r="L1023" s="242">
        <v>17</v>
      </c>
      <c r="M1023" s="234">
        <v>31140</v>
      </c>
      <c r="N1023" s="234">
        <v>25846.2</v>
      </c>
      <c r="O1023" s="243" t="s">
        <v>2935</v>
      </c>
      <c r="P1023" s="236">
        <v>45946</v>
      </c>
    </row>
    <row r="1024" spans="1:16" ht="51" customHeight="1">
      <c r="A1024" s="239" t="s">
        <v>2924</v>
      </c>
      <c r="B1024" s="240">
        <v>2390</v>
      </c>
      <c r="C1024" s="241">
        <v>22</v>
      </c>
      <c r="D1024" s="239" t="s">
        <v>2881</v>
      </c>
      <c r="E1024" s="239" t="s">
        <v>447</v>
      </c>
      <c r="F1024" s="239" t="s">
        <v>448</v>
      </c>
      <c r="G1024" s="239" t="s">
        <v>142</v>
      </c>
      <c r="H1024" s="239" t="s">
        <v>42</v>
      </c>
      <c r="I1024" s="239" t="s">
        <v>2882</v>
      </c>
      <c r="J1024" s="234">
        <v>53680</v>
      </c>
      <c r="K1024" s="234">
        <v>19660</v>
      </c>
      <c r="L1024" s="242">
        <v>17</v>
      </c>
      <c r="M1024" s="234">
        <v>34020</v>
      </c>
      <c r="N1024" s="234">
        <v>28236.6</v>
      </c>
      <c r="O1024" s="243" t="s">
        <v>2937</v>
      </c>
      <c r="P1024" s="236">
        <v>45946</v>
      </c>
    </row>
    <row r="1025" spans="1:16" ht="51" customHeight="1">
      <c r="A1025" s="239" t="s">
        <v>2928</v>
      </c>
      <c r="B1025" s="240">
        <v>2393</v>
      </c>
      <c r="C1025" s="241">
        <v>21</v>
      </c>
      <c r="D1025" s="239" t="s">
        <v>2881</v>
      </c>
      <c r="E1025" s="239" t="s">
        <v>453</v>
      </c>
      <c r="F1025" s="239" t="s">
        <v>454</v>
      </c>
      <c r="G1025" s="239" t="s">
        <v>142</v>
      </c>
      <c r="H1025" s="239" t="s">
        <v>42</v>
      </c>
      <c r="I1025" s="239" t="s">
        <v>2882</v>
      </c>
      <c r="J1025" s="234">
        <v>64850</v>
      </c>
      <c r="K1025" s="234">
        <v>24610</v>
      </c>
      <c r="L1025" s="242">
        <v>6</v>
      </c>
      <c r="M1025" s="234">
        <v>40240</v>
      </c>
      <c r="N1025" s="234">
        <v>37825.599999999999</v>
      </c>
      <c r="O1025" s="243" t="s">
        <v>2941</v>
      </c>
      <c r="P1025" s="236">
        <v>45946</v>
      </c>
    </row>
    <row r="1026" spans="1:16" ht="51" customHeight="1">
      <c r="A1026" s="239" t="s">
        <v>2930</v>
      </c>
      <c r="B1026" s="240">
        <v>2394</v>
      </c>
      <c r="C1026" s="241">
        <v>23</v>
      </c>
      <c r="D1026" s="239" t="s">
        <v>2881</v>
      </c>
      <c r="E1026" s="239" t="s">
        <v>392</v>
      </c>
      <c r="F1026" s="239" t="s">
        <v>393</v>
      </c>
      <c r="G1026" s="239" t="s">
        <v>142</v>
      </c>
      <c r="H1026" s="239" t="s">
        <v>42</v>
      </c>
      <c r="I1026" s="239" t="s">
        <v>2882</v>
      </c>
      <c r="J1026" s="234">
        <v>63210</v>
      </c>
      <c r="K1026" s="234">
        <v>24240</v>
      </c>
      <c r="L1026" s="242">
        <v>17</v>
      </c>
      <c r="M1026" s="234">
        <v>38970</v>
      </c>
      <c r="N1026" s="234">
        <v>32345.1</v>
      </c>
      <c r="O1026" s="243" t="s">
        <v>2943</v>
      </c>
      <c r="P1026" s="236">
        <v>45946</v>
      </c>
    </row>
    <row r="1027" spans="1:16" ht="51" customHeight="1">
      <c r="A1027" s="239" t="s">
        <v>2923</v>
      </c>
      <c r="B1027" s="240">
        <v>2395</v>
      </c>
      <c r="C1027" s="241">
        <v>25</v>
      </c>
      <c r="D1027" s="239" t="s">
        <v>2881</v>
      </c>
      <c r="E1027" s="239" t="s">
        <v>413</v>
      </c>
      <c r="F1027" s="239" t="s">
        <v>414</v>
      </c>
      <c r="G1027" s="239" t="s">
        <v>142</v>
      </c>
      <c r="H1027" s="239" t="s">
        <v>42</v>
      </c>
      <c r="I1027" s="239" t="s">
        <v>2882</v>
      </c>
      <c r="J1027" s="234">
        <v>43820</v>
      </c>
      <c r="K1027" s="234">
        <v>15240</v>
      </c>
      <c r="L1027" s="242">
        <v>6</v>
      </c>
      <c r="M1027" s="234">
        <v>28580</v>
      </c>
      <c r="N1027" s="234">
        <v>26865.200000000001</v>
      </c>
      <c r="O1027" s="243" t="s">
        <v>2936</v>
      </c>
      <c r="P1027" s="236">
        <v>45946</v>
      </c>
    </row>
    <row r="1028" spans="1:16" ht="51" customHeight="1">
      <c r="A1028" s="239" t="s">
        <v>2925</v>
      </c>
      <c r="B1028" s="240">
        <v>2396</v>
      </c>
      <c r="C1028" s="241">
        <v>24</v>
      </c>
      <c r="D1028" s="239" t="s">
        <v>2881</v>
      </c>
      <c r="E1028" s="239" t="s">
        <v>390</v>
      </c>
      <c r="F1028" s="239" t="s">
        <v>391</v>
      </c>
      <c r="G1028" s="239" t="s">
        <v>142</v>
      </c>
      <c r="H1028" s="239" t="s">
        <v>42</v>
      </c>
      <c r="I1028" s="239" t="s">
        <v>2882</v>
      </c>
      <c r="J1028" s="234">
        <v>39450</v>
      </c>
      <c r="K1028" s="234">
        <v>15180</v>
      </c>
      <c r="L1028" s="242">
        <v>10</v>
      </c>
      <c r="M1028" s="234">
        <v>24270</v>
      </c>
      <c r="N1028" s="234">
        <v>21843</v>
      </c>
      <c r="O1028" s="243" t="s">
        <v>2938</v>
      </c>
      <c r="P1028" s="236">
        <v>45946</v>
      </c>
    </row>
    <row r="1029" spans="1:16" ht="51" customHeight="1">
      <c r="A1029" s="239" t="s">
        <v>2926</v>
      </c>
      <c r="B1029" s="240">
        <v>2398</v>
      </c>
      <c r="C1029" s="241">
        <v>27</v>
      </c>
      <c r="D1029" s="239" t="s">
        <v>2881</v>
      </c>
      <c r="E1029" s="239" t="s">
        <v>429</v>
      </c>
      <c r="F1029" s="239" t="s">
        <v>430</v>
      </c>
      <c r="G1029" s="239" t="s">
        <v>142</v>
      </c>
      <c r="H1029" s="239" t="s">
        <v>42</v>
      </c>
      <c r="I1029" s="239" t="s">
        <v>2882</v>
      </c>
      <c r="J1029" s="234">
        <v>42810</v>
      </c>
      <c r="K1029" s="234">
        <v>14600</v>
      </c>
      <c r="L1029" s="242">
        <v>12</v>
      </c>
      <c r="M1029" s="234">
        <v>28210</v>
      </c>
      <c r="N1029" s="234">
        <v>24824.799999999999</v>
      </c>
      <c r="O1029" s="243" t="s">
        <v>2939</v>
      </c>
      <c r="P1029" s="236">
        <v>45946</v>
      </c>
    </row>
    <row r="1030" spans="1:16" ht="51" customHeight="1">
      <c r="A1030" s="239" t="s">
        <v>2927</v>
      </c>
      <c r="B1030" s="240">
        <v>2399</v>
      </c>
      <c r="C1030" s="241">
        <v>26</v>
      </c>
      <c r="D1030" s="239" t="s">
        <v>2881</v>
      </c>
      <c r="E1030" s="239" t="s">
        <v>1410</v>
      </c>
      <c r="F1030" s="239" t="s">
        <v>437</v>
      </c>
      <c r="G1030" s="239" t="s">
        <v>142</v>
      </c>
      <c r="H1030" s="239" t="s">
        <v>42</v>
      </c>
      <c r="I1030" s="239" t="s">
        <v>2882</v>
      </c>
      <c r="J1030" s="234">
        <v>42560</v>
      </c>
      <c r="K1030" s="234">
        <v>15130</v>
      </c>
      <c r="L1030" s="242">
        <v>9</v>
      </c>
      <c r="M1030" s="234">
        <v>27430</v>
      </c>
      <c r="N1030" s="234">
        <v>24961.3</v>
      </c>
      <c r="O1030" s="243" t="s">
        <v>2940</v>
      </c>
      <c r="P1030" s="236">
        <v>45946</v>
      </c>
    </row>
    <row r="1031" spans="1:16" ht="51" customHeight="1">
      <c r="A1031" s="239" t="s">
        <v>2929</v>
      </c>
      <c r="B1031" s="240">
        <v>2401</v>
      </c>
      <c r="C1031" s="241">
        <v>28</v>
      </c>
      <c r="D1031" s="239" t="s">
        <v>2881</v>
      </c>
      <c r="E1031" s="239" t="s">
        <v>439</v>
      </c>
      <c r="F1031" s="239" t="s">
        <v>440</v>
      </c>
      <c r="G1031" s="239" t="s">
        <v>142</v>
      </c>
      <c r="H1031" s="239" t="s">
        <v>42</v>
      </c>
      <c r="I1031" s="239" t="s">
        <v>2882</v>
      </c>
      <c r="J1031" s="234">
        <v>43310</v>
      </c>
      <c r="K1031" s="234">
        <v>15310</v>
      </c>
      <c r="L1031" s="242">
        <v>12</v>
      </c>
      <c r="M1031" s="234">
        <v>28000</v>
      </c>
      <c r="N1031" s="234">
        <v>24640</v>
      </c>
      <c r="O1031" s="243" t="s">
        <v>2942</v>
      </c>
      <c r="P1031" s="236">
        <v>45946</v>
      </c>
    </row>
    <row r="1032" spans="1:16" ht="51" customHeight="1">
      <c r="A1032" s="239" t="s">
        <v>2946</v>
      </c>
      <c r="B1032" s="240">
        <v>2402</v>
      </c>
      <c r="C1032" s="241">
        <v>29</v>
      </c>
      <c r="D1032" s="239" t="s">
        <v>2881</v>
      </c>
      <c r="E1032" s="239" t="s">
        <v>382</v>
      </c>
      <c r="F1032" s="239" t="s">
        <v>383</v>
      </c>
      <c r="G1032" s="239" t="s">
        <v>142</v>
      </c>
      <c r="H1032" s="239" t="s">
        <v>42</v>
      </c>
      <c r="I1032" s="239" t="s">
        <v>2882</v>
      </c>
      <c r="J1032" s="234">
        <v>37530</v>
      </c>
      <c r="K1032" s="234">
        <v>14680</v>
      </c>
      <c r="L1032" s="242">
        <v>16</v>
      </c>
      <c r="M1032" s="234">
        <v>22850</v>
      </c>
      <c r="N1032" s="234">
        <v>19194</v>
      </c>
      <c r="O1032" s="243" t="s">
        <v>2950</v>
      </c>
      <c r="P1032" s="236">
        <v>45946</v>
      </c>
    </row>
    <row r="1033" spans="1:16" ht="51" customHeight="1">
      <c r="A1033" s="239" t="s">
        <v>2944</v>
      </c>
      <c r="B1033" s="240">
        <v>2403</v>
      </c>
      <c r="C1033" s="241">
        <v>30</v>
      </c>
      <c r="D1033" s="239" t="s">
        <v>2881</v>
      </c>
      <c r="E1033" s="239" t="s">
        <v>384</v>
      </c>
      <c r="F1033" s="239" t="s">
        <v>385</v>
      </c>
      <c r="G1033" s="239" t="s">
        <v>142</v>
      </c>
      <c r="H1033" s="239" t="s">
        <v>42</v>
      </c>
      <c r="I1033" s="239" t="s">
        <v>2882</v>
      </c>
      <c r="J1033" s="234">
        <v>36800</v>
      </c>
      <c r="K1033" s="234">
        <v>13980</v>
      </c>
      <c r="L1033" s="242">
        <v>17</v>
      </c>
      <c r="M1033" s="234">
        <v>22820</v>
      </c>
      <c r="N1033" s="234">
        <v>18940.599999999999</v>
      </c>
      <c r="O1033" s="243" t="s">
        <v>2948</v>
      </c>
      <c r="P1033" s="236">
        <v>45946</v>
      </c>
    </row>
    <row r="1034" spans="1:16" ht="51" customHeight="1">
      <c r="A1034" s="239" t="s">
        <v>2945</v>
      </c>
      <c r="B1034" s="240">
        <v>2405</v>
      </c>
      <c r="C1034" s="241">
        <v>31</v>
      </c>
      <c r="D1034" s="239" t="s">
        <v>2881</v>
      </c>
      <c r="E1034" s="239" t="s">
        <v>410</v>
      </c>
      <c r="F1034" s="239" t="s">
        <v>411</v>
      </c>
      <c r="G1034" s="239" t="s">
        <v>142</v>
      </c>
      <c r="H1034" s="239" t="s">
        <v>42</v>
      </c>
      <c r="I1034" s="239" t="s">
        <v>2882</v>
      </c>
      <c r="J1034" s="234">
        <v>37870</v>
      </c>
      <c r="K1034" s="234">
        <v>15230</v>
      </c>
      <c r="L1034" s="242">
        <v>14</v>
      </c>
      <c r="M1034" s="234">
        <v>22640</v>
      </c>
      <c r="N1034" s="234">
        <v>19470.400000000001</v>
      </c>
      <c r="O1034" s="243" t="s">
        <v>2949</v>
      </c>
      <c r="P1034" s="236">
        <v>45947</v>
      </c>
    </row>
    <row r="1035" spans="1:16" ht="51" customHeight="1">
      <c r="A1035" s="239" t="s">
        <v>2947</v>
      </c>
      <c r="B1035" s="240">
        <v>2406</v>
      </c>
      <c r="C1035" s="241">
        <v>32</v>
      </c>
      <c r="D1035" s="239" t="s">
        <v>2881</v>
      </c>
      <c r="E1035" s="239" t="s">
        <v>1305</v>
      </c>
      <c r="F1035" s="239" t="s">
        <v>1306</v>
      </c>
      <c r="G1035" s="239" t="s">
        <v>142</v>
      </c>
      <c r="H1035" s="239" t="s">
        <v>42</v>
      </c>
      <c r="I1035" s="239" t="s">
        <v>2882</v>
      </c>
      <c r="J1035" s="234">
        <v>37820</v>
      </c>
      <c r="K1035" s="234">
        <v>14860</v>
      </c>
      <c r="L1035" s="242">
        <v>9</v>
      </c>
      <c r="M1035" s="234">
        <v>22960</v>
      </c>
      <c r="N1035" s="234">
        <v>20893.599999999999</v>
      </c>
      <c r="O1035" s="243" t="s">
        <v>2951</v>
      </c>
      <c r="P1035" s="236">
        <v>45947</v>
      </c>
    </row>
    <row r="1036" spans="1:16" ht="51" customHeight="1">
      <c r="A1036" s="239" t="s">
        <v>2952</v>
      </c>
      <c r="B1036" s="240">
        <v>2407</v>
      </c>
      <c r="C1036" s="241">
        <v>33</v>
      </c>
      <c r="D1036" s="239" t="s">
        <v>2881</v>
      </c>
      <c r="E1036" s="239" t="s">
        <v>858</v>
      </c>
      <c r="F1036" s="239" t="s">
        <v>859</v>
      </c>
      <c r="G1036" s="239" t="s">
        <v>142</v>
      </c>
      <c r="H1036" s="239" t="s">
        <v>42</v>
      </c>
      <c r="I1036" s="239" t="s">
        <v>2882</v>
      </c>
      <c r="J1036" s="234">
        <v>41270</v>
      </c>
      <c r="K1036" s="234">
        <v>14850</v>
      </c>
      <c r="L1036" s="242">
        <v>15</v>
      </c>
      <c r="M1036" s="234">
        <v>26420</v>
      </c>
      <c r="N1036" s="234">
        <v>22457</v>
      </c>
      <c r="O1036" s="243" t="s">
        <v>2953</v>
      </c>
      <c r="P1036" s="236">
        <v>45947</v>
      </c>
    </row>
    <row r="1037" spans="1:16" ht="51" customHeight="1">
      <c r="A1037" s="239" t="s">
        <v>2998</v>
      </c>
      <c r="B1037" s="240">
        <v>2408</v>
      </c>
      <c r="C1037" s="241">
        <v>34</v>
      </c>
      <c r="D1037" s="239" t="s">
        <v>2881</v>
      </c>
      <c r="E1037" s="239" t="s">
        <v>403</v>
      </c>
      <c r="F1037" s="239" t="s">
        <v>404</v>
      </c>
      <c r="G1037" s="239" t="s">
        <v>142</v>
      </c>
      <c r="H1037" s="239" t="s">
        <v>42</v>
      </c>
      <c r="I1037" s="239" t="s">
        <v>2882</v>
      </c>
      <c r="J1037" s="234">
        <v>39310</v>
      </c>
      <c r="K1037" s="234">
        <v>14660</v>
      </c>
      <c r="L1037" s="242">
        <v>15</v>
      </c>
      <c r="M1037" s="234">
        <v>24650</v>
      </c>
      <c r="N1037" s="234">
        <v>20952.5</v>
      </c>
      <c r="O1037" s="243" t="s">
        <v>2999</v>
      </c>
      <c r="P1037" s="236">
        <v>45947</v>
      </c>
    </row>
    <row r="1038" spans="1:16" ht="51" customHeight="1">
      <c r="A1038" s="239" t="s">
        <v>2954</v>
      </c>
      <c r="B1038" s="240">
        <v>2409</v>
      </c>
      <c r="C1038" s="241">
        <v>35</v>
      </c>
      <c r="D1038" s="239" t="s">
        <v>2881</v>
      </c>
      <c r="E1038" s="239" t="s">
        <v>406</v>
      </c>
      <c r="F1038" s="239" t="s">
        <v>407</v>
      </c>
      <c r="G1038" s="239" t="s">
        <v>142</v>
      </c>
      <c r="H1038" s="239" t="s">
        <v>42</v>
      </c>
      <c r="I1038" s="239" t="s">
        <v>2882</v>
      </c>
      <c r="J1038" s="234">
        <v>39690</v>
      </c>
      <c r="K1038" s="234">
        <v>15260</v>
      </c>
      <c r="L1038" s="242">
        <v>15</v>
      </c>
      <c r="M1038" s="234">
        <v>24430</v>
      </c>
      <c r="N1038" s="234">
        <v>20765.5</v>
      </c>
      <c r="O1038" s="243" t="s">
        <v>3000</v>
      </c>
      <c r="P1038" s="236">
        <v>45947</v>
      </c>
    </row>
    <row r="1039" spans="1:16" ht="51" customHeight="1">
      <c r="A1039" s="239" t="s">
        <v>2955</v>
      </c>
      <c r="B1039" s="240">
        <v>2410</v>
      </c>
      <c r="C1039" s="241">
        <v>36</v>
      </c>
      <c r="D1039" s="239" t="s">
        <v>2881</v>
      </c>
      <c r="E1039" s="239" t="s">
        <v>380</v>
      </c>
      <c r="F1039" s="239" t="s">
        <v>381</v>
      </c>
      <c r="G1039" s="239" t="s">
        <v>142</v>
      </c>
      <c r="H1039" s="239" t="s">
        <v>42</v>
      </c>
      <c r="I1039" s="239" t="s">
        <v>2882</v>
      </c>
      <c r="J1039" s="234">
        <v>39480</v>
      </c>
      <c r="K1039" s="234">
        <v>15210</v>
      </c>
      <c r="L1039" s="242">
        <v>12</v>
      </c>
      <c r="M1039" s="234">
        <v>24270</v>
      </c>
      <c r="N1039" s="234">
        <v>21357.599999999999</v>
      </c>
      <c r="O1039" s="243" t="s">
        <v>3001</v>
      </c>
      <c r="P1039" s="236">
        <v>45947</v>
      </c>
    </row>
    <row r="1040" spans="1:16" ht="51" customHeight="1">
      <c r="A1040" s="239" t="s">
        <v>2956</v>
      </c>
      <c r="B1040" s="240">
        <v>2412</v>
      </c>
      <c r="C1040" s="241">
        <v>39</v>
      </c>
      <c r="D1040" s="239" t="s">
        <v>2881</v>
      </c>
      <c r="E1040" s="239" t="s">
        <v>400</v>
      </c>
      <c r="F1040" s="239" t="s">
        <v>401</v>
      </c>
      <c r="G1040" s="239" t="s">
        <v>142</v>
      </c>
      <c r="H1040" s="239" t="s">
        <v>42</v>
      </c>
      <c r="I1040" s="239" t="s">
        <v>2882</v>
      </c>
      <c r="J1040" s="234">
        <v>39070</v>
      </c>
      <c r="K1040" s="234">
        <v>14820</v>
      </c>
      <c r="L1040" s="242">
        <v>13</v>
      </c>
      <c r="M1040" s="234">
        <v>24250</v>
      </c>
      <c r="N1040" s="234">
        <v>21097.5</v>
      </c>
      <c r="O1040" s="243" t="s">
        <v>3002</v>
      </c>
      <c r="P1040" s="236">
        <v>45947</v>
      </c>
    </row>
    <row r="1041" spans="1:16" ht="51" customHeight="1">
      <c r="A1041" s="239" t="s">
        <v>2957</v>
      </c>
      <c r="B1041" s="240">
        <v>2420</v>
      </c>
      <c r="C1041" s="241">
        <v>37</v>
      </c>
      <c r="D1041" s="239" t="s">
        <v>2881</v>
      </c>
      <c r="E1041" s="239" t="s">
        <v>442</v>
      </c>
      <c r="F1041" s="239" t="s">
        <v>443</v>
      </c>
      <c r="G1041" s="239" t="s">
        <v>142</v>
      </c>
      <c r="H1041" s="239" t="s">
        <v>42</v>
      </c>
      <c r="I1041" s="239" t="s">
        <v>2882</v>
      </c>
      <c r="J1041" s="234">
        <v>35460</v>
      </c>
      <c r="K1041" s="234">
        <v>14470</v>
      </c>
      <c r="L1041" s="242">
        <v>11</v>
      </c>
      <c r="M1041" s="234">
        <v>20990</v>
      </c>
      <c r="N1041" s="234">
        <v>18681.099999999999</v>
      </c>
      <c r="O1041" s="243" t="s">
        <v>3003</v>
      </c>
      <c r="P1041" s="236">
        <v>45947</v>
      </c>
    </row>
    <row r="1042" spans="1:16" ht="51" customHeight="1">
      <c r="A1042" s="239" t="s">
        <v>2958</v>
      </c>
      <c r="B1042" s="240">
        <v>2422</v>
      </c>
      <c r="C1042" s="241">
        <v>38</v>
      </c>
      <c r="D1042" s="239" t="s">
        <v>2881</v>
      </c>
      <c r="E1042" s="239" t="s">
        <v>780</v>
      </c>
      <c r="F1042" s="239" t="s">
        <v>781</v>
      </c>
      <c r="G1042" s="239" t="s">
        <v>142</v>
      </c>
      <c r="H1042" s="239" t="s">
        <v>42</v>
      </c>
      <c r="I1042" s="239" t="s">
        <v>2882</v>
      </c>
      <c r="J1042" s="234">
        <v>38040</v>
      </c>
      <c r="K1042" s="234">
        <v>14950</v>
      </c>
      <c r="L1042" s="242">
        <v>9</v>
      </c>
      <c r="M1042" s="234">
        <v>23090</v>
      </c>
      <c r="N1042" s="234">
        <v>21011.9</v>
      </c>
      <c r="O1042" s="243" t="s">
        <v>3004</v>
      </c>
      <c r="P1042" s="236">
        <v>45947</v>
      </c>
    </row>
    <row r="1043" spans="1:16" ht="51" customHeight="1">
      <c r="A1043" s="239" t="s">
        <v>2959</v>
      </c>
      <c r="B1043" s="240">
        <v>2423</v>
      </c>
      <c r="C1043" s="241">
        <v>40</v>
      </c>
      <c r="D1043" s="239" t="s">
        <v>2881</v>
      </c>
      <c r="E1043" s="239" t="s">
        <v>377</v>
      </c>
      <c r="F1043" s="239" t="s">
        <v>378</v>
      </c>
      <c r="G1043" s="239" t="s">
        <v>142</v>
      </c>
      <c r="H1043" s="239" t="s">
        <v>42</v>
      </c>
      <c r="I1043" s="239" t="s">
        <v>2882</v>
      </c>
      <c r="J1043" s="234">
        <v>43530</v>
      </c>
      <c r="K1043" s="234">
        <v>15170</v>
      </c>
      <c r="L1043" s="242">
        <v>7</v>
      </c>
      <c r="M1043" s="234">
        <v>28360</v>
      </c>
      <c r="N1043" s="234">
        <v>26374.799999999999</v>
      </c>
      <c r="O1043" s="243" t="s">
        <v>3005</v>
      </c>
      <c r="P1043" s="236">
        <v>45947</v>
      </c>
    </row>
    <row r="1044" spans="1:16" ht="51" customHeight="1">
      <c r="A1044" s="239" t="s">
        <v>2960</v>
      </c>
      <c r="B1044" s="240">
        <v>2425</v>
      </c>
      <c r="C1044" s="241">
        <v>41</v>
      </c>
      <c r="D1044" s="239" t="s">
        <v>2881</v>
      </c>
      <c r="E1044" s="239" t="s">
        <v>372</v>
      </c>
      <c r="F1044" s="239" t="s">
        <v>373</v>
      </c>
      <c r="G1044" s="239" t="s">
        <v>142</v>
      </c>
      <c r="H1044" s="239" t="s">
        <v>42</v>
      </c>
      <c r="I1044" s="239" t="s">
        <v>2882</v>
      </c>
      <c r="J1044" s="234">
        <v>40890</v>
      </c>
      <c r="K1044" s="234">
        <v>15100</v>
      </c>
      <c r="L1044" s="242">
        <v>9</v>
      </c>
      <c r="M1044" s="234">
        <v>25790</v>
      </c>
      <c r="N1044" s="234">
        <v>23468.9</v>
      </c>
      <c r="O1044" s="243" t="s">
        <v>3006</v>
      </c>
      <c r="P1044" s="236">
        <v>45947</v>
      </c>
    </row>
    <row r="1045" spans="1:16" ht="51" customHeight="1">
      <c r="A1045" s="239" t="s">
        <v>2961</v>
      </c>
      <c r="B1045" s="240">
        <v>2426</v>
      </c>
      <c r="C1045" s="241">
        <v>1</v>
      </c>
      <c r="D1045" s="239" t="s">
        <v>2482</v>
      </c>
      <c r="E1045" s="239" t="s">
        <v>382</v>
      </c>
      <c r="F1045" s="239" t="s">
        <v>383</v>
      </c>
      <c r="G1045" s="239" t="s">
        <v>960</v>
      </c>
      <c r="H1045" s="239" t="s">
        <v>51</v>
      </c>
      <c r="I1045" s="239" t="s">
        <v>2465</v>
      </c>
      <c r="J1045" s="234">
        <v>38270</v>
      </c>
      <c r="K1045" s="234">
        <v>14850</v>
      </c>
      <c r="L1045" s="242">
        <v>34</v>
      </c>
      <c r="M1045" s="234">
        <v>23420</v>
      </c>
      <c r="N1045" s="234">
        <v>15457.2</v>
      </c>
      <c r="O1045" s="243" t="s">
        <v>3007</v>
      </c>
      <c r="P1045" s="236">
        <v>45947</v>
      </c>
    </row>
    <row r="1046" spans="1:16" ht="51" customHeight="1">
      <c r="A1046" s="239" t="s">
        <v>2962</v>
      </c>
      <c r="B1046" s="240">
        <v>2428</v>
      </c>
      <c r="C1046" s="241">
        <v>10008</v>
      </c>
      <c r="D1046" s="239" t="s">
        <v>2511</v>
      </c>
      <c r="E1046" s="239" t="s">
        <v>462</v>
      </c>
      <c r="F1046" s="239" t="s">
        <v>463</v>
      </c>
      <c r="G1046" s="239" t="s">
        <v>932</v>
      </c>
      <c r="H1046" s="239" t="s">
        <v>51</v>
      </c>
      <c r="I1046" s="239" t="s">
        <v>2512</v>
      </c>
      <c r="J1046" s="234">
        <v>41210</v>
      </c>
      <c r="K1046" s="234">
        <v>16330</v>
      </c>
      <c r="L1046" s="242">
        <v>18</v>
      </c>
      <c r="M1046" s="234">
        <v>24880</v>
      </c>
      <c r="N1046" s="234">
        <v>20401.599999999999</v>
      </c>
      <c r="O1046" s="243" t="s">
        <v>3008</v>
      </c>
      <c r="P1046" s="236">
        <v>45947</v>
      </c>
    </row>
    <row r="1047" spans="1:16" ht="51" customHeight="1">
      <c r="A1047" s="239" t="s">
        <v>2963</v>
      </c>
      <c r="B1047" s="240">
        <v>2429</v>
      </c>
      <c r="C1047" s="241">
        <v>42</v>
      </c>
      <c r="D1047" s="239" t="s">
        <v>2881</v>
      </c>
      <c r="E1047" s="239" t="s">
        <v>374</v>
      </c>
      <c r="F1047" s="239" t="s">
        <v>375</v>
      </c>
      <c r="G1047" s="239" t="s">
        <v>142</v>
      </c>
      <c r="H1047" s="239" t="s">
        <v>42</v>
      </c>
      <c r="I1047" s="239" t="s">
        <v>2882</v>
      </c>
      <c r="J1047" s="234">
        <v>42020</v>
      </c>
      <c r="K1047" s="234">
        <v>15700</v>
      </c>
      <c r="L1047" s="242">
        <v>10</v>
      </c>
      <c r="M1047" s="234">
        <v>26320</v>
      </c>
      <c r="N1047" s="234">
        <v>23688</v>
      </c>
      <c r="O1047" s="243" t="s">
        <v>3009</v>
      </c>
      <c r="P1047" s="236">
        <v>45947</v>
      </c>
    </row>
    <row r="1048" spans="1:16" ht="51" customHeight="1">
      <c r="A1048" s="239" t="s">
        <v>2964</v>
      </c>
      <c r="B1048" s="240">
        <v>2430</v>
      </c>
      <c r="C1048" s="241">
        <v>43</v>
      </c>
      <c r="D1048" s="239" t="s">
        <v>2881</v>
      </c>
      <c r="E1048" s="239" t="s">
        <v>866</v>
      </c>
      <c r="F1048" s="239" t="s">
        <v>867</v>
      </c>
      <c r="G1048" s="239" t="s">
        <v>142</v>
      </c>
      <c r="H1048" s="239" t="s">
        <v>42</v>
      </c>
      <c r="I1048" s="239" t="s">
        <v>2882</v>
      </c>
      <c r="J1048" s="234">
        <v>38530</v>
      </c>
      <c r="K1048" s="234">
        <v>14580</v>
      </c>
      <c r="L1048" s="242">
        <v>8</v>
      </c>
      <c r="M1048" s="234">
        <v>23950</v>
      </c>
      <c r="N1048" s="234">
        <v>22034</v>
      </c>
      <c r="O1048" s="243" t="s">
        <v>3010</v>
      </c>
      <c r="P1048" s="236">
        <v>45947</v>
      </c>
    </row>
    <row r="1049" spans="1:16" ht="51" customHeight="1">
      <c r="A1049" s="239" t="s">
        <v>2965</v>
      </c>
      <c r="B1049" s="240">
        <v>2432</v>
      </c>
      <c r="C1049" s="241">
        <v>44</v>
      </c>
      <c r="D1049" s="239" t="s">
        <v>2881</v>
      </c>
      <c r="E1049" s="239" t="s">
        <v>369</v>
      </c>
      <c r="F1049" s="239" t="s">
        <v>370</v>
      </c>
      <c r="G1049" s="239" t="s">
        <v>142</v>
      </c>
      <c r="H1049" s="239" t="s">
        <v>42</v>
      </c>
      <c r="I1049" s="239" t="s">
        <v>2882</v>
      </c>
      <c r="J1049" s="234">
        <v>37660</v>
      </c>
      <c r="K1049" s="234">
        <v>15240</v>
      </c>
      <c r="L1049" s="242">
        <v>10</v>
      </c>
      <c r="M1049" s="234">
        <v>22420</v>
      </c>
      <c r="N1049" s="234">
        <v>20178</v>
      </c>
      <c r="O1049" s="243" t="s">
        <v>3011</v>
      </c>
      <c r="P1049" s="236">
        <v>45947</v>
      </c>
    </row>
    <row r="1050" spans="1:16" ht="51" customHeight="1">
      <c r="A1050" s="239" t="s">
        <v>2966</v>
      </c>
      <c r="B1050" s="240">
        <v>2434</v>
      </c>
      <c r="C1050" s="241">
        <v>45</v>
      </c>
      <c r="D1050" s="239" t="s">
        <v>2881</v>
      </c>
      <c r="E1050" s="239" t="s">
        <v>425</v>
      </c>
      <c r="F1050" s="239" t="s">
        <v>426</v>
      </c>
      <c r="G1050" s="239" t="s">
        <v>142</v>
      </c>
      <c r="H1050" s="239" t="s">
        <v>42</v>
      </c>
      <c r="I1050" s="239" t="s">
        <v>2882</v>
      </c>
      <c r="J1050" s="234">
        <v>50510</v>
      </c>
      <c r="K1050" s="234">
        <v>18770</v>
      </c>
      <c r="L1050" s="242">
        <v>8</v>
      </c>
      <c r="M1050" s="234">
        <v>31740</v>
      </c>
      <c r="N1050" s="234">
        <v>29200.799999999999</v>
      </c>
      <c r="O1050" s="243" t="s">
        <v>3012</v>
      </c>
      <c r="P1050" s="236">
        <v>45948</v>
      </c>
    </row>
    <row r="1051" spans="1:16" ht="51" customHeight="1">
      <c r="A1051" s="239" t="s">
        <v>2967</v>
      </c>
      <c r="B1051" s="240">
        <v>2435</v>
      </c>
      <c r="C1051" s="241">
        <v>46</v>
      </c>
      <c r="D1051" s="239" t="s">
        <v>2881</v>
      </c>
      <c r="E1051" s="239" t="s">
        <v>2793</v>
      </c>
      <c r="F1051" s="239" t="s">
        <v>2794</v>
      </c>
      <c r="G1051" s="239" t="s">
        <v>142</v>
      </c>
      <c r="H1051" s="239" t="s">
        <v>42</v>
      </c>
      <c r="I1051" s="239" t="s">
        <v>2882</v>
      </c>
      <c r="J1051" s="234">
        <v>47860</v>
      </c>
      <c r="K1051" s="234">
        <v>17550</v>
      </c>
      <c r="L1051" s="242">
        <v>9</v>
      </c>
      <c r="M1051" s="234">
        <v>30310</v>
      </c>
      <c r="N1051" s="234">
        <v>27582.1</v>
      </c>
      <c r="O1051" s="243" t="s">
        <v>3013</v>
      </c>
      <c r="P1051" s="236">
        <v>45948</v>
      </c>
    </row>
    <row r="1052" spans="1:16" ht="51" customHeight="1">
      <c r="A1052" s="239" t="s">
        <v>2968</v>
      </c>
      <c r="B1052" s="240">
        <v>2436</v>
      </c>
      <c r="C1052" s="241">
        <v>2</v>
      </c>
      <c r="D1052" s="239" t="s">
        <v>2881</v>
      </c>
      <c r="E1052" s="239" t="s">
        <v>432</v>
      </c>
      <c r="F1052" s="239" t="s">
        <v>433</v>
      </c>
      <c r="G1052" s="239" t="s">
        <v>142</v>
      </c>
      <c r="H1052" s="239" t="s">
        <v>42</v>
      </c>
      <c r="I1052" s="239" t="s">
        <v>2882</v>
      </c>
      <c r="J1052" s="234">
        <v>43740</v>
      </c>
      <c r="K1052" s="234">
        <v>15820</v>
      </c>
      <c r="L1052" s="242">
        <v>13</v>
      </c>
      <c r="M1052" s="234">
        <v>27920</v>
      </c>
      <c r="N1052" s="234">
        <v>24290.400000000001</v>
      </c>
      <c r="O1052" s="243" t="s">
        <v>3014</v>
      </c>
      <c r="P1052" s="236">
        <v>45948</v>
      </c>
    </row>
    <row r="1053" spans="1:16" ht="51" customHeight="1">
      <c r="A1053" s="239" t="s">
        <v>2969</v>
      </c>
      <c r="B1053" s="240">
        <v>2437</v>
      </c>
      <c r="C1053" s="241">
        <v>48</v>
      </c>
      <c r="D1053" s="239" t="s">
        <v>2881</v>
      </c>
      <c r="E1053" s="239" t="s">
        <v>388</v>
      </c>
      <c r="F1053" s="239" t="s">
        <v>389</v>
      </c>
      <c r="G1053" s="239" t="s">
        <v>144</v>
      </c>
      <c r="H1053" s="239" t="s">
        <v>42</v>
      </c>
      <c r="I1053" s="239" t="s">
        <v>2882</v>
      </c>
      <c r="J1053" s="234">
        <v>62760</v>
      </c>
      <c r="K1053" s="234">
        <v>21360</v>
      </c>
      <c r="L1053" s="242">
        <v>14</v>
      </c>
      <c r="M1053" s="234">
        <v>41400</v>
      </c>
      <c r="N1053" s="234">
        <v>35604</v>
      </c>
      <c r="O1053" s="243" t="s">
        <v>3015</v>
      </c>
      <c r="P1053" s="236">
        <v>45948</v>
      </c>
    </row>
    <row r="1054" spans="1:16" ht="51" customHeight="1">
      <c r="A1054" s="239" t="s">
        <v>2970</v>
      </c>
      <c r="B1054" s="240">
        <v>2439</v>
      </c>
      <c r="C1054" s="241">
        <v>49</v>
      </c>
      <c r="D1054" s="239" t="s">
        <v>2881</v>
      </c>
      <c r="E1054" s="239" t="s">
        <v>456</v>
      </c>
      <c r="F1054" s="239" t="s">
        <v>457</v>
      </c>
      <c r="G1054" s="239" t="s">
        <v>144</v>
      </c>
      <c r="H1054" s="239" t="s">
        <v>42</v>
      </c>
      <c r="I1054" s="239" t="s">
        <v>2882</v>
      </c>
      <c r="J1054" s="234">
        <v>46500</v>
      </c>
      <c r="K1054" s="234">
        <v>15850</v>
      </c>
      <c r="L1054" s="242">
        <v>11</v>
      </c>
      <c r="M1054" s="234">
        <v>30650</v>
      </c>
      <c r="N1054" s="234">
        <v>27278.5</v>
      </c>
      <c r="O1054" s="243" t="s">
        <v>3016</v>
      </c>
      <c r="P1054" s="236">
        <v>45948</v>
      </c>
    </row>
    <row r="1055" spans="1:16" ht="51" customHeight="1">
      <c r="A1055" s="239" t="s">
        <v>2971</v>
      </c>
      <c r="B1055" s="240">
        <v>2445</v>
      </c>
      <c r="C1055" s="241">
        <v>50</v>
      </c>
      <c r="D1055" s="239" t="s">
        <v>2881</v>
      </c>
      <c r="E1055" s="239" t="s">
        <v>447</v>
      </c>
      <c r="F1055" s="239" t="s">
        <v>448</v>
      </c>
      <c r="G1055" s="239" t="s">
        <v>144</v>
      </c>
      <c r="H1055" s="239" t="s">
        <v>42</v>
      </c>
      <c r="I1055" s="239" t="s">
        <v>2882</v>
      </c>
      <c r="J1055" s="234">
        <v>54440</v>
      </c>
      <c r="K1055" s="234">
        <v>19540</v>
      </c>
      <c r="L1055" s="242">
        <v>16</v>
      </c>
      <c r="M1055" s="234">
        <v>34900</v>
      </c>
      <c r="N1055" s="234">
        <v>29316</v>
      </c>
      <c r="O1055" s="243" t="s">
        <v>3017</v>
      </c>
      <c r="P1055" s="236">
        <v>45948</v>
      </c>
    </row>
    <row r="1056" spans="1:16" ht="51" customHeight="1">
      <c r="A1056" s="239" t="s">
        <v>2972</v>
      </c>
      <c r="B1056" s="240">
        <v>2446</v>
      </c>
      <c r="C1056" s="241">
        <v>51</v>
      </c>
      <c r="D1056" s="239" t="s">
        <v>2881</v>
      </c>
      <c r="E1056" s="239" t="s">
        <v>453</v>
      </c>
      <c r="F1056" s="239" t="s">
        <v>454</v>
      </c>
      <c r="G1056" s="239" t="s">
        <v>144</v>
      </c>
      <c r="H1056" s="239" t="s">
        <v>42</v>
      </c>
      <c r="I1056" s="239" t="s">
        <v>2882</v>
      </c>
      <c r="J1056" s="234">
        <v>64490</v>
      </c>
      <c r="K1056" s="234">
        <v>24530</v>
      </c>
      <c r="L1056" s="242">
        <v>8</v>
      </c>
      <c r="M1056" s="234">
        <v>39960</v>
      </c>
      <c r="N1056" s="234">
        <v>36763.199999999997</v>
      </c>
      <c r="O1056" s="243" t="s">
        <v>3018</v>
      </c>
      <c r="P1056" s="236">
        <v>45948</v>
      </c>
    </row>
    <row r="1057" spans="1:16" ht="51" customHeight="1">
      <c r="A1057" s="239" t="s">
        <v>2973</v>
      </c>
      <c r="B1057" s="240">
        <v>2448</v>
      </c>
      <c r="C1057" s="241">
        <v>53</v>
      </c>
      <c r="D1057" s="239" t="s">
        <v>2881</v>
      </c>
      <c r="E1057" s="239" t="s">
        <v>413</v>
      </c>
      <c r="F1057" s="239" t="s">
        <v>414</v>
      </c>
      <c r="G1057" s="239" t="s">
        <v>144</v>
      </c>
      <c r="H1057" s="239" t="s">
        <v>42</v>
      </c>
      <c r="I1057" s="239" t="s">
        <v>2882</v>
      </c>
      <c r="J1057" s="234">
        <v>43460</v>
      </c>
      <c r="K1057" s="234">
        <v>15070</v>
      </c>
      <c r="L1057" s="242">
        <v>13</v>
      </c>
      <c r="M1057" s="234">
        <v>28390</v>
      </c>
      <c r="N1057" s="234">
        <v>24699.3</v>
      </c>
      <c r="O1057" s="243" t="s">
        <v>3019</v>
      </c>
      <c r="P1057" s="236">
        <v>45948</v>
      </c>
    </row>
    <row r="1058" spans="1:16" ht="51" customHeight="1">
      <c r="A1058" s="239" t="s">
        <v>2974</v>
      </c>
      <c r="B1058" s="240">
        <v>2449</v>
      </c>
      <c r="C1058" s="241">
        <v>52</v>
      </c>
      <c r="D1058" s="239" t="s">
        <v>2881</v>
      </c>
      <c r="E1058" s="239" t="s">
        <v>392</v>
      </c>
      <c r="F1058" s="239" t="s">
        <v>393</v>
      </c>
      <c r="G1058" s="239" t="s">
        <v>144</v>
      </c>
      <c r="H1058" s="239" t="s">
        <v>42</v>
      </c>
      <c r="I1058" s="239" t="s">
        <v>2882</v>
      </c>
      <c r="J1058" s="234">
        <v>60950</v>
      </c>
      <c r="K1058" s="234">
        <v>24240</v>
      </c>
      <c r="L1058" s="242">
        <v>50</v>
      </c>
      <c r="M1058" s="234">
        <v>36710</v>
      </c>
      <c r="N1058" s="234">
        <v>18355</v>
      </c>
      <c r="O1058" s="243" t="s">
        <v>3020</v>
      </c>
      <c r="P1058" s="236">
        <v>45948</v>
      </c>
    </row>
    <row r="1059" spans="1:16" ht="51" customHeight="1">
      <c r="A1059" s="239" t="s">
        <v>2975</v>
      </c>
      <c r="B1059" s="240">
        <v>2450</v>
      </c>
      <c r="C1059" s="241">
        <v>54</v>
      </c>
      <c r="D1059" s="239" t="s">
        <v>2881</v>
      </c>
      <c r="E1059" s="239" t="s">
        <v>429</v>
      </c>
      <c r="F1059" s="239" t="s">
        <v>430</v>
      </c>
      <c r="G1059" s="239" t="s">
        <v>144</v>
      </c>
      <c r="H1059" s="239" t="s">
        <v>42</v>
      </c>
      <c r="I1059" s="239" t="s">
        <v>2882</v>
      </c>
      <c r="J1059" s="234">
        <v>41100</v>
      </c>
      <c r="K1059" s="234">
        <v>14440</v>
      </c>
      <c r="L1059" s="242">
        <v>10</v>
      </c>
      <c r="M1059" s="234">
        <v>26660</v>
      </c>
      <c r="N1059" s="234">
        <v>23994</v>
      </c>
      <c r="O1059" s="243" t="s">
        <v>3021</v>
      </c>
      <c r="P1059" s="236">
        <v>45948</v>
      </c>
    </row>
    <row r="1060" spans="1:16" ht="51" customHeight="1">
      <c r="A1060" s="239" t="s">
        <v>2976</v>
      </c>
      <c r="B1060" s="240">
        <v>2451</v>
      </c>
      <c r="C1060" s="241">
        <v>55</v>
      </c>
      <c r="D1060" s="239" t="s">
        <v>2881</v>
      </c>
      <c r="E1060" s="239" t="s">
        <v>1410</v>
      </c>
      <c r="F1060" s="239" t="s">
        <v>437</v>
      </c>
      <c r="G1060" s="239" t="s">
        <v>144</v>
      </c>
      <c r="H1060" s="239" t="s">
        <v>42</v>
      </c>
      <c r="I1060" s="239" t="s">
        <v>2882</v>
      </c>
      <c r="J1060" s="234">
        <v>40580</v>
      </c>
      <c r="K1060" s="234">
        <v>15010</v>
      </c>
      <c r="L1060" s="242">
        <v>11</v>
      </c>
      <c r="M1060" s="234">
        <v>25570</v>
      </c>
      <c r="N1060" s="234">
        <v>22757.3</v>
      </c>
      <c r="O1060" s="243" t="s">
        <v>3022</v>
      </c>
      <c r="P1060" s="236">
        <v>45948</v>
      </c>
    </row>
    <row r="1061" spans="1:16" ht="51" customHeight="1">
      <c r="A1061" s="239" t="s">
        <v>2977</v>
      </c>
      <c r="B1061" s="240">
        <v>2453</v>
      </c>
      <c r="C1061" s="241">
        <v>56</v>
      </c>
      <c r="D1061" s="239" t="s">
        <v>2881</v>
      </c>
      <c r="E1061" s="239" t="s">
        <v>439</v>
      </c>
      <c r="F1061" s="239" t="s">
        <v>440</v>
      </c>
      <c r="G1061" s="239" t="s">
        <v>144</v>
      </c>
      <c r="H1061" s="239" t="s">
        <v>42</v>
      </c>
      <c r="I1061" s="239" t="s">
        <v>2882</v>
      </c>
      <c r="J1061" s="234">
        <v>41980</v>
      </c>
      <c r="K1061" s="234">
        <v>15250</v>
      </c>
      <c r="L1061" s="242">
        <v>39</v>
      </c>
      <c r="M1061" s="234">
        <v>26730</v>
      </c>
      <c r="N1061" s="234">
        <v>16305.3</v>
      </c>
      <c r="O1061" s="243" t="s">
        <v>3023</v>
      </c>
      <c r="P1061" s="236">
        <v>45948</v>
      </c>
    </row>
    <row r="1062" spans="1:16" ht="51" customHeight="1">
      <c r="A1062" s="239" t="s">
        <v>2978</v>
      </c>
      <c r="B1062" s="240">
        <v>2454</v>
      </c>
      <c r="C1062" s="241">
        <v>57</v>
      </c>
      <c r="D1062" s="239" t="s">
        <v>2881</v>
      </c>
      <c r="E1062" s="239" t="s">
        <v>1305</v>
      </c>
      <c r="F1062" s="239" t="s">
        <v>1306</v>
      </c>
      <c r="G1062" s="239" t="s">
        <v>144</v>
      </c>
      <c r="H1062" s="239" t="s">
        <v>42</v>
      </c>
      <c r="I1062" s="239" t="s">
        <v>2882</v>
      </c>
      <c r="J1062" s="234">
        <v>36080</v>
      </c>
      <c r="K1062" s="234">
        <v>14880</v>
      </c>
      <c r="L1062" s="242">
        <v>24</v>
      </c>
      <c r="M1062" s="234">
        <v>21200</v>
      </c>
      <c r="N1062" s="234">
        <v>16112</v>
      </c>
      <c r="O1062" s="243" t="s">
        <v>3024</v>
      </c>
      <c r="P1062" s="236">
        <v>45948</v>
      </c>
    </row>
    <row r="1063" spans="1:16" ht="51" customHeight="1">
      <c r="A1063" s="239" t="s">
        <v>2979</v>
      </c>
      <c r="B1063" s="240">
        <v>2455</v>
      </c>
      <c r="C1063" s="241">
        <v>56</v>
      </c>
      <c r="D1063" s="239" t="s">
        <v>2881</v>
      </c>
      <c r="E1063" s="239" t="s">
        <v>406</v>
      </c>
      <c r="F1063" s="239" t="s">
        <v>407</v>
      </c>
      <c r="G1063" s="239" t="s">
        <v>144</v>
      </c>
      <c r="H1063" s="239" t="s">
        <v>42</v>
      </c>
      <c r="I1063" s="239" t="s">
        <v>2882</v>
      </c>
      <c r="J1063" s="234">
        <v>40240</v>
      </c>
      <c r="K1063" s="234">
        <v>15140</v>
      </c>
      <c r="L1063" s="242">
        <v>27</v>
      </c>
      <c r="M1063" s="234">
        <v>25100</v>
      </c>
      <c r="N1063" s="234">
        <v>18323</v>
      </c>
      <c r="O1063" s="243" t="s">
        <v>3025</v>
      </c>
      <c r="P1063" s="236">
        <v>45948</v>
      </c>
    </row>
    <row r="1064" spans="1:16" ht="51" customHeight="1">
      <c r="A1064" s="239" t="s">
        <v>2980</v>
      </c>
      <c r="B1064" s="240">
        <v>2456</v>
      </c>
      <c r="C1064" s="241">
        <v>58</v>
      </c>
      <c r="D1064" s="239" t="s">
        <v>2881</v>
      </c>
      <c r="E1064" s="239" t="s">
        <v>403</v>
      </c>
      <c r="F1064" s="239" t="s">
        <v>404</v>
      </c>
      <c r="G1064" s="239" t="s">
        <v>144</v>
      </c>
      <c r="H1064" s="239" t="s">
        <v>42</v>
      </c>
      <c r="I1064" s="239" t="s">
        <v>2882</v>
      </c>
      <c r="J1064" s="234">
        <v>39560</v>
      </c>
      <c r="K1064" s="234">
        <v>14640</v>
      </c>
      <c r="L1064" s="242">
        <v>17</v>
      </c>
      <c r="M1064" s="234">
        <v>24920</v>
      </c>
      <c r="N1064" s="234">
        <v>20683.599999999999</v>
      </c>
      <c r="O1064" s="243" t="s">
        <v>3026</v>
      </c>
      <c r="P1064" s="236">
        <v>45948</v>
      </c>
    </row>
    <row r="1065" spans="1:16" ht="51" customHeight="1">
      <c r="A1065" s="239" t="s">
        <v>2981</v>
      </c>
      <c r="B1065" s="240">
        <v>2457</v>
      </c>
      <c r="C1065" s="241">
        <v>60</v>
      </c>
      <c r="D1065" s="239" t="s">
        <v>2881</v>
      </c>
      <c r="E1065" s="239" t="s">
        <v>380</v>
      </c>
      <c r="F1065" s="239" t="s">
        <v>381</v>
      </c>
      <c r="G1065" s="239" t="s">
        <v>144</v>
      </c>
      <c r="H1065" s="239" t="s">
        <v>42</v>
      </c>
      <c r="I1065" s="239" t="s">
        <v>2882</v>
      </c>
      <c r="J1065" s="234">
        <v>40410</v>
      </c>
      <c r="K1065" s="234">
        <v>15220</v>
      </c>
      <c r="L1065" s="242">
        <v>4</v>
      </c>
      <c r="M1065" s="234">
        <v>25190</v>
      </c>
      <c r="N1065" s="234">
        <v>24182.400000000001</v>
      </c>
      <c r="O1065" s="243" t="s">
        <v>3027</v>
      </c>
      <c r="P1065" s="236">
        <v>45948</v>
      </c>
    </row>
    <row r="1066" spans="1:16" ht="51" customHeight="1">
      <c r="A1066" s="239" t="s">
        <v>2983</v>
      </c>
      <c r="B1066" s="240">
        <v>2460</v>
      </c>
      <c r="C1066" s="241">
        <v>61</v>
      </c>
      <c r="D1066" s="239" t="s">
        <v>2881</v>
      </c>
      <c r="E1066" s="239" t="s">
        <v>377</v>
      </c>
      <c r="F1066" s="239" t="s">
        <v>378</v>
      </c>
      <c r="G1066" s="239" t="s">
        <v>144</v>
      </c>
      <c r="H1066" s="239" t="s">
        <v>42</v>
      </c>
      <c r="I1066" s="239" t="s">
        <v>2882</v>
      </c>
      <c r="J1066" s="234">
        <v>42550</v>
      </c>
      <c r="K1066" s="234">
        <v>15310</v>
      </c>
      <c r="L1066" s="242">
        <v>10</v>
      </c>
      <c r="M1066" s="234">
        <v>27240</v>
      </c>
      <c r="N1066" s="234">
        <v>24516</v>
      </c>
      <c r="O1066" s="243" t="s">
        <v>3029</v>
      </c>
      <c r="P1066" s="236">
        <v>45948</v>
      </c>
    </row>
    <row r="1067" spans="1:16" ht="51" customHeight="1">
      <c r="A1067" s="239" t="s">
        <v>2986</v>
      </c>
      <c r="B1067" s="240">
        <v>2464</v>
      </c>
      <c r="C1067" s="241">
        <v>63</v>
      </c>
      <c r="D1067" s="239" t="s">
        <v>2881</v>
      </c>
      <c r="E1067" s="239" t="s">
        <v>780</v>
      </c>
      <c r="F1067" s="239" t="s">
        <v>781</v>
      </c>
      <c r="G1067" s="239" t="s">
        <v>144</v>
      </c>
      <c r="H1067" s="239" t="s">
        <v>42</v>
      </c>
      <c r="I1067" s="239" t="s">
        <v>2882</v>
      </c>
      <c r="J1067" s="234">
        <v>36350</v>
      </c>
      <c r="K1067" s="234">
        <v>14960</v>
      </c>
      <c r="L1067" s="242">
        <v>7</v>
      </c>
      <c r="M1067" s="234">
        <v>21390</v>
      </c>
      <c r="N1067" s="234">
        <v>19892.7</v>
      </c>
      <c r="O1067" s="243" t="s">
        <v>3032</v>
      </c>
      <c r="P1067" s="236">
        <v>45948</v>
      </c>
    </row>
    <row r="1068" spans="1:16" ht="51" customHeight="1">
      <c r="A1068" s="239" t="s">
        <v>2987</v>
      </c>
      <c r="B1068" s="240">
        <v>2465</v>
      </c>
      <c r="C1068" s="241">
        <v>64</v>
      </c>
      <c r="D1068" s="239" t="s">
        <v>2881</v>
      </c>
      <c r="E1068" s="239" t="s">
        <v>442</v>
      </c>
      <c r="F1068" s="239" t="s">
        <v>443</v>
      </c>
      <c r="G1068" s="239" t="s">
        <v>144</v>
      </c>
      <c r="H1068" s="239" t="s">
        <v>42</v>
      </c>
      <c r="I1068" s="239" t="s">
        <v>2882</v>
      </c>
      <c r="J1068" s="234">
        <v>35300</v>
      </c>
      <c r="K1068" s="234">
        <v>14520</v>
      </c>
      <c r="L1068" s="242">
        <v>39</v>
      </c>
      <c r="M1068" s="234">
        <v>20780</v>
      </c>
      <c r="N1068" s="234">
        <v>12675.8</v>
      </c>
      <c r="O1068" s="243" t="s">
        <v>3033</v>
      </c>
      <c r="P1068" s="236">
        <v>45949</v>
      </c>
    </row>
    <row r="1069" spans="1:16" ht="51" customHeight="1">
      <c r="A1069" s="239" t="s">
        <v>2988</v>
      </c>
      <c r="B1069" s="240">
        <v>2466</v>
      </c>
      <c r="C1069" s="241">
        <v>70</v>
      </c>
      <c r="D1069" s="239" t="s">
        <v>2881</v>
      </c>
      <c r="E1069" s="239" t="s">
        <v>374</v>
      </c>
      <c r="F1069" s="239" t="s">
        <v>375</v>
      </c>
      <c r="G1069" s="239" t="s">
        <v>144</v>
      </c>
      <c r="H1069" s="239" t="s">
        <v>42</v>
      </c>
      <c r="I1069" s="239" t="s">
        <v>2882</v>
      </c>
      <c r="J1069" s="234">
        <v>39400</v>
      </c>
      <c r="K1069" s="234">
        <v>15610</v>
      </c>
      <c r="L1069" s="242">
        <v>7</v>
      </c>
      <c r="M1069" s="234">
        <v>23790</v>
      </c>
      <c r="N1069" s="234">
        <v>22124.7</v>
      </c>
      <c r="O1069" s="243" t="s">
        <v>3034</v>
      </c>
      <c r="P1069" s="236">
        <v>45949</v>
      </c>
    </row>
    <row r="1070" spans="1:16" ht="51" customHeight="1">
      <c r="A1070" s="239" t="s">
        <v>2984</v>
      </c>
      <c r="B1070" s="240">
        <v>2461</v>
      </c>
      <c r="C1070" s="241">
        <v>62</v>
      </c>
      <c r="D1070" s="239" t="s">
        <v>2881</v>
      </c>
      <c r="E1070" s="239" t="s">
        <v>372</v>
      </c>
      <c r="F1070" s="239" t="s">
        <v>373</v>
      </c>
      <c r="G1070" s="239" t="s">
        <v>144</v>
      </c>
      <c r="H1070" s="239" t="s">
        <v>42</v>
      </c>
      <c r="I1070" s="239" t="s">
        <v>2882</v>
      </c>
      <c r="J1070" s="234">
        <v>37430</v>
      </c>
      <c r="K1070" s="234">
        <v>15010</v>
      </c>
      <c r="L1070" s="242">
        <v>17</v>
      </c>
      <c r="M1070" s="234">
        <v>22420</v>
      </c>
      <c r="N1070" s="234">
        <v>18608.599999999999</v>
      </c>
      <c r="O1070" s="243" t="s">
        <v>3030</v>
      </c>
      <c r="P1070" s="236">
        <v>45948</v>
      </c>
    </row>
    <row r="1071" spans="1:16" ht="51" customHeight="1">
      <c r="A1071" s="239" t="s">
        <v>2990</v>
      </c>
      <c r="B1071" s="240">
        <v>2468</v>
      </c>
      <c r="C1071" s="241">
        <v>66</v>
      </c>
      <c r="D1071" s="239" t="s">
        <v>2881</v>
      </c>
      <c r="E1071" s="239" t="s">
        <v>400</v>
      </c>
      <c r="F1071" s="239" t="s">
        <v>401</v>
      </c>
      <c r="G1071" s="239" t="s">
        <v>144</v>
      </c>
      <c r="H1071" s="239" t="s">
        <v>42</v>
      </c>
      <c r="I1071" s="239" t="s">
        <v>2882</v>
      </c>
      <c r="J1071" s="234">
        <v>40080</v>
      </c>
      <c r="K1071" s="234">
        <v>14840</v>
      </c>
      <c r="L1071" s="242">
        <v>6</v>
      </c>
      <c r="M1071" s="234">
        <v>25240</v>
      </c>
      <c r="N1071" s="234">
        <v>23725.599999999999</v>
      </c>
      <c r="O1071" s="243" t="s">
        <v>3036</v>
      </c>
      <c r="P1071" s="236">
        <v>45949</v>
      </c>
    </row>
    <row r="1072" spans="1:16" ht="51" customHeight="1">
      <c r="A1072" s="239" t="s">
        <v>2982</v>
      </c>
      <c r="B1072" s="240">
        <v>2458</v>
      </c>
      <c r="C1072" s="241">
        <v>1</v>
      </c>
      <c r="D1072" s="239" t="s">
        <v>2482</v>
      </c>
      <c r="E1072" s="239" t="s">
        <v>384</v>
      </c>
      <c r="F1072" s="239" t="s">
        <v>385</v>
      </c>
      <c r="G1072" s="239" t="s">
        <v>962</v>
      </c>
      <c r="H1072" s="239" t="s">
        <v>51</v>
      </c>
      <c r="I1072" s="239" t="s">
        <v>2465</v>
      </c>
      <c r="J1072" s="234">
        <v>36250</v>
      </c>
      <c r="K1072" s="234">
        <v>14020</v>
      </c>
      <c r="L1072" s="242">
        <v>34</v>
      </c>
      <c r="M1072" s="234">
        <v>22230</v>
      </c>
      <c r="N1072" s="234">
        <v>14671.8</v>
      </c>
      <c r="O1072" s="243" t="s">
        <v>3028</v>
      </c>
      <c r="P1072" s="236">
        <v>45948</v>
      </c>
    </row>
    <row r="1073" spans="1:16" ht="51" customHeight="1">
      <c r="A1073" s="239" t="s">
        <v>2989</v>
      </c>
      <c r="B1073" s="240">
        <v>2467</v>
      </c>
      <c r="C1073" s="241">
        <v>3</v>
      </c>
      <c r="D1073" s="239" t="s">
        <v>2482</v>
      </c>
      <c r="E1073" s="239" t="s">
        <v>2793</v>
      </c>
      <c r="F1073" s="239" t="s">
        <v>2794</v>
      </c>
      <c r="G1073" s="239" t="s">
        <v>962</v>
      </c>
      <c r="H1073" s="239" t="s">
        <v>51</v>
      </c>
      <c r="I1073" s="239" t="s">
        <v>2465</v>
      </c>
      <c r="J1073" s="234">
        <v>26720</v>
      </c>
      <c r="K1073" s="234">
        <v>17640</v>
      </c>
      <c r="L1073" s="242">
        <v>5</v>
      </c>
      <c r="M1073" s="234">
        <v>9080</v>
      </c>
      <c r="N1073" s="234">
        <v>8626</v>
      </c>
      <c r="O1073" s="243" t="s">
        <v>3035</v>
      </c>
      <c r="P1073" s="236">
        <v>45949</v>
      </c>
    </row>
    <row r="1074" spans="1:16" ht="51" customHeight="1">
      <c r="A1074" s="239" t="s">
        <v>2985</v>
      </c>
      <c r="B1074" s="240">
        <v>2463</v>
      </c>
      <c r="C1074" s="241">
        <v>2</v>
      </c>
      <c r="D1074" s="239" t="s">
        <v>2482</v>
      </c>
      <c r="E1074" s="239" t="s">
        <v>425</v>
      </c>
      <c r="F1074" s="239" t="s">
        <v>426</v>
      </c>
      <c r="G1074" s="239" t="s">
        <v>962</v>
      </c>
      <c r="H1074" s="239" t="s">
        <v>51</v>
      </c>
      <c r="I1074" s="239" t="s">
        <v>2465</v>
      </c>
      <c r="J1074" s="234">
        <v>51770</v>
      </c>
      <c r="K1074" s="234">
        <v>18860</v>
      </c>
      <c r="L1074" s="242">
        <v>25</v>
      </c>
      <c r="M1074" s="234">
        <v>32910</v>
      </c>
      <c r="N1074" s="234">
        <v>24682.5</v>
      </c>
      <c r="O1074" s="243" t="s">
        <v>3031</v>
      </c>
      <c r="P1074" s="236">
        <v>45948</v>
      </c>
    </row>
    <row r="1075" spans="1:16" ht="51" customHeight="1">
      <c r="A1075" s="239" t="s">
        <v>2991</v>
      </c>
      <c r="B1075" s="240">
        <v>2469</v>
      </c>
      <c r="C1075" s="241">
        <v>65</v>
      </c>
      <c r="D1075" s="239" t="s">
        <v>2881</v>
      </c>
      <c r="E1075" s="239" t="s">
        <v>432</v>
      </c>
      <c r="F1075" s="239" t="s">
        <v>433</v>
      </c>
      <c r="G1075" s="239" t="s">
        <v>144</v>
      </c>
      <c r="H1075" s="239" t="s">
        <v>51</v>
      </c>
      <c r="I1075" s="239" t="s">
        <v>2882</v>
      </c>
      <c r="J1075" s="234">
        <v>44210</v>
      </c>
      <c r="K1075" s="234">
        <v>15900</v>
      </c>
      <c r="L1075" s="242">
        <v>6</v>
      </c>
      <c r="M1075" s="234">
        <v>28310</v>
      </c>
      <c r="N1075" s="234">
        <v>26611.4</v>
      </c>
      <c r="O1075" s="243" t="s">
        <v>3037</v>
      </c>
      <c r="P1075" s="236">
        <v>45949</v>
      </c>
    </row>
    <row r="1076" spans="1:16" ht="51" customHeight="1">
      <c r="A1076" s="239" t="s">
        <v>2992</v>
      </c>
      <c r="B1076" s="240">
        <v>2470</v>
      </c>
      <c r="C1076" s="241">
        <v>67</v>
      </c>
      <c r="D1076" s="239" t="s">
        <v>2881</v>
      </c>
      <c r="E1076" s="239" t="s">
        <v>382</v>
      </c>
      <c r="F1076" s="239" t="s">
        <v>383</v>
      </c>
      <c r="G1076" s="239" t="s">
        <v>144</v>
      </c>
      <c r="H1076" s="239" t="s">
        <v>51</v>
      </c>
      <c r="I1076" s="239" t="s">
        <v>2882</v>
      </c>
      <c r="J1076" s="234">
        <v>35440</v>
      </c>
      <c r="K1076" s="234">
        <v>14760</v>
      </c>
      <c r="L1076" s="242">
        <v>10</v>
      </c>
      <c r="M1076" s="234">
        <v>20680</v>
      </c>
      <c r="N1076" s="234">
        <v>18612</v>
      </c>
      <c r="O1076" s="243" t="s">
        <v>3038</v>
      </c>
      <c r="P1076" s="236">
        <v>45949</v>
      </c>
    </row>
    <row r="1077" spans="1:16" ht="51" customHeight="1">
      <c r="A1077" s="239" t="s">
        <v>2993</v>
      </c>
      <c r="B1077" s="240">
        <v>2471</v>
      </c>
      <c r="C1077" s="241">
        <v>69</v>
      </c>
      <c r="D1077" s="239" t="s">
        <v>2881</v>
      </c>
      <c r="E1077" s="239" t="s">
        <v>416</v>
      </c>
      <c r="F1077" s="239" t="s">
        <v>417</v>
      </c>
      <c r="G1077" s="239" t="s">
        <v>144</v>
      </c>
      <c r="H1077" s="239" t="s">
        <v>51</v>
      </c>
      <c r="I1077" s="239" t="s">
        <v>2882</v>
      </c>
      <c r="J1077" s="234">
        <v>39110</v>
      </c>
      <c r="K1077" s="234">
        <v>14800</v>
      </c>
      <c r="L1077" s="242">
        <v>9</v>
      </c>
      <c r="M1077" s="234">
        <v>24310</v>
      </c>
      <c r="N1077" s="234">
        <v>22122.1</v>
      </c>
      <c r="O1077" s="243" t="s">
        <v>3039</v>
      </c>
      <c r="P1077" s="236">
        <v>45949</v>
      </c>
    </row>
    <row r="1078" spans="1:16" ht="51" customHeight="1">
      <c r="A1078" s="239" t="s">
        <v>2994</v>
      </c>
      <c r="B1078" s="240">
        <v>2472</v>
      </c>
      <c r="C1078" s="241">
        <v>68</v>
      </c>
      <c r="D1078" s="239" t="s">
        <v>2881</v>
      </c>
      <c r="E1078" s="239" t="s">
        <v>420</v>
      </c>
      <c r="F1078" s="239" t="s">
        <v>421</v>
      </c>
      <c r="G1078" s="239" t="s">
        <v>144</v>
      </c>
      <c r="H1078" s="239" t="s">
        <v>51</v>
      </c>
      <c r="I1078" s="239" t="s">
        <v>2882</v>
      </c>
      <c r="J1078" s="234">
        <v>37550</v>
      </c>
      <c r="K1078" s="234">
        <v>14980</v>
      </c>
      <c r="L1078" s="242">
        <v>11</v>
      </c>
      <c r="M1078" s="234">
        <v>22570</v>
      </c>
      <c r="N1078" s="234">
        <v>20087.3</v>
      </c>
      <c r="O1078" s="243" t="s">
        <v>3040</v>
      </c>
      <c r="P1078" s="236">
        <v>45949</v>
      </c>
    </row>
    <row r="1079" spans="1:16" ht="51" customHeight="1">
      <c r="A1079" s="239" t="s">
        <v>2995</v>
      </c>
      <c r="B1079" s="240">
        <v>2480</v>
      </c>
      <c r="C1079" s="241">
        <v>1</v>
      </c>
      <c r="D1079" s="239" t="s">
        <v>2482</v>
      </c>
      <c r="E1079" s="239" t="s">
        <v>456</v>
      </c>
      <c r="F1079" s="239" t="s">
        <v>457</v>
      </c>
      <c r="G1079" s="239" t="s">
        <v>962</v>
      </c>
      <c r="H1079" s="239" t="s">
        <v>51</v>
      </c>
      <c r="I1079" s="239" t="s">
        <v>2465</v>
      </c>
      <c r="J1079" s="234">
        <v>47940</v>
      </c>
      <c r="K1079" s="234">
        <v>15740</v>
      </c>
      <c r="L1079" s="242">
        <v>22</v>
      </c>
      <c r="M1079" s="234">
        <v>32200</v>
      </c>
      <c r="N1079" s="234">
        <v>25116</v>
      </c>
      <c r="O1079" s="243" t="s">
        <v>3041</v>
      </c>
      <c r="P1079" s="236">
        <v>45949</v>
      </c>
    </row>
    <row r="1080" spans="1:16" ht="51" customHeight="1">
      <c r="A1080" s="239" t="s">
        <v>2996</v>
      </c>
      <c r="B1080" s="240">
        <v>2481</v>
      </c>
      <c r="C1080" s="241">
        <v>2</v>
      </c>
      <c r="D1080" s="239" t="s">
        <v>2482</v>
      </c>
      <c r="E1080" s="239" t="s">
        <v>866</v>
      </c>
      <c r="F1080" s="239" t="s">
        <v>867</v>
      </c>
      <c r="G1080" s="239" t="s">
        <v>962</v>
      </c>
      <c r="H1080" s="239" t="s">
        <v>51</v>
      </c>
      <c r="I1080" s="239" t="s">
        <v>2465</v>
      </c>
      <c r="J1080" s="234">
        <v>38970</v>
      </c>
      <c r="K1080" s="234">
        <v>14620</v>
      </c>
      <c r="L1080" s="242">
        <v>26</v>
      </c>
      <c r="M1080" s="234">
        <v>24350</v>
      </c>
      <c r="N1080" s="234">
        <v>18019</v>
      </c>
      <c r="O1080" s="243" t="s">
        <v>3042</v>
      </c>
      <c r="P1080" s="236">
        <v>45949</v>
      </c>
    </row>
    <row r="1081" spans="1:16" ht="51" customHeight="1">
      <c r="A1081" s="239" t="s">
        <v>2997</v>
      </c>
      <c r="B1081" s="240">
        <v>2483</v>
      </c>
      <c r="C1081" s="241">
        <v>3</v>
      </c>
      <c r="D1081" s="239" t="s">
        <v>2482</v>
      </c>
      <c r="E1081" s="239" t="s">
        <v>369</v>
      </c>
      <c r="F1081" s="239" t="s">
        <v>370</v>
      </c>
      <c r="G1081" s="239" t="s">
        <v>962</v>
      </c>
      <c r="H1081" s="239" t="s">
        <v>51</v>
      </c>
      <c r="I1081" s="239" t="s">
        <v>2465</v>
      </c>
      <c r="J1081" s="234">
        <v>39260</v>
      </c>
      <c r="K1081" s="234">
        <v>15280</v>
      </c>
      <c r="L1081" s="242">
        <v>37</v>
      </c>
      <c r="M1081" s="234">
        <v>23980</v>
      </c>
      <c r="N1081" s="234">
        <v>15107.4</v>
      </c>
      <c r="O1081" s="243" t="s">
        <v>3043</v>
      </c>
      <c r="P1081" s="236">
        <v>45949</v>
      </c>
    </row>
    <row r="1082" spans="1:16" ht="51" customHeight="1">
      <c r="A1082" s="239" t="s">
        <v>3047</v>
      </c>
      <c r="B1082" s="240">
        <v>2486</v>
      </c>
      <c r="C1082" s="241">
        <v>4</v>
      </c>
      <c r="D1082" s="239" t="s">
        <v>2482</v>
      </c>
      <c r="E1082" s="239" t="s">
        <v>858</v>
      </c>
      <c r="F1082" s="239" t="s">
        <v>859</v>
      </c>
      <c r="G1082" s="239" t="s">
        <v>960</v>
      </c>
      <c r="H1082" s="239" t="s">
        <v>51</v>
      </c>
      <c r="I1082" s="239" t="s">
        <v>2465</v>
      </c>
      <c r="J1082" s="234">
        <v>42460</v>
      </c>
      <c r="K1082" s="234">
        <v>15530</v>
      </c>
      <c r="L1082" s="242">
        <v>16</v>
      </c>
      <c r="M1082" s="234">
        <v>26930</v>
      </c>
      <c r="N1082" s="234">
        <v>22621.200000000001</v>
      </c>
      <c r="O1082" s="243" t="s">
        <v>3061</v>
      </c>
      <c r="P1082" s="236">
        <v>45950</v>
      </c>
    </row>
    <row r="1083" spans="1:16" ht="51" customHeight="1">
      <c r="A1083" s="239" t="s">
        <v>3048</v>
      </c>
      <c r="B1083" s="240">
        <v>2487</v>
      </c>
      <c r="C1083" s="241">
        <v>71</v>
      </c>
      <c r="D1083" s="239" t="s">
        <v>2881</v>
      </c>
      <c r="E1083" s="239" t="s">
        <v>447</v>
      </c>
      <c r="F1083" s="239" t="s">
        <v>448</v>
      </c>
      <c r="G1083" s="239" t="s">
        <v>949</v>
      </c>
      <c r="H1083" s="239" t="s">
        <v>51</v>
      </c>
      <c r="I1083" s="239" t="s">
        <v>2882</v>
      </c>
      <c r="J1083" s="234">
        <v>39270</v>
      </c>
      <c r="K1083" s="234">
        <v>16020</v>
      </c>
      <c r="L1083" s="242">
        <v>7</v>
      </c>
      <c r="M1083" s="234">
        <v>23250</v>
      </c>
      <c r="N1083" s="234">
        <v>21622.5</v>
      </c>
      <c r="O1083" s="243" t="s">
        <v>3062</v>
      </c>
      <c r="P1083" s="236">
        <v>45950</v>
      </c>
    </row>
    <row r="1084" spans="1:16" ht="51" customHeight="1">
      <c r="A1084" s="239" t="s">
        <v>3045</v>
      </c>
      <c r="B1084" s="240">
        <v>2488</v>
      </c>
      <c r="C1084" s="241">
        <v>5</v>
      </c>
      <c r="D1084" s="239" t="s">
        <v>2482</v>
      </c>
      <c r="E1084" s="239" t="s">
        <v>453</v>
      </c>
      <c r="F1084" s="239" t="s">
        <v>454</v>
      </c>
      <c r="G1084" s="239" t="s">
        <v>960</v>
      </c>
      <c r="H1084" s="239" t="s">
        <v>51</v>
      </c>
      <c r="I1084" s="239" t="s">
        <v>2465</v>
      </c>
      <c r="J1084" s="234">
        <v>55660</v>
      </c>
      <c r="K1084" s="234">
        <v>24700</v>
      </c>
      <c r="L1084" s="242">
        <v>7</v>
      </c>
      <c r="M1084" s="234">
        <v>30960</v>
      </c>
      <c r="N1084" s="234">
        <v>28792.799999999999</v>
      </c>
      <c r="O1084" s="243" t="s">
        <v>3059</v>
      </c>
      <c r="P1084" s="236">
        <v>45950</v>
      </c>
    </row>
    <row r="1085" spans="1:16" ht="51" customHeight="1">
      <c r="A1085" s="239" t="s">
        <v>3046</v>
      </c>
      <c r="B1085" s="240">
        <v>2489</v>
      </c>
      <c r="C1085" s="241">
        <v>72</v>
      </c>
      <c r="D1085" s="239" t="s">
        <v>2881</v>
      </c>
      <c r="E1085" s="239" t="s">
        <v>429</v>
      </c>
      <c r="F1085" s="239" t="s">
        <v>430</v>
      </c>
      <c r="G1085" s="239" t="s">
        <v>949</v>
      </c>
      <c r="H1085" s="239" t="s">
        <v>51</v>
      </c>
      <c r="I1085" s="239" t="s">
        <v>2882</v>
      </c>
      <c r="J1085" s="234">
        <v>39880</v>
      </c>
      <c r="K1085" s="234">
        <v>14610</v>
      </c>
      <c r="L1085" s="242">
        <v>10</v>
      </c>
      <c r="M1085" s="234">
        <v>25270</v>
      </c>
      <c r="N1085" s="234">
        <v>22743</v>
      </c>
      <c r="O1085" s="243" t="s">
        <v>3060</v>
      </c>
      <c r="P1085" s="236">
        <v>45950</v>
      </c>
    </row>
    <row r="1086" spans="1:16" ht="51" customHeight="1">
      <c r="A1086" s="239" t="s">
        <v>3049</v>
      </c>
      <c r="B1086" s="240">
        <v>2490</v>
      </c>
      <c r="C1086" s="241">
        <v>75</v>
      </c>
      <c r="D1086" s="239" t="s">
        <v>2881</v>
      </c>
      <c r="E1086" s="239" t="s">
        <v>1410</v>
      </c>
      <c r="F1086" s="239" t="s">
        <v>437</v>
      </c>
      <c r="G1086" s="239" t="s">
        <v>949</v>
      </c>
      <c r="H1086" s="239" t="s">
        <v>51</v>
      </c>
      <c r="I1086" s="239" t="s">
        <v>2882</v>
      </c>
      <c r="J1086" s="234">
        <v>40450</v>
      </c>
      <c r="K1086" s="234">
        <v>15170</v>
      </c>
      <c r="L1086" s="242">
        <v>8</v>
      </c>
      <c r="M1086" s="234">
        <v>25280</v>
      </c>
      <c r="N1086" s="234">
        <v>23257.599999999999</v>
      </c>
      <c r="O1086" s="243" t="s">
        <v>3063</v>
      </c>
      <c r="P1086" s="236">
        <v>45950</v>
      </c>
    </row>
    <row r="1087" spans="1:16" ht="51" customHeight="1">
      <c r="A1087" s="239" t="s">
        <v>3050</v>
      </c>
      <c r="B1087" s="240">
        <v>2491</v>
      </c>
      <c r="C1087" s="241">
        <v>76</v>
      </c>
      <c r="D1087" s="239" t="s">
        <v>2881</v>
      </c>
      <c r="E1087" s="239" t="s">
        <v>439</v>
      </c>
      <c r="F1087" s="239" t="s">
        <v>440</v>
      </c>
      <c r="G1087" s="239" t="s">
        <v>949</v>
      </c>
      <c r="H1087" s="239" t="s">
        <v>51</v>
      </c>
      <c r="I1087" s="239" t="s">
        <v>2882</v>
      </c>
      <c r="J1087" s="234">
        <v>43540</v>
      </c>
      <c r="K1087" s="234">
        <v>15370</v>
      </c>
      <c r="L1087" s="242">
        <v>15</v>
      </c>
      <c r="M1087" s="234">
        <v>28170</v>
      </c>
      <c r="N1087" s="234">
        <v>23944.5</v>
      </c>
      <c r="O1087" s="243" t="s">
        <v>3064</v>
      </c>
      <c r="P1087" s="236">
        <v>45950</v>
      </c>
    </row>
    <row r="1088" spans="1:16" ht="51" customHeight="1">
      <c r="A1088" s="239" t="s">
        <v>3051</v>
      </c>
      <c r="B1088" s="240">
        <v>2493</v>
      </c>
      <c r="C1088" s="241">
        <v>6</v>
      </c>
      <c r="D1088" s="239" t="s">
        <v>2482</v>
      </c>
      <c r="E1088" s="239" t="s">
        <v>413</v>
      </c>
      <c r="F1088" s="239" t="s">
        <v>414</v>
      </c>
      <c r="G1088" s="239" t="s">
        <v>962</v>
      </c>
      <c r="H1088" s="239" t="s">
        <v>51</v>
      </c>
      <c r="I1088" s="239" t="s">
        <v>2465</v>
      </c>
      <c r="J1088" s="234">
        <v>42980</v>
      </c>
      <c r="K1088" s="234">
        <v>15150</v>
      </c>
      <c r="L1088" s="242">
        <v>15</v>
      </c>
      <c r="M1088" s="234">
        <v>27830</v>
      </c>
      <c r="N1088" s="234">
        <v>23655.5</v>
      </c>
      <c r="O1088" s="243" t="s">
        <v>3065</v>
      </c>
      <c r="P1088" s="236">
        <v>45950</v>
      </c>
    </row>
    <row r="1089" spans="1:16" ht="51" customHeight="1">
      <c r="A1089" s="239" t="s">
        <v>3052</v>
      </c>
      <c r="B1089" s="240">
        <v>2495</v>
      </c>
      <c r="C1089" s="241">
        <v>7</v>
      </c>
      <c r="D1089" s="239" t="s">
        <v>2482</v>
      </c>
      <c r="E1089" s="239" t="s">
        <v>392</v>
      </c>
      <c r="F1089" s="239" t="s">
        <v>393</v>
      </c>
      <c r="G1089" s="239" t="s">
        <v>962</v>
      </c>
      <c r="H1089" s="239" t="s">
        <v>51</v>
      </c>
      <c r="I1089" s="239" t="s">
        <v>2465</v>
      </c>
      <c r="J1089" s="234">
        <v>49850</v>
      </c>
      <c r="K1089" s="234">
        <v>24270</v>
      </c>
      <c r="L1089" s="242">
        <v>36</v>
      </c>
      <c r="M1089" s="234">
        <v>25580</v>
      </c>
      <c r="N1089" s="234">
        <v>16371.2</v>
      </c>
      <c r="O1089" s="243" t="s">
        <v>3066</v>
      </c>
      <c r="P1089" s="236">
        <v>45950</v>
      </c>
    </row>
    <row r="1090" spans="1:16" ht="51" customHeight="1">
      <c r="A1090" s="239" t="s">
        <v>3053</v>
      </c>
      <c r="B1090" s="240">
        <v>2497</v>
      </c>
      <c r="C1090" s="241">
        <v>8</v>
      </c>
      <c r="D1090" s="239" t="s">
        <v>2482</v>
      </c>
      <c r="E1090" s="239" t="s">
        <v>380</v>
      </c>
      <c r="F1090" s="239" t="s">
        <v>381</v>
      </c>
      <c r="G1090" s="239" t="s">
        <v>962</v>
      </c>
      <c r="H1090" s="239" t="s">
        <v>51</v>
      </c>
      <c r="I1090" s="239" t="s">
        <v>2465</v>
      </c>
      <c r="J1090" s="234">
        <v>37800</v>
      </c>
      <c r="K1090" s="234">
        <v>15370</v>
      </c>
      <c r="L1090" s="242">
        <v>37</v>
      </c>
      <c r="M1090" s="234">
        <v>22430</v>
      </c>
      <c r="N1090" s="234">
        <v>14130.9</v>
      </c>
      <c r="O1090" s="243" t="s">
        <v>3067</v>
      </c>
      <c r="P1090" s="236">
        <v>45950</v>
      </c>
    </row>
    <row r="1091" spans="1:16" ht="51" customHeight="1">
      <c r="A1091" s="239" t="s">
        <v>3054</v>
      </c>
      <c r="B1091" s="240">
        <v>2498</v>
      </c>
      <c r="C1091" s="241">
        <v>77</v>
      </c>
      <c r="D1091" s="239" t="s">
        <v>2881</v>
      </c>
      <c r="E1091" s="239" t="s">
        <v>416</v>
      </c>
      <c r="F1091" s="239" t="s">
        <v>417</v>
      </c>
      <c r="G1091" s="239" t="s">
        <v>949</v>
      </c>
      <c r="H1091" s="239" t="s">
        <v>51</v>
      </c>
      <c r="I1091" s="239" t="s">
        <v>2882</v>
      </c>
      <c r="J1091" s="234">
        <v>38280</v>
      </c>
      <c r="K1091" s="234">
        <v>15030</v>
      </c>
      <c r="L1091" s="242">
        <v>22</v>
      </c>
      <c r="M1091" s="234">
        <v>23250</v>
      </c>
      <c r="N1091" s="234">
        <v>18135</v>
      </c>
      <c r="O1091" s="243" t="s">
        <v>3068</v>
      </c>
      <c r="P1091" s="236">
        <v>45950</v>
      </c>
    </row>
    <row r="1092" spans="1:16" ht="51" customHeight="1">
      <c r="A1092" s="239" t="s">
        <v>3055</v>
      </c>
      <c r="B1092" s="240">
        <v>2499</v>
      </c>
      <c r="C1092" s="241">
        <v>78</v>
      </c>
      <c r="D1092" s="239" t="s">
        <v>2881</v>
      </c>
      <c r="E1092" s="239" t="s">
        <v>420</v>
      </c>
      <c r="F1092" s="239" t="s">
        <v>421</v>
      </c>
      <c r="G1092" s="239" t="s">
        <v>949</v>
      </c>
      <c r="H1092" s="239" t="s">
        <v>51</v>
      </c>
      <c r="I1092" s="239" t="s">
        <v>2882</v>
      </c>
      <c r="J1092" s="234">
        <v>36970</v>
      </c>
      <c r="K1092" s="234">
        <v>15200</v>
      </c>
      <c r="L1092" s="242">
        <v>11</v>
      </c>
      <c r="M1092" s="234">
        <v>21770</v>
      </c>
      <c r="N1092" s="234">
        <v>19375.3</v>
      </c>
      <c r="O1092" s="243" t="s">
        <v>3069</v>
      </c>
      <c r="P1092" s="236">
        <v>45950</v>
      </c>
    </row>
    <row r="1093" spans="1:16" ht="51" customHeight="1">
      <c r="A1093" s="239" t="s">
        <v>3056</v>
      </c>
      <c r="B1093" s="240">
        <v>2501</v>
      </c>
      <c r="C1093" s="241">
        <v>79</v>
      </c>
      <c r="D1093" s="239" t="s">
        <v>2881</v>
      </c>
      <c r="E1093" s="239" t="s">
        <v>456</v>
      </c>
      <c r="F1093" s="239" t="s">
        <v>457</v>
      </c>
      <c r="G1093" s="239" t="s">
        <v>949</v>
      </c>
      <c r="H1093" s="239" t="s">
        <v>51</v>
      </c>
      <c r="I1093" s="239" t="s">
        <v>2882</v>
      </c>
      <c r="J1093" s="234">
        <v>45180</v>
      </c>
      <c r="K1093" s="234">
        <v>16220</v>
      </c>
      <c r="L1093" s="242">
        <v>12</v>
      </c>
      <c r="M1093" s="234">
        <v>28960</v>
      </c>
      <c r="N1093" s="234">
        <v>25484.799999999999</v>
      </c>
      <c r="O1093" s="243" t="s">
        <v>3070</v>
      </c>
      <c r="P1093" s="236">
        <v>45950</v>
      </c>
    </row>
    <row r="1094" spans="1:16" ht="51" customHeight="1">
      <c r="A1094" s="239" t="s">
        <v>3057</v>
      </c>
      <c r="B1094" s="240">
        <v>2502</v>
      </c>
      <c r="C1094" s="241">
        <v>80</v>
      </c>
      <c r="D1094" s="239" t="s">
        <v>2881</v>
      </c>
      <c r="E1094" s="239" t="s">
        <v>377</v>
      </c>
      <c r="F1094" s="239" t="s">
        <v>378</v>
      </c>
      <c r="G1094" s="239" t="s">
        <v>949</v>
      </c>
      <c r="H1094" s="239" t="s">
        <v>51</v>
      </c>
      <c r="I1094" s="239" t="s">
        <v>2882</v>
      </c>
      <c r="J1094" s="234">
        <v>40060</v>
      </c>
      <c r="K1094" s="234">
        <v>15290</v>
      </c>
      <c r="L1094" s="242">
        <v>11</v>
      </c>
      <c r="M1094" s="234">
        <v>24770</v>
      </c>
      <c r="N1094" s="234">
        <v>22045.3</v>
      </c>
      <c r="O1094" s="243" t="s">
        <v>3071</v>
      </c>
      <c r="P1094" s="236">
        <v>45950</v>
      </c>
    </row>
    <row r="1095" spans="1:16" ht="51" customHeight="1">
      <c r="A1095" s="239" t="s">
        <v>3825</v>
      </c>
      <c r="B1095" s="240">
        <v>2503</v>
      </c>
      <c r="C1095" s="241">
        <v>81</v>
      </c>
      <c r="D1095" s="239" t="s">
        <v>2881</v>
      </c>
      <c r="E1095" s="239" t="s">
        <v>384</v>
      </c>
      <c r="F1095" s="239" t="s">
        <v>385</v>
      </c>
      <c r="G1095" s="239" t="s">
        <v>949</v>
      </c>
      <c r="H1095" s="239" t="s">
        <v>51</v>
      </c>
      <c r="I1095" s="239" t="s">
        <v>2882</v>
      </c>
      <c r="J1095" s="234">
        <v>35000</v>
      </c>
      <c r="K1095" s="234">
        <v>14040</v>
      </c>
      <c r="L1095" s="242">
        <v>17</v>
      </c>
      <c r="M1095" s="234">
        <v>20960</v>
      </c>
      <c r="N1095" s="234">
        <v>17396.8</v>
      </c>
      <c r="O1095" s="243" t="s">
        <v>3072</v>
      </c>
      <c r="P1095" s="236">
        <v>45951</v>
      </c>
    </row>
    <row r="1096" spans="1:16" ht="51" customHeight="1">
      <c r="A1096" s="239" t="s">
        <v>3073</v>
      </c>
      <c r="B1096" s="240">
        <v>2504</v>
      </c>
      <c r="C1096" s="241">
        <v>82</v>
      </c>
      <c r="D1096" s="239" t="s">
        <v>2881</v>
      </c>
      <c r="E1096" s="239" t="s">
        <v>400</v>
      </c>
      <c r="F1096" s="239" t="s">
        <v>401</v>
      </c>
      <c r="G1096" s="239" t="s">
        <v>949</v>
      </c>
      <c r="H1096" s="239" t="s">
        <v>51</v>
      </c>
      <c r="I1096" s="239" t="s">
        <v>2882</v>
      </c>
      <c r="J1096" s="234">
        <v>37350</v>
      </c>
      <c r="K1096" s="234">
        <v>14880</v>
      </c>
      <c r="L1096" s="242">
        <v>19</v>
      </c>
      <c r="M1096" s="234">
        <v>22470</v>
      </c>
      <c r="N1096" s="234">
        <v>18200.7</v>
      </c>
      <c r="O1096" s="243" t="s">
        <v>3075</v>
      </c>
      <c r="P1096" s="236">
        <v>45951</v>
      </c>
    </row>
    <row r="1097" spans="1:16" ht="51" customHeight="1">
      <c r="A1097" s="239" t="s">
        <v>3074</v>
      </c>
      <c r="B1097" s="240">
        <v>2505</v>
      </c>
      <c r="C1097" s="241">
        <v>83</v>
      </c>
      <c r="D1097" s="239" t="s">
        <v>2881</v>
      </c>
      <c r="E1097" s="239" t="s">
        <v>866</v>
      </c>
      <c r="F1097" s="239" t="s">
        <v>867</v>
      </c>
      <c r="G1097" s="239" t="s">
        <v>949</v>
      </c>
      <c r="H1097" s="239" t="s">
        <v>51</v>
      </c>
      <c r="I1097" s="239" t="s">
        <v>2882</v>
      </c>
      <c r="J1097" s="234">
        <v>38050</v>
      </c>
      <c r="K1097" s="234">
        <v>14640</v>
      </c>
      <c r="L1097" s="242">
        <v>12</v>
      </c>
      <c r="M1097" s="234">
        <v>23410</v>
      </c>
      <c r="N1097" s="234">
        <v>20600.8</v>
      </c>
      <c r="O1097" s="243" t="s">
        <v>3076</v>
      </c>
      <c r="P1097" s="236">
        <v>45951</v>
      </c>
    </row>
    <row r="1098" spans="1:16" ht="51" customHeight="1">
      <c r="A1098" s="239" t="s">
        <v>3077</v>
      </c>
      <c r="B1098" s="240">
        <v>2507</v>
      </c>
      <c r="C1098" s="241">
        <v>84</v>
      </c>
      <c r="D1098" s="239" t="s">
        <v>2881</v>
      </c>
      <c r="E1098" s="239" t="s">
        <v>369</v>
      </c>
      <c r="F1098" s="239" t="s">
        <v>370</v>
      </c>
      <c r="G1098" s="239" t="s">
        <v>949</v>
      </c>
      <c r="H1098" s="239" t="s">
        <v>51</v>
      </c>
      <c r="I1098" s="239" t="s">
        <v>2882</v>
      </c>
      <c r="J1098" s="234">
        <v>37520</v>
      </c>
      <c r="K1098" s="234">
        <v>15320</v>
      </c>
      <c r="L1098" s="242">
        <v>19</v>
      </c>
      <c r="M1098" s="234">
        <v>22200</v>
      </c>
      <c r="N1098" s="234">
        <v>17982</v>
      </c>
      <c r="O1098" s="243" t="s">
        <v>3079</v>
      </c>
      <c r="P1098" s="236">
        <v>45951</v>
      </c>
    </row>
    <row r="1099" spans="1:16" ht="51" customHeight="1">
      <c r="A1099" s="239" t="s">
        <v>3078</v>
      </c>
      <c r="B1099" s="240">
        <v>2508</v>
      </c>
      <c r="C1099" s="241">
        <v>85</v>
      </c>
      <c r="D1099" s="239" t="s">
        <v>2881</v>
      </c>
      <c r="E1099" s="239" t="s">
        <v>447</v>
      </c>
      <c r="F1099" s="239" t="s">
        <v>448</v>
      </c>
      <c r="G1099" s="239" t="s">
        <v>949</v>
      </c>
      <c r="H1099" s="239" t="s">
        <v>51</v>
      </c>
      <c r="I1099" s="239" t="s">
        <v>2882</v>
      </c>
      <c r="J1099" s="234">
        <v>40140</v>
      </c>
      <c r="K1099" s="234">
        <v>15910</v>
      </c>
      <c r="L1099" s="242">
        <v>15</v>
      </c>
      <c r="M1099" s="234">
        <v>24230</v>
      </c>
      <c r="N1099" s="234">
        <v>20595.5</v>
      </c>
      <c r="O1099" s="243" t="s">
        <v>3080</v>
      </c>
      <c r="P1099" s="236">
        <v>45951</v>
      </c>
    </row>
    <row r="1100" spans="1:16" ht="51" customHeight="1">
      <c r="A1100" s="239" t="s">
        <v>3081</v>
      </c>
      <c r="B1100" s="240">
        <v>2509</v>
      </c>
      <c r="C1100" s="241">
        <v>86</v>
      </c>
      <c r="D1100" s="239" t="s">
        <v>2881</v>
      </c>
      <c r="E1100" s="239" t="s">
        <v>858</v>
      </c>
      <c r="F1100" s="239" t="s">
        <v>859</v>
      </c>
      <c r="G1100" s="239" t="s">
        <v>949</v>
      </c>
      <c r="H1100" s="239" t="s">
        <v>51</v>
      </c>
      <c r="I1100" s="239" t="s">
        <v>2882</v>
      </c>
      <c r="J1100" s="234">
        <v>40400</v>
      </c>
      <c r="K1100" s="234">
        <v>15280</v>
      </c>
      <c r="L1100" s="242">
        <v>26</v>
      </c>
      <c r="M1100" s="234">
        <v>25120</v>
      </c>
      <c r="N1100" s="234">
        <v>18588.8</v>
      </c>
      <c r="O1100" s="243" t="s">
        <v>3082</v>
      </c>
      <c r="P1100" s="236">
        <v>45951</v>
      </c>
    </row>
    <row r="1101" spans="1:16" ht="51" customHeight="1">
      <c r="A1101" s="239" t="s">
        <v>3083</v>
      </c>
      <c r="B1101" s="240">
        <v>2511</v>
      </c>
      <c r="C1101" s="241">
        <v>87</v>
      </c>
      <c r="D1101" s="239" t="s">
        <v>2881</v>
      </c>
      <c r="E1101" s="239" t="s">
        <v>429</v>
      </c>
      <c r="F1101" s="239" t="s">
        <v>430</v>
      </c>
      <c r="G1101" s="239" t="s">
        <v>949</v>
      </c>
      <c r="H1101" s="239" t="s">
        <v>51</v>
      </c>
      <c r="I1101" s="239" t="s">
        <v>2882</v>
      </c>
      <c r="J1101" s="234">
        <v>40870</v>
      </c>
      <c r="K1101" s="234">
        <v>14480</v>
      </c>
      <c r="L1101" s="242">
        <v>16</v>
      </c>
      <c r="M1101" s="234">
        <v>26390</v>
      </c>
      <c r="N1101" s="234">
        <v>22167.599999999999</v>
      </c>
      <c r="O1101" s="243" t="s">
        <v>3084</v>
      </c>
      <c r="P1101" s="236">
        <v>45951</v>
      </c>
    </row>
    <row r="1102" spans="1:16" ht="51" customHeight="1">
      <c r="A1102" s="239" t="s">
        <v>3085</v>
      </c>
      <c r="B1102" s="240">
        <v>2513</v>
      </c>
      <c r="C1102" s="241">
        <v>88</v>
      </c>
      <c r="D1102" s="239" t="s">
        <v>2881</v>
      </c>
      <c r="E1102" s="239" t="s">
        <v>442</v>
      </c>
      <c r="F1102" s="239" t="s">
        <v>443</v>
      </c>
      <c r="G1102" s="239" t="s">
        <v>949</v>
      </c>
      <c r="H1102" s="239" t="s">
        <v>51</v>
      </c>
      <c r="I1102" s="239" t="s">
        <v>2882</v>
      </c>
      <c r="J1102" s="234">
        <v>34330</v>
      </c>
      <c r="K1102" s="234">
        <v>14710</v>
      </c>
      <c r="L1102" s="242">
        <v>18</v>
      </c>
      <c r="M1102" s="234">
        <v>19620</v>
      </c>
      <c r="N1102" s="234">
        <v>16088.4</v>
      </c>
      <c r="O1102" s="243" t="s">
        <v>3087</v>
      </c>
      <c r="P1102" s="236">
        <v>45951</v>
      </c>
    </row>
    <row r="1103" spans="1:16" ht="51" customHeight="1">
      <c r="A1103" s="239" t="s">
        <v>3086</v>
      </c>
      <c r="B1103" s="240">
        <v>2518</v>
      </c>
      <c r="C1103" s="241">
        <v>89</v>
      </c>
      <c r="D1103" s="239" t="s">
        <v>2881</v>
      </c>
      <c r="E1103" s="239" t="s">
        <v>780</v>
      </c>
      <c r="F1103" s="239" t="s">
        <v>781</v>
      </c>
      <c r="G1103" s="239" t="s">
        <v>949</v>
      </c>
      <c r="H1103" s="239" t="s">
        <v>51</v>
      </c>
      <c r="I1103" s="239" t="s">
        <v>2882</v>
      </c>
      <c r="J1103" s="234">
        <v>34900</v>
      </c>
      <c r="K1103" s="234">
        <v>15120</v>
      </c>
      <c r="L1103" s="242">
        <v>13</v>
      </c>
      <c r="M1103" s="234">
        <v>19780</v>
      </c>
      <c r="N1103" s="234">
        <v>17208.599999999999</v>
      </c>
      <c r="O1103" s="243" t="s">
        <v>3088</v>
      </c>
      <c r="P1103" s="236">
        <v>45951</v>
      </c>
    </row>
    <row r="1104" spans="1:16" ht="51" customHeight="1">
      <c r="A1104" s="239" t="s">
        <v>3089</v>
      </c>
      <c r="B1104" s="240">
        <v>2521</v>
      </c>
      <c r="C1104" s="241">
        <v>1</v>
      </c>
      <c r="D1104" s="239" t="s">
        <v>2482</v>
      </c>
      <c r="E1104" s="239" t="s">
        <v>390</v>
      </c>
      <c r="F1104" s="239" t="s">
        <v>391</v>
      </c>
      <c r="G1104" s="239" t="s">
        <v>960</v>
      </c>
      <c r="H1104" s="239" t="s">
        <v>51</v>
      </c>
      <c r="I1104" s="239" t="s">
        <v>2465</v>
      </c>
      <c r="J1104" s="234">
        <v>39290</v>
      </c>
      <c r="K1104" s="234">
        <v>15090</v>
      </c>
      <c r="L1104" s="242">
        <v>27</v>
      </c>
      <c r="M1104" s="234">
        <v>24200</v>
      </c>
      <c r="N1104" s="234">
        <v>17666</v>
      </c>
      <c r="O1104" s="243" t="s">
        <v>3106</v>
      </c>
      <c r="P1104" s="236">
        <v>45951</v>
      </c>
    </row>
    <row r="1105" spans="1:16" ht="51" customHeight="1">
      <c r="A1105" s="239" t="s">
        <v>3090</v>
      </c>
      <c r="B1105" s="240">
        <v>2523</v>
      </c>
      <c r="C1105" s="241">
        <v>92</v>
      </c>
      <c r="D1105" s="239" t="s">
        <v>2881</v>
      </c>
      <c r="E1105" s="239" t="s">
        <v>374</v>
      </c>
      <c r="F1105" s="239" t="s">
        <v>375</v>
      </c>
      <c r="G1105" s="239" t="s">
        <v>949</v>
      </c>
      <c r="H1105" s="239" t="s">
        <v>51</v>
      </c>
      <c r="I1105" s="239" t="s">
        <v>2882</v>
      </c>
      <c r="J1105" s="234">
        <v>39510</v>
      </c>
      <c r="K1105" s="234">
        <v>15800</v>
      </c>
      <c r="L1105" s="242">
        <v>5</v>
      </c>
      <c r="M1105" s="234">
        <v>23710</v>
      </c>
      <c r="N1105" s="234">
        <v>22524.5</v>
      </c>
      <c r="O1105" s="243" t="s">
        <v>3107</v>
      </c>
      <c r="P1105" s="236">
        <v>45951</v>
      </c>
    </row>
    <row r="1106" spans="1:16" ht="51" customHeight="1">
      <c r="A1106" s="239" t="s">
        <v>3091</v>
      </c>
      <c r="B1106" s="240">
        <v>2524</v>
      </c>
      <c r="C1106" s="241">
        <v>90</v>
      </c>
      <c r="D1106" s="239" t="s">
        <v>2881</v>
      </c>
      <c r="E1106" s="239" t="s">
        <v>1410</v>
      </c>
      <c r="F1106" s="239" t="s">
        <v>437</v>
      </c>
      <c r="G1106" s="239" t="s">
        <v>949</v>
      </c>
      <c r="H1106" s="239" t="s">
        <v>51</v>
      </c>
      <c r="I1106" s="239" t="s">
        <v>2882</v>
      </c>
      <c r="J1106" s="234">
        <v>39990</v>
      </c>
      <c r="K1106" s="234">
        <v>15210</v>
      </c>
      <c r="L1106" s="242">
        <v>7</v>
      </c>
      <c r="M1106" s="234">
        <v>24780</v>
      </c>
      <c r="N1106" s="234">
        <v>23045.4</v>
      </c>
      <c r="O1106" s="243" t="s">
        <v>3108</v>
      </c>
      <c r="P1106" s="236">
        <v>45951</v>
      </c>
    </row>
    <row r="1107" spans="1:16" ht="51" customHeight="1">
      <c r="A1107" s="239" t="s">
        <v>3094</v>
      </c>
      <c r="B1107" s="240">
        <v>2525</v>
      </c>
      <c r="C1107" s="241">
        <v>91</v>
      </c>
      <c r="D1107" s="239" t="s">
        <v>2881</v>
      </c>
      <c r="E1107" s="239" t="s">
        <v>439</v>
      </c>
      <c r="F1107" s="239" t="s">
        <v>440</v>
      </c>
      <c r="G1107" s="239" t="s">
        <v>949</v>
      </c>
      <c r="H1107" s="239" t="s">
        <v>51</v>
      </c>
      <c r="I1107" s="239" t="s">
        <v>2882</v>
      </c>
      <c r="J1107" s="234">
        <v>42050</v>
      </c>
      <c r="K1107" s="234">
        <v>15420</v>
      </c>
      <c r="L1107" s="242">
        <v>28</v>
      </c>
      <c r="M1107" s="234">
        <v>26630</v>
      </c>
      <c r="N1107" s="234">
        <v>19173.599999999999</v>
      </c>
      <c r="O1107" s="243" t="s">
        <v>3111</v>
      </c>
      <c r="P1107" s="236">
        <v>45951</v>
      </c>
    </row>
    <row r="1108" spans="1:16" ht="51" customHeight="1">
      <c r="A1108" s="239" t="s">
        <v>3097</v>
      </c>
      <c r="B1108" s="240">
        <v>2526</v>
      </c>
      <c r="C1108" s="241">
        <v>93</v>
      </c>
      <c r="D1108" s="239" t="s">
        <v>2881</v>
      </c>
      <c r="E1108" s="239" t="s">
        <v>413</v>
      </c>
      <c r="F1108" s="239" t="s">
        <v>414</v>
      </c>
      <c r="G1108" s="239" t="s">
        <v>949</v>
      </c>
      <c r="H1108" s="239" t="s">
        <v>51</v>
      </c>
      <c r="I1108" s="239" t="s">
        <v>2882</v>
      </c>
      <c r="J1108" s="234">
        <v>42910</v>
      </c>
      <c r="K1108" s="234">
        <v>15260</v>
      </c>
      <c r="L1108" s="242">
        <v>7</v>
      </c>
      <c r="M1108" s="234">
        <v>27650</v>
      </c>
      <c r="N1108" s="234">
        <v>25714.5</v>
      </c>
      <c r="O1108" s="243" t="s">
        <v>3114</v>
      </c>
      <c r="P1108" s="236">
        <v>45951</v>
      </c>
    </row>
    <row r="1109" spans="1:16" ht="51" customHeight="1">
      <c r="A1109" s="239" t="s">
        <v>3092</v>
      </c>
      <c r="B1109" s="240">
        <v>2527</v>
      </c>
      <c r="C1109" s="241">
        <v>94</v>
      </c>
      <c r="D1109" s="239" t="s">
        <v>2881</v>
      </c>
      <c r="E1109" s="239" t="s">
        <v>416</v>
      </c>
      <c r="F1109" s="239" t="s">
        <v>417</v>
      </c>
      <c r="G1109" s="239" t="s">
        <v>949</v>
      </c>
      <c r="H1109" s="239" t="s">
        <v>51</v>
      </c>
      <c r="I1109" s="239" t="s">
        <v>2882</v>
      </c>
      <c r="J1109" s="234">
        <v>39240</v>
      </c>
      <c r="K1109" s="234">
        <v>15010</v>
      </c>
      <c r="L1109" s="242">
        <v>13</v>
      </c>
      <c r="M1109" s="234">
        <v>24230</v>
      </c>
      <c r="N1109" s="234">
        <v>21080.1</v>
      </c>
      <c r="O1109" s="243" t="s">
        <v>3109</v>
      </c>
      <c r="P1109" s="236">
        <v>45951</v>
      </c>
    </row>
    <row r="1110" spans="1:16" ht="51" customHeight="1">
      <c r="A1110" s="239" t="s">
        <v>3093</v>
      </c>
      <c r="B1110" s="240">
        <v>2528</v>
      </c>
      <c r="C1110" s="241">
        <v>95</v>
      </c>
      <c r="D1110" s="239" t="s">
        <v>2881</v>
      </c>
      <c r="E1110" s="239" t="s">
        <v>420</v>
      </c>
      <c r="F1110" s="239" t="s">
        <v>421</v>
      </c>
      <c r="G1110" s="239" t="s">
        <v>949</v>
      </c>
      <c r="H1110" s="239" t="s">
        <v>51</v>
      </c>
      <c r="I1110" s="239" t="s">
        <v>2882</v>
      </c>
      <c r="J1110" s="234">
        <v>37070</v>
      </c>
      <c r="K1110" s="234">
        <v>15020</v>
      </c>
      <c r="L1110" s="242">
        <v>21</v>
      </c>
      <c r="M1110" s="234">
        <v>22050</v>
      </c>
      <c r="N1110" s="234">
        <v>17419.5</v>
      </c>
      <c r="O1110" s="243" t="s">
        <v>3110</v>
      </c>
      <c r="P1110" s="236">
        <v>45951</v>
      </c>
    </row>
    <row r="1111" spans="1:16" ht="51" customHeight="1">
      <c r="A1111" s="239" t="s">
        <v>3095</v>
      </c>
      <c r="B1111" s="240">
        <v>2530</v>
      </c>
      <c r="C1111" s="241">
        <v>97</v>
      </c>
      <c r="D1111" s="239" t="s">
        <v>2881</v>
      </c>
      <c r="E1111" s="239" t="s">
        <v>377</v>
      </c>
      <c r="F1111" s="239" t="s">
        <v>378</v>
      </c>
      <c r="G1111" s="239" t="s">
        <v>949</v>
      </c>
      <c r="H1111" s="239" t="s">
        <v>51</v>
      </c>
      <c r="I1111" s="239" t="s">
        <v>2882</v>
      </c>
      <c r="J1111" s="234">
        <v>42430</v>
      </c>
      <c r="K1111" s="234">
        <v>15310</v>
      </c>
      <c r="L1111" s="242">
        <v>7</v>
      </c>
      <c r="M1111" s="234">
        <v>27120</v>
      </c>
      <c r="N1111" s="234">
        <v>25221.599999999999</v>
      </c>
      <c r="O1111" s="243" t="s">
        <v>3112</v>
      </c>
      <c r="P1111" s="236">
        <v>45951</v>
      </c>
    </row>
    <row r="1112" spans="1:16" ht="51" customHeight="1">
      <c r="A1112" s="239" t="s">
        <v>3096</v>
      </c>
      <c r="B1112" s="240">
        <v>2531</v>
      </c>
      <c r="C1112" s="241">
        <v>10324</v>
      </c>
      <c r="D1112" s="239" t="s">
        <v>2511</v>
      </c>
      <c r="E1112" s="239" t="s">
        <v>462</v>
      </c>
      <c r="F1112" s="239" t="s">
        <v>463</v>
      </c>
      <c r="G1112" s="239" t="s">
        <v>932</v>
      </c>
      <c r="H1112" s="239" t="s">
        <v>51</v>
      </c>
      <c r="I1112" s="239" t="s">
        <v>2512</v>
      </c>
      <c r="J1112" s="234">
        <v>39440</v>
      </c>
      <c r="K1112" s="234">
        <v>16350</v>
      </c>
      <c r="L1112" s="242">
        <v>15</v>
      </c>
      <c r="M1112" s="234">
        <v>23090</v>
      </c>
      <c r="N1112" s="234">
        <v>19626.5</v>
      </c>
      <c r="O1112" s="243" t="s">
        <v>3113</v>
      </c>
      <c r="P1112" s="236">
        <v>45951</v>
      </c>
    </row>
    <row r="1113" spans="1:16" ht="51" customHeight="1">
      <c r="A1113" s="239" t="s">
        <v>3098</v>
      </c>
      <c r="B1113" s="240">
        <v>2532</v>
      </c>
      <c r="C1113" s="241">
        <v>10325</v>
      </c>
      <c r="D1113" s="239" t="s">
        <v>2511</v>
      </c>
      <c r="E1113" s="239" t="s">
        <v>472</v>
      </c>
      <c r="F1113" s="239" t="s">
        <v>473</v>
      </c>
      <c r="G1113" s="239" t="s">
        <v>932</v>
      </c>
      <c r="H1113" s="239" t="s">
        <v>51</v>
      </c>
      <c r="I1113" s="239" t="s">
        <v>2512</v>
      </c>
      <c r="J1113" s="234">
        <v>40740</v>
      </c>
      <c r="K1113" s="234">
        <v>16460</v>
      </c>
      <c r="L1113" s="242">
        <v>11</v>
      </c>
      <c r="M1113" s="234">
        <v>24280</v>
      </c>
      <c r="N1113" s="234">
        <v>21609.200000000001</v>
      </c>
      <c r="O1113" s="243" t="s">
        <v>3115</v>
      </c>
      <c r="P1113" s="236">
        <v>45951</v>
      </c>
    </row>
    <row r="1114" spans="1:16" ht="51" customHeight="1">
      <c r="A1114" s="239" t="s">
        <v>3099</v>
      </c>
      <c r="B1114" s="240">
        <v>2533</v>
      </c>
      <c r="C1114" s="241">
        <v>96</v>
      </c>
      <c r="D1114" s="239" t="s">
        <v>2881</v>
      </c>
      <c r="E1114" s="239" t="s">
        <v>456</v>
      </c>
      <c r="F1114" s="239" t="s">
        <v>457</v>
      </c>
      <c r="G1114" s="239" t="s">
        <v>949</v>
      </c>
      <c r="H1114" s="239" t="s">
        <v>51</v>
      </c>
      <c r="I1114" s="239" t="s">
        <v>2882</v>
      </c>
      <c r="J1114" s="234">
        <v>45390</v>
      </c>
      <c r="K1114" s="234">
        <v>16090</v>
      </c>
      <c r="L1114" s="242">
        <v>12</v>
      </c>
      <c r="M1114" s="234">
        <v>29300</v>
      </c>
      <c r="N1114" s="234">
        <v>25784</v>
      </c>
      <c r="O1114" s="243" t="s">
        <v>3116</v>
      </c>
      <c r="P1114" s="236">
        <v>45951</v>
      </c>
    </row>
    <row r="1115" spans="1:16" ht="51" customHeight="1">
      <c r="A1115" s="239" t="s">
        <v>3100</v>
      </c>
      <c r="B1115" s="240">
        <v>2535</v>
      </c>
      <c r="C1115" s="241">
        <v>10327</v>
      </c>
      <c r="D1115" s="239" t="s">
        <v>2511</v>
      </c>
      <c r="E1115" s="239" t="s">
        <v>841</v>
      </c>
      <c r="F1115" s="239" t="s">
        <v>845</v>
      </c>
      <c r="G1115" s="239" t="s">
        <v>932</v>
      </c>
      <c r="H1115" s="239" t="s">
        <v>51</v>
      </c>
      <c r="I1115" s="239" t="s">
        <v>2512</v>
      </c>
      <c r="J1115" s="234">
        <v>41850</v>
      </c>
      <c r="K1115" s="234">
        <v>15910</v>
      </c>
      <c r="L1115" s="242">
        <v>9</v>
      </c>
      <c r="M1115" s="234">
        <v>25940</v>
      </c>
      <c r="N1115" s="234">
        <v>23605.4</v>
      </c>
      <c r="O1115" s="243" t="s">
        <v>3117</v>
      </c>
      <c r="P1115" s="236">
        <v>45951</v>
      </c>
    </row>
    <row r="1116" spans="1:16" ht="51" customHeight="1">
      <c r="A1116" s="239" t="s">
        <v>3101</v>
      </c>
      <c r="B1116" s="240">
        <v>2536</v>
      </c>
      <c r="C1116" s="241">
        <v>10326</v>
      </c>
      <c r="D1116" s="239" t="s">
        <v>2511</v>
      </c>
      <c r="E1116" s="239" t="s">
        <v>791</v>
      </c>
      <c r="F1116" s="239" t="s">
        <v>792</v>
      </c>
      <c r="G1116" s="239" t="s">
        <v>932</v>
      </c>
      <c r="H1116" s="239" t="s">
        <v>51</v>
      </c>
      <c r="I1116" s="239" t="s">
        <v>2512</v>
      </c>
      <c r="J1116" s="234">
        <v>39980</v>
      </c>
      <c r="K1116" s="234">
        <v>14970</v>
      </c>
      <c r="L1116" s="242">
        <v>14</v>
      </c>
      <c r="M1116" s="234">
        <v>25010</v>
      </c>
      <c r="N1116" s="234">
        <v>21508.6</v>
      </c>
      <c r="O1116" s="243" t="s">
        <v>3118</v>
      </c>
      <c r="P1116" s="236">
        <v>45951</v>
      </c>
    </row>
    <row r="1117" spans="1:16" ht="51" customHeight="1">
      <c r="A1117" s="239" t="s">
        <v>3102</v>
      </c>
      <c r="B1117" s="240">
        <v>2537</v>
      </c>
      <c r="C1117" s="241">
        <v>10328</v>
      </c>
      <c r="D1117" s="239" t="s">
        <v>2511</v>
      </c>
      <c r="E1117" s="239" t="s">
        <v>794</v>
      </c>
      <c r="F1117" s="239" t="s">
        <v>795</v>
      </c>
      <c r="G1117" s="239" t="s">
        <v>932</v>
      </c>
      <c r="H1117" s="239" t="s">
        <v>51</v>
      </c>
      <c r="I1117" s="239" t="s">
        <v>2512</v>
      </c>
      <c r="J1117" s="234">
        <v>40600</v>
      </c>
      <c r="K1117" s="234">
        <v>16140</v>
      </c>
      <c r="L1117" s="242">
        <v>8</v>
      </c>
      <c r="M1117" s="234">
        <v>24460</v>
      </c>
      <c r="N1117" s="234">
        <v>22503.200000000001</v>
      </c>
      <c r="O1117" s="243" t="s">
        <v>3119</v>
      </c>
      <c r="P1117" s="236">
        <v>45951</v>
      </c>
    </row>
    <row r="1118" spans="1:16" ht="51" customHeight="1">
      <c r="A1118" s="239" t="s">
        <v>3103</v>
      </c>
      <c r="B1118" s="240">
        <v>2540</v>
      </c>
      <c r="C1118" s="241">
        <v>10329</v>
      </c>
      <c r="D1118" s="239" t="s">
        <v>2511</v>
      </c>
      <c r="E1118" s="239" t="s">
        <v>786</v>
      </c>
      <c r="F1118" s="239" t="s">
        <v>787</v>
      </c>
      <c r="G1118" s="239" t="s">
        <v>932</v>
      </c>
      <c r="H1118" s="239" t="s">
        <v>51</v>
      </c>
      <c r="I1118" s="239" t="s">
        <v>2512</v>
      </c>
      <c r="J1118" s="234">
        <v>35810</v>
      </c>
      <c r="K1118" s="234">
        <v>13990</v>
      </c>
      <c r="L1118" s="242">
        <v>9</v>
      </c>
      <c r="M1118" s="234">
        <v>21820</v>
      </c>
      <c r="N1118" s="234">
        <v>19856.2</v>
      </c>
      <c r="O1118" s="243" t="s">
        <v>3120</v>
      </c>
      <c r="P1118" s="236">
        <v>45952</v>
      </c>
    </row>
    <row r="1119" spans="1:16" ht="51" customHeight="1">
      <c r="A1119" s="239" t="s">
        <v>3104</v>
      </c>
      <c r="B1119" s="240">
        <v>2541</v>
      </c>
      <c r="C1119" s="241">
        <v>10343</v>
      </c>
      <c r="D1119" s="239" t="s">
        <v>2511</v>
      </c>
      <c r="E1119" s="239" t="s">
        <v>783</v>
      </c>
      <c r="F1119" s="239" t="s">
        <v>784</v>
      </c>
      <c r="G1119" s="239" t="s">
        <v>932</v>
      </c>
      <c r="H1119" s="239" t="s">
        <v>51</v>
      </c>
      <c r="I1119" s="239" t="s">
        <v>2512</v>
      </c>
      <c r="J1119" s="234">
        <v>38400</v>
      </c>
      <c r="K1119" s="234">
        <v>14640</v>
      </c>
      <c r="L1119" s="242">
        <v>10</v>
      </c>
      <c r="M1119" s="234">
        <v>23760</v>
      </c>
      <c r="N1119" s="234">
        <v>21384</v>
      </c>
      <c r="O1119" s="243" t="s">
        <v>3121</v>
      </c>
      <c r="P1119" s="236">
        <v>45952</v>
      </c>
    </row>
    <row r="1120" spans="1:16" ht="51" customHeight="1">
      <c r="A1120" s="239" t="s">
        <v>3105</v>
      </c>
      <c r="B1120" s="240">
        <v>2542</v>
      </c>
      <c r="C1120" s="241">
        <v>10335</v>
      </c>
      <c r="D1120" s="239" t="s">
        <v>2511</v>
      </c>
      <c r="E1120" s="239" t="s">
        <v>380</v>
      </c>
      <c r="F1120" s="239" t="s">
        <v>381</v>
      </c>
      <c r="G1120" s="239" t="s">
        <v>932</v>
      </c>
      <c r="H1120" s="239" t="s">
        <v>51</v>
      </c>
      <c r="I1120" s="239" t="s">
        <v>2512</v>
      </c>
      <c r="J1120" s="234">
        <v>39480</v>
      </c>
      <c r="K1120" s="234">
        <v>15210</v>
      </c>
      <c r="L1120" s="242">
        <v>17</v>
      </c>
      <c r="M1120" s="234">
        <v>24270</v>
      </c>
      <c r="N1120" s="234">
        <v>20144.099999999999</v>
      </c>
      <c r="O1120" s="243" t="s">
        <v>3122</v>
      </c>
      <c r="P1120" s="236">
        <v>45952</v>
      </c>
    </row>
    <row r="1121" spans="1:16" ht="51" customHeight="1">
      <c r="A1121" s="239" t="s">
        <v>3124</v>
      </c>
      <c r="B1121" s="240">
        <v>2544</v>
      </c>
      <c r="C1121" s="241">
        <v>10338</v>
      </c>
      <c r="D1121" s="239" t="s">
        <v>2511</v>
      </c>
      <c r="E1121" s="239" t="s">
        <v>1397</v>
      </c>
      <c r="F1121" s="239" t="s">
        <v>1398</v>
      </c>
      <c r="G1121" s="239" t="s">
        <v>932</v>
      </c>
      <c r="H1121" s="239" t="s">
        <v>51</v>
      </c>
      <c r="I1121" s="239" t="s">
        <v>2512</v>
      </c>
      <c r="J1121" s="234">
        <v>42400</v>
      </c>
      <c r="K1121" s="234">
        <v>17160</v>
      </c>
      <c r="L1121" s="242">
        <v>16</v>
      </c>
      <c r="M1121" s="234">
        <v>25240</v>
      </c>
      <c r="N1121" s="234">
        <v>21201.599999999999</v>
      </c>
      <c r="O1121" s="243" t="s">
        <v>3125</v>
      </c>
      <c r="P1121" s="236">
        <v>45952</v>
      </c>
    </row>
    <row r="1122" spans="1:16" ht="51" customHeight="1">
      <c r="A1122" s="239" t="s">
        <v>3126</v>
      </c>
      <c r="B1122" s="240">
        <v>2545</v>
      </c>
      <c r="C1122" s="241">
        <v>10348</v>
      </c>
      <c r="D1122" s="239" t="s">
        <v>2511</v>
      </c>
      <c r="E1122" s="239" t="s">
        <v>1400</v>
      </c>
      <c r="F1122" s="239" t="s">
        <v>1401</v>
      </c>
      <c r="G1122" s="239" t="s">
        <v>932</v>
      </c>
      <c r="H1122" s="239" t="s">
        <v>51</v>
      </c>
      <c r="I1122" s="239" t="s">
        <v>2512</v>
      </c>
      <c r="J1122" s="234">
        <v>36500</v>
      </c>
      <c r="K1122" s="234">
        <v>14750</v>
      </c>
      <c r="L1122" s="242">
        <v>6</v>
      </c>
      <c r="M1122" s="234">
        <v>21750</v>
      </c>
      <c r="N1122" s="234">
        <v>20445</v>
      </c>
      <c r="O1122" s="243" t="s">
        <v>3127</v>
      </c>
      <c r="P1122" s="236">
        <v>45952</v>
      </c>
    </row>
    <row r="1123" spans="1:16" ht="51" customHeight="1">
      <c r="A1123" s="239" t="s">
        <v>3128</v>
      </c>
      <c r="B1123" s="240">
        <v>2546</v>
      </c>
      <c r="C1123" s="241">
        <v>10350</v>
      </c>
      <c r="D1123" s="239" t="s">
        <v>2511</v>
      </c>
      <c r="E1123" s="239" t="s">
        <v>1403</v>
      </c>
      <c r="F1123" s="239" t="s">
        <v>1404</v>
      </c>
      <c r="G1123" s="239" t="s">
        <v>932</v>
      </c>
      <c r="H1123" s="239" t="s">
        <v>51</v>
      </c>
      <c r="I1123" s="239" t="s">
        <v>2512</v>
      </c>
      <c r="J1123" s="234">
        <v>38610</v>
      </c>
      <c r="K1123" s="234">
        <v>15040</v>
      </c>
      <c r="L1123" s="242">
        <v>14</v>
      </c>
      <c r="M1123" s="234">
        <v>23570</v>
      </c>
      <c r="N1123" s="234">
        <v>20270.2</v>
      </c>
      <c r="O1123" s="243" t="s">
        <v>3129</v>
      </c>
      <c r="P1123" s="236">
        <v>45952</v>
      </c>
    </row>
    <row r="1124" spans="1:16" ht="51" customHeight="1">
      <c r="A1124" s="239" t="s">
        <v>3130</v>
      </c>
      <c r="B1124" s="240">
        <v>2548</v>
      </c>
      <c r="C1124" s="241">
        <v>10351</v>
      </c>
      <c r="D1124" s="239" t="s">
        <v>2511</v>
      </c>
      <c r="E1124" s="239" t="s">
        <v>453</v>
      </c>
      <c r="F1124" s="239" t="s">
        <v>454</v>
      </c>
      <c r="G1124" s="239" t="s">
        <v>932</v>
      </c>
      <c r="H1124" s="239" t="s">
        <v>51</v>
      </c>
      <c r="I1124" s="239" t="s">
        <v>2512</v>
      </c>
      <c r="J1124" s="234">
        <v>65670</v>
      </c>
      <c r="K1124" s="234">
        <v>24580</v>
      </c>
      <c r="L1124" s="242">
        <v>25</v>
      </c>
      <c r="M1124" s="234">
        <v>41090</v>
      </c>
      <c r="N1124" s="234">
        <v>30817.5</v>
      </c>
      <c r="O1124" s="243" t="s">
        <v>3131</v>
      </c>
      <c r="P1124" s="236">
        <v>45952</v>
      </c>
    </row>
    <row r="1125" spans="1:16" ht="51" customHeight="1">
      <c r="A1125" s="239" t="s">
        <v>3132</v>
      </c>
      <c r="B1125" s="240">
        <v>2550</v>
      </c>
      <c r="C1125" s="241">
        <v>10364</v>
      </c>
      <c r="D1125" s="239" t="s">
        <v>2511</v>
      </c>
      <c r="E1125" s="239" t="s">
        <v>2793</v>
      </c>
      <c r="F1125" s="239" t="s">
        <v>2794</v>
      </c>
      <c r="G1125" s="239" t="s">
        <v>932</v>
      </c>
      <c r="H1125" s="239" t="s">
        <v>51</v>
      </c>
      <c r="I1125" s="239" t="s">
        <v>2512</v>
      </c>
      <c r="J1125" s="234">
        <v>47450</v>
      </c>
      <c r="K1125" s="234">
        <v>17540</v>
      </c>
      <c r="L1125" s="242">
        <v>18</v>
      </c>
      <c r="M1125" s="234">
        <v>29910</v>
      </c>
      <c r="N1125" s="234">
        <v>24526.2</v>
      </c>
      <c r="O1125" s="243" t="s">
        <v>3153</v>
      </c>
      <c r="P1125" s="236">
        <v>45952</v>
      </c>
    </row>
    <row r="1126" spans="1:16" ht="51" customHeight="1">
      <c r="A1126" s="239" t="s">
        <v>3152</v>
      </c>
      <c r="B1126" s="240">
        <v>2534</v>
      </c>
      <c r="C1126" s="241">
        <v>2</v>
      </c>
      <c r="D1126" s="239" t="s">
        <v>2482</v>
      </c>
      <c r="E1126" s="239" t="s">
        <v>388</v>
      </c>
      <c r="F1126" s="239" t="s">
        <v>389</v>
      </c>
      <c r="G1126" s="239" t="s">
        <v>960</v>
      </c>
      <c r="H1126" s="239" t="s">
        <v>42</v>
      </c>
      <c r="I1126" s="239" t="s">
        <v>2465</v>
      </c>
      <c r="J1126" s="234">
        <v>27570</v>
      </c>
      <c r="K1126" s="234">
        <v>21520</v>
      </c>
      <c r="L1126" s="242">
        <v>12</v>
      </c>
      <c r="M1126" s="234">
        <v>6050</v>
      </c>
      <c r="N1126" s="234">
        <v>5324</v>
      </c>
      <c r="O1126" s="243" t="s">
        <v>3154</v>
      </c>
      <c r="P1126" s="236">
        <v>45951</v>
      </c>
    </row>
    <row r="1127" spans="1:16" ht="51" customHeight="1">
      <c r="A1127" s="239" t="s">
        <v>3133</v>
      </c>
      <c r="B1127" s="240">
        <v>2551</v>
      </c>
      <c r="C1127" s="241">
        <v>10361</v>
      </c>
      <c r="D1127" s="239" t="s">
        <v>2511</v>
      </c>
      <c r="E1127" s="239" t="s">
        <v>425</v>
      </c>
      <c r="F1127" s="239" t="s">
        <v>426</v>
      </c>
      <c r="G1127" s="239" t="s">
        <v>932</v>
      </c>
      <c r="H1127" s="239" t="s">
        <v>51</v>
      </c>
      <c r="I1127" s="239" t="s">
        <v>2512</v>
      </c>
      <c r="J1127" s="234">
        <v>51140</v>
      </c>
      <c r="K1127" s="234">
        <v>18760</v>
      </c>
      <c r="L1127" s="242">
        <v>12</v>
      </c>
      <c r="M1127" s="234">
        <v>32380</v>
      </c>
      <c r="N1127" s="234">
        <v>28494.400000000001</v>
      </c>
      <c r="O1127" s="243" t="s">
        <v>3155</v>
      </c>
      <c r="P1127" s="236">
        <v>45952</v>
      </c>
    </row>
    <row r="1128" spans="1:16" ht="51" customHeight="1">
      <c r="A1128" s="239" t="s">
        <v>3134</v>
      </c>
      <c r="B1128" s="240">
        <v>2554</v>
      </c>
      <c r="C1128" s="241">
        <v>10401</v>
      </c>
      <c r="D1128" s="239" t="s">
        <v>2511</v>
      </c>
      <c r="E1128" s="239" t="s">
        <v>388</v>
      </c>
      <c r="F1128" s="239" t="s">
        <v>389</v>
      </c>
      <c r="G1128" s="239" t="s">
        <v>932</v>
      </c>
      <c r="H1128" s="239" t="s">
        <v>51</v>
      </c>
      <c r="I1128" s="239" t="s">
        <v>2512</v>
      </c>
      <c r="J1128" s="234">
        <v>62070</v>
      </c>
      <c r="K1128" s="234">
        <v>21360</v>
      </c>
      <c r="L1128" s="242">
        <v>7</v>
      </c>
      <c r="M1128" s="234">
        <v>40710</v>
      </c>
      <c r="N1128" s="234">
        <v>37860.300000000003</v>
      </c>
      <c r="O1128" s="243" t="s">
        <v>3156</v>
      </c>
      <c r="P1128" s="236">
        <v>45952</v>
      </c>
    </row>
    <row r="1129" spans="1:16" ht="51" customHeight="1">
      <c r="A1129" s="239" t="s">
        <v>3135</v>
      </c>
      <c r="B1129" s="240">
        <v>2555</v>
      </c>
      <c r="C1129" s="241">
        <v>10384</v>
      </c>
      <c r="D1129" s="239" t="s">
        <v>2511</v>
      </c>
      <c r="E1129" s="239" t="s">
        <v>429</v>
      </c>
      <c r="F1129" s="239" t="s">
        <v>430</v>
      </c>
      <c r="G1129" s="239" t="s">
        <v>932</v>
      </c>
      <c r="H1129" s="239" t="s">
        <v>51</v>
      </c>
      <c r="I1129" s="239" t="s">
        <v>2512</v>
      </c>
      <c r="J1129" s="234">
        <v>42030</v>
      </c>
      <c r="K1129" s="234">
        <v>14450</v>
      </c>
      <c r="L1129" s="242">
        <v>19</v>
      </c>
      <c r="M1129" s="234">
        <v>27580</v>
      </c>
      <c r="N1129" s="234">
        <v>22339.8</v>
      </c>
      <c r="O1129" s="243" t="s">
        <v>3157</v>
      </c>
      <c r="P1129" s="236">
        <v>45952</v>
      </c>
    </row>
    <row r="1130" spans="1:16" ht="51" customHeight="1">
      <c r="A1130" s="239" t="s">
        <v>3136</v>
      </c>
      <c r="B1130" s="240">
        <v>2556</v>
      </c>
      <c r="C1130" s="241">
        <v>1</v>
      </c>
      <c r="D1130" s="239" t="s">
        <v>2482</v>
      </c>
      <c r="E1130" s="239" t="s">
        <v>382</v>
      </c>
      <c r="F1130" s="239" t="s">
        <v>383</v>
      </c>
      <c r="G1130" s="239" t="s">
        <v>960</v>
      </c>
      <c r="H1130" s="239" t="s">
        <v>51</v>
      </c>
      <c r="I1130" s="239" t="s">
        <v>2465</v>
      </c>
      <c r="J1130" s="234">
        <v>38420</v>
      </c>
      <c r="K1130" s="234">
        <v>14750</v>
      </c>
      <c r="L1130" s="242">
        <v>13</v>
      </c>
      <c r="M1130" s="234">
        <v>23670</v>
      </c>
      <c r="N1130" s="234">
        <v>20592.900000000001</v>
      </c>
      <c r="O1130" s="243" t="s">
        <v>3158</v>
      </c>
      <c r="P1130" s="236">
        <v>45952</v>
      </c>
    </row>
    <row r="1131" spans="1:16" ht="51" customHeight="1">
      <c r="A1131" s="239" t="s">
        <v>3137</v>
      </c>
      <c r="B1131" s="240">
        <v>2557</v>
      </c>
      <c r="C1131" s="241">
        <v>10371</v>
      </c>
      <c r="D1131" s="239" t="s">
        <v>2511</v>
      </c>
      <c r="E1131" s="239" t="s">
        <v>475</v>
      </c>
      <c r="F1131" s="239" t="s">
        <v>476</v>
      </c>
      <c r="G1131" s="239" t="s">
        <v>932</v>
      </c>
      <c r="H1131" s="239" t="s">
        <v>51</v>
      </c>
      <c r="I1131" s="239" t="s">
        <v>2512</v>
      </c>
      <c r="J1131" s="234">
        <v>40550</v>
      </c>
      <c r="K1131" s="234">
        <v>16210</v>
      </c>
      <c r="L1131" s="242">
        <v>11</v>
      </c>
      <c r="M1131" s="234">
        <v>24340</v>
      </c>
      <c r="N1131" s="234">
        <v>21662.6</v>
      </c>
      <c r="O1131" s="243" t="s">
        <v>3159</v>
      </c>
      <c r="P1131" s="236">
        <v>45952</v>
      </c>
    </row>
    <row r="1132" spans="1:16" ht="51" customHeight="1">
      <c r="A1132" s="239" t="s">
        <v>3138</v>
      </c>
      <c r="B1132" s="240">
        <v>2558</v>
      </c>
      <c r="C1132" s="241">
        <v>2</v>
      </c>
      <c r="D1132" s="239" t="s">
        <v>2482</v>
      </c>
      <c r="E1132" s="239" t="s">
        <v>400</v>
      </c>
      <c r="F1132" s="239" t="s">
        <v>401</v>
      </c>
      <c r="G1132" s="239" t="s">
        <v>958</v>
      </c>
      <c r="H1132" s="239" t="s">
        <v>51</v>
      </c>
      <c r="I1132" s="239" t="s">
        <v>2465</v>
      </c>
      <c r="J1132" s="234">
        <v>39860</v>
      </c>
      <c r="K1132" s="234">
        <v>14870</v>
      </c>
      <c r="L1132" s="242">
        <v>15</v>
      </c>
      <c r="M1132" s="234">
        <v>24990</v>
      </c>
      <c r="N1132" s="234">
        <v>21241.5</v>
      </c>
      <c r="O1132" s="243" t="s">
        <v>3160</v>
      </c>
      <c r="P1132" s="236">
        <v>45952</v>
      </c>
    </row>
    <row r="1133" spans="1:16" ht="51" customHeight="1">
      <c r="A1133" s="239" t="s">
        <v>3142</v>
      </c>
      <c r="B1133" s="240">
        <v>2559</v>
      </c>
      <c r="C1133" s="241">
        <v>3</v>
      </c>
      <c r="D1133" s="239" t="s">
        <v>2482</v>
      </c>
      <c r="E1133" s="239" t="s">
        <v>384</v>
      </c>
      <c r="F1133" s="239" t="s">
        <v>385</v>
      </c>
      <c r="G1133" s="239" t="s">
        <v>958</v>
      </c>
      <c r="H1133" s="239" t="s">
        <v>51</v>
      </c>
      <c r="I1133" s="239" t="s">
        <v>2465</v>
      </c>
      <c r="J1133" s="234">
        <v>36500</v>
      </c>
      <c r="K1133" s="234">
        <v>13990</v>
      </c>
      <c r="L1133" s="242">
        <v>12</v>
      </c>
      <c r="M1133" s="234">
        <v>22510</v>
      </c>
      <c r="N1133" s="234">
        <v>19808.8</v>
      </c>
      <c r="O1133" s="243" t="s">
        <v>3164</v>
      </c>
      <c r="P1133" s="236">
        <v>45952</v>
      </c>
    </row>
    <row r="1134" spans="1:16" ht="51" customHeight="1">
      <c r="A1134" s="239" t="s">
        <v>3144</v>
      </c>
      <c r="B1134" s="240">
        <v>2560</v>
      </c>
      <c r="C1134" s="241">
        <v>10387</v>
      </c>
      <c r="D1134" s="239" t="s">
        <v>2511</v>
      </c>
      <c r="E1134" s="239" t="s">
        <v>858</v>
      </c>
      <c r="F1134" s="239" t="s">
        <v>859</v>
      </c>
      <c r="G1134" s="239" t="s">
        <v>932</v>
      </c>
      <c r="H1134" s="239" t="s">
        <v>51</v>
      </c>
      <c r="I1134" s="239" t="s">
        <v>2512</v>
      </c>
      <c r="J1134" s="234">
        <v>43350</v>
      </c>
      <c r="K1134" s="234">
        <v>14990</v>
      </c>
      <c r="L1134" s="242">
        <v>16</v>
      </c>
      <c r="M1134" s="234">
        <v>28360</v>
      </c>
      <c r="N1134" s="234">
        <v>23822.400000000001</v>
      </c>
      <c r="O1134" s="243" t="s">
        <v>3166</v>
      </c>
      <c r="P1134" s="236">
        <v>45952</v>
      </c>
    </row>
    <row r="1135" spans="1:16" ht="51" customHeight="1">
      <c r="A1135" s="239" t="s">
        <v>3139</v>
      </c>
      <c r="B1135" s="240">
        <v>2562</v>
      </c>
      <c r="C1135" s="241">
        <v>10386</v>
      </c>
      <c r="D1135" s="239" t="s">
        <v>2511</v>
      </c>
      <c r="E1135" s="239" t="s">
        <v>447</v>
      </c>
      <c r="F1135" s="239" t="s">
        <v>448</v>
      </c>
      <c r="G1135" s="239" t="s">
        <v>932</v>
      </c>
      <c r="H1135" s="239" t="s">
        <v>51</v>
      </c>
      <c r="I1135" s="239" t="s">
        <v>2512</v>
      </c>
      <c r="J1135" s="234">
        <v>52800</v>
      </c>
      <c r="K1135" s="234">
        <v>19540</v>
      </c>
      <c r="L1135" s="242">
        <v>5</v>
      </c>
      <c r="M1135" s="234">
        <v>33260</v>
      </c>
      <c r="N1135" s="234">
        <v>31597</v>
      </c>
      <c r="O1135" s="243" t="s">
        <v>3161</v>
      </c>
      <c r="P1135" s="236">
        <v>45952</v>
      </c>
    </row>
    <row r="1136" spans="1:16" ht="51" customHeight="1">
      <c r="A1136" s="239" t="s">
        <v>3140</v>
      </c>
      <c r="B1136" s="240">
        <v>2563</v>
      </c>
      <c r="C1136" s="241">
        <v>10388</v>
      </c>
      <c r="D1136" s="239" t="s">
        <v>2511</v>
      </c>
      <c r="E1136" s="239" t="s">
        <v>392</v>
      </c>
      <c r="F1136" s="239" t="s">
        <v>393</v>
      </c>
      <c r="G1136" s="239" t="s">
        <v>932</v>
      </c>
      <c r="H1136" s="239" t="s">
        <v>51</v>
      </c>
      <c r="I1136" s="239" t="s">
        <v>2512</v>
      </c>
      <c r="J1136" s="234">
        <v>64590</v>
      </c>
      <c r="K1136" s="234">
        <v>24190</v>
      </c>
      <c r="L1136" s="242">
        <v>5</v>
      </c>
      <c r="M1136" s="234">
        <v>40400</v>
      </c>
      <c r="N1136" s="234">
        <v>38380</v>
      </c>
      <c r="O1136" s="243" t="s">
        <v>3162</v>
      </c>
      <c r="P1136" s="236">
        <v>45952</v>
      </c>
    </row>
    <row r="1137" spans="1:16" ht="51" customHeight="1">
      <c r="A1137" s="239" t="s">
        <v>3141</v>
      </c>
      <c r="B1137" s="240">
        <v>2564</v>
      </c>
      <c r="C1137" s="241">
        <v>10389</v>
      </c>
      <c r="D1137" s="239" t="s">
        <v>2511</v>
      </c>
      <c r="E1137" s="239" t="s">
        <v>390</v>
      </c>
      <c r="F1137" s="239" t="s">
        <v>391</v>
      </c>
      <c r="G1137" s="239" t="s">
        <v>932</v>
      </c>
      <c r="H1137" s="239" t="s">
        <v>51</v>
      </c>
      <c r="I1137" s="239" t="s">
        <v>2512</v>
      </c>
      <c r="J1137" s="234">
        <v>38780</v>
      </c>
      <c r="K1137" s="234">
        <v>15030</v>
      </c>
      <c r="L1137" s="242">
        <v>13</v>
      </c>
      <c r="M1137" s="234">
        <v>23750</v>
      </c>
      <c r="N1137" s="234">
        <v>20662.5</v>
      </c>
      <c r="O1137" s="243" t="s">
        <v>3163</v>
      </c>
      <c r="P1137" s="236">
        <v>45952</v>
      </c>
    </row>
    <row r="1138" spans="1:16" ht="51" customHeight="1">
      <c r="A1138" s="239" t="s">
        <v>3143</v>
      </c>
      <c r="B1138" s="240">
        <v>2565</v>
      </c>
      <c r="C1138" s="241">
        <v>4</v>
      </c>
      <c r="D1138" s="239" t="s">
        <v>2482</v>
      </c>
      <c r="E1138" s="239" t="s">
        <v>780</v>
      </c>
      <c r="F1138" s="239" t="s">
        <v>781</v>
      </c>
      <c r="G1138" s="239" t="s">
        <v>958</v>
      </c>
      <c r="H1138" s="239" t="s">
        <v>51</v>
      </c>
      <c r="I1138" s="239" t="s">
        <v>2465</v>
      </c>
      <c r="J1138" s="234">
        <v>36950</v>
      </c>
      <c r="K1138" s="234">
        <v>15050</v>
      </c>
      <c r="L1138" s="242">
        <v>22</v>
      </c>
      <c r="M1138" s="234">
        <v>21900</v>
      </c>
      <c r="N1138" s="234">
        <v>17082</v>
      </c>
      <c r="O1138" s="243" t="s">
        <v>3165</v>
      </c>
      <c r="P1138" s="236">
        <v>45952</v>
      </c>
    </row>
    <row r="1139" spans="1:16" ht="51" customHeight="1">
      <c r="A1139" s="239" t="s">
        <v>3145</v>
      </c>
      <c r="B1139" s="240">
        <v>2566</v>
      </c>
      <c r="C1139" s="241">
        <v>5</v>
      </c>
      <c r="D1139" s="239" t="s">
        <v>2482</v>
      </c>
      <c r="E1139" s="239" t="s">
        <v>442</v>
      </c>
      <c r="F1139" s="239" t="s">
        <v>443</v>
      </c>
      <c r="G1139" s="239" t="s">
        <v>958</v>
      </c>
      <c r="H1139" s="239" t="s">
        <v>51</v>
      </c>
      <c r="I1139" s="239" t="s">
        <v>2465</v>
      </c>
      <c r="J1139" s="234">
        <v>36060</v>
      </c>
      <c r="K1139" s="234">
        <v>14640</v>
      </c>
      <c r="L1139" s="242">
        <v>29</v>
      </c>
      <c r="M1139" s="234">
        <v>21420</v>
      </c>
      <c r="N1139" s="234">
        <v>15208.2</v>
      </c>
      <c r="O1139" s="243" t="s">
        <v>3167</v>
      </c>
      <c r="P1139" s="236">
        <v>45953</v>
      </c>
    </row>
    <row r="1140" spans="1:16" ht="51" customHeight="1">
      <c r="A1140" s="239" t="s">
        <v>3146</v>
      </c>
      <c r="B1140" s="240">
        <v>2567</v>
      </c>
      <c r="C1140" s="241">
        <v>10390</v>
      </c>
      <c r="D1140" s="239" t="s">
        <v>2511</v>
      </c>
      <c r="E1140" s="239" t="s">
        <v>866</v>
      </c>
      <c r="F1140" s="239" t="s">
        <v>867</v>
      </c>
      <c r="G1140" s="239" t="s">
        <v>932</v>
      </c>
      <c r="H1140" s="239" t="s">
        <v>51</v>
      </c>
      <c r="I1140" s="239" t="s">
        <v>2512</v>
      </c>
      <c r="J1140" s="234">
        <v>38200</v>
      </c>
      <c r="K1140" s="234">
        <v>14520</v>
      </c>
      <c r="L1140" s="242">
        <v>6</v>
      </c>
      <c r="M1140" s="234">
        <v>23680</v>
      </c>
      <c r="N1140" s="234">
        <v>22259.200000000001</v>
      </c>
      <c r="O1140" s="243" t="s">
        <v>3168</v>
      </c>
      <c r="P1140" s="236">
        <v>45953</v>
      </c>
    </row>
    <row r="1141" spans="1:16" ht="51" customHeight="1">
      <c r="A1141" s="239" t="s">
        <v>3147</v>
      </c>
      <c r="B1141" s="240">
        <v>2568</v>
      </c>
      <c r="C1141" s="241">
        <v>10391</v>
      </c>
      <c r="D1141" s="239" t="s">
        <v>2511</v>
      </c>
      <c r="E1141" s="239" t="s">
        <v>369</v>
      </c>
      <c r="F1141" s="239" t="s">
        <v>370</v>
      </c>
      <c r="G1141" s="239" t="s">
        <v>932</v>
      </c>
      <c r="H1141" s="239" t="s">
        <v>51</v>
      </c>
      <c r="I1141" s="239" t="s">
        <v>2512</v>
      </c>
      <c r="J1141" s="234">
        <v>38670</v>
      </c>
      <c r="K1141" s="234">
        <v>15160</v>
      </c>
      <c r="L1141" s="242">
        <v>14</v>
      </c>
      <c r="M1141" s="234">
        <v>23510</v>
      </c>
      <c r="N1141" s="234">
        <v>20218.599999999999</v>
      </c>
      <c r="O1141" s="243" t="s">
        <v>3169</v>
      </c>
      <c r="P1141" s="236">
        <v>45953</v>
      </c>
    </row>
    <row r="1142" spans="1:16" ht="51" customHeight="1">
      <c r="A1142" s="239" t="s">
        <v>3148</v>
      </c>
      <c r="B1142" s="240">
        <v>2569</v>
      </c>
      <c r="C1142" s="241">
        <v>6</v>
      </c>
      <c r="D1142" s="239" t="s">
        <v>2482</v>
      </c>
      <c r="E1142" s="239" t="s">
        <v>453</v>
      </c>
      <c r="F1142" s="239" t="s">
        <v>454</v>
      </c>
      <c r="G1142" s="239" t="s">
        <v>962</v>
      </c>
      <c r="H1142" s="239" t="s">
        <v>51</v>
      </c>
      <c r="I1142" s="239" t="s">
        <v>2465</v>
      </c>
      <c r="J1142" s="234">
        <v>65700</v>
      </c>
      <c r="K1142" s="234">
        <v>24510</v>
      </c>
      <c r="L1142" s="242">
        <v>16</v>
      </c>
      <c r="M1142" s="234">
        <v>41190</v>
      </c>
      <c r="N1142" s="234">
        <v>34599.599999999999</v>
      </c>
      <c r="O1142" s="243" t="s">
        <v>3170</v>
      </c>
      <c r="P1142" s="236">
        <v>45953</v>
      </c>
    </row>
    <row r="1143" spans="1:16" ht="51" customHeight="1">
      <c r="A1143" s="239" t="s">
        <v>3149</v>
      </c>
      <c r="B1143" s="240">
        <v>2570</v>
      </c>
      <c r="C1143" s="241">
        <v>10392</v>
      </c>
      <c r="D1143" s="239" t="s">
        <v>2511</v>
      </c>
      <c r="E1143" s="239" t="s">
        <v>1410</v>
      </c>
      <c r="F1143" s="239" t="s">
        <v>437</v>
      </c>
      <c r="G1143" s="239" t="s">
        <v>932</v>
      </c>
      <c r="H1143" s="239" t="s">
        <v>51</v>
      </c>
      <c r="I1143" s="239" t="s">
        <v>2512</v>
      </c>
      <c r="J1143" s="234">
        <v>40890</v>
      </c>
      <c r="K1143" s="234">
        <v>14910</v>
      </c>
      <c r="L1143" s="242">
        <v>5</v>
      </c>
      <c r="M1143" s="234">
        <v>25980</v>
      </c>
      <c r="N1143" s="234">
        <v>24681</v>
      </c>
      <c r="O1143" s="243" t="s">
        <v>3171</v>
      </c>
      <c r="P1143" s="236">
        <v>45953</v>
      </c>
    </row>
    <row r="1144" spans="1:16" ht="51" customHeight="1">
      <c r="A1144" s="239" t="s">
        <v>3150</v>
      </c>
      <c r="B1144" s="240">
        <v>2571</v>
      </c>
      <c r="C1144" s="241">
        <v>10393</v>
      </c>
      <c r="D1144" s="239" t="s">
        <v>2511</v>
      </c>
      <c r="E1144" s="239" t="s">
        <v>439</v>
      </c>
      <c r="F1144" s="239" t="s">
        <v>440</v>
      </c>
      <c r="G1144" s="239" t="s">
        <v>932</v>
      </c>
      <c r="H1144" s="239" t="s">
        <v>51</v>
      </c>
      <c r="I1144" s="239" t="s">
        <v>2512</v>
      </c>
      <c r="J1144" s="234">
        <v>43700</v>
      </c>
      <c r="K1144" s="234">
        <v>15110</v>
      </c>
      <c r="L1144" s="242">
        <v>9</v>
      </c>
      <c r="M1144" s="234">
        <v>28590</v>
      </c>
      <c r="N1144" s="234">
        <v>26016.9</v>
      </c>
      <c r="O1144" s="243" t="s">
        <v>3172</v>
      </c>
      <c r="P1144" s="236">
        <v>45953</v>
      </c>
    </row>
    <row r="1145" spans="1:16" ht="51" customHeight="1">
      <c r="A1145" s="239" t="s">
        <v>3151</v>
      </c>
      <c r="B1145" s="240">
        <v>2572</v>
      </c>
      <c r="C1145" s="241">
        <v>10394</v>
      </c>
      <c r="D1145" s="239" t="s">
        <v>2511</v>
      </c>
      <c r="E1145" s="239" t="s">
        <v>413</v>
      </c>
      <c r="F1145" s="239" t="s">
        <v>414</v>
      </c>
      <c r="G1145" s="239" t="s">
        <v>932</v>
      </c>
      <c r="H1145" s="239" t="s">
        <v>51</v>
      </c>
      <c r="I1145" s="239" t="s">
        <v>2512</v>
      </c>
      <c r="J1145" s="234">
        <v>44290</v>
      </c>
      <c r="K1145" s="234">
        <v>15070</v>
      </c>
      <c r="L1145" s="242">
        <v>10</v>
      </c>
      <c r="M1145" s="234">
        <v>29220</v>
      </c>
      <c r="N1145" s="234">
        <v>26298</v>
      </c>
      <c r="O1145" s="243" t="s">
        <v>3173</v>
      </c>
      <c r="P1145" s="236">
        <v>45953</v>
      </c>
    </row>
    <row r="1146" spans="1:16" ht="51" customHeight="1">
      <c r="A1146" s="239" t="s">
        <v>3183</v>
      </c>
      <c r="B1146" s="240">
        <v>2573</v>
      </c>
      <c r="C1146" s="241">
        <v>10395</v>
      </c>
      <c r="D1146" s="239" t="s">
        <v>2511</v>
      </c>
      <c r="E1146" s="239" t="s">
        <v>410</v>
      </c>
      <c r="F1146" s="239" t="s">
        <v>411</v>
      </c>
      <c r="G1146" s="239" t="s">
        <v>932</v>
      </c>
      <c r="H1146" s="239" t="s">
        <v>51</v>
      </c>
      <c r="I1146" s="239" t="s">
        <v>2512</v>
      </c>
      <c r="J1146" s="234">
        <v>39800</v>
      </c>
      <c r="K1146" s="234">
        <v>15050</v>
      </c>
      <c r="L1146" s="242">
        <v>12</v>
      </c>
      <c r="M1146" s="234">
        <v>24750</v>
      </c>
      <c r="N1146" s="234">
        <v>21780</v>
      </c>
      <c r="O1146" s="243" t="s">
        <v>3254</v>
      </c>
      <c r="P1146" s="236">
        <v>45953</v>
      </c>
    </row>
    <row r="1147" spans="1:16" ht="51" customHeight="1">
      <c r="A1147" s="239" t="s">
        <v>3175</v>
      </c>
      <c r="B1147" s="240">
        <v>2575</v>
      </c>
      <c r="C1147" s="241">
        <v>11</v>
      </c>
      <c r="D1147" s="239" t="s">
        <v>2482</v>
      </c>
      <c r="E1147" s="239" t="s">
        <v>382</v>
      </c>
      <c r="F1147" s="239" t="s">
        <v>383</v>
      </c>
      <c r="G1147" s="239" t="s">
        <v>962</v>
      </c>
      <c r="H1147" s="239" t="s">
        <v>42</v>
      </c>
      <c r="I1147" s="239" t="s">
        <v>2465</v>
      </c>
      <c r="J1147" s="234">
        <v>29340</v>
      </c>
      <c r="K1147" s="234">
        <v>14730</v>
      </c>
      <c r="L1147" s="242">
        <v>9</v>
      </c>
      <c r="M1147" s="234">
        <v>14610</v>
      </c>
      <c r="N1147" s="234">
        <v>13295.1</v>
      </c>
      <c r="O1147" s="243" t="s">
        <v>3179</v>
      </c>
      <c r="P1147" s="236">
        <v>45953</v>
      </c>
    </row>
    <row r="1148" spans="1:16" ht="51" customHeight="1">
      <c r="A1148" s="239" t="s">
        <v>3184</v>
      </c>
      <c r="B1148" s="240">
        <v>2576</v>
      </c>
      <c r="C1148" s="241">
        <v>10396</v>
      </c>
      <c r="D1148" s="239" t="s">
        <v>2511</v>
      </c>
      <c r="E1148" s="239" t="s">
        <v>432</v>
      </c>
      <c r="F1148" s="239" t="s">
        <v>433</v>
      </c>
      <c r="G1148" s="239" t="s">
        <v>932</v>
      </c>
      <c r="H1148" s="239" t="s">
        <v>51</v>
      </c>
      <c r="I1148" s="239" t="s">
        <v>2512</v>
      </c>
      <c r="J1148" s="234">
        <v>44690</v>
      </c>
      <c r="K1148" s="234">
        <v>15780</v>
      </c>
      <c r="L1148" s="242">
        <v>12</v>
      </c>
      <c r="M1148" s="234">
        <v>28910</v>
      </c>
      <c r="N1148" s="234">
        <v>25440.799999999999</v>
      </c>
      <c r="O1148" s="243" t="s">
        <v>3255</v>
      </c>
      <c r="P1148" s="236">
        <v>45953</v>
      </c>
    </row>
    <row r="1149" spans="1:16" ht="51" customHeight="1">
      <c r="A1149" s="239" t="s">
        <v>3187</v>
      </c>
      <c r="B1149" s="240">
        <v>2580</v>
      </c>
      <c r="C1149" s="241">
        <v>10397</v>
      </c>
      <c r="D1149" s="239" t="s">
        <v>2511</v>
      </c>
      <c r="E1149" s="239" t="s">
        <v>403</v>
      </c>
      <c r="F1149" s="239" t="s">
        <v>404</v>
      </c>
      <c r="G1149" s="239" t="s">
        <v>932</v>
      </c>
      <c r="H1149" s="239" t="s">
        <v>51</v>
      </c>
      <c r="I1149" s="239" t="s">
        <v>2512</v>
      </c>
      <c r="J1149" s="234">
        <v>39390</v>
      </c>
      <c r="K1149" s="234">
        <v>14580</v>
      </c>
      <c r="L1149" s="242">
        <v>28</v>
      </c>
      <c r="M1149" s="234">
        <v>24810</v>
      </c>
      <c r="N1149" s="234">
        <v>17863.2</v>
      </c>
      <c r="O1149" s="243" t="s">
        <v>3258</v>
      </c>
      <c r="P1149" s="236">
        <v>45953</v>
      </c>
    </row>
    <row r="1150" spans="1:16" ht="51" customHeight="1">
      <c r="A1150" s="239" t="s">
        <v>3188</v>
      </c>
      <c r="B1150" s="240">
        <v>2581</v>
      </c>
      <c r="C1150" s="241">
        <v>10398</v>
      </c>
      <c r="D1150" s="239" t="s">
        <v>2511</v>
      </c>
      <c r="E1150" s="239" t="s">
        <v>406</v>
      </c>
      <c r="F1150" s="239" t="s">
        <v>407</v>
      </c>
      <c r="G1150" s="239" t="s">
        <v>932</v>
      </c>
      <c r="H1150" s="239" t="s">
        <v>51</v>
      </c>
      <c r="I1150" s="239" t="s">
        <v>2512</v>
      </c>
      <c r="J1150" s="234">
        <v>39540</v>
      </c>
      <c r="K1150" s="234">
        <v>15120</v>
      </c>
      <c r="L1150" s="242">
        <v>21</v>
      </c>
      <c r="M1150" s="234">
        <v>24420</v>
      </c>
      <c r="N1150" s="234">
        <v>19291.8</v>
      </c>
      <c r="O1150" s="243" t="s">
        <v>3259</v>
      </c>
      <c r="P1150" s="236">
        <v>45953</v>
      </c>
    </row>
    <row r="1151" spans="1:16" ht="51" customHeight="1">
      <c r="A1151" s="239" t="s">
        <v>3198</v>
      </c>
      <c r="B1151" s="240">
        <v>2584</v>
      </c>
      <c r="C1151" s="241">
        <v>10399</v>
      </c>
      <c r="D1151" s="239" t="s">
        <v>2511</v>
      </c>
      <c r="E1151" s="239" t="s">
        <v>416</v>
      </c>
      <c r="F1151" s="239" t="s">
        <v>417</v>
      </c>
      <c r="G1151" s="239" t="s">
        <v>932</v>
      </c>
      <c r="H1151" s="239" t="s">
        <v>51</v>
      </c>
      <c r="I1151" s="239" t="s">
        <v>2512</v>
      </c>
      <c r="J1151" s="234">
        <v>38940</v>
      </c>
      <c r="K1151" s="234">
        <v>14770</v>
      </c>
      <c r="L1151" s="242">
        <v>4</v>
      </c>
      <c r="M1151" s="234">
        <v>24170</v>
      </c>
      <c r="N1151" s="234">
        <v>23203.200000000001</v>
      </c>
      <c r="O1151" s="243" t="s">
        <v>3269</v>
      </c>
      <c r="P1151" s="236">
        <v>45953</v>
      </c>
    </row>
    <row r="1152" spans="1:16" ht="51" customHeight="1">
      <c r="A1152" s="239" t="s">
        <v>3199</v>
      </c>
      <c r="B1152" s="240">
        <v>2587</v>
      </c>
      <c r="C1152" s="241">
        <v>10400</v>
      </c>
      <c r="D1152" s="239" t="s">
        <v>2511</v>
      </c>
      <c r="E1152" s="239" t="s">
        <v>420</v>
      </c>
      <c r="F1152" s="239" t="s">
        <v>421</v>
      </c>
      <c r="G1152" s="239" t="s">
        <v>932</v>
      </c>
      <c r="H1152" s="239" t="s">
        <v>51</v>
      </c>
      <c r="I1152" s="239" t="s">
        <v>2512</v>
      </c>
      <c r="J1152" s="234">
        <v>38070</v>
      </c>
      <c r="K1152" s="234">
        <v>15030</v>
      </c>
      <c r="L1152" s="242">
        <v>7</v>
      </c>
      <c r="M1152" s="234">
        <v>23040</v>
      </c>
      <c r="N1152" s="234">
        <v>21427.200000000001</v>
      </c>
      <c r="O1152" s="243" t="s">
        <v>3270</v>
      </c>
      <c r="P1152" s="236">
        <v>45953</v>
      </c>
    </row>
    <row r="1153" spans="1:16" ht="51" customHeight="1">
      <c r="A1153" s="239" t="s">
        <v>3176</v>
      </c>
      <c r="B1153" s="240">
        <v>2590</v>
      </c>
      <c r="C1153" s="241">
        <v>9</v>
      </c>
      <c r="D1153" s="239" t="s">
        <v>2482</v>
      </c>
      <c r="E1153" s="239" t="s">
        <v>1403</v>
      </c>
      <c r="F1153" s="239" t="s">
        <v>1404</v>
      </c>
      <c r="G1153" s="239" t="s">
        <v>960</v>
      </c>
      <c r="H1153" s="239" t="s">
        <v>42</v>
      </c>
      <c r="I1153" s="239" t="s">
        <v>2465</v>
      </c>
      <c r="J1153" s="234">
        <v>39370</v>
      </c>
      <c r="K1153" s="234">
        <v>15070</v>
      </c>
      <c r="L1153" s="242">
        <v>24</v>
      </c>
      <c r="M1153" s="234">
        <v>24300</v>
      </c>
      <c r="N1153" s="234">
        <v>18468</v>
      </c>
      <c r="O1153" s="243" t="s">
        <v>3180</v>
      </c>
      <c r="P1153" s="236">
        <v>45953</v>
      </c>
    </row>
    <row r="1154" spans="1:16" ht="51" customHeight="1">
      <c r="A1154" s="239" t="s">
        <v>3177</v>
      </c>
      <c r="B1154" s="240">
        <v>2591</v>
      </c>
      <c r="C1154" s="241">
        <v>8</v>
      </c>
      <c r="D1154" s="239" t="s">
        <v>2482</v>
      </c>
      <c r="E1154" s="239" t="s">
        <v>1400</v>
      </c>
      <c r="F1154" s="239" t="s">
        <v>1401</v>
      </c>
      <c r="G1154" s="239" t="s">
        <v>960</v>
      </c>
      <c r="H1154" s="239" t="s">
        <v>42</v>
      </c>
      <c r="I1154" s="239" t="s">
        <v>2465</v>
      </c>
      <c r="J1154" s="234">
        <v>37650</v>
      </c>
      <c r="K1154" s="234">
        <v>14960</v>
      </c>
      <c r="L1154" s="242">
        <v>10</v>
      </c>
      <c r="M1154" s="234">
        <v>22690</v>
      </c>
      <c r="N1154" s="234">
        <v>20421</v>
      </c>
      <c r="O1154" s="243" t="s">
        <v>3181</v>
      </c>
      <c r="P1154" s="236">
        <v>45953</v>
      </c>
    </row>
    <row r="1155" spans="1:16" ht="51" customHeight="1">
      <c r="A1155" s="239" t="s">
        <v>3182</v>
      </c>
      <c r="B1155" s="240">
        <v>2592</v>
      </c>
      <c r="C1155" s="241">
        <v>10402</v>
      </c>
      <c r="D1155" s="239" t="s">
        <v>2511</v>
      </c>
      <c r="E1155" s="239" t="s">
        <v>377</v>
      </c>
      <c r="F1155" s="239" t="s">
        <v>378</v>
      </c>
      <c r="G1155" s="239" t="s">
        <v>932</v>
      </c>
      <c r="H1155" s="239" t="s">
        <v>51</v>
      </c>
      <c r="I1155" s="239" t="s">
        <v>2512</v>
      </c>
      <c r="J1155" s="234">
        <v>43410</v>
      </c>
      <c r="K1155" s="234">
        <v>15310</v>
      </c>
      <c r="L1155" s="242">
        <v>21</v>
      </c>
      <c r="M1155" s="234">
        <v>28100</v>
      </c>
      <c r="N1155" s="234">
        <v>22199</v>
      </c>
      <c r="O1155" s="243" t="s">
        <v>3253</v>
      </c>
      <c r="P1155" s="236">
        <v>45953</v>
      </c>
    </row>
    <row r="1156" spans="1:16" ht="51" customHeight="1">
      <c r="A1156" s="239" t="s">
        <v>3185</v>
      </c>
      <c r="B1156" s="240">
        <v>2593</v>
      </c>
      <c r="C1156" s="241">
        <v>10404</v>
      </c>
      <c r="D1156" s="239" t="s">
        <v>2511</v>
      </c>
      <c r="E1156" s="239" t="s">
        <v>462</v>
      </c>
      <c r="F1156" s="239" t="s">
        <v>463</v>
      </c>
      <c r="G1156" s="239" t="s">
        <v>932</v>
      </c>
      <c r="H1156" s="239" t="s">
        <v>51</v>
      </c>
      <c r="I1156" s="239" t="s">
        <v>2512</v>
      </c>
      <c r="J1156" s="234">
        <v>40070</v>
      </c>
      <c r="K1156" s="234">
        <v>16520</v>
      </c>
      <c r="L1156" s="242">
        <v>17</v>
      </c>
      <c r="M1156" s="234">
        <v>23550</v>
      </c>
      <c r="N1156" s="234">
        <v>19546.5</v>
      </c>
      <c r="O1156" s="243" t="s">
        <v>3256</v>
      </c>
      <c r="P1156" s="236">
        <v>45953</v>
      </c>
    </row>
    <row r="1157" spans="1:16" ht="51" customHeight="1">
      <c r="A1157" s="239" t="s">
        <v>3186</v>
      </c>
      <c r="B1157" s="240">
        <v>2594</v>
      </c>
      <c r="C1157" s="241">
        <v>10405</v>
      </c>
      <c r="D1157" s="239" t="s">
        <v>2511</v>
      </c>
      <c r="E1157" s="239" t="s">
        <v>472</v>
      </c>
      <c r="F1157" s="239" t="s">
        <v>473</v>
      </c>
      <c r="G1157" s="239" t="s">
        <v>932</v>
      </c>
      <c r="H1157" s="239" t="s">
        <v>51</v>
      </c>
      <c r="I1157" s="239" t="s">
        <v>2512</v>
      </c>
      <c r="J1157" s="234">
        <v>39890</v>
      </c>
      <c r="K1157" s="234">
        <v>16580</v>
      </c>
      <c r="L1157" s="242">
        <v>23</v>
      </c>
      <c r="M1157" s="234">
        <v>23310</v>
      </c>
      <c r="N1157" s="234">
        <v>17948.7</v>
      </c>
      <c r="O1157" s="243" t="s">
        <v>3257</v>
      </c>
      <c r="P1157" s="236">
        <v>45953</v>
      </c>
    </row>
    <row r="1158" spans="1:16" ht="51" customHeight="1">
      <c r="A1158" s="239" t="s">
        <v>3189</v>
      </c>
      <c r="B1158" s="240">
        <v>2595</v>
      </c>
      <c r="C1158" s="241">
        <v>98</v>
      </c>
      <c r="D1158" s="239" t="s">
        <v>2881</v>
      </c>
      <c r="E1158" s="239" t="s">
        <v>475</v>
      </c>
      <c r="F1158" s="239" t="s">
        <v>476</v>
      </c>
      <c r="G1158" s="239" t="s">
        <v>144</v>
      </c>
      <c r="H1158" s="239" t="s">
        <v>51</v>
      </c>
      <c r="I1158" s="239" t="s">
        <v>2882</v>
      </c>
      <c r="J1158" s="234">
        <v>42440</v>
      </c>
      <c r="K1158" s="234">
        <v>16580</v>
      </c>
      <c r="L1158" s="242">
        <v>9</v>
      </c>
      <c r="M1158" s="234">
        <v>25860</v>
      </c>
      <c r="N1158" s="234">
        <v>23532.6</v>
      </c>
      <c r="O1158" s="243" t="s">
        <v>3260</v>
      </c>
      <c r="P1158" s="236">
        <v>45953</v>
      </c>
    </row>
    <row r="1159" spans="1:16" ht="51" customHeight="1">
      <c r="A1159" s="239" t="s">
        <v>3190</v>
      </c>
      <c r="B1159" s="240">
        <v>2596</v>
      </c>
      <c r="C1159" s="241">
        <v>101</v>
      </c>
      <c r="D1159" s="239" t="s">
        <v>2881</v>
      </c>
      <c r="E1159" s="239" t="s">
        <v>429</v>
      </c>
      <c r="F1159" s="239" t="s">
        <v>430</v>
      </c>
      <c r="G1159" s="239" t="s">
        <v>957</v>
      </c>
      <c r="H1159" s="239" t="s">
        <v>51</v>
      </c>
      <c r="I1159" s="239" t="s">
        <v>2882</v>
      </c>
      <c r="J1159" s="234">
        <v>41720</v>
      </c>
      <c r="K1159" s="234">
        <v>14690</v>
      </c>
      <c r="L1159" s="242">
        <v>20</v>
      </c>
      <c r="M1159" s="234">
        <v>27030</v>
      </c>
      <c r="N1159" s="234">
        <v>21624</v>
      </c>
      <c r="O1159" s="243" t="s">
        <v>3261</v>
      </c>
      <c r="P1159" s="236">
        <v>45953</v>
      </c>
    </row>
    <row r="1160" spans="1:16" ht="51" customHeight="1">
      <c r="A1160" s="239" t="s">
        <v>3191</v>
      </c>
      <c r="B1160" s="240">
        <v>2597</v>
      </c>
      <c r="C1160" s="241">
        <v>10406</v>
      </c>
      <c r="D1160" s="239" t="s">
        <v>2511</v>
      </c>
      <c r="E1160" s="239" t="s">
        <v>456</v>
      </c>
      <c r="F1160" s="239" t="s">
        <v>457</v>
      </c>
      <c r="G1160" s="239" t="s">
        <v>932</v>
      </c>
      <c r="H1160" s="239" t="s">
        <v>51</v>
      </c>
      <c r="I1160" s="239" t="s">
        <v>2512</v>
      </c>
      <c r="J1160" s="234">
        <v>47500</v>
      </c>
      <c r="K1160" s="234">
        <v>15870</v>
      </c>
      <c r="L1160" s="242">
        <v>12</v>
      </c>
      <c r="M1160" s="234">
        <v>31630</v>
      </c>
      <c r="N1160" s="234">
        <v>27834.400000000001</v>
      </c>
      <c r="O1160" s="243" t="s">
        <v>3262</v>
      </c>
      <c r="P1160" s="236">
        <v>45953</v>
      </c>
    </row>
    <row r="1161" spans="1:16" ht="51" customHeight="1">
      <c r="A1161" s="239" t="s">
        <v>3192</v>
      </c>
      <c r="B1161" s="240">
        <v>2599</v>
      </c>
      <c r="C1161" s="241">
        <v>10422</v>
      </c>
      <c r="D1161" s="239" t="s">
        <v>2511</v>
      </c>
      <c r="E1161" s="239" t="s">
        <v>841</v>
      </c>
      <c r="F1161" s="239" t="s">
        <v>845</v>
      </c>
      <c r="G1161" s="239" t="s">
        <v>932</v>
      </c>
      <c r="H1161" s="239" t="s">
        <v>51</v>
      </c>
      <c r="I1161" s="239" t="s">
        <v>2512</v>
      </c>
      <c r="J1161" s="234">
        <v>42510</v>
      </c>
      <c r="K1161" s="234">
        <v>15760</v>
      </c>
      <c r="L1161" s="242">
        <v>6</v>
      </c>
      <c r="M1161" s="234">
        <v>26750</v>
      </c>
      <c r="N1161" s="234">
        <v>25145</v>
      </c>
      <c r="O1161" s="243" t="s">
        <v>3263</v>
      </c>
      <c r="P1161" s="236">
        <v>45953</v>
      </c>
    </row>
    <row r="1162" spans="1:16" ht="51" customHeight="1">
      <c r="A1162" s="239" t="s">
        <v>3174</v>
      </c>
      <c r="B1162" s="240">
        <v>2589</v>
      </c>
      <c r="C1162" s="241">
        <v>7</v>
      </c>
      <c r="D1162" s="239" t="s">
        <v>2482</v>
      </c>
      <c r="E1162" s="239" t="s">
        <v>1397</v>
      </c>
      <c r="F1162" s="239" t="s">
        <v>1398</v>
      </c>
      <c r="G1162" s="239" t="s">
        <v>960</v>
      </c>
      <c r="H1162" s="239" t="s">
        <v>51</v>
      </c>
      <c r="I1162" s="239" t="s">
        <v>2465</v>
      </c>
      <c r="J1162" s="234">
        <v>43490</v>
      </c>
      <c r="K1162" s="234">
        <v>17250</v>
      </c>
      <c r="L1162" s="242">
        <v>5</v>
      </c>
      <c r="M1162" s="234">
        <v>26240</v>
      </c>
      <c r="N1162" s="234">
        <v>24928</v>
      </c>
      <c r="O1162" s="243" t="s">
        <v>3178</v>
      </c>
      <c r="P1162" s="236">
        <v>45953</v>
      </c>
    </row>
    <row r="1163" spans="1:16" ht="51" customHeight="1">
      <c r="A1163" s="239" t="s">
        <v>3193</v>
      </c>
      <c r="B1163" s="240">
        <v>2600</v>
      </c>
      <c r="C1163" s="241">
        <v>99</v>
      </c>
      <c r="D1163" s="239" t="s">
        <v>2881</v>
      </c>
      <c r="E1163" s="239" t="s">
        <v>783</v>
      </c>
      <c r="F1163" s="239" t="s">
        <v>784</v>
      </c>
      <c r="G1163" s="239" t="s">
        <v>949</v>
      </c>
      <c r="H1163" s="239" t="s">
        <v>51</v>
      </c>
      <c r="I1163" s="239" t="s">
        <v>2882</v>
      </c>
      <c r="J1163" s="234">
        <v>39310</v>
      </c>
      <c r="K1163" s="234">
        <v>14640</v>
      </c>
      <c r="L1163" s="242">
        <v>13</v>
      </c>
      <c r="M1163" s="234">
        <v>24670</v>
      </c>
      <c r="N1163" s="234">
        <v>21462.9</v>
      </c>
      <c r="O1163" s="243" t="s">
        <v>3264</v>
      </c>
      <c r="P1163" s="236">
        <v>45953</v>
      </c>
    </row>
    <row r="1164" spans="1:16" ht="51" customHeight="1">
      <c r="A1164" s="239" t="s">
        <v>3194</v>
      </c>
      <c r="B1164" s="240">
        <v>2601</v>
      </c>
      <c r="C1164" s="241">
        <v>10429</v>
      </c>
      <c r="D1164" s="239" t="s">
        <v>2511</v>
      </c>
      <c r="E1164" s="239" t="s">
        <v>794</v>
      </c>
      <c r="F1164" s="239" t="s">
        <v>795</v>
      </c>
      <c r="G1164" s="239" t="s">
        <v>932</v>
      </c>
      <c r="H1164" s="239" t="s">
        <v>51</v>
      </c>
      <c r="I1164" s="239" t="s">
        <v>2512</v>
      </c>
      <c r="J1164" s="234">
        <v>42490</v>
      </c>
      <c r="K1164" s="234">
        <v>16080</v>
      </c>
      <c r="L1164" s="242">
        <v>9</v>
      </c>
      <c r="M1164" s="234">
        <v>26410</v>
      </c>
      <c r="N1164" s="234">
        <v>24033.1</v>
      </c>
      <c r="O1164" s="243" t="s">
        <v>3265</v>
      </c>
      <c r="P1164" s="236">
        <v>45953</v>
      </c>
    </row>
    <row r="1165" spans="1:16" ht="51" customHeight="1">
      <c r="A1165" s="239" t="s">
        <v>3195</v>
      </c>
      <c r="B1165" s="240">
        <v>2603</v>
      </c>
      <c r="C1165" s="241">
        <v>10424</v>
      </c>
      <c r="D1165" s="239" t="s">
        <v>2511</v>
      </c>
      <c r="E1165" s="239" t="s">
        <v>791</v>
      </c>
      <c r="F1165" s="239" t="s">
        <v>792</v>
      </c>
      <c r="G1165" s="239" t="s">
        <v>932</v>
      </c>
      <c r="H1165" s="239" t="s">
        <v>51</v>
      </c>
      <c r="I1165" s="239" t="s">
        <v>2512</v>
      </c>
      <c r="J1165" s="234">
        <v>40770</v>
      </c>
      <c r="K1165" s="234">
        <v>14910</v>
      </c>
      <c r="L1165" s="242">
        <v>22</v>
      </c>
      <c r="M1165" s="234">
        <v>25860</v>
      </c>
      <c r="N1165" s="234">
        <v>20170.8</v>
      </c>
      <c r="O1165" s="243" t="s">
        <v>3266</v>
      </c>
      <c r="P1165" s="236">
        <v>45953</v>
      </c>
    </row>
    <row r="1166" spans="1:16" ht="51" customHeight="1">
      <c r="A1166" s="239" t="s">
        <v>3196</v>
      </c>
      <c r="B1166" s="240">
        <v>2604</v>
      </c>
      <c r="C1166" s="241">
        <v>100</v>
      </c>
      <c r="D1166" s="239" t="s">
        <v>2881</v>
      </c>
      <c r="E1166" s="239" t="s">
        <v>786</v>
      </c>
      <c r="F1166" s="239" t="s">
        <v>787</v>
      </c>
      <c r="G1166" s="239" t="s">
        <v>951</v>
      </c>
      <c r="H1166" s="239" t="s">
        <v>51</v>
      </c>
      <c r="I1166" s="239" t="s">
        <v>2882</v>
      </c>
      <c r="J1166" s="234">
        <v>35540</v>
      </c>
      <c r="K1166" s="234">
        <v>13860</v>
      </c>
      <c r="L1166" s="242">
        <v>18</v>
      </c>
      <c r="M1166" s="234">
        <v>21680</v>
      </c>
      <c r="N1166" s="234">
        <v>17777.599999999999</v>
      </c>
      <c r="O1166" s="243" t="s">
        <v>3267</v>
      </c>
      <c r="P1166" s="236">
        <v>45953</v>
      </c>
    </row>
    <row r="1167" spans="1:16" ht="51" customHeight="1">
      <c r="A1167" s="239" t="s">
        <v>3197</v>
      </c>
      <c r="B1167" s="240">
        <v>2605</v>
      </c>
      <c r="C1167" s="241">
        <v>10592</v>
      </c>
      <c r="D1167" s="239" t="s">
        <v>2511</v>
      </c>
      <c r="E1167" s="239" t="s">
        <v>380</v>
      </c>
      <c r="F1167" s="239" t="s">
        <v>381</v>
      </c>
      <c r="G1167" s="239" t="s">
        <v>932</v>
      </c>
      <c r="H1167" s="239" t="s">
        <v>51</v>
      </c>
      <c r="I1167" s="239" t="s">
        <v>2512</v>
      </c>
      <c r="J1167" s="234">
        <v>40040</v>
      </c>
      <c r="K1167" s="234">
        <v>15100</v>
      </c>
      <c r="L1167" s="242">
        <v>12</v>
      </c>
      <c r="M1167" s="234">
        <v>24940</v>
      </c>
      <c r="N1167" s="234">
        <v>21947.200000000001</v>
      </c>
      <c r="O1167" s="243" t="s">
        <v>3268</v>
      </c>
      <c r="P1167" s="236">
        <v>45953</v>
      </c>
    </row>
    <row r="1168" spans="1:16" ht="51" customHeight="1">
      <c r="A1168" s="239" t="s">
        <v>3200</v>
      </c>
      <c r="B1168" s="240">
        <v>2606</v>
      </c>
      <c r="C1168" s="241">
        <v>10643</v>
      </c>
      <c r="D1168" s="239" t="s">
        <v>2511</v>
      </c>
      <c r="E1168" s="239" t="s">
        <v>372</v>
      </c>
      <c r="F1168" s="239" t="s">
        <v>373</v>
      </c>
      <c r="G1168" s="239" t="s">
        <v>932</v>
      </c>
      <c r="H1168" s="239" t="s">
        <v>51</v>
      </c>
      <c r="I1168" s="239" t="s">
        <v>2512</v>
      </c>
      <c r="J1168" s="234">
        <v>39190</v>
      </c>
      <c r="K1168" s="234">
        <v>15080</v>
      </c>
      <c r="L1168" s="242">
        <v>26</v>
      </c>
      <c r="M1168" s="234">
        <v>24110</v>
      </c>
      <c r="N1168" s="234">
        <v>17841.400000000001</v>
      </c>
      <c r="O1168" s="243" t="s">
        <v>3271</v>
      </c>
      <c r="P1168" s="236">
        <v>45954</v>
      </c>
    </row>
    <row r="1169" spans="1:16" ht="51" customHeight="1">
      <c r="A1169" s="239" t="s">
        <v>3201</v>
      </c>
      <c r="B1169" s="240">
        <v>2607</v>
      </c>
      <c r="C1169" s="241">
        <v>10653</v>
      </c>
      <c r="D1169" s="239" t="s">
        <v>2511</v>
      </c>
      <c r="E1169" s="239" t="s">
        <v>447</v>
      </c>
      <c r="F1169" s="239" t="s">
        <v>448</v>
      </c>
      <c r="G1169" s="239" t="s">
        <v>932</v>
      </c>
      <c r="H1169" s="239" t="s">
        <v>51</v>
      </c>
      <c r="I1169" s="239" t="s">
        <v>2512</v>
      </c>
      <c r="J1169" s="234">
        <v>35510</v>
      </c>
      <c r="K1169" s="234">
        <v>19560</v>
      </c>
      <c r="L1169" s="242">
        <v>16</v>
      </c>
      <c r="M1169" s="234">
        <v>15950</v>
      </c>
      <c r="N1169" s="234">
        <v>13398</v>
      </c>
      <c r="O1169" s="243" t="s">
        <v>3272</v>
      </c>
      <c r="P1169" s="236">
        <v>45954</v>
      </c>
    </row>
    <row r="1170" spans="1:16" ht="51" customHeight="1">
      <c r="A1170" s="239" t="s">
        <v>3202</v>
      </c>
      <c r="B1170" s="240">
        <v>2613</v>
      </c>
      <c r="C1170" s="241">
        <v>10630</v>
      </c>
      <c r="D1170" s="239" t="s">
        <v>2511</v>
      </c>
      <c r="E1170" s="239" t="s">
        <v>1978</v>
      </c>
      <c r="F1170" s="239" t="s">
        <v>1979</v>
      </c>
      <c r="G1170" s="239" t="s">
        <v>934</v>
      </c>
      <c r="H1170" s="239" t="s">
        <v>42</v>
      </c>
      <c r="I1170" s="239" t="s">
        <v>2512</v>
      </c>
      <c r="J1170" s="234">
        <v>25770</v>
      </c>
      <c r="K1170" s="234">
        <v>14250</v>
      </c>
      <c r="L1170" s="242">
        <v>24</v>
      </c>
      <c r="M1170" s="234">
        <v>11520</v>
      </c>
      <c r="N1170" s="234">
        <v>8755.2000000000007</v>
      </c>
      <c r="O1170" s="243" t="s">
        <v>3273</v>
      </c>
      <c r="P1170" s="236">
        <v>45954</v>
      </c>
    </row>
    <row r="1171" spans="1:16" ht="51" customHeight="1">
      <c r="A1171" s="239" t="s">
        <v>3203</v>
      </c>
      <c r="B1171" s="240">
        <v>2614</v>
      </c>
      <c r="C1171" s="241">
        <v>104</v>
      </c>
      <c r="D1171" s="239" t="s">
        <v>2881</v>
      </c>
      <c r="E1171" s="239" t="s">
        <v>369</v>
      </c>
      <c r="F1171" s="239" t="s">
        <v>370</v>
      </c>
      <c r="G1171" s="239" t="s">
        <v>144</v>
      </c>
      <c r="H1171" s="239" t="s">
        <v>51</v>
      </c>
      <c r="I1171" s="239" t="s">
        <v>2882</v>
      </c>
      <c r="J1171" s="234">
        <v>39360</v>
      </c>
      <c r="K1171" s="234">
        <v>15280</v>
      </c>
      <c r="L1171" s="242">
        <v>6</v>
      </c>
      <c r="M1171" s="234">
        <v>24080</v>
      </c>
      <c r="N1171" s="234">
        <v>22635.200000000001</v>
      </c>
      <c r="O1171" s="243" t="s">
        <v>3274</v>
      </c>
      <c r="P1171" s="236">
        <v>45954</v>
      </c>
    </row>
    <row r="1172" spans="1:16" ht="51" customHeight="1">
      <c r="A1172" s="239" t="s">
        <v>3204</v>
      </c>
      <c r="B1172" s="240">
        <v>2615</v>
      </c>
      <c r="C1172" s="241">
        <v>107</v>
      </c>
      <c r="D1172" s="239" t="s">
        <v>2881</v>
      </c>
      <c r="E1172" s="239" t="s">
        <v>390</v>
      </c>
      <c r="F1172" s="239" t="s">
        <v>391</v>
      </c>
      <c r="G1172" s="239" t="s">
        <v>144</v>
      </c>
      <c r="H1172" s="239" t="s">
        <v>51</v>
      </c>
      <c r="I1172" s="239" t="s">
        <v>2882</v>
      </c>
      <c r="J1172" s="234">
        <v>39860</v>
      </c>
      <c r="K1172" s="234">
        <v>15190</v>
      </c>
      <c r="L1172" s="242">
        <v>7</v>
      </c>
      <c r="M1172" s="234">
        <v>24670</v>
      </c>
      <c r="N1172" s="234">
        <v>22943.1</v>
      </c>
      <c r="O1172" s="243" t="s">
        <v>3275</v>
      </c>
      <c r="P1172" s="236">
        <v>45954</v>
      </c>
    </row>
    <row r="1173" spans="1:16" ht="51" customHeight="1">
      <c r="A1173" s="239" t="s">
        <v>3205</v>
      </c>
      <c r="B1173" s="240">
        <v>2617</v>
      </c>
      <c r="C1173" s="241">
        <v>105</v>
      </c>
      <c r="D1173" s="239" t="s">
        <v>2881</v>
      </c>
      <c r="E1173" s="239" t="s">
        <v>442</v>
      </c>
      <c r="F1173" s="239" t="s">
        <v>443</v>
      </c>
      <c r="G1173" s="239" t="s">
        <v>144</v>
      </c>
      <c r="H1173" s="239" t="s">
        <v>51</v>
      </c>
      <c r="I1173" s="239" t="s">
        <v>2882</v>
      </c>
      <c r="J1173" s="234">
        <v>35770</v>
      </c>
      <c r="K1173" s="234">
        <v>14630</v>
      </c>
      <c r="L1173" s="242">
        <v>7</v>
      </c>
      <c r="M1173" s="234">
        <v>21140</v>
      </c>
      <c r="N1173" s="234">
        <v>19660.2</v>
      </c>
      <c r="O1173" s="243" t="s">
        <v>3276</v>
      </c>
      <c r="P1173" s="236">
        <v>45954</v>
      </c>
    </row>
    <row r="1174" spans="1:16" ht="51" customHeight="1">
      <c r="A1174" s="239" t="s">
        <v>3206</v>
      </c>
      <c r="B1174" s="240">
        <v>2618</v>
      </c>
      <c r="C1174" s="241">
        <v>102</v>
      </c>
      <c r="D1174" s="239" t="s">
        <v>2881</v>
      </c>
      <c r="E1174" s="239" t="s">
        <v>432</v>
      </c>
      <c r="F1174" s="239" t="s">
        <v>433</v>
      </c>
      <c r="G1174" s="239" t="s">
        <v>144</v>
      </c>
      <c r="H1174" s="239" t="s">
        <v>51</v>
      </c>
      <c r="I1174" s="239" t="s">
        <v>2882</v>
      </c>
      <c r="J1174" s="234">
        <v>47420</v>
      </c>
      <c r="K1174" s="234">
        <v>15920</v>
      </c>
      <c r="L1174" s="242">
        <v>7</v>
      </c>
      <c r="M1174" s="234">
        <v>31500</v>
      </c>
      <c r="N1174" s="234">
        <v>29295</v>
      </c>
      <c r="O1174" s="243" t="s">
        <v>3277</v>
      </c>
      <c r="P1174" s="236">
        <v>45954</v>
      </c>
    </row>
    <row r="1175" spans="1:16" ht="51" customHeight="1">
      <c r="A1175" s="239" t="s">
        <v>3208</v>
      </c>
      <c r="B1175" s="240">
        <v>2620</v>
      </c>
      <c r="C1175" s="241">
        <v>109</v>
      </c>
      <c r="D1175" s="239" t="s">
        <v>2881</v>
      </c>
      <c r="E1175" s="239" t="s">
        <v>1410</v>
      </c>
      <c r="F1175" s="239" t="s">
        <v>437</v>
      </c>
      <c r="G1175" s="239" t="s">
        <v>144</v>
      </c>
      <c r="H1175" s="239" t="s">
        <v>51</v>
      </c>
      <c r="I1175" s="239" t="s">
        <v>2882</v>
      </c>
      <c r="J1175" s="234">
        <v>42450</v>
      </c>
      <c r="K1175" s="234">
        <v>15120</v>
      </c>
      <c r="L1175" s="242">
        <v>8</v>
      </c>
      <c r="M1175" s="234">
        <v>27330</v>
      </c>
      <c r="N1175" s="234">
        <v>25143.599999999999</v>
      </c>
      <c r="O1175" s="243" t="s">
        <v>3279</v>
      </c>
      <c r="P1175" s="236">
        <v>45954</v>
      </c>
    </row>
    <row r="1176" spans="1:16" ht="51" customHeight="1">
      <c r="A1176" s="239" t="s">
        <v>3211</v>
      </c>
      <c r="B1176" s="240">
        <v>2621</v>
      </c>
      <c r="C1176" s="241">
        <v>108</v>
      </c>
      <c r="D1176" s="239" t="s">
        <v>2881</v>
      </c>
      <c r="E1176" s="239" t="s">
        <v>475</v>
      </c>
      <c r="F1176" s="239" t="s">
        <v>476</v>
      </c>
      <c r="G1176" s="239" t="s">
        <v>144</v>
      </c>
      <c r="H1176" s="239" t="s">
        <v>51</v>
      </c>
      <c r="I1176" s="239" t="s">
        <v>2882</v>
      </c>
      <c r="J1176" s="234">
        <v>42930</v>
      </c>
      <c r="K1176" s="234">
        <v>16560</v>
      </c>
      <c r="L1176" s="242">
        <v>9</v>
      </c>
      <c r="M1176" s="234">
        <v>26370</v>
      </c>
      <c r="N1176" s="234">
        <v>23996.7</v>
      </c>
      <c r="O1176" s="243" t="s">
        <v>3282</v>
      </c>
      <c r="P1176" s="236">
        <v>45954</v>
      </c>
    </row>
    <row r="1177" spans="1:16" ht="51" customHeight="1">
      <c r="A1177" s="239" t="s">
        <v>3207</v>
      </c>
      <c r="B1177" s="240">
        <v>2623</v>
      </c>
      <c r="C1177" s="241">
        <v>110</v>
      </c>
      <c r="D1177" s="239" t="s">
        <v>2881</v>
      </c>
      <c r="E1177" s="239" t="s">
        <v>439</v>
      </c>
      <c r="F1177" s="239" t="s">
        <v>440</v>
      </c>
      <c r="G1177" s="239" t="s">
        <v>144</v>
      </c>
      <c r="H1177" s="239" t="s">
        <v>51</v>
      </c>
      <c r="I1177" s="239" t="s">
        <v>2882</v>
      </c>
      <c r="J1177" s="234">
        <v>43580</v>
      </c>
      <c r="K1177" s="234">
        <v>15320</v>
      </c>
      <c r="L1177" s="242">
        <v>5</v>
      </c>
      <c r="M1177" s="234">
        <v>28260</v>
      </c>
      <c r="N1177" s="234">
        <v>26847</v>
      </c>
      <c r="O1177" s="243" t="s">
        <v>3278</v>
      </c>
      <c r="P1177" s="236">
        <v>45954</v>
      </c>
    </row>
    <row r="1178" spans="1:16" ht="51" customHeight="1">
      <c r="A1178" s="239" t="s">
        <v>3209</v>
      </c>
      <c r="B1178" s="240">
        <v>2624</v>
      </c>
      <c r="C1178" s="241">
        <v>111</v>
      </c>
      <c r="D1178" s="239" t="s">
        <v>2881</v>
      </c>
      <c r="E1178" s="239" t="s">
        <v>413</v>
      </c>
      <c r="F1178" s="239" t="s">
        <v>414</v>
      </c>
      <c r="G1178" s="239" t="s">
        <v>144</v>
      </c>
      <c r="H1178" s="239" t="s">
        <v>51</v>
      </c>
      <c r="I1178" s="239" t="s">
        <v>2882</v>
      </c>
      <c r="J1178" s="234">
        <v>45360</v>
      </c>
      <c r="K1178" s="234">
        <v>15180</v>
      </c>
      <c r="L1178" s="242">
        <v>6</v>
      </c>
      <c r="M1178" s="234">
        <v>30180</v>
      </c>
      <c r="N1178" s="234">
        <v>28369.200000000001</v>
      </c>
      <c r="O1178" s="243" t="s">
        <v>3280</v>
      </c>
      <c r="P1178" s="236">
        <v>45954</v>
      </c>
    </row>
    <row r="1179" spans="1:16" ht="51" customHeight="1">
      <c r="A1179" s="239" t="s">
        <v>3210</v>
      </c>
      <c r="B1179" s="240">
        <v>2625</v>
      </c>
      <c r="C1179" s="241">
        <v>106</v>
      </c>
      <c r="D1179" s="239" t="s">
        <v>2881</v>
      </c>
      <c r="E1179" s="239" t="s">
        <v>392</v>
      </c>
      <c r="F1179" s="239" t="s">
        <v>393</v>
      </c>
      <c r="G1179" s="239" t="s">
        <v>144</v>
      </c>
      <c r="H1179" s="239" t="s">
        <v>51</v>
      </c>
      <c r="I1179" s="239" t="s">
        <v>2882</v>
      </c>
      <c r="J1179" s="234">
        <v>65370</v>
      </c>
      <c r="K1179" s="234">
        <v>24190</v>
      </c>
      <c r="L1179" s="242">
        <v>10</v>
      </c>
      <c r="M1179" s="234">
        <v>41180</v>
      </c>
      <c r="N1179" s="234">
        <v>37062</v>
      </c>
      <c r="O1179" s="243" t="s">
        <v>3281</v>
      </c>
      <c r="P1179" s="236">
        <v>45954</v>
      </c>
    </row>
    <row r="1180" spans="1:16" ht="51" customHeight="1">
      <c r="A1180" s="239" t="s">
        <v>3212</v>
      </c>
      <c r="B1180" s="240">
        <v>2626</v>
      </c>
      <c r="C1180" s="241">
        <v>112</v>
      </c>
      <c r="D1180" s="239" t="s">
        <v>2881</v>
      </c>
      <c r="E1180" s="239" t="s">
        <v>429</v>
      </c>
      <c r="F1180" s="239" t="s">
        <v>430</v>
      </c>
      <c r="G1180" s="239" t="s">
        <v>144</v>
      </c>
      <c r="H1180" s="239" t="s">
        <v>51</v>
      </c>
      <c r="I1180" s="239" t="s">
        <v>2882</v>
      </c>
      <c r="J1180" s="234">
        <v>43030</v>
      </c>
      <c r="K1180" s="234">
        <v>14520</v>
      </c>
      <c r="L1180" s="242">
        <v>13</v>
      </c>
      <c r="M1180" s="234">
        <v>28510</v>
      </c>
      <c r="N1180" s="234">
        <v>24803.7</v>
      </c>
      <c r="O1180" s="243" t="s">
        <v>3283</v>
      </c>
      <c r="P1180" s="236">
        <v>45954</v>
      </c>
    </row>
    <row r="1181" spans="1:16" ht="51" customHeight="1">
      <c r="A1181" s="239" t="s">
        <v>3213</v>
      </c>
      <c r="B1181" s="240">
        <v>2629</v>
      </c>
      <c r="C1181" s="241">
        <v>115</v>
      </c>
      <c r="D1181" s="239" t="s">
        <v>2881</v>
      </c>
      <c r="E1181" s="239" t="s">
        <v>416</v>
      </c>
      <c r="F1181" s="239" t="s">
        <v>417</v>
      </c>
      <c r="G1181" s="239" t="s">
        <v>144</v>
      </c>
      <c r="H1181" s="239" t="s">
        <v>51</v>
      </c>
      <c r="I1181" s="239" t="s">
        <v>2882</v>
      </c>
      <c r="J1181" s="234">
        <v>39760</v>
      </c>
      <c r="K1181" s="234">
        <v>14960</v>
      </c>
      <c r="L1181" s="242">
        <v>8</v>
      </c>
      <c r="M1181" s="234">
        <v>24800</v>
      </c>
      <c r="N1181" s="234">
        <v>22816</v>
      </c>
      <c r="O1181" s="243" t="s">
        <v>3284</v>
      </c>
      <c r="P1181" s="236">
        <v>45955</v>
      </c>
    </row>
    <row r="1182" spans="1:16" ht="51" customHeight="1">
      <c r="A1182" s="239" t="s">
        <v>3214</v>
      </c>
      <c r="B1182" s="240">
        <v>2630</v>
      </c>
      <c r="C1182" s="241">
        <v>114</v>
      </c>
      <c r="D1182" s="239" t="s">
        <v>2881</v>
      </c>
      <c r="E1182" s="239" t="s">
        <v>456</v>
      </c>
      <c r="F1182" s="239" t="s">
        <v>457</v>
      </c>
      <c r="G1182" s="239" t="s">
        <v>144</v>
      </c>
      <c r="H1182" s="239" t="s">
        <v>51</v>
      </c>
      <c r="I1182" s="239" t="s">
        <v>2882</v>
      </c>
      <c r="J1182" s="234">
        <v>48380</v>
      </c>
      <c r="K1182" s="234">
        <v>16100</v>
      </c>
      <c r="L1182" s="242">
        <v>5</v>
      </c>
      <c r="M1182" s="234">
        <v>32280</v>
      </c>
      <c r="N1182" s="234">
        <v>30666</v>
      </c>
      <c r="O1182" s="243" t="s">
        <v>3285</v>
      </c>
      <c r="P1182" s="236">
        <v>45955</v>
      </c>
    </row>
    <row r="1183" spans="1:16" ht="51" customHeight="1">
      <c r="A1183" s="239" t="s">
        <v>3215</v>
      </c>
      <c r="B1183" s="240">
        <v>2631</v>
      </c>
      <c r="C1183" s="241">
        <v>103</v>
      </c>
      <c r="D1183" s="239" t="s">
        <v>2881</v>
      </c>
      <c r="E1183" s="239" t="s">
        <v>388</v>
      </c>
      <c r="F1183" s="239" t="s">
        <v>389</v>
      </c>
      <c r="G1183" s="239" t="s">
        <v>144</v>
      </c>
      <c r="H1183" s="239" t="s">
        <v>51</v>
      </c>
      <c r="I1183" s="239" t="s">
        <v>2882</v>
      </c>
      <c r="J1183" s="234">
        <v>65510</v>
      </c>
      <c r="K1183" s="234">
        <v>21340</v>
      </c>
      <c r="L1183" s="242">
        <v>9</v>
      </c>
      <c r="M1183" s="234">
        <v>44170</v>
      </c>
      <c r="N1183" s="234">
        <v>40194.699999999997</v>
      </c>
      <c r="O1183" s="243" t="s">
        <v>3286</v>
      </c>
      <c r="P1183" s="236">
        <v>45955</v>
      </c>
    </row>
    <row r="1184" spans="1:16" ht="51" customHeight="1">
      <c r="A1184" s="239" t="s">
        <v>3216</v>
      </c>
      <c r="B1184" s="240">
        <v>2632</v>
      </c>
      <c r="C1184" s="241">
        <v>116</v>
      </c>
      <c r="D1184" s="239" t="s">
        <v>2881</v>
      </c>
      <c r="E1184" s="239" t="s">
        <v>420</v>
      </c>
      <c r="F1184" s="239" t="s">
        <v>421</v>
      </c>
      <c r="G1184" s="239" t="s">
        <v>949</v>
      </c>
      <c r="H1184" s="239" t="s">
        <v>51</v>
      </c>
      <c r="I1184" s="239" t="s">
        <v>2882</v>
      </c>
      <c r="J1184" s="234">
        <v>36960</v>
      </c>
      <c r="K1184" s="234">
        <v>15100</v>
      </c>
      <c r="L1184" s="242">
        <v>36</v>
      </c>
      <c r="M1184" s="234">
        <v>21860</v>
      </c>
      <c r="N1184" s="234">
        <v>13990.4</v>
      </c>
      <c r="O1184" s="243" t="s">
        <v>3287</v>
      </c>
      <c r="P1184" s="236">
        <v>45955</v>
      </c>
    </row>
    <row r="1185" spans="1:16" ht="51" customHeight="1">
      <c r="A1185" s="239" t="s">
        <v>3217</v>
      </c>
      <c r="B1185" s="240">
        <v>2633</v>
      </c>
      <c r="C1185" s="241">
        <v>113</v>
      </c>
      <c r="D1185" s="239" t="s">
        <v>2881</v>
      </c>
      <c r="E1185" s="239" t="s">
        <v>453</v>
      </c>
      <c r="F1185" s="239" t="s">
        <v>454</v>
      </c>
      <c r="G1185" s="239" t="s">
        <v>949</v>
      </c>
      <c r="H1185" s="239" t="s">
        <v>51</v>
      </c>
      <c r="I1185" s="239" t="s">
        <v>2882</v>
      </c>
      <c r="J1185" s="234">
        <v>65120</v>
      </c>
      <c r="K1185" s="234">
        <v>24710</v>
      </c>
      <c r="L1185" s="242">
        <v>20</v>
      </c>
      <c r="M1185" s="234">
        <v>40410</v>
      </c>
      <c r="N1185" s="234">
        <v>32328</v>
      </c>
      <c r="O1185" s="243" t="s">
        <v>3288</v>
      </c>
      <c r="P1185" s="236">
        <v>45955</v>
      </c>
    </row>
    <row r="1186" spans="1:16" ht="51" customHeight="1">
      <c r="A1186" s="239" t="s">
        <v>3218</v>
      </c>
      <c r="B1186" s="240">
        <v>2634</v>
      </c>
      <c r="C1186" s="241">
        <v>117</v>
      </c>
      <c r="D1186" s="239" t="s">
        <v>2881</v>
      </c>
      <c r="E1186" s="239" t="s">
        <v>400</v>
      </c>
      <c r="F1186" s="239" t="s">
        <v>401</v>
      </c>
      <c r="G1186" s="239" t="s">
        <v>949</v>
      </c>
      <c r="H1186" s="239" t="s">
        <v>51</v>
      </c>
      <c r="I1186" s="239" t="s">
        <v>2882</v>
      </c>
      <c r="J1186" s="234">
        <v>40430</v>
      </c>
      <c r="K1186" s="234">
        <v>14910</v>
      </c>
      <c r="L1186" s="242">
        <v>15</v>
      </c>
      <c r="M1186" s="234">
        <v>25520</v>
      </c>
      <c r="N1186" s="234">
        <v>21692</v>
      </c>
      <c r="O1186" s="243" t="s">
        <v>3289</v>
      </c>
      <c r="P1186" s="236">
        <v>45955</v>
      </c>
    </row>
    <row r="1187" spans="1:16" ht="51" customHeight="1">
      <c r="A1187" s="239" t="s">
        <v>3219</v>
      </c>
      <c r="B1187" s="240">
        <v>2635</v>
      </c>
      <c r="C1187" s="241">
        <v>118</v>
      </c>
      <c r="D1187" s="239" t="s">
        <v>2881</v>
      </c>
      <c r="E1187" s="239" t="s">
        <v>382</v>
      </c>
      <c r="F1187" s="239" t="s">
        <v>383</v>
      </c>
      <c r="G1187" s="239" t="s">
        <v>949</v>
      </c>
      <c r="H1187" s="239" t="s">
        <v>51</v>
      </c>
      <c r="I1187" s="239" t="s">
        <v>2882</v>
      </c>
      <c r="J1187" s="234">
        <v>36670</v>
      </c>
      <c r="K1187" s="234">
        <v>14860</v>
      </c>
      <c r="L1187" s="242">
        <v>27</v>
      </c>
      <c r="M1187" s="234">
        <v>21810</v>
      </c>
      <c r="N1187" s="234">
        <v>15921.3</v>
      </c>
      <c r="O1187" s="243" t="s">
        <v>3290</v>
      </c>
      <c r="P1187" s="236">
        <v>45955</v>
      </c>
    </row>
    <row r="1188" spans="1:16" ht="51" customHeight="1">
      <c r="A1188" s="239" t="s">
        <v>3220</v>
      </c>
      <c r="B1188" s="240">
        <v>2636</v>
      </c>
      <c r="C1188" s="241">
        <v>119</v>
      </c>
      <c r="D1188" s="239" t="s">
        <v>2881</v>
      </c>
      <c r="E1188" s="239" t="s">
        <v>841</v>
      </c>
      <c r="F1188" s="239" t="s">
        <v>845</v>
      </c>
      <c r="G1188" s="239" t="s">
        <v>949</v>
      </c>
      <c r="H1188" s="239" t="s">
        <v>51</v>
      </c>
      <c r="I1188" s="239" t="s">
        <v>2882</v>
      </c>
      <c r="J1188" s="234">
        <v>41660</v>
      </c>
      <c r="K1188" s="234">
        <v>15900</v>
      </c>
      <c r="L1188" s="242">
        <v>9</v>
      </c>
      <c r="M1188" s="234">
        <v>25760</v>
      </c>
      <c r="N1188" s="234">
        <v>23441.599999999999</v>
      </c>
      <c r="O1188" s="243" t="s">
        <v>3291</v>
      </c>
      <c r="P1188" s="236">
        <v>45955</v>
      </c>
    </row>
    <row r="1189" spans="1:16" ht="51" customHeight="1">
      <c r="A1189" s="239" t="s">
        <v>3221</v>
      </c>
      <c r="B1189" s="240">
        <v>2637</v>
      </c>
      <c r="C1189" s="241">
        <v>120</v>
      </c>
      <c r="D1189" s="239" t="s">
        <v>2881</v>
      </c>
      <c r="E1189" s="239" t="s">
        <v>425</v>
      </c>
      <c r="F1189" s="239" t="s">
        <v>426</v>
      </c>
      <c r="G1189" s="239" t="s">
        <v>949</v>
      </c>
      <c r="H1189" s="239" t="s">
        <v>51</v>
      </c>
      <c r="I1189" s="239" t="s">
        <v>2882</v>
      </c>
      <c r="J1189" s="234">
        <v>47570</v>
      </c>
      <c r="K1189" s="234">
        <v>18960</v>
      </c>
      <c r="L1189" s="242">
        <v>13</v>
      </c>
      <c r="M1189" s="234">
        <v>28610</v>
      </c>
      <c r="N1189" s="234">
        <v>24890.7</v>
      </c>
      <c r="O1189" s="243" t="s">
        <v>3292</v>
      </c>
      <c r="P1189" s="236">
        <v>45955</v>
      </c>
    </row>
    <row r="1190" spans="1:16" ht="51" customHeight="1">
      <c r="A1190" s="239" t="s">
        <v>3222</v>
      </c>
      <c r="B1190" s="240">
        <v>2638</v>
      </c>
      <c r="C1190" s="241">
        <v>122</v>
      </c>
      <c r="D1190" s="239" t="s">
        <v>2881</v>
      </c>
      <c r="E1190" s="239" t="s">
        <v>384</v>
      </c>
      <c r="F1190" s="239" t="s">
        <v>385</v>
      </c>
      <c r="G1190" s="239" t="s">
        <v>949</v>
      </c>
      <c r="H1190" s="239" t="s">
        <v>51</v>
      </c>
      <c r="I1190" s="239" t="s">
        <v>2882</v>
      </c>
      <c r="J1190" s="234">
        <v>35900</v>
      </c>
      <c r="K1190" s="234">
        <v>14090</v>
      </c>
      <c r="L1190" s="242">
        <v>9</v>
      </c>
      <c r="M1190" s="234">
        <v>21810</v>
      </c>
      <c r="N1190" s="234">
        <v>19847.099999999999</v>
      </c>
      <c r="O1190" s="243" t="s">
        <v>3293</v>
      </c>
      <c r="P1190" s="236">
        <v>45955</v>
      </c>
    </row>
    <row r="1191" spans="1:16" ht="51" customHeight="1">
      <c r="A1191" s="239" t="s">
        <v>3223</v>
      </c>
      <c r="B1191" s="240">
        <v>2639</v>
      </c>
      <c r="C1191" s="241">
        <v>121</v>
      </c>
      <c r="D1191" s="239" t="s">
        <v>2881</v>
      </c>
      <c r="E1191" s="239" t="s">
        <v>2793</v>
      </c>
      <c r="F1191" s="239" t="s">
        <v>2794</v>
      </c>
      <c r="G1191" s="239" t="s">
        <v>949</v>
      </c>
      <c r="H1191" s="239" t="s">
        <v>51</v>
      </c>
      <c r="I1191" s="239" t="s">
        <v>2882</v>
      </c>
      <c r="J1191" s="234">
        <v>47350</v>
      </c>
      <c r="K1191" s="234">
        <v>17730</v>
      </c>
      <c r="L1191" s="242">
        <v>14</v>
      </c>
      <c r="M1191" s="234">
        <v>29620</v>
      </c>
      <c r="N1191" s="234">
        <v>25473.200000000001</v>
      </c>
      <c r="O1191" s="243" t="s">
        <v>3294</v>
      </c>
      <c r="P1191" s="236">
        <v>45955</v>
      </c>
    </row>
    <row r="1192" spans="1:16" ht="51" customHeight="1">
      <c r="A1192" s="239" t="s">
        <v>3224</v>
      </c>
      <c r="B1192" s="240">
        <v>2642</v>
      </c>
      <c r="C1192" s="241">
        <v>123</v>
      </c>
      <c r="D1192" s="239" t="s">
        <v>2881</v>
      </c>
      <c r="E1192" s="239" t="s">
        <v>783</v>
      </c>
      <c r="F1192" s="239" t="s">
        <v>784</v>
      </c>
      <c r="G1192" s="239" t="s">
        <v>949</v>
      </c>
      <c r="H1192" s="239" t="s">
        <v>51</v>
      </c>
      <c r="I1192" s="239" t="s">
        <v>2882</v>
      </c>
      <c r="J1192" s="234">
        <v>39590</v>
      </c>
      <c r="K1192" s="234">
        <v>14630</v>
      </c>
      <c r="L1192" s="242">
        <v>7</v>
      </c>
      <c r="M1192" s="234">
        <v>24960</v>
      </c>
      <c r="N1192" s="234">
        <v>23212.799999999999</v>
      </c>
      <c r="O1192" s="243" t="s">
        <v>3295</v>
      </c>
      <c r="P1192" s="236">
        <v>45955</v>
      </c>
    </row>
    <row r="1193" spans="1:16" ht="51" customHeight="1">
      <c r="A1193" s="239" t="s">
        <v>3225</v>
      </c>
      <c r="B1193" s="240">
        <v>2644</v>
      </c>
      <c r="C1193" s="241">
        <v>124</v>
      </c>
      <c r="D1193" s="239" t="s">
        <v>2881</v>
      </c>
      <c r="E1193" s="239" t="s">
        <v>403</v>
      </c>
      <c r="F1193" s="239" t="s">
        <v>404</v>
      </c>
      <c r="G1193" s="239" t="s">
        <v>949</v>
      </c>
      <c r="H1193" s="239" t="s">
        <v>51</v>
      </c>
      <c r="I1193" s="239" t="s">
        <v>2882</v>
      </c>
      <c r="J1193" s="234">
        <v>40220</v>
      </c>
      <c r="K1193" s="234">
        <v>14710</v>
      </c>
      <c r="L1193" s="242">
        <v>11</v>
      </c>
      <c r="M1193" s="234">
        <v>25510</v>
      </c>
      <c r="N1193" s="234">
        <v>22703.9</v>
      </c>
      <c r="O1193" s="243" t="s">
        <v>3296</v>
      </c>
      <c r="P1193" s="236">
        <v>45955</v>
      </c>
    </row>
    <row r="1194" spans="1:16" ht="51" customHeight="1">
      <c r="A1194" s="239" t="s">
        <v>3226</v>
      </c>
      <c r="B1194" s="240">
        <v>2645</v>
      </c>
      <c r="C1194" s="241">
        <v>125</v>
      </c>
      <c r="D1194" s="239" t="s">
        <v>2881</v>
      </c>
      <c r="E1194" s="239" t="s">
        <v>406</v>
      </c>
      <c r="F1194" s="239" t="s">
        <v>407</v>
      </c>
      <c r="G1194" s="239" t="s">
        <v>949</v>
      </c>
      <c r="H1194" s="239" t="s">
        <v>51</v>
      </c>
      <c r="I1194" s="239" t="s">
        <v>2882</v>
      </c>
      <c r="J1194" s="234">
        <v>39450</v>
      </c>
      <c r="K1194" s="234">
        <v>15280</v>
      </c>
      <c r="L1194" s="242">
        <v>9</v>
      </c>
      <c r="M1194" s="234">
        <v>24170</v>
      </c>
      <c r="N1194" s="234">
        <v>21994.7</v>
      </c>
      <c r="O1194" s="243" t="s">
        <v>3297</v>
      </c>
      <c r="P1194" s="236">
        <v>45955</v>
      </c>
    </row>
    <row r="1195" spans="1:16" ht="51" customHeight="1">
      <c r="A1195" s="239" t="s">
        <v>3227</v>
      </c>
      <c r="B1195" s="240">
        <v>2646</v>
      </c>
      <c r="C1195" s="241">
        <v>126</v>
      </c>
      <c r="D1195" s="239" t="s">
        <v>2881</v>
      </c>
      <c r="E1195" s="239" t="s">
        <v>794</v>
      </c>
      <c r="F1195" s="239" t="s">
        <v>795</v>
      </c>
      <c r="G1195" s="239" t="s">
        <v>949</v>
      </c>
      <c r="H1195" s="239" t="s">
        <v>51</v>
      </c>
      <c r="I1195" s="239" t="s">
        <v>2882</v>
      </c>
      <c r="J1195" s="234">
        <v>42790</v>
      </c>
      <c r="K1195" s="234">
        <v>16240</v>
      </c>
      <c r="L1195" s="242">
        <v>11</v>
      </c>
      <c r="M1195" s="234">
        <v>26550</v>
      </c>
      <c r="N1195" s="234">
        <v>23629.5</v>
      </c>
      <c r="O1195" s="243" t="s">
        <v>3298</v>
      </c>
      <c r="P1195" s="236">
        <v>45955</v>
      </c>
    </row>
    <row r="1196" spans="1:16" ht="51" customHeight="1">
      <c r="A1196" s="239" t="s">
        <v>3228</v>
      </c>
      <c r="B1196" s="240">
        <v>2648</v>
      </c>
      <c r="C1196" s="241">
        <v>127</v>
      </c>
      <c r="D1196" s="239" t="s">
        <v>2881</v>
      </c>
      <c r="E1196" s="239" t="s">
        <v>791</v>
      </c>
      <c r="F1196" s="239" t="s">
        <v>792</v>
      </c>
      <c r="G1196" s="239" t="s">
        <v>949</v>
      </c>
      <c r="H1196" s="239" t="s">
        <v>51</v>
      </c>
      <c r="I1196" s="239" t="s">
        <v>2882</v>
      </c>
      <c r="J1196" s="234">
        <v>40190</v>
      </c>
      <c r="K1196" s="234">
        <v>15090</v>
      </c>
      <c r="L1196" s="242">
        <v>8</v>
      </c>
      <c r="M1196" s="234">
        <v>25100</v>
      </c>
      <c r="N1196" s="234">
        <v>23092</v>
      </c>
      <c r="O1196" s="243" t="s">
        <v>3299</v>
      </c>
      <c r="P1196" s="236">
        <v>45955</v>
      </c>
    </row>
    <row r="1197" spans="1:16" ht="51" customHeight="1">
      <c r="A1197" s="239" t="s">
        <v>3229</v>
      </c>
      <c r="B1197" s="240">
        <v>2650</v>
      </c>
      <c r="C1197" s="241">
        <v>128</v>
      </c>
      <c r="D1197" s="239" t="s">
        <v>2881</v>
      </c>
      <c r="E1197" s="239" t="s">
        <v>786</v>
      </c>
      <c r="F1197" s="239" t="s">
        <v>787</v>
      </c>
      <c r="G1197" s="239" t="s">
        <v>949</v>
      </c>
      <c r="H1197" s="239" t="s">
        <v>51</v>
      </c>
      <c r="I1197" s="239" t="s">
        <v>2882</v>
      </c>
      <c r="J1197" s="234">
        <v>34860</v>
      </c>
      <c r="K1197" s="234">
        <v>13990</v>
      </c>
      <c r="L1197" s="242">
        <v>9</v>
      </c>
      <c r="M1197" s="234">
        <v>20870</v>
      </c>
      <c r="N1197" s="234">
        <v>18991.7</v>
      </c>
      <c r="O1197" s="243" t="s">
        <v>3300</v>
      </c>
      <c r="P1197" s="236">
        <v>45955</v>
      </c>
    </row>
    <row r="1198" spans="1:16" ht="51" customHeight="1">
      <c r="A1198" s="239" t="s">
        <v>3230</v>
      </c>
      <c r="B1198" s="240">
        <v>2652</v>
      </c>
      <c r="C1198" s="241">
        <v>129</v>
      </c>
      <c r="D1198" s="239" t="s">
        <v>2881</v>
      </c>
      <c r="E1198" s="239" t="s">
        <v>380</v>
      </c>
      <c r="F1198" s="239" t="s">
        <v>381</v>
      </c>
      <c r="G1198" s="239" t="s">
        <v>949</v>
      </c>
      <c r="H1198" s="239" t="s">
        <v>51</v>
      </c>
      <c r="I1198" s="239" t="s">
        <v>2882</v>
      </c>
      <c r="J1198" s="234">
        <v>39070</v>
      </c>
      <c r="K1198" s="234">
        <v>15260</v>
      </c>
      <c r="L1198" s="242">
        <v>15</v>
      </c>
      <c r="M1198" s="234">
        <v>23810</v>
      </c>
      <c r="N1198" s="234">
        <v>20238.5</v>
      </c>
      <c r="O1198" s="243" t="s">
        <v>3301</v>
      </c>
      <c r="P1198" s="236">
        <v>45955</v>
      </c>
    </row>
    <row r="1199" spans="1:16" ht="51" customHeight="1">
      <c r="A1199" s="239" t="s">
        <v>3232</v>
      </c>
      <c r="B1199" s="240">
        <v>2654</v>
      </c>
      <c r="C1199" s="241">
        <v>130</v>
      </c>
      <c r="D1199" s="239" t="s">
        <v>2881</v>
      </c>
      <c r="E1199" s="239" t="s">
        <v>447</v>
      </c>
      <c r="F1199" s="239" t="s">
        <v>448</v>
      </c>
      <c r="G1199" s="239" t="s">
        <v>949</v>
      </c>
      <c r="H1199" s="239" t="s">
        <v>51</v>
      </c>
      <c r="I1199" s="239" t="s">
        <v>2882</v>
      </c>
      <c r="J1199" s="234">
        <v>47720</v>
      </c>
      <c r="K1199" s="234">
        <v>19870</v>
      </c>
      <c r="L1199" s="242">
        <v>25</v>
      </c>
      <c r="M1199" s="234">
        <v>27850</v>
      </c>
      <c r="N1199" s="234">
        <v>20887.5</v>
      </c>
      <c r="O1199" s="243" t="s">
        <v>3303</v>
      </c>
      <c r="P1199" s="236">
        <v>45955</v>
      </c>
    </row>
    <row r="1200" spans="1:16" ht="51" customHeight="1">
      <c r="A1200" s="239" t="s">
        <v>3231</v>
      </c>
      <c r="B1200" s="240">
        <v>2655</v>
      </c>
      <c r="C1200" s="241">
        <v>131</v>
      </c>
      <c r="D1200" s="239" t="s">
        <v>2881</v>
      </c>
      <c r="E1200" s="239" t="s">
        <v>372</v>
      </c>
      <c r="F1200" s="239" t="s">
        <v>373</v>
      </c>
      <c r="G1200" s="239" t="s">
        <v>949</v>
      </c>
      <c r="H1200" s="239" t="s">
        <v>51</v>
      </c>
      <c r="I1200" s="239" t="s">
        <v>2882</v>
      </c>
      <c r="J1200" s="234">
        <v>37840</v>
      </c>
      <c r="K1200" s="234">
        <v>15190</v>
      </c>
      <c r="L1200" s="242">
        <v>11</v>
      </c>
      <c r="M1200" s="234">
        <v>22650</v>
      </c>
      <c r="N1200" s="234">
        <v>20158.5</v>
      </c>
      <c r="O1200" s="243" t="s">
        <v>3302</v>
      </c>
      <c r="P1200" s="236">
        <v>45955</v>
      </c>
    </row>
    <row r="1201" spans="1:16" ht="51" customHeight="1">
      <c r="A1201" s="239" t="s">
        <v>3233</v>
      </c>
      <c r="B1201" s="240">
        <v>2656</v>
      </c>
      <c r="C1201" s="241">
        <v>132</v>
      </c>
      <c r="D1201" s="239" t="s">
        <v>2881</v>
      </c>
      <c r="E1201" s="239" t="s">
        <v>369</v>
      </c>
      <c r="F1201" s="239" t="s">
        <v>370</v>
      </c>
      <c r="G1201" s="239" t="s">
        <v>949</v>
      </c>
      <c r="H1201" s="239" t="s">
        <v>51</v>
      </c>
      <c r="I1201" s="239" t="s">
        <v>2882</v>
      </c>
      <c r="J1201" s="234">
        <v>38140</v>
      </c>
      <c r="K1201" s="234">
        <v>15310</v>
      </c>
      <c r="L1201" s="242">
        <v>18</v>
      </c>
      <c r="M1201" s="234">
        <v>22830</v>
      </c>
      <c r="N1201" s="234">
        <v>18720.599999999999</v>
      </c>
      <c r="O1201" s="243" t="s">
        <v>3304</v>
      </c>
      <c r="P1201" s="236">
        <v>45956</v>
      </c>
    </row>
    <row r="1202" spans="1:16" ht="51" customHeight="1">
      <c r="A1202" s="239" t="s">
        <v>3234</v>
      </c>
      <c r="B1202" s="240">
        <v>2657</v>
      </c>
      <c r="C1202" s="241">
        <v>133</v>
      </c>
      <c r="D1202" s="239" t="s">
        <v>2881</v>
      </c>
      <c r="E1202" s="239" t="s">
        <v>432</v>
      </c>
      <c r="F1202" s="239" t="s">
        <v>433</v>
      </c>
      <c r="G1202" s="239" t="s">
        <v>949</v>
      </c>
      <c r="H1202" s="239" t="s">
        <v>51</v>
      </c>
      <c r="I1202" s="239" t="s">
        <v>2882</v>
      </c>
      <c r="J1202" s="234">
        <v>42840</v>
      </c>
      <c r="K1202" s="234">
        <v>16220</v>
      </c>
      <c r="L1202" s="242">
        <v>12</v>
      </c>
      <c r="M1202" s="234">
        <v>26620</v>
      </c>
      <c r="N1202" s="234">
        <v>23425.599999999999</v>
      </c>
      <c r="O1202" s="243" t="s">
        <v>3305</v>
      </c>
      <c r="P1202" s="236">
        <v>45956</v>
      </c>
    </row>
    <row r="1203" spans="1:16" ht="51" customHeight="1">
      <c r="A1203" s="239" t="s">
        <v>3235</v>
      </c>
      <c r="B1203" s="240">
        <v>2659</v>
      </c>
      <c r="C1203" s="241">
        <v>134</v>
      </c>
      <c r="D1203" s="239" t="s">
        <v>2881</v>
      </c>
      <c r="E1203" s="239" t="s">
        <v>1410</v>
      </c>
      <c r="F1203" s="239" t="s">
        <v>437</v>
      </c>
      <c r="G1203" s="239" t="s">
        <v>949</v>
      </c>
      <c r="H1203" s="239" t="s">
        <v>51</v>
      </c>
      <c r="I1203" s="239" t="s">
        <v>2882</v>
      </c>
      <c r="J1203" s="234">
        <v>40760</v>
      </c>
      <c r="K1203" s="234">
        <v>15190</v>
      </c>
      <c r="L1203" s="242">
        <v>6</v>
      </c>
      <c r="M1203" s="234">
        <v>25570</v>
      </c>
      <c r="N1203" s="234">
        <v>24035.8</v>
      </c>
      <c r="O1203" s="243" t="s">
        <v>3306</v>
      </c>
      <c r="P1203" s="236">
        <v>45956</v>
      </c>
    </row>
    <row r="1204" spans="1:16" ht="51" customHeight="1">
      <c r="A1204" s="239" t="s">
        <v>3236</v>
      </c>
      <c r="B1204" s="240">
        <v>2660</v>
      </c>
      <c r="C1204" s="241">
        <v>135</v>
      </c>
      <c r="D1204" s="239" t="s">
        <v>2881</v>
      </c>
      <c r="E1204" s="239" t="s">
        <v>439</v>
      </c>
      <c r="F1204" s="239" t="s">
        <v>440</v>
      </c>
      <c r="G1204" s="239" t="s">
        <v>949</v>
      </c>
      <c r="H1204" s="239" t="s">
        <v>51</v>
      </c>
      <c r="I1204" s="239" t="s">
        <v>2882</v>
      </c>
      <c r="J1204" s="234">
        <v>42230</v>
      </c>
      <c r="K1204" s="234">
        <v>15350</v>
      </c>
      <c r="L1204" s="242">
        <v>11</v>
      </c>
      <c r="M1204" s="234">
        <v>26880</v>
      </c>
      <c r="N1204" s="234">
        <v>23923.200000000001</v>
      </c>
      <c r="O1204" s="243" t="s">
        <v>3307</v>
      </c>
      <c r="P1204" s="236">
        <v>45956</v>
      </c>
    </row>
    <row r="1205" spans="1:16" ht="51" customHeight="1">
      <c r="A1205" s="239" t="s">
        <v>3237</v>
      </c>
      <c r="B1205" s="240">
        <v>2661</v>
      </c>
      <c r="C1205" s="241">
        <v>136</v>
      </c>
      <c r="D1205" s="239" t="s">
        <v>2881</v>
      </c>
      <c r="E1205" s="239" t="s">
        <v>413</v>
      </c>
      <c r="F1205" s="239" t="s">
        <v>414</v>
      </c>
      <c r="G1205" s="239" t="s">
        <v>949</v>
      </c>
      <c r="H1205" s="239" t="s">
        <v>51</v>
      </c>
      <c r="I1205" s="239" t="s">
        <v>2882</v>
      </c>
      <c r="J1205" s="234">
        <v>42640</v>
      </c>
      <c r="K1205" s="234">
        <v>15310</v>
      </c>
      <c r="L1205" s="242">
        <v>16</v>
      </c>
      <c r="M1205" s="234">
        <v>27330</v>
      </c>
      <c r="N1205" s="234">
        <v>22957.200000000001</v>
      </c>
      <c r="O1205" s="243" t="s">
        <v>3308</v>
      </c>
      <c r="P1205" s="236">
        <v>45956</v>
      </c>
    </row>
    <row r="1206" spans="1:16" ht="51" customHeight="1">
      <c r="A1206" s="239" t="s">
        <v>3238</v>
      </c>
      <c r="B1206" s="240">
        <v>2662</v>
      </c>
      <c r="C1206" s="241">
        <v>137</v>
      </c>
      <c r="D1206" s="239" t="s">
        <v>2881</v>
      </c>
      <c r="E1206" s="239" t="s">
        <v>429</v>
      </c>
      <c r="F1206" s="239" t="s">
        <v>430</v>
      </c>
      <c r="G1206" s="239" t="s">
        <v>949</v>
      </c>
      <c r="H1206" s="239" t="s">
        <v>51</v>
      </c>
      <c r="I1206" s="239" t="s">
        <v>2882</v>
      </c>
      <c r="J1206" s="234">
        <v>41830</v>
      </c>
      <c r="K1206" s="234">
        <v>14660</v>
      </c>
      <c r="L1206" s="242">
        <v>5</v>
      </c>
      <c r="M1206" s="234">
        <v>27170</v>
      </c>
      <c r="N1206" s="234">
        <v>25811.5</v>
      </c>
      <c r="O1206" s="243" t="s">
        <v>3309</v>
      </c>
      <c r="P1206" s="236">
        <v>45956</v>
      </c>
    </row>
    <row r="1207" spans="1:16" ht="51" customHeight="1">
      <c r="A1207" s="239" t="s">
        <v>3239</v>
      </c>
      <c r="B1207" s="240">
        <v>2663</v>
      </c>
      <c r="C1207" s="241">
        <v>138</v>
      </c>
      <c r="D1207" s="239" t="s">
        <v>2881</v>
      </c>
      <c r="E1207" s="239" t="s">
        <v>416</v>
      </c>
      <c r="F1207" s="239" t="s">
        <v>417</v>
      </c>
      <c r="G1207" s="239" t="s">
        <v>949</v>
      </c>
      <c r="H1207" s="239" t="s">
        <v>51</v>
      </c>
      <c r="I1207" s="239" t="s">
        <v>2882</v>
      </c>
      <c r="J1207" s="234">
        <v>39500</v>
      </c>
      <c r="K1207" s="234">
        <v>14960</v>
      </c>
      <c r="L1207" s="242">
        <v>17</v>
      </c>
      <c r="M1207" s="234">
        <v>24540</v>
      </c>
      <c r="N1207" s="234">
        <v>20368.2</v>
      </c>
      <c r="O1207" s="243" t="s">
        <v>3310</v>
      </c>
      <c r="P1207" s="236">
        <v>45956</v>
      </c>
    </row>
    <row r="1208" spans="1:16" ht="51" customHeight="1">
      <c r="A1208" s="239" t="s">
        <v>3241</v>
      </c>
      <c r="B1208" s="240">
        <v>2664</v>
      </c>
      <c r="C1208" s="241">
        <v>139</v>
      </c>
      <c r="D1208" s="239" t="s">
        <v>2881</v>
      </c>
      <c r="E1208" s="239" t="s">
        <v>456</v>
      </c>
      <c r="F1208" s="239" t="s">
        <v>457</v>
      </c>
      <c r="G1208" s="239" t="s">
        <v>949</v>
      </c>
      <c r="H1208" s="239" t="s">
        <v>51</v>
      </c>
      <c r="I1208" s="239" t="s">
        <v>2882</v>
      </c>
      <c r="J1208" s="234">
        <v>47160</v>
      </c>
      <c r="K1208" s="234">
        <v>16140</v>
      </c>
      <c r="L1208" s="242">
        <v>10</v>
      </c>
      <c r="M1208" s="234">
        <v>31020</v>
      </c>
      <c r="N1208" s="234">
        <v>27918</v>
      </c>
      <c r="O1208" s="243" t="s">
        <v>3312</v>
      </c>
      <c r="P1208" s="236">
        <v>45956</v>
      </c>
    </row>
    <row r="1209" spans="1:16" ht="51" customHeight="1">
      <c r="A1209" s="239" t="s">
        <v>3242</v>
      </c>
      <c r="B1209" s="240">
        <v>2665</v>
      </c>
      <c r="C1209" s="241">
        <v>141</v>
      </c>
      <c r="D1209" s="239" t="s">
        <v>2881</v>
      </c>
      <c r="E1209" s="239" t="s">
        <v>420</v>
      </c>
      <c r="F1209" s="239" t="s">
        <v>421</v>
      </c>
      <c r="G1209" s="239" t="s">
        <v>949</v>
      </c>
      <c r="H1209" s="239" t="s">
        <v>51</v>
      </c>
      <c r="I1209" s="239" t="s">
        <v>2882</v>
      </c>
      <c r="J1209" s="234">
        <v>37460</v>
      </c>
      <c r="K1209" s="234">
        <v>15070</v>
      </c>
      <c r="L1209" s="242">
        <v>9</v>
      </c>
      <c r="M1209" s="234">
        <v>22390</v>
      </c>
      <c r="N1209" s="234">
        <v>20374.900000000001</v>
      </c>
      <c r="O1209" s="243" t="s">
        <v>3313</v>
      </c>
      <c r="P1209" s="236">
        <v>45956</v>
      </c>
    </row>
    <row r="1210" spans="1:16" ht="51" customHeight="1">
      <c r="A1210" s="239" t="s">
        <v>3244</v>
      </c>
      <c r="B1210" s="240">
        <v>2666</v>
      </c>
      <c r="C1210" s="241">
        <v>143</v>
      </c>
      <c r="D1210" s="239" t="s">
        <v>2881</v>
      </c>
      <c r="E1210" s="239" t="s">
        <v>841</v>
      </c>
      <c r="F1210" s="239" t="s">
        <v>845</v>
      </c>
      <c r="G1210" s="239" t="s">
        <v>949</v>
      </c>
      <c r="H1210" s="239" t="s">
        <v>51</v>
      </c>
      <c r="I1210" s="239" t="s">
        <v>2882</v>
      </c>
      <c r="J1210" s="234">
        <v>39580</v>
      </c>
      <c r="K1210" s="234">
        <v>15960</v>
      </c>
      <c r="L1210" s="242">
        <v>14</v>
      </c>
      <c r="M1210" s="234">
        <v>23620</v>
      </c>
      <c r="N1210" s="234">
        <v>20313.2</v>
      </c>
      <c r="O1210" s="243" t="s">
        <v>3315</v>
      </c>
      <c r="P1210" s="236">
        <v>45956</v>
      </c>
    </row>
    <row r="1211" spans="1:16" ht="51" customHeight="1">
      <c r="A1211" s="239" t="s">
        <v>3247</v>
      </c>
      <c r="B1211" s="240">
        <v>2668</v>
      </c>
      <c r="C1211" s="241">
        <v>142</v>
      </c>
      <c r="D1211" s="239" t="s">
        <v>2881</v>
      </c>
      <c r="E1211" s="239" t="s">
        <v>453</v>
      </c>
      <c r="F1211" s="239" t="s">
        <v>454</v>
      </c>
      <c r="G1211" s="239" t="s">
        <v>949</v>
      </c>
      <c r="H1211" s="239" t="s">
        <v>51</v>
      </c>
      <c r="I1211" s="239" t="s">
        <v>2882</v>
      </c>
      <c r="J1211" s="234">
        <v>60070</v>
      </c>
      <c r="K1211" s="234">
        <v>24880</v>
      </c>
      <c r="L1211" s="242">
        <v>19</v>
      </c>
      <c r="M1211" s="234">
        <v>35190</v>
      </c>
      <c r="N1211" s="234">
        <v>28503.9</v>
      </c>
      <c r="O1211" s="243" t="s">
        <v>3318</v>
      </c>
      <c r="P1211" s="236">
        <v>45956</v>
      </c>
    </row>
    <row r="1212" spans="1:16" ht="51" customHeight="1">
      <c r="A1212" s="239" t="s">
        <v>3249</v>
      </c>
      <c r="B1212" s="240">
        <v>2669</v>
      </c>
      <c r="C1212" s="241">
        <v>140</v>
      </c>
      <c r="D1212" s="239" t="s">
        <v>2881</v>
      </c>
      <c r="E1212" s="239" t="s">
        <v>388</v>
      </c>
      <c r="F1212" s="239" t="s">
        <v>389</v>
      </c>
      <c r="G1212" s="239" t="s">
        <v>949</v>
      </c>
      <c r="H1212" s="239" t="s">
        <v>51</v>
      </c>
      <c r="I1212" s="239" t="s">
        <v>2882</v>
      </c>
      <c r="J1212" s="234">
        <v>57650</v>
      </c>
      <c r="K1212" s="234">
        <v>21550</v>
      </c>
      <c r="L1212" s="242">
        <v>12</v>
      </c>
      <c r="M1212" s="234">
        <v>36100</v>
      </c>
      <c r="N1212" s="234">
        <v>31768</v>
      </c>
      <c r="O1212" s="243" t="s">
        <v>3320</v>
      </c>
      <c r="P1212" s="236">
        <v>45956</v>
      </c>
    </row>
    <row r="1213" spans="1:16" ht="51" customHeight="1">
      <c r="A1213" s="239" t="s">
        <v>3250</v>
      </c>
      <c r="B1213" s="240">
        <v>2670</v>
      </c>
      <c r="C1213" s="241">
        <v>144</v>
      </c>
      <c r="D1213" s="239" t="s">
        <v>2881</v>
      </c>
      <c r="E1213" s="239" t="s">
        <v>858</v>
      </c>
      <c r="F1213" s="239" t="s">
        <v>859</v>
      </c>
      <c r="G1213" s="239" t="s">
        <v>949</v>
      </c>
      <c r="H1213" s="239" t="s">
        <v>51</v>
      </c>
      <c r="I1213" s="239" t="s">
        <v>2882</v>
      </c>
      <c r="J1213" s="234">
        <v>41370</v>
      </c>
      <c r="K1213" s="234">
        <v>15080</v>
      </c>
      <c r="L1213" s="242">
        <v>14</v>
      </c>
      <c r="M1213" s="234">
        <v>26290</v>
      </c>
      <c r="N1213" s="234">
        <v>22609.4</v>
      </c>
      <c r="O1213" s="243" t="s">
        <v>3321</v>
      </c>
      <c r="P1213" s="236">
        <v>45956</v>
      </c>
    </row>
    <row r="1214" spans="1:16" ht="51" customHeight="1">
      <c r="A1214" s="239" t="s">
        <v>3251</v>
      </c>
      <c r="B1214" s="240">
        <v>2671</v>
      </c>
      <c r="C1214" s="241">
        <v>145</v>
      </c>
      <c r="D1214" s="239" t="s">
        <v>2881</v>
      </c>
      <c r="E1214" s="239" t="s">
        <v>400</v>
      </c>
      <c r="F1214" s="239" t="s">
        <v>401</v>
      </c>
      <c r="G1214" s="239" t="s">
        <v>949</v>
      </c>
      <c r="H1214" s="239" t="s">
        <v>51</v>
      </c>
      <c r="I1214" s="239" t="s">
        <v>2882</v>
      </c>
      <c r="J1214" s="234">
        <v>39590</v>
      </c>
      <c r="K1214" s="234">
        <v>14960</v>
      </c>
      <c r="L1214" s="242">
        <v>16</v>
      </c>
      <c r="M1214" s="234">
        <v>24630</v>
      </c>
      <c r="N1214" s="234">
        <v>20689.2</v>
      </c>
      <c r="O1214" s="243" t="s">
        <v>3322</v>
      </c>
      <c r="P1214" s="236">
        <v>45956</v>
      </c>
    </row>
    <row r="1215" spans="1:16" ht="51" customHeight="1">
      <c r="A1215" s="239" t="s">
        <v>3252</v>
      </c>
      <c r="B1215" s="240">
        <v>2672</v>
      </c>
      <c r="C1215" s="241">
        <v>146</v>
      </c>
      <c r="D1215" s="239" t="s">
        <v>2881</v>
      </c>
      <c r="E1215" s="239" t="s">
        <v>410</v>
      </c>
      <c r="F1215" s="239" t="s">
        <v>411</v>
      </c>
      <c r="G1215" s="239" t="s">
        <v>949</v>
      </c>
      <c r="H1215" s="239" t="s">
        <v>51</v>
      </c>
      <c r="I1215" s="239" t="s">
        <v>2882</v>
      </c>
      <c r="J1215" s="234">
        <v>39870</v>
      </c>
      <c r="K1215" s="234">
        <v>15470</v>
      </c>
      <c r="L1215" s="242">
        <v>17</v>
      </c>
      <c r="M1215" s="234">
        <v>24400</v>
      </c>
      <c r="N1215" s="234">
        <v>20252</v>
      </c>
      <c r="O1215" s="243" t="s">
        <v>3323</v>
      </c>
      <c r="P1215" s="236">
        <v>45956</v>
      </c>
    </row>
    <row r="1216" spans="1:16" ht="51" customHeight="1">
      <c r="A1216" s="239" t="s">
        <v>3240</v>
      </c>
      <c r="B1216" s="240">
        <v>2674</v>
      </c>
      <c r="C1216" s="241">
        <v>147</v>
      </c>
      <c r="D1216" s="239" t="s">
        <v>2881</v>
      </c>
      <c r="E1216" s="239" t="s">
        <v>382</v>
      </c>
      <c r="F1216" s="239" t="s">
        <v>383</v>
      </c>
      <c r="G1216" s="239" t="s">
        <v>949</v>
      </c>
      <c r="H1216" s="239" t="s">
        <v>51</v>
      </c>
      <c r="I1216" s="239" t="s">
        <v>2882</v>
      </c>
      <c r="J1216" s="234">
        <v>37950</v>
      </c>
      <c r="K1216" s="234">
        <v>14920</v>
      </c>
      <c r="L1216" s="242">
        <v>12</v>
      </c>
      <c r="M1216" s="234">
        <v>23030</v>
      </c>
      <c r="N1216" s="234">
        <v>20266.400000000001</v>
      </c>
      <c r="O1216" s="243" t="s">
        <v>3311</v>
      </c>
      <c r="P1216" s="236">
        <v>45956</v>
      </c>
    </row>
    <row r="1217" spans="1:16" ht="51" customHeight="1">
      <c r="A1217" s="239" t="s">
        <v>3243</v>
      </c>
      <c r="B1217" s="240">
        <v>2676</v>
      </c>
      <c r="C1217" s="241">
        <v>148</v>
      </c>
      <c r="D1217" s="239" t="s">
        <v>2881</v>
      </c>
      <c r="E1217" s="239" t="s">
        <v>390</v>
      </c>
      <c r="F1217" s="239" t="s">
        <v>391</v>
      </c>
      <c r="G1217" s="239" t="s">
        <v>949</v>
      </c>
      <c r="H1217" s="239" t="s">
        <v>51</v>
      </c>
      <c r="I1217" s="239" t="s">
        <v>2882</v>
      </c>
      <c r="J1217" s="234">
        <v>38650</v>
      </c>
      <c r="K1217" s="234">
        <v>15170</v>
      </c>
      <c r="L1217" s="242">
        <v>15</v>
      </c>
      <c r="M1217" s="234">
        <v>23480</v>
      </c>
      <c r="N1217" s="234">
        <v>19958</v>
      </c>
      <c r="O1217" s="243" t="s">
        <v>3314</v>
      </c>
      <c r="P1217" s="236">
        <v>45956</v>
      </c>
    </row>
    <row r="1218" spans="1:16" ht="51" customHeight="1">
      <c r="A1218" s="239" t="s">
        <v>3245</v>
      </c>
      <c r="B1218" s="240">
        <v>2679</v>
      </c>
      <c r="C1218" s="241">
        <v>150</v>
      </c>
      <c r="D1218" s="239" t="s">
        <v>2881</v>
      </c>
      <c r="E1218" s="239" t="s">
        <v>783</v>
      </c>
      <c r="F1218" s="239" t="s">
        <v>784</v>
      </c>
      <c r="G1218" s="239" t="s">
        <v>949</v>
      </c>
      <c r="H1218" s="239" t="s">
        <v>51</v>
      </c>
      <c r="I1218" s="239" t="s">
        <v>2882</v>
      </c>
      <c r="J1218" s="234">
        <v>38380</v>
      </c>
      <c r="K1218" s="234">
        <v>14800</v>
      </c>
      <c r="L1218" s="242">
        <v>20</v>
      </c>
      <c r="M1218" s="234">
        <v>23580</v>
      </c>
      <c r="N1218" s="234">
        <v>18864</v>
      </c>
      <c r="O1218" s="243" t="s">
        <v>3316</v>
      </c>
      <c r="P1218" s="236">
        <v>45956</v>
      </c>
    </row>
    <row r="1219" spans="1:16" ht="51" customHeight="1">
      <c r="A1219" s="239" t="s">
        <v>3246</v>
      </c>
      <c r="B1219" s="240">
        <v>2681</v>
      </c>
      <c r="C1219" s="241">
        <v>151</v>
      </c>
      <c r="D1219" s="239" t="s">
        <v>2881</v>
      </c>
      <c r="E1219" s="239" t="s">
        <v>794</v>
      </c>
      <c r="F1219" s="239" t="s">
        <v>795</v>
      </c>
      <c r="G1219" s="239" t="s">
        <v>949</v>
      </c>
      <c r="H1219" s="239" t="s">
        <v>51</v>
      </c>
      <c r="I1219" s="239" t="s">
        <v>2882</v>
      </c>
      <c r="J1219" s="234">
        <v>40120</v>
      </c>
      <c r="K1219" s="234">
        <v>16280</v>
      </c>
      <c r="L1219" s="242">
        <v>10</v>
      </c>
      <c r="M1219" s="234">
        <v>23840</v>
      </c>
      <c r="N1219" s="234">
        <v>21456</v>
      </c>
      <c r="O1219" s="243" t="s">
        <v>3317</v>
      </c>
      <c r="P1219" s="236">
        <v>45956</v>
      </c>
    </row>
    <row r="1220" spans="1:16" ht="51" customHeight="1">
      <c r="A1220" s="239" t="s">
        <v>3248</v>
      </c>
      <c r="B1220" s="240">
        <v>2682</v>
      </c>
      <c r="C1220" s="241">
        <v>152</v>
      </c>
      <c r="D1220" s="239" t="s">
        <v>2881</v>
      </c>
      <c r="E1220" s="239" t="s">
        <v>403</v>
      </c>
      <c r="F1220" s="239" t="s">
        <v>404</v>
      </c>
      <c r="G1220" s="239" t="s">
        <v>949</v>
      </c>
      <c r="H1220" s="239" t="s">
        <v>51</v>
      </c>
      <c r="I1220" s="239" t="s">
        <v>2882</v>
      </c>
      <c r="J1220" s="234">
        <v>38970</v>
      </c>
      <c r="K1220" s="234">
        <v>14770</v>
      </c>
      <c r="L1220" s="242">
        <v>21</v>
      </c>
      <c r="M1220" s="234">
        <v>24200</v>
      </c>
      <c r="N1220" s="234">
        <v>19118</v>
      </c>
      <c r="O1220" s="243" t="s">
        <v>3319</v>
      </c>
      <c r="P1220" s="236">
        <v>45956</v>
      </c>
    </row>
    <row r="1221" spans="1:16" ht="51" customHeight="1">
      <c r="A1221" s="239" t="s">
        <v>3411</v>
      </c>
      <c r="B1221" s="240">
        <v>2683</v>
      </c>
      <c r="C1221" s="241">
        <v>149</v>
      </c>
      <c r="D1221" s="239" t="s">
        <v>2881</v>
      </c>
      <c r="E1221" s="239" t="s">
        <v>392</v>
      </c>
      <c r="F1221" s="239" t="s">
        <v>393</v>
      </c>
      <c r="G1221" s="239" t="s">
        <v>951</v>
      </c>
      <c r="H1221" s="239" t="s">
        <v>51</v>
      </c>
      <c r="I1221" s="239" t="s">
        <v>2882</v>
      </c>
      <c r="J1221" s="234">
        <v>62600</v>
      </c>
      <c r="K1221" s="234">
        <v>24250</v>
      </c>
      <c r="L1221" s="242">
        <v>18</v>
      </c>
      <c r="M1221" s="234">
        <v>38350</v>
      </c>
      <c r="N1221" s="234">
        <v>31447</v>
      </c>
      <c r="O1221" s="243" t="s">
        <v>3414</v>
      </c>
      <c r="P1221" s="236">
        <v>45956</v>
      </c>
    </row>
    <row r="1222" spans="1:16" ht="51" customHeight="1">
      <c r="A1222" s="239" t="s">
        <v>3412</v>
      </c>
      <c r="B1222" s="240">
        <v>2685</v>
      </c>
      <c r="C1222" s="241">
        <v>154</v>
      </c>
      <c r="D1222" s="239" t="s">
        <v>2881</v>
      </c>
      <c r="E1222" s="239" t="s">
        <v>442</v>
      </c>
      <c r="F1222" s="239" t="s">
        <v>443</v>
      </c>
      <c r="G1222" s="239" t="s">
        <v>951</v>
      </c>
      <c r="H1222" s="239" t="s">
        <v>51</v>
      </c>
      <c r="I1222" s="239" t="s">
        <v>2882</v>
      </c>
      <c r="J1222" s="234">
        <v>34980</v>
      </c>
      <c r="K1222" s="234">
        <v>14840</v>
      </c>
      <c r="L1222" s="242">
        <v>18</v>
      </c>
      <c r="M1222" s="234">
        <v>20140</v>
      </c>
      <c r="N1222" s="234">
        <v>16514.8</v>
      </c>
      <c r="O1222" s="243" t="s">
        <v>3415</v>
      </c>
      <c r="P1222" s="236">
        <v>45956</v>
      </c>
    </row>
    <row r="1223" spans="1:16" ht="51" customHeight="1">
      <c r="A1223" s="239" t="s">
        <v>3413</v>
      </c>
      <c r="B1223" s="240">
        <v>2686</v>
      </c>
      <c r="C1223" s="241">
        <v>155</v>
      </c>
      <c r="D1223" s="239" t="s">
        <v>2881</v>
      </c>
      <c r="E1223" s="239" t="s">
        <v>786</v>
      </c>
      <c r="F1223" s="239" t="s">
        <v>787</v>
      </c>
      <c r="G1223" s="239" t="s">
        <v>951</v>
      </c>
      <c r="H1223" s="239" t="s">
        <v>51</v>
      </c>
      <c r="I1223" s="239" t="s">
        <v>2882</v>
      </c>
      <c r="J1223" s="234">
        <v>36390</v>
      </c>
      <c r="K1223" s="234">
        <v>14210</v>
      </c>
      <c r="L1223" s="242">
        <v>5</v>
      </c>
      <c r="M1223" s="234">
        <v>22180</v>
      </c>
      <c r="N1223" s="234">
        <v>21071</v>
      </c>
      <c r="O1223" s="243" t="s">
        <v>3416</v>
      </c>
      <c r="P1223" s="236">
        <v>45956</v>
      </c>
    </row>
    <row r="1224" spans="1:16" ht="51" customHeight="1">
      <c r="A1224" s="239" t="s">
        <v>3325</v>
      </c>
      <c r="B1224" s="240">
        <v>2688</v>
      </c>
      <c r="C1224" s="241">
        <v>153</v>
      </c>
      <c r="D1224" s="239" t="s">
        <v>2881</v>
      </c>
      <c r="E1224" s="239" t="s">
        <v>791</v>
      </c>
      <c r="F1224" s="239" t="s">
        <v>792</v>
      </c>
      <c r="G1224" s="239" t="s">
        <v>951</v>
      </c>
      <c r="H1224" s="239" t="s">
        <v>51</v>
      </c>
      <c r="I1224" s="239" t="s">
        <v>2882</v>
      </c>
      <c r="J1224" s="234">
        <v>39260</v>
      </c>
      <c r="K1224" s="234">
        <v>15160</v>
      </c>
      <c r="L1224" s="242">
        <v>5</v>
      </c>
      <c r="M1224" s="234">
        <v>24100</v>
      </c>
      <c r="N1224" s="234">
        <v>22895</v>
      </c>
      <c r="O1224" s="243" t="s">
        <v>3347</v>
      </c>
      <c r="P1224" s="236">
        <v>45956</v>
      </c>
    </row>
    <row r="1225" spans="1:16" ht="51" customHeight="1">
      <c r="A1225" s="239" t="s">
        <v>3326</v>
      </c>
      <c r="B1225" s="240">
        <v>2689</v>
      </c>
      <c r="C1225" s="241">
        <v>157</v>
      </c>
      <c r="D1225" s="239" t="s">
        <v>2881</v>
      </c>
      <c r="E1225" s="239" t="s">
        <v>372</v>
      </c>
      <c r="F1225" s="239" t="s">
        <v>373</v>
      </c>
      <c r="G1225" s="239" t="s">
        <v>951</v>
      </c>
      <c r="H1225" s="239" t="s">
        <v>51</v>
      </c>
      <c r="I1225" s="239" t="s">
        <v>2882</v>
      </c>
      <c r="J1225" s="234">
        <v>39280</v>
      </c>
      <c r="K1225" s="234">
        <v>15360</v>
      </c>
      <c r="L1225" s="242">
        <v>10</v>
      </c>
      <c r="M1225" s="234">
        <v>23920</v>
      </c>
      <c r="N1225" s="234">
        <v>21528</v>
      </c>
      <c r="O1225" s="243" t="s">
        <v>3348</v>
      </c>
      <c r="P1225" s="236">
        <v>45956</v>
      </c>
    </row>
    <row r="1226" spans="1:16" ht="51" customHeight="1">
      <c r="A1226" s="239" t="s">
        <v>3327</v>
      </c>
      <c r="B1226" s="240">
        <v>2691</v>
      </c>
      <c r="C1226" s="241">
        <v>156</v>
      </c>
      <c r="D1226" s="239" t="s">
        <v>2881</v>
      </c>
      <c r="E1226" s="239" t="s">
        <v>447</v>
      </c>
      <c r="F1226" s="239" t="s">
        <v>448</v>
      </c>
      <c r="G1226" s="239" t="s">
        <v>951</v>
      </c>
      <c r="H1226" s="239" t="s">
        <v>51</v>
      </c>
      <c r="I1226" s="239" t="s">
        <v>2882</v>
      </c>
      <c r="J1226" s="234">
        <v>53440</v>
      </c>
      <c r="K1226" s="234">
        <v>19890</v>
      </c>
      <c r="L1226" s="242">
        <v>11</v>
      </c>
      <c r="M1226" s="234">
        <v>33550</v>
      </c>
      <c r="N1226" s="234">
        <v>29859.5</v>
      </c>
      <c r="O1226" s="243" t="s">
        <v>3349</v>
      </c>
      <c r="P1226" s="236">
        <v>45956</v>
      </c>
    </row>
    <row r="1227" spans="1:16" ht="51" customHeight="1">
      <c r="A1227" s="239" t="s">
        <v>3331</v>
      </c>
      <c r="B1227" s="240">
        <v>2692</v>
      </c>
      <c r="C1227" s="241">
        <v>159</v>
      </c>
      <c r="D1227" s="239" t="s">
        <v>2881</v>
      </c>
      <c r="E1227" s="239" t="s">
        <v>1410</v>
      </c>
      <c r="F1227" s="239" t="s">
        <v>437</v>
      </c>
      <c r="G1227" s="239" t="s">
        <v>951</v>
      </c>
      <c r="H1227" s="239" t="s">
        <v>51</v>
      </c>
      <c r="I1227" s="239" t="s">
        <v>2882</v>
      </c>
      <c r="J1227" s="234">
        <v>41170</v>
      </c>
      <c r="K1227" s="234">
        <v>15440</v>
      </c>
      <c r="L1227" s="242">
        <v>8</v>
      </c>
      <c r="M1227" s="234">
        <v>25730</v>
      </c>
      <c r="N1227" s="234">
        <v>23671.599999999999</v>
      </c>
      <c r="O1227" s="243" t="s">
        <v>3353</v>
      </c>
      <c r="P1227" s="236">
        <v>45957</v>
      </c>
    </row>
    <row r="1228" spans="1:16" ht="51" customHeight="1">
      <c r="A1228" s="239" t="s">
        <v>3332</v>
      </c>
      <c r="B1228" s="240">
        <v>2695</v>
      </c>
      <c r="C1228" s="241">
        <v>160</v>
      </c>
      <c r="D1228" s="239" t="s">
        <v>2881</v>
      </c>
      <c r="E1228" s="239" t="s">
        <v>439</v>
      </c>
      <c r="F1228" s="239" t="s">
        <v>440</v>
      </c>
      <c r="G1228" s="239" t="s">
        <v>951</v>
      </c>
      <c r="H1228" s="239" t="s">
        <v>51</v>
      </c>
      <c r="I1228" s="239" t="s">
        <v>2882</v>
      </c>
      <c r="J1228" s="234">
        <v>43410</v>
      </c>
      <c r="K1228" s="234">
        <v>15450</v>
      </c>
      <c r="L1228" s="242">
        <v>9</v>
      </c>
      <c r="M1228" s="234">
        <v>27960</v>
      </c>
      <c r="N1228" s="234">
        <v>25443.599999999999</v>
      </c>
      <c r="O1228" s="243" t="s">
        <v>3354</v>
      </c>
      <c r="P1228" s="236">
        <v>45957</v>
      </c>
    </row>
    <row r="1229" spans="1:16" ht="51" customHeight="1">
      <c r="A1229" s="239" t="s">
        <v>3334</v>
      </c>
      <c r="B1229" s="240">
        <v>2694</v>
      </c>
      <c r="C1229" s="241">
        <v>158</v>
      </c>
      <c r="D1229" s="239" t="s">
        <v>2881</v>
      </c>
      <c r="E1229" s="239" t="s">
        <v>432</v>
      </c>
      <c r="F1229" s="239" t="s">
        <v>433</v>
      </c>
      <c r="G1229" s="239" t="s">
        <v>951</v>
      </c>
      <c r="H1229" s="239" t="s">
        <v>51</v>
      </c>
      <c r="I1229" s="239" t="s">
        <v>2882</v>
      </c>
      <c r="J1229" s="234">
        <v>43310</v>
      </c>
      <c r="K1229" s="234">
        <v>15910</v>
      </c>
      <c r="L1229" s="242">
        <v>8</v>
      </c>
      <c r="M1229" s="234">
        <v>27400</v>
      </c>
      <c r="N1229" s="234">
        <v>25208</v>
      </c>
      <c r="O1229" s="243" t="s">
        <v>3356</v>
      </c>
      <c r="P1229" s="236">
        <v>45957</v>
      </c>
    </row>
    <row r="1230" spans="1:16" ht="51" customHeight="1">
      <c r="A1230" s="239" t="s">
        <v>3338</v>
      </c>
      <c r="B1230" s="240">
        <v>2697</v>
      </c>
      <c r="C1230" s="241">
        <v>161</v>
      </c>
      <c r="D1230" s="239" t="s">
        <v>2881</v>
      </c>
      <c r="E1230" s="239" t="s">
        <v>413</v>
      </c>
      <c r="F1230" s="239" t="s">
        <v>414</v>
      </c>
      <c r="G1230" s="239" t="s">
        <v>951</v>
      </c>
      <c r="H1230" s="239" t="s">
        <v>51</v>
      </c>
      <c r="I1230" s="239" t="s">
        <v>2882</v>
      </c>
      <c r="J1230" s="234">
        <v>43460</v>
      </c>
      <c r="K1230" s="234">
        <v>15230</v>
      </c>
      <c r="L1230" s="242">
        <v>9</v>
      </c>
      <c r="M1230" s="234">
        <v>28230</v>
      </c>
      <c r="N1230" s="234">
        <v>25689.3</v>
      </c>
      <c r="O1230" s="243" t="s">
        <v>3360</v>
      </c>
      <c r="P1230" s="236">
        <v>45957</v>
      </c>
    </row>
    <row r="1231" spans="1:16" ht="51" customHeight="1">
      <c r="A1231" s="239" t="s">
        <v>3340</v>
      </c>
      <c r="B1231" s="240">
        <v>2698</v>
      </c>
      <c r="C1231" s="241">
        <v>162</v>
      </c>
      <c r="D1231" s="239" t="s">
        <v>2881</v>
      </c>
      <c r="E1231" s="239" t="s">
        <v>429</v>
      </c>
      <c r="F1231" s="239" t="s">
        <v>430</v>
      </c>
      <c r="G1231" s="239" t="s">
        <v>951</v>
      </c>
      <c r="H1231" s="239" t="s">
        <v>51</v>
      </c>
      <c r="I1231" s="239" t="s">
        <v>2882</v>
      </c>
      <c r="J1231" s="234">
        <v>40650</v>
      </c>
      <c r="K1231" s="234">
        <v>14530</v>
      </c>
      <c r="L1231" s="242">
        <v>11</v>
      </c>
      <c r="M1231" s="234">
        <v>26120</v>
      </c>
      <c r="N1231" s="234">
        <v>23246.799999999999</v>
      </c>
      <c r="O1231" s="243" t="s">
        <v>3362</v>
      </c>
      <c r="P1231" s="236">
        <v>45957</v>
      </c>
    </row>
    <row r="1232" spans="1:16" ht="51" customHeight="1">
      <c r="A1232" s="239" t="s">
        <v>3341</v>
      </c>
      <c r="B1232" s="240">
        <v>2703</v>
      </c>
      <c r="C1232" s="241">
        <v>163</v>
      </c>
      <c r="D1232" s="239" t="s">
        <v>2881</v>
      </c>
      <c r="E1232" s="239" t="s">
        <v>369</v>
      </c>
      <c r="F1232" s="239" t="s">
        <v>370</v>
      </c>
      <c r="G1232" s="239" t="s">
        <v>951</v>
      </c>
      <c r="H1232" s="239" t="s">
        <v>51</v>
      </c>
      <c r="I1232" s="239" t="s">
        <v>2882</v>
      </c>
      <c r="J1232" s="234">
        <v>38230</v>
      </c>
      <c r="K1232" s="234">
        <v>15680</v>
      </c>
      <c r="L1232" s="242">
        <v>7</v>
      </c>
      <c r="M1232" s="234">
        <v>22550</v>
      </c>
      <c r="N1232" s="234">
        <v>20971.5</v>
      </c>
      <c r="O1232" s="243" t="s">
        <v>3363</v>
      </c>
      <c r="P1232" s="236">
        <v>45957</v>
      </c>
    </row>
    <row r="1233" spans="1:16" ht="51" customHeight="1">
      <c r="A1233" s="239" t="s">
        <v>3328</v>
      </c>
      <c r="B1233" s="240">
        <v>2707</v>
      </c>
      <c r="C1233" s="241">
        <v>164</v>
      </c>
      <c r="D1233" s="239" t="s">
        <v>2881</v>
      </c>
      <c r="E1233" s="239" t="s">
        <v>425</v>
      </c>
      <c r="F1233" s="239" t="s">
        <v>426</v>
      </c>
      <c r="G1233" s="239" t="s">
        <v>951</v>
      </c>
      <c r="H1233" s="239" t="s">
        <v>51</v>
      </c>
      <c r="I1233" s="239" t="s">
        <v>2882</v>
      </c>
      <c r="J1233" s="234">
        <v>50770</v>
      </c>
      <c r="K1233" s="234">
        <v>18900</v>
      </c>
      <c r="L1233" s="242">
        <v>5</v>
      </c>
      <c r="M1233" s="234">
        <v>31870</v>
      </c>
      <c r="N1233" s="234">
        <v>30276.5</v>
      </c>
      <c r="O1233" s="243" t="s">
        <v>3350</v>
      </c>
      <c r="P1233" s="236">
        <v>45957</v>
      </c>
    </row>
    <row r="1234" spans="1:16" ht="51" customHeight="1">
      <c r="A1234" s="239" t="s">
        <v>3329</v>
      </c>
      <c r="B1234" s="240">
        <v>2712</v>
      </c>
      <c r="C1234" s="241">
        <v>165</v>
      </c>
      <c r="D1234" s="239" t="s">
        <v>2881</v>
      </c>
      <c r="E1234" s="239" t="s">
        <v>416</v>
      </c>
      <c r="F1234" s="239" t="s">
        <v>417</v>
      </c>
      <c r="G1234" s="239" t="s">
        <v>951</v>
      </c>
      <c r="H1234" s="239" t="s">
        <v>51</v>
      </c>
      <c r="I1234" s="239" t="s">
        <v>2882</v>
      </c>
      <c r="J1234" s="234">
        <v>39960</v>
      </c>
      <c r="K1234" s="234">
        <v>15130</v>
      </c>
      <c r="L1234" s="242">
        <v>7</v>
      </c>
      <c r="M1234" s="234">
        <v>24830</v>
      </c>
      <c r="N1234" s="234">
        <v>23091.9</v>
      </c>
      <c r="O1234" s="243" t="s">
        <v>3351</v>
      </c>
      <c r="P1234" s="236">
        <v>45957</v>
      </c>
    </row>
    <row r="1235" spans="1:16" ht="51" customHeight="1">
      <c r="A1235" s="239" t="s">
        <v>3330</v>
      </c>
      <c r="B1235" s="240">
        <v>2713</v>
      </c>
      <c r="C1235" s="241">
        <v>166</v>
      </c>
      <c r="D1235" s="239" t="s">
        <v>2881</v>
      </c>
      <c r="E1235" s="239" t="s">
        <v>420</v>
      </c>
      <c r="F1235" s="239" t="s">
        <v>421</v>
      </c>
      <c r="G1235" s="239" t="s">
        <v>951</v>
      </c>
      <c r="H1235" s="239" t="s">
        <v>51</v>
      </c>
      <c r="I1235" s="239" t="s">
        <v>2882</v>
      </c>
      <c r="J1235" s="234">
        <v>38270</v>
      </c>
      <c r="K1235" s="234">
        <v>15200</v>
      </c>
      <c r="L1235" s="242">
        <v>9</v>
      </c>
      <c r="M1235" s="234">
        <v>23070</v>
      </c>
      <c r="N1235" s="234">
        <v>20993.7</v>
      </c>
      <c r="O1235" s="243" t="s">
        <v>3352</v>
      </c>
      <c r="P1235" s="236">
        <v>45957</v>
      </c>
    </row>
    <row r="1236" spans="1:16" ht="51" customHeight="1">
      <c r="A1236" s="239" t="s">
        <v>3333</v>
      </c>
      <c r="B1236" s="240">
        <v>2715</v>
      </c>
      <c r="C1236" s="241">
        <v>167</v>
      </c>
      <c r="D1236" s="239" t="s">
        <v>2881</v>
      </c>
      <c r="E1236" s="239" t="s">
        <v>456</v>
      </c>
      <c r="F1236" s="239" t="s">
        <v>457</v>
      </c>
      <c r="G1236" s="239" t="s">
        <v>951</v>
      </c>
      <c r="H1236" s="239" t="s">
        <v>51</v>
      </c>
      <c r="I1236" s="239" t="s">
        <v>2882</v>
      </c>
      <c r="J1236" s="234">
        <v>47940</v>
      </c>
      <c r="K1236" s="234">
        <v>16130</v>
      </c>
      <c r="L1236" s="242">
        <v>10</v>
      </c>
      <c r="M1236" s="234">
        <v>31810</v>
      </c>
      <c r="N1236" s="234">
        <v>28629</v>
      </c>
      <c r="O1236" s="243" t="s">
        <v>3355</v>
      </c>
      <c r="P1236" s="236">
        <v>45957</v>
      </c>
    </row>
    <row r="1237" spans="1:16" ht="51" customHeight="1">
      <c r="A1237" s="239" t="s">
        <v>3335</v>
      </c>
      <c r="B1237" s="240">
        <v>2716</v>
      </c>
      <c r="C1237" s="241">
        <v>168</v>
      </c>
      <c r="D1237" s="239" t="s">
        <v>2881</v>
      </c>
      <c r="E1237" s="239" t="s">
        <v>377</v>
      </c>
      <c r="F1237" s="239" t="s">
        <v>378</v>
      </c>
      <c r="G1237" s="239" t="s">
        <v>951</v>
      </c>
      <c r="H1237" s="239" t="s">
        <v>51</v>
      </c>
      <c r="I1237" s="239" t="s">
        <v>2882</v>
      </c>
      <c r="J1237" s="234">
        <v>43360</v>
      </c>
      <c r="K1237" s="234">
        <v>15450</v>
      </c>
      <c r="L1237" s="242">
        <v>11</v>
      </c>
      <c r="M1237" s="234">
        <v>27910</v>
      </c>
      <c r="N1237" s="234">
        <v>24839.9</v>
      </c>
      <c r="O1237" s="243" t="s">
        <v>3357</v>
      </c>
      <c r="P1237" s="236">
        <v>45957</v>
      </c>
    </row>
    <row r="1238" spans="1:16" ht="51" customHeight="1">
      <c r="A1238" s="239" t="s">
        <v>3336</v>
      </c>
      <c r="B1238" s="240">
        <v>2718</v>
      </c>
      <c r="C1238" s="241">
        <v>169</v>
      </c>
      <c r="D1238" s="239" t="s">
        <v>2881</v>
      </c>
      <c r="E1238" s="239" t="s">
        <v>841</v>
      </c>
      <c r="F1238" s="239" t="s">
        <v>845</v>
      </c>
      <c r="G1238" s="239" t="s">
        <v>951</v>
      </c>
      <c r="H1238" s="239" t="s">
        <v>51</v>
      </c>
      <c r="I1238" s="239" t="s">
        <v>2882</v>
      </c>
      <c r="J1238" s="234">
        <v>41890</v>
      </c>
      <c r="K1238" s="234">
        <v>16080</v>
      </c>
      <c r="L1238" s="242">
        <v>9</v>
      </c>
      <c r="M1238" s="234">
        <v>25810</v>
      </c>
      <c r="N1238" s="234">
        <v>23487.1</v>
      </c>
      <c r="O1238" s="243" t="s">
        <v>3358</v>
      </c>
      <c r="P1238" s="236">
        <v>45957</v>
      </c>
    </row>
    <row r="1239" spans="1:16" ht="51" customHeight="1">
      <c r="A1239" s="239" t="s">
        <v>3337</v>
      </c>
      <c r="B1239" s="240">
        <v>2719</v>
      </c>
      <c r="C1239" s="241">
        <v>170</v>
      </c>
      <c r="D1239" s="239" t="s">
        <v>2881</v>
      </c>
      <c r="E1239" s="239" t="s">
        <v>453</v>
      </c>
      <c r="F1239" s="239" t="s">
        <v>454</v>
      </c>
      <c r="G1239" s="239" t="s">
        <v>951</v>
      </c>
      <c r="H1239" s="239" t="s">
        <v>51</v>
      </c>
      <c r="I1239" s="239" t="s">
        <v>2882</v>
      </c>
      <c r="J1239" s="234">
        <v>66710</v>
      </c>
      <c r="K1239" s="234">
        <v>24970</v>
      </c>
      <c r="L1239" s="242">
        <v>14</v>
      </c>
      <c r="M1239" s="234">
        <v>41740</v>
      </c>
      <c r="N1239" s="234">
        <v>35896.400000000001</v>
      </c>
      <c r="O1239" s="243" t="s">
        <v>3359</v>
      </c>
      <c r="P1239" s="236">
        <v>45957</v>
      </c>
    </row>
    <row r="1240" spans="1:16" ht="51" customHeight="1">
      <c r="A1240" s="239" t="s">
        <v>3342</v>
      </c>
      <c r="B1240" s="240">
        <v>2721</v>
      </c>
      <c r="C1240" s="241">
        <v>174</v>
      </c>
      <c r="D1240" s="239" t="s">
        <v>2881</v>
      </c>
      <c r="E1240" s="239" t="s">
        <v>400</v>
      </c>
      <c r="F1240" s="239" t="s">
        <v>401</v>
      </c>
      <c r="G1240" s="239" t="s">
        <v>951</v>
      </c>
      <c r="H1240" s="239" t="s">
        <v>51</v>
      </c>
      <c r="I1240" s="239" t="s">
        <v>2882</v>
      </c>
      <c r="J1240" s="234">
        <v>37930</v>
      </c>
      <c r="K1240" s="234">
        <v>14950</v>
      </c>
      <c r="L1240" s="242">
        <v>6</v>
      </c>
      <c r="M1240" s="234">
        <v>22980</v>
      </c>
      <c r="N1240" s="234">
        <v>21601.200000000001</v>
      </c>
      <c r="O1240" s="243" t="s">
        <v>3364</v>
      </c>
      <c r="P1240" s="236">
        <v>45957</v>
      </c>
    </row>
    <row r="1241" spans="1:16" ht="51" customHeight="1">
      <c r="A1241" s="239" t="s">
        <v>3343</v>
      </c>
      <c r="B1241" s="240">
        <v>2722</v>
      </c>
      <c r="C1241" s="241">
        <v>172</v>
      </c>
      <c r="D1241" s="239" t="s">
        <v>2881</v>
      </c>
      <c r="E1241" s="239" t="s">
        <v>388</v>
      </c>
      <c r="F1241" s="239" t="s">
        <v>389</v>
      </c>
      <c r="G1241" s="239" t="s">
        <v>951</v>
      </c>
      <c r="H1241" s="239" t="s">
        <v>51</v>
      </c>
      <c r="I1241" s="239" t="s">
        <v>2882</v>
      </c>
      <c r="J1241" s="234">
        <v>62830</v>
      </c>
      <c r="K1241" s="234">
        <v>21410</v>
      </c>
      <c r="L1241" s="242">
        <v>16</v>
      </c>
      <c r="M1241" s="234">
        <v>41420</v>
      </c>
      <c r="N1241" s="234">
        <v>34792.800000000003</v>
      </c>
      <c r="O1241" s="243" t="s">
        <v>3365</v>
      </c>
      <c r="P1241" s="236">
        <v>45957</v>
      </c>
    </row>
    <row r="1242" spans="1:16" ht="51" customHeight="1">
      <c r="A1242" s="239" t="s">
        <v>3344</v>
      </c>
      <c r="B1242" s="240">
        <v>2724</v>
      </c>
      <c r="C1242" s="241">
        <v>175</v>
      </c>
      <c r="D1242" s="239" t="s">
        <v>2881</v>
      </c>
      <c r="E1242" s="239" t="s">
        <v>382</v>
      </c>
      <c r="F1242" s="239" t="s">
        <v>383</v>
      </c>
      <c r="G1242" s="239" t="s">
        <v>951</v>
      </c>
      <c r="H1242" s="239" t="s">
        <v>51</v>
      </c>
      <c r="I1242" s="239" t="s">
        <v>2882</v>
      </c>
      <c r="J1242" s="234">
        <v>36980</v>
      </c>
      <c r="K1242" s="234">
        <v>14950</v>
      </c>
      <c r="L1242" s="242">
        <v>6</v>
      </c>
      <c r="M1242" s="234">
        <v>22030</v>
      </c>
      <c r="N1242" s="234">
        <v>20708.2</v>
      </c>
      <c r="O1242" s="243" t="s">
        <v>3366</v>
      </c>
      <c r="P1242" s="236">
        <v>45957</v>
      </c>
    </row>
    <row r="1243" spans="1:16" ht="51" customHeight="1">
      <c r="A1243" s="239" t="s">
        <v>3339</v>
      </c>
      <c r="B1243" s="240">
        <v>2720</v>
      </c>
      <c r="C1243" s="241">
        <v>173</v>
      </c>
      <c r="D1243" s="239" t="s">
        <v>2881</v>
      </c>
      <c r="E1243" s="239" t="s">
        <v>858</v>
      </c>
      <c r="F1243" s="239" t="s">
        <v>859</v>
      </c>
      <c r="G1243" s="239" t="s">
        <v>951</v>
      </c>
      <c r="H1243" s="239" t="s">
        <v>51</v>
      </c>
      <c r="I1243" s="239" t="s">
        <v>2882</v>
      </c>
      <c r="J1243" s="234">
        <v>40500</v>
      </c>
      <c r="K1243" s="234">
        <v>15220</v>
      </c>
      <c r="L1243" s="242">
        <v>8</v>
      </c>
      <c r="M1243" s="234">
        <v>25280</v>
      </c>
      <c r="N1243" s="234">
        <v>23257.599999999999</v>
      </c>
      <c r="O1243" s="243" t="s">
        <v>3361</v>
      </c>
      <c r="P1243" s="236">
        <v>45957</v>
      </c>
    </row>
    <row r="1244" spans="1:16" ht="51" customHeight="1">
      <c r="A1244" s="239" t="s">
        <v>3345</v>
      </c>
      <c r="B1244" s="240">
        <v>2725</v>
      </c>
      <c r="C1244" s="241">
        <v>176</v>
      </c>
      <c r="D1244" s="239" t="s">
        <v>2881</v>
      </c>
      <c r="E1244" s="239" t="s">
        <v>783</v>
      </c>
      <c r="F1244" s="239" t="s">
        <v>784</v>
      </c>
      <c r="G1244" s="239" t="s">
        <v>951</v>
      </c>
      <c r="H1244" s="239" t="s">
        <v>51</v>
      </c>
      <c r="I1244" s="239" t="s">
        <v>2882</v>
      </c>
      <c r="J1244" s="234">
        <v>39170</v>
      </c>
      <c r="K1244" s="234">
        <v>14840</v>
      </c>
      <c r="L1244" s="242">
        <v>5</v>
      </c>
      <c r="M1244" s="234">
        <v>24330</v>
      </c>
      <c r="N1244" s="234">
        <v>23113.5</v>
      </c>
      <c r="O1244" s="243" t="s">
        <v>3367</v>
      </c>
      <c r="P1244" s="236">
        <v>45957</v>
      </c>
    </row>
    <row r="1245" spans="1:16" ht="51" customHeight="1">
      <c r="A1245" s="239" t="s">
        <v>3346</v>
      </c>
      <c r="B1245" s="240">
        <v>2727</v>
      </c>
      <c r="C1245" s="241">
        <v>177</v>
      </c>
      <c r="D1245" s="239" t="s">
        <v>2881</v>
      </c>
      <c r="E1245" s="239" t="s">
        <v>794</v>
      </c>
      <c r="F1245" s="239" t="s">
        <v>795</v>
      </c>
      <c r="G1245" s="239" t="s">
        <v>951</v>
      </c>
      <c r="H1245" s="239" t="s">
        <v>51</v>
      </c>
      <c r="I1245" s="239" t="s">
        <v>2882</v>
      </c>
      <c r="J1245" s="234">
        <v>39930</v>
      </c>
      <c r="K1245" s="234">
        <v>16150</v>
      </c>
      <c r="L1245" s="242">
        <v>8</v>
      </c>
      <c r="M1245" s="234">
        <v>23780</v>
      </c>
      <c r="N1245" s="234">
        <v>21877.599999999999</v>
      </c>
      <c r="O1245" s="243" t="s">
        <v>3368</v>
      </c>
      <c r="P1245" s="236">
        <v>45958</v>
      </c>
    </row>
    <row r="1246" spans="1:16" ht="51" customHeight="1">
      <c r="A1246" s="239" t="s">
        <v>3372</v>
      </c>
      <c r="B1246" s="240">
        <v>2728</v>
      </c>
      <c r="C1246" s="241">
        <v>178</v>
      </c>
      <c r="D1246" s="239" t="s">
        <v>2881</v>
      </c>
      <c r="E1246" s="239" t="s">
        <v>403</v>
      </c>
      <c r="F1246" s="239" t="s">
        <v>404</v>
      </c>
      <c r="G1246" s="239" t="s">
        <v>951</v>
      </c>
      <c r="H1246" s="239" t="s">
        <v>51</v>
      </c>
      <c r="I1246" s="239" t="s">
        <v>2882</v>
      </c>
      <c r="J1246" s="234">
        <v>39210</v>
      </c>
      <c r="K1246" s="234">
        <v>14730</v>
      </c>
      <c r="L1246" s="242">
        <v>10</v>
      </c>
      <c r="M1246" s="234">
        <v>24480</v>
      </c>
      <c r="N1246" s="234">
        <v>22032</v>
      </c>
      <c r="O1246" s="243" t="s">
        <v>3393</v>
      </c>
      <c r="P1246" s="236">
        <v>45958</v>
      </c>
    </row>
    <row r="1247" spans="1:16" ht="51" customHeight="1">
      <c r="A1247" s="239" t="s">
        <v>3373</v>
      </c>
      <c r="B1247" s="240">
        <v>2730</v>
      </c>
      <c r="C1247" s="241">
        <v>179</v>
      </c>
      <c r="D1247" s="239" t="s">
        <v>2881</v>
      </c>
      <c r="E1247" s="239" t="s">
        <v>384</v>
      </c>
      <c r="F1247" s="239" t="s">
        <v>385</v>
      </c>
      <c r="G1247" s="239" t="s">
        <v>951</v>
      </c>
      <c r="H1247" s="239" t="s">
        <v>51</v>
      </c>
      <c r="I1247" s="239" t="s">
        <v>2882</v>
      </c>
      <c r="J1247" s="234">
        <v>35840</v>
      </c>
      <c r="K1247" s="234">
        <v>14030</v>
      </c>
      <c r="L1247" s="242">
        <v>32</v>
      </c>
      <c r="M1247" s="234">
        <v>21810</v>
      </c>
      <c r="N1247" s="234">
        <v>14830.8</v>
      </c>
      <c r="O1247" s="243" t="s">
        <v>3394</v>
      </c>
      <c r="P1247" s="236">
        <v>45958</v>
      </c>
    </row>
    <row r="1248" spans="1:16" ht="51" customHeight="1">
      <c r="A1248" s="239" t="s">
        <v>3374</v>
      </c>
      <c r="B1248" s="240">
        <v>2733</v>
      </c>
      <c r="C1248" s="241">
        <v>180</v>
      </c>
      <c r="D1248" s="239" t="s">
        <v>2881</v>
      </c>
      <c r="E1248" s="239" t="s">
        <v>390</v>
      </c>
      <c r="F1248" s="239" t="s">
        <v>391</v>
      </c>
      <c r="G1248" s="239" t="s">
        <v>951</v>
      </c>
      <c r="H1248" s="239" t="s">
        <v>51</v>
      </c>
      <c r="I1248" s="239" t="s">
        <v>2882</v>
      </c>
      <c r="J1248" s="234">
        <v>39030</v>
      </c>
      <c r="K1248" s="234">
        <v>15220</v>
      </c>
      <c r="L1248" s="242">
        <v>8</v>
      </c>
      <c r="M1248" s="234">
        <v>23810</v>
      </c>
      <c r="N1248" s="234">
        <v>21905.200000000001</v>
      </c>
      <c r="O1248" s="243" t="s">
        <v>3395</v>
      </c>
      <c r="P1248" s="236">
        <v>45958</v>
      </c>
    </row>
    <row r="1249" spans="1:16" ht="51" customHeight="1">
      <c r="A1249" s="239" t="s">
        <v>3375</v>
      </c>
      <c r="B1249" s="240">
        <v>2734</v>
      </c>
      <c r="C1249" s="241">
        <v>182</v>
      </c>
      <c r="D1249" s="239" t="s">
        <v>2881</v>
      </c>
      <c r="E1249" s="239" t="s">
        <v>786</v>
      </c>
      <c r="F1249" s="239" t="s">
        <v>787</v>
      </c>
      <c r="G1249" s="239" t="s">
        <v>951</v>
      </c>
      <c r="H1249" s="239" t="s">
        <v>51</v>
      </c>
      <c r="I1249" s="239" t="s">
        <v>2882</v>
      </c>
      <c r="J1249" s="234">
        <v>35240</v>
      </c>
      <c r="K1249" s="234">
        <v>14150</v>
      </c>
      <c r="L1249" s="242">
        <v>18</v>
      </c>
      <c r="M1249" s="234">
        <v>21090</v>
      </c>
      <c r="N1249" s="234">
        <v>17293.8</v>
      </c>
      <c r="O1249" s="243" t="s">
        <v>3396</v>
      </c>
      <c r="P1249" s="236">
        <v>45958</v>
      </c>
    </row>
    <row r="1250" spans="1:16" ht="51" customHeight="1">
      <c r="A1250" s="239" t="s">
        <v>3376</v>
      </c>
      <c r="B1250" s="240">
        <v>2735</v>
      </c>
      <c r="C1250" s="241">
        <v>183</v>
      </c>
      <c r="D1250" s="239" t="s">
        <v>2881</v>
      </c>
      <c r="E1250" s="239" t="s">
        <v>380</v>
      </c>
      <c r="F1250" s="239" t="s">
        <v>381</v>
      </c>
      <c r="G1250" s="239" t="s">
        <v>951</v>
      </c>
      <c r="H1250" s="239" t="s">
        <v>51</v>
      </c>
      <c r="I1250" s="239" t="s">
        <v>2882</v>
      </c>
      <c r="J1250" s="234">
        <v>39530</v>
      </c>
      <c r="K1250" s="234">
        <v>15200</v>
      </c>
      <c r="L1250" s="242">
        <v>20</v>
      </c>
      <c r="M1250" s="234">
        <v>24330</v>
      </c>
      <c r="N1250" s="234">
        <v>19464</v>
      </c>
      <c r="O1250" s="243" t="s">
        <v>3397</v>
      </c>
      <c r="P1250" s="236">
        <v>45958</v>
      </c>
    </row>
    <row r="1251" spans="1:16" ht="51" customHeight="1">
      <c r="A1251" s="239" t="s">
        <v>3377</v>
      </c>
      <c r="B1251" s="240">
        <v>2736</v>
      </c>
      <c r="C1251" s="241">
        <v>171</v>
      </c>
      <c r="D1251" s="239" t="s">
        <v>2881</v>
      </c>
      <c r="E1251" s="239" t="s">
        <v>406</v>
      </c>
      <c r="F1251" s="239" t="s">
        <v>407</v>
      </c>
      <c r="G1251" s="239" t="s">
        <v>951</v>
      </c>
      <c r="H1251" s="239" t="s">
        <v>51</v>
      </c>
      <c r="I1251" s="239" t="s">
        <v>2882</v>
      </c>
      <c r="J1251" s="234">
        <v>39290</v>
      </c>
      <c r="K1251" s="234">
        <v>15280</v>
      </c>
      <c r="L1251" s="242">
        <v>27</v>
      </c>
      <c r="M1251" s="234">
        <v>24010</v>
      </c>
      <c r="N1251" s="234">
        <v>17527.3</v>
      </c>
      <c r="O1251" s="243" t="s">
        <v>3398</v>
      </c>
      <c r="P1251" s="236">
        <v>45958</v>
      </c>
    </row>
    <row r="1252" spans="1:16" ht="51" customHeight="1">
      <c r="A1252" s="239" t="s">
        <v>3379</v>
      </c>
      <c r="B1252" s="240">
        <v>2737</v>
      </c>
      <c r="C1252" s="241">
        <v>184</v>
      </c>
      <c r="D1252" s="239" t="s">
        <v>2881</v>
      </c>
      <c r="E1252" s="239" t="s">
        <v>791</v>
      </c>
      <c r="F1252" s="239" t="s">
        <v>792</v>
      </c>
      <c r="G1252" s="239" t="s">
        <v>951</v>
      </c>
      <c r="H1252" s="239" t="s">
        <v>51</v>
      </c>
      <c r="I1252" s="239" t="s">
        <v>2882</v>
      </c>
      <c r="J1252" s="234">
        <v>40110</v>
      </c>
      <c r="K1252" s="234">
        <v>15070</v>
      </c>
      <c r="L1252" s="242">
        <v>14</v>
      </c>
      <c r="M1252" s="234">
        <v>25040</v>
      </c>
      <c r="N1252" s="234">
        <v>21534.400000000001</v>
      </c>
      <c r="O1252" s="243" t="s">
        <v>3400</v>
      </c>
      <c r="P1252" s="236">
        <v>45958</v>
      </c>
    </row>
    <row r="1253" spans="1:16" ht="51" customHeight="1">
      <c r="A1253" s="239" t="s">
        <v>3378</v>
      </c>
      <c r="B1253" s="240">
        <v>2755</v>
      </c>
      <c r="C1253" s="241">
        <v>8206</v>
      </c>
      <c r="D1253" s="239" t="s">
        <v>2511</v>
      </c>
      <c r="E1253" s="239" t="s">
        <v>2053</v>
      </c>
      <c r="F1253" s="239" t="s">
        <v>2054</v>
      </c>
      <c r="G1253" s="239" t="s">
        <v>934</v>
      </c>
      <c r="H1253" s="239" t="s">
        <v>42</v>
      </c>
      <c r="I1253" s="239" t="s">
        <v>2512</v>
      </c>
      <c r="J1253" s="234">
        <v>30390</v>
      </c>
      <c r="K1253" s="234">
        <v>14430</v>
      </c>
      <c r="L1253" s="242">
        <v>17</v>
      </c>
      <c r="M1253" s="234">
        <v>15960</v>
      </c>
      <c r="N1253" s="234">
        <v>13246.8</v>
      </c>
      <c r="O1253" s="243" t="s">
        <v>3399</v>
      </c>
      <c r="P1253" s="236">
        <v>45958</v>
      </c>
    </row>
    <row r="1254" spans="1:16" ht="51" customHeight="1">
      <c r="A1254" s="239" t="s">
        <v>3380</v>
      </c>
      <c r="B1254" s="240">
        <v>2738</v>
      </c>
      <c r="C1254" s="241">
        <v>185</v>
      </c>
      <c r="D1254" s="239" t="s">
        <v>2881</v>
      </c>
      <c r="E1254" s="239" t="s">
        <v>2793</v>
      </c>
      <c r="F1254" s="239" t="s">
        <v>2794</v>
      </c>
      <c r="G1254" s="239" t="s">
        <v>951</v>
      </c>
      <c r="H1254" s="239" t="s">
        <v>51</v>
      </c>
      <c r="I1254" s="239" t="s">
        <v>2882</v>
      </c>
      <c r="J1254" s="234">
        <v>47920</v>
      </c>
      <c r="K1254" s="234">
        <v>17670</v>
      </c>
      <c r="L1254" s="242">
        <v>11</v>
      </c>
      <c r="M1254" s="234">
        <v>30250</v>
      </c>
      <c r="N1254" s="234">
        <v>26922.5</v>
      </c>
      <c r="O1254" s="243" t="s">
        <v>3401</v>
      </c>
      <c r="P1254" s="236">
        <v>45958</v>
      </c>
    </row>
    <row r="1255" spans="1:16" ht="51" customHeight="1">
      <c r="A1255" s="239" t="s">
        <v>3381</v>
      </c>
      <c r="B1255" s="240">
        <v>2739</v>
      </c>
      <c r="C1255" s="241">
        <v>186</v>
      </c>
      <c r="D1255" s="239" t="s">
        <v>2881</v>
      </c>
      <c r="E1255" s="239" t="s">
        <v>410</v>
      </c>
      <c r="F1255" s="239" t="s">
        <v>411</v>
      </c>
      <c r="G1255" s="239" t="s">
        <v>951</v>
      </c>
      <c r="H1255" s="239" t="s">
        <v>51</v>
      </c>
      <c r="I1255" s="239" t="s">
        <v>2882</v>
      </c>
      <c r="J1255" s="234">
        <v>38550</v>
      </c>
      <c r="K1255" s="234">
        <v>15300</v>
      </c>
      <c r="L1255" s="242">
        <v>12</v>
      </c>
      <c r="M1255" s="234">
        <v>23250</v>
      </c>
      <c r="N1255" s="234">
        <v>20460</v>
      </c>
      <c r="O1255" s="243" t="s">
        <v>3402</v>
      </c>
      <c r="P1255" s="236">
        <v>45958</v>
      </c>
    </row>
    <row r="1256" spans="1:16" ht="51" customHeight="1">
      <c r="A1256" s="239" t="s">
        <v>3383</v>
      </c>
      <c r="B1256" s="240">
        <v>2740</v>
      </c>
      <c r="C1256" s="241">
        <v>187</v>
      </c>
      <c r="D1256" s="239" t="s">
        <v>2881</v>
      </c>
      <c r="E1256" s="239" t="s">
        <v>447</v>
      </c>
      <c r="F1256" s="239" t="s">
        <v>448</v>
      </c>
      <c r="G1256" s="239" t="s">
        <v>951</v>
      </c>
      <c r="H1256" s="239" t="s">
        <v>51</v>
      </c>
      <c r="I1256" s="239" t="s">
        <v>2882</v>
      </c>
      <c r="J1256" s="234">
        <v>52090</v>
      </c>
      <c r="K1256" s="234">
        <v>19730</v>
      </c>
      <c r="L1256" s="242">
        <v>9</v>
      </c>
      <c r="M1256" s="234">
        <v>32360</v>
      </c>
      <c r="N1256" s="234">
        <v>29447.599999999999</v>
      </c>
      <c r="O1256" s="243" t="s">
        <v>3404</v>
      </c>
      <c r="P1256" s="236">
        <v>45958</v>
      </c>
    </row>
    <row r="1257" spans="1:16" ht="51" customHeight="1">
      <c r="A1257" s="239" t="s">
        <v>3369</v>
      </c>
      <c r="B1257" s="240">
        <v>2743</v>
      </c>
      <c r="C1257" s="241">
        <v>188</v>
      </c>
      <c r="D1257" s="239" t="s">
        <v>2881</v>
      </c>
      <c r="E1257" s="239" t="s">
        <v>866</v>
      </c>
      <c r="F1257" s="239" t="s">
        <v>867</v>
      </c>
      <c r="G1257" s="239" t="s">
        <v>951</v>
      </c>
      <c r="H1257" s="239" t="s">
        <v>51</v>
      </c>
      <c r="I1257" s="239" t="s">
        <v>2882</v>
      </c>
      <c r="J1257" s="234">
        <v>38980</v>
      </c>
      <c r="K1257" s="234">
        <v>14630</v>
      </c>
      <c r="L1257" s="242">
        <v>10</v>
      </c>
      <c r="M1257" s="234">
        <v>24350</v>
      </c>
      <c r="N1257" s="234">
        <v>21915</v>
      </c>
      <c r="O1257" s="243" t="s">
        <v>3390</v>
      </c>
      <c r="P1257" s="236">
        <v>45958</v>
      </c>
    </row>
    <row r="1258" spans="1:16" ht="51" customHeight="1">
      <c r="A1258" s="239" t="s">
        <v>3384</v>
      </c>
      <c r="B1258" s="240">
        <v>2746</v>
      </c>
      <c r="C1258" s="241">
        <v>189</v>
      </c>
      <c r="D1258" s="239" t="s">
        <v>2881</v>
      </c>
      <c r="E1258" s="239" t="s">
        <v>372</v>
      </c>
      <c r="F1258" s="239" t="s">
        <v>373</v>
      </c>
      <c r="G1258" s="239" t="s">
        <v>951</v>
      </c>
      <c r="H1258" s="239" t="s">
        <v>51</v>
      </c>
      <c r="I1258" s="239" t="s">
        <v>2882</v>
      </c>
      <c r="J1258" s="234">
        <v>38570</v>
      </c>
      <c r="K1258" s="234">
        <v>15160</v>
      </c>
      <c r="L1258" s="242">
        <v>10</v>
      </c>
      <c r="M1258" s="234">
        <v>23410</v>
      </c>
      <c r="N1258" s="234">
        <v>21069</v>
      </c>
      <c r="O1258" s="243" t="s">
        <v>3405</v>
      </c>
      <c r="P1258" s="236">
        <v>45958</v>
      </c>
    </row>
    <row r="1259" spans="1:16" ht="51" customHeight="1">
      <c r="A1259" s="239" t="s">
        <v>3370</v>
      </c>
      <c r="B1259" s="240">
        <v>2747</v>
      </c>
      <c r="C1259" s="241">
        <v>190</v>
      </c>
      <c r="D1259" s="239" t="s">
        <v>2881</v>
      </c>
      <c r="E1259" s="239" t="s">
        <v>1410</v>
      </c>
      <c r="F1259" s="239" t="s">
        <v>437</v>
      </c>
      <c r="G1259" s="239" t="s">
        <v>951</v>
      </c>
      <c r="H1259" s="239" t="s">
        <v>51</v>
      </c>
      <c r="I1259" s="239" t="s">
        <v>2882</v>
      </c>
      <c r="J1259" s="234">
        <v>40840</v>
      </c>
      <c r="K1259" s="234">
        <v>15090</v>
      </c>
      <c r="L1259" s="242">
        <v>7</v>
      </c>
      <c r="M1259" s="234">
        <v>25750</v>
      </c>
      <c r="N1259" s="234">
        <v>23947.5</v>
      </c>
      <c r="O1259" s="243" t="s">
        <v>3391</v>
      </c>
      <c r="P1259" s="236">
        <v>45958</v>
      </c>
    </row>
    <row r="1260" spans="1:16" ht="51" customHeight="1">
      <c r="A1260" s="239" t="s">
        <v>3371</v>
      </c>
      <c r="B1260" s="240">
        <v>2748</v>
      </c>
      <c r="C1260" s="241">
        <v>191</v>
      </c>
      <c r="D1260" s="239" t="s">
        <v>2881</v>
      </c>
      <c r="E1260" s="239" t="s">
        <v>432</v>
      </c>
      <c r="F1260" s="239" t="s">
        <v>433</v>
      </c>
      <c r="G1260" s="239" t="s">
        <v>951</v>
      </c>
      <c r="H1260" s="239" t="s">
        <v>51</v>
      </c>
      <c r="I1260" s="239" t="s">
        <v>2882</v>
      </c>
      <c r="J1260" s="234">
        <v>43030</v>
      </c>
      <c r="K1260" s="234">
        <v>15910</v>
      </c>
      <c r="L1260" s="242">
        <v>14</v>
      </c>
      <c r="M1260" s="234">
        <v>27120</v>
      </c>
      <c r="N1260" s="234">
        <v>23323.200000000001</v>
      </c>
      <c r="O1260" s="243" t="s">
        <v>3392</v>
      </c>
      <c r="P1260" s="236">
        <v>45958</v>
      </c>
    </row>
    <row r="1261" spans="1:16" ht="51" customHeight="1">
      <c r="A1261" s="239" t="s">
        <v>3382</v>
      </c>
      <c r="B1261" s="240">
        <v>2758</v>
      </c>
      <c r="C1261" s="241">
        <v>203</v>
      </c>
      <c r="D1261" s="239" t="s">
        <v>2881</v>
      </c>
      <c r="E1261" s="239" t="s">
        <v>382</v>
      </c>
      <c r="F1261" s="239" t="s">
        <v>383</v>
      </c>
      <c r="G1261" s="239" t="s">
        <v>957</v>
      </c>
      <c r="H1261" s="239" t="s">
        <v>51</v>
      </c>
      <c r="I1261" s="239" t="s">
        <v>2882</v>
      </c>
      <c r="J1261" s="234">
        <v>34500</v>
      </c>
      <c r="K1261" s="234">
        <v>14970</v>
      </c>
      <c r="L1261" s="242">
        <v>5</v>
      </c>
      <c r="M1261" s="234">
        <v>19530</v>
      </c>
      <c r="N1261" s="234">
        <v>18553.5</v>
      </c>
      <c r="O1261" s="243" t="s">
        <v>3403</v>
      </c>
      <c r="P1261" s="236">
        <v>45958</v>
      </c>
    </row>
    <row r="1262" spans="1:16" ht="51" customHeight="1">
      <c r="A1262" s="239" t="s">
        <v>3385</v>
      </c>
      <c r="B1262" s="240">
        <v>2761</v>
      </c>
      <c r="C1262" s="241">
        <v>196</v>
      </c>
      <c r="D1262" s="239" t="s">
        <v>2881</v>
      </c>
      <c r="E1262" s="239" t="s">
        <v>456</v>
      </c>
      <c r="F1262" s="239" t="s">
        <v>457</v>
      </c>
      <c r="G1262" s="239" t="s">
        <v>957</v>
      </c>
      <c r="H1262" s="239" t="s">
        <v>51</v>
      </c>
      <c r="I1262" s="239" t="s">
        <v>2882</v>
      </c>
      <c r="J1262" s="234">
        <v>43680</v>
      </c>
      <c r="K1262" s="234">
        <v>16350</v>
      </c>
      <c r="L1262" s="242">
        <v>12</v>
      </c>
      <c r="M1262" s="234">
        <v>27330</v>
      </c>
      <c r="N1262" s="234">
        <v>24050.400000000001</v>
      </c>
      <c r="O1262" s="243" t="s">
        <v>3406</v>
      </c>
      <c r="P1262" s="236">
        <v>45958</v>
      </c>
    </row>
    <row r="1263" spans="1:16" ht="51" customHeight="1">
      <c r="A1263" s="239" t="s">
        <v>3386</v>
      </c>
      <c r="B1263" s="240">
        <v>2762</v>
      </c>
      <c r="C1263" s="241">
        <v>193</v>
      </c>
      <c r="D1263" s="239" t="s">
        <v>2881</v>
      </c>
      <c r="E1263" s="239" t="s">
        <v>413</v>
      </c>
      <c r="F1263" s="239" t="s">
        <v>414</v>
      </c>
      <c r="G1263" s="239" t="s">
        <v>957</v>
      </c>
      <c r="H1263" s="239" t="s">
        <v>51</v>
      </c>
      <c r="I1263" s="239" t="s">
        <v>2882</v>
      </c>
      <c r="J1263" s="234">
        <v>39000</v>
      </c>
      <c r="K1263" s="234">
        <v>15240</v>
      </c>
      <c r="L1263" s="242">
        <v>14</v>
      </c>
      <c r="M1263" s="234">
        <v>23760</v>
      </c>
      <c r="N1263" s="234">
        <v>20433.599999999999</v>
      </c>
      <c r="O1263" s="243" t="s">
        <v>3407</v>
      </c>
      <c r="P1263" s="236">
        <v>45959</v>
      </c>
    </row>
    <row r="1264" spans="1:16" ht="51" customHeight="1">
      <c r="A1264" s="239" t="s">
        <v>3387</v>
      </c>
      <c r="B1264" s="240">
        <v>2763</v>
      </c>
      <c r="C1264" s="241">
        <v>192</v>
      </c>
      <c r="D1264" s="239" t="s">
        <v>2881</v>
      </c>
      <c r="E1264" s="239" t="s">
        <v>439</v>
      </c>
      <c r="F1264" s="239" t="s">
        <v>440</v>
      </c>
      <c r="G1264" s="239" t="s">
        <v>957</v>
      </c>
      <c r="H1264" s="239" t="s">
        <v>51</v>
      </c>
      <c r="I1264" s="239" t="s">
        <v>2882</v>
      </c>
      <c r="J1264" s="234">
        <v>39910</v>
      </c>
      <c r="K1264" s="234">
        <v>15280</v>
      </c>
      <c r="L1264" s="242">
        <v>21</v>
      </c>
      <c r="M1264" s="234">
        <v>24630</v>
      </c>
      <c r="N1264" s="234">
        <v>19457.7</v>
      </c>
      <c r="O1264" s="243" t="s">
        <v>3408</v>
      </c>
      <c r="P1264" s="236">
        <v>45959</v>
      </c>
    </row>
    <row r="1265" spans="1:16" ht="51" customHeight="1">
      <c r="A1265" s="239" t="s">
        <v>3388</v>
      </c>
      <c r="B1265" s="240">
        <v>2764</v>
      </c>
      <c r="C1265" s="241">
        <v>194</v>
      </c>
      <c r="D1265" s="239" t="s">
        <v>2881</v>
      </c>
      <c r="E1265" s="239" t="s">
        <v>429</v>
      </c>
      <c r="F1265" s="239" t="s">
        <v>430</v>
      </c>
      <c r="G1265" s="239" t="s">
        <v>957</v>
      </c>
      <c r="H1265" s="239" t="s">
        <v>51</v>
      </c>
      <c r="I1265" s="239" t="s">
        <v>2882</v>
      </c>
      <c r="J1265" s="234">
        <v>37630</v>
      </c>
      <c r="K1265" s="234">
        <v>14510</v>
      </c>
      <c r="L1265" s="242">
        <v>20</v>
      </c>
      <c r="M1265" s="234">
        <v>23120</v>
      </c>
      <c r="N1265" s="234">
        <v>18496</v>
      </c>
      <c r="O1265" s="243" t="s">
        <v>3409</v>
      </c>
      <c r="P1265" s="236">
        <v>45959</v>
      </c>
    </row>
    <row r="1266" spans="1:16" ht="51" customHeight="1">
      <c r="A1266" s="239" t="s">
        <v>3389</v>
      </c>
      <c r="B1266" s="240">
        <v>2765</v>
      </c>
      <c r="C1266" s="241">
        <v>181</v>
      </c>
      <c r="D1266" s="239" t="s">
        <v>2881</v>
      </c>
      <c r="E1266" s="239" t="s">
        <v>392</v>
      </c>
      <c r="F1266" s="239" t="s">
        <v>393</v>
      </c>
      <c r="G1266" s="239" t="s">
        <v>957</v>
      </c>
      <c r="H1266" s="239" t="s">
        <v>51</v>
      </c>
      <c r="I1266" s="239" t="s">
        <v>2882</v>
      </c>
      <c r="J1266" s="234">
        <v>43510</v>
      </c>
      <c r="K1266" s="234">
        <v>24180</v>
      </c>
      <c r="L1266" s="242">
        <v>4</v>
      </c>
      <c r="M1266" s="234">
        <v>19330</v>
      </c>
      <c r="N1266" s="234">
        <v>18556.8</v>
      </c>
      <c r="O1266" s="243" t="s">
        <v>3410</v>
      </c>
      <c r="P1266" s="236">
        <v>45959</v>
      </c>
    </row>
    <row r="1267" spans="1:16" ht="51" customHeight="1">
      <c r="A1267" s="239" t="s">
        <v>3417</v>
      </c>
      <c r="B1267" s="240">
        <v>2766</v>
      </c>
      <c r="C1267" s="241">
        <v>195</v>
      </c>
      <c r="D1267" s="239" t="s">
        <v>2881</v>
      </c>
      <c r="E1267" s="239" t="s">
        <v>369</v>
      </c>
      <c r="F1267" s="239" t="s">
        <v>370</v>
      </c>
      <c r="G1267" s="239" t="s">
        <v>957</v>
      </c>
      <c r="H1267" s="239" t="s">
        <v>51</v>
      </c>
      <c r="I1267" s="239" t="s">
        <v>2882</v>
      </c>
      <c r="J1267" s="234">
        <v>36500</v>
      </c>
      <c r="K1267" s="234">
        <v>15380</v>
      </c>
      <c r="L1267" s="242">
        <v>6</v>
      </c>
      <c r="M1267" s="234">
        <v>21120</v>
      </c>
      <c r="N1267" s="234">
        <v>19852.8</v>
      </c>
      <c r="O1267" s="243" t="s">
        <v>3418</v>
      </c>
      <c r="P1267" s="236">
        <v>45959</v>
      </c>
    </row>
    <row r="1268" spans="1:16" ht="51" customHeight="1">
      <c r="A1268" s="239" t="s">
        <v>3422</v>
      </c>
      <c r="B1268" s="240">
        <v>2772</v>
      </c>
      <c r="C1268" s="241">
        <v>197</v>
      </c>
      <c r="D1268" s="239" t="s">
        <v>2881</v>
      </c>
      <c r="E1268" s="239" t="s">
        <v>377</v>
      </c>
      <c r="F1268" s="239" t="s">
        <v>378</v>
      </c>
      <c r="G1268" s="239" t="s">
        <v>957</v>
      </c>
      <c r="H1268" s="239" t="s">
        <v>51</v>
      </c>
      <c r="I1268" s="239" t="s">
        <v>2882</v>
      </c>
      <c r="J1268" s="234">
        <v>38740</v>
      </c>
      <c r="K1268" s="234">
        <v>15430</v>
      </c>
      <c r="L1268" s="242">
        <v>12</v>
      </c>
      <c r="M1268" s="234">
        <v>23310</v>
      </c>
      <c r="N1268" s="234">
        <v>20512.8</v>
      </c>
      <c r="O1268" s="243" t="s">
        <v>3434</v>
      </c>
      <c r="P1268" s="236">
        <v>45959</v>
      </c>
    </row>
    <row r="1269" spans="1:16" ht="51" customHeight="1">
      <c r="A1269" s="239" t="s">
        <v>3424</v>
      </c>
      <c r="B1269" s="240">
        <v>2773</v>
      </c>
      <c r="C1269" s="241">
        <v>198</v>
      </c>
      <c r="D1269" s="239" t="s">
        <v>2881</v>
      </c>
      <c r="E1269" s="239" t="s">
        <v>841</v>
      </c>
      <c r="F1269" s="239" t="s">
        <v>845</v>
      </c>
      <c r="G1269" s="239" t="s">
        <v>957</v>
      </c>
      <c r="H1269" s="239" t="s">
        <v>51</v>
      </c>
      <c r="I1269" s="239" t="s">
        <v>2882</v>
      </c>
      <c r="J1269" s="234">
        <v>39210</v>
      </c>
      <c r="K1269" s="234">
        <v>15840</v>
      </c>
      <c r="L1269" s="242">
        <v>6</v>
      </c>
      <c r="M1269" s="234">
        <v>23370</v>
      </c>
      <c r="N1269" s="234">
        <v>21967.8</v>
      </c>
      <c r="O1269" s="243" t="s">
        <v>3436</v>
      </c>
      <c r="P1269" s="236">
        <v>45959</v>
      </c>
    </row>
    <row r="1270" spans="1:16" ht="51" customHeight="1">
      <c r="A1270" s="239" t="s">
        <v>3427</v>
      </c>
      <c r="B1270" s="240">
        <v>2774</v>
      </c>
      <c r="C1270" s="241">
        <v>200</v>
      </c>
      <c r="D1270" s="239" t="s">
        <v>2881</v>
      </c>
      <c r="E1270" s="239" t="s">
        <v>858</v>
      </c>
      <c r="F1270" s="239" t="s">
        <v>859</v>
      </c>
      <c r="G1270" s="239" t="s">
        <v>957</v>
      </c>
      <c r="H1270" s="239" t="s">
        <v>51</v>
      </c>
      <c r="I1270" s="239" t="s">
        <v>2882</v>
      </c>
      <c r="J1270" s="234">
        <v>39740</v>
      </c>
      <c r="K1270" s="234">
        <v>15150</v>
      </c>
      <c r="L1270" s="242">
        <v>14</v>
      </c>
      <c r="M1270" s="234">
        <v>24590</v>
      </c>
      <c r="N1270" s="234">
        <v>21147.4</v>
      </c>
      <c r="O1270" s="243" t="s">
        <v>3439</v>
      </c>
      <c r="P1270" s="236">
        <v>45959</v>
      </c>
    </row>
    <row r="1271" spans="1:16" ht="51" customHeight="1">
      <c r="A1271" s="239" t="s">
        <v>3429</v>
      </c>
      <c r="B1271" s="240">
        <v>2775</v>
      </c>
      <c r="C1271" s="241">
        <v>201</v>
      </c>
      <c r="D1271" s="239" t="s">
        <v>2881</v>
      </c>
      <c r="E1271" s="239" t="s">
        <v>400</v>
      </c>
      <c r="F1271" s="239" t="s">
        <v>401</v>
      </c>
      <c r="G1271" s="239" t="s">
        <v>957</v>
      </c>
      <c r="H1271" s="239" t="s">
        <v>51</v>
      </c>
      <c r="I1271" s="239" t="s">
        <v>2882</v>
      </c>
      <c r="J1271" s="234">
        <v>37990</v>
      </c>
      <c r="K1271" s="234">
        <v>15020</v>
      </c>
      <c r="L1271" s="242">
        <v>14</v>
      </c>
      <c r="M1271" s="234">
        <v>22970</v>
      </c>
      <c r="N1271" s="234">
        <v>19754.2</v>
      </c>
      <c r="O1271" s="243" t="s">
        <v>3441</v>
      </c>
      <c r="P1271" s="236">
        <v>45959</v>
      </c>
    </row>
    <row r="1272" spans="1:16" ht="51" customHeight="1">
      <c r="A1272" s="239" t="s">
        <v>3421</v>
      </c>
      <c r="B1272" s="240">
        <v>2776</v>
      </c>
      <c r="C1272" s="241">
        <v>199</v>
      </c>
      <c r="D1272" s="239" t="s">
        <v>2881</v>
      </c>
      <c r="E1272" s="239" t="s">
        <v>453</v>
      </c>
      <c r="F1272" s="239" t="s">
        <v>454</v>
      </c>
      <c r="G1272" s="239" t="s">
        <v>957</v>
      </c>
      <c r="H1272" s="239" t="s">
        <v>51</v>
      </c>
      <c r="I1272" s="239" t="s">
        <v>2882</v>
      </c>
      <c r="J1272" s="234">
        <v>64100</v>
      </c>
      <c r="K1272" s="234">
        <v>24740</v>
      </c>
      <c r="L1272" s="242">
        <v>7</v>
      </c>
      <c r="M1272" s="234">
        <v>39360</v>
      </c>
      <c r="N1272" s="234">
        <v>36604.800000000003</v>
      </c>
      <c r="O1272" s="243" t="s">
        <v>3433</v>
      </c>
      <c r="P1272" s="236">
        <v>45959</v>
      </c>
    </row>
    <row r="1273" spans="1:16" ht="51" customHeight="1">
      <c r="A1273" s="239" t="s">
        <v>3423</v>
      </c>
      <c r="B1273" s="240">
        <v>2777</v>
      </c>
      <c r="C1273" s="241">
        <v>202</v>
      </c>
      <c r="D1273" s="239" t="s">
        <v>2881</v>
      </c>
      <c r="E1273" s="239" t="s">
        <v>425</v>
      </c>
      <c r="F1273" s="239" t="s">
        <v>426</v>
      </c>
      <c r="G1273" s="239" t="s">
        <v>957</v>
      </c>
      <c r="H1273" s="239" t="s">
        <v>51</v>
      </c>
      <c r="I1273" s="239" t="s">
        <v>2882</v>
      </c>
      <c r="J1273" s="234">
        <v>50270</v>
      </c>
      <c r="K1273" s="234">
        <v>18920</v>
      </c>
      <c r="L1273" s="242">
        <v>9</v>
      </c>
      <c r="M1273" s="234">
        <v>31350</v>
      </c>
      <c r="N1273" s="234">
        <v>28528.5</v>
      </c>
      <c r="O1273" s="243" t="s">
        <v>3435</v>
      </c>
      <c r="P1273" s="236">
        <v>45959</v>
      </c>
    </row>
    <row r="1274" spans="1:16" ht="51" customHeight="1">
      <c r="A1274" s="239" t="s">
        <v>3425</v>
      </c>
      <c r="B1274" s="240">
        <v>2778</v>
      </c>
      <c r="C1274" s="241">
        <v>205</v>
      </c>
      <c r="D1274" s="239" t="s">
        <v>2881</v>
      </c>
      <c r="E1274" s="239" t="s">
        <v>783</v>
      </c>
      <c r="F1274" s="239" t="s">
        <v>784</v>
      </c>
      <c r="G1274" s="239" t="s">
        <v>957</v>
      </c>
      <c r="H1274" s="239" t="s">
        <v>51</v>
      </c>
      <c r="I1274" s="239" t="s">
        <v>2882</v>
      </c>
      <c r="J1274" s="234">
        <v>38130</v>
      </c>
      <c r="K1274" s="234">
        <v>14880</v>
      </c>
      <c r="L1274" s="242">
        <v>7</v>
      </c>
      <c r="M1274" s="234">
        <v>23250</v>
      </c>
      <c r="N1274" s="234">
        <v>21622.5</v>
      </c>
      <c r="O1274" s="243" t="s">
        <v>3437</v>
      </c>
      <c r="P1274" s="236">
        <v>45959</v>
      </c>
    </row>
    <row r="1275" spans="1:16" ht="51" customHeight="1">
      <c r="A1275" s="239" t="s">
        <v>3426</v>
      </c>
      <c r="B1275" s="240">
        <v>2779</v>
      </c>
      <c r="C1275" s="241">
        <v>206</v>
      </c>
      <c r="D1275" s="239" t="s">
        <v>2881</v>
      </c>
      <c r="E1275" s="239" t="s">
        <v>794</v>
      </c>
      <c r="F1275" s="239" t="s">
        <v>795</v>
      </c>
      <c r="G1275" s="239" t="s">
        <v>957</v>
      </c>
      <c r="H1275" s="239" t="s">
        <v>51</v>
      </c>
      <c r="I1275" s="239" t="s">
        <v>2882</v>
      </c>
      <c r="J1275" s="234">
        <v>41100</v>
      </c>
      <c r="K1275" s="234">
        <v>16280</v>
      </c>
      <c r="L1275" s="242">
        <v>14</v>
      </c>
      <c r="M1275" s="234">
        <v>24820</v>
      </c>
      <c r="N1275" s="234">
        <v>21345.200000000001</v>
      </c>
      <c r="O1275" s="243" t="s">
        <v>3438</v>
      </c>
      <c r="P1275" s="236">
        <v>45959</v>
      </c>
    </row>
    <row r="1276" spans="1:16" ht="51" customHeight="1">
      <c r="A1276" s="239" t="s">
        <v>3428</v>
      </c>
      <c r="B1276" s="240">
        <v>2780</v>
      </c>
      <c r="C1276" s="241">
        <v>204</v>
      </c>
      <c r="D1276" s="239" t="s">
        <v>2881</v>
      </c>
      <c r="E1276" s="239" t="s">
        <v>786</v>
      </c>
      <c r="F1276" s="239" t="s">
        <v>787</v>
      </c>
      <c r="G1276" s="239" t="s">
        <v>957</v>
      </c>
      <c r="H1276" s="239" t="s">
        <v>51</v>
      </c>
      <c r="I1276" s="239" t="s">
        <v>2882</v>
      </c>
      <c r="J1276" s="234">
        <v>35310</v>
      </c>
      <c r="K1276" s="234">
        <v>14100</v>
      </c>
      <c r="L1276" s="242">
        <v>22</v>
      </c>
      <c r="M1276" s="234">
        <v>21210</v>
      </c>
      <c r="N1276" s="234">
        <v>16543.8</v>
      </c>
      <c r="O1276" s="243" t="s">
        <v>3440</v>
      </c>
      <c r="P1276" s="236">
        <v>45959</v>
      </c>
    </row>
    <row r="1277" spans="1:16" ht="51" customHeight="1">
      <c r="A1277" s="239" t="s">
        <v>3430</v>
      </c>
      <c r="B1277" s="240">
        <v>2781</v>
      </c>
      <c r="C1277" s="241">
        <v>207</v>
      </c>
      <c r="D1277" s="239" t="s">
        <v>2881</v>
      </c>
      <c r="E1277" s="239" t="s">
        <v>416</v>
      </c>
      <c r="F1277" s="239" t="s">
        <v>417</v>
      </c>
      <c r="G1277" s="239" t="s">
        <v>957</v>
      </c>
      <c r="H1277" s="239" t="s">
        <v>51</v>
      </c>
      <c r="I1277" s="239" t="s">
        <v>2882</v>
      </c>
      <c r="J1277" s="234">
        <v>39290</v>
      </c>
      <c r="K1277" s="234">
        <v>14960</v>
      </c>
      <c r="L1277" s="242">
        <v>14</v>
      </c>
      <c r="M1277" s="234">
        <v>24330</v>
      </c>
      <c r="N1277" s="234">
        <v>20923.8</v>
      </c>
      <c r="O1277" s="243" t="s">
        <v>3442</v>
      </c>
      <c r="P1277" s="236">
        <v>45960</v>
      </c>
    </row>
    <row r="1278" spans="1:16" ht="51" customHeight="1">
      <c r="A1278" s="239" t="s">
        <v>3431</v>
      </c>
      <c r="B1278" s="240">
        <v>2782</v>
      </c>
      <c r="C1278" s="241">
        <v>208</v>
      </c>
      <c r="D1278" s="239" t="s">
        <v>2881</v>
      </c>
      <c r="E1278" s="239" t="s">
        <v>420</v>
      </c>
      <c r="F1278" s="239" t="s">
        <v>421</v>
      </c>
      <c r="G1278" s="239" t="s">
        <v>957</v>
      </c>
      <c r="H1278" s="239" t="s">
        <v>51</v>
      </c>
      <c r="I1278" s="239" t="s">
        <v>2882</v>
      </c>
      <c r="J1278" s="234">
        <v>36590</v>
      </c>
      <c r="K1278" s="234">
        <v>15100</v>
      </c>
      <c r="L1278" s="242">
        <v>24</v>
      </c>
      <c r="M1278" s="234">
        <v>21490</v>
      </c>
      <c r="N1278" s="234">
        <v>16332.4</v>
      </c>
      <c r="O1278" s="243" t="s">
        <v>3443</v>
      </c>
      <c r="P1278" s="236">
        <v>45960</v>
      </c>
    </row>
    <row r="1279" spans="1:16" ht="51" customHeight="1">
      <c r="A1279" s="239" t="s">
        <v>3432</v>
      </c>
      <c r="B1279" s="240">
        <v>2783</v>
      </c>
      <c r="C1279" s="241">
        <v>209</v>
      </c>
      <c r="D1279" s="239" t="s">
        <v>2881</v>
      </c>
      <c r="E1279" s="239" t="s">
        <v>791</v>
      </c>
      <c r="F1279" s="239" t="s">
        <v>792</v>
      </c>
      <c r="G1279" s="239" t="s">
        <v>957</v>
      </c>
      <c r="H1279" s="239" t="s">
        <v>51</v>
      </c>
      <c r="I1279" s="239" t="s">
        <v>2882</v>
      </c>
      <c r="J1279" s="234">
        <v>39010</v>
      </c>
      <c r="K1279" s="234">
        <v>15210</v>
      </c>
      <c r="L1279" s="242">
        <v>21</v>
      </c>
      <c r="M1279" s="234">
        <v>23800</v>
      </c>
      <c r="N1279" s="234">
        <v>18802</v>
      </c>
      <c r="O1279" s="243" t="s">
        <v>3444</v>
      </c>
      <c r="P1279" s="236">
        <v>45960</v>
      </c>
    </row>
    <row r="1280" spans="1:16" ht="51" customHeight="1">
      <c r="A1280" s="239" t="s">
        <v>3445</v>
      </c>
      <c r="B1280" s="240">
        <v>2784</v>
      </c>
      <c r="C1280" s="241">
        <v>211</v>
      </c>
      <c r="D1280" s="239" t="s">
        <v>2881</v>
      </c>
      <c r="E1280" s="239" t="s">
        <v>390</v>
      </c>
      <c r="F1280" s="239" t="s">
        <v>391</v>
      </c>
      <c r="G1280" s="239" t="s">
        <v>957</v>
      </c>
      <c r="H1280" s="239" t="s">
        <v>51</v>
      </c>
      <c r="I1280" s="239" t="s">
        <v>2882</v>
      </c>
      <c r="J1280" s="234">
        <v>38810</v>
      </c>
      <c r="K1280" s="234">
        <v>15190</v>
      </c>
      <c r="L1280" s="242">
        <v>12</v>
      </c>
      <c r="M1280" s="234">
        <v>23620</v>
      </c>
      <c r="N1280" s="234">
        <v>20785.599999999999</v>
      </c>
      <c r="O1280" s="243" t="s">
        <v>3446</v>
      </c>
      <c r="P1280" s="236">
        <v>45960</v>
      </c>
    </row>
    <row r="1281" spans="1:16" ht="51" customHeight="1">
      <c r="A1281" s="239" t="s">
        <v>3447</v>
      </c>
      <c r="B1281" s="240">
        <v>2785</v>
      </c>
      <c r="C1281" s="241">
        <v>210</v>
      </c>
      <c r="D1281" s="239" t="s">
        <v>2881</v>
      </c>
      <c r="E1281" s="239" t="s">
        <v>388</v>
      </c>
      <c r="F1281" s="239" t="s">
        <v>389</v>
      </c>
      <c r="G1281" s="239" t="s">
        <v>957</v>
      </c>
      <c r="H1281" s="239" t="s">
        <v>51</v>
      </c>
      <c r="I1281" s="239" t="s">
        <v>2882</v>
      </c>
      <c r="J1281" s="234">
        <v>59920</v>
      </c>
      <c r="K1281" s="234">
        <v>21330</v>
      </c>
      <c r="L1281" s="242">
        <v>24</v>
      </c>
      <c r="M1281" s="234">
        <v>38590</v>
      </c>
      <c r="N1281" s="234">
        <v>29328.400000000001</v>
      </c>
      <c r="O1281" s="243" t="s">
        <v>3448</v>
      </c>
      <c r="P1281" s="236">
        <v>45960</v>
      </c>
    </row>
    <row r="1282" spans="1:16" ht="51" customHeight="1">
      <c r="A1282" s="239" t="s">
        <v>3449</v>
      </c>
      <c r="B1282" s="240">
        <v>2786</v>
      </c>
      <c r="C1282" s="241">
        <v>212</v>
      </c>
      <c r="D1282" s="239" t="s">
        <v>2881</v>
      </c>
      <c r="E1282" s="239" t="s">
        <v>447</v>
      </c>
      <c r="F1282" s="239" t="s">
        <v>448</v>
      </c>
      <c r="G1282" s="239" t="s">
        <v>957</v>
      </c>
      <c r="H1282" s="239" t="s">
        <v>51</v>
      </c>
      <c r="I1282" s="239" t="s">
        <v>2882</v>
      </c>
      <c r="J1282" s="234">
        <v>52000</v>
      </c>
      <c r="K1282" s="234">
        <v>19590</v>
      </c>
      <c r="L1282" s="242">
        <v>8</v>
      </c>
      <c r="M1282" s="234">
        <v>32410</v>
      </c>
      <c r="N1282" s="234">
        <v>29817.200000000001</v>
      </c>
      <c r="O1282" s="243" t="s">
        <v>3451</v>
      </c>
      <c r="P1282" s="236">
        <v>45960</v>
      </c>
    </row>
    <row r="1283" spans="1:16" ht="51" customHeight="1">
      <c r="A1283" s="239" t="s">
        <v>3450</v>
      </c>
      <c r="B1283" s="240">
        <v>2787</v>
      </c>
      <c r="C1283" s="241">
        <v>213</v>
      </c>
      <c r="D1283" s="239" t="s">
        <v>2881</v>
      </c>
      <c r="E1283" s="239" t="s">
        <v>372</v>
      </c>
      <c r="F1283" s="239" t="s">
        <v>373</v>
      </c>
      <c r="G1283" s="239" t="s">
        <v>957</v>
      </c>
      <c r="H1283" s="239" t="s">
        <v>51</v>
      </c>
      <c r="I1283" s="239" t="s">
        <v>2882</v>
      </c>
      <c r="J1283" s="234">
        <v>38140</v>
      </c>
      <c r="K1283" s="234">
        <v>15080</v>
      </c>
      <c r="L1283" s="242">
        <v>11</v>
      </c>
      <c r="M1283" s="234">
        <v>23060</v>
      </c>
      <c r="N1283" s="234">
        <v>20523.400000000001</v>
      </c>
      <c r="O1283" s="243" t="s">
        <v>3452</v>
      </c>
      <c r="P1283" s="236">
        <v>45960</v>
      </c>
    </row>
    <row r="1284" spans="1:16" ht="51" customHeight="1">
      <c r="A1284" s="239" t="s">
        <v>3453</v>
      </c>
      <c r="B1284" s="240">
        <v>2788</v>
      </c>
      <c r="C1284" s="241">
        <v>215</v>
      </c>
      <c r="D1284" s="239" t="s">
        <v>2881</v>
      </c>
      <c r="E1284" s="239" t="s">
        <v>432</v>
      </c>
      <c r="F1284" s="239" t="s">
        <v>433</v>
      </c>
      <c r="G1284" s="239" t="s">
        <v>957</v>
      </c>
      <c r="H1284" s="239" t="s">
        <v>51</v>
      </c>
      <c r="I1284" s="239" t="s">
        <v>2882</v>
      </c>
      <c r="J1284" s="234">
        <v>43040</v>
      </c>
      <c r="K1284" s="234">
        <v>16020</v>
      </c>
      <c r="L1284" s="242">
        <v>15</v>
      </c>
      <c r="M1284" s="234">
        <v>27020</v>
      </c>
      <c r="N1284" s="234">
        <v>22967</v>
      </c>
      <c r="O1284" s="243" t="s">
        <v>3454</v>
      </c>
      <c r="P1284" s="236">
        <v>45960</v>
      </c>
    </row>
    <row r="1285" spans="1:16" ht="51" customHeight="1">
      <c r="A1285" s="239" t="s">
        <v>3455</v>
      </c>
      <c r="B1285" s="240">
        <v>2790</v>
      </c>
      <c r="C1285" s="241">
        <v>214</v>
      </c>
      <c r="D1285" s="239" t="s">
        <v>2881</v>
      </c>
      <c r="E1285" s="239" t="s">
        <v>413</v>
      </c>
      <c r="F1285" s="239" t="s">
        <v>414</v>
      </c>
      <c r="G1285" s="239" t="s">
        <v>957</v>
      </c>
      <c r="H1285" s="239" t="s">
        <v>51</v>
      </c>
      <c r="I1285" s="239" t="s">
        <v>2882</v>
      </c>
      <c r="J1285" s="234">
        <v>40560</v>
      </c>
      <c r="K1285" s="234">
        <v>15130</v>
      </c>
      <c r="L1285" s="242">
        <v>16</v>
      </c>
      <c r="M1285" s="234">
        <v>25430</v>
      </c>
      <c r="N1285" s="234">
        <v>21361.200000000001</v>
      </c>
      <c r="O1285" s="243" t="s">
        <v>3468</v>
      </c>
      <c r="P1285" s="236">
        <v>45960</v>
      </c>
    </row>
    <row r="1286" spans="1:16" ht="51" customHeight="1">
      <c r="A1286" s="239" t="s">
        <v>3456</v>
      </c>
      <c r="B1286" s="240">
        <v>2793</v>
      </c>
      <c r="C1286" s="241">
        <v>216</v>
      </c>
      <c r="D1286" s="239" t="s">
        <v>2881</v>
      </c>
      <c r="E1286" s="239" t="s">
        <v>439</v>
      </c>
      <c r="F1286" s="239" t="s">
        <v>440</v>
      </c>
      <c r="G1286" s="239" t="s">
        <v>957</v>
      </c>
      <c r="H1286" s="239" t="s">
        <v>51</v>
      </c>
      <c r="I1286" s="239" t="s">
        <v>2882</v>
      </c>
      <c r="J1286" s="234">
        <v>42970</v>
      </c>
      <c r="K1286" s="234">
        <v>15290</v>
      </c>
      <c r="L1286" s="242">
        <v>18</v>
      </c>
      <c r="M1286" s="234">
        <v>27680</v>
      </c>
      <c r="N1286" s="234">
        <v>22697.599999999999</v>
      </c>
      <c r="O1286" s="243" t="s">
        <v>3469</v>
      </c>
      <c r="P1286" s="236">
        <v>45960</v>
      </c>
    </row>
    <row r="1287" spans="1:16" ht="51" customHeight="1">
      <c r="A1287" s="239" t="s">
        <v>3457</v>
      </c>
      <c r="B1287" s="240">
        <v>2795</v>
      </c>
      <c r="C1287" s="241">
        <v>217</v>
      </c>
      <c r="D1287" s="239" t="s">
        <v>2881</v>
      </c>
      <c r="E1287" s="239" t="s">
        <v>429</v>
      </c>
      <c r="F1287" s="239" t="s">
        <v>430</v>
      </c>
      <c r="G1287" s="239" t="s">
        <v>957</v>
      </c>
      <c r="H1287" s="239" t="s">
        <v>51</v>
      </c>
      <c r="I1287" s="239" t="s">
        <v>2882</v>
      </c>
      <c r="J1287" s="234">
        <v>38470</v>
      </c>
      <c r="K1287" s="234">
        <v>14670</v>
      </c>
      <c r="L1287" s="242">
        <v>8</v>
      </c>
      <c r="M1287" s="234">
        <v>23800</v>
      </c>
      <c r="N1287" s="234">
        <v>21896</v>
      </c>
      <c r="O1287" s="243" t="s">
        <v>3470</v>
      </c>
      <c r="P1287" s="236">
        <v>45960</v>
      </c>
    </row>
    <row r="1288" spans="1:16" ht="51" customHeight="1">
      <c r="A1288" s="239" t="s">
        <v>3458</v>
      </c>
      <c r="B1288" s="240">
        <v>2796</v>
      </c>
      <c r="C1288" s="241">
        <v>218</v>
      </c>
      <c r="D1288" s="239" t="s">
        <v>2881</v>
      </c>
      <c r="E1288" s="239" t="s">
        <v>456</v>
      </c>
      <c r="F1288" s="239" t="s">
        <v>457</v>
      </c>
      <c r="G1288" s="239" t="s">
        <v>957</v>
      </c>
      <c r="H1288" s="239" t="s">
        <v>51</v>
      </c>
      <c r="I1288" s="239" t="s">
        <v>2882</v>
      </c>
      <c r="J1288" s="234">
        <v>41540</v>
      </c>
      <c r="K1288" s="234">
        <v>16290</v>
      </c>
      <c r="L1288" s="242">
        <v>29</v>
      </c>
      <c r="M1288" s="234">
        <v>25250</v>
      </c>
      <c r="N1288" s="234">
        <v>17927.5</v>
      </c>
      <c r="O1288" s="243" t="s">
        <v>3471</v>
      </c>
      <c r="P1288" s="236">
        <v>45960</v>
      </c>
    </row>
    <row r="1289" spans="1:16" ht="51" customHeight="1">
      <c r="A1289" s="239" t="s">
        <v>3462</v>
      </c>
      <c r="B1289" s="240">
        <v>2797</v>
      </c>
      <c r="C1289" s="241">
        <v>219</v>
      </c>
      <c r="D1289" s="239" t="s">
        <v>2881</v>
      </c>
      <c r="E1289" s="239" t="s">
        <v>1410</v>
      </c>
      <c r="F1289" s="239" t="s">
        <v>437</v>
      </c>
      <c r="G1289" s="239" t="s">
        <v>957</v>
      </c>
      <c r="H1289" s="239" t="s">
        <v>51</v>
      </c>
      <c r="I1289" s="239" t="s">
        <v>2882</v>
      </c>
      <c r="J1289" s="234">
        <v>38490</v>
      </c>
      <c r="K1289" s="234">
        <v>15230</v>
      </c>
      <c r="L1289" s="242">
        <v>14</v>
      </c>
      <c r="M1289" s="234">
        <v>23260</v>
      </c>
      <c r="N1289" s="234">
        <v>20003.599999999999</v>
      </c>
      <c r="O1289" s="243" t="s">
        <v>3475</v>
      </c>
      <c r="P1289" s="236">
        <v>45960</v>
      </c>
    </row>
    <row r="1290" spans="1:16" ht="51" customHeight="1">
      <c r="A1290" s="239" t="s">
        <v>3463</v>
      </c>
      <c r="B1290" s="240">
        <v>2798</v>
      </c>
      <c r="C1290" s="241">
        <v>220</v>
      </c>
      <c r="D1290" s="239" t="s">
        <v>2881</v>
      </c>
      <c r="E1290" s="239" t="s">
        <v>392</v>
      </c>
      <c r="F1290" s="239" t="s">
        <v>393</v>
      </c>
      <c r="G1290" s="239" t="s">
        <v>951</v>
      </c>
      <c r="H1290" s="239" t="s">
        <v>51</v>
      </c>
      <c r="I1290" s="239" t="s">
        <v>2882</v>
      </c>
      <c r="J1290" s="234">
        <v>50670</v>
      </c>
      <c r="K1290" s="234">
        <v>24380</v>
      </c>
      <c r="L1290" s="242">
        <v>15</v>
      </c>
      <c r="M1290" s="234">
        <v>26290</v>
      </c>
      <c r="N1290" s="234">
        <v>22346.5</v>
      </c>
      <c r="O1290" s="243" t="s">
        <v>3476</v>
      </c>
      <c r="P1290" s="236">
        <v>45960</v>
      </c>
    </row>
    <row r="1291" spans="1:16" ht="51" customHeight="1">
      <c r="A1291" s="239" t="s">
        <v>3465</v>
      </c>
      <c r="B1291" s="240">
        <v>2799</v>
      </c>
      <c r="C1291" s="241">
        <v>11284</v>
      </c>
      <c r="D1291" s="239" t="s">
        <v>2511</v>
      </c>
      <c r="E1291" s="239" t="s">
        <v>866</v>
      </c>
      <c r="F1291" s="239" t="s">
        <v>867</v>
      </c>
      <c r="G1291" s="239" t="s">
        <v>934</v>
      </c>
      <c r="H1291" s="239" t="s">
        <v>42</v>
      </c>
      <c r="I1291" s="239" t="s">
        <v>2512</v>
      </c>
      <c r="J1291" s="234">
        <v>40270</v>
      </c>
      <c r="K1291" s="234">
        <v>14630</v>
      </c>
      <c r="L1291" s="242">
        <v>6</v>
      </c>
      <c r="M1291" s="234">
        <v>25640</v>
      </c>
      <c r="N1291" s="234">
        <v>24101.599999999999</v>
      </c>
      <c r="O1291" s="243" t="s">
        <v>3478</v>
      </c>
      <c r="P1291" s="236">
        <v>45960</v>
      </c>
    </row>
    <row r="1292" spans="1:16" ht="51" customHeight="1">
      <c r="A1292" s="239" t="s">
        <v>3467</v>
      </c>
      <c r="B1292" s="240">
        <v>2800</v>
      </c>
      <c r="C1292" s="241">
        <v>11285</v>
      </c>
      <c r="D1292" s="239" t="s">
        <v>2511</v>
      </c>
      <c r="E1292" s="239" t="s">
        <v>369</v>
      </c>
      <c r="F1292" s="239" t="s">
        <v>370</v>
      </c>
      <c r="G1292" s="239" t="s">
        <v>934</v>
      </c>
      <c r="H1292" s="239" t="s">
        <v>42</v>
      </c>
      <c r="I1292" s="239" t="s">
        <v>2512</v>
      </c>
      <c r="J1292" s="234">
        <v>40310</v>
      </c>
      <c r="K1292" s="234">
        <v>15310</v>
      </c>
      <c r="L1292" s="242">
        <v>11</v>
      </c>
      <c r="M1292" s="234">
        <v>25000</v>
      </c>
      <c r="N1292" s="234">
        <v>22250</v>
      </c>
      <c r="O1292" s="243" t="s">
        <v>3480</v>
      </c>
      <c r="P1292" s="236">
        <v>45960</v>
      </c>
    </row>
    <row r="1293" spans="1:16" ht="51" customHeight="1">
      <c r="A1293" s="239" t="s">
        <v>3459</v>
      </c>
      <c r="B1293" s="240">
        <v>2801</v>
      </c>
      <c r="C1293" s="241">
        <v>11294</v>
      </c>
      <c r="D1293" s="239" t="s">
        <v>2511</v>
      </c>
      <c r="E1293" s="239" t="s">
        <v>380</v>
      </c>
      <c r="F1293" s="239" t="s">
        <v>381</v>
      </c>
      <c r="G1293" s="239" t="s">
        <v>934</v>
      </c>
      <c r="H1293" s="239" t="s">
        <v>42</v>
      </c>
      <c r="I1293" s="239" t="s">
        <v>2512</v>
      </c>
      <c r="J1293" s="234">
        <v>40300</v>
      </c>
      <c r="K1293" s="234">
        <v>15120</v>
      </c>
      <c r="L1293" s="242">
        <v>6</v>
      </c>
      <c r="M1293" s="234">
        <v>25180</v>
      </c>
      <c r="N1293" s="234">
        <v>23669.200000000001</v>
      </c>
      <c r="O1293" s="243" t="s">
        <v>3472</v>
      </c>
      <c r="P1293" s="236">
        <v>45960</v>
      </c>
    </row>
    <row r="1294" spans="1:16" ht="51" customHeight="1">
      <c r="A1294" s="239" t="s">
        <v>3460</v>
      </c>
      <c r="B1294" s="240">
        <v>2802</v>
      </c>
      <c r="C1294" s="241">
        <v>221</v>
      </c>
      <c r="D1294" s="239" t="s">
        <v>2881</v>
      </c>
      <c r="E1294" s="239" t="s">
        <v>841</v>
      </c>
      <c r="F1294" s="239" t="s">
        <v>845</v>
      </c>
      <c r="G1294" s="239" t="s">
        <v>951</v>
      </c>
      <c r="H1294" s="239" t="s">
        <v>51</v>
      </c>
      <c r="I1294" s="239" t="s">
        <v>2882</v>
      </c>
      <c r="J1294" s="234">
        <v>38170</v>
      </c>
      <c r="K1294" s="234">
        <v>16110</v>
      </c>
      <c r="L1294" s="242">
        <v>6</v>
      </c>
      <c r="M1294" s="234">
        <v>22060</v>
      </c>
      <c r="N1294" s="234">
        <v>20736.400000000001</v>
      </c>
      <c r="O1294" s="243" t="s">
        <v>3473</v>
      </c>
      <c r="P1294" s="236">
        <v>45960</v>
      </c>
    </row>
    <row r="1295" spans="1:16" ht="51" customHeight="1">
      <c r="A1295" s="239" t="s">
        <v>3461</v>
      </c>
      <c r="B1295" s="240">
        <v>2803</v>
      </c>
      <c r="C1295" s="241">
        <v>222</v>
      </c>
      <c r="D1295" s="239" t="s">
        <v>2881</v>
      </c>
      <c r="E1295" s="239" t="s">
        <v>453</v>
      </c>
      <c r="F1295" s="239" t="s">
        <v>454</v>
      </c>
      <c r="G1295" s="239" t="s">
        <v>951</v>
      </c>
      <c r="H1295" s="239" t="s">
        <v>51</v>
      </c>
      <c r="I1295" s="239" t="s">
        <v>2882</v>
      </c>
      <c r="J1295" s="234">
        <v>56080</v>
      </c>
      <c r="K1295" s="234">
        <v>24950</v>
      </c>
      <c r="L1295" s="242">
        <v>10</v>
      </c>
      <c r="M1295" s="234">
        <v>31130</v>
      </c>
      <c r="N1295" s="234">
        <v>28017</v>
      </c>
      <c r="O1295" s="243" t="s">
        <v>3474</v>
      </c>
      <c r="P1295" s="236">
        <v>45960</v>
      </c>
    </row>
    <row r="1296" spans="1:16" ht="51" customHeight="1">
      <c r="A1296" s="239" t="s">
        <v>3464</v>
      </c>
      <c r="B1296" s="240">
        <v>2804</v>
      </c>
      <c r="C1296" s="241">
        <v>223</v>
      </c>
      <c r="D1296" s="239" t="s">
        <v>2881</v>
      </c>
      <c r="E1296" s="239" t="s">
        <v>425</v>
      </c>
      <c r="F1296" s="239" t="s">
        <v>426</v>
      </c>
      <c r="G1296" s="239" t="s">
        <v>951</v>
      </c>
      <c r="H1296" s="239" t="s">
        <v>51</v>
      </c>
      <c r="I1296" s="239" t="s">
        <v>2882</v>
      </c>
      <c r="J1296" s="234">
        <v>48210</v>
      </c>
      <c r="K1296" s="234">
        <v>18970</v>
      </c>
      <c r="L1296" s="242">
        <v>4</v>
      </c>
      <c r="M1296" s="234">
        <v>29240</v>
      </c>
      <c r="N1296" s="234">
        <v>28070.400000000001</v>
      </c>
      <c r="O1296" s="243" t="s">
        <v>3477</v>
      </c>
      <c r="P1296" s="236">
        <v>45960</v>
      </c>
    </row>
    <row r="1297" spans="1:16" ht="51" customHeight="1">
      <c r="A1297" s="239" t="s">
        <v>3466</v>
      </c>
      <c r="B1297" s="240">
        <v>2805</v>
      </c>
      <c r="C1297" s="241">
        <v>224</v>
      </c>
      <c r="D1297" s="239" t="s">
        <v>2881</v>
      </c>
      <c r="E1297" s="239" t="s">
        <v>783</v>
      </c>
      <c r="F1297" s="239" t="s">
        <v>784</v>
      </c>
      <c r="G1297" s="239" t="s">
        <v>951</v>
      </c>
      <c r="H1297" s="239" t="s">
        <v>51</v>
      </c>
      <c r="I1297" s="239" t="s">
        <v>2882</v>
      </c>
      <c r="J1297" s="234">
        <v>38220</v>
      </c>
      <c r="K1297" s="234">
        <v>14880</v>
      </c>
      <c r="L1297" s="242">
        <v>15</v>
      </c>
      <c r="M1297" s="234">
        <v>23340</v>
      </c>
      <c r="N1297" s="234">
        <v>19839</v>
      </c>
      <c r="O1297" s="243" t="s">
        <v>3479</v>
      </c>
      <c r="P1297" s="236">
        <v>45960</v>
      </c>
    </row>
    <row r="1298" spans="1:16" ht="51" customHeight="1">
      <c r="A1298" s="239" t="s">
        <v>3481</v>
      </c>
      <c r="B1298" s="240">
        <v>2806</v>
      </c>
      <c r="C1298" s="241">
        <v>225</v>
      </c>
      <c r="D1298" s="239" t="s">
        <v>2881</v>
      </c>
      <c r="E1298" s="239" t="s">
        <v>794</v>
      </c>
      <c r="F1298" s="239" t="s">
        <v>795</v>
      </c>
      <c r="G1298" s="239" t="s">
        <v>951</v>
      </c>
      <c r="H1298" s="239" t="s">
        <v>51</v>
      </c>
      <c r="I1298" s="239" t="s">
        <v>2882</v>
      </c>
      <c r="J1298" s="234">
        <v>40660</v>
      </c>
      <c r="K1298" s="234">
        <v>16440</v>
      </c>
      <c r="L1298" s="242">
        <v>9</v>
      </c>
      <c r="M1298" s="234">
        <v>24220</v>
      </c>
      <c r="N1298" s="234">
        <v>22040.2</v>
      </c>
      <c r="O1298" s="243" t="s">
        <v>3485</v>
      </c>
      <c r="P1298" s="236">
        <v>45961</v>
      </c>
    </row>
    <row r="1299" spans="1:16" ht="51" customHeight="1">
      <c r="A1299" s="239" t="s">
        <v>3482</v>
      </c>
      <c r="B1299" s="240">
        <v>2807</v>
      </c>
      <c r="C1299" s="241">
        <v>226</v>
      </c>
      <c r="D1299" s="239" t="s">
        <v>2881</v>
      </c>
      <c r="E1299" s="239" t="s">
        <v>786</v>
      </c>
      <c r="F1299" s="239" t="s">
        <v>787</v>
      </c>
      <c r="G1299" s="239" t="s">
        <v>951</v>
      </c>
      <c r="H1299" s="239" t="s">
        <v>51</v>
      </c>
      <c r="I1299" s="239" t="s">
        <v>2882</v>
      </c>
      <c r="J1299" s="234">
        <v>34970</v>
      </c>
      <c r="K1299" s="234">
        <v>14020</v>
      </c>
      <c r="L1299" s="242">
        <v>7</v>
      </c>
      <c r="M1299" s="234">
        <v>20950</v>
      </c>
      <c r="N1299" s="234">
        <v>19483.5</v>
      </c>
      <c r="O1299" s="243" t="s">
        <v>3486</v>
      </c>
      <c r="P1299" s="236">
        <v>45961</v>
      </c>
    </row>
    <row r="1300" spans="1:16" ht="51" customHeight="1">
      <c r="A1300" s="239" t="s">
        <v>3483</v>
      </c>
      <c r="B1300" s="240">
        <v>2808</v>
      </c>
      <c r="C1300" s="241">
        <v>227</v>
      </c>
      <c r="D1300" s="239" t="s">
        <v>2881</v>
      </c>
      <c r="E1300" s="239" t="s">
        <v>416</v>
      </c>
      <c r="F1300" s="239" t="s">
        <v>417</v>
      </c>
      <c r="G1300" s="239" t="s">
        <v>951</v>
      </c>
      <c r="H1300" s="239" t="s">
        <v>51</v>
      </c>
      <c r="I1300" s="239" t="s">
        <v>2882</v>
      </c>
      <c r="J1300" s="234">
        <v>38690</v>
      </c>
      <c r="K1300" s="234">
        <v>15060</v>
      </c>
      <c r="L1300" s="242">
        <v>7</v>
      </c>
      <c r="M1300" s="234">
        <v>23630</v>
      </c>
      <c r="N1300" s="234">
        <v>21975.9</v>
      </c>
      <c r="O1300" s="243" t="s">
        <v>3487</v>
      </c>
      <c r="P1300" s="236">
        <v>45961</v>
      </c>
    </row>
    <row r="1301" spans="1:16" ht="51" customHeight="1">
      <c r="A1301" s="239" t="s">
        <v>3484</v>
      </c>
      <c r="B1301" s="240">
        <v>2809</v>
      </c>
      <c r="C1301" s="241">
        <v>228</v>
      </c>
      <c r="D1301" s="239" t="s">
        <v>2881</v>
      </c>
      <c r="E1301" s="239" t="s">
        <v>420</v>
      </c>
      <c r="F1301" s="239" t="s">
        <v>421</v>
      </c>
      <c r="G1301" s="239" t="s">
        <v>951</v>
      </c>
      <c r="H1301" s="239" t="s">
        <v>51</v>
      </c>
      <c r="I1301" s="239" t="s">
        <v>2882</v>
      </c>
      <c r="J1301" s="234">
        <v>36990</v>
      </c>
      <c r="K1301" s="234">
        <v>15220</v>
      </c>
      <c r="L1301" s="242">
        <v>7</v>
      </c>
      <c r="M1301" s="234">
        <v>21770</v>
      </c>
      <c r="N1301" s="234">
        <v>20246.099999999999</v>
      </c>
      <c r="O1301" s="243" t="s">
        <v>3488</v>
      </c>
      <c r="P1301" s="236">
        <v>45961</v>
      </c>
    </row>
    <row r="1302" spans="1:16" ht="51" customHeight="1">
      <c r="A1302" s="239" t="s">
        <v>3489</v>
      </c>
      <c r="B1302" s="240">
        <v>2810</v>
      </c>
      <c r="C1302" s="241">
        <v>229</v>
      </c>
      <c r="D1302" s="239" t="s">
        <v>2881</v>
      </c>
      <c r="E1302" s="239" t="s">
        <v>791</v>
      </c>
      <c r="F1302" s="239" t="s">
        <v>792</v>
      </c>
      <c r="G1302" s="239" t="s">
        <v>951</v>
      </c>
      <c r="H1302" s="239" t="s">
        <v>51</v>
      </c>
      <c r="I1302" s="239" t="s">
        <v>2882</v>
      </c>
      <c r="J1302" s="234">
        <v>38680</v>
      </c>
      <c r="K1302" s="234">
        <v>15130</v>
      </c>
      <c r="L1302" s="242">
        <v>5</v>
      </c>
      <c r="M1302" s="234">
        <v>23550</v>
      </c>
      <c r="N1302" s="234">
        <v>22372.5</v>
      </c>
      <c r="O1302" s="243" t="s">
        <v>3506</v>
      </c>
      <c r="P1302" s="236">
        <v>45961</v>
      </c>
    </row>
    <row r="1303" spans="1:16" ht="51" customHeight="1">
      <c r="A1303" s="239" t="s">
        <v>3490</v>
      </c>
      <c r="B1303" s="240">
        <v>2811</v>
      </c>
      <c r="C1303" s="241">
        <v>230</v>
      </c>
      <c r="D1303" s="239" t="s">
        <v>2881</v>
      </c>
      <c r="E1303" s="239" t="s">
        <v>382</v>
      </c>
      <c r="F1303" s="239" t="s">
        <v>383</v>
      </c>
      <c r="G1303" s="239" t="s">
        <v>951</v>
      </c>
      <c r="H1303" s="239" t="s">
        <v>51</v>
      </c>
      <c r="I1303" s="239" t="s">
        <v>2882</v>
      </c>
      <c r="J1303" s="234">
        <v>36090</v>
      </c>
      <c r="K1303" s="234">
        <v>15050</v>
      </c>
      <c r="L1303" s="242">
        <v>6</v>
      </c>
      <c r="M1303" s="234">
        <v>21040</v>
      </c>
      <c r="N1303" s="234">
        <v>19777.599999999999</v>
      </c>
      <c r="O1303" s="243" t="s">
        <v>3507</v>
      </c>
      <c r="P1303" s="236">
        <v>45961</v>
      </c>
    </row>
    <row r="1304" spans="1:16" ht="51" customHeight="1">
      <c r="A1304" s="239" t="s">
        <v>3491</v>
      </c>
      <c r="B1304" s="240">
        <v>2812</v>
      </c>
      <c r="C1304" s="241">
        <v>231</v>
      </c>
      <c r="D1304" s="239" t="s">
        <v>2881</v>
      </c>
      <c r="E1304" s="239" t="s">
        <v>400</v>
      </c>
      <c r="F1304" s="239" t="s">
        <v>401</v>
      </c>
      <c r="G1304" s="239" t="s">
        <v>951</v>
      </c>
      <c r="H1304" s="239" t="s">
        <v>51</v>
      </c>
      <c r="I1304" s="239" t="s">
        <v>2882</v>
      </c>
      <c r="J1304" s="234">
        <v>39020</v>
      </c>
      <c r="K1304" s="234">
        <v>15140</v>
      </c>
      <c r="L1304" s="242">
        <v>8</v>
      </c>
      <c r="M1304" s="234">
        <v>23880</v>
      </c>
      <c r="N1304" s="234">
        <v>21969.599999999999</v>
      </c>
      <c r="O1304" s="243" t="s">
        <v>3508</v>
      </c>
      <c r="P1304" s="236">
        <v>45961</v>
      </c>
    </row>
    <row r="1305" spans="1:16" ht="51" customHeight="1">
      <c r="A1305" s="239" t="s">
        <v>3492</v>
      </c>
      <c r="B1305" s="240">
        <v>2813</v>
      </c>
      <c r="C1305" s="241">
        <v>232</v>
      </c>
      <c r="D1305" s="239" t="s">
        <v>2881</v>
      </c>
      <c r="E1305" s="239" t="s">
        <v>403</v>
      </c>
      <c r="F1305" s="239" t="s">
        <v>404</v>
      </c>
      <c r="G1305" s="239" t="s">
        <v>951</v>
      </c>
      <c r="H1305" s="239" t="s">
        <v>51</v>
      </c>
      <c r="I1305" s="239" t="s">
        <v>2882</v>
      </c>
      <c r="J1305" s="234">
        <v>38890</v>
      </c>
      <c r="K1305" s="234">
        <v>14750</v>
      </c>
      <c r="L1305" s="242">
        <v>14</v>
      </c>
      <c r="M1305" s="234">
        <v>24140</v>
      </c>
      <c r="N1305" s="234">
        <v>20760.400000000001</v>
      </c>
      <c r="O1305" s="243" t="s">
        <v>3509</v>
      </c>
      <c r="P1305" s="236">
        <v>45961</v>
      </c>
    </row>
    <row r="1306" spans="1:16" ht="51" customHeight="1">
      <c r="A1306" s="239" t="s">
        <v>3493</v>
      </c>
      <c r="B1306" s="240">
        <v>2816</v>
      </c>
      <c r="C1306" s="241">
        <v>233</v>
      </c>
      <c r="D1306" s="239" t="s">
        <v>2881</v>
      </c>
      <c r="E1306" s="239" t="s">
        <v>406</v>
      </c>
      <c r="F1306" s="239" t="s">
        <v>407</v>
      </c>
      <c r="G1306" s="239" t="s">
        <v>951</v>
      </c>
      <c r="H1306" s="239" t="s">
        <v>51</v>
      </c>
      <c r="I1306" s="239" t="s">
        <v>2882</v>
      </c>
      <c r="J1306" s="234">
        <v>37530</v>
      </c>
      <c r="K1306" s="234">
        <v>15190</v>
      </c>
      <c r="L1306" s="242">
        <v>17</v>
      </c>
      <c r="M1306" s="234">
        <v>22340</v>
      </c>
      <c r="N1306" s="234">
        <v>18542.2</v>
      </c>
      <c r="O1306" s="243" t="s">
        <v>3510</v>
      </c>
      <c r="P1306" s="236">
        <v>45961</v>
      </c>
    </row>
    <row r="1307" spans="1:16" ht="51" customHeight="1">
      <c r="A1307" s="239" t="s">
        <v>3494</v>
      </c>
      <c r="B1307" s="240">
        <v>2817</v>
      </c>
      <c r="C1307" s="241">
        <v>234</v>
      </c>
      <c r="D1307" s="239" t="s">
        <v>2881</v>
      </c>
      <c r="E1307" s="239" t="s">
        <v>442</v>
      </c>
      <c r="F1307" s="239" t="s">
        <v>443</v>
      </c>
      <c r="G1307" s="239" t="s">
        <v>951</v>
      </c>
      <c r="H1307" s="239" t="s">
        <v>51</v>
      </c>
      <c r="I1307" s="239" t="s">
        <v>2882</v>
      </c>
      <c r="J1307" s="234">
        <v>34350</v>
      </c>
      <c r="K1307" s="234">
        <v>14680</v>
      </c>
      <c r="L1307" s="242">
        <v>29</v>
      </c>
      <c r="M1307" s="234">
        <v>19670</v>
      </c>
      <c r="N1307" s="234">
        <v>13965.7</v>
      </c>
      <c r="O1307" s="243" t="s">
        <v>3511</v>
      </c>
      <c r="P1307" s="236">
        <v>45961</v>
      </c>
    </row>
    <row r="1308" spans="1:16" ht="51" customHeight="1">
      <c r="A1308" s="239" t="s">
        <v>3495</v>
      </c>
      <c r="B1308" s="240">
        <v>2818</v>
      </c>
      <c r="C1308" s="241">
        <v>235</v>
      </c>
      <c r="D1308" s="239" t="s">
        <v>2881</v>
      </c>
      <c r="E1308" s="239" t="s">
        <v>374</v>
      </c>
      <c r="F1308" s="239" t="s">
        <v>375</v>
      </c>
      <c r="G1308" s="239" t="s">
        <v>951</v>
      </c>
      <c r="H1308" s="239" t="s">
        <v>51</v>
      </c>
      <c r="I1308" s="239" t="s">
        <v>2882</v>
      </c>
      <c r="J1308" s="234">
        <v>38830</v>
      </c>
      <c r="K1308" s="234">
        <v>15730</v>
      </c>
      <c r="L1308" s="242">
        <v>5</v>
      </c>
      <c r="M1308" s="234">
        <v>23100</v>
      </c>
      <c r="N1308" s="234">
        <v>21945</v>
      </c>
      <c r="O1308" s="243" t="s">
        <v>3512</v>
      </c>
      <c r="P1308" s="236">
        <v>45961</v>
      </c>
    </row>
    <row r="1309" spans="1:16" ht="51" customHeight="1">
      <c r="A1309" s="239" t="s">
        <v>3496</v>
      </c>
      <c r="B1309" s="240">
        <v>2820</v>
      </c>
      <c r="C1309" s="241">
        <v>236</v>
      </c>
      <c r="D1309" s="239" t="s">
        <v>2881</v>
      </c>
      <c r="E1309" s="239" t="s">
        <v>447</v>
      </c>
      <c r="F1309" s="239" t="s">
        <v>448</v>
      </c>
      <c r="G1309" s="239" t="s">
        <v>951</v>
      </c>
      <c r="H1309" s="239" t="s">
        <v>51</v>
      </c>
      <c r="I1309" s="239" t="s">
        <v>2882</v>
      </c>
      <c r="J1309" s="234">
        <v>50150</v>
      </c>
      <c r="K1309" s="234">
        <v>19580</v>
      </c>
      <c r="L1309" s="242">
        <v>8</v>
      </c>
      <c r="M1309" s="234">
        <v>30570</v>
      </c>
      <c r="N1309" s="234">
        <v>28124.400000000001</v>
      </c>
      <c r="O1309" s="243" t="s">
        <v>3513</v>
      </c>
      <c r="P1309" s="236">
        <v>45961</v>
      </c>
    </row>
    <row r="1310" spans="1:16" ht="51" customHeight="1">
      <c r="A1310" s="239" t="s">
        <v>3497</v>
      </c>
      <c r="B1310" s="240">
        <v>2821</v>
      </c>
      <c r="C1310" s="241">
        <v>238</v>
      </c>
      <c r="D1310" s="239" t="s">
        <v>2881</v>
      </c>
      <c r="E1310" s="239" t="s">
        <v>377</v>
      </c>
      <c r="F1310" s="239" t="s">
        <v>378</v>
      </c>
      <c r="G1310" s="239" t="s">
        <v>951</v>
      </c>
      <c r="H1310" s="239" t="s">
        <v>51</v>
      </c>
      <c r="I1310" s="239" t="s">
        <v>2882</v>
      </c>
      <c r="J1310" s="234">
        <v>42080</v>
      </c>
      <c r="K1310" s="234">
        <v>15350</v>
      </c>
      <c r="L1310" s="242">
        <v>8</v>
      </c>
      <c r="M1310" s="234">
        <v>26730</v>
      </c>
      <c r="N1310" s="234">
        <v>24591.599999999999</v>
      </c>
      <c r="O1310" s="243" t="s">
        <v>3514</v>
      </c>
      <c r="P1310" s="236">
        <v>45961</v>
      </c>
    </row>
    <row r="1311" spans="1:16" ht="51" customHeight="1">
      <c r="A1311" s="239" t="s">
        <v>3498</v>
      </c>
      <c r="B1311" s="240">
        <v>2822</v>
      </c>
      <c r="C1311" s="241">
        <v>237</v>
      </c>
      <c r="D1311" s="239" t="s">
        <v>2881</v>
      </c>
      <c r="E1311" s="239" t="s">
        <v>388</v>
      </c>
      <c r="F1311" s="239" t="s">
        <v>389</v>
      </c>
      <c r="G1311" s="239" t="s">
        <v>951</v>
      </c>
      <c r="H1311" s="239" t="s">
        <v>51</v>
      </c>
      <c r="I1311" s="239" t="s">
        <v>2882</v>
      </c>
      <c r="J1311" s="234">
        <v>62880</v>
      </c>
      <c r="K1311" s="234">
        <v>21410</v>
      </c>
      <c r="L1311" s="242">
        <v>9</v>
      </c>
      <c r="M1311" s="234">
        <v>41470</v>
      </c>
      <c r="N1311" s="234">
        <v>37737.699999999997</v>
      </c>
      <c r="O1311" s="243" t="s">
        <v>3515</v>
      </c>
      <c r="P1311" s="236">
        <v>45961</v>
      </c>
    </row>
    <row r="1312" spans="1:16" ht="51" customHeight="1">
      <c r="A1312" s="239" t="s">
        <v>3499</v>
      </c>
      <c r="B1312" s="240">
        <v>2823</v>
      </c>
      <c r="C1312" s="241">
        <v>239</v>
      </c>
      <c r="D1312" s="239" t="s">
        <v>2881</v>
      </c>
      <c r="E1312" s="239" t="s">
        <v>432</v>
      </c>
      <c r="F1312" s="239" t="s">
        <v>433</v>
      </c>
      <c r="G1312" s="239" t="s">
        <v>951</v>
      </c>
      <c r="H1312" s="239" t="s">
        <v>51</v>
      </c>
      <c r="I1312" s="239" t="s">
        <v>2882</v>
      </c>
      <c r="J1312" s="234">
        <v>44970</v>
      </c>
      <c r="K1312" s="234">
        <v>15990</v>
      </c>
      <c r="L1312" s="242">
        <v>13</v>
      </c>
      <c r="M1312" s="234">
        <v>28980</v>
      </c>
      <c r="N1312" s="234">
        <v>25212.6</v>
      </c>
      <c r="O1312" s="243" t="s">
        <v>3516</v>
      </c>
      <c r="P1312" s="236">
        <v>45961</v>
      </c>
    </row>
    <row r="1313" spans="1:16" ht="51" customHeight="1">
      <c r="A1313" s="239" t="s">
        <v>3500</v>
      </c>
      <c r="B1313" s="240">
        <v>2824</v>
      </c>
      <c r="C1313" s="241">
        <v>240</v>
      </c>
      <c r="D1313" s="239" t="s">
        <v>2881</v>
      </c>
      <c r="E1313" s="239" t="s">
        <v>413</v>
      </c>
      <c r="F1313" s="239" t="s">
        <v>414</v>
      </c>
      <c r="G1313" s="239" t="s">
        <v>951</v>
      </c>
      <c r="H1313" s="239" t="s">
        <v>51</v>
      </c>
      <c r="I1313" s="239" t="s">
        <v>2882</v>
      </c>
      <c r="J1313" s="234">
        <v>44250</v>
      </c>
      <c r="K1313" s="234">
        <v>15310</v>
      </c>
      <c r="L1313" s="242">
        <v>7</v>
      </c>
      <c r="M1313" s="234">
        <v>28940</v>
      </c>
      <c r="N1313" s="234">
        <v>26914.2</v>
      </c>
      <c r="O1313" s="243" t="s">
        <v>3517</v>
      </c>
      <c r="P1313" s="236">
        <v>45961</v>
      </c>
    </row>
    <row r="1314" spans="1:16" ht="51" customHeight="1">
      <c r="A1314" s="239" t="s">
        <v>3501</v>
      </c>
      <c r="B1314" s="240">
        <v>2825</v>
      </c>
      <c r="C1314" s="241">
        <v>241</v>
      </c>
      <c r="D1314" s="239" t="s">
        <v>2881</v>
      </c>
      <c r="E1314" s="239" t="s">
        <v>429</v>
      </c>
      <c r="F1314" s="239" t="s">
        <v>430</v>
      </c>
      <c r="G1314" s="239" t="s">
        <v>951</v>
      </c>
      <c r="H1314" s="239" t="s">
        <v>51</v>
      </c>
      <c r="I1314" s="239" t="s">
        <v>2882</v>
      </c>
      <c r="J1314" s="234">
        <v>42810</v>
      </c>
      <c r="K1314" s="234">
        <v>14590</v>
      </c>
      <c r="L1314" s="242">
        <v>4</v>
      </c>
      <c r="M1314" s="234">
        <v>28220</v>
      </c>
      <c r="N1314" s="234">
        <v>27091.200000000001</v>
      </c>
      <c r="O1314" s="243" t="s">
        <v>3518</v>
      </c>
      <c r="P1314" s="236">
        <v>45961</v>
      </c>
    </row>
    <row r="1315" spans="1:16" ht="51" customHeight="1">
      <c r="A1315" s="239" t="s">
        <v>3502</v>
      </c>
      <c r="B1315" s="240">
        <v>2826</v>
      </c>
      <c r="C1315" s="241">
        <v>242</v>
      </c>
      <c r="D1315" s="239" t="s">
        <v>2881</v>
      </c>
      <c r="E1315" s="239" t="s">
        <v>439</v>
      </c>
      <c r="F1315" s="239" t="s">
        <v>440</v>
      </c>
      <c r="G1315" s="239" t="s">
        <v>951</v>
      </c>
      <c r="H1315" s="239" t="s">
        <v>51</v>
      </c>
      <c r="I1315" s="239" t="s">
        <v>2882</v>
      </c>
      <c r="J1315" s="234">
        <v>44670</v>
      </c>
      <c r="K1315" s="234">
        <v>15410</v>
      </c>
      <c r="L1315" s="242">
        <v>13</v>
      </c>
      <c r="M1315" s="234">
        <v>29260</v>
      </c>
      <c r="N1315" s="234">
        <v>25456.2</v>
      </c>
      <c r="O1315" s="243" t="s">
        <v>3519</v>
      </c>
      <c r="P1315" s="236">
        <v>45961</v>
      </c>
    </row>
    <row r="1316" spans="1:16" ht="51" customHeight="1">
      <c r="A1316" s="239" t="s">
        <v>3503</v>
      </c>
      <c r="B1316" s="240">
        <v>2828</v>
      </c>
      <c r="C1316" s="241">
        <v>244</v>
      </c>
      <c r="D1316" s="239" t="s">
        <v>2881</v>
      </c>
      <c r="E1316" s="239" t="s">
        <v>1410</v>
      </c>
      <c r="F1316" s="239" t="s">
        <v>437</v>
      </c>
      <c r="G1316" s="239" t="s">
        <v>951</v>
      </c>
      <c r="H1316" s="239" t="s">
        <v>51</v>
      </c>
      <c r="I1316" s="239" t="s">
        <v>2882</v>
      </c>
      <c r="J1316" s="234">
        <v>42230</v>
      </c>
      <c r="K1316" s="234">
        <v>15100</v>
      </c>
      <c r="L1316" s="242">
        <v>9</v>
      </c>
      <c r="M1316" s="234">
        <v>27130</v>
      </c>
      <c r="N1316" s="234">
        <v>24688.3</v>
      </c>
      <c r="O1316" s="243" t="s">
        <v>3520</v>
      </c>
      <c r="P1316" s="236">
        <v>45961</v>
      </c>
    </row>
    <row r="1317" spans="1:16" ht="51" customHeight="1">
      <c r="A1317" s="239" t="s">
        <v>3504</v>
      </c>
      <c r="B1317" s="240">
        <v>2827</v>
      </c>
      <c r="C1317" s="241">
        <v>243</v>
      </c>
      <c r="D1317" s="239" t="s">
        <v>2881</v>
      </c>
      <c r="E1317" s="239" t="s">
        <v>456</v>
      </c>
      <c r="F1317" s="239" t="s">
        <v>457</v>
      </c>
      <c r="G1317" s="239" t="s">
        <v>951</v>
      </c>
      <c r="H1317" s="239" t="s">
        <v>51</v>
      </c>
      <c r="I1317" s="239" t="s">
        <v>2882</v>
      </c>
      <c r="J1317" s="234">
        <v>47460</v>
      </c>
      <c r="K1317" s="234">
        <v>16110</v>
      </c>
      <c r="L1317" s="242">
        <v>8</v>
      </c>
      <c r="M1317" s="234">
        <v>31350</v>
      </c>
      <c r="N1317" s="234">
        <v>28842</v>
      </c>
      <c r="O1317" s="243" t="s">
        <v>3521</v>
      </c>
      <c r="P1317" s="236">
        <v>45961</v>
      </c>
    </row>
    <row r="1318" spans="1:16" ht="51" customHeight="1">
      <c r="A1318" s="239" t="s">
        <v>3505</v>
      </c>
      <c r="B1318" s="240">
        <v>2829</v>
      </c>
      <c r="C1318" s="241">
        <v>246</v>
      </c>
      <c r="D1318" s="239" t="s">
        <v>2881</v>
      </c>
      <c r="E1318" s="239" t="s">
        <v>453</v>
      </c>
      <c r="F1318" s="239" t="s">
        <v>454</v>
      </c>
      <c r="G1318" s="239" t="s">
        <v>951</v>
      </c>
      <c r="H1318" s="239" t="s">
        <v>51</v>
      </c>
      <c r="I1318" s="239" t="s">
        <v>2882</v>
      </c>
      <c r="J1318" s="234">
        <v>65660</v>
      </c>
      <c r="K1318" s="234">
        <v>24820</v>
      </c>
      <c r="L1318" s="242">
        <v>10</v>
      </c>
      <c r="M1318" s="234">
        <v>40840</v>
      </c>
      <c r="N1318" s="234">
        <v>36756</v>
      </c>
      <c r="O1318" s="243" t="s">
        <v>3522</v>
      </c>
      <c r="P1318" s="236">
        <v>45961</v>
      </c>
    </row>
    <row r="1319" spans="1:16" ht="51" customHeight="1">
      <c r="A1319" s="239" t="s">
        <v>3523</v>
      </c>
      <c r="B1319" s="240">
        <v>2830</v>
      </c>
      <c r="C1319" s="241">
        <v>245</v>
      </c>
      <c r="D1319" s="239" t="s">
        <v>2881</v>
      </c>
      <c r="E1319" s="239" t="s">
        <v>841</v>
      </c>
      <c r="F1319" s="239" t="s">
        <v>845</v>
      </c>
      <c r="G1319" s="239" t="s">
        <v>951</v>
      </c>
      <c r="H1319" s="239" t="s">
        <v>51</v>
      </c>
      <c r="I1319" s="239" t="s">
        <v>2882</v>
      </c>
      <c r="J1319" s="234">
        <v>43100</v>
      </c>
      <c r="K1319" s="234">
        <v>15930</v>
      </c>
      <c r="L1319" s="242">
        <v>11</v>
      </c>
      <c r="M1319" s="234">
        <v>27170</v>
      </c>
      <c r="N1319" s="234">
        <v>24181.3</v>
      </c>
      <c r="O1319" s="243" t="s">
        <v>3526</v>
      </c>
      <c r="P1319" s="236">
        <v>45962</v>
      </c>
    </row>
    <row r="1320" spans="1:16" ht="51" customHeight="1">
      <c r="A1320" s="239" t="s">
        <v>3524</v>
      </c>
      <c r="B1320" s="240">
        <v>2831</v>
      </c>
      <c r="C1320" s="241">
        <v>247</v>
      </c>
      <c r="D1320" s="239" t="s">
        <v>2881</v>
      </c>
      <c r="E1320" s="239" t="s">
        <v>783</v>
      </c>
      <c r="F1320" s="239" t="s">
        <v>784</v>
      </c>
      <c r="G1320" s="239" t="s">
        <v>951</v>
      </c>
      <c r="H1320" s="239" t="s">
        <v>51</v>
      </c>
      <c r="I1320" s="239" t="s">
        <v>2882</v>
      </c>
      <c r="J1320" s="234">
        <v>39120</v>
      </c>
      <c r="K1320" s="234">
        <v>14840</v>
      </c>
      <c r="L1320" s="242">
        <v>23</v>
      </c>
      <c r="M1320" s="234">
        <v>24280</v>
      </c>
      <c r="N1320" s="234">
        <v>18695.599999999999</v>
      </c>
      <c r="O1320" s="243" t="s">
        <v>3527</v>
      </c>
      <c r="P1320" s="236">
        <v>45962</v>
      </c>
    </row>
    <row r="1321" spans="1:16" ht="51" customHeight="1">
      <c r="A1321" s="239" t="s">
        <v>3525</v>
      </c>
      <c r="B1321" s="240">
        <v>2832</v>
      </c>
      <c r="C1321" s="241">
        <v>248</v>
      </c>
      <c r="D1321" s="239" t="s">
        <v>2881</v>
      </c>
      <c r="E1321" s="239" t="s">
        <v>786</v>
      </c>
      <c r="F1321" s="239" t="s">
        <v>787</v>
      </c>
      <c r="G1321" s="239" t="s">
        <v>951</v>
      </c>
      <c r="H1321" s="239" t="s">
        <v>51</v>
      </c>
      <c r="I1321" s="239" t="s">
        <v>2882</v>
      </c>
      <c r="J1321" s="234">
        <v>35970</v>
      </c>
      <c r="K1321" s="234">
        <v>14040</v>
      </c>
      <c r="L1321" s="242">
        <v>12</v>
      </c>
      <c r="M1321" s="234">
        <v>21930</v>
      </c>
      <c r="N1321" s="234">
        <v>19298.400000000001</v>
      </c>
      <c r="O1321" s="243" t="s">
        <v>3528</v>
      </c>
      <c r="P1321" s="236">
        <v>45962</v>
      </c>
    </row>
    <row r="1322" spans="1:16" ht="51" customHeight="1">
      <c r="A1322" s="239" t="s">
        <v>3529</v>
      </c>
      <c r="B1322" s="240">
        <v>2833</v>
      </c>
      <c r="C1322" s="241">
        <v>250</v>
      </c>
      <c r="D1322" s="239" t="s">
        <v>2881</v>
      </c>
      <c r="E1322" s="239" t="s">
        <v>372</v>
      </c>
      <c r="F1322" s="239" t="s">
        <v>373</v>
      </c>
      <c r="G1322" s="239" t="s">
        <v>957</v>
      </c>
      <c r="H1322" s="239" t="s">
        <v>51</v>
      </c>
      <c r="I1322" s="239" t="s">
        <v>2882</v>
      </c>
      <c r="J1322" s="234">
        <v>37510</v>
      </c>
      <c r="K1322" s="234">
        <v>15240</v>
      </c>
      <c r="L1322" s="242">
        <v>8</v>
      </c>
      <c r="M1322" s="234">
        <v>22270</v>
      </c>
      <c r="N1322" s="234">
        <v>20488.400000000001</v>
      </c>
      <c r="O1322" s="243" t="s">
        <v>3531</v>
      </c>
      <c r="P1322" s="236">
        <v>45962</v>
      </c>
    </row>
    <row r="1323" spans="1:16" ht="51" customHeight="1">
      <c r="A1323" s="239" t="s">
        <v>3530</v>
      </c>
      <c r="B1323" s="240">
        <v>2834</v>
      </c>
      <c r="C1323" s="241">
        <v>249</v>
      </c>
      <c r="D1323" s="239" t="s">
        <v>2881</v>
      </c>
      <c r="E1323" s="239" t="s">
        <v>380</v>
      </c>
      <c r="F1323" s="239" t="s">
        <v>381</v>
      </c>
      <c r="G1323" s="239" t="s">
        <v>957</v>
      </c>
      <c r="H1323" s="239" t="s">
        <v>51</v>
      </c>
      <c r="I1323" s="239" t="s">
        <v>2882</v>
      </c>
      <c r="J1323" s="234">
        <v>39390</v>
      </c>
      <c r="K1323" s="234">
        <v>15220</v>
      </c>
      <c r="L1323" s="242">
        <v>18</v>
      </c>
      <c r="M1323" s="234">
        <v>24170</v>
      </c>
      <c r="N1323" s="234">
        <v>19819.400000000001</v>
      </c>
      <c r="O1323" s="243" t="s">
        <v>3532</v>
      </c>
      <c r="P1323" s="236">
        <v>45962</v>
      </c>
    </row>
    <row r="1324" spans="1:16" ht="51" customHeight="1">
      <c r="A1324" s="239" t="s">
        <v>3538</v>
      </c>
      <c r="B1324" s="240">
        <v>2836</v>
      </c>
      <c r="C1324" s="241">
        <v>252</v>
      </c>
      <c r="D1324" s="239" t="s">
        <v>2881</v>
      </c>
      <c r="E1324" s="239" t="s">
        <v>369</v>
      </c>
      <c r="F1324" s="239" t="s">
        <v>370</v>
      </c>
      <c r="G1324" s="239" t="s">
        <v>957</v>
      </c>
      <c r="H1324" s="239" t="s">
        <v>51</v>
      </c>
      <c r="I1324" s="239" t="s">
        <v>2882</v>
      </c>
      <c r="J1324" s="234">
        <v>39980</v>
      </c>
      <c r="K1324" s="234">
        <v>15310</v>
      </c>
      <c r="L1324" s="242">
        <v>12</v>
      </c>
      <c r="M1324" s="234">
        <v>24670</v>
      </c>
      <c r="N1324" s="234">
        <v>21709.599999999999</v>
      </c>
      <c r="O1324" s="243" t="s">
        <v>3608</v>
      </c>
      <c r="P1324" s="236">
        <v>45962</v>
      </c>
    </row>
    <row r="1325" spans="1:16" ht="51" customHeight="1">
      <c r="A1325" s="239" t="s">
        <v>3539</v>
      </c>
      <c r="B1325" s="240">
        <v>2837</v>
      </c>
      <c r="C1325" s="241">
        <v>253</v>
      </c>
      <c r="D1325" s="239" t="s">
        <v>2881</v>
      </c>
      <c r="E1325" s="239" t="s">
        <v>416</v>
      </c>
      <c r="F1325" s="239" t="s">
        <v>417</v>
      </c>
      <c r="G1325" s="239" t="s">
        <v>957</v>
      </c>
      <c r="H1325" s="239" t="s">
        <v>51</v>
      </c>
      <c r="I1325" s="239" t="s">
        <v>2882</v>
      </c>
      <c r="J1325" s="234">
        <v>39610</v>
      </c>
      <c r="K1325" s="234">
        <v>14920</v>
      </c>
      <c r="L1325" s="242">
        <v>14</v>
      </c>
      <c r="M1325" s="234">
        <v>24690</v>
      </c>
      <c r="N1325" s="234">
        <v>21233.4</v>
      </c>
      <c r="O1325" s="243" t="s">
        <v>3609</v>
      </c>
      <c r="P1325" s="236">
        <v>45962</v>
      </c>
    </row>
    <row r="1326" spans="1:16" ht="51" customHeight="1">
      <c r="A1326" s="239" t="s">
        <v>3540</v>
      </c>
      <c r="B1326" s="240">
        <v>2844</v>
      </c>
      <c r="C1326" s="241">
        <v>254</v>
      </c>
      <c r="D1326" s="239" t="s">
        <v>2881</v>
      </c>
      <c r="E1326" s="239" t="s">
        <v>791</v>
      </c>
      <c r="F1326" s="239" t="s">
        <v>792</v>
      </c>
      <c r="G1326" s="239" t="s">
        <v>957</v>
      </c>
      <c r="H1326" s="239" t="s">
        <v>51</v>
      </c>
      <c r="I1326" s="239" t="s">
        <v>2882</v>
      </c>
      <c r="J1326" s="234">
        <v>39820</v>
      </c>
      <c r="K1326" s="234">
        <v>15190</v>
      </c>
      <c r="L1326" s="242">
        <v>6</v>
      </c>
      <c r="M1326" s="234">
        <v>24630</v>
      </c>
      <c r="N1326" s="234">
        <v>23152.2</v>
      </c>
      <c r="O1326" s="243" t="s">
        <v>3610</v>
      </c>
      <c r="P1326" s="236">
        <v>45962</v>
      </c>
    </row>
    <row r="1327" spans="1:16" ht="51" customHeight="1">
      <c r="A1327" s="239" t="s">
        <v>3547</v>
      </c>
      <c r="B1327" s="240">
        <v>2842</v>
      </c>
      <c r="C1327" s="241">
        <v>255</v>
      </c>
      <c r="D1327" s="239" t="s">
        <v>2881</v>
      </c>
      <c r="E1327" s="239" t="s">
        <v>425</v>
      </c>
      <c r="F1327" s="239" t="s">
        <v>426</v>
      </c>
      <c r="G1327" s="239" t="s">
        <v>957</v>
      </c>
      <c r="H1327" s="239" t="s">
        <v>51</v>
      </c>
      <c r="I1327" s="239" t="s">
        <v>2882</v>
      </c>
      <c r="J1327" s="234">
        <v>51070</v>
      </c>
      <c r="K1327" s="234">
        <v>18870</v>
      </c>
      <c r="L1327" s="242">
        <v>10</v>
      </c>
      <c r="M1327" s="234">
        <v>32200</v>
      </c>
      <c r="N1327" s="234">
        <v>28980</v>
      </c>
      <c r="O1327" s="243" t="s">
        <v>3617</v>
      </c>
      <c r="P1327" s="236">
        <v>45962</v>
      </c>
    </row>
    <row r="1328" spans="1:16" ht="51" customHeight="1">
      <c r="A1328" s="239" t="s">
        <v>3548</v>
      </c>
      <c r="B1328" s="240">
        <v>2846</v>
      </c>
      <c r="C1328" s="241">
        <v>256</v>
      </c>
      <c r="D1328" s="239" t="s">
        <v>2881</v>
      </c>
      <c r="E1328" s="239" t="s">
        <v>400</v>
      </c>
      <c r="F1328" s="239" t="s">
        <v>401</v>
      </c>
      <c r="G1328" s="239" t="s">
        <v>957</v>
      </c>
      <c r="H1328" s="239" t="s">
        <v>51</v>
      </c>
      <c r="I1328" s="239" t="s">
        <v>2882</v>
      </c>
      <c r="J1328" s="234">
        <v>40220</v>
      </c>
      <c r="K1328" s="234">
        <v>15070</v>
      </c>
      <c r="L1328" s="242">
        <v>13</v>
      </c>
      <c r="M1328" s="234">
        <v>25150</v>
      </c>
      <c r="N1328" s="234">
        <v>21880.5</v>
      </c>
      <c r="O1328" s="243" t="s">
        <v>3618</v>
      </c>
      <c r="P1328" s="236">
        <v>45962</v>
      </c>
    </row>
    <row r="1329" spans="1:16" ht="51" customHeight="1">
      <c r="A1329" s="239" t="s">
        <v>3551</v>
      </c>
      <c r="B1329" s="240">
        <v>2852</v>
      </c>
      <c r="C1329" s="241">
        <v>258</v>
      </c>
      <c r="D1329" s="239" t="s">
        <v>2881</v>
      </c>
      <c r="E1329" s="239" t="s">
        <v>390</v>
      </c>
      <c r="F1329" s="239" t="s">
        <v>391</v>
      </c>
      <c r="G1329" s="239" t="s">
        <v>957</v>
      </c>
      <c r="H1329" s="239" t="s">
        <v>51</v>
      </c>
      <c r="I1329" s="239" t="s">
        <v>2882</v>
      </c>
      <c r="J1329" s="234">
        <v>40860</v>
      </c>
      <c r="K1329" s="234">
        <v>15150</v>
      </c>
      <c r="L1329" s="242">
        <v>8</v>
      </c>
      <c r="M1329" s="234">
        <v>25710</v>
      </c>
      <c r="N1329" s="234">
        <v>23653.200000000001</v>
      </c>
      <c r="O1329" s="243" t="s">
        <v>3621</v>
      </c>
      <c r="P1329" s="236">
        <v>45962</v>
      </c>
    </row>
    <row r="1330" spans="1:16" ht="51" customHeight="1">
      <c r="A1330" s="239" t="s">
        <v>3552</v>
      </c>
      <c r="B1330" s="240">
        <v>2858</v>
      </c>
      <c r="C1330" s="241">
        <v>271</v>
      </c>
      <c r="D1330" s="239" t="s">
        <v>2881</v>
      </c>
      <c r="E1330" s="239" t="s">
        <v>2053</v>
      </c>
      <c r="F1330" s="239" t="s">
        <v>2054</v>
      </c>
      <c r="G1330" s="239" t="s">
        <v>957</v>
      </c>
      <c r="H1330" s="239" t="s">
        <v>51</v>
      </c>
      <c r="I1330" s="239" t="s">
        <v>2882</v>
      </c>
      <c r="J1330" s="234">
        <v>29670</v>
      </c>
      <c r="K1330" s="234">
        <v>14320</v>
      </c>
      <c r="L1330" s="242">
        <v>10</v>
      </c>
      <c r="M1330" s="234">
        <v>15350</v>
      </c>
      <c r="N1330" s="234">
        <v>13815</v>
      </c>
      <c r="O1330" s="243" t="s">
        <v>3622</v>
      </c>
      <c r="P1330" s="236">
        <v>45962</v>
      </c>
    </row>
    <row r="1331" spans="1:16" ht="51" customHeight="1">
      <c r="A1331" s="239" t="s">
        <v>3557</v>
      </c>
      <c r="B1331" s="240">
        <v>2849</v>
      </c>
      <c r="C1331" s="241">
        <v>257</v>
      </c>
      <c r="D1331" s="239" t="s">
        <v>2881</v>
      </c>
      <c r="E1331" s="239" t="s">
        <v>392</v>
      </c>
      <c r="F1331" s="239" t="s">
        <v>393</v>
      </c>
      <c r="G1331" s="239" t="s">
        <v>957</v>
      </c>
      <c r="H1331" s="239" t="s">
        <v>51</v>
      </c>
      <c r="I1331" s="239" t="s">
        <v>2882</v>
      </c>
      <c r="J1331" s="234">
        <v>61960</v>
      </c>
      <c r="K1331" s="234">
        <v>24260</v>
      </c>
      <c r="L1331" s="242">
        <v>9</v>
      </c>
      <c r="M1331" s="234">
        <v>37700</v>
      </c>
      <c r="N1331" s="234">
        <v>34307</v>
      </c>
      <c r="O1331" s="243" t="s">
        <v>3627</v>
      </c>
      <c r="P1331" s="236">
        <v>45962</v>
      </c>
    </row>
    <row r="1332" spans="1:16" ht="51" customHeight="1">
      <c r="A1332" s="239" t="s">
        <v>3558</v>
      </c>
      <c r="B1332" s="240">
        <v>2853</v>
      </c>
      <c r="C1332" s="241">
        <v>259</v>
      </c>
      <c r="D1332" s="239" t="s">
        <v>2881</v>
      </c>
      <c r="E1332" s="239" t="s">
        <v>447</v>
      </c>
      <c r="F1332" s="239" t="s">
        <v>448</v>
      </c>
      <c r="G1332" s="239" t="s">
        <v>957</v>
      </c>
      <c r="H1332" s="239" t="s">
        <v>51</v>
      </c>
      <c r="I1332" s="239" t="s">
        <v>2882</v>
      </c>
      <c r="J1332" s="234">
        <v>52710</v>
      </c>
      <c r="K1332" s="234">
        <v>19690</v>
      </c>
      <c r="L1332" s="242">
        <v>8</v>
      </c>
      <c r="M1332" s="234">
        <v>33020</v>
      </c>
      <c r="N1332" s="234">
        <v>30378.400000000001</v>
      </c>
      <c r="O1332" s="243" t="s">
        <v>3628</v>
      </c>
      <c r="P1332" s="236">
        <v>45962</v>
      </c>
    </row>
    <row r="1333" spans="1:16" ht="51" customHeight="1">
      <c r="A1333" s="239" t="s">
        <v>3541</v>
      </c>
      <c r="B1333" s="240">
        <v>2854</v>
      </c>
      <c r="C1333" s="241">
        <v>260</v>
      </c>
      <c r="D1333" s="239" t="s">
        <v>2881</v>
      </c>
      <c r="E1333" s="239" t="s">
        <v>858</v>
      </c>
      <c r="F1333" s="239" t="s">
        <v>859</v>
      </c>
      <c r="G1333" s="239" t="s">
        <v>957</v>
      </c>
      <c r="H1333" s="239" t="s">
        <v>51</v>
      </c>
      <c r="I1333" s="239" t="s">
        <v>2882</v>
      </c>
      <c r="J1333" s="234">
        <v>42170</v>
      </c>
      <c r="K1333" s="234">
        <v>15200</v>
      </c>
      <c r="L1333" s="242">
        <v>8</v>
      </c>
      <c r="M1333" s="234">
        <v>26970</v>
      </c>
      <c r="N1333" s="234">
        <v>24812.400000000001</v>
      </c>
      <c r="O1333" s="243" t="s">
        <v>3611</v>
      </c>
      <c r="P1333" s="236">
        <v>45962</v>
      </c>
    </row>
    <row r="1334" spans="1:16" ht="51" customHeight="1">
      <c r="A1334" s="239" t="s">
        <v>3542</v>
      </c>
      <c r="B1334" s="240">
        <v>2855</v>
      </c>
      <c r="C1334" s="241">
        <v>261</v>
      </c>
      <c r="D1334" s="239" t="s">
        <v>2881</v>
      </c>
      <c r="E1334" s="239" t="s">
        <v>432</v>
      </c>
      <c r="F1334" s="239" t="s">
        <v>433</v>
      </c>
      <c r="G1334" s="239" t="s">
        <v>957</v>
      </c>
      <c r="H1334" s="239" t="s">
        <v>51</v>
      </c>
      <c r="I1334" s="239" t="s">
        <v>2882</v>
      </c>
      <c r="J1334" s="234">
        <v>43170</v>
      </c>
      <c r="K1334" s="234">
        <v>15860</v>
      </c>
      <c r="L1334" s="242">
        <v>8</v>
      </c>
      <c r="M1334" s="234">
        <v>27310</v>
      </c>
      <c r="N1334" s="234">
        <v>25125.200000000001</v>
      </c>
      <c r="O1334" s="243" t="s">
        <v>3612</v>
      </c>
      <c r="P1334" s="236">
        <v>45962</v>
      </c>
    </row>
    <row r="1335" spans="1:16" ht="51" customHeight="1">
      <c r="A1335" s="239" t="s">
        <v>3543</v>
      </c>
      <c r="B1335" s="240">
        <v>2856</v>
      </c>
      <c r="C1335" s="241">
        <v>11480</v>
      </c>
      <c r="D1335" s="239" t="s">
        <v>2511</v>
      </c>
      <c r="E1335" s="239" t="s">
        <v>403</v>
      </c>
      <c r="F1335" s="239" t="s">
        <v>404</v>
      </c>
      <c r="G1335" s="239" t="s">
        <v>934</v>
      </c>
      <c r="H1335" s="239" t="s">
        <v>42</v>
      </c>
      <c r="I1335" s="239" t="s">
        <v>2512</v>
      </c>
      <c r="J1335" s="234">
        <v>40400</v>
      </c>
      <c r="K1335" s="234">
        <v>14630</v>
      </c>
      <c r="L1335" s="242">
        <v>15</v>
      </c>
      <c r="M1335" s="234">
        <v>25770</v>
      </c>
      <c r="N1335" s="234">
        <v>21904.5</v>
      </c>
      <c r="O1335" s="243" t="s">
        <v>3613</v>
      </c>
      <c r="P1335" s="236">
        <v>45962</v>
      </c>
    </row>
    <row r="1336" spans="1:16" ht="51" customHeight="1">
      <c r="A1336" s="239" t="s">
        <v>3544</v>
      </c>
      <c r="B1336" s="240">
        <v>2857</v>
      </c>
      <c r="C1336" s="241">
        <v>11482</v>
      </c>
      <c r="D1336" s="239" t="s">
        <v>2511</v>
      </c>
      <c r="E1336" s="239" t="s">
        <v>406</v>
      </c>
      <c r="F1336" s="239" t="s">
        <v>407</v>
      </c>
      <c r="G1336" s="239" t="s">
        <v>934</v>
      </c>
      <c r="H1336" s="239" t="s">
        <v>42</v>
      </c>
      <c r="I1336" s="239" t="s">
        <v>2512</v>
      </c>
      <c r="J1336" s="234">
        <v>41350</v>
      </c>
      <c r="K1336" s="234">
        <v>15130</v>
      </c>
      <c r="L1336" s="242">
        <v>8</v>
      </c>
      <c r="M1336" s="234">
        <v>26220</v>
      </c>
      <c r="N1336" s="234">
        <v>24122.400000000001</v>
      </c>
      <c r="O1336" s="243" t="s">
        <v>3614</v>
      </c>
      <c r="P1336" s="236">
        <v>45962</v>
      </c>
    </row>
    <row r="1337" spans="1:16" ht="51" customHeight="1">
      <c r="A1337" s="239" t="s">
        <v>3545</v>
      </c>
      <c r="B1337" s="240">
        <v>2859</v>
      </c>
      <c r="C1337" s="241">
        <v>11499</v>
      </c>
      <c r="D1337" s="239" t="s">
        <v>2511</v>
      </c>
      <c r="E1337" s="239" t="s">
        <v>377</v>
      </c>
      <c r="F1337" s="239" t="s">
        <v>378</v>
      </c>
      <c r="G1337" s="239" t="s">
        <v>934</v>
      </c>
      <c r="H1337" s="239" t="s">
        <v>42</v>
      </c>
      <c r="I1337" s="239" t="s">
        <v>2512</v>
      </c>
      <c r="J1337" s="234">
        <v>43770</v>
      </c>
      <c r="K1337" s="234">
        <v>15270</v>
      </c>
      <c r="L1337" s="242">
        <v>8</v>
      </c>
      <c r="M1337" s="234">
        <v>28500</v>
      </c>
      <c r="N1337" s="234">
        <v>26220</v>
      </c>
      <c r="O1337" s="243" t="s">
        <v>3615</v>
      </c>
      <c r="P1337" s="236">
        <v>45962</v>
      </c>
    </row>
    <row r="1338" spans="1:16" ht="51" customHeight="1">
      <c r="A1338" s="239" t="s">
        <v>3546</v>
      </c>
      <c r="B1338" s="240">
        <v>2860</v>
      </c>
      <c r="C1338" s="241">
        <v>263</v>
      </c>
      <c r="D1338" s="239" t="s">
        <v>2881</v>
      </c>
      <c r="E1338" s="239" t="s">
        <v>413</v>
      </c>
      <c r="F1338" s="239" t="s">
        <v>414</v>
      </c>
      <c r="G1338" s="239" t="s">
        <v>957</v>
      </c>
      <c r="H1338" s="239" t="s">
        <v>51</v>
      </c>
      <c r="I1338" s="239" t="s">
        <v>2882</v>
      </c>
      <c r="J1338" s="234">
        <v>44900</v>
      </c>
      <c r="K1338" s="234">
        <v>15130</v>
      </c>
      <c r="L1338" s="242">
        <v>15</v>
      </c>
      <c r="M1338" s="234">
        <v>29770</v>
      </c>
      <c r="N1338" s="234">
        <v>25304.5</v>
      </c>
      <c r="O1338" s="243" t="s">
        <v>3616</v>
      </c>
      <c r="P1338" s="236">
        <v>45962</v>
      </c>
    </row>
    <row r="1339" spans="1:16" ht="51" customHeight="1">
      <c r="A1339" s="239" t="s">
        <v>3537</v>
      </c>
      <c r="B1339" s="240">
        <v>2835</v>
      </c>
      <c r="C1339" s="241">
        <v>251</v>
      </c>
      <c r="D1339" s="239" t="s">
        <v>2881</v>
      </c>
      <c r="E1339" s="239" t="s">
        <v>866</v>
      </c>
      <c r="F1339" s="239" t="s">
        <v>867</v>
      </c>
      <c r="G1339" s="239" t="s">
        <v>957</v>
      </c>
      <c r="H1339" s="239" t="s">
        <v>51</v>
      </c>
      <c r="I1339" s="239" t="s">
        <v>2882</v>
      </c>
      <c r="J1339" s="234">
        <v>37990</v>
      </c>
      <c r="K1339" s="234">
        <v>14660</v>
      </c>
      <c r="L1339" s="242">
        <v>16</v>
      </c>
      <c r="M1339" s="234">
        <v>23330</v>
      </c>
      <c r="N1339" s="234">
        <v>19597.2</v>
      </c>
      <c r="O1339" s="243" t="s">
        <v>3607</v>
      </c>
      <c r="P1339" s="236">
        <v>45962</v>
      </c>
    </row>
    <row r="1340" spans="1:16" ht="51" customHeight="1">
      <c r="A1340" s="239" t="s">
        <v>3549</v>
      </c>
      <c r="B1340" s="240">
        <v>2861</v>
      </c>
      <c r="C1340" s="241">
        <v>262</v>
      </c>
      <c r="D1340" s="239" t="s">
        <v>2881</v>
      </c>
      <c r="E1340" s="239" t="s">
        <v>388</v>
      </c>
      <c r="F1340" s="239" t="s">
        <v>389</v>
      </c>
      <c r="G1340" s="239" t="s">
        <v>957</v>
      </c>
      <c r="H1340" s="239" t="s">
        <v>51</v>
      </c>
      <c r="I1340" s="239" t="s">
        <v>2882</v>
      </c>
      <c r="J1340" s="234">
        <v>63860</v>
      </c>
      <c r="K1340" s="234">
        <v>21510</v>
      </c>
      <c r="L1340" s="242">
        <v>10</v>
      </c>
      <c r="M1340" s="234">
        <v>42350</v>
      </c>
      <c r="N1340" s="234">
        <v>38115</v>
      </c>
      <c r="O1340" s="243" t="s">
        <v>3619</v>
      </c>
      <c r="P1340" s="236">
        <v>45962</v>
      </c>
    </row>
    <row r="1341" spans="1:16" ht="51" customHeight="1">
      <c r="A1341" s="239" t="s">
        <v>3550</v>
      </c>
      <c r="B1341" s="240">
        <v>2862</v>
      </c>
      <c r="C1341" s="241">
        <v>265</v>
      </c>
      <c r="D1341" s="239" t="s">
        <v>2881</v>
      </c>
      <c r="E1341" s="239" t="s">
        <v>439</v>
      </c>
      <c r="F1341" s="239" t="s">
        <v>440</v>
      </c>
      <c r="G1341" s="239" t="s">
        <v>957</v>
      </c>
      <c r="H1341" s="239" t="s">
        <v>51</v>
      </c>
      <c r="I1341" s="239" t="s">
        <v>2882</v>
      </c>
      <c r="J1341" s="234">
        <v>45950</v>
      </c>
      <c r="K1341" s="234">
        <v>15380</v>
      </c>
      <c r="L1341" s="242">
        <v>7</v>
      </c>
      <c r="M1341" s="234">
        <v>30570</v>
      </c>
      <c r="N1341" s="234">
        <v>28430.1</v>
      </c>
      <c r="O1341" s="243" t="s">
        <v>3620</v>
      </c>
      <c r="P1341" s="236">
        <v>45962</v>
      </c>
    </row>
    <row r="1342" spans="1:16" ht="51" customHeight="1">
      <c r="A1342" s="239" t="s">
        <v>3553</v>
      </c>
      <c r="B1342" s="240">
        <v>2864</v>
      </c>
      <c r="C1342" s="241">
        <v>264</v>
      </c>
      <c r="D1342" s="239" t="s">
        <v>2881</v>
      </c>
      <c r="E1342" s="239" t="s">
        <v>382</v>
      </c>
      <c r="F1342" s="239" t="s">
        <v>383</v>
      </c>
      <c r="G1342" s="239" t="s">
        <v>957</v>
      </c>
      <c r="H1342" s="239" t="s">
        <v>51</v>
      </c>
      <c r="I1342" s="239" t="s">
        <v>2882</v>
      </c>
      <c r="J1342" s="234">
        <v>38830</v>
      </c>
      <c r="K1342" s="234">
        <v>14970</v>
      </c>
      <c r="L1342" s="242">
        <v>11</v>
      </c>
      <c r="M1342" s="234">
        <v>23860</v>
      </c>
      <c r="N1342" s="234">
        <v>21235.4</v>
      </c>
      <c r="O1342" s="243" t="s">
        <v>3623</v>
      </c>
      <c r="P1342" s="236">
        <v>45962</v>
      </c>
    </row>
    <row r="1343" spans="1:16" ht="51" customHeight="1">
      <c r="A1343" s="239" t="s">
        <v>3554</v>
      </c>
      <c r="B1343" s="240">
        <v>2865</v>
      </c>
      <c r="C1343" s="241">
        <v>266</v>
      </c>
      <c r="D1343" s="239" t="s">
        <v>2881</v>
      </c>
      <c r="E1343" s="239" t="s">
        <v>456</v>
      </c>
      <c r="F1343" s="239" t="s">
        <v>457</v>
      </c>
      <c r="G1343" s="239" t="s">
        <v>957</v>
      </c>
      <c r="H1343" s="239" t="s">
        <v>51</v>
      </c>
      <c r="I1343" s="239" t="s">
        <v>2882</v>
      </c>
      <c r="J1343" s="234">
        <v>49030</v>
      </c>
      <c r="K1343" s="234">
        <v>16210</v>
      </c>
      <c r="L1343" s="242">
        <v>6</v>
      </c>
      <c r="M1343" s="234">
        <v>32820</v>
      </c>
      <c r="N1343" s="234">
        <v>30850.799999999999</v>
      </c>
      <c r="O1343" s="243" t="s">
        <v>3624</v>
      </c>
      <c r="P1343" s="236">
        <v>45962</v>
      </c>
    </row>
    <row r="1344" spans="1:16" ht="51" customHeight="1">
      <c r="A1344" s="239" t="s">
        <v>3555</v>
      </c>
      <c r="B1344" s="240">
        <v>2866</v>
      </c>
      <c r="C1344" s="241">
        <v>267</v>
      </c>
      <c r="D1344" s="239" t="s">
        <v>2881</v>
      </c>
      <c r="E1344" s="239" t="s">
        <v>1410</v>
      </c>
      <c r="F1344" s="239" t="s">
        <v>437</v>
      </c>
      <c r="G1344" s="239" t="s">
        <v>957</v>
      </c>
      <c r="H1344" s="239" t="s">
        <v>51</v>
      </c>
      <c r="I1344" s="239" t="s">
        <v>2882</v>
      </c>
      <c r="J1344" s="234">
        <v>41610</v>
      </c>
      <c r="K1344" s="234">
        <v>15010</v>
      </c>
      <c r="L1344" s="242">
        <v>10</v>
      </c>
      <c r="M1344" s="234">
        <v>26600</v>
      </c>
      <c r="N1344" s="234">
        <v>23940</v>
      </c>
      <c r="O1344" s="243" t="s">
        <v>3625</v>
      </c>
      <c r="P1344" s="236">
        <v>45962</v>
      </c>
    </row>
    <row r="1345" spans="1:16" ht="51" customHeight="1">
      <c r="A1345" s="239" t="s">
        <v>3556</v>
      </c>
      <c r="B1345" s="240">
        <v>2867</v>
      </c>
      <c r="C1345" s="241">
        <v>269</v>
      </c>
      <c r="D1345" s="239" t="s">
        <v>2881</v>
      </c>
      <c r="E1345" s="239" t="s">
        <v>841</v>
      </c>
      <c r="F1345" s="239" t="s">
        <v>845</v>
      </c>
      <c r="G1345" s="239" t="s">
        <v>957</v>
      </c>
      <c r="H1345" s="239" t="s">
        <v>51</v>
      </c>
      <c r="I1345" s="239" t="s">
        <v>2882</v>
      </c>
      <c r="J1345" s="234">
        <v>44800</v>
      </c>
      <c r="K1345" s="234">
        <v>16020</v>
      </c>
      <c r="L1345" s="242">
        <v>6</v>
      </c>
      <c r="M1345" s="234">
        <v>28780</v>
      </c>
      <c r="N1345" s="234">
        <v>27053.200000000001</v>
      </c>
      <c r="O1345" s="243" t="s">
        <v>3626</v>
      </c>
      <c r="P1345" s="236">
        <v>45962</v>
      </c>
    </row>
    <row r="1346" spans="1:16" ht="51" customHeight="1">
      <c r="A1346" s="239" t="s">
        <v>3559</v>
      </c>
      <c r="B1346" s="240">
        <v>2868</v>
      </c>
      <c r="C1346" s="241">
        <v>270</v>
      </c>
      <c r="D1346" s="239" t="s">
        <v>2881</v>
      </c>
      <c r="E1346" s="239" t="s">
        <v>783</v>
      </c>
      <c r="F1346" s="239" t="s">
        <v>784</v>
      </c>
      <c r="G1346" s="239" t="s">
        <v>957</v>
      </c>
      <c r="H1346" s="239" t="s">
        <v>51</v>
      </c>
      <c r="I1346" s="239" t="s">
        <v>2882</v>
      </c>
      <c r="J1346" s="234">
        <v>40230</v>
      </c>
      <c r="K1346" s="234">
        <v>14760</v>
      </c>
      <c r="L1346" s="242">
        <v>9</v>
      </c>
      <c r="M1346" s="234">
        <v>25470</v>
      </c>
      <c r="N1346" s="234">
        <v>23177.7</v>
      </c>
      <c r="O1346" s="243" t="s">
        <v>3629</v>
      </c>
      <c r="P1346" s="236">
        <v>45962</v>
      </c>
    </row>
    <row r="1347" spans="1:16" ht="51" customHeight="1">
      <c r="A1347" s="239" t="s">
        <v>3560</v>
      </c>
      <c r="B1347" s="240">
        <v>2869</v>
      </c>
      <c r="C1347" s="241">
        <v>274</v>
      </c>
      <c r="D1347" s="239" t="s">
        <v>2881</v>
      </c>
      <c r="E1347" s="239" t="s">
        <v>372</v>
      </c>
      <c r="F1347" s="239" t="s">
        <v>373</v>
      </c>
      <c r="G1347" s="239" t="s">
        <v>957</v>
      </c>
      <c r="H1347" s="239" t="s">
        <v>51</v>
      </c>
      <c r="I1347" s="239" t="s">
        <v>2882</v>
      </c>
      <c r="J1347" s="234">
        <v>40450</v>
      </c>
      <c r="K1347" s="234">
        <v>15080</v>
      </c>
      <c r="L1347" s="242">
        <v>31</v>
      </c>
      <c r="M1347" s="234">
        <v>25370</v>
      </c>
      <c r="N1347" s="234">
        <v>17505.3</v>
      </c>
      <c r="O1347" s="243" t="s">
        <v>3630</v>
      </c>
      <c r="P1347" s="236">
        <v>45962</v>
      </c>
    </row>
    <row r="1348" spans="1:16" ht="51" customHeight="1">
      <c r="A1348" s="239" t="s">
        <v>3569</v>
      </c>
      <c r="B1348" s="240">
        <v>2870</v>
      </c>
      <c r="C1348" s="241">
        <v>268</v>
      </c>
      <c r="D1348" s="239" t="s">
        <v>2881</v>
      </c>
      <c r="E1348" s="239" t="s">
        <v>453</v>
      </c>
      <c r="F1348" s="239" t="s">
        <v>454</v>
      </c>
      <c r="G1348" s="239" t="s">
        <v>957</v>
      </c>
      <c r="H1348" s="239" t="s">
        <v>51</v>
      </c>
      <c r="I1348" s="239" t="s">
        <v>2882</v>
      </c>
      <c r="J1348" s="234">
        <v>68260</v>
      </c>
      <c r="K1348" s="234">
        <v>24870</v>
      </c>
      <c r="L1348" s="242">
        <v>6</v>
      </c>
      <c r="M1348" s="234">
        <v>43390</v>
      </c>
      <c r="N1348" s="234">
        <v>40786.6</v>
      </c>
      <c r="O1348" s="243" t="s">
        <v>3639</v>
      </c>
      <c r="P1348" s="236">
        <v>45963</v>
      </c>
    </row>
    <row r="1349" spans="1:16" ht="51" customHeight="1">
      <c r="A1349" s="239" t="s">
        <v>3575</v>
      </c>
      <c r="B1349" s="240">
        <v>2871</v>
      </c>
      <c r="C1349" s="241">
        <v>273</v>
      </c>
      <c r="D1349" s="239" t="s">
        <v>2881</v>
      </c>
      <c r="E1349" s="239" t="s">
        <v>380</v>
      </c>
      <c r="F1349" s="239" t="s">
        <v>381</v>
      </c>
      <c r="G1349" s="239" t="s">
        <v>957</v>
      </c>
      <c r="H1349" s="239" t="s">
        <v>51</v>
      </c>
      <c r="I1349" s="239" t="s">
        <v>2882</v>
      </c>
      <c r="J1349" s="234">
        <v>41280</v>
      </c>
      <c r="K1349" s="234">
        <v>15280</v>
      </c>
      <c r="L1349" s="242">
        <v>7</v>
      </c>
      <c r="M1349" s="234">
        <v>26000</v>
      </c>
      <c r="N1349" s="234">
        <v>24180</v>
      </c>
      <c r="O1349" s="243" t="s">
        <v>3645</v>
      </c>
      <c r="P1349" s="236">
        <v>45963</v>
      </c>
    </row>
    <row r="1350" spans="1:16" ht="51" customHeight="1">
      <c r="A1350" s="239" t="s">
        <v>3576</v>
      </c>
      <c r="B1350" s="240">
        <v>2872</v>
      </c>
      <c r="C1350" s="241">
        <v>272</v>
      </c>
      <c r="D1350" s="239" t="s">
        <v>2881</v>
      </c>
      <c r="E1350" s="239" t="s">
        <v>786</v>
      </c>
      <c r="F1350" s="239" t="s">
        <v>787</v>
      </c>
      <c r="G1350" s="239" t="s">
        <v>957</v>
      </c>
      <c r="H1350" s="239" t="s">
        <v>51</v>
      </c>
      <c r="I1350" s="239" t="s">
        <v>2882</v>
      </c>
      <c r="J1350" s="234">
        <v>38420</v>
      </c>
      <c r="K1350" s="234">
        <v>14120</v>
      </c>
      <c r="L1350" s="242">
        <v>13</v>
      </c>
      <c r="M1350" s="234">
        <v>24300</v>
      </c>
      <c r="N1350" s="234">
        <v>21141</v>
      </c>
      <c r="O1350" s="243" t="s">
        <v>3646</v>
      </c>
      <c r="P1350" s="236">
        <v>45963</v>
      </c>
    </row>
    <row r="1351" spans="1:16" ht="51" customHeight="1">
      <c r="A1351" s="239" t="s">
        <v>3577</v>
      </c>
      <c r="B1351" s="240">
        <v>2874</v>
      </c>
      <c r="C1351" s="241">
        <v>276</v>
      </c>
      <c r="D1351" s="239" t="s">
        <v>2881</v>
      </c>
      <c r="E1351" s="239" t="s">
        <v>420</v>
      </c>
      <c r="F1351" s="239" t="s">
        <v>421</v>
      </c>
      <c r="G1351" s="239" t="s">
        <v>957</v>
      </c>
      <c r="H1351" s="239" t="s">
        <v>51</v>
      </c>
      <c r="I1351" s="239" t="s">
        <v>2882</v>
      </c>
      <c r="J1351" s="234">
        <v>38580</v>
      </c>
      <c r="K1351" s="234">
        <v>15060</v>
      </c>
      <c r="L1351" s="242">
        <v>24</v>
      </c>
      <c r="M1351" s="234">
        <v>23520</v>
      </c>
      <c r="N1351" s="234">
        <v>17875.2</v>
      </c>
      <c r="O1351" s="243" t="s">
        <v>3647</v>
      </c>
      <c r="P1351" s="236">
        <v>45963</v>
      </c>
    </row>
    <row r="1352" spans="1:16" ht="51" customHeight="1">
      <c r="A1352" s="239" t="s">
        <v>3578</v>
      </c>
      <c r="B1352" s="240">
        <v>2875</v>
      </c>
      <c r="C1352" s="241">
        <v>275</v>
      </c>
      <c r="D1352" s="239" t="s">
        <v>2881</v>
      </c>
      <c r="E1352" s="239" t="s">
        <v>416</v>
      </c>
      <c r="F1352" s="239" t="s">
        <v>417</v>
      </c>
      <c r="G1352" s="239" t="s">
        <v>957</v>
      </c>
      <c r="H1352" s="239" t="s">
        <v>51</v>
      </c>
      <c r="I1352" s="239" t="s">
        <v>2882</v>
      </c>
      <c r="J1352" s="234">
        <v>41060</v>
      </c>
      <c r="K1352" s="234">
        <v>15010</v>
      </c>
      <c r="L1352" s="242">
        <v>9</v>
      </c>
      <c r="M1352" s="234">
        <v>26050</v>
      </c>
      <c r="N1352" s="234">
        <v>23705.5</v>
      </c>
      <c r="O1352" s="243" t="s">
        <v>3648</v>
      </c>
      <c r="P1352" s="236">
        <v>45963</v>
      </c>
    </row>
    <row r="1353" spans="1:16" ht="51" customHeight="1">
      <c r="A1353" s="239" t="s">
        <v>3561</v>
      </c>
      <c r="B1353" s="240">
        <v>2873</v>
      </c>
      <c r="C1353" s="241">
        <v>279</v>
      </c>
      <c r="D1353" s="239" t="s">
        <v>2881</v>
      </c>
      <c r="E1353" s="239" t="s">
        <v>400</v>
      </c>
      <c r="F1353" s="239" t="s">
        <v>401</v>
      </c>
      <c r="G1353" s="239" t="s">
        <v>957</v>
      </c>
      <c r="H1353" s="239" t="s">
        <v>51</v>
      </c>
      <c r="I1353" s="239" t="s">
        <v>2882</v>
      </c>
      <c r="J1353" s="234">
        <v>40440</v>
      </c>
      <c r="K1353" s="234">
        <v>15020</v>
      </c>
      <c r="L1353" s="242">
        <v>23</v>
      </c>
      <c r="M1353" s="234">
        <v>25420</v>
      </c>
      <c r="N1353" s="234">
        <v>19573.400000000001</v>
      </c>
      <c r="O1353" s="243" t="s">
        <v>3631</v>
      </c>
      <c r="P1353" s="236">
        <v>45963</v>
      </c>
    </row>
    <row r="1354" spans="1:16" ht="51" customHeight="1">
      <c r="A1354" s="239" t="s">
        <v>3565</v>
      </c>
      <c r="B1354" s="240">
        <v>2881</v>
      </c>
      <c r="C1354" s="241">
        <v>277</v>
      </c>
      <c r="D1354" s="239" t="s">
        <v>2881</v>
      </c>
      <c r="E1354" s="239" t="s">
        <v>425</v>
      </c>
      <c r="F1354" s="239" t="s">
        <v>426</v>
      </c>
      <c r="G1354" s="239" t="s">
        <v>957</v>
      </c>
      <c r="H1354" s="239" t="s">
        <v>51</v>
      </c>
      <c r="I1354" s="239" t="s">
        <v>2882</v>
      </c>
      <c r="J1354" s="234">
        <v>51190</v>
      </c>
      <c r="K1354" s="234">
        <v>18780</v>
      </c>
      <c r="L1354" s="242">
        <v>8</v>
      </c>
      <c r="M1354" s="234">
        <v>32410</v>
      </c>
      <c r="N1354" s="234">
        <v>29817.200000000001</v>
      </c>
      <c r="O1354" s="243" t="s">
        <v>3635</v>
      </c>
      <c r="P1354" s="236">
        <v>45963</v>
      </c>
    </row>
    <row r="1355" spans="1:16" ht="51" customHeight="1">
      <c r="A1355" s="239" t="s">
        <v>3564</v>
      </c>
      <c r="B1355" s="240">
        <v>2880</v>
      </c>
      <c r="C1355" s="241">
        <v>278</v>
      </c>
      <c r="D1355" s="239" t="s">
        <v>2881</v>
      </c>
      <c r="E1355" s="239" t="s">
        <v>2793</v>
      </c>
      <c r="F1355" s="239" t="s">
        <v>2794</v>
      </c>
      <c r="G1355" s="239" t="s">
        <v>957</v>
      </c>
      <c r="H1355" s="239" t="s">
        <v>51</v>
      </c>
      <c r="I1355" s="239" t="s">
        <v>2882</v>
      </c>
      <c r="J1355" s="234">
        <v>48470</v>
      </c>
      <c r="K1355" s="234">
        <v>17490</v>
      </c>
      <c r="L1355" s="242">
        <v>11</v>
      </c>
      <c r="M1355" s="234">
        <v>30980</v>
      </c>
      <c r="N1355" s="234">
        <v>27572.2</v>
      </c>
      <c r="O1355" s="243" t="s">
        <v>3634</v>
      </c>
      <c r="P1355" s="236">
        <v>45963</v>
      </c>
    </row>
    <row r="1356" spans="1:16" ht="51" customHeight="1">
      <c r="A1356" s="239" t="s">
        <v>3566</v>
      </c>
      <c r="B1356" s="240">
        <v>2882</v>
      </c>
      <c r="C1356" s="241">
        <v>280</v>
      </c>
      <c r="D1356" s="239" t="s">
        <v>2881</v>
      </c>
      <c r="E1356" s="239" t="s">
        <v>447</v>
      </c>
      <c r="F1356" s="239" t="s">
        <v>448</v>
      </c>
      <c r="G1356" s="239" t="s">
        <v>957</v>
      </c>
      <c r="H1356" s="239" t="s">
        <v>51</v>
      </c>
      <c r="I1356" s="239" t="s">
        <v>2882</v>
      </c>
      <c r="J1356" s="234">
        <v>53920</v>
      </c>
      <c r="K1356" s="234">
        <v>19540</v>
      </c>
      <c r="L1356" s="242">
        <v>4</v>
      </c>
      <c r="M1356" s="234">
        <v>34380</v>
      </c>
      <c r="N1356" s="234">
        <v>33004.800000000003</v>
      </c>
      <c r="O1356" s="243" t="s">
        <v>3636</v>
      </c>
      <c r="P1356" s="236">
        <v>45963</v>
      </c>
    </row>
    <row r="1357" spans="1:16" ht="51" customHeight="1">
      <c r="A1357" s="239" t="s">
        <v>3574</v>
      </c>
      <c r="B1357" s="240">
        <v>2889</v>
      </c>
      <c r="C1357" s="241">
        <v>281</v>
      </c>
      <c r="D1357" s="239" t="s">
        <v>2881</v>
      </c>
      <c r="E1357" s="239" t="s">
        <v>392</v>
      </c>
      <c r="F1357" s="239" t="s">
        <v>393</v>
      </c>
      <c r="G1357" s="239" t="s">
        <v>957</v>
      </c>
      <c r="H1357" s="239" t="s">
        <v>51</v>
      </c>
      <c r="I1357" s="239" t="s">
        <v>2882</v>
      </c>
      <c r="J1357" s="234">
        <v>63830</v>
      </c>
      <c r="K1357" s="234">
        <v>24290</v>
      </c>
      <c r="L1357" s="242">
        <v>9</v>
      </c>
      <c r="M1357" s="234">
        <v>39540</v>
      </c>
      <c r="N1357" s="234">
        <v>35981.4</v>
      </c>
      <c r="O1357" s="243" t="s">
        <v>3644</v>
      </c>
      <c r="P1357" s="236">
        <v>45963</v>
      </c>
    </row>
    <row r="1358" spans="1:16" ht="51" customHeight="1">
      <c r="A1358" s="239" t="s">
        <v>3562</v>
      </c>
      <c r="B1358" s="240">
        <v>2878</v>
      </c>
      <c r="C1358" s="241">
        <v>11576</v>
      </c>
      <c r="D1358" s="239" t="s">
        <v>2511</v>
      </c>
      <c r="E1358" s="239" t="s">
        <v>866</v>
      </c>
      <c r="F1358" s="239" t="s">
        <v>867</v>
      </c>
      <c r="G1358" s="239" t="s">
        <v>934</v>
      </c>
      <c r="H1358" s="239" t="s">
        <v>42</v>
      </c>
      <c r="I1358" s="239" t="s">
        <v>2512</v>
      </c>
      <c r="J1358" s="234">
        <v>38580</v>
      </c>
      <c r="K1358" s="234">
        <v>14540</v>
      </c>
      <c r="L1358" s="242">
        <v>13</v>
      </c>
      <c r="M1358" s="234">
        <v>24040</v>
      </c>
      <c r="N1358" s="234">
        <v>20914.8</v>
      </c>
      <c r="O1358" s="243" t="s">
        <v>3632</v>
      </c>
      <c r="P1358" s="236">
        <v>45963</v>
      </c>
    </row>
    <row r="1359" spans="1:16" ht="51" customHeight="1">
      <c r="A1359" s="239" t="s">
        <v>3563</v>
      </c>
      <c r="B1359" s="240">
        <v>2879</v>
      </c>
      <c r="C1359" s="241">
        <v>11577</v>
      </c>
      <c r="D1359" s="239" t="s">
        <v>2511</v>
      </c>
      <c r="E1359" s="239" t="s">
        <v>369</v>
      </c>
      <c r="F1359" s="239" t="s">
        <v>370</v>
      </c>
      <c r="G1359" s="239" t="s">
        <v>934</v>
      </c>
      <c r="H1359" s="239" t="s">
        <v>42</v>
      </c>
      <c r="I1359" s="239" t="s">
        <v>2512</v>
      </c>
      <c r="J1359" s="234">
        <v>39560</v>
      </c>
      <c r="K1359" s="234">
        <v>15220</v>
      </c>
      <c r="L1359" s="242">
        <v>9</v>
      </c>
      <c r="M1359" s="234">
        <v>24340</v>
      </c>
      <c r="N1359" s="234">
        <v>22149.4</v>
      </c>
      <c r="O1359" s="243" t="s">
        <v>3633</v>
      </c>
      <c r="P1359" s="236">
        <v>45963</v>
      </c>
    </row>
    <row r="1360" spans="1:16" ht="51" customHeight="1">
      <c r="A1360" s="239" t="s">
        <v>3567</v>
      </c>
      <c r="B1360" s="240">
        <v>2883</v>
      </c>
      <c r="C1360" s="241">
        <v>11579</v>
      </c>
      <c r="D1360" s="239" t="s">
        <v>2511</v>
      </c>
      <c r="E1360" s="239" t="s">
        <v>791</v>
      </c>
      <c r="F1360" s="239" t="s">
        <v>792</v>
      </c>
      <c r="G1360" s="239" t="s">
        <v>934</v>
      </c>
      <c r="H1360" s="239" t="s">
        <v>42</v>
      </c>
      <c r="I1360" s="239" t="s">
        <v>2512</v>
      </c>
      <c r="J1360" s="234">
        <v>41850</v>
      </c>
      <c r="K1360" s="234">
        <v>15050</v>
      </c>
      <c r="L1360" s="242">
        <v>12</v>
      </c>
      <c r="M1360" s="234">
        <v>26800</v>
      </c>
      <c r="N1360" s="234">
        <v>23584</v>
      </c>
      <c r="O1360" s="243" t="s">
        <v>3637</v>
      </c>
      <c r="P1360" s="236">
        <v>45963</v>
      </c>
    </row>
    <row r="1361" spans="1:16" ht="51" customHeight="1">
      <c r="A1361" s="239" t="s">
        <v>3570</v>
      </c>
      <c r="B1361" s="240">
        <v>2885</v>
      </c>
      <c r="C1361" s="241">
        <v>11602</v>
      </c>
      <c r="D1361" s="239" t="s">
        <v>2511</v>
      </c>
      <c r="E1361" s="239" t="s">
        <v>1397</v>
      </c>
      <c r="F1361" s="239" t="s">
        <v>1398</v>
      </c>
      <c r="G1361" s="239" t="s">
        <v>934</v>
      </c>
      <c r="H1361" s="239" t="s">
        <v>42</v>
      </c>
      <c r="I1361" s="239" t="s">
        <v>2512</v>
      </c>
      <c r="J1361" s="234">
        <v>43490</v>
      </c>
      <c r="K1361" s="234">
        <v>17170</v>
      </c>
      <c r="L1361" s="242">
        <v>8</v>
      </c>
      <c r="M1361" s="234">
        <v>26320</v>
      </c>
      <c r="N1361" s="234">
        <v>24214.400000000001</v>
      </c>
      <c r="O1361" s="243" t="s">
        <v>3640</v>
      </c>
      <c r="P1361" s="236">
        <v>45963</v>
      </c>
    </row>
    <row r="1362" spans="1:16" ht="51" customHeight="1">
      <c r="A1362" s="239" t="s">
        <v>3571</v>
      </c>
      <c r="B1362" s="240">
        <v>2886</v>
      </c>
      <c r="C1362" s="241">
        <v>11601</v>
      </c>
      <c r="D1362" s="239" t="s">
        <v>2511</v>
      </c>
      <c r="E1362" s="239" t="s">
        <v>1403</v>
      </c>
      <c r="F1362" s="239" t="s">
        <v>1404</v>
      </c>
      <c r="G1362" s="239" t="s">
        <v>934</v>
      </c>
      <c r="H1362" s="239" t="s">
        <v>42</v>
      </c>
      <c r="I1362" s="239" t="s">
        <v>2512</v>
      </c>
      <c r="J1362" s="234">
        <v>40260</v>
      </c>
      <c r="K1362" s="234">
        <v>15000</v>
      </c>
      <c r="L1362" s="242">
        <v>11</v>
      </c>
      <c r="M1362" s="234">
        <v>25260</v>
      </c>
      <c r="N1362" s="234">
        <v>22481.4</v>
      </c>
      <c r="O1362" s="243" t="s">
        <v>3641</v>
      </c>
      <c r="P1362" s="236">
        <v>45963</v>
      </c>
    </row>
    <row r="1363" spans="1:16" ht="51" customHeight="1">
      <c r="A1363" s="239" t="s">
        <v>3572</v>
      </c>
      <c r="B1363" s="240">
        <v>2887</v>
      </c>
      <c r="C1363" s="241">
        <v>283</v>
      </c>
      <c r="D1363" s="239" t="s">
        <v>2881</v>
      </c>
      <c r="E1363" s="239" t="s">
        <v>858</v>
      </c>
      <c r="F1363" s="239" t="s">
        <v>859</v>
      </c>
      <c r="G1363" s="239" t="s">
        <v>957</v>
      </c>
      <c r="H1363" s="239" t="s">
        <v>51</v>
      </c>
      <c r="I1363" s="239" t="s">
        <v>2882</v>
      </c>
      <c r="J1363" s="234">
        <v>42850</v>
      </c>
      <c r="K1363" s="234">
        <v>14990</v>
      </c>
      <c r="L1363" s="242">
        <v>10</v>
      </c>
      <c r="M1363" s="234">
        <v>27860</v>
      </c>
      <c r="N1363" s="234">
        <v>25074</v>
      </c>
      <c r="O1363" s="243" t="s">
        <v>3642</v>
      </c>
      <c r="P1363" s="236">
        <v>45963</v>
      </c>
    </row>
    <row r="1364" spans="1:16" ht="51" customHeight="1">
      <c r="A1364" s="239" t="s">
        <v>3573</v>
      </c>
      <c r="B1364" s="240">
        <v>2888</v>
      </c>
      <c r="C1364" s="241">
        <v>284</v>
      </c>
      <c r="D1364" s="239" t="s">
        <v>2881</v>
      </c>
      <c r="E1364" s="239" t="s">
        <v>432</v>
      </c>
      <c r="F1364" s="239" t="s">
        <v>433</v>
      </c>
      <c r="G1364" s="239" t="s">
        <v>957</v>
      </c>
      <c r="H1364" s="239" t="s">
        <v>51</v>
      </c>
      <c r="I1364" s="239" t="s">
        <v>2882</v>
      </c>
      <c r="J1364" s="234">
        <v>45660</v>
      </c>
      <c r="K1364" s="234">
        <v>15970</v>
      </c>
      <c r="L1364" s="242">
        <v>7</v>
      </c>
      <c r="M1364" s="234">
        <v>29690</v>
      </c>
      <c r="N1364" s="234">
        <v>27611.7</v>
      </c>
      <c r="O1364" s="243" t="s">
        <v>3643</v>
      </c>
      <c r="P1364" s="236">
        <v>45963</v>
      </c>
    </row>
    <row r="1365" spans="1:16" ht="51" customHeight="1">
      <c r="A1365" s="239" t="s">
        <v>3568</v>
      </c>
      <c r="B1365" s="240">
        <v>2884</v>
      </c>
      <c r="C1365" s="241">
        <v>282</v>
      </c>
      <c r="D1365" s="239" t="s">
        <v>2881</v>
      </c>
      <c r="E1365" s="239" t="s">
        <v>390</v>
      </c>
      <c r="F1365" s="239" t="s">
        <v>391</v>
      </c>
      <c r="G1365" s="239" t="s">
        <v>957</v>
      </c>
      <c r="H1365" s="239" t="s">
        <v>51</v>
      </c>
      <c r="I1365" s="239" t="s">
        <v>2882</v>
      </c>
      <c r="J1365" s="234">
        <v>41350</v>
      </c>
      <c r="K1365" s="234">
        <v>15120</v>
      </c>
      <c r="L1365" s="242">
        <v>10</v>
      </c>
      <c r="M1365" s="234">
        <v>26230</v>
      </c>
      <c r="N1365" s="234">
        <v>23607</v>
      </c>
      <c r="O1365" s="243" t="s">
        <v>3638</v>
      </c>
      <c r="P1365" s="236">
        <v>45963</v>
      </c>
    </row>
    <row r="1366" spans="1:16" ht="51" customHeight="1">
      <c r="A1366" s="239" t="s">
        <v>3579</v>
      </c>
      <c r="B1366" s="240">
        <v>2890</v>
      </c>
      <c r="C1366" s="241">
        <v>286</v>
      </c>
      <c r="D1366" s="239" t="s">
        <v>2881</v>
      </c>
      <c r="E1366" s="239" t="s">
        <v>406</v>
      </c>
      <c r="F1366" s="239" t="s">
        <v>407</v>
      </c>
      <c r="G1366" s="239" t="s">
        <v>957</v>
      </c>
      <c r="H1366" s="239" t="s">
        <v>51</v>
      </c>
      <c r="I1366" s="239" t="s">
        <v>2882</v>
      </c>
      <c r="J1366" s="234">
        <v>41140</v>
      </c>
      <c r="K1366" s="234">
        <v>15260</v>
      </c>
      <c r="L1366" s="242">
        <v>5</v>
      </c>
      <c r="M1366" s="234">
        <v>25880</v>
      </c>
      <c r="N1366" s="234">
        <v>24586</v>
      </c>
      <c r="O1366" s="243" t="s">
        <v>3649</v>
      </c>
      <c r="P1366" s="236">
        <v>45963</v>
      </c>
    </row>
    <row r="1367" spans="1:16" ht="51" customHeight="1">
      <c r="A1367" s="239" t="s">
        <v>3584</v>
      </c>
      <c r="B1367" s="240">
        <v>2891</v>
      </c>
      <c r="C1367" s="241">
        <v>285</v>
      </c>
      <c r="D1367" s="239" t="s">
        <v>2881</v>
      </c>
      <c r="E1367" s="239" t="s">
        <v>403</v>
      </c>
      <c r="F1367" s="239" t="s">
        <v>404</v>
      </c>
      <c r="G1367" s="239" t="s">
        <v>957</v>
      </c>
      <c r="H1367" s="239" t="s">
        <v>51</v>
      </c>
      <c r="I1367" s="239" t="s">
        <v>2882</v>
      </c>
      <c r="J1367" s="234">
        <v>40350</v>
      </c>
      <c r="K1367" s="234">
        <v>14620</v>
      </c>
      <c r="L1367" s="242">
        <v>12</v>
      </c>
      <c r="M1367" s="234">
        <v>25730</v>
      </c>
      <c r="N1367" s="234">
        <v>22642.400000000001</v>
      </c>
      <c r="O1367" s="243" t="s">
        <v>3654</v>
      </c>
      <c r="P1367" s="236">
        <v>45964</v>
      </c>
    </row>
    <row r="1368" spans="1:16" ht="51" customHeight="1">
      <c r="A1368" s="239" t="s">
        <v>3585</v>
      </c>
      <c r="B1368" s="240">
        <v>2896</v>
      </c>
      <c r="C1368" s="241">
        <v>287</v>
      </c>
      <c r="D1368" s="239" t="s">
        <v>2881</v>
      </c>
      <c r="E1368" s="239" t="s">
        <v>377</v>
      </c>
      <c r="F1368" s="239" t="s">
        <v>378</v>
      </c>
      <c r="G1368" s="239" t="s">
        <v>957</v>
      </c>
      <c r="H1368" s="239" t="s">
        <v>51</v>
      </c>
      <c r="I1368" s="239" t="s">
        <v>2882</v>
      </c>
      <c r="J1368" s="234">
        <v>42510</v>
      </c>
      <c r="K1368" s="234">
        <v>15310</v>
      </c>
      <c r="L1368" s="242">
        <v>3</v>
      </c>
      <c r="M1368" s="234">
        <v>27200</v>
      </c>
      <c r="N1368" s="234">
        <v>26384</v>
      </c>
      <c r="O1368" s="243" t="s">
        <v>3655</v>
      </c>
      <c r="P1368" s="236">
        <v>45964</v>
      </c>
    </row>
    <row r="1369" spans="1:16" ht="51" customHeight="1">
      <c r="A1369" s="239" t="s">
        <v>3587</v>
      </c>
      <c r="B1369" s="240">
        <v>2897</v>
      </c>
      <c r="C1369" s="241">
        <v>288</v>
      </c>
      <c r="D1369" s="239" t="s">
        <v>2881</v>
      </c>
      <c r="E1369" s="239" t="s">
        <v>413</v>
      </c>
      <c r="F1369" s="239" t="s">
        <v>414</v>
      </c>
      <c r="G1369" s="239" t="s">
        <v>957</v>
      </c>
      <c r="H1369" s="239" t="s">
        <v>51</v>
      </c>
      <c r="I1369" s="239" t="s">
        <v>2882</v>
      </c>
      <c r="J1369" s="234">
        <v>44190</v>
      </c>
      <c r="K1369" s="234">
        <v>15230</v>
      </c>
      <c r="L1369" s="242">
        <v>7</v>
      </c>
      <c r="M1369" s="234">
        <v>28960</v>
      </c>
      <c r="N1369" s="234">
        <v>26932.799999999999</v>
      </c>
      <c r="O1369" s="243" t="s">
        <v>3657</v>
      </c>
      <c r="P1369" s="236">
        <v>45964</v>
      </c>
    </row>
    <row r="1370" spans="1:16" ht="51" customHeight="1">
      <c r="A1370" s="239" t="s">
        <v>3589</v>
      </c>
      <c r="B1370" s="240">
        <v>2898</v>
      </c>
      <c r="C1370" s="241">
        <v>290</v>
      </c>
      <c r="D1370" s="239" t="s">
        <v>2881</v>
      </c>
      <c r="E1370" s="239" t="s">
        <v>439</v>
      </c>
      <c r="F1370" s="239" t="s">
        <v>440</v>
      </c>
      <c r="G1370" s="239" t="s">
        <v>957</v>
      </c>
      <c r="H1370" s="239" t="s">
        <v>51</v>
      </c>
      <c r="I1370" s="239" t="s">
        <v>2882</v>
      </c>
      <c r="J1370" s="234">
        <v>45140</v>
      </c>
      <c r="K1370" s="234">
        <v>15240</v>
      </c>
      <c r="L1370" s="242">
        <v>13</v>
      </c>
      <c r="M1370" s="234">
        <v>29900</v>
      </c>
      <c r="N1370" s="234">
        <v>26013</v>
      </c>
      <c r="O1370" s="243" t="s">
        <v>3659</v>
      </c>
      <c r="P1370" s="236">
        <v>45964</v>
      </c>
    </row>
    <row r="1371" spans="1:16" ht="51" customHeight="1">
      <c r="A1371" s="239" t="s">
        <v>3592</v>
      </c>
      <c r="B1371" s="240">
        <v>2899</v>
      </c>
      <c r="C1371" s="241">
        <v>289</v>
      </c>
      <c r="D1371" s="239" t="s">
        <v>2881</v>
      </c>
      <c r="E1371" s="239" t="s">
        <v>384</v>
      </c>
      <c r="F1371" s="239" t="s">
        <v>385</v>
      </c>
      <c r="G1371" s="239" t="s">
        <v>957</v>
      </c>
      <c r="H1371" s="239" t="s">
        <v>51</v>
      </c>
      <c r="I1371" s="239" t="s">
        <v>2882</v>
      </c>
      <c r="J1371" s="234">
        <v>37060</v>
      </c>
      <c r="K1371" s="234">
        <v>13940</v>
      </c>
      <c r="L1371" s="242">
        <v>14</v>
      </c>
      <c r="M1371" s="234">
        <v>23120</v>
      </c>
      <c r="N1371" s="234">
        <v>19883.2</v>
      </c>
      <c r="O1371" s="243" t="s">
        <v>3662</v>
      </c>
      <c r="P1371" s="236">
        <v>45964</v>
      </c>
    </row>
    <row r="1372" spans="1:16" ht="51" customHeight="1">
      <c r="A1372" s="239" t="s">
        <v>3580</v>
      </c>
      <c r="B1372" s="240">
        <v>2900</v>
      </c>
      <c r="C1372" s="241">
        <v>291</v>
      </c>
      <c r="D1372" s="239" t="s">
        <v>2881</v>
      </c>
      <c r="E1372" s="239" t="s">
        <v>374</v>
      </c>
      <c r="F1372" s="239" t="s">
        <v>375</v>
      </c>
      <c r="G1372" s="239" t="s">
        <v>957</v>
      </c>
      <c r="H1372" s="239" t="s">
        <v>51</v>
      </c>
      <c r="I1372" s="239" t="s">
        <v>2882</v>
      </c>
      <c r="J1372" s="234">
        <v>40740</v>
      </c>
      <c r="K1372" s="234">
        <v>15700</v>
      </c>
      <c r="L1372" s="242">
        <v>15</v>
      </c>
      <c r="M1372" s="234">
        <v>25040</v>
      </c>
      <c r="N1372" s="234">
        <v>21284</v>
      </c>
      <c r="O1372" s="243" t="s">
        <v>3650</v>
      </c>
      <c r="P1372" s="236">
        <v>45964</v>
      </c>
    </row>
    <row r="1373" spans="1:16" ht="51" customHeight="1">
      <c r="A1373" s="239" t="s">
        <v>3581</v>
      </c>
      <c r="B1373" s="240">
        <v>2902</v>
      </c>
      <c r="C1373" s="241">
        <v>293</v>
      </c>
      <c r="D1373" s="239" t="s">
        <v>2881</v>
      </c>
      <c r="E1373" s="239" t="s">
        <v>456</v>
      </c>
      <c r="F1373" s="239" t="s">
        <v>457</v>
      </c>
      <c r="G1373" s="239" t="s">
        <v>957</v>
      </c>
      <c r="H1373" s="239" t="s">
        <v>51</v>
      </c>
      <c r="I1373" s="239" t="s">
        <v>2882</v>
      </c>
      <c r="J1373" s="234">
        <v>48850</v>
      </c>
      <c r="K1373" s="234">
        <v>16010</v>
      </c>
      <c r="L1373" s="242">
        <v>13</v>
      </c>
      <c r="M1373" s="234">
        <v>32840</v>
      </c>
      <c r="N1373" s="234">
        <v>28570.799999999999</v>
      </c>
      <c r="O1373" s="243" t="s">
        <v>3651</v>
      </c>
      <c r="P1373" s="236">
        <v>45964</v>
      </c>
    </row>
    <row r="1374" spans="1:16" ht="51" customHeight="1">
      <c r="A1374" s="239" t="s">
        <v>3582</v>
      </c>
      <c r="B1374" s="240">
        <v>2903</v>
      </c>
      <c r="C1374" s="241">
        <v>294</v>
      </c>
      <c r="D1374" s="239" t="s">
        <v>2881</v>
      </c>
      <c r="E1374" s="239" t="s">
        <v>382</v>
      </c>
      <c r="F1374" s="239" t="s">
        <v>383</v>
      </c>
      <c r="G1374" s="239" t="s">
        <v>957</v>
      </c>
      <c r="H1374" s="239" t="s">
        <v>51</v>
      </c>
      <c r="I1374" s="239" t="s">
        <v>2882</v>
      </c>
      <c r="J1374" s="234">
        <v>40580</v>
      </c>
      <c r="K1374" s="234">
        <v>14920</v>
      </c>
      <c r="L1374" s="242">
        <v>13</v>
      </c>
      <c r="M1374" s="234">
        <v>25660</v>
      </c>
      <c r="N1374" s="234">
        <v>22324.2</v>
      </c>
      <c r="O1374" s="243" t="s">
        <v>3652</v>
      </c>
      <c r="P1374" s="236">
        <v>45964</v>
      </c>
    </row>
    <row r="1375" spans="1:16" ht="51" customHeight="1">
      <c r="A1375" s="239" t="s">
        <v>3586</v>
      </c>
      <c r="B1375" s="240">
        <v>2905</v>
      </c>
      <c r="C1375" s="241">
        <v>292</v>
      </c>
      <c r="D1375" s="239" t="s">
        <v>2881</v>
      </c>
      <c r="E1375" s="239" t="s">
        <v>388</v>
      </c>
      <c r="F1375" s="239" t="s">
        <v>389</v>
      </c>
      <c r="G1375" s="239" t="s">
        <v>957</v>
      </c>
      <c r="H1375" s="239" t="s">
        <v>51</v>
      </c>
      <c r="I1375" s="239" t="s">
        <v>2882</v>
      </c>
      <c r="J1375" s="234">
        <v>65330</v>
      </c>
      <c r="K1375" s="234">
        <v>21320</v>
      </c>
      <c r="L1375" s="242">
        <v>4</v>
      </c>
      <c r="M1375" s="234">
        <v>44010</v>
      </c>
      <c r="N1375" s="234">
        <v>42249.599999999999</v>
      </c>
      <c r="O1375" s="243" t="s">
        <v>3656</v>
      </c>
      <c r="P1375" s="236">
        <v>45964</v>
      </c>
    </row>
    <row r="1376" spans="1:16" ht="51" customHeight="1">
      <c r="A1376" s="239" t="s">
        <v>3583</v>
      </c>
      <c r="B1376" s="240">
        <v>2904</v>
      </c>
      <c r="C1376" s="241">
        <v>295</v>
      </c>
      <c r="D1376" s="239" t="s">
        <v>2881</v>
      </c>
      <c r="E1376" s="239" t="s">
        <v>429</v>
      </c>
      <c r="F1376" s="239" t="s">
        <v>430</v>
      </c>
      <c r="G1376" s="239" t="s">
        <v>957</v>
      </c>
      <c r="H1376" s="239" t="s">
        <v>51</v>
      </c>
      <c r="I1376" s="239" t="s">
        <v>2882</v>
      </c>
      <c r="J1376" s="234">
        <v>45150</v>
      </c>
      <c r="K1376" s="234">
        <v>14660</v>
      </c>
      <c r="L1376" s="242">
        <v>13</v>
      </c>
      <c r="M1376" s="234">
        <v>30490</v>
      </c>
      <c r="N1376" s="234">
        <v>26526.3</v>
      </c>
      <c r="O1376" s="243" t="s">
        <v>3653</v>
      </c>
      <c r="P1376" s="236">
        <v>45964</v>
      </c>
    </row>
    <row r="1377" spans="1:16" ht="51" customHeight="1">
      <c r="A1377" s="239" t="s">
        <v>3588</v>
      </c>
      <c r="B1377" s="240">
        <v>2907</v>
      </c>
      <c r="C1377" s="241">
        <v>296</v>
      </c>
      <c r="D1377" s="239" t="s">
        <v>2881</v>
      </c>
      <c r="E1377" s="239" t="s">
        <v>1410</v>
      </c>
      <c r="F1377" s="239" t="s">
        <v>437</v>
      </c>
      <c r="G1377" s="239" t="s">
        <v>957</v>
      </c>
      <c r="H1377" s="239" t="s">
        <v>51</v>
      </c>
      <c r="I1377" s="239" t="s">
        <v>2882</v>
      </c>
      <c r="J1377" s="234">
        <v>43790</v>
      </c>
      <c r="K1377" s="234">
        <v>15130</v>
      </c>
      <c r="L1377" s="242">
        <v>6</v>
      </c>
      <c r="M1377" s="234">
        <v>28660</v>
      </c>
      <c r="N1377" s="234">
        <v>26940.400000000001</v>
      </c>
      <c r="O1377" s="243" t="s">
        <v>3658</v>
      </c>
      <c r="P1377" s="236">
        <v>45964</v>
      </c>
    </row>
    <row r="1378" spans="1:16" ht="51" customHeight="1">
      <c r="A1378" s="239" t="s">
        <v>3590</v>
      </c>
      <c r="B1378" s="240">
        <v>2908</v>
      </c>
      <c r="C1378" s="241">
        <v>298</v>
      </c>
      <c r="D1378" s="239" t="s">
        <v>2881</v>
      </c>
      <c r="E1378" s="239" t="s">
        <v>783</v>
      </c>
      <c r="F1378" s="239" t="s">
        <v>784</v>
      </c>
      <c r="G1378" s="239" t="s">
        <v>957</v>
      </c>
      <c r="H1378" s="239" t="s">
        <v>51</v>
      </c>
      <c r="I1378" s="239" t="s">
        <v>2882</v>
      </c>
      <c r="J1378" s="234">
        <v>39290</v>
      </c>
      <c r="K1378" s="234">
        <v>14810</v>
      </c>
      <c r="L1378" s="242">
        <v>6</v>
      </c>
      <c r="M1378" s="234">
        <v>24480</v>
      </c>
      <c r="N1378" s="234">
        <v>23011.200000000001</v>
      </c>
      <c r="O1378" s="243" t="s">
        <v>3660</v>
      </c>
      <c r="P1378" s="236">
        <v>45964</v>
      </c>
    </row>
    <row r="1379" spans="1:16" ht="51" customHeight="1">
      <c r="A1379" s="239" t="s">
        <v>3591</v>
      </c>
      <c r="B1379" s="240">
        <v>2909</v>
      </c>
      <c r="C1379" s="241">
        <v>297</v>
      </c>
      <c r="D1379" s="239" t="s">
        <v>2881</v>
      </c>
      <c r="E1379" s="239" t="s">
        <v>841</v>
      </c>
      <c r="F1379" s="239" t="s">
        <v>845</v>
      </c>
      <c r="G1379" s="239" t="s">
        <v>957</v>
      </c>
      <c r="H1379" s="239" t="s">
        <v>51</v>
      </c>
      <c r="I1379" s="239" t="s">
        <v>2882</v>
      </c>
      <c r="J1379" s="234">
        <v>43960</v>
      </c>
      <c r="K1379" s="234">
        <v>15890</v>
      </c>
      <c r="L1379" s="242">
        <v>11</v>
      </c>
      <c r="M1379" s="234">
        <v>28070</v>
      </c>
      <c r="N1379" s="234">
        <v>24982.3</v>
      </c>
      <c r="O1379" s="243" t="s">
        <v>3661</v>
      </c>
      <c r="P1379" s="236">
        <v>45964</v>
      </c>
    </row>
    <row r="1380" spans="1:16" ht="51" customHeight="1">
      <c r="A1380" s="239" t="s">
        <v>3593</v>
      </c>
      <c r="B1380" s="240">
        <v>2910</v>
      </c>
      <c r="C1380" s="241">
        <v>299</v>
      </c>
      <c r="D1380" s="239" t="s">
        <v>2881</v>
      </c>
      <c r="E1380" s="239" t="s">
        <v>442</v>
      </c>
      <c r="F1380" s="239" t="s">
        <v>443</v>
      </c>
      <c r="G1380" s="239" t="s">
        <v>957</v>
      </c>
      <c r="H1380" s="239" t="s">
        <v>51</v>
      </c>
      <c r="I1380" s="239" t="s">
        <v>2882</v>
      </c>
      <c r="J1380" s="234">
        <v>36130</v>
      </c>
      <c r="K1380" s="234">
        <v>14640</v>
      </c>
      <c r="L1380" s="242">
        <v>14</v>
      </c>
      <c r="M1380" s="234">
        <v>21490</v>
      </c>
      <c r="N1380" s="234">
        <v>18481.400000000001</v>
      </c>
      <c r="O1380" s="243" t="s">
        <v>3663</v>
      </c>
      <c r="P1380" s="236">
        <v>45964</v>
      </c>
    </row>
    <row r="1381" spans="1:16" ht="51" customHeight="1">
      <c r="A1381" s="239" t="s">
        <v>3596</v>
      </c>
      <c r="B1381" s="240">
        <v>2911</v>
      </c>
      <c r="C1381" s="241">
        <v>301</v>
      </c>
      <c r="D1381" s="239" t="s">
        <v>2881</v>
      </c>
      <c r="E1381" s="239" t="s">
        <v>380</v>
      </c>
      <c r="F1381" s="239" t="s">
        <v>381</v>
      </c>
      <c r="G1381" s="239" t="s">
        <v>957</v>
      </c>
      <c r="H1381" s="239" t="s">
        <v>51</v>
      </c>
      <c r="I1381" s="239" t="s">
        <v>2882</v>
      </c>
      <c r="J1381" s="234">
        <v>41260</v>
      </c>
      <c r="K1381" s="234">
        <v>15220</v>
      </c>
      <c r="L1381" s="242">
        <v>9</v>
      </c>
      <c r="M1381" s="234">
        <v>26040</v>
      </c>
      <c r="N1381" s="234">
        <v>23696.400000000001</v>
      </c>
      <c r="O1381" s="243" t="s">
        <v>3666</v>
      </c>
      <c r="P1381" s="236">
        <v>45965</v>
      </c>
    </row>
    <row r="1382" spans="1:16" ht="51" customHeight="1">
      <c r="A1382" s="239" t="s">
        <v>3597</v>
      </c>
      <c r="B1382" s="240">
        <v>2913</v>
      </c>
      <c r="C1382" s="241">
        <v>302</v>
      </c>
      <c r="D1382" s="239" t="s">
        <v>2881</v>
      </c>
      <c r="E1382" s="239" t="s">
        <v>786</v>
      </c>
      <c r="F1382" s="239" t="s">
        <v>787</v>
      </c>
      <c r="G1382" s="239" t="s">
        <v>957</v>
      </c>
      <c r="H1382" s="239" t="s">
        <v>51</v>
      </c>
      <c r="I1382" s="239" t="s">
        <v>2882</v>
      </c>
      <c r="J1382" s="234">
        <v>36730</v>
      </c>
      <c r="K1382" s="234">
        <v>13980</v>
      </c>
      <c r="L1382" s="242">
        <v>17</v>
      </c>
      <c r="M1382" s="234">
        <v>22750</v>
      </c>
      <c r="N1382" s="234">
        <v>18882.5</v>
      </c>
      <c r="O1382" s="243" t="s">
        <v>3667</v>
      </c>
      <c r="P1382" s="236">
        <v>45965</v>
      </c>
    </row>
    <row r="1383" spans="1:16" ht="51" customHeight="1">
      <c r="A1383" s="239" t="s">
        <v>3599</v>
      </c>
      <c r="B1383" s="240">
        <v>2914</v>
      </c>
      <c r="C1383" s="241">
        <v>303</v>
      </c>
      <c r="D1383" s="239" t="s">
        <v>2881</v>
      </c>
      <c r="E1383" s="239" t="s">
        <v>416</v>
      </c>
      <c r="F1383" s="239" t="s">
        <v>417</v>
      </c>
      <c r="G1383" s="239" t="s">
        <v>957</v>
      </c>
      <c r="H1383" s="239" t="s">
        <v>51</v>
      </c>
      <c r="I1383" s="239" t="s">
        <v>2882</v>
      </c>
      <c r="J1383" s="234">
        <v>39450</v>
      </c>
      <c r="K1383" s="234">
        <v>14860</v>
      </c>
      <c r="L1383" s="242">
        <v>6</v>
      </c>
      <c r="M1383" s="234">
        <v>24590</v>
      </c>
      <c r="N1383" s="234">
        <v>23114.6</v>
      </c>
      <c r="O1383" s="243" t="s">
        <v>3669</v>
      </c>
      <c r="P1383" s="236">
        <v>45965</v>
      </c>
    </row>
    <row r="1384" spans="1:16" ht="51" customHeight="1">
      <c r="A1384" s="239" t="s">
        <v>3601</v>
      </c>
      <c r="B1384" s="240">
        <v>2915</v>
      </c>
      <c r="C1384" s="241">
        <v>300</v>
      </c>
      <c r="D1384" s="239" t="s">
        <v>2881</v>
      </c>
      <c r="E1384" s="239" t="s">
        <v>453</v>
      </c>
      <c r="F1384" s="239" t="s">
        <v>454</v>
      </c>
      <c r="G1384" s="239" t="s">
        <v>957</v>
      </c>
      <c r="H1384" s="239" t="s">
        <v>51</v>
      </c>
      <c r="I1384" s="239" t="s">
        <v>2882</v>
      </c>
      <c r="J1384" s="234">
        <v>68020</v>
      </c>
      <c r="K1384" s="234">
        <v>24790</v>
      </c>
      <c r="L1384" s="242">
        <v>10</v>
      </c>
      <c r="M1384" s="234">
        <v>43230</v>
      </c>
      <c r="N1384" s="234">
        <v>38907</v>
      </c>
      <c r="O1384" s="243" t="s">
        <v>3671</v>
      </c>
      <c r="P1384" s="236">
        <v>45965</v>
      </c>
    </row>
    <row r="1385" spans="1:16" ht="51" customHeight="1">
      <c r="A1385" s="239" t="s">
        <v>3602</v>
      </c>
      <c r="B1385" s="240">
        <v>2916</v>
      </c>
      <c r="C1385" s="241">
        <v>304</v>
      </c>
      <c r="D1385" s="239" t="s">
        <v>2881</v>
      </c>
      <c r="E1385" s="239" t="s">
        <v>420</v>
      </c>
      <c r="F1385" s="239" t="s">
        <v>421</v>
      </c>
      <c r="G1385" s="239" t="s">
        <v>957</v>
      </c>
      <c r="H1385" s="239" t="s">
        <v>51</v>
      </c>
      <c r="I1385" s="239" t="s">
        <v>2882</v>
      </c>
      <c r="J1385" s="234">
        <v>39940</v>
      </c>
      <c r="K1385" s="234">
        <v>15110</v>
      </c>
      <c r="L1385" s="242">
        <v>13</v>
      </c>
      <c r="M1385" s="234">
        <v>24830</v>
      </c>
      <c r="N1385" s="234">
        <v>21602.1</v>
      </c>
      <c r="O1385" s="243" t="s">
        <v>3672</v>
      </c>
      <c r="P1385" s="236">
        <v>45965</v>
      </c>
    </row>
    <row r="1386" spans="1:16" ht="51" customHeight="1">
      <c r="A1386" s="239" t="s">
        <v>3604</v>
      </c>
      <c r="B1386" s="240">
        <v>2917</v>
      </c>
      <c r="C1386" s="241">
        <v>306</v>
      </c>
      <c r="D1386" s="239" t="s">
        <v>2881</v>
      </c>
      <c r="E1386" s="239" t="s">
        <v>794</v>
      </c>
      <c r="F1386" s="239" t="s">
        <v>795</v>
      </c>
      <c r="G1386" s="239" t="s">
        <v>957</v>
      </c>
      <c r="H1386" s="239" t="s">
        <v>51</v>
      </c>
      <c r="I1386" s="239" t="s">
        <v>2882</v>
      </c>
      <c r="J1386" s="234">
        <v>43260</v>
      </c>
      <c r="K1386" s="234">
        <v>16300</v>
      </c>
      <c r="L1386" s="242">
        <v>8</v>
      </c>
      <c r="M1386" s="234">
        <v>26960</v>
      </c>
      <c r="N1386" s="234">
        <v>24803.200000000001</v>
      </c>
      <c r="O1386" s="243" t="s">
        <v>3674</v>
      </c>
      <c r="P1386" s="236">
        <v>45965</v>
      </c>
    </row>
    <row r="1387" spans="1:16" ht="51" customHeight="1">
      <c r="A1387" s="239" t="s">
        <v>3605</v>
      </c>
      <c r="B1387" s="240">
        <v>2918</v>
      </c>
      <c r="C1387" s="241">
        <v>307</v>
      </c>
      <c r="D1387" s="239" t="s">
        <v>2881</v>
      </c>
      <c r="E1387" s="239" t="s">
        <v>866</v>
      </c>
      <c r="F1387" s="239" t="s">
        <v>867</v>
      </c>
      <c r="G1387" s="239" t="s">
        <v>957</v>
      </c>
      <c r="H1387" s="239" t="s">
        <v>51</v>
      </c>
      <c r="I1387" s="239" t="s">
        <v>2882</v>
      </c>
      <c r="J1387" s="234">
        <v>39590</v>
      </c>
      <c r="K1387" s="234">
        <v>14580</v>
      </c>
      <c r="L1387" s="242">
        <v>14</v>
      </c>
      <c r="M1387" s="234">
        <v>25010</v>
      </c>
      <c r="N1387" s="234">
        <v>21508.6</v>
      </c>
      <c r="O1387" s="243" t="s">
        <v>3675</v>
      </c>
      <c r="P1387" s="236">
        <v>45965</v>
      </c>
    </row>
    <row r="1388" spans="1:16" ht="51" customHeight="1">
      <c r="A1388" s="239" t="s">
        <v>3606</v>
      </c>
      <c r="B1388" s="240">
        <v>2919</v>
      </c>
      <c r="C1388" s="241">
        <v>308</v>
      </c>
      <c r="D1388" s="239" t="s">
        <v>2881</v>
      </c>
      <c r="E1388" s="239" t="s">
        <v>369</v>
      </c>
      <c r="F1388" s="239" t="s">
        <v>370</v>
      </c>
      <c r="G1388" s="239" t="s">
        <v>957</v>
      </c>
      <c r="H1388" s="239" t="s">
        <v>51</v>
      </c>
      <c r="I1388" s="239" t="s">
        <v>2882</v>
      </c>
      <c r="J1388" s="234">
        <v>40280</v>
      </c>
      <c r="K1388" s="234">
        <v>15270</v>
      </c>
      <c r="L1388" s="242">
        <v>10</v>
      </c>
      <c r="M1388" s="234">
        <v>25010</v>
      </c>
      <c r="N1388" s="234">
        <v>22509</v>
      </c>
      <c r="O1388" s="243" t="s">
        <v>3676</v>
      </c>
      <c r="P1388" s="236">
        <v>45965</v>
      </c>
    </row>
    <row r="1389" spans="1:16" ht="51" customHeight="1">
      <c r="A1389" s="239" t="s">
        <v>3594</v>
      </c>
      <c r="B1389" s="240">
        <v>2921</v>
      </c>
      <c r="C1389" s="241">
        <v>305</v>
      </c>
      <c r="D1389" s="239" t="s">
        <v>2881</v>
      </c>
      <c r="E1389" s="239" t="s">
        <v>447</v>
      </c>
      <c r="F1389" s="239" t="s">
        <v>448</v>
      </c>
      <c r="G1389" s="239" t="s">
        <v>957</v>
      </c>
      <c r="H1389" s="239" t="s">
        <v>51</v>
      </c>
      <c r="I1389" s="239" t="s">
        <v>2882</v>
      </c>
      <c r="J1389" s="234">
        <v>54770</v>
      </c>
      <c r="K1389" s="234">
        <v>19680</v>
      </c>
      <c r="L1389" s="242">
        <v>17</v>
      </c>
      <c r="M1389" s="234">
        <v>35090</v>
      </c>
      <c r="N1389" s="234">
        <v>29124.7</v>
      </c>
      <c r="O1389" s="243" t="s">
        <v>3664</v>
      </c>
      <c r="P1389" s="236">
        <v>45965</v>
      </c>
    </row>
    <row r="1390" spans="1:16" ht="51" customHeight="1">
      <c r="A1390" s="239" t="s">
        <v>3595</v>
      </c>
      <c r="B1390" s="240">
        <v>2922</v>
      </c>
      <c r="C1390" s="241">
        <v>309</v>
      </c>
      <c r="D1390" s="239" t="s">
        <v>2881</v>
      </c>
      <c r="E1390" s="239" t="s">
        <v>791</v>
      </c>
      <c r="F1390" s="239" t="s">
        <v>792</v>
      </c>
      <c r="G1390" s="239" t="s">
        <v>957</v>
      </c>
      <c r="H1390" s="239" t="s">
        <v>51</v>
      </c>
      <c r="I1390" s="239" t="s">
        <v>2882</v>
      </c>
      <c r="J1390" s="234">
        <v>41000</v>
      </c>
      <c r="K1390" s="234">
        <v>15130</v>
      </c>
      <c r="L1390" s="242">
        <v>4</v>
      </c>
      <c r="M1390" s="234">
        <v>25870</v>
      </c>
      <c r="N1390" s="234">
        <v>24835.200000000001</v>
      </c>
      <c r="O1390" s="243" t="s">
        <v>3665</v>
      </c>
      <c r="P1390" s="236">
        <v>45965</v>
      </c>
    </row>
    <row r="1391" spans="1:16" ht="51" customHeight="1">
      <c r="A1391" s="239" t="s">
        <v>3598</v>
      </c>
      <c r="B1391" s="240">
        <v>2923</v>
      </c>
      <c r="C1391" s="241">
        <v>311</v>
      </c>
      <c r="D1391" s="239" t="s">
        <v>2881</v>
      </c>
      <c r="E1391" s="239" t="s">
        <v>400</v>
      </c>
      <c r="F1391" s="239" t="s">
        <v>401</v>
      </c>
      <c r="G1391" s="239" t="s">
        <v>957</v>
      </c>
      <c r="H1391" s="239" t="s">
        <v>51</v>
      </c>
      <c r="I1391" s="239" t="s">
        <v>2882</v>
      </c>
      <c r="J1391" s="234">
        <v>40350</v>
      </c>
      <c r="K1391" s="234">
        <v>14940</v>
      </c>
      <c r="L1391" s="242">
        <v>11</v>
      </c>
      <c r="M1391" s="234">
        <v>25410</v>
      </c>
      <c r="N1391" s="234">
        <v>22614.9</v>
      </c>
      <c r="O1391" s="243" t="s">
        <v>3668</v>
      </c>
      <c r="P1391" s="236">
        <v>45965</v>
      </c>
    </row>
    <row r="1392" spans="1:16" ht="51" customHeight="1">
      <c r="A1392" s="239" t="s">
        <v>3600</v>
      </c>
      <c r="B1392" s="240">
        <v>2924</v>
      </c>
      <c r="C1392" s="241">
        <v>310</v>
      </c>
      <c r="D1392" s="239" t="s">
        <v>2881</v>
      </c>
      <c r="E1392" s="239" t="s">
        <v>2793</v>
      </c>
      <c r="F1392" s="239" t="s">
        <v>2794</v>
      </c>
      <c r="G1392" s="239" t="s">
        <v>957</v>
      </c>
      <c r="H1392" s="239" t="s">
        <v>51</v>
      </c>
      <c r="I1392" s="239" t="s">
        <v>2882</v>
      </c>
      <c r="J1392" s="234">
        <v>48070</v>
      </c>
      <c r="K1392" s="234">
        <v>17560</v>
      </c>
      <c r="L1392" s="242">
        <v>16</v>
      </c>
      <c r="M1392" s="234">
        <v>30510</v>
      </c>
      <c r="N1392" s="234">
        <v>25628.400000000001</v>
      </c>
      <c r="O1392" s="243" t="s">
        <v>3670</v>
      </c>
      <c r="P1392" s="236">
        <v>45965</v>
      </c>
    </row>
    <row r="1393" spans="1:16" ht="51" customHeight="1">
      <c r="A1393" s="239" t="s">
        <v>3603</v>
      </c>
      <c r="B1393" s="240">
        <v>2926</v>
      </c>
      <c r="C1393" s="241">
        <v>312</v>
      </c>
      <c r="D1393" s="239" t="s">
        <v>2881</v>
      </c>
      <c r="E1393" s="239" t="s">
        <v>372</v>
      </c>
      <c r="F1393" s="239" t="s">
        <v>373</v>
      </c>
      <c r="G1393" s="239" t="s">
        <v>957</v>
      </c>
      <c r="H1393" s="239" t="s">
        <v>51</v>
      </c>
      <c r="I1393" s="239" t="s">
        <v>2882</v>
      </c>
      <c r="J1393" s="234">
        <v>41640</v>
      </c>
      <c r="K1393" s="234">
        <v>15140</v>
      </c>
      <c r="L1393" s="242">
        <v>11</v>
      </c>
      <c r="M1393" s="234">
        <v>26500</v>
      </c>
      <c r="N1393" s="234">
        <v>23585</v>
      </c>
      <c r="O1393" s="243" t="s">
        <v>3673</v>
      </c>
      <c r="P1393" s="236">
        <v>45965</v>
      </c>
    </row>
    <row r="1394" spans="1:16" ht="51" customHeight="1">
      <c r="A1394" s="239" t="s">
        <v>3736</v>
      </c>
      <c r="B1394" s="240">
        <v>2928</v>
      </c>
      <c r="C1394" s="241">
        <v>313</v>
      </c>
      <c r="D1394" s="239" t="s">
        <v>2881</v>
      </c>
      <c r="E1394" s="239" t="s">
        <v>1397</v>
      </c>
      <c r="F1394" s="239" t="s">
        <v>1398</v>
      </c>
      <c r="G1394" s="239" t="s">
        <v>957</v>
      </c>
      <c r="H1394" s="239" t="s">
        <v>51</v>
      </c>
      <c r="I1394" s="239" t="s">
        <v>2882</v>
      </c>
      <c r="J1394" s="234">
        <v>46470</v>
      </c>
      <c r="K1394" s="234">
        <v>16990</v>
      </c>
      <c r="L1394" s="242">
        <v>8</v>
      </c>
      <c r="M1394" s="234">
        <v>29480</v>
      </c>
      <c r="N1394" s="234">
        <v>27121.599999999999</v>
      </c>
      <c r="O1394" s="243" t="s">
        <v>3738</v>
      </c>
      <c r="P1394" s="236">
        <v>45965</v>
      </c>
    </row>
    <row r="1395" spans="1:16" ht="51" customHeight="1">
      <c r="A1395" s="239" t="s">
        <v>3735</v>
      </c>
      <c r="B1395" s="240">
        <v>2927</v>
      </c>
      <c r="C1395" s="241">
        <v>314</v>
      </c>
      <c r="D1395" s="239" t="s">
        <v>2881</v>
      </c>
      <c r="E1395" s="239" t="s">
        <v>1403</v>
      </c>
      <c r="F1395" s="239" t="s">
        <v>1404</v>
      </c>
      <c r="G1395" s="239" t="s">
        <v>957</v>
      </c>
      <c r="H1395" s="239" t="s">
        <v>51</v>
      </c>
      <c r="I1395" s="239" t="s">
        <v>2882</v>
      </c>
      <c r="J1395" s="234">
        <v>40160</v>
      </c>
      <c r="K1395" s="234">
        <v>14810</v>
      </c>
      <c r="L1395" s="242">
        <v>4</v>
      </c>
      <c r="M1395" s="234">
        <v>25350</v>
      </c>
      <c r="N1395" s="234">
        <v>24336</v>
      </c>
      <c r="O1395" s="243" t="s">
        <v>3737</v>
      </c>
      <c r="P1395" s="236">
        <v>45965</v>
      </c>
    </row>
    <row r="1396" spans="1:16" ht="51" customHeight="1">
      <c r="A1396" s="239" t="s">
        <v>3820</v>
      </c>
      <c r="B1396" s="240">
        <v>2929</v>
      </c>
      <c r="C1396" s="241">
        <v>8319</v>
      </c>
      <c r="D1396" s="239" t="s">
        <v>2511</v>
      </c>
      <c r="E1396" s="239" t="s">
        <v>377</v>
      </c>
      <c r="F1396" s="239" t="s">
        <v>378</v>
      </c>
      <c r="G1396" s="239" t="s">
        <v>934</v>
      </c>
      <c r="H1396" s="239" t="s">
        <v>42</v>
      </c>
      <c r="I1396" s="239" t="s">
        <v>2512</v>
      </c>
      <c r="J1396" s="234">
        <v>43270</v>
      </c>
      <c r="K1396" s="234">
        <v>15200</v>
      </c>
      <c r="L1396" s="242">
        <v>22</v>
      </c>
      <c r="M1396" s="234">
        <v>28070</v>
      </c>
      <c r="N1396" s="234">
        <v>21894.6</v>
      </c>
      <c r="O1396" s="243" t="s">
        <v>3679</v>
      </c>
      <c r="P1396" s="236">
        <v>45966</v>
      </c>
    </row>
    <row r="1397" spans="1:16" ht="51" customHeight="1">
      <c r="A1397" s="239" t="s">
        <v>3821</v>
      </c>
      <c r="B1397" s="240">
        <v>2930</v>
      </c>
      <c r="C1397" s="241">
        <v>8320</v>
      </c>
      <c r="D1397" s="239" t="s">
        <v>2511</v>
      </c>
      <c r="E1397" s="239" t="s">
        <v>413</v>
      </c>
      <c r="F1397" s="239" t="s">
        <v>414</v>
      </c>
      <c r="G1397" s="239" t="s">
        <v>934</v>
      </c>
      <c r="H1397" s="239" t="s">
        <v>42</v>
      </c>
      <c r="I1397" s="239" t="s">
        <v>2512</v>
      </c>
      <c r="J1397" s="234">
        <v>45580</v>
      </c>
      <c r="K1397" s="234">
        <v>15080</v>
      </c>
      <c r="L1397" s="242">
        <v>14</v>
      </c>
      <c r="M1397" s="234">
        <v>30500</v>
      </c>
      <c r="N1397" s="234">
        <v>26230</v>
      </c>
      <c r="O1397" s="243" t="s">
        <v>3680</v>
      </c>
      <c r="P1397" s="236">
        <v>45966</v>
      </c>
    </row>
    <row r="1398" spans="1:16" ht="51" customHeight="1">
      <c r="A1398" s="239" t="s">
        <v>3684</v>
      </c>
      <c r="B1398" s="240">
        <v>2931</v>
      </c>
      <c r="C1398" s="241">
        <v>8322</v>
      </c>
      <c r="D1398" s="239" t="s">
        <v>2511</v>
      </c>
      <c r="E1398" s="239" t="s">
        <v>384</v>
      </c>
      <c r="F1398" s="239" t="s">
        <v>385</v>
      </c>
      <c r="G1398" s="239" t="s">
        <v>934</v>
      </c>
      <c r="H1398" s="239" t="s">
        <v>42</v>
      </c>
      <c r="I1398" s="239" t="s">
        <v>2512</v>
      </c>
      <c r="J1398" s="234">
        <v>37080</v>
      </c>
      <c r="K1398" s="234">
        <v>13930</v>
      </c>
      <c r="L1398" s="242">
        <v>20</v>
      </c>
      <c r="M1398" s="234">
        <v>23150</v>
      </c>
      <c r="N1398" s="234">
        <v>18520</v>
      </c>
      <c r="O1398" s="243" t="s">
        <v>3696</v>
      </c>
      <c r="P1398" s="236">
        <v>45966</v>
      </c>
    </row>
    <row r="1399" spans="1:16" ht="51" customHeight="1">
      <c r="A1399" s="239" t="s">
        <v>3685</v>
      </c>
      <c r="B1399" s="240">
        <v>2933</v>
      </c>
      <c r="C1399" s="241">
        <v>8323</v>
      </c>
      <c r="D1399" s="239" t="s">
        <v>2511</v>
      </c>
      <c r="E1399" s="239" t="s">
        <v>432</v>
      </c>
      <c r="F1399" s="239" t="s">
        <v>433</v>
      </c>
      <c r="G1399" s="239" t="s">
        <v>934</v>
      </c>
      <c r="H1399" s="239" t="s">
        <v>42</v>
      </c>
      <c r="I1399" s="239" t="s">
        <v>2512</v>
      </c>
      <c r="J1399" s="234">
        <v>46390</v>
      </c>
      <c r="K1399" s="234">
        <v>15780</v>
      </c>
      <c r="L1399" s="242">
        <v>7</v>
      </c>
      <c r="M1399" s="234">
        <v>30610</v>
      </c>
      <c r="N1399" s="234">
        <v>28467.3</v>
      </c>
      <c r="O1399" s="243" t="s">
        <v>3697</v>
      </c>
      <c r="P1399" s="236">
        <v>45966</v>
      </c>
    </row>
    <row r="1400" spans="1:16" ht="51" customHeight="1">
      <c r="A1400" s="239" t="s">
        <v>3686</v>
      </c>
      <c r="B1400" s="240">
        <v>2934</v>
      </c>
      <c r="C1400" s="241">
        <v>8321</v>
      </c>
      <c r="D1400" s="239" t="s">
        <v>2511</v>
      </c>
      <c r="E1400" s="239" t="s">
        <v>392</v>
      </c>
      <c r="F1400" s="239" t="s">
        <v>393</v>
      </c>
      <c r="G1400" s="239" t="s">
        <v>934</v>
      </c>
      <c r="H1400" s="239" t="s">
        <v>42</v>
      </c>
      <c r="I1400" s="239" t="s">
        <v>2512</v>
      </c>
      <c r="J1400" s="234">
        <v>64280</v>
      </c>
      <c r="K1400" s="234">
        <v>24140</v>
      </c>
      <c r="L1400" s="242">
        <v>10</v>
      </c>
      <c r="M1400" s="234">
        <v>40140</v>
      </c>
      <c r="N1400" s="234">
        <v>36126</v>
      </c>
      <c r="O1400" s="243" t="s">
        <v>3698</v>
      </c>
      <c r="P1400" s="236">
        <v>45966</v>
      </c>
    </row>
    <row r="1401" spans="1:16" ht="51" customHeight="1">
      <c r="A1401" s="239" t="s">
        <v>3688</v>
      </c>
      <c r="B1401" s="240">
        <v>2935</v>
      </c>
      <c r="C1401" s="241">
        <v>8324</v>
      </c>
      <c r="D1401" s="239" t="s">
        <v>2511</v>
      </c>
      <c r="E1401" s="239" t="s">
        <v>390</v>
      </c>
      <c r="F1401" s="239" t="s">
        <v>391</v>
      </c>
      <c r="G1401" s="239" t="s">
        <v>934</v>
      </c>
      <c r="H1401" s="239" t="s">
        <v>42</v>
      </c>
      <c r="I1401" s="239" t="s">
        <v>2512</v>
      </c>
      <c r="J1401" s="234">
        <v>41600</v>
      </c>
      <c r="K1401" s="234">
        <v>15030</v>
      </c>
      <c r="L1401" s="242">
        <v>20</v>
      </c>
      <c r="M1401" s="234">
        <v>26570</v>
      </c>
      <c r="N1401" s="234">
        <v>21256</v>
      </c>
      <c r="O1401" s="243" t="s">
        <v>3700</v>
      </c>
      <c r="P1401" s="236">
        <v>45966</v>
      </c>
    </row>
    <row r="1402" spans="1:16" ht="51" customHeight="1">
      <c r="A1402" s="239" t="s">
        <v>3691</v>
      </c>
      <c r="B1402" s="240">
        <v>2938</v>
      </c>
      <c r="C1402" s="241">
        <v>8325</v>
      </c>
      <c r="D1402" s="239" t="s">
        <v>2511</v>
      </c>
      <c r="E1402" s="239" t="s">
        <v>388</v>
      </c>
      <c r="F1402" s="239" t="s">
        <v>389</v>
      </c>
      <c r="G1402" s="239" t="s">
        <v>934</v>
      </c>
      <c r="H1402" s="239" t="s">
        <v>42</v>
      </c>
      <c r="I1402" s="239" t="s">
        <v>2512</v>
      </c>
      <c r="J1402" s="234">
        <v>63940</v>
      </c>
      <c r="K1402" s="234">
        <v>21240</v>
      </c>
      <c r="L1402" s="242">
        <v>7</v>
      </c>
      <c r="M1402" s="234">
        <v>42700</v>
      </c>
      <c r="N1402" s="234">
        <v>39711</v>
      </c>
      <c r="O1402" s="243" t="s">
        <v>3703</v>
      </c>
      <c r="P1402" s="236">
        <v>45966</v>
      </c>
    </row>
    <row r="1403" spans="1:16" ht="51" customHeight="1">
      <c r="A1403" s="239" t="s">
        <v>3692</v>
      </c>
      <c r="B1403" s="240">
        <v>2952</v>
      </c>
      <c r="C1403" s="241">
        <v>319</v>
      </c>
      <c r="D1403" s="239" t="s">
        <v>2881</v>
      </c>
      <c r="E1403" s="239" t="s">
        <v>2053</v>
      </c>
      <c r="F1403" s="239" t="s">
        <v>2054</v>
      </c>
      <c r="G1403" s="239" t="s">
        <v>956</v>
      </c>
      <c r="H1403" s="239" t="s">
        <v>51</v>
      </c>
      <c r="I1403" s="239" t="s">
        <v>2882</v>
      </c>
      <c r="J1403" s="234">
        <v>27770</v>
      </c>
      <c r="K1403" s="234">
        <v>14360</v>
      </c>
      <c r="L1403" s="242">
        <v>22</v>
      </c>
      <c r="M1403" s="234">
        <v>13410</v>
      </c>
      <c r="N1403" s="234">
        <v>10459.799999999999</v>
      </c>
      <c r="O1403" s="243" t="s">
        <v>3704</v>
      </c>
      <c r="P1403" s="236">
        <v>45966</v>
      </c>
    </row>
    <row r="1404" spans="1:16" ht="51" customHeight="1">
      <c r="A1404" s="239" t="s">
        <v>3693</v>
      </c>
      <c r="B1404" s="240">
        <v>2941</v>
      </c>
      <c r="C1404" s="241">
        <v>8326</v>
      </c>
      <c r="D1404" s="239" t="s">
        <v>2511</v>
      </c>
      <c r="E1404" s="239" t="s">
        <v>429</v>
      </c>
      <c r="F1404" s="239" t="s">
        <v>430</v>
      </c>
      <c r="G1404" s="239" t="s">
        <v>934</v>
      </c>
      <c r="H1404" s="239" t="s">
        <v>42</v>
      </c>
      <c r="I1404" s="239" t="s">
        <v>2512</v>
      </c>
      <c r="J1404" s="234">
        <v>44150</v>
      </c>
      <c r="K1404" s="234">
        <v>14480</v>
      </c>
      <c r="L1404" s="242">
        <v>14</v>
      </c>
      <c r="M1404" s="234">
        <v>29670</v>
      </c>
      <c r="N1404" s="234">
        <v>25516.2</v>
      </c>
      <c r="O1404" s="243" t="s">
        <v>3705</v>
      </c>
      <c r="P1404" s="236">
        <v>45966</v>
      </c>
    </row>
    <row r="1405" spans="1:16" ht="51" customHeight="1">
      <c r="A1405" s="239" t="s">
        <v>3682</v>
      </c>
      <c r="B1405" s="240">
        <v>2947</v>
      </c>
      <c r="C1405" s="241">
        <v>8327</v>
      </c>
      <c r="D1405" s="239" t="s">
        <v>2511</v>
      </c>
      <c r="E1405" s="239" t="s">
        <v>1410</v>
      </c>
      <c r="F1405" s="239" t="s">
        <v>437</v>
      </c>
      <c r="G1405" s="239" t="s">
        <v>934</v>
      </c>
      <c r="H1405" s="239" t="s">
        <v>42</v>
      </c>
      <c r="I1405" s="239" t="s">
        <v>2512</v>
      </c>
      <c r="J1405" s="234">
        <v>42180</v>
      </c>
      <c r="K1405" s="234">
        <v>14980</v>
      </c>
      <c r="L1405" s="242">
        <v>24</v>
      </c>
      <c r="M1405" s="234">
        <v>27200</v>
      </c>
      <c r="N1405" s="234">
        <v>20672</v>
      </c>
      <c r="O1405" s="243" t="s">
        <v>3694</v>
      </c>
      <c r="P1405" s="236">
        <v>45966</v>
      </c>
    </row>
    <row r="1406" spans="1:16" ht="51" customHeight="1">
      <c r="A1406" s="239" t="s">
        <v>3683</v>
      </c>
      <c r="B1406" s="240">
        <v>2948</v>
      </c>
      <c r="C1406" s="241">
        <v>8328</v>
      </c>
      <c r="D1406" s="239" t="s">
        <v>2511</v>
      </c>
      <c r="E1406" s="239" t="s">
        <v>439</v>
      </c>
      <c r="F1406" s="239" t="s">
        <v>440</v>
      </c>
      <c r="G1406" s="239" t="s">
        <v>934</v>
      </c>
      <c r="H1406" s="239" t="s">
        <v>42</v>
      </c>
      <c r="I1406" s="239" t="s">
        <v>2512</v>
      </c>
      <c r="J1406" s="234">
        <v>46070</v>
      </c>
      <c r="K1406" s="234">
        <v>15250</v>
      </c>
      <c r="L1406" s="242">
        <v>27</v>
      </c>
      <c r="M1406" s="234">
        <v>30820</v>
      </c>
      <c r="N1406" s="234">
        <v>22498.6</v>
      </c>
      <c r="O1406" s="243" t="s">
        <v>3695</v>
      </c>
      <c r="P1406" s="236">
        <v>45966</v>
      </c>
    </row>
    <row r="1407" spans="1:16" ht="51" customHeight="1">
      <c r="A1407" s="239" t="s">
        <v>3687</v>
      </c>
      <c r="B1407" s="240">
        <v>2951</v>
      </c>
      <c r="C1407" s="241">
        <v>8329</v>
      </c>
      <c r="D1407" s="239" t="s">
        <v>2511</v>
      </c>
      <c r="E1407" s="239" t="s">
        <v>858</v>
      </c>
      <c r="F1407" s="239" t="s">
        <v>859</v>
      </c>
      <c r="G1407" s="239" t="s">
        <v>934</v>
      </c>
      <c r="H1407" s="239" t="s">
        <v>42</v>
      </c>
      <c r="I1407" s="239" t="s">
        <v>2512</v>
      </c>
      <c r="J1407" s="234">
        <v>43320</v>
      </c>
      <c r="K1407" s="234">
        <v>15010</v>
      </c>
      <c r="L1407" s="242">
        <v>20</v>
      </c>
      <c r="M1407" s="234">
        <v>28310</v>
      </c>
      <c r="N1407" s="234">
        <v>22648</v>
      </c>
      <c r="O1407" s="243" t="s">
        <v>3699</v>
      </c>
      <c r="P1407" s="236">
        <v>45966</v>
      </c>
    </row>
    <row r="1408" spans="1:16" ht="51" customHeight="1">
      <c r="A1408" s="239" t="s">
        <v>3689</v>
      </c>
      <c r="B1408" s="240">
        <v>2953</v>
      </c>
      <c r="C1408" s="241">
        <v>8330</v>
      </c>
      <c r="D1408" s="239" t="s">
        <v>2511</v>
      </c>
      <c r="E1408" s="239" t="s">
        <v>374</v>
      </c>
      <c r="F1408" s="239" t="s">
        <v>375</v>
      </c>
      <c r="G1408" s="239" t="s">
        <v>934</v>
      </c>
      <c r="H1408" s="239" t="s">
        <v>42</v>
      </c>
      <c r="I1408" s="239" t="s">
        <v>2512</v>
      </c>
      <c r="J1408" s="234">
        <v>40390</v>
      </c>
      <c r="K1408" s="234">
        <v>15640</v>
      </c>
      <c r="L1408" s="242">
        <v>18</v>
      </c>
      <c r="M1408" s="234">
        <v>24750</v>
      </c>
      <c r="N1408" s="234">
        <v>20295</v>
      </c>
      <c r="O1408" s="243" t="s">
        <v>3701</v>
      </c>
      <c r="P1408" s="236">
        <v>45966</v>
      </c>
    </row>
    <row r="1409" spans="1:16" ht="51" customHeight="1">
      <c r="A1409" s="239" t="s">
        <v>3690</v>
      </c>
      <c r="B1409" s="240">
        <v>2954</v>
      </c>
      <c r="C1409" s="241">
        <v>8333</v>
      </c>
      <c r="D1409" s="239" t="s">
        <v>2511</v>
      </c>
      <c r="E1409" s="239" t="s">
        <v>380</v>
      </c>
      <c r="F1409" s="239" t="s">
        <v>381</v>
      </c>
      <c r="G1409" s="239" t="s">
        <v>934</v>
      </c>
      <c r="H1409" s="239" t="s">
        <v>42</v>
      </c>
      <c r="I1409" s="239" t="s">
        <v>2512</v>
      </c>
      <c r="J1409" s="234">
        <v>40920</v>
      </c>
      <c r="K1409" s="234">
        <v>15110</v>
      </c>
      <c r="L1409" s="242">
        <v>24</v>
      </c>
      <c r="M1409" s="234">
        <v>25810</v>
      </c>
      <c r="N1409" s="234">
        <v>19615.599999999999</v>
      </c>
      <c r="O1409" s="243" t="s">
        <v>3702</v>
      </c>
      <c r="P1409" s="236">
        <v>45966</v>
      </c>
    </row>
    <row r="1410" spans="1:16" ht="51" customHeight="1">
      <c r="A1410" s="239" t="s">
        <v>3707</v>
      </c>
      <c r="B1410" s="240">
        <v>2956</v>
      </c>
      <c r="C1410" s="241">
        <v>8334</v>
      </c>
      <c r="D1410" s="239" t="s">
        <v>2511</v>
      </c>
      <c r="E1410" s="239" t="s">
        <v>403</v>
      </c>
      <c r="F1410" s="239" t="s">
        <v>404</v>
      </c>
      <c r="G1410" s="239" t="s">
        <v>934</v>
      </c>
      <c r="H1410" s="239" t="s">
        <v>42</v>
      </c>
      <c r="I1410" s="239" t="s">
        <v>2512</v>
      </c>
      <c r="J1410" s="234">
        <v>40240</v>
      </c>
      <c r="K1410" s="234">
        <v>14610</v>
      </c>
      <c r="L1410" s="242">
        <v>18</v>
      </c>
      <c r="M1410" s="234">
        <v>25630</v>
      </c>
      <c r="N1410" s="234">
        <v>21016.6</v>
      </c>
      <c r="O1410" s="243" t="s">
        <v>3710</v>
      </c>
      <c r="P1410" s="236">
        <v>45966</v>
      </c>
    </row>
    <row r="1411" spans="1:16" ht="51" customHeight="1">
      <c r="A1411" s="239" t="s">
        <v>3708</v>
      </c>
      <c r="B1411" s="240">
        <v>2957</v>
      </c>
      <c r="C1411" s="241">
        <v>8335</v>
      </c>
      <c r="D1411" s="239" t="s">
        <v>2511</v>
      </c>
      <c r="E1411" s="239" t="s">
        <v>406</v>
      </c>
      <c r="F1411" s="239" t="s">
        <v>407</v>
      </c>
      <c r="G1411" s="239" t="s">
        <v>934</v>
      </c>
      <c r="H1411" s="239" t="s">
        <v>42</v>
      </c>
      <c r="I1411" s="239" t="s">
        <v>2512</v>
      </c>
      <c r="J1411" s="234">
        <v>41950</v>
      </c>
      <c r="K1411" s="234">
        <v>15140</v>
      </c>
      <c r="L1411" s="242">
        <v>11</v>
      </c>
      <c r="M1411" s="234">
        <v>26810</v>
      </c>
      <c r="N1411" s="234">
        <v>23860.9</v>
      </c>
      <c r="O1411" s="243" t="s">
        <v>3711</v>
      </c>
      <c r="P1411" s="236">
        <v>45966</v>
      </c>
    </row>
    <row r="1412" spans="1:16" ht="51" customHeight="1">
      <c r="A1412" s="239" t="s">
        <v>3709</v>
      </c>
      <c r="B1412" s="240">
        <v>2958</v>
      </c>
      <c r="C1412" s="241">
        <v>8337</v>
      </c>
      <c r="D1412" s="239" t="s">
        <v>2511</v>
      </c>
      <c r="E1412" s="239" t="s">
        <v>382</v>
      </c>
      <c r="F1412" s="239" t="s">
        <v>383</v>
      </c>
      <c r="G1412" s="239" t="s">
        <v>934</v>
      </c>
      <c r="H1412" s="239" t="s">
        <v>42</v>
      </c>
      <c r="I1412" s="239" t="s">
        <v>2512</v>
      </c>
      <c r="J1412" s="234">
        <v>39290</v>
      </c>
      <c r="K1412" s="234">
        <v>14770</v>
      </c>
      <c r="L1412" s="242">
        <v>25</v>
      </c>
      <c r="M1412" s="234">
        <v>24520</v>
      </c>
      <c r="N1412" s="234">
        <v>18390</v>
      </c>
      <c r="O1412" s="243" t="s">
        <v>3712</v>
      </c>
      <c r="P1412" s="236">
        <v>45967</v>
      </c>
    </row>
    <row r="1413" spans="1:16" ht="51" customHeight="1">
      <c r="A1413" s="239" t="s">
        <v>3716</v>
      </c>
      <c r="B1413" s="240">
        <v>2959</v>
      </c>
      <c r="C1413" s="241">
        <v>8339</v>
      </c>
      <c r="D1413" s="239" t="s">
        <v>2511</v>
      </c>
      <c r="E1413" s="239" t="s">
        <v>453</v>
      </c>
      <c r="F1413" s="239" t="s">
        <v>454</v>
      </c>
      <c r="G1413" s="239" t="s">
        <v>934</v>
      </c>
      <c r="H1413" s="239" t="s">
        <v>42</v>
      </c>
      <c r="I1413" s="239" t="s">
        <v>2512</v>
      </c>
      <c r="J1413" s="234">
        <v>66540</v>
      </c>
      <c r="K1413" s="234">
        <v>24550</v>
      </c>
      <c r="L1413" s="242">
        <v>20</v>
      </c>
      <c r="M1413" s="234">
        <v>41990</v>
      </c>
      <c r="N1413" s="234">
        <v>33592</v>
      </c>
      <c r="O1413" s="243" t="s">
        <v>3727</v>
      </c>
      <c r="P1413" s="236">
        <v>45967</v>
      </c>
    </row>
    <row r="1414" spans="1:16" ht="51" customHeight="1">
      <c r="A1414" s="239" t="s">
        <v>3717</v>
      </c>
      <c r="B1414" s="240">
        <v>2960</v>
      </c>
      <c r="C1414" s="241">
        <v>8342</v>
      </c>
      <c r="D1414" s="239" t="s">
        <v>2511</v>
      </c>
      <c r="E1414" s="239" t="s">
        <v>794</v>
      </c>
      <c r="F1414" s="239" t="s">
        <v>795</v>
      </c>
      <c r="G1414" s="239" t="s">
        <v>934</v>
      </c>
      <c r="H1414" s="239" t="s">
        <v>42</v>
      </c>
      <c r="I1414" s="239" t="s">
        <v>2512</v>
      </c>
      <c r="J1414" s="234">
        <v>43090</v>
      </c>
      <c r="K1414" s="234">
        <v>16200</v>
      </c>
      <c r="L1414" s="242">
        <v>8</v>
      </c>
      <c r="M1414" s="234">
        <v>26890</v>
      </c>
      <c r="N1414" s="234">
        <v>24738.799999999999</v>
      </c>
      <c r="O1414" s="243" t="s">
        <v>3728</v>
      </c>
      <c r="P1414" s="236">
        <v>45967</v>
      </c>
    </row>
    <row r="1415" spans="1:16" ht="51" customHeight="1">
      <c r="A1415" s="239" t="s">
        <v>3720</v>
      </c>
      <c r="B1415" s="240">
        <v>2961</v>
      </c>
      <c r="C1415" s="241">
        <v>8340</v>
      </c>
      <c r="D1415" s="239" t="s">
        <v>2511</v>
      </c>
      <c r="E1415" s="239" t="s">
        <v>416</v>
      </c>
      <c r="F1415" s="239" t="s">
        <v>417</v>
      </c>
      <c r="G1415" s="239" t="s">
        <v>934</v>
      </c>
      <c r="H1415" s="239" t="s">
        <v>42</v>
      </c>
      <c r="I1415" s="239" t="s">
        <v>2512</v>
      </c>
      <c r="J1415" s="234">
        <v>40410</v>
      </c>
      <c r="K1415" s="234">
        <v>14810</v>
      </c>
      <c r="L1415" s="242">
        <v>27</v>
      </c>
      <c r="M1415" s="234">
        <v>25600</v>
      </c>
      <c r="N1415" s="234">
        <v>18688</v>
      </c>
      <c r="O1415" s="243" t="s">
        <v>3731</v>
      </c>
      <c r="P1415" s="236">
        <v>45967</v>
      </c>
    </row>
    <row r="1416" spans="1:16" ht="51" customHeight="1">
      <c r="A1416" s="239" t="s">
        <v>3721</v>
      </c>
      <c r="B1416" s="240">
        <v>2962</v>
      </c>
      <c r="C1416" s="241">
        <v>8341</v>
      </c>
      <c r="D1416" s="239" t="s">
        <v>2511</v>
      </c>
      <c r="E1416" s="239" t="s">
        <v>420</v>
      </c>
      <c r="F1416" s="239" t="s">
        <v>421</v>
      </c>
      <c r="G1416" s="239" t="s">
        <v>934</v>
      </c>
      <c r="H1416" s="239" t="s">
        <v>42</v>
      </c>
      <c r="I1416" s="239" t="s">
        <v>2512</v>
      </c>
      <c r="J1416" s="234">
        <v>38670</v>
      </c>
      <c r="K1416" s="234">
        <v>14980</v>
      </c>
      <c r="L1416" s="242">
        <v>27</v>
      </c>
      <c r="M1416" s="234">
        <v>23690</v>
      </c>
      <c r="N1416" s="234">
        <v>17293.7</v>
      </c>
      <c r="O1416" s="243" t="s">
        <v>3732</v>
      </c>
      <c r="P1416" s="236">
        <v>45967</v>
      </c>
    </row>
    <row r="1417" spans="1:16" ht="51" customHeight="1">
      <c r="A1417" s="239" t="s">
        <v>3722</v>
      </c>
      <c r="B1417" s="240">
        <v>2963</v>
      </c>
      <c r="C1417" s="241">
        <v>8344</v>
      </c>
      <c r="D1417" s="239" t="s">
        <v>2511</v>
      </c>
      <c r="E1417" s="239" t="s">
        <v>866</v>
      </c>
      <c r="F1417" s="239" t="s">
        <v>867</v>
      </c>
      <c r="G1417" s="239" t="s">
        <v>934</v>
      </c>
      <c r="H1417" s="239" t="s">
        <v>42</v>
      </c>
      <c r="I1417" s="239" t="s">
        <v>2512</v>
      </c>
      <c r="J1417" s="234">
        <v>39440</v>
      </c>
      <c r="K1417" s="234">
        <v>14550</v>
      </c>
      <c r="L1417" s="242">
        <v>30</v>
      </c>
      <c r="M1417" s="234">
        <v>24890</v>
      </c>
      <c r="N1417" s="234">
        <v>17423</v>
      </c>
      <c r="O1417" s="243" t="s">
        <v>3733</v>
      </c>
      <c r="P1417" s="236">
        <v>45967</v>
      </c>
    </row>
    <row r="1418" spans="1:16" ht="51" customHeight="1">
      <c r="A1418" s="239" t="s">
        <v>3723</v>
      </c>
      <c r="B1418" s="240">
        <v>2964</v>
      </c>
      <c r="C1418" s="241">
        <v>8345</v>
      </c>
      <c r="D1418" s="239" t="s">
        <v>2511</v>
      </c>
      <c r="E1418" s="239" t="s">
        <v>369</v>
      </c>
      <c r="F1418" s="239" t="s">
        <v>370</v>
      </c>
      <c r="G1418" s="239" t="s">
        <v>934</v>
      </c>
      <c r="H1418" s="239" t="s">
        <v>42</v>
      </c>
      <c r="I1418" s="239" t="s">
        <v>2512</v>
      </c>
      <c r="J1418" s="234">
        <v>39310</v>
      </c>
      <c r="K1418" s="234">
        <v>15230</v>
      </c>
      <c r="L1418" s="242">
        <v>14</v>
      </c>
      <c r="M1418" s="234">
        <v>24080</v>
      </c>
      <c r="N1418" s="234">
        <v>20708.8</v>
      </c>
      <c r="O1418" s="243" t="s">
        <v>3734</v>
      </c>
      <c r="P1418" s="236">
        <v>45967</v>
      </c>
    </row>
    <row r="1419" spans="1:16" ht="51" customHeight="1">
      <c r="A1419" s="239" t="s">
        <v>3713</v>
      </c>
      <c r="B1419" s="240">
        <v>2967</v>
      </c>
      <c r="C1419" s="241">
        <v>8348</v>
      </c>
      <c r="D1419" s="239" t="s">
        <v>2511</v>
      </c>
      <c r="E1419" s="239" t="s">
        <v>791</v>
      </c>
      <c r="F1419" s="239" t="s">
        <v>792</v>
      </c>
      <c r="G1419" s="239" t="s">
        <v>934</v>
      </c>
      <c r="H1419" s="239" t="s">
        <v>42</v>
      </c>
      <c r="I1419" s="239" t="s">
        <v>2512</v>
      </c>
      <c r="J1419" s="234">
        <v>41120</v>
      </c>
      <c r="K1419" s="234">
        <v>15020</v>
      </c>
      <c r="L1419" s="242">
        <v>14</v>
      </c>
      <c r="M1419" s="234">
        <v>26100</v>
      </c>
      <c r="N1419" s="234">
        <v>22446</v>
      </c>
      <c r="O1419" s="243" t="s">
        <v>3724</v>
      </c>
      <c r="P1419" s="236">
        <v>45967</v>
      </c>
    </row>
    <row r="1420" spans="1:16" ht="51" customHeight="1">
      <c r="A1420" s="239" t="s">
        <v>3714</v>
      </c>
      <c r="B1420" s="240">
        <v>2969</v>
      </c>
      <c r="C1420" s="241">
        <v>8353</v>
      </c>
      <c r="D1420" s="239" t="s">
        <v>2511</v>
      </c>
      <c r="E1420" s="239" t="s">
        <v>783</v>
      </c>
      <c r="F1420" s="239" t="s">
        <v>784</v>
      </c>
      <c r="G1420" s="239" t="s">
        <v>934</v>
      </c>
      <c r="H1420" s="239" t="s">
        <v>42</v>
      </c>
      <c r="I1420" s="239" t="s">
        <v>2512</v>
      </c>
      <c r="J1420" s="234">
        <v>40590</v>
      </c>
      <c r="K1420" s="234">
        <v>14790</v>
      </c>
      <c r="L1420" s="242">
        <v>13</v>
      </c>
      <c r="M1420" s="234">
        <v>25800</v>
      </c>
      <c r="N1420" s="234">
        <v>22446</v>
      </c>
      <c r="O1420" s="243" t="s">
        <v>3725</v>
      </c>
      <c r="P1420" s="236">
        <v>45967</v>
      </c>
    </row>
    <row r="1421" spans="1:16" ht="51" customHeight="1">
      <c r="A1421" s="239" t="s">
        <v>3715</v>
      </c>
      <c r="B1421" s="240">
        <v>2970</v>
      </c>
      <c r="C1421" s="241">
        <v>8354</v>
      </c>
      <c r="D1421" s="239" t="s">
        <v>2511</v>
      </c>
      <c r="E1421" s="239" t="s">
        <v>786</v>
      </c>
      <c r="F1421" s="239" t="s">
        <v>787</v>
      </c>
      <c r="G1421" s="239" t="s">
        <v>934</v>
      </c>
      <c r="H1421" s="239" t="s">
        <v>42</v>
      </c>
      <c r="I1421" s="239" t="s">
        <v>2512</v>
      </c>
      <c r="J1421" s="234">
        <v>37050</v>
      </c>
      <c r="K1421" s="234">
        <v>14120</v>
      </c>
      <c r="L1421" s="242">
        <v>27</v>
      </c>
      <c r="M1421" s="234">
        <v>22930</v>
      </c>
      <c r="N1421" s="234">
        <v>16738.900000000001</v>
      </c>
      <c r="O1421" s="243" t="s">
        <v>3726</v>
      </c>
      <c r="P1421" s="236">
        <v>45967</v>
      </c>
    </row>
    <row r="1422" spans="1:16" ht="51" customHeight="1">
      <c r="A1422" s="239" t="s">
        <v>3718</v>
      </c>
      <c r="B1422" s="240">
        <v>2971</v>
      </c>
      <c r="C1422" s="241">
        <v>8010</v>
      </c>
      <c r="D1422" s="239" t="s">
        <v>2511</v>
      </c>
      <c r="E1422" s="239" t="s">
        <v>841</v>
      </c>
      <c r="F1422" s="239" t="s">
        <v>845</v>
      </c>
      <c r="G1422" s="239" t="s">
        <v>934</v>
      </c>
      <c r="H1422" s="239" t="s">
        <v>42</v>
      </c>
      <c r="I1422" s="239" t="s">
        <v>2512</v>
      </c>
      <c r="J1422" s="234">
        <v>43960</v>
      </c>
      <c r="K1422" s="234">
        <v>16200</v>
      </c>
      <c r="L1422" s="242">
        <v>13</v>
      </c>
      <c r="M1422" s="234">
        <v>27760</v>
      </c>
      <c r="N1422" s="234">
        <v>24151.200000000001</v>
      </c>
      <c r="O1422" s="243" t="s">
        <v>3729</v>
      </c>
      <c r="P1422" s="236">
        <v>45967</v>
      </c>
    </row>
    <row r="1423" spans="1:16" ht="51" customHeight="1">
      <c r="A1423" s="239" t="s">
        <v>3719</v>
      </c>
      <c r="B1423" s="240">
        <v>2972</v>
      </c>
      <c r="C1423" s="241">
        <v>8355</v>
      </c>
      <c r="D1423" s="239" t="s">
        <v>2511</v>
      </c>
      <c r="E1423" s="239" t="s">
        <v>447</v>
      </c>
      <c r="F1423" s="239" t="s">
        <v>448</v>
      </c>
      <c r="G1423" s="239" t="s">
        <v>934</v>
      </c>
      <c r="H1423" s="239" t="s">
        <v>42</v>
      </c>
      <c r="I1423" s="239" t="s">
        <v>2512</v>
      </c>
      <c r="J1423" s="234">
        <v>52590</v>
      </c>
      <c r="K1423" s="234">
        <v>19380</v>
      </c>
      <c r="L1423" s="242">
        <v>8</v>
      </c>
      <c r="M1423" s="234">
        <v>33210</v>
      </c>
      <c r="N1423" s="234">
        <v>30553.200000000001</v>
      </c>
      <c r="O1423" s="243" t="s">
        <v>3730</v>
      </c>
      <c r="P1423" s="236">
        <v>45967</v>
      </c>
    </row>
    <row r="1424" spans="1:16" ht="51" customHeight="1">
      <c r="A1424" s="239" t="s">
        <v>3739</v>
      </c>
      <c r="B1424" s="240">
        <v>2973</v>
      </c>
      <c r="C1424" s="241">
        <v>8387</v>
      </c>
      <c r="D1424" s="239" t="s">
        <v>2511</v>
      </c>
      <c r="E1424" s="239" t="s">
        <v>1397</v>
      </c>
      <c r="F1424" s="239" t="s">
        <v>1398</v>
      </c>
      <c r="G1424" s="239" t="s">
        <v>934</v>
      </c>
      <c r="H1424" s="239" t="s">
        <v>42</v>
      </c>
      <c r="I1424" s="239" t="s">
        <v>2512</v>
      </c>
      <c r="J1424" s="234">
        <v>45520</v>
      </c>
      <c r="K1424" s="234">
        <v>17120</v>
      </c>
      <c r="L1424" s="242">
        <v>5</v>
      </c>
      <c r="M1424" s="234">
        <v>28400</v>
      </c>
      <c r="N1424" s="234">
        <v>26980</v>
      </c>
      <c r="O1424" s="243" t="s">
        <v>3740</v>
      </c>
      <c r="P1424" s="236">
        <v>45967</v>
      </c>
    </row>
    <row r="1425" spans="1:16" ht="51" customHeight="1">
      <c r="A1425" s="239" t="s">
        <v>3741</v>
      </c>
      <c r="B1425" s="240">
        <v>2984</v>
      </c>
      <c r="C1425" s="241">
        <v>328</v>
      </c>
      <c r="D1425" s="239" t="s">
        <v>2881</v>
      </c>
      <c r="E1425" s="239" t="s">
        <v>2053</v>
      </c>
      <c r="F1425" s="239" t="s">
        <v>2054</v>
      </c>
      <c r="G1425" s="239" t="s">
        <v>956</v>
      </c>
      <c r="H1425" s="239" t="s">
        <v>51</v>
      </c>
      <c r="I1425" s="239" t="s">
        <v>2882</v>
      </c>
      <c r="J1425" s="234">
        <v>28290</v>
      </c>
      <c r="K1425" s="234">
        <v>14290</v>
      </c>
      <c r="L1425" s="242">
        <v>25</v>
      </c>
      <c r="M1425" s="234">
        <v>14000</v>
      </c>
      <c r="N1425" s="234">
        <v>10500</v>
      </c>
      <c r="O1425" s="243" t="s">
        <v>3766</v>
      </c>
      <c r="P1425" s="236">
        <v>45969</v>
      </c>
    </row>
    <row r="1426" spans="1:16" ht="51" customHeight="1">
      <c r="A1426" s="239" t="s">
        <v>3742</v>
      </c>
      <c r="B1426" s="240">
        <v>2986</v>
      </c>
      <c r="C1426" s="241">
        <v>320</v>
      </c>
      <c r="D1426" s="239" t="s">
        <v>2881</v>
      </c>
      <c r="E1426" s="239" t="s">
        <v>442</v>
      </c>
      <c r="F1426" s="239" t="s">
        <v>443</v>
      </c>
      <c r="G1426" s="239" t="s">
        <v>956</v>
      </c>
      <c r="H1426" s="239" t="s">
        <v>51</v>
      </c>
      <c r="I1426" s="239" t="s">
        <v>2882</v>
      </c>
      <c r="J1426" s="234">
        <v>34810</v>
      </c>
      <c r="K1426" s="234">
        <v>14650</v>
      </c>
      <c r="L1426" s="242">
        <v>24</v>
      </c>
      <c r="M1426" s="234">
        <v>20160</v>
      </c>
      <c r="N1426" s="234">
        <v>15321.6</v>
      </c>
      <c r="O1426" s="243" t="s">
        <v>3767</v>
      </c>
      <c r="P1426" s="236">
        <v>45969</v>
      </c>
    </row>
    <row r="1427" spans="1:16" ht="51" customHeight="1">
      <c r="A1427" s="239" t="s">
        <v>3743</v>
      </c>
      <c r="B1427" s="240">
        <v>2987</v>
      </c>
      <c r="C1427" s="241">
        <v>321</v>
      </c>
      <c r="D1427" s="239" t="s">
        <v>2881</v>
      </c>
      <c r="E1427" s="239" t="s">
        <v>780</v>
      </c>
      <c r="F1427" s="239" t="s">
        <v>781</v>
      </c>
      <c r="G1427" s="239" t="s">
        <v>956</v>
      </c>
      <c r="H1427" s="239" t="s">
        <v>51</v>
      </c>
      <c r="I1427" s="239" t="s">
        <v>2882</v>
      </c>
      <c r="J1427" s="234">
        <v>35670</v>
      </c>
      <c r="K1427" s="234">
        <v>15010</v>
      </c>
      <c r="L1427" s="242">
        <v>29</v>
      </c>
      <c r="M1427" s="234">
        <v>20660</v>
      </c>
      <c r="N1427" s="234">
        <v>14668.6</v>
      </c>
      <c r="O1427" s="243" t="s">
        <v>3768</v>
      </c>
      <c r="P1427" s="236">
        <v>45969</v>
      </c>
    </row>
    <row r="1428" spans="1:16" ht="51" customHeight="1">
      <c r="A1428" s="239" t="s">
        <v>3744</v>
      </c>
      <c r="B1428" s="240">
        <v>2989</v>
      </c>
      <c r="C1428" s="241">
        <v>322</v>
      </c>
      <c r="D1428" s="239" t="s">
        <v>2881</v>
      </c>
      <c r="E1428" s="239" t="s">
        <v>384</v>
      </c>
      <c r="F1428" s="239" t="s">
        <v>385</v>
      </c>
      <c r="G1428" s="239" t="s">
        <v>956</v>
      </c>
      <c r="H1428" s="239" t="s">
        <v>51</v>
      </c>
      <c r="I1428" s="239" t="s">
        <v>2882</v>
      </c>
      <c r="J1428" s="234">
        <v>35450</v>
      </c>
      <c r="K1428" s="234">
        <v>13920</v>
      </c>
      <c r="L1428" s="242">
        <v>29</v>
      </c>
      <c r="M1428" s="234">
        <v>21530</v>
      </c>
      <c r="N1428" s="234">
        <v>15286.3</v>
      </c>
      <c r="O1428" s="243" t="s">
        <v>3769</v>
      </c>
      <c r="P1428" s="236">
        <v>45969</v>
      </c>
    </row>
    <row r="1429" spans="1:16" ht="51" customHeight="1">
      <c r="A1429" s="239" t="s">
        <v>3745</v>
      </c>
      <c r="B1429" s="240">
        <v>2990</v>
      </c>
      <c r="C1429" s="241">
        <v>323</v>
      </c>
      <c r="D1429" s="239" t="s">
        <v>2881</v>
      </c>
      <c r="E1429" s="239" t="s">
        <v>372</v>
      </c>
      <c r="F1429" s="239" t="s">
        <v>373</v>
      </c>
      <c r="G1429" s="239" t="s">
        <v>956</v>
      </c>
      <c r="H1429" s="239" t="s">
        <v>51</v>
      </c>
      <c r="I1429" s="239" t="s">
        <v>2882</v>
      </c>
      <c r="J1429" s="234">
        <v>38240</v>
      </c>
      <c r="K1429" s="234">
        <v>15010</v>
      </c>
      <c r="L1429" s="242">
        <v>25</v>
      </c>
      <c r="M1429" s="234">
        <v>23230</v>
      </c>
      <c r="N1429" s="234">
        <v>17422.5</v>
      </c>
      <c r="O1429" s="243" t="s">
        <v>3770</v>
      </c>
      <c r="P1429" s="236">
        <v>45969</v>
      </c>
    </row>
    <row r="1430" spans="1:16" ht="51" customHeight="1">
      <c r="A1430" s="239" t="s">
        <v>3746</v>
      </c>
      <c r="B1430" s="240">
        <v>2991</v>
      </c>
      <c r="C1430" s="241">
        <v>324</v>
      </c>
      <c r="D1430" s="239" t="s">
        <v>2881</v>
      </c>
      <c r="E1430" s="239" t="s">
        <v>866</v>
      </c>
      <c r="F1430" s="239" t="s">
        <v>867</v>
      </c>
      <c r="G1430" s="239" t="s">
        <v>956</v>
      </c>
      <c r="H1430" s="239" t="s">
        <v>51</v>
      </c>
      <c r="I1430" s="239" t="s">
        <v>2882</v>
      </c>
      <c r="J1430" s="234">
        <v>37440</v>
      </c>
      <c r="K1430" s="234">
        <v>14610</v>
      </c>
      <c r="L1430" s="242">
        <v>32</v>
      </c>
      <c r="M1430" s="234">
        <v>22830</v>
      </c>
      <c r="N1430" s="234">
        <v>15524.4</v>
      </c>
      <c r="O1430" s="243" t="s">
        <v>3771</v>
      </c>
      <c r="P1430" s="236">
        <v>45969</v>
      </c>
    </row>
    <row r="1431" spans="1:16" ht="51" customHeight="1">
      <c r="A1431" s="239" t="s">
        <v>3747</v>
      </c>
      <c r="B1431" s="240">
        <v>2992</v>
      </c>
      <c r="C1431" s="241">
        <v>325</v>
      </c>
      <c r="D1431" s="239" t="s">
        <v>2881</v>
      </c>
      <c r="E1431" s="239" t="s">
        <v>369</v>
      </c>
      <c r="F1431" s="239" t="s">
        <v>370</v>
      </c>
      <c r="G1431" s="239" t="s">
        <v>956</v>
      </c>
      <c r="H1431" s="239" t="s">
        <v>51</v>
      </c>
      <c r="I1431" s="239" t="s">
        <v>2882</v>
      </c>
      <c r="J1431" s="234">
        <v>37700</v>
      </c>
      <c r="K1431" s="234">
        <v>15250</v>
      </c>
      <c r="L1431" s="242">
        <v>35</v>
      </c>
      <c r="M1431" s="234">
        <v>22450</v>
      </c>
      <c r="N1431" s="234">
        <v>14592.5</v>
      </c>
      <c r="O1431" s="243" t="s">
        <v>3772</v>
      </c>
      <c r="P1431" s="236">
        <v>45969</v>
      </c>
    </row>
    <row r="1432" spans="1:16" ht="51" customHeight="1">
      <c r="A1432" s="239" t="s">
        <v>3748</v>
      </c>
      <c r="B1432" s="240">
        <v>2993</v>
      </c>
      <c r="C1432" s="241">
        <v>326</v>
      </c>
      <c r="D1432" s="239" t="s">
        <v>2881</v>
      </c>
      <c r="E1432" s="239" t="s">
        <v>380</v>
      </c>
      <c r="F1432" s="239" t="s">
        <v>381</v>
      </c>
      <c r="G1432" s="239" t="s">
        <v>956</v>
      </c>
      <c r="H1432" s="239" t="s">
        <v>51</v>
      </c>
      <c r="I1432" s="239" t="s">
        <v>2882</v>
      </c>
      <c r="J1432" s="234">
        <v>38530</v>
      </c>
      <c r="K1432" s="234">
        <v>15180</v>
      </c>
      <c r="L1432" s="242">
        <v>23</v>
      </c>
      <c r="M1432" s="234">
        <v>23350</v>
      </c>
      <c r="N1432" s="234">
        <v>17979.5</v>
      </c>
      <c r="O1432" s="243" t="s">
        <v>3773</v>
      </c>
      <c r="P1432" s="236">
        <v>45969</v>
      </c>
    </row>
    <row r="1433" spans="1:16" ht="51" customHeight="1">
      <c r="A1433" s="239" t="s">
        <v>3749</v>
      </c>
      <c r="B1433" s="240">
        <v>2994</v>
      </c>
      <c r="C1433" s="241">
        <v>327</v>
      </c>
      <c r="D1433" s="239" t="s">
        <v>2881</v>
      </c>
      <c r="E1433" s="239" t="s">
        <v>400</v>
      </c>
      <c r="F1433" s="239" t="s">
        <v>401</v>
      </c>
      <c r="G1433" s="239" t="s">
        <v>956</v>
      </c>
      <c r="H1433" s="239" t="s">
        <v>51</v>
      </c>
      <c r="I1433" s="239" t="s">
        <v>2882</v>
      </c>
      <c r="J1433" s="234">
        <v>38760</v>
      </c>
      <c r="K1433" s="234">
        <v>15000</v>
      </c>
      <c r="L1433" s="242">
        <v>38</v>
      </c>
      <c r="M1433" s="234">
        <v>23760</v>
      </c>
      <c r="N1433" s="234">
        <v>14731.2</v>
      </c>
      <c r="O1433" s="243" t="s">
        <v>3774</v>
      </c>
      <c r="P1433" s="236">
        <v>45970</v>
      </c>
    </row>
    <row r="1434" spans="1:16" ht="51" customHeight="1">
      <c r="A1434" s="239" t="s">
        <v>3750</v>
      </c>
      <c r="B1434" s="240">
        <v>2995</v>
      </c>
      <c r="C1434" s="241">
        <v>329</v>
      </c>
      <c r="D1434" s="239" t="s">
        <v>2881</v>
      </c>
      <c r="E1434" s="239" t="s">
        <v>858</v>
      </c>
      <c r="F1434" s="239" t="s">
        <v>859</v>
      </c>
      <c r="G1434" s="239" t="s">
        <v>956</v>
      </c>
      <c r="H1434" s="239" t="s">
        <v>51</v>
      </c>
      <c r="I1434" s="239" t="s">
        <v>2882</v>
      </c>
      <c r="J1434" s="234">
        <v>40920</v>
      </c>
      <c r="K1434" s="234">
        <v>14930</v>
      </c>
      <c r="L1434" s="242">
        <v>24</v>
      </c>
      <c r="M1434" s="234">
        <v>25990</v>
      </c>
      <c r="N1434" s="234">
        <v>19752.400000000001</v>
      </c>
      <c r="O1434" s="243" t="s">
        <v>3775</v>
      </c>
      <c r="P1434" s="236">
        <v>45970</v>
      </c>
    </row>
    <row r="1435" spans="1:16" ht="51" customHeight="1">
      <c r="A1435" s="239" t="s">
        <v>3751</v>
      </c>
      <c r="B1435" s="240">
        <v>2996</v>
      </c>
      <c r="C1435" s="241">
        <v>330</v>
      </c>
      <c r="D1435" s="239" t="s">
        <v>2881</v>
      </c>
      <c r="E1435" s="239" t="s">
        <v>374</v>
      </c>
      <c r="F1435" s="239" t="s">
        <v>375</v>
      </c>
      <c r="G1435" s="239" t="s">
        <v>956</v>
      </c>
      <c r="H1435" s="239" t="s">
        <v>51</v>
      </c>
      <c r="I1435" s="239" t="s">
        <v>2882</v>
      </c>
      <c r="J1435" s="234">
        <v>39980</v>
      </c>
      <c r="K1435" s="234">
        <v>15730</v>
      </c>
      <c r="L1435" s="242">
        <v>23</v>
      </c>
      <c r="M1435" s="234">
        <v>24250</v>
      </c>
      <c r="N1435" s="234">
        <v>18672.5</v>
      </c>
      <c r="O1435" s="243" t="s">
        <v>3776</v>
      </c>
      <c r="P1435" s="236">
        <v>45970</v>
      </c>
    </row>
    <row r="1436" spans="1:16" ht="51" customHeight="1">
      <c r="A1436" s="239" t="s">
        <v>3752</v>
      </c>
      <c r="B1436" s="240">
        <v>2997</v>
      </c>
      <c r="C1436" s="241">
        <v>332</v>
      </c>
      <c r="D1436" s="239" t="s">
        <v>2881</v>
      </c>
      <c r="E1436" s="239" t="s">
        <v>425</v>
      </c>
      <c r="F1436" s="239" t="s">
        <v>426</v>
      </c>
      <c r="G1436" s="239" t="s">
        <v>956</v>
      </c>
      <c r="H1436" s="239" t="s">
        <v>51</v>
      </c>
      <c r="I1436" s="239" t="s">
        <v>2882</v>
      </c>
      <c r="J1436" s="234">
        <v>49950</v>
      </c>
      <c r="K1436" s="234">
        <v>18900</v>
      </c>
      <c r="L1436" s="242">
        <v>28</v>
      </c>
      <c r="M1436" s="234">
        <v>31050</v>
      </c>
      <c r="N1436" s="234">
        <v>22356</v>
      </c>
      <c r="O1436" s="243" t="s">
        <v>3777</v>
      </c>
      <c r="P1436" s="236">
        <v>45970</v>
      </c>
    </row>
    <row r="1437" spans="1:16" ht="51" customHeight="1">
      <c r="A1437" s="239" t="s">
        <v>3753</v>
      </c>
      <c r="B1437" s="240">
        <v>2998</v>
      </c>
      <c r="C1437" s="241">
        <v>331</v>
      </c>
      <c r="D1437" s="239" t="s">
        <v>2881</v>
      </c>
      <c r="E1437" s="239" t="s">
        <v>388</v>
      </c>
      <c r="F1437" s="239" t="s">
        <v>389</v>
      </c>
      <c r="G1437" s="239" t="s">
        <v>956</v>
      </c>
      <c r="H1437" s="239" t="s">
        <v>51</v>
      </c>
      <c r="I1437" s="239" t="s">
        <v>2882</v>
      </c>
      <c r="J1437" s="234">
        <v>61810</v>
      </c>
      <c r="K1437" s="234">
        <v>21330</v>
      </c>
      <c r="L1437" s="242">
        <v>23</v>
      </c>
      <c r="M1437" s="234">
        <v>40480</v>
      </c>
      <c r="N1437" s="234">
        <v>31169.599999999999</v>
      </c>
      <c r="O1437" s="243" t="s">
        <v>3778</v>
      </c>
      <c r="P1437" s="236">
        <v>45970</v>
      </c>
    </row>
    <row r="1438" spans="1:16" ht="51" customHeight="1">
      <c r="A1438" s="239" t="s">
        <v>3754</v>
      </c>
      <c r="B1438" s="240">
        <v>2999</v>
      </c>
      <c r="C1438" s="241">
        <v>333</v>
      </c>
      <c r="D1438" s="239" t="s">
        <v>2881</v>
      </c>
      <c r="E1438" s="239" t="s">
        <v>2793</v>
      </c>
      <c r="F1438" s="239" t="s">
        <v>2794</v>
      </c>
      <c r="G1438" s="239" t="s">
        <v>956</v>
      </c>
      <c r="H1438" s="239" t="s">
        <v>51</v>
      </c>
      <c r="I1438" s="239" t="s">
        <v>2882</v>
      </c>
      <c r="J1438" s="234">
        <v>44980</v>
      </c>
      <c r="K1438" s="234">
        <v>17590</v>
      </c>
      <c r="L1438" s="242">
        <v>37</v>
      </c>
      <c r="M1438" s="234">
        <v>27390</v>
      </c>
      <c r="N1438" s="234">
        <v>17255.7</v>
      </c>
      <c r="O1438" s="243" t="s">
        <v>3779</v>
      </c>
      <c r="P1438" s="236">
        <v>45970</v>
      </c>
    </row>
    <row r="1439" spans="1:16" ht="51" customHeight="1">
      <c r="A1439" s="239" t="s">
        <v>3755</v>
      </c>
      <c r="B1439" s="240">
        <v>3000</v>
      </c>
      <c r="C1439" s="241">
        <v>334</v>
      </c>
      <c r="D1439" s="239" t="s">
        <v>2881</v>
      </c>
      <c r="E1439" s="239" t="s">
        <v>377</v>
      </c>
      <c r="F1439" s="239" t="s">
        <v>378</v>
      </c>
      <c r="G1439" s="239" t="s">
        <v>956</v>
      </c>
      <c r="H1439" s="239" t="s">
        <v>51</v>
      </c>
      <c r="I1439" s="239" t="s">
        <v>2882</v>
      </c>
      <c r="J1439" s="234">
        <v>40940</v>
      </c>
      <c r="K1439" s="234">
        <v>15200</v>
      </c>
      <c r="L1439" s="242">
        <v>39</v>
      </c>
      <c r="M1439" s="234">
        <v>25740</v>
      </c>
      <c r="N1439" s="234">
        <v>15701.4</v>
      </c>
      <c r="O1439" s="243" t="s">
        <v>3780</v>
      </c>
      <c r="P1439" s="236">
        <v>45970</v>
      </c>
    </row>
    <row r="1440" spans="1:16" ht="51" customHeight="1">
      <c r="A1440" s="239" t="s">
        <v>3756</v>
      </c>
      <c r="B1440" s="240">
        <v>3001</v>
      </c>
      <c r="C1440" s="241">
        <v>335</v>
      </c>
      <c r="D1440" s="239" t="s">
        <v>2881</v>
      </c>
      <c r="E1440" s="239" t="s">
        <v>403</v>
      </c>
      <c r="F1440" s="239" t="s">
        <v>404</v>
      </c>
      <c r="G1440" s="239" t="s">
        <v>956</v>
      </c>
      <c r="H1440" s="239" t="s">
        <v>51</v>
      </c>
      <c r="I1440" s="239" t="s">
        <v>2882</v>
      </c>
      <c r="J1440" s="234">
        <v>38080</v>
      </c>
      <c r="K1440" s="234">
        <v>14600</v>
      </c>
      <c r="L1440" s="242">
        <v>34</v>
      </c>
      <c r="M1440" s="234">
        <v>23480</v>
      </c>
      <c r="N1440" s="234">
        <v>15496.8</v>
      </c>
      <c r="O1440" s="243" t="s">
        <v>3781</v>
      </c>
      <c r="P1440" s="236">
        <v>45970</v>
      </c>
    </row>
    <row r="1441" spans="1:16" ht="51" customHeight="1">
      <c r="A1441" s="239" t="s">
        <v>3757</v>
      </c>
      <c r="B1441" s="240">
        <v>3002</v>
      </c>
      <c r="C1441" s="241">
        <v>336</v>
      </c>
      <c r="D1441" s="239" t="s">
        <v>2881</v>
      </c>
      <c r="E1441" s="239" t="s">
        <v>406</v>
      </c>
      <c r="F1441" s="239" t="s">
        <v>407</v>
      </c>
      <c r="G1441" s="239" t="s">
        <v>956</v>
      </c>
      <c r="H1441" s="239" t="s">
        <v>51</v>
      </c>
      <c r="I1441" s="239" t="s">
        <v>2882</v>
      </c>
      <c r="J1441" s="234">
        <v>38030</v>
      </c>
      <c r="K1441" s="234">
        <v>15230</v>
      </c>
      <c r="L1441" s="242">
        <v>27</v>
      </c>
      <c r="M1441" s="234">
        <v>22800</v>
      </c>
      <c r="N1441" s="234">
        <v>16644</v>
      </c>
      <c r="O1441" s="243" t="s">
        <v>3782</v>
      </c>
      <c r="P1441" s="236">
        <v>45970</v>
      </c>
    </row>
    <row r="1442" spans="1:16" ht="51" customHeight="1">
      <c r="A1442" s="239" t="s">
        <v>3758</v>
      </c>
      <c r="B1442" s="240">
        <v>3003</v>
      </c>
      <c r="C1442" s="241">
        <v>337</v>
      </c>
      <c r="D1442" s="239" t="s">
        <v>2881</v>
      </c>
      <c r="E1442" s="239" t="s">
        <v>392</v>
      </c>
      <c r="F1442" s="239" t="s">
        <v>393</v>
      </c>
      <c r="G1442" s="239" t="s">
        <v>956</v>
      </c>
      <c r="H1442" s="239" t="s">
        <v>51</v>
      </c>
      <c r="I1442" s="239" t="s">
        <v>2882</v>
      </c>
      <c r="J1442" s="234">
        <v>62190</v>
      </c>
      <c r="K1442" s="234">
        <v>24320</v>
      </c>
      <c r="L1442" s="242">
        <v>23</v>
      </c>
      <c r="M1442" s="234">
        <v>37870</v>
      </c>
      <c r="N1442" s="234">
        <v>29159.9</v>
      </c>
      <c r="O1442" s="243" t="s">
        <v>3783</v>
      </c>
      <c r="P1442" s="236">
        <v>45970</v>
      </c>
    </row>
    <row r="1443" spans="1:16" ht="51" customHeight="1">
      <c r="A1443" s="239" t="s">
        <v>3759</v>
      </c>
      <c r="B1443" s="240">
        <v>3004</v>
      </c>
      <c r="C1443" s="241">
        <v>338</v>
      </c>
      <c r="D1443" s="239" t="s">
        <v>2881</v>
      </c>
      <c r="E1443" s="239" t="s">
        <v>413</v>
      </c>
      <c r="F1443" s="239" t="s">
        <v>414</v>
      </c>
      <c r="G1443" s="239" t="s">
        <v>956</v>
      </c>
      <c r="H1443" s="239" t="s">
        <v>51</v>
      </c>
      <c r="I1443" s="239" t="s">
        <v>2882</v>
      </c>
      <c r="J1443" s="234">
        <v>41780</v>
      </c>
      <c r="K1443" s="234">
        <v>15240</v>
      </c>
      <c r="L1443" s="242">
        <v>18</v>
      </c>
      <c r="M1443" s="234">
        <v>26540</v>
      </c>
      <c r="N1443" s="234">
        <v>21762.799999999999</v>
      </c>
      <c r="O1443" s="243" t="s">
        <v>3784</v>
      </c>
      <c r="P1443" s="236">
        <v>45970</v>
      </c>
    </row>
    <row r="1444" spans="1:16" ht="51" customHeight="1">
      <c r="A1444" s="239" t="s">
        <v>3760</v>
      </c>
      <c r="B1444" s="240">
        <v>3005</v>
      </c>
      <c r="C1444" s="241">
        <v>339</v>
      </c>
      <c r="D1444" s="239" t="s">
        <v>2881</v>
      </c>
      <c r="E1444" s="239" t="s">
        <v>432</v>
      </c>
      <c r="F1444" s="239" t="s">
        <v>433</v>
      </c>
      <c r="G1444" s="239" t="s">
        <v>956</v>
      </c>
      <c r="H1444" s="239" t="s">
        <v>51</v>
      </c>
      <c r="I1444" s="239" t="s">
        <v>2882</v>
      </c>
      <c r="J1444" s="234">
        <v>43500</v>
      </c>
      <c r="K1444" s="234">
        <v>15920</v>
      </c>
      <c r="L1444" s="242">
        <v>23</v>
      </c>
      <c r="M1444" s="234">
        <v>27580</v>
      </c>
      <c r="N1444" s="234">
        <v>21236.6</v>
      </c>
      <c r="O1444" s="243" t="s">
        <v>3785</v>
      </c>
      <c r="P1444" s="236">
        <v>45970</v>
      </c>
    </row>
    <row r="1445" spans="1:16" ht="51" customHeight="1">
      <c r="A1445" s="239" t="s">
        <v>3761</v>
      </c>
      <c r="B1445" s="240">
        <v>3006</v>
      </c>
      <c r="C1445" s="241">
        <v>340</v>
      </c>
      <c r="D1445" s="239" t="s">
        <v>2881</v>
      </c>
      <c r="E1445" s="239" t="s">
        <v>429</v>
      </c>
      <c r="F1445" s="239" t="s">
        <v>430</v>
      </c>
      <c r="G1445" s="239" t="s">
        <v>956</v>
      </c>
      <c r="H1445" s="239" t="s">
        <v>51</v>
      </c>
      <c r="I1445" s="239" t="s">
        <v>2882</v>
      </c>
      <c r="J1445" s="234">
        <v>41930</v>
      </c>
      <c r="K1445" s="234">
        <v>14610</v>
      </c>
      <c r="L1445" s="242">
        <v>19</v>
      </c>
      <c r="M1445" s="234">
        <v>27320</v>
      </c>
      <c r="N1445" s="234">
        <v>22129.200000000001</v>
      </c>
      <c r="O1445" s="243" t="s">
        <v>3786</v>
      </c>
      <c r="P1445" s="236">
        <v>45970</v>
      </c>
    </row>
    <row r="1446" spans="1:16" ht="51" customHeight="1">
      <c r="A1446" s="239" t="s">
        <v>3762</v>
      </c>
      <c r="B1446" s="240">
        <v>3008</v>
      </c>
      <c r="C1446" s="241">
        <v>341</v>
      </c>
      <c r="D1446" s="239" t="s">
        <v>2881</v>
      </c>
      <c r="E1446" s="239" t="s">
        <v>1410</v>
      </c>
      <c r="F1446" s="239" t="s">
        <v>437</v>
      </c>
      <c r="G1446" s="239" t="s">
        <v>956</v>
      </c>
      <c r="H1446" s="239" t="s">
        <v>51</v>
      </c>
      <c r="I1446" s="239" t="s">
        <v>2882</v>
      </c>
      <c r="J1446" s="234">
        <v>40410</v>
      </c>
      <c r="K1446" s="234">
        <v>15120</v>
      </c>
      <c r="L1446" s="242">
        <v>21</v>
      </c>
      <c r="M1446" s="234">
        <v>25290</v>
      </c>
      <c r="N1446" s="234">
        <v>19979.099999999999</v>
      </c>
      <c r="O1446" s="243" t="s">
        <v>3787</v>
      </c>
      <c r="P1446" s="236">
        <v>45970</v>
      </c>
    </row>
    <row r="1447" spans="1:16" ht="51" customHeight="1">
      <c r="A1447" s="239" t="s">
        <v>3763</v>
      </c>
      <c r="B1447" s="240">
        <v>3009</v>
      </c>
      <c r="C1447" s="241">
        <v>342</v>
      </c>
      <c r="D1447" s="239" t="s">
        <v>2881</v>
      </c>
      <c r="E1447" s="239" t="s">
        <v>439</v>
      </c>
      <c r="F1447" s="239" t="s">
        <v>440</v>
      </c>
      <c r="G1447" s="239" t="s">
        <v>956</v>
      </c>
      <c r="H1447" s="239" t="s">
        <v>51</v>
      </c>
      <c r="I1447" s="239" t="s">
        <v>2882</v>
      </c>
      <c r="J1447" s="234">
        <v>44030</v>
      </c>
      <c r="K1447" s="234">
        <v>15320</v>
      </c>
      <c r="L1447" s="242">
        <v>26</v>
      </c>
      <c r="M1447" s="234">
        <v>28710</v>
      </c>
      <c r="N1447" s="234">
        <v>21245.4</v>
      </c>
      <c r="O1447" s="243" t="s">
        <v>3788</v>
      </c>
      <c r="P1447" s="236">
        <v>45970</v>
      </c>
    </row>
    <row r="1448" spans="1:16" ht="51" customHeight="1">
      <c r="A1448" s="239" t="s">
        <v>3764</v>
      </c>
      <c r="B1448" s="240">
        <v>3010</v>
      </c>
      <c r="C1448" s="241">
        <v>343</v>
      </c>
      <c r="D1448" s="239" t="s">
        <v>2881</v>
      </c>
      <c r="E1448" s="239" t="s">
        <v>447</v>
      </c>
      <c r="F1448" s="239" t="s">
        <v>448</v>
      </c>
      <c r="G1448" s="239" t="s">
        <v>956</v>
      </c>
      <c r="H1448" s="239" t="s">
        <v>51</v>
      </c>
      <c r="I1448" s="239" t="s">
        <v>2882</v>
      </c>
      <c r="J1448" s="234">
        <v>52560</v>
      </c>
      <c r="K1448" s="234">
        <v>19660</v>
      </c>
      <c r="L1448" s="242">
        <v>40</v>
      </c>
      <c r="M1448" s="234">
        <v>32900</v>
      </c>
      <c r="N1448" s="234">
        <v>19740</v>
      </c>
      <c r="O1448" s="243" t="s">
        <v>3789</v>
      </c>
      <c r="P1448" s="236">
        <v>45970</v>
      </c>
    </row>
    <row r="1449" spans="1:16" ht="51" customHeight="1">
      <c r="A1449" s="239" t="s">
        <v>3765</v>
      </c>
      <c r="B1449" s="240">
        <v>3011</v>
      </c>
      <c r="C1449" s="241">
        <v>344</v>
      </c>
      <c r="D1449" s="239" t="s">
        <v>2881</v>
      </c>
      <c r="E1449" s="239" t="s">
        <v>453</v>
      </c>
      <c r="F1449" s="239" t="s">
        <v>454</v>
      </c>
      <c r="G1449" s="239" t="s">
        <v>956</v>
      </c>
      <c r="H1449" s="239" t="s">
        <v>51</v>
      </c>
      <c r="I1449" s="239" t="s">
        <v>2882</v>
      </c>
      <c r="J1449" s="234">
        <v>65320</v>
      </c>
      <c r="K1449" s="234">
        <v>24720</v>
      </c>
      <c r="L1449" s="242">
        <v>17</v>
      </c>
      <c r="M1449" s="234">
        <v>40600</v>
      </c>
      <c r="N1449" s="234">
        <v>33698</v>
      </c>
      <c r="O1449" s="243" t="s">
        <v>3790</v>
      </c>
      <c r="P1449" s="236">
        <v>45970</v>
      </c>
    </row>
    <row r="1450" spans="1:16" ht="51" customHeight="1">
      <c r="A1450" s="258" t="s">
        <v>3791</v>
      </c>
      <c r="B1450" s="262">
        <v>2932</v>
      </c>
      <c r="C1450" s="263">
        <v>8336</v>
      </c>
      <c r="D1450" s="258" t="s">
        <v>2511</v>
      </c>
      <c r="E1450" s="258" t="s">
        <v>456</v>
      </c>
      <c r="F1450" s="258" t="s">
        <v>457</v>
      </c>
      <c r="G1450" s="258" t="s">
        <v>934</v>
      </c>
      <c r="H1450" s="258" t="s">
        <v>42</v>
      </c>
      <c r="I1450" s="258" t="s">
        <v>2512</v>
      </c>
      <c r="J1450" s="264">
        <v>49130</v>
      </c>
      <c r="K1450" s="264">
        <v>15960</v>
      </c>
      <c r="L1450" s="265">
        <v>19</v>
      </c>
      <c r="M1450" s="264">
        <v>28130</v>
      </c>
      <c r="N1450" s="264">
        <v>22785.3</v>
      </c>
      <c r="O1450" s="317" t="s">
        <v>3792</v>
      </c>
      <c r="P1450" s="266">
        <v>45966</v>
      </c>
    </row>
    <row r="1451" spans="1:16" ht="51" customHeight="1">
      <c r="A1451" s="239" t="s">
        <v>3793</v>
      </c>
      <c r="B1451" s="240">
        <v>3012</v>
      </c>
      <c r="C1451" s="241">
        <v>345</v>
      </c>
      <c r="D1451" s="239" t="s">
        <v>2881</v>
      </c>
      <c r="E1451" s="239" t="s">
        <v>456</v>
      </c>
      <c r="F1451" s="239" t="s">
        <v>457</v>
      </c>
      <c r="G1451" s="239" t="s">
        <v>956</v>
      </c>
      <c r="H1451" s="239" t="s">
        <v>51</v>
      </c>
      <c r="I1451" s="239" t="s">
        <v>2882</v>
      </c>
      <c r="J1451" s="234">
        <v>46980</v>
      </c>
      <c r="K1451" s="234">
        <v>16090</v>
      </c>
      <c r="L1451" s="242">
        <v>26</v>
      </c>
      <c r="M1451" s="234">
        <v>30890</v>
      </c>
      <c r="N1451" s="234">
        <v>22858.6</v>
      </c>
      <c r="O1451" s="243" t="s">
        <v>3797</v>
      </c>
      <c r="P1451" s="236">
        <v>45970</v>
      </c>
    </row>
    <row r="1452" spans="1:16" ht="51" customHeight="1">
      <c r="A1452" s="239" t="s">
        <v>3794</v>
      </c>
      <c r="B1452" s="240">
        <v>3013</v>
      </c>
      <c r="C1452" s="241">
        <v>348</v>
      </c>
      <c r="D1452" s="239" t="s">
        <v>2881</v>
      </c>
      <c r="E1452" s="239" t="s">
        <v>384</v>
      </c>
      <c r="F1452" s="239" t="s">
        <v>385</v>
      </c>
      <c r="G1452" s="239" t="s">
        <v>956</v>
      </c>
      <c r="H1452" s="239" t="s">
        <v>51</v>
      </c>
      <c r="I1452" s="239" t="s">
        <v>2882</v>
      </c>
      <c r="J1452" s="234">
        <v>35360</v>
      </c>
      <c r="K1452" s="234">
        <v>13940</v>
      </c>
      <c r="L1452" s="242">
        <v>33</v>
      </c>
      <c r="M1452" s="234">
        <v>21420</v>
      </c>
      <c r="N1452" s="234">
        <v>14351.4</v>
      </c>
      <c r="O1452" s="243" t="s">
        <v>3798</v>
      </c>
      <c r="P1452" s="236">
        <v>45970</v>
      </c>
    </row>
    <row r="1453" spans="1:16" ht="51" customHeight="1">
      <c r="A1453" s="239" t="s">
        <v>3795</v>
      </c>
      <c r="B1453" s="240">
        <v>3014</v>
      </c>
      <c r="C1453" s="241">
        <v>347</v>
      </c>
      <c r="D1453" s="239" t="s">
        <v>2881</v>
      </c>
      <c r="E1453" s="239" t="s">
        <v>420</v>
      </c>
      <c r="F1453" s="239" t="s">
        <v>421</v>
      </c>
      <c r="G1453" s="239" t="s">
        <v>956</v>
      </c>
      <c r="H1453" s="239" t="s">
        <v>51</v>
      </c>
      <c r="I1453" s="239" t="s">
        <v>2882</v>
      </c>
      <c r="J1453" s="234">
        <v>37640</v>
      </c>
      <c r="K1453" s="234">
        <v>15090</v>
      </c>
      <c r="L1453" s="242">
        <v>47</v>
      </c>
      <c r="M1453" s="234">
        <v>22550</v>
      </c>
      <c r="N1453" s="234">
        <v>11951.5</v>
      </c>
      <c r="O1453" s="243" t="s">
        <v>3799</v>
      </c>
      <c r="P1453" s="236">
        <v>45970</v>
      </c>
    </row>
    <row r="1454" spans="1:16" ht="51" customHeight="1">
      <c r="A1454" s="239" t="s">
        <v>3796</v>
      </c>
      <c r="B1454" s="240">
        <v>3015</v>
      </c>
      <c r="C1454" s="241">
        <v>346</v>
      </c>
      <c r="D1454" s="239" t="s">
        <v>2881</v>
      </c>
      <c r="E1454" s="239" t="s">
        <v>416</v>
      </c>
      <c r="F1454" s="239" t="s">
        <v>417</v>
      </c>
      <c r="G1454" s="239" t="s">
        <v>956</v>
      </c>
      <c r="H1454" s="239" t="s">
        <v>51</v>
      </c>
      <c r="I1454" s="239" t="s">
        <v>2882</v>
      </c>
      <c r="J1454" s="234">
        <v>37810</v>
      </c>
      <c r="K1454" s="234">
        <v>14970</v>
      </c>
      <c r="L1454" s="242">
        <v>36</v>
      </c>
      <c r="M1454" s="234">
        <v>22840</v>
      </c>
      <c r="N1454" s="234">
        <v>14617.6</v>
      </c>
      <c r="O1454" s="243" t="s">
        <v>3800</v>
      </c>
      <c r="P1454" s="236">
        <v>45970</v>
      </c>
    </row>
    <row r="1455" spans="1:16" ht="51" customHeight="1">
      <c r="A1455" s="239" t="s">
        <v>3801</v>
      </c>
      <c r="B1455" s="240">
        <v>3016</v>
      </c>
      <c r="C1455" s="241">
        <v>349</v>
      </c>
      <c r="D1455" s="239" t="s">
        <v>2881</v>
      </c>
      <c r="E1455" s="239" t="s">
        <v>780</v>
      </c>
      <c r="F1455" s="239" t="s">
        <v>781</v>
      </c>
      <c r="G1455" s="239" t="s">
        <v>956</v>
      </c>
      <c r="H1455" s="239" t="s">
        <v>51</v>
      </c>
      <c r="I1455" s="239" t="s">
        <v>2882</v>
      </c>
      <c r="J1455" s="234">
        <v>36200</v>
      </c>
      <c r="K1455" s="234">
        <v>14980</v>
      </c>
      <c r="L1455" s="242">
        <v>39</v>
      </c>
      <c r="M1455" s="234">
        <v>21220</v>
      </c>
      <c r="N1455" s="234">
        <v>12944.2</v>
      </c>
      <c r="O1455" s="243" t="s">
        <v>3806</v>
      </c>
      <c r="P1455" s="236">
        <v>45970</v>
      </c>
    </row>
    <row r="1456" spans="1:16" ht="51" customHeight="1">
      <c r="A1456" s="239" t="s">
        <v>3802</v>
      </c>
      <c r="B1456" s="240">
        <v>3017</v>
      </c>
      <c r="C1456" s="241">
        <v>350</v>
      </c>
      <c r="D1456" s="239" t="s">
        <v>2881</v>
      </c>
      <c r="E1456" s="239" t="s">
        <v>442</v>
      </c>
      <c r="F1456" s="239" t="s">
        <v>443</v>
      </c>
      <c r="G1456" s="239" t="s">
        <v>956</v>
      </c>
      <c r="H1456" s="239" t="s">
        <v>51</v>
      </c>
      <c r="I1456" s="239" t="s">
        <v>2882</v>
      </c>
      <c r="J1456" s="234">
        <v>34090</v>
      </c>
      <c r="K1456" s="234">
        <v>14640</v>
      </c>
      <c r="L1456" s="242">
        <v>43</v>
      </c>
      <c r="M1456" s="234">
        <v>19450</v>
      </c>
      <c r="N1456" s="234">
        <v>11086.5</v>
      </c>
      <c r="O1456" s="243" t="s">
        <v>3807</v>
      </c>
      <c r="P1456" s="236">
        <v>45970</v>
      </c>
    </row>
    <row r="1457" spans="1:16" ht="51" customHeight="1">
      <c r="A1457" s="239" t="s">
        <v>3803</v>
      </c>
      <c r="B1457" s="240">
        <v>3018</v>
      </c>
      <c r="C1457" s="241">
        <v>351</v>
      </c>
      <c r="D1457" s="239" t="s">
        <v>2881</v>
      </c>
      <c r="E1457" s="239" t="s">
        <v>425</v>
      </c>
      <c r="F1457" s="239" t="s">
        <v>426</v>
      </c>
      <c r="G1457" s="239" t="s">
        <v>956</v>
      </c>
      <c r="H1457" s="239" t="s">
        <v>51</v>
      </c>
      <c r="I1457" s="239" t="s">
        <v>2882</v>
      </c>
      <c r="J1457" s="234">
        <v>50930</v>
      </c>
      <c r="K1457" s="234">
        <v>18800</v>
      </c>
      <c r="L1457" s="242">
        <v>27</v>
      </c>
      <c r="M1457" s="234">
        <v>32130</v>
      </c>
      <c r="N1457" s="234">
        <v>23454.9</v>
      </c>
      <c r="O1457" s="243" t="s">
        <v>3808</v>
      </c>
      <c r="P1457" s="236">
        <v>45970</v>
      </c>
    </row>
    <row r="1458" spans="1:16" ht="51" customHeight="1">
      <c r="A1458" s="239" t="s">
        <v>3804</v>
      </c>
      <c r="B1458" s="240">
        <v>3019</v>
      </c>
      <c r="C1458" s="241">
        <v>353</v>
      </c>
      <c r="D1458" s="239" t="s">
        <v>2881</v>
      </c>
      <c r="E1458" s="239" t="s">
        <v>372</v>
      </c>
      <c r="F1458" s="239" t="s">
        <v>373</v>
      </c>
      <c r="G1458" s="239" t="s">
        <v>956</v>
      </c>
      <c r="H1458" s="239" t="s">
        <v>51</v>
      </c>
      <c r="I1458" s="239" t="s">
        <v>2882</v>
      </c>
      <c r="J1458" s="234">
        <v>26840</v>
      </c>
      <c r="K1458" s="234">
        <v>14980</v>
      </c>
      <c r="L1458" s="242">
        <v>37</v>
      </c>
      <c r="M1458" s="234">
        <v>11860</v>
      </c>
      <c r="N1458" s="234">
        <v>7471.8</v>
      </c>
      <c r="O1458" s="243" t="s">
        <v>3809</v>
      </c>
      <c r="P1458" s="236">
        <v>45970</v>
      </c>
    </row>
    <row r="1459" spans="1:16" ht="51" customHeight="1">
      <c r="A1459" s="239" t="s">
        <v>3805</v>
      </c>
      <c r="B1459" s="240">
        <v>3020</v>
      </c>
      <c r="C1459" s="241">
        <v>352</v>
      </c>
      <c r="D1459" s="239" t="s">
        <v>2881</v>
      </c>
      <c r="E1459" s="239" t="s">
        <v>388</v>
      </c>
      <c r="F1459" s="239" t="s">
        <v>389</v>
      </c>
      <c r="G1459" s="239" t="s">
        <v>956</v>
      </c>
      <c r="H1459" s="239" t="s">
        <v>51</v>
      </c>
      <c r="I1459" s="239" t="s">
        <v>2882</v>
      </c>
      <c r="J1459" s="234">
        <v>45980</v>
      </c>
      <c r="K1459" s="234">
        <v>21380</v>
      </c>
      <c r="L1459" s="242">
        <v>35</v>
      </c>
      <c r="M1459" s="234">
        <v>24600</v>
      </c>
      <c r="N1459" s="234">
        <v>15990</v>
      </c>
      <c r="O1459" s="243" t="s">
        <v>3810</v>
      </c>
      <c r="P1459" s="236">
        <v>45970</v>
      </c>
    </row>
    <row r="1460" spans="1:16" ht="51" customHeight="1">
      <c r="A1460" s="258" t="s">
        <v>3813</v>
      </c>
      <c r="B1460" s="262">
        <v>2932</v>
      </c>
      <c r="C1460" s="263">
        <v>8336</v>
      </c>
      <c r="D1460" s="258" t="s">
        <v>2881</v>
      </c>
      <c r="E1460" s="258" t="s">
        <v>456</v>
      </c>
      <c r="F1460" s="258" t="s">
        <v>457</v>
      </c>
      <c r="G1460" s="258" t="s">
        <v>957</v>
      </c>
      <c r="H1460" s="258" t="s">
        <v>42</v>
      </c>
      <c r="I1460" s="258" t="s">
        <v>2882</v>
      </c>
      <c r="J1460" s="264">
        <v>49130</v>
      </c>
      <c r="K1460" s="264">
        <v>15960</v>
      </c>
      <c r="L1460" s="265">
        <v>19</v>
      </c>
      <c r="M1460" s="264">
        <v>5040</v>
      </c>
      <c r="N1460" s="264">
        <v>4082.4</v>
      </c>
      <c r="O1460" s="317" t="s">
        <v>3814</v>
      </c>
      <c r="P1460" s="266">
        <v>45966</v>
      </c>
    </row>
    <row r="1461" spans="1:16">
      <c r="A1461" s="239"/>
      <c r="B1461" s="239"/>
      <c r="C1461" s="239"/>
      <c r="D1461" s="239"/>
      <c r="E1461" s="239"/>
      <c r="F1461" s="239"/>
      <c r="G1461" s="239"/>
      <c r="H1461" s="239"/>
      <c r="I1461" s="239"/>
      <c r="J1461" s="243"/>
      <c r="K1461" s="243"/>
      <c r="L1461" s="243"/>
      <c r="M1461" s="234">
        <f>SUBTOTAL(109,M2:M1460)</f>
        <v>36342180</v>
      </c>
      <c r="N1461" s="234"/>
      <c r="O1461" s="243"/>
      <c r="P1461" s="236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3995F-4B9D-4A55-887A-63AB92C434F6}">
  <dimension ref="A1:W74"/>
  <sheetViews>
    <sheetView showGridLines="0" topLeftCell="B1" zoomScale="90" zoomScaleNormal="90" zoomScaleSheetLayoutView="50" workbookViewId="0">
      <pane ySplit="1" topLeftCell="A44" activePane="bottomLeft" state="frozen"/>
      <selection activeCell="I14" sqref="I14"/>
      <selection pane="bottomLeft" activeCell="J69" sqref="J69"/>
    </sheetView>
  </sheetViews>
  <sheetFormatPr defaultColWidth="8.85546875" defaultRowHeight="11.25"/>
  <cols>
    <col min="1" max="1" width="24.7109375" style="194" customWidth="1"/>
    <col min="2" max="2" width="15.7109375" style="194" customWidth="1"/>
    <col min="3" max="3" width="24.42578125" style="194" hidden="1" customWidth="1"/>
    <col min="4" max="4" width="9.42578125" style="194" hidden="1" customWidth="1"/>
    <col min="5" max="5" width="10.140625" style="194" customWidth="1"/>
    <col min="6" max="6" width="13.5703125" style="217" customWidth="1"/>
    <col min="7" max="7" width="13.42578125" style="217" customWidth="1"/>
    <col min="8" max="8" width="7" style="194" customWidth="1"/>
    <col min="9" max="9" width="9.5703125" style="206" customWidth="1"/>
    <col min="10" max="10" width="13.5703125" style="194" customWidth="1"/>
    <col min="11" max="11" width="12.140625" style="194" customWidth="1"/>
    <col min="12" max="12" width="10.5703125" style="222" customWidth="1"/>
    <col min="13" max="13" width="10.28515625" style="194" customWidth="1"/>
    <col min="14" max="14" width="8.7109375" style="214" customWidth="1"/>
    <col min="15" max="15" width="8.85546875" style="194"/>
    <col min="16" max="16" width="9.140625" style="224" customWidth="1"/>
    <col min="17" max="17" width="8" style="206" customWidth="1"/>
    <col min="18" max="18" width="7.42578125" style="206" customWidth="1"/>
    <col min="19" max="19" width="10" style="222" customWidth="1"/>
    <col min="20" max="20" width="8.85546875" style="212"/>
    <col min="21" max="21" width="8.85546875" style="214"/>
    <col min="22" max="22" width="8.85546875" style="212"/>
    <col min="23" max="23" width="21.140625" style="194" customWidth="1"/>
    <col min="24" max="24" width="8.85546875" style="194"/>
    <col min="25" max="25" width="17.42578125" style="194" customWidth="1"/>
    <col min="26" max="16384" width="8.85546875" style="194"/>
  </cols>
  <sheetData>
    <row r="1" spans="1:23" s="199" customFormat="1" ht="52.15" customHeight="1">
      <c r="A1" s="198" t="s">
        <v>152</v>
      </c>
      <c r="B1" s="198" t="s">
        <v>24</v>
      </c>
      <c r="C1" s="198" t="s">
        <v>1370</v>
      </c>
      <c r="D1" s="198" t="s">
        <v>1371</v>
      </c>
      <c r="E1" s="198" t="s">
        <v>1372</v>
      </c>
      <c r="F1" s="198" t="s">
        <v>982</v>
      </c>
      <c r="G1" s="198" t="s">
        <v>986</v>
      </c>
      <c r="H1" s="198" t="s">
        <v>153</v>
      </c>
      <c r="I1" s="204" t="s">
        <v>975</v>
      </c>
      <c r="J1" s="198" t="s">
        <v>970</v>
      </c>
      <c r="K1" s="198" t="s">
        <v>976</v>
      </c>
      <c r="L1" s="220" t="s">
        <v>977</v>
      </c>
      <c r="M1" s="200" t="s">
        <v>978</v>
      </c>
      <c r="N1" s="213" t="s">
        <v>979</v>
      </c>
      <c r="O1" s="200" t="s">
        <v>980</v>
      </c>
      <c r="P1" s="223" t="s">
        <v>37</v>
      </c>
      <c r="Q1" s="209" t="s">
        <v>999</v>
      </c>
      <c r="R1" s="209" t="s">
        <v>1292</v>
      </c>
      <c r="S1" s="220" t="s">
        <v>981</v>
      </c>
      <c r="T1" s="211" t="s">
        <v>983</v>
      </c>
      <c r="U1" s="213" t="s">
        <v>984</v>
      </c>
      <c r="V1" s="211" t="s">
        <v>985</v>
      </c>
      <c r="W1" s="200" t="s">
        <v>105</v>
      </c>
    </row>
    <row r="2" spans="1:23" ht="23.45" customHeight="1">
      <c r="A2" s="192" t="s">
        <v>935</v>
      </c>
      <c r="B2" s="192" t="s">
        <v>750</v>
      </c>
      <c r="C2" s="193" t="s">
        <v>936</v>
      </c>
      <c r="D2" s="193" t="s">
        <v>777</v>
      </c>
      <c r="E2" s="193" t="s">
        <v>777</v>
      </c>
      <c r="F2" s="216" t="s">
        <v>988</v>
      </c>
      <c r="G2" s="215" t="s">
        <v>1000</v>
      </c>
      <c r="H2" s="197">
        <v>42</v>
      </c>
      <c r="I2" s="205">
        <v>35</v>
      </c>
      <c r="J2" s="196">
        <v>23</v>
      </c>
      <c r="K2" s="196">
        <f>Таблица4[[#This Row],[Количество внесения, п.е.]]/Таблица4[[#This Row],[Площадь внесения, га]]</f>
        <v>0.65714285714285714</v>
      </c>
      <c r="L2" s="221">
        <v>14</v>
      </c>
      <c r="M2" s="193">
        <f>Таблица4[[#This Row],[Урожайность план, т/га]]*Таблица4[[#This Row],[Площадь внесения, га]]</f>
        <v>490</v>
      </c>
      <c r="N2" s="208">
        <v>0.13</v>
      </c>
      <c r="O2" s="207">
        <f>Таблица4[[#This Row],[Валовый сбор план, т]]*(1-Таблица4[[#This Row],[Рефакция план, %]])</f>
        <v>426.3</v>
      </c>
      <c r="P2" s="218">
        <v>35</v>
      </c>
      <c r="Q2" s="210">
        <f>Таблица4[[#This Row],[Площадь внесения, га]]-Таблица4[[#This Row],[Площадь уборки, га]]</f>
        <v>0</v>
      </c>
      <c r="R2" s="210"/>
      <c r="S2" s="221">
        <f>IFERROR(Таблица4[[#This Row],[Валовый сбор факт, т]]/Таблица4[[#This Row],[Площадь уборки, га]], "-")</f>
        <v>12.348857142857142</v>
      </c>
      <c r="T2" s="207">
        <f>432210/1000</f>
        <v>432.21</v>
      </c>
      <c r="U2" s="208">
        <f>IFERROR(1-Таблица4[[#This Row],[Зачетный вес факт, т]]/Таблица4[[#This Row],[Валовый сбор факт, т]], "-")</f>
        <v>0.17330927095624815</v>
      </c>
      <c r="V2" s="207">
        <f>357304/1000</f>
        <v>357.30399999999997</v>
      </c>
      <c r="W2" s="193"/>
    </row>
    <row r="3" spans="1:23" ht="23.45" customHeight="1">
      <c r="A3" s="192" t="s">
        <v>935</v>
      </c>
      <c r="B3" s="192" t="s">
        <v>750</v>
      </c>
      <c r="C3" s="193" t="s">
        <v>100</v>
      </c>
      <c r="D3" s="193" t="s">
        <v>260</v>
      </c>
      <c r="E3" s="193" t="s">
        <v>260</v>
      </c>
      <c r="F3" s="216" t="s">
        <v>988</v>
      </c>
      <c r="G3" s="215">
        <v>45883</v>
      </c>
      <c r="H3" s="197">
        <v>42</v>
      </c>
      <c r="I3" s="205">
        <v>7</v>
      </c>
      <c r="J3" s="196">
        <v>4.3499999999999996</v>
      </c>
      <c r="K3" s="196">
        <f>Таблица4[[#This Row],[Количество внесения, п.е.]]/Таблица4[[#This Row],[Площадь внесения, га]]</f>
        <v>0.62142857142857133</v>
      </c>
      <c r="L3" s="221">
        <v>14</v>
      </c>
      <c r="M3" s="193">
        <f>Таблица4[[#This Row],[Урожайность план, т/га]]*Таблица4[[#This Row],[Площадь внесения, га]]</f>
        <v>98</v>
      </c>
      <c r="N3" s="208">
        <v>0.13</v>
      </c>
      <c r="O3" s="207">
        <f>Таблица4[[#This Row],[Валовый сбор план, т]]*(1-Таблица4[[#This Row],[Рефакция план, %]])</f>
        <v>85.26</v>
      </c>
      <c r="P3" s="218">
        <v>7</v>
      </c>
      <c r="Q3" s="210">
        <f>Таблица4[[#This Row],[Площадь внесения, га]]-Таблица4[[#This Row],[Площадь уборки, га]]</f>
        <v>0</v>
      </c>
      <c r="R3" s="210"/>
      <c r="S3" s="221">
        <f>IFERROR(Таблица4[[#This Row],[Валовый сбор факт, т]]/Таблица4[[#This Row],[Площадь уборки, га]], "-")</f>
        <v>12.53</v>
      </c>
      <c r="T3" s="207">
        <f>87710/1000</f>
        <v>87.71</v>
      </c>
      <c r="U3" s="208">
        <f>IFERROR(1-Таблица4[[#This Row],[Зачетный вес факт, т]]/Таблица4[[#This Row],[Валовый сбор факт, т]], "-")</f>
        <v>0.14932390833428333</v>
      </c>
      <c r="V3" s="207">
        <f>74612.8/1000</f>
        <v>74.612800000000007</v>
      </c>
      <c r="W3" s="193"/>
    </row>
    <row r="4" spans="1:23" ht="23.45" customHeight="1">
      <c r="A4" s="192" t="s">
        <v>935</v>
      </c>
      <c r="B4" s="192" t="s">
        <v>397</v>
      </c>
      <c r="C4" s="193" t="s">
        <v>937</v>
      </c>
      <c r="D4" s="193" t="s">
        <v>972</v>
      </c>
      <c r="E4" s="193" t="s">
        <v>972</v>
      </c>
      <c r="F4" s="216" t="s">
        <v>988</v>
      </c>
      <c r="G4" s="216" t="s">
        <v>1001</v>
      </c>
      <c r="H4" s="197">
        <v>78</v>
      </c>
      <c r="I4" s="205">
        <v>75</v>
      </c>
      <c r="J4" s="196">
        <v>48.7</v>
      </c>
      <c r="K4" s="196">
        <f>Таблица4[[#This Row],[Количество внесения, п.е.]]/Таблица4[[#This Row],[Площадь внесения, га]]</f>
        <v>0.64933333333333332</v>
      </c>
      <c r="L4" s="221">
        <v>14</v>
      </c>
      <c r="M4" s="193">
        <f>Таблица4[[#This Row],[Урожайность план, т/га]]*Таблица4[[#This Row],[Площадь внесения, га]]</f>
        <v>1050</v>
      </c>
      <c r="N4" s="208">
        <v>0.13</v>
      </c>
      <c r="O4" s="207">
        <f>Таблица4[[#This Row],[Валовый сбор план, т]]*(1-Таблица4[[#This Row],[Рефакция план, %]])</f>
        <v>913.5</v>
      </c>
      <c r="P4" s="218">
        <v>75</v>
      </c>
      <c r="Q4" s="210">
        <f>Таблица4[[#This Row],[Площадь внесения, га]]-Таблица4[[#This Row],[Площадь уборки, га]]</f>
        <v>0</v>
      </c>
      <c r="R4" s="210"/>
      <c r="S4" s="221">
        <f>IFERROR(Таблица4[[#This Row],[Валовый сбор факт, т]]/Таблица4[[#This Row],[Площадь уборки, га]], "-")</f>
        <v>15.794799999999999</v>
      </c>
      <c r="T4" s="207">
        <f>1184610/1000</f>
        <v>1184.6099999999999</v>
      </c>
      <c r="U4" s="208">
        <f>IFERROR(1-Таблица4[[#This Row],[Зачетный вес факт, т]]/Таблица4[[#This Row],[Валовый сбор факт, т]], "-")</f>
        <v>0.346596432581187</v>
      </c>
      <c r="V4" s="207">
        <f>774028.4/1000</f>
        <v>774.02840000000003</v>
      </c>
      <c r="W4" s="193"/>
    </row>
    <row r="5" spans="1:23" ht="23.45" customHeight="1">
      <c r="A5" s="192" t="s">
        <v>935</v>
      </c>
      <c r="B5" s="192" t="s">
        <v>397</v>
      </c>
      <c r="C5" s="193" t="s">
        <v>100</v>
      </c>
      <c r="D5" s="193" t="s">
        <v>260</v>
      </c>
      <c r="E5" s="193" t="s">
        <v>260</v>
      </c>
      <c r="F5" s="216" t="s">
        <v>988</v>
      </c>
      <c r="G5" s="216" t="s">
        <v>1002</v>
      </c>
      <c r="H5" s="197">
        <v>78</v>
      </c>
      <c r="I5" s="205">
        <v>3</v>
      </c>
      <c r="J5" s="196">
        <v>2</v>
      </c>
      <c r="K5" s="196">
        <f>Таблица4[[#This Row],[Количество внесения, п.е.]]/Таблица4[[#This Row],[Площадь внесения, га]]</f>
        <v>0.66666666666666663</v>
      </c>
      <c r="L5" s="221">
        <v>14</v>
      </c>
      <c r="M5" s="193">
        <f>Таблица4[[#This Row],[Урожайность план, т/га]]*Таблица4[[#This Row],[Площадь внесения, га]]</f>
        <v>42</v>
      </c>
      <c r="N5" s="208">
        <v>0.13</v>
      </c>
      <c r="O5" s="207">
        <f>Таблица4[[#This Row],[Валовый сбор план, т]]*(1-Таблица4[[#This Row],[Рефакция план, %]])</f>
        <v>36.54</v>
      </c>
      <c r="P5" s="218">
        <v>3</v>
      </c>
      <c r="Q5" s="210">
        <f>Таблица4[[#This Row],[Площадь внесения, га]]-Таблица4[[#This Row],[Площадь уборки, га]]</f>
        <v>0</v>
      </c>
      <c r="R5" s="210"/>
      <c r="S5" s="221">
        <f>IFERROR(Таблица4[[#This Row],[Валовый сбор факт, т]]/Таблица4[[#This Row],[Площадь уборки, га]], "-")</f>
        <v>39.643333333333338</v>
      </c>
      <c r="T5" s="207">
        <f>118930/1000</f>
        <v>118.93</v>
      </c>
      <c r="U5" s="208">
        <f>IFERROR(1-Таблица4[[#This Row],[Зачетный вес факт, т]]/Таблица4[[#This Row],[Валовый сбор факт, т]], "-")</f>
        <v>0.29269654418565538</v>
      </c>
      <c r="V5" s="207">
        <f>84119.6/1000</f>
        <v>84.119600000000005</v>
      </c>
      <c r="W5" s="193"/>
    </row>
    <row r="6" spans="1:23" ht="23.45" customHeight="1">
      <c r="A6" s="192" t="s">
        <v>935</v>
      </c>
      <c r="B6" s="192" t="s">
        <v>856</v>
      </c>
      <c r="C6" s="193" t="s">
        <v>937</v>
      </c>
      <c r="D6" s="193" t="s">
        <v>972</v>
      </c>
      <c r="E6" s="193" t="s">
        <v>972</v>
      </c>
      <c r="F6" s="216" t="s">
        <v>988</v>
      </c>
      <c r="G6" s="215">
        <v>45883</v>
      </c>
      <c r="H6" s="197">
        <v>74</v>
      </c>
      <c r="I6" s="205">
        <v>25</v>
      </c>
      <c r="J6" s="196">
        <v>16.3</v>
      </c>
      <c r="K6" s="196">
        <f>Таблица4[[#This Row],[Количество внесения, п.е.]]/Таблица4[[#This Row],[Площадь внесения, га]]</f>
        <v>0.65200000000000002</v>
      </c>
      <c r="L6" s="221">
        <v>14</v>
      </c>
      <c r="M6" s="193">
        <f>Таблица4[[#This Row],[Урожайность план, т/га]]*Таблица4[[#This Row],[Площадь внесения, га]]</f>
        <v>350</v>
      </c>
      <c r="N6" s="208">
        <v>0.13</v>
      </c>
      <c r="O6" s="207">
        <f>Таблица4[[#This Row],[Валовый сбор план, т]]*(1-Таблица4[[#This Row],[Рефакция план, %]])</f>
        <v>304.5</v>
      </c>
      <c r="P6" s="218">
        <v>1</v>
      </c>
      <c r="Q6" s="205">
        <f>Таблица4[[#This Row],[Площадь внесения, га]]-Таблица4[[#This Row],[Площадь уборки, га]]</f>
        <v>24</v>
      </c>
      <c r="R6" s="229">
        <f>Таблица4[[#This Row],[Остаток, га]]</f>
        <v>24</v>
      </c>
      <c r="S6" s="221">
        <f>IFERROR(Таблица4[[#This Row],[Валовый сбор факт, т]]/Таблица4[[#This Row],[Площадь уборки, га]], "-")</f>
        <v>21.64</v>
      </c>
      <c r="T6" s="207">
        <f>21640/1000</f>
        <v>21.64</v>
      </c>
      <c r="U6" s="208">
        <f>IFERROR(1-Таблица4[[#This Row],[Зачетный вес факт, т]]/Таблица4[[#This Row],[Валовый сбор факт, т]], "-")</f>
        <v>0.53</v>
      </c>
      <c r="V6" s="207">
        <f>10170.8/1000</f>
        <v>10.1708</v>
      </c>
      <c r="W6" s="193"/>
    </row>
    <row r="7" spans="1:23" ht="23.45" customHeight="1">
      <c r="A7" s="192" t="s">
        <v>935</v>
      </c>
      <c r="B7" s="192" t="s">
        <v>856</v>
      </c>
      <c r="C7" s="193" t="s">
        <v>938</v>
      </c>
      <c r="D7" s="193" t="s">
        <v>869</v>
      </c>
      <c r="E7" s="193" t="s">
        <v>869</v>
      </c>
      <c r="F7" s="216" t="s">
        <v>988</v>
      </c>
      <c r="G7" s="215">
        <v>45883</v>
      </c>
      <c r="H7" s="197">
        <v>74</v>
      </c>
      <c r="I7" s="205">
        <v>49</v>
      </c>
      <c r="J7" s="196">
        <v>31.8</v>
      </c>
      <c r="K7" s="196">
        <f>Таблица4[[#This Row],[Количество внесения, п.е.]]/Таблица4[[#This Row],[Площадь внесения, га]]</f>
        <v>0.6489795918367347</v>
      </c>
      <c r="L7" s="221">
        <v>14</v>
      </c>
      <c r="M7" s="193">
        <f>Таблица4[[#This Row],[Урожайность план, т/га]]*Таблица4[[#This Row],[Площадь внесения, га]]</f>
        <v>686</v>
      </c>
      <c r="N7" s="208">
        <v>0.13</v>
      </c>
      <c r="O7" s="207">
        <f>Таблица4[[#This Row],[Валовый сбор план, т]]*(1-Таблица4[[#This Row],[Рефакция план, %]])</f>
        <v>596.82000000000005</v>
      </c>
      <c r="P7" s="218">
        <v>1</v>
      </c>
      <c r="Q7" s="205">
        <f>Таблица4[[#This Row],[Площадь внесения, га]]-Таблица4[[#This Row],[Площадь уборки, га]]</f>
        <v>48</v>
      </c>
      <c r="R7" s="229">
        <f>Таблица4[[#This Row],[Остаток, га]]</f>
        <v>48</v>
      </c>
      <c r="S7" s="221">
        <f>IFERROR(Таблица4[[#This Row],[Валовый сбор факт, т]]/Таблица4[[#This Row],[Площадь уборки, га]], "-")</f>
        <v>20.29</v>
      </c>
      <c r="T7" s="207">
        <f>20290/1000</f>
        <v>20.29</v>
      </c>
      <c r="U7" s="208">
        <f>IFERROR(1-Таблица4[[#This Row],[Зачетный вес факт, т]]/Таблица4[[#This Row],[Валовый сбор факт, т]], "-")</f>
        <v>0.56999999999999995</v>
      </c>
      <c r="V7" s="207">
        <f>8724.7/1000</f>
        <v>8.7247000000000003</v>
      </c>
      <c r="W7" s="193"/>
    </row>
    <row r="8" spans="1:23" ht="23.45" customHeight="1">
      <c r="A8" s="192" t="s">
        <v>935</v>
      </c>
      <c r="B8" s="192" t="s">
        <v>939</v>
      </c>
      <c r="C8" s="193" t="s">
        <v>940</v>
      </c>
      <c r="D8" s="193" t="s">
        <v>973</v>
      </c>
      <c r="E8" s="193" t="s">
        <v>973</v>
      </c>
      <c r="F8" s="216" t="s">
        <v>988</v>
      </c>
      <c r="G8" s="215">
        <v>45887</v>
      </c>
      <c r="H8" s="197">
        <v>78</v>
      </c>
      <c r="I8" s="205">
        <v>18</v>
      </c>
      <c r="J8" s="196">
        <v>11.3</v>
      </c>
      <c r="K8" s="196">
        <f>Таблица4[[#This Row],[Количество внесения, п.е.]]/Таблица4[[#This Row],[Площадь внесения, га]]</f>
        <v>0.62777777777777777</v>
      </c>
      <c r="L8" s="221">
        <v>14</v>
      </c>
      <c r="M8" s="193">
        <f>Таблица4[[#This Row],[Урожайность план, т/га]]*Таблица4[[#This Row],[Площадь внесения, га]]</f>
        <v>252</v>
      </c>
      <c r="N8" s="208">
        <v>0.13</v>
      </c>
      <c r="O8" s="207">
        <f>Таблица4[[#This Row],[Валовый сбор план, т]]*(1-Таблица4[[#This Row],[Рефакция план, %]])</f>
        <v>219.24</v>
      </c>
      <c r="P8" s="218">
        <v>18</v>
      </c>
      <c r="Q8" s="210">
        <f>Таблица4[[#This Row],[Площадь внесения, га]]-Таблица4[[#This Row],[Площадь уборки, га]]</f>
        <v>0</v>
      </c>
      <c r="R8" s="205"/>
      <c r="S8" s="221">
        <f>IFERROR(Таблица4[[#This Row],[Валовый сбор факт, т]]/Таблица4[[#This Row],[Площадь уборки, га]], "-")</f>
        <v>13.68888888888889</v>
      </c>
      <c r="T8" s="207">
        <f>246400/1000</f>
        <v>246.4</v>
      </c>
      <c r="U8" s="208">
        <f>IFERROR(1-Таблица4[[#This Row],[Зачетный вес факт, т]]/Таблица4[[#This Row],[Валовый сбор факт, т]], "-")</f>
        <v>0.1892987012987013</v>
      </c>
      <c r="V8" s="207">
        <f>199756.8/1000</f>
        <v>199.7568</v>
      </c>
      <c r="W8" s="193"/>
    </row>
    <row r="9" spans="1:23" ht="23.45" customHeight="1">
      <c r="A9" s="192" t="s">
        <v>935</v>
      </c>
      <c r="B9" s="192" t="s">
        <v>939</v>
      </c>
      <c r="C9" s="193" t="s">
        <v>941</v>
      </c>
      <c r="D9" s="193" t="s">
        <v>974</v>
      </c>
      <c r="E9" s="193" t="s">
        <v>974</v>
      </c>
      <c r="F9" s="216" t="s">
        <v>988</v>
      </c>
      <c r="G9" s="215" t="s">
        <v>1213</v>
      </c>
      <c r="H9" s="197">
        <v>78</v>
      </c>
      <c r="I9" s="205">
        <v>60</v>
      </c>
      <c r="J9" s="196">
        <v>39</v>
      </c>
      <c r="K9" s="196">
        <f>Таблица4[[#This Row],[Количество внесения, п.е.]]/Таблица4[[#This Row],[Площадь внесения, га]]</f>
        <v>0.65</v>
      </c>
      <c r="L9" s="221">
        <v>14</v>
      </c>
      <c r="M9" s="193">
        <f>Таблица4[[#This Row],[Урожайность план, т/га]]*Таблица4[[#This Row],[Площадь внесения, га]]</f>
        <v>840</v>
      </c>
      <c r="N9" s="208">
        <v>0.13</v>
      </c>
      <c r="O9" s="207">
        <f>Таблица4[[#This Row],[Валовый сбор план, т]]*(1-Таблица4[[#This Row],[Рефакция план, %]])</f>
        <v>730.8</v>
      </c>
      <c r="P9" s="218">
        <v>60</v>
      </c>
      <c r="Q9" s="210">
        <f>Таблица4[[#This Row],[Площадь внесения, га]]-Таблица4[[#This Row],[Площадь уборки, га]]</f>
        <v>0</v>
      </c>
      <c r="R9" s="205"/>
      <c r="S9" s="221">
        <f>IFERROR(Таблица4[[#This Row],[Валовый сбор факт, т]]/Таблица4[[#This Row],[Площадь уборки, га]], "-")</f>
        <v>18.770333333333333</v>
      </c>
      <c r="T9" s="207">
        <f>1126220/1000</f>
        <v>1126.22</v>
      </c>
      <c r="U9" s="208">
        <f>IFERROR(1-Таблица4[[#This Row],[Зачетный вес факт, т]]/Таблица4[[#This Row],[Валовый сбор факт, т]], "-")</f>
        <v>0.19242599136935945</v>
      </c>
      <c r="V9" s="207">
        <f>909506/1000</f>
        <v>909.50599999999997</v>
      </c>
      <c r="W9" s="193"/>
    </row>
    <row r="10" spans="1:23" ht="23.45" customHeight="1">
      <c r="A10" s="192" t="s">
        <v>935</v>
      </c>
      <c r="B10" s="192" t="s">
        <v>942</v>
      </c>
      <c r="C10" s="193" t="s">
        <v>938</v>
      </c>
      <c r="D10" s="193" t="s">
        <v>869</v>
      </c>
      <c r="E10" s="193" t="s">
        <v>869</v>
      </c>
      <c r="F10" s="216" t="s">
        <v>988</v>
      </c>
      <c r="G10" s="215" t="s">
        <v>1214</v>
      </c>
      <c r="H10" s="197">
        <v>78</v>
      </c>
      <c r="I10" s="205">
        <v>45</v>
      </c>
      <c r="J10" s="196">
        <v>29.2</v>
      </c>
      <c r="K10" s="196">
        <f>Таблица4[[#This Row],[Количество внесения, п.е.]]/Таблица4[[#This Row],[Площадь внесения, га]]</f>
        <v>0.64888888888888885</v>
      </c>
      <c r="L10" s="221">
        <v>14</v>
      </c>
      <c r="M10" s="193">
        <f>Таблица4[[#This Row],[Урожайность план, т/га]]*Таблица4[[#This Row],[Площадь внесения, га]]</f>
        <v>630</v>
      </c>
      <c r="N10" s="208">
        <v>0.13</v>
      </c>
      <c r="O10" s="207">
        <f>Таблица4[[#This Row],[Валовый сбор план, т]]*(1-Таблица4[[#This Row],[Рефакция план, %]])</f>
        <v>548.1</v>
      </c>
      <c r="P10" s="218">
        <v>45</v>
      </c>
      <c r="Q10" s="210">
        <f>Таблица4[[#This Row],[Площадь внесения, га]]-Таблица4[[#This Row],[Площадь уборки, га]]</f>
        <v>0</v>
      </c>
      <c r="R10" s="205"/>
      <c r="S10" s="221">
        <f>IFERROR(Таблица4[[#This Row],[Валовый сбор факт, т]]/Таблица4[[#This Row],[Площадь уборки, га]], "-")</f>
        <v>13.22088888888889</v>
      </c>
      <c r="T10" s="207">
        <f>594940/1000</f>
        <v>594.94000000000005</v>
      </c>
      <c r="U10" s="208">
        <f>IFERROR(1-Таблица4[[#This Row],[Зачетный вес факт, т]]/Таблица4[[#This Row],[Валовый сбор факт, т]], "-")</f>
        <v>0.21231838504723177</v>
      </c>
      <c r="V10" s="207">
        <f>468623.3/1000</f>
        <v>468.62329999999997</v>
      </c>
      <c r="W10" s="193"/>
    </row>
    <row r="11" spans="1:23" ht="23.45" customHeight="1">
      <c r="A11" s="192" t="s">
        <v>935</v>
      </c>
      <c r="B11" s="192" t="s">
        <v>942</v>
      </c>
      <c r="C11" s="193" t="s">
        <v>940</v>
      </c>
      <c r="D11" s="193" t="s">
        <v>973</v>
      </c>
      <c r="E11" s="193" t="s">
        <v>973</v>
      </c>
      <c r="F11" s="216" t="s">
        <v>988</v>
      </c>
      <c r="G11" s="215" t="s">
        <v>1214</v>
      </c>
      <c r="H11" s="197">
        <v>78</v>
      </c>
      <c r="I11" s="205">
        <v>33</v>
      </c>
      <c r="J11" s="196">
        <v>21.7</v>
      </c>
      <c r="K11" s="196">
        <f>Таблица4[[#This Row],[Количество внесения, п.е.]]/Таблица4[[#This Row],[Площадь внесения, га]]</f>
        <v>0.65757575757575759</v>
      </c>
      <c r="L11" s="221">
        <v>14</v>
      </c>
      <c r="M11" s="193">
        <f>Таблица4[[#This Row],[Урожайность план, т/га]]*Таблица4[[#This Row],[Площадь внесения, га]]</f>
        <v>462</v>
      </c>
      <c r="N11" s="208">
        <v>0.13</v>
      </c>
      <c r="O11" s="207">
        <f>Таблица4[[#This Row],[Валовый сбор план, т]]*(1-Таблица4[[#This Row],[Рефакция план, %]])</f>
        <v>401.94</v>
      </c>
      <c r="P11" s="218">
        <v>33</v>
      </c>
      <c r="Q11" s="210">
        <f>Таблица4[[#This Row],[Площадь внесения, га]]-Таблица4[[#This Row],[Площадь уборки, га]]</f>
        <v>0</v>
      </c>
      <c r="R11" s="205"/>
      <c r="S11" s="221">
        <f>IFERROR(Таблица4[[#This Row],[Валовый сбор факт, т]]/Таблица4[[#This Row],[Площадь уборки, га]], "-")</f>
        <v>21.186969696969697</v>
      </c>
      <c r="T11" s="207">
        <f>699170/1000</f>
        <v>699.17</v>
      </c>
      <c r="U11" s="208">
        <f>IFERROR(1-Таблица4[[#This Row],[Зачетный вес факт, т]]/Таблица4[[#This Row],[Валовый сбор факт, т]], "-")</f>
        <v>0.22928472331478755</v>
      </c>
      <c r="V11" s="207">
        <f>538861/1000</f>
        <v>538.86099999999999</v>
      </c>
      <c r="W11" s="193"/>
    </row>
    <row r="12" spans="1:23" ht="23.45" hidden="1" customHeight="1">
      <c r="A12" s="192" t="s">
        <v>935</v>
      </c>
      <c r="B12" s="192" t="s">
        <v>961</v>
      </c>
      <c r="C12" s="193" t="s">
        <v>938</v>
      </c>
      <c r="D12" s="193" t="s">
        <v>869</v>
      </c>
      <c r="E12" s="193"/>
      <c r="F12" s="216" t="s">
        <v>987</v>
      </c>
      <c r="G12" s="216"/>
      <c r="H12" s="197">
        <v>68</v>
      </c>
      <c r="I12" s="205">
        <v>30.7</v>
      </c>
      <c r="J12" s="196">
        <v>20</v>
      </c>
      <c r="K12" s="196">
        <f>Таблица4[[#This Row],[Количество внесения, п.е.]]/Таблица4[[#This Row],[Площадь внесения, га]]</f>
        <v>0.65146579804560267</v>
      </c>
      <c r="L12" s="221">
        <v>14</v>
      </c>
      <c r="M12" s="193">
        <f>Таблица4[[#This Row],[Урожайность план, т/га]]*Таблица4[[#This Row],[Площадь внесения, га]]</f>
        <v>429.8</v>
      </c>
      <c r="N12" s="208">
        <v>0.13</v>
      </c>
      <c r="O12" s="207">
        <f>Таблица4[[#This Row],[Валовый сбор план, т]]*(1-Таблица4[[#This Row],[Рефакция план, %]])</f>
        <v>373.92599999999999</v>
      </c>
      <c r="P12" s="205"/>
      <c r="Q12" s="210">
        <f>Таблица4[[#This Row],[Площадь внесения, га]]-Таблица4[[#This Row],[Площадь уборки, га]]</f>
        <v>30.7</v>
      </c>
      <c r="R12" s="205"/>
      <c r="S12" s="221" t="str">
        <f>IFERROR(Таблица4[[#This Row],[Валовый сбор факт, т]]/Таблица4[[#This Row],[Площадь уборки, га]], "-")</f>
        <v>-</v>
      </c>
      <c r="T12" s="207"/>
      <c r="U12" s="208" t="str">
        <f>IFERROR(1-Таблица4[[#This Row],[Зачетный вес факт, т]]/Таблица4[[#This Row],[Валовый сбор факт, т]], "-")</f>
        <v>-</v>
      </c>
      <c r="V12" s="207"/>
      <c r="W12" s="193"/>
    </row>
    <row r="13" spans="1:23" ht="23.45" hidden="1" customHeight="1">
      <c r="A13" s="192" t="s">
        <v>935</v>
      </c>
      <c r="B13" s="192" t="s">
        <v>961</v>
      </c>
      <c r="C13" s="193" t="s">
        <v>98</v>
      </c>
      <c r="D13" s="193" t="s">
        <v>48</v>
      </c>
      <c r="E13" s="193"/>
      <c r="F13" s="216" t="s">
        <v>987</v>
      </c>
      <c r="G13" s="216"/>
      <c r="H13" s="197">
        <v>68</v>
      </c>
      <c r="I13" s="205">
        <v>37.299999999999997</v>
      </c>
      <c r="J13" s="196">
        <v>24.2</v>
      </c>
      <c r="K13" s="196">
        <f>Таблица4[[#This Row],[Количество внесения, п.е.]]/Таблица4[[#This Row],[Площадь внесения, га]]</f>
        <v>0.6487935656836461</v>
      </c>
      <c r="L13" s="221">
        <v>14</v>
      </c>
      <c r="M13" s="193">
        <f>Таблица4[[#This Row],[Урожайность план, т/га]]*Таблица4[[#This Row],[Площадь внесения, га]]</f>
        <v>522.19999999999993</v>
      </c>
      <c r="N13" s="208">
        <v>0.13</v>
      </c>
      <c r="O13" s="207">
        <f>Таблица4[[#This Row],[Валовый сбор план, т]]*(1-Таблица4[[#This Row],[Рефакция план, %]])</f>
        <v>454.31399999999996</v>
      </c>
      <c r="P13" s="205"/>
      <c r="Q13" s="210">
        <f>Таблица4[[#This Row],[Площадь внесения, га]]-Таблица4[[#This Row],[Площадь уборки, га]]</f>
        <v>37.299999999999997</v>
      </c>
      <c r="R13" s="205"/>
      <c r="S13" s="221" t="str">
        <f>IFERROR(Таблица4[[#This Row],[Валовый сбор факт, т]]/Таблица4[[#This Row],[Площадь уборки, га]], "-")</f>
        <v>-</v>
      </c>
      <c r="T13" s="207"/>
      <c r="U13" s="208" t="str">
        <f>IFERROR(1-Таблица4[[#This Row],[Зачетный вес факт, т]]/Таблица4[[#This Row],[Валовый сбор факт, т]], "-")</f>
        <v>-</v>
      </c>
      <c r="V13" s="207"/>
      <c r="W13" s="193"/>
    </row>
    <row r="14" spans="1:23" ht="23.45" customHeight="1">
      <c r="A14" s="192" t="s">
        <v>935</v>
      </c>
      <c r="B14" s="192" t="s">
        <v>961</v>
      </c>
      <c r="C14" s="193"/>
      <c r="D14" s="193"/>
      <c r="E14" s="193" t="s">
        <v>869</v>
      </c>
      <c r="F14" s="216" t="s">
        <v>987</v>
      </c>
      <c r="G14" s="215">
        <v>45900</v>
      </c>
      <c r="H14" s="197">
        <v>68</v>
      </c>
      <c r="I14" s="205">
        <v>30.7</v>
      </c>
      <c r="J14" s="196">
        <v>20</v>
      </c>
      <c r="K14" s="196">
        <f>Таблица4[[#This Row],[Количество внесения, п.е.]]/Таблица4[[#This Row],[Площадь внесения, га]]</f>
        <v>0.65146579804560267</v>
      </c>
      <c r="L14" s="221">
        <v>14</v>
      </c>
      <c r="M14" s="193">
        <f>Таблица4[[#This Row],[Урожайность план, т/га]]*Таблица4[[#This Row],[Площадь внесения, га]]</f>
        <v>429.8</v>
      </c>
      <c r="N14" s="208">
        <v>0.13</v>
      </c>
      <c r="O14" s="207">
        <f>Таблица4[[#This Row],[Валовый сбор план, т]]*(1-Таблица4[[#This Row],[Рефакция план, %]])</f>
        <v>373.92599999999999</v>
      </c>
      <c r="P14" s="205">
        <v>30.7</v>
      </c>
      <c r="Q14" s="210">
        <f>Таблица4[[#This Row],[Площадь внесения, га]]-Таблица4[[#This Row],[Площадь уборки, га]]</f>
        <v>0</v>
      </c>
      <c r="R14" s="205"/>
      <c r="S14" s="221">
        <f>IFERROR(Таблица4[[#This Row],[Валовый сбор факт, т]]/Таблица4[[#This Row],[Площадь уборки, га]], "-")</f>
        <v>13.28957654723127</v>
      </c>
      <c r="T14" s="207">
        <f>407990/1000</f>
        <v>407.99</v>
      </c>
      <c r="U14" s="208">
        <f>IFERROR(1-Таблица4[[#This Row],[Зачетный вес факт, т]]/Таблица4[[#This Row],[Валовый сбор факт, т]], "-")</f>
        <v>0.11745557489154146</v>
      </c>
      <c r="V14" s="207">
        <f>360069.3/1000</f>
        <v>360.0693</v>
      </c>
      <c r="W14" s="193"/>
    </row>
    <row r="15" spans="1:23" ht="23.45" customHeight="1">
      <c r="A15" s="192" t="s">
        <v>935</v>
      </c>
      <c r="B15" s="192" t="s">
        <v>961</v>
      </c>
      <c r="C15" s="193"/>
      <c r="D15" s="193"/>
      <c r="E15" s="193" t="s">
        <v>48</v>
      </c>
      <c r="F15" s="216" t="s">
        <v>987</v>
      </c>
      <c r="G15" s="215">
        <v>45900</v>
      </c>
      <c r="H15" s="197">
        <v>68</v>
      </c>
      <c r="I15" s="205">
        <v>11.3</v>
      </c>
      <c r="J15" s="196">
        <v>7.2</v>
      </c>
      <c r="K15" s="196">
        <f>Таблица4[[#This Row],[Количество внесения, п.е.]]/Таблица4[[#This Row],[Площадь внесения, га]]</f>
        <v>0.63716814159292035</v>
      </c>
      <c r="L15" s="221">
        <v>14</v>
      </c>
      <c r="M15" s="193">
        <f>Таблица4[[#This Row],[Урожайность план, т/га]]*Таблица4[[#This Row],[Площадь внесения, га]]</f>
        <v>158.20000000000002</v>
      </c>
      <c r="N15" s="208">
        <v>0.13</v>
      </c>
      <c r="O15" s="207">
        <f>Таблица4[[#This Row],[Валовый сбор план, т]]*(1-Таблица4[[#This Row],[Рефакция план, %]])</f>
        <v>137.63400000000001</v>
      </c>
      <c r="P15" s="205">
        <v>11.3</v>
      </c>
      <c r="Q15" s="210">
        <v>0</v>
      </c>
      <c r="R15" s="205"/>
      <c r="S15" s="221">
        <f>IFERROR(Таблица4[[#This Row],[Валовый сбор факт, т]]/Таблица4[[#This Row],[Площадь уборки, га]], "-")</f>
        <v>15.833628318584068</v>
      </c>
      <c r="T15" s="207">
        <f>178920/1000</f>
        <v>178.92</v>
      </c>
      <c r="U15" s="208">
        <f>IFERROR(1-Таблица4[[#This Row],[Зачетный вес факт, т]]/Таблица4[[#This Row],[Валовый сбор факт, т]], "-")</f>
        <v>0.10588810641627533</v>
      </c>
      <c r="V15" s="207">
        <f>159974.5/1000</f>
        <v>159.97450000000001</v>
      </c>
      <c r="W15" s="193"/>
    </row>
    <row r="16" spans="1:23" ht="23.45" customHeight="1">
      <c r="A16" s="192" t="s">
        <v>50</v>
      </c>
      <c r="B16" s="192" t="s">
        <v>961</v>
      </c>
      <c r="C16" s="193"/>
      <c r="D16" s="193"/>
      <c r="E16" s="193" t="s">
        <v>51</v>
      </c>
      <c r="F16" s="216" t="s">
        <v>989</v>
      </c>
      <c r="G16" s="215">
        <v>45903</v>
      </c>
      <c r="H16" s="197">
        <v>68</v>
      </c>
      <c r="I16" s="205">
        <v>26</v>
      </c>
      <c r="J16" s="196">
        <v>17</v>
      </c>
      <c r="K16" s="196">
        <f>Таблица4[[#This Row],[Количество внесения, п.е.]]/Таблица4[[#This Row],[Площадь внесения, га]]</f>
        <v>0.65384615384615385</v>
      </c>
      <c r="L16" s="221">
        <v>20</v>
      </c>
      <c r="M16" s="193">
        <f>Таблица4[[#This Row],[Урожайность план, т/га]]*Таблица4[[#This Row],[Площадь внесения, га]]</f>
        <v>520</v>
      </c>
      <c r="N16" s="208">
        <v>0.13</v>
      </c>
      <c r="O16" s="207">
        <f>Таблица4[[#This Row],[Валовый сбор план, т]]*(1-Таблица4[[#This Row],[Рефакция план, %]])</f>
        <v>452.4</v>
      </c>
      <c r="P16" s="205">
        <v>26</v>
      </c>
      <c r="Q16" s="210">
        <f>Таблица4[[#This Row],[Площадь внесения, га]]-Таблица4[[#This Row],[Площадь уборки, га]]</f>
        <v>0</v>
      </c>
      <c r="R16" s="205"/>
      <c r="S16" s="221">
        <f>IFERROR(Таблица4[[#This Row],[Валовый сбор факт, т]]/Таблица4[[#This Row],[Площадь уборки, га]], "-")</f>
        <v>13.580384615384615</v>
      </c>
      <c r="T16" s="207">
        <f>353090/1000</f>
        <v>353.09</v>
      </c>
      <c r="U16" s="208">
        <f>IFERROR(1-Таблица4[[#This Row],[Зачетный вес факт, т]]/Таблица4[[#This Row],[Валовый сбор факт, т]], "-")</f>
        <v>0.13762043671585145</v>
      </c>
      <c r="V16" s="207">
        <f>304497.6/1000</f>
        <v>304.49759999999998</v>
      </c>
      <c r="W16" s="193"/>
    </row>
    <row r="17" spans="1:23" ht="23.45" customHeight="1">
      <c r="A17" s="192" t="s">
        <v>935</v>
      </c>
      <c r="B17" s="192" t="s">
        <v>964</v>
      </c>
      <c r="C17" s="193" t="s">
        <v>936</v>
      </c>
      <c r="D17" s="193" t="s">
        <v>777</v>
      </c>
      <c r="E17" s="193" t="s">
        <v>777</v>
      </c>
      <c r="F17" s="216" t="s">
        <v>987</v>
      </c>
      <c r="G17" s="215" t="s">
        <v>1409</v>
      </c>
      <c r="H17" s="197">
        <v>56</v>
      </c>
      <c r="I17" s="205">
        <v>46</v>
      </c>
      <c r="J17" s="196">
        <v>31</v>
      </c>
      <c r="K17" s="196">
        <f>Таблица4[[#This Row],[Количество внесения, п.е.]]/Таблица4[[#This Row],[Площадь внесения, га]]</f>
        <v>0.67391304347826086</v>
      </c>
      <c r="L17" s="221">
        <v>14</v>
      </c>
      <c r="M17" s="193">
        <f>Таблица4[[#This Row],[Урожайность план, т/га]]*Таблица4[[#This Row],[Площадь внесения, га]]</f>
        <v>644</v>
      </c>
      <c r="N17" s="208">
        <v>0.13</v>
      </c>
      <c r="O17" s="207">
        <f>Таблица4[[#This Row],[Валовый сбор план, т]]*(1-Таблица4[[#This Row],[Рефакция план, %]])</f>
        <v>560.28</v>
      </c>
      <c r="P17" s="205">
        <v>46</v>
      </c>
      <c r="Q17" s="210">
        <f>Таблица4[[#This Row],[Площадь внесения, га]]-Таблица4[[#This Row],[Площадь уборки, га]]</f>
        <v>0</v>
      </c>
      <c r="R17" s="205"/>
      <c r="S17" s="221">
        <f>IFERROR(Таблица4[[#This Row],[Валовый сбор факт, т]]/Таблица4[[#This Row],[Площадь уборки, га]], "-")</f>
        <v>18.078260869565216</v>
      </c>
      <c r="T17" s="207">
        <f>831600/1000</f>
        <v>831.6</v>
      </c>
      <c r="U17" s="208">
        <f>IFERROR(1-Таблица4[[#This Row],[Зачетный вес факт, т]]/Таблица4[[#This Row],[Валовый сбор факт, т]], "-")</f>
        <v>7.1183621933622043E-2</v>
      </c>
      <c r="V17" s="207">
        <f>772403.7/1000</f>
        <v>772.40369999999996</v>
      </c>
      <c r="W17" s="193"/>
    </row>
    <row r="18" spans="1:23" ht="23.45" customHeight="1">
      <c r="A18" s="192" t="s">
        <v>935</v>
      </c>
      <c r="B18" s="192" t="s">
        <v>964</v>
      </c>
      <c r="C18" s="193" t="s">
        <v>98</v>
      </c>
      <c r="D18" s="193" t="s">
        <v>48</v>
      </c>
      <c r="E18" s="193" t="s">
        <v>48</v>
      </c>
      <c r="F18" s="216" t="s">
        <v>987</v>
      </c>
      <c r="G18" s="215">
        <v>45893</v>
      </c>
      <c r="H18" s="197">
        <v>56</v>
      </c>
      <c r="I18" s="205">
        <v>10</v>
      </c>
      <c r="J18" s="196">
        <v>6.4</v>
      </c>
      <c r="K18" s="196">
        <f>Таблица4[[#This Row],[Количество внесения, п.е.]]/Таблица4[[#This Row],[Площадь внесения, га]]</f>
        <v>0.64</v>
      </c>
      <c r="L18" s="221">
        <v>14</v>
      </c>
      <c r="M18" s="193">
        <f>Таблица4[[#This Row],[Урожайность план, т/га]]*Таблица4[[#This Row],[Площадь внесения, га]]</f>
        <v>140</v>
      </c>
      <c r="N18" s="208">
        <v>0.13</v>
      </c>
      <c r="O18" s="207">
        <f>Таблица4[[#This Row],[Валовый сбор план, т]]*(1-Таблица4[[#This Row],[Рефакция план, %]])</f>
        <v>121.8</v>
      </c>
      <c r="P18" s="205">
        <v>10</v>
      </c>
      <c r="Q18" s="210">
        <f>Таблица4[[#This Row],[Площадь внесения, га]]-Таблица4[[#This Row],[Площадь уборки, га]]</f>
        <v>0</v>
      </c>
      <c r="R18" s="205"/>
      <c r="S18" s="221">
        <f>IFERROR(Таблица4[[#This Row],[Валовый сбор факт, т]]/Таблица4[[#This Row],[Площадь уборки, га]], "-")</f>
        <v>19.675999999999998</v>
      </c>
      <c r="T18" s="207">
        <f>196760/1000</f>
        <v>196.76</v>
      </c>
      <c r="U18" s="208">
        <f>IFERROR(1-Таблица4[[#This Row],[Зачетный вес факт, т]]/Таблица4[[#This Row],[Валовый сбор факт, т]], "-")</f>
        <v>0.10690028461069334</v>
      </c>
      <c r="V18" s="207">
        <f>175726.3/1000</f>
        <v>175.72629999999998</v>
      </c>
      <c r="W18" s="193"/>
    </row>
    <row r="19" spans="1:23" ht="23.45" customHeight="1">
      <c r="A19" s="192" t="s">
        <v>935</v>
      </c>
      <c r="B19" s="192" t="s">
        <v>965</v>
      </c>
      <c r="C19" s="193"/>
      <c r="D19" s="193"/>
      <c r="E19" s="193" t="s">
        <v>48</v>
      </c>
      <c r="F19" s="216" t="s">
        <v>987</v>
      </c>
      <c r="G19" s="215" t="s">
        <v>1409</v>
      </c>
      <c r="H19" s="197">
        <v>118</v>
      </c>
      <c r="I19" s="205">
        <v>118</v>
      </c>
      <c r="J19" s="196">
        <v>76.400000000000006</v>
      </c>
      <c r="K19" s="196">
        <f>Таблица4[[#This Row],[Количество внесения, п.е.]]/Таблица4[[#This Row],[Площадь внесения, га]]</f>
        <v>0.64745762711864407</v>
      </c>
      <c r="L19" s="221">
        <v>14</v>
      </c>
      <c r="M19" s="193">
        <f>Таблица4[[#This Row],[Урожайность план, т/га]]*Таблица4[[#This Row],[Площадь внесения, га]]</f>
        <v>1652</v>
      </c>
      <c r="N19" s="208">
        <v>0.13</v>
      </c>
      <c r="O19" s="207">
        <f>Таблица4[[#This Row],[Валовый сбор план, т]]*(1-Таблица4[[#This Row],[Рефакция план, %]])</f>
        <v>1437.24</v>
      </c>
      <c r="P19" s="205">
        <v>118</v>
      </c>
      <c r="Q19" s="210">
        <f>Таблица4[[#This Row],[Площадь внесения, га]]-Таблица4[[#This Row],[Площадь уборки, га]]</f>
        <v>0</v>
      </c>
      <c r="R19" s="205"/>
      <c r="S19" s="221">
        <f>IFERROR(Таблица4[[#This Row],[Валовый сбор факт, т]]/Таблица4[[#This Row],[Площадь уборки, га]], "-")</f>
        <v>18.203813559322036</v>
      </c>
      <c r="T19" s="207">
        <f>2148050/1000</f>
        <v>2148.0500000000002</v>
      </c>
      <c r="U19" s="208">
        <f>IFERROR(1-Таблица4[[#This Row],[Зачетный вес факт, т]]/Таблица4[[#This Row],[Валовый сбор факт, т]], "-")</f>
        <v>0.12763697306859723</v>
      </c>
      <c r="V19" s="207">
        <f>1873879.4/1000</f>
        <v>1873.8793999999998</v>
      </c>
      <c r="W19" s="193"/>
    </row>
    <row r="20" spans="1:23" ht="23.45" hidden="1" customHeight="1">
      <c r="A20" s="192" t="s">
        <v>935</v>
      </c>
      <c r="B20" s="192" t="s">
        <v>965</v>
      </c>
      <c r="C20" s="193" t="s">
        <v>98</v>
      </c>
      <c r="D20" s="193" t="s">
        <v>48</v>
      </c>
      <c r="E20" s="193"/>
      <c r="F20" s="216" t="s">
        <v>987</v>
      </c>
      <c r="G20" s="215"/>
      <c r="H20" s="197">
        <v>92</v>
      </c>
      <c r="I20" s="205">
        <v>92</v>
      </c>
      <c r="J20" s="196">
        <v>59.4</v>
      </c>
      <c r="K20" s="196">
        <f>Таблица4[[#This Row],[Количество внесения, п.е.]]/Таблица4[[#This Row],[Площадь внесения, га]]</f>
        <v>0.64565217391304341</v>
      </c>
      <c r="L20" s="221">
        <v>14</v>
      </c>
      <c r="M20" s="193">
        <f>Таблица4[[#This Row],[Урожайность план, т/га]]*Таблица4[[#This Row],[Площадь внесения, га]]</f>
        <v>1288</v>
      </c>
      <c r="N20" s="208">
        <v>0.13</v>
      </c>
      <c r="O20" s="207">
        <f>Таблица4[[#This Row],[Валовый сбор план, т]]*(1-Таблица4[[#This Row],[Рефакция план, %]])</f>
        <v>1120.56</v>
      </c>
      <c r="P20" s="205"/>
      <c r="Q20" s="205">
        <f>Таблица4[[#This Row],[Площадь внесения, га]]-Таблица4[[#This Row],[Площадь уборки, га]]</f>
        <v>92</v>
      </c>
      <c r="R20" s="205"/>
      <c r="S20" s="221" t="str">
        <f>IFERROR(Таблица4[[#This Row],[Валовый сбор факт, т]]/Таблица4[[#This Row],[Площадь уборки, га]], "-")</f>
        <v>-</v>
      </c>
      <c r="T20" s="207"/>
      <c r="U20" s="208" t="str">
        <f>IFERROR(1-Таблица4[[#This Row],[Зачетный вес факт, т]]/Таблица4[[#This Row],[Валовый сбор факт, т]], "-")</f>
        <v>-</v>
      </c>
      <c r="V20" s="207"/>
      <c r="W20" s="193"/>
    </row>
    <row r="21" spans="1:23" ht="23.45" hidden="1" customHeight="1">
      <c r="A21" s="192" t="s">
        <v>50</v>
      </c>
      <c r="B21" s="192" t="s">
        <v>965</v>
      </c>
      <c r="C21" s="193" t="s">
        <v>124</v>
      </c>
      <c r="D21" s="193" t="s">
        <v>51</v>
      </c>
      <c r="E21" s="193"/>
      <c r="F21" s="216" t="s">
        <v>989</v>
      </c>
      <c r="G21" s="216"/>
      <c r="H21" s="197">
        <v>26</v>
      </c>
      <c r="I21" s="205">
        <v>26</v>
      </c>
      <c r="J21" s="196">
        <v>17</v>
      </c>
      <c r="K21" s="196">
        <f>Таблица4[[#This Row],[Количество внесения, п.е.]]/Таблица4[[#This Row],[Площадь внесения, га]]</f>
        <v>0.65384615384615385</v>
      </c>
      <c r="L21" s="221">
        <v>20</v>
      </c>
      <c r="M21" s="193">
        <f>Таблица4[[#This Row],[Урожайность план, т/га]]*Таблица4[[#This Row],[Площадь внесения, га]]</f>
        <v>520</v>
      </c>
      <c r="N21" s="208">
        <v>0.13</v>
      </c>
      <c r="O21" s="207">
        <f>Таблица4[[#This Row],[Валовый сбор план, т]]*(1-Таблица4[[#This Row],[Рефакция план, %]])</f>
        <v>452.4</v>
      </c>
      <c r="P21" s="205"/>
      <c r="Q21" s="205">
        <f>Таблица4[[#This Row],[Площадь внесения, га]]-Таблица4[[#This Row],[Площадь уборки, га]]</f>
        <v>26</v>
      </c>
      <c r="R21" s="205"/>
      <c r="S21" s="221" t="str">
        <f>IFERROR(Таблица4[[#This Row],[Валовый сбор факт, т]]/Таблица4[[#This Row],[Площадь уборки, га]], "-")</f>
        <v>-</v>
      </c>
      <c r="T21" s="207"/>
      <c r="U21" s="208" t="str">
        <f>IFERROR(1-Таблица4[[#This Row],[Зачетный вес факт, т]]/Таблица4[[#This Row],[Валовый сбор факт, т]], "-")</f>
        <v>-</v>
      </c>
      <c r="V21" s="207"/>
      <c r="W21" s="193"/>
    </row>
    <row r="22" spans="1:23" ht="23.45" customHeight="1">
      <c r="A22" s="192" t="s">
        <v>50</v>
      </c>
      <c r="B22" s="192" t="s">
        <v>947</v>
      </c>
      <c r="C22" s="193" t="s">
        <v>124</v>
      </c>
      <c r="D22" s="193" t="s">
        <v>51</v>
      </c>
      <c r="E22" s="193" t="s">
        <v>51</v>
      </c>
      <c r="F22" s="216" t="s">
        <v>990</v>
      </c>
      <c r="G22" s="216" t="s">
        <v>1976</v>
      </c>
      <c r="H22" s="197">
        <v>72</v>
      </c>
      <c r="I22" s="205">
        <v>72</v>
      </c>
      <c r="J22" s="196">
        <v>47</v>
      </c>
      <c r="K22" s="196">
        <f>Таблица4[[#This Row],[Количество внесения, п.е.]]/Таблица4[[#This Row],[Площадь внесения, га]]</f>
        <v>0.65277777777777779</v>
      </c>
      <c r="L22" s="221">
        <v>20</v>
      </c>
      <c r="M22" s="193">
        <f>Таблица4[[#This Row],[Урожайность план, т/га]]*Таблица4[[#This Row],[Площадь внесения, га]]</f>
        <v>1440</v>
      </c>
      <c r="N22" s="208">
        <v>0.13</v>
      </c>
      <c r="O22" s="207">
        <f>Таблица4[[#This Row],[Валовый сбор план, т]]*(1-Таблица4[[#This Row],[Рефакция план, %]])</f>
        <v>1252.8</v>
      </c>
      <c r="P22" s="205">
        <v>72</v>
      </c>
      <c r="Q22" s="210">
        <f>Таблица4[[#This Row],[Площадь внесения, га]]-Таблица4[[#This Row],[Площадь уборки, га]]</f>
        <v>0</v>
      </c>
      <c r="R22" s="205"/>
      <c r="S22" s="221">
        <f>IFERROR(Таблица4[[#This Row],[Валовый сбор факт, т]]/Таблица4[[#This Row],[Площадь уборки, га]], "-")</f>
        <v>16.469166666666666</v>
      </c>
      <c r="T22" s="207">
        <f>1185780/1000</f>
        <v>1185.78</v>
      </c>
      <c r="U22" s="208">
        <f>IFERROR(1-Таблица4[[#This Row],[Зачетный вес факт, т]]/Таблица4[[#This Row],[Валовый сбор факт, т]], "-")</f>
        <v>0.13435493936480625</v>
      </c>
      <c r="V22" s="207">
        <f>1026464.6/1000</f>
        <v>1026.4646</v>
      </c>
      <c r="W22" s="193"/>
    </row>
    <row r="23" spans="1:23" ht="23.45" customHeight="1">
      <c r="A23" s="192" t="s">
        <v>50</v>
      </c>
      <c r="B23" s="192" t="s">
        <v>948</v>
      </c>
      <c r="C23" s="193" t="s">
        <v>124</v>
      </c>
      <c r="D23" s="193" t="s">
        <v>51</v>
      </c>
      <c r="E23" s="193" t="s">
        <v>51</v>
      </c>
      <c r="F23" s="216" t="s">
        <v>990</v>
      </c>
      <c r="G23" s="216" t="s">
        <v>1661</v>
      </c>
      <c r="H23" s="197">
        <v>72</v>
      </c>
      <c r="I23" s="205">
        <v>72</v>
      </c>
      <c r="J23" s="196">
        <v>47</v>
      </c>
      <c r="K23" s="196">
        <f>Таблица4[[#This Row],[Количество внесения, п.е.]]/Таблица4[[#This Row],[Площадь внесения, га]]</f>
        <v>0.65277777777777779</v>
      </c>
      <c r="L23" s="221">
        <v>20</v>
      </c>
      <c r="M23" s="193">
        <f>Таблица4[[#This Row],[Урожайность план, т/га]]*Таблица4[[#This Row],[Площадь внесения, га]]</f>
        <v>1440</v>
      </c>
      <c r="N23" s="208">
        <v>0.13</v>
      </c>
      <c r="O23" s="207">
        <f>Таблица4[[#This Row],[Валовый сбор план, т]]*(1-Таблица4[[#This Row],[Рефакция план, %]])</f>
        <v>1252.8</v>
      </c>
      <c r="P23" s="205">
        <v>72</v>
      </c>
      <c r="Q23" s="210">
        <f>Таблица4[[#This Row],[Площадь внесения, га]]-Таблица4[[#This Row],[Площадь уборки, га]]</f>
        <v>0</v>
      </c>
      <c r="R23" s="205"/>
      <c r="S23" s="221">
        <f>IFERROR(Таблица4[[#This Row],[Валовый сбор факт, т]]/Таблица4[[#This Row],[Площадь уборки, га]], "-")</f>
        <v>14.482777777777777</v>
      </c>
      <c r="T23" s="207">
        <f>1042760/1000</f>
        <v>1042.76</v>
      </c>
      <c r="U23" s="208">
        <f>IFERROR(1-Таблица4[[#This Row],[Зачетный вес факт, т]]/Таблица4[[#This Row],[Валовый сбор факт, т]], "-")</f>
        <v>0.11593875867889059</v>
      </c>
      <c r="V23" s="207">
        <f>921863.7/1000</f>
        <v>921.86369999999999</v>
      </c>
      <c r="W23" s="193"/>
    </row>
    <row r="24" spans="1:23" ht="23.45" customHeight="1">
      <c r="A24" s="192" t="s">
        <v>50</v>
      </c>
      <c r="B24" s="192" t="s">
        <v>950</v>
      </c>
      <c r="C24" s="193" t="s">
        <v>124</v>
      </c>
      <c r="D24" s="193" t="s">
        <v>51</v>
      </c>
      <c r="E24" s="193" t="s">
        <v>51</v>
      </c>
      <c r="F24" s="216" t="s">
        <v>990</v>
      </c>
      <c r="G24" s="216" t="s">
        <v>2144</v>
      </c>
      <c r="H24" s="197">
        <v>36</v>
      </c>
      <c r="I24" s="205">
        <v>36</v>
      </c>
      <c r="J24" s="196">
        <v>23.5</v>
      </c>
      <c r="K24" s="196">
        <f>Таблица4[[#This Row],[Количество внесения, п.е.]]/Таблица4[[#This Row],[Площадь внесения, га]]</f>
        <v>0.65277777777777779</v>
      </c>
      <c r="L24" s="221">
        <v>20</v>
      </c>
      <c r="M24" s="193">
        <f>Таблица4[[#This Row],[Урожайность план, т/га]]*Таблица4[[#This Row],[Площадь внесения, га]]</f>
        <v>720</v>
      </c>
      <c r="N24" s="208">
        <v>0.13</v>
      </c>
      <c r="O24" s="207">
        <f>Таблица4[[#This Row],[Валовый сбор план, т]]*(1-Таблица4[[#This Row],[Рефакция план, %]])</f>
        <v>626.4</v>
      </c>
      <c r="P24" s="205">
        <v>36</v>
      </c>
      <c r="Q24" s="210">
        <f>Таблица4[[#This Row],[Площадь внесения, га]]-Таблица4[[#This Row],[Площадь уборки, га]]</f>
        <v>0</v>
      </c>
      <c r="R24" s="205"/>
      <c r="S24" s="221">
        <f>IFERROR(Таблица4[[#This Row],[Валовый сбор факт, т]]/Таблица4[[#This Row],[Площадь уборки, га]], "-")</f>
        <v>14.541111111111112</v>
      </c>
      <c r="T24" s="207">
        <f>523480/1000</f>
        <v>523.48</v>
      </c>
      <c r="U24" s="208">
        <f>IFERROR(1-Таблица4[[#This Row],[Зачетный вес факт, т]]/Таблица4[[#This Row],[Валовый сбор факт, т]], "-")</f>
        <v>0.11854206464430361</v>
      </c>
      <c r="V24" s="207">
        <f>461425.6/1000</f>
        <v>461.42559999999997</v>
      </c>
      <c r="W24" s="193"/>
    </row>
    <row r="25" spans="1:23" ht="23.45" customHeight="1">
      <c r="A25" s="192" t="s">
        <v>50</v>
      </c>
      <c r="B25" s="192" t="s">
        <v>952</v>
      </c>
      <c r="C25" s="193" t="s">
        <v>124</v>
      </c>
      <c r="D25" s="193" t="s">
        <v>51</v>
      </c>
      <c r="E25" s="193" t="s">
        <v>51</v>
      </c>
      <c r="F25" s="216" t="s">
        <v>990</v>
      </c>
      <c r="G25" s="216" t="s">
        <v>2145</v>
      </c>
      <c r="H25" s="197">
        <v>36</v>
      </c>
      <c r="I25" s="205">
        <v>36</v>
      </c>
      <c r="J25" s="196">
        <v>23.6</v>
      </c>
      <c r="K25" s="196">
        <f>Таблица4[[#This Row],[Количество внесения, п.е.]]/Таблица4[[#This Row],[Площадь внесения, га]]</f>
        <v>0.65555555555555556</v>
      </c>
      <c r="L25" s="221">
        <v>20</v>
      </c>
      <c r="M25" s="193">
        <f>Таблица4[[#This Row],[Урожайность план, т/га]]*Таблица4[[#This Row],[Площадь внесения, га]]</f>
        <v>720</v>
      </c>
      <c r="N25" s="208">
        <v>0.13</v>
      </c>
      <c r="O25" s="207">
        <f>Таблица4[[#This Row],[Валовый сбор план, т]]*(1-Таблица4[[#This Row],[Рефакция план, %]])</f>
        <v>626.4</v>
      </c>
      <c r="P25" s="205">
        <v>36</v>
      </c>
      <c r="Q25" s="210">
        <f>Таблица4[[#This Row],[Площадь внесения, га]]-Таблица4[[#This Row],[Площадь уборки, га]]</f>
        <v>0</v>
      </c>
      <c r="R25" s="205"/>
      <c r="S25" s="221">
        <f>IFERROR(Таблица4[[#This Row],[Валовый сбор факт, т]]/Таблица4[[#This Row],[Площадь уборки, га]], "-")</f>
        <v>16.345833333333335</v>
      </c>
      <c r="T25" s="207">
        <f>588450/1000</f>
        <v>588.45000000000005</v>
      </c>
      <c r="U25" s="208">
        <f>IFERROR(1-Таблица4[[#This Row],[Зачетный вес факт, т]]/Таблица4[[#This Row],[Валовый сбор факт, т]], "-")</f>
        <v>7.5357974339366196E-2</v>
      </c>
      <c r="V25" s="207">
        <f>544105.6/1000</f>
        <v>544.10559999999998</v>
      </c>
      <c r="W25" s="193"/>
    </row>
    <row r="26" spans="1:23" ht="23.45" customHeight="1">
      <c r="A26" s="192" t="s">
        <v>50</v>
      </c>
      <c r="B26" s="192" t="s">
        <v>953</v>
      </c>
      <c r="C26" s="193" t="s">
        <v>124</v>
      </c>
      <c r="D26" s="193" t="s">
        <v>51</v>
      </c>
      <c r="E26" s="193" t="s">
        <v>51</v>
      </c>
      <c r="F26" s="216" t="s">
        <v>990</v>
      </c>
      <c r="G26" s="215" t="s">
        <v>2146</v>
      </c>
      <c r="H26" s="197">
        <v>29</v>
      </c>
      <c r="I26" s="205">
        <v>29</v>
      </c>
      <c r="J26" s="196">
        <v>19.100000000000001</v>
      </c>
      <c r="K26" s="196">
        <f>Таблица4[[#This Row],[Количество внесения, п.е.]]/Таблица4[[#This Row],[Площадь внесения, га]]</f>
        <v>0.65862068965517251</v>
      </c>
      <c r="L26" s="221">
        <v>20</v>
      </c>
      <c r="M26" s="193">
        <f>Таблица4[[#This Row],[Урожайность план, т/га]]*Таблица4[[#This Row],[Площадь внесения, га]]</f>
        <v>580</v>
      </c>
      <c r="N26" s="208">
        <v>0.13</v>
      </c>
      <c r="O26" s="207">
        <f>Таблица4[[#This Row],[Валовый сбор план, т]]*(1-Таблица4[[#This Row],[Рефакция план, %]])</f>
        <v>504.6</v>
      </c>
      <c r="P26" s="205">
        <v>29</v>
      </c>
      <c r="Q26" s="210">
        <f>Таблица4[[#This Row],[Площадь внесения, га]]-Таблица4[[#This Row],[Площадь уборки, га]]</f>
        <v>0</v>
      </c>
      <c r="R26" s="205"/>
      <c r="S26" s="221">
        <f>IFERROR(Таблица4[[#This Row],[Валовый сбор факт, т]]/Таблица4[[#This Row],[Площадь уборки, га]], "-")</f>
        <v>16.214137931034482</v>
      </c>
      <c r="T26" s="207">
        <f>470210/1000</f>
        <v>470.21</v>
      </c>
      <c r="U26" s="208">
        <f>IFERROR(1-Таблица4[[#This Row],[Зачетный вес факт, т]]/Таблица4[[#This Row],[Валовый сбор факт, т]], "-")</f>
        <v>0.11684928010888751</v>
      </c>
      <c r="V26" s="207">
        <f>415266.3/1000</f>
        <v>415.2663</v>
      </c>
      <c r="W26" s="193"/>
    </row>
    <row r="27" spans="1:23" ht="23.45" customHeight="1">
      <c r="A27" s="192" t="s">
        <v>50</v>
      </c>
      <c r="B27" s="192" t="s">
        <v>954</v>
      </c>
      <c r="C27" s="193" t="s">
        <v>124</v>
      </c>
      <c r="D27" s="193" t="s">
        <v>51</v>
      </c>
      <c r="E27" s="193" t="s">
        <v>51</v>
      </c>
      <c r="F27" s="216" t="s">
        <v>990</v>
      </c>
      <c r="G27" s="215" t="s">
        <v>1662</v>
      </c>
      <c r="H27" s="197">
        <v>36</v>
      </c>
      <c r="I27" s="205">
        <v>36</v>
      </c>
      <c r="J27" s="196">
        <v>23.4</v>
      </c>
      <c r="K27" s="196">
        <f>Таблица4[[#This Row],[Количество внесения, п.е.]]/Таблица4[[#This Row],[Площадь внесения, га]]</f>
        <v>0.64999999999999991</v>
      </c>
      <c r="L27" s="221">
        <v>20</v>
      </c>
      <c r="M27" s="193">
        <f>Таблица4[[#This Row],[Урожайность план, т/га]]*Таблица4[[#This Row],[Площадь внесения, га]]</f>
        <v>720</v>
      </c>
      <c r="N27" s="208">
        <v>0.13</v>
      </c>
      <c r="O27" s="207">
        <f>Таблица4[[#This Row],[Валовый сбор план, т]]*(1-Таблица4[[#This Row],[Рефакция план, %]])</f>
        <v>626.4</v>
      </c>
      <c r="P27" s="205">
        <v>36</v>
      </c>
      <c r="Q27" s="210">
        <f>Таблица4[[#This Row],[Площадь внесения, га]]-Таблица4[[#This Row],[Площадь уборки, га]]</f>
        <v>0</v>
      </c>
      <c r="R27" s="205"/>
      <c r="S27" s="221">
        <f>IFERROR(Таблица4[[#This Row],[Валовый сбор факт, т]]/Таблица4[[#This Row],[Площадь уборки, га]], "-")</f>
        <v>17.095555555555556</v>
      </c>
      <c r="T27" s="207">
        <f>615440/1000</f>
        <v>615.44000000000005</v>
      </c>
      <c r="U27" s="208">
        <f>IFERROR(1-Таблица4[[#This Row],[Зачетный вес факт, т]]/Таблица4[[#This Row],[Валовый сбор факт, т]], "-")</f>
        <v>8.1779539841414395E-2</v>
      </c>
      <c r="V27" s="207">
        <f>565109.6/1000</f>
        <v>565.1096</v>
      </c>
      <c r="W27" s="193"/>
    </row>
    <row r="28" spans="1:23" ht="23.45" customHeight="1">
      <c r="A28" s="192" t="s">
        <v>50</v>
      </c>
      <c r="B28" s="192" t="s">
        <v>955</v>
      </c>
      <c r="C28" s="193" t="s">
        <v>124</v>
      </c>
      <c r="D28" s="193" t="s">
        <v>51</v>
      </c>
      <c r="E28" s="193" t="s">
        <v>51</v>
      </c>
      <c r="F28" s="216" t="s">
        <v>990</v>
      </c>
      <c r="G28" s="215" t="s">
        <v>1774</v>
      </c>
      <c r="H28" s="197">
        <v>36</v>
      </c>
      <c r="I28" s="205">
        <v>36</v>
      </c>
      <c r="J28" s="196">
        <v>23.4</v>
      </c>
      <c r="K28" s="196">
        <f>Таблица4[[#This Row],[Количество внесения, п.е.]]/Таблица4[[#This Row],[Площадь внесения, га]]</f>
        <v>0.64999999999999991</v>
      </c>
      <c r="L28" s="221">
        <v>20</v>
      </c>
      <c r="M28" s="193">
        <f>Таблица4[[#This Row],[Урожайность план, т/га]]*Таблица4[[#This Row],[Площадь внесения, га]]</f>
        <v>720</v>
      </c>
      <c r="N28" s="208">
        <v>0.13</v>
      </c>
      <c r="O28" s="207">
        <f>Таблица4[[#This Row],[Валовый сбор план, т]]*(1-Таблица4[[#This Row],[Рефакция план, %]])</f>
        <v>626.4</v>
      </c>
      <c r="P28" s="205">
        <v>36</v>
      </c>
      <c r="Q28" s="210">
        <f>Таблица4[[#This Row],[Площадь внесения, га]]-Таблица4[[#This Row],[Площадь уборки, га]]</f>
        <v>0</v>
      </c>
      <c r="R28" s="205"/>
      <c r="S28" s="221">
        <f>IFERROR(Таблица4[[#This Row],[Валовый сбор факт, т]]/Таблица4[[#This Row],[Площадь уборки, га]], "-")</f>
        <v>18.514166666666668</v>
      </c>
      <c r="T28" s="207">
        <f>666510/1000</f>
        <v>666.51</v>
      </c>
      <c r="U28" s="208">
        <f>IFERROR(1-Таблица4[[#This Row],[Зачетный вес факт, т]]/Таблица4[[#This Row],[Валовый сбор факт, т]], "-")</f>
        <v>9.4692802808659993E-2</v>
      </c>
      <c r="V28" s="207">
        <f>603396.3/1000</f>
        <v>603.3963</v>
      </c>
      <c r="W28" s="193"/>
    </row>
    <row r="29" spans="1:23" ht="23.45" customHeight="1">
      <c r="A29" s="192" t="s">
        <v>47</v>
      </c>
      <c r="B29" s="192" t="s">
        <v>117</v>
      </c>
      <c r="C29" s="193" t="s">
        <v>124</v>
      </c>
      <c r="D29" s="193" t="s">
        <v>51</v>
      </c>
      <c r="E29" s="193" t="s">
        <v>51</v>
      </c>
      <c r="F29" s="216" t="s">
        <v>992</v>
      </c>
      <c r="G29" s="216"/>
      <c r="H29" s="197">
        <v>102</v>
      </c>
      <c r="I29" s="205">
        <v>63</v>
      </c>
      <c r="J29" s="196">
        <v>39</v>
      </c>
      <c r="K29" s="196">
        <f>Таблица4[[#This Row],[Количество внесения, п.е.]]/Таблица4[[#This Row],[Площадь внесения, га]]</f>
        <v>0.61904761904761907</v>
      </c>
      <c r="L29" s="221">
        <v>18</v>
      </c>
      <c r="M29" s="193">
        <f>Таблица4[[#This Row],[Урожайность план, т/га]]*Таблица4[[#This Row],[Площадь внесения, га]]</f>
        <v>1134</v>
      </c>
      <c r="N29" s="208">
        <v>0.13</v>
      </c>
      <c r="O29" s="207">
        <f>Таблица4[[#This Row],[Валовый сбор план, т]]*(1-Таблица4[[#This Row],[Рефакция план, %]])</f>
        <v>986.58</v>
      </c>
      <c r="P29" s="205">
        <v>63</v>
      </c>
      <c r="Q29" s="210">
        <f>Таблица4[[#This Row],[Площадь внесения, га]]-Таблица4[[#This Row],[Площадь уборки, га]]</f>
        <v>0</v>
      </c>
      <c r="R29" s="205"/>
      <c r="S29" s="221">
        <f>IFERROR(Таблица4[[#This Row],[Валовый сбор факт, т]]/Таблица4[[#This Row],[Площадь уборки, га]], "-")</f>
        <v>14.067460317460318</v>
      </c>
      <c r="T29" s="207">
        <f>886250/1000</f>
        <v>886.25</v>
      </c>
      <c r="U29" s="208">
        <f>IFERROR(1-Таблица4[[#This Row],[Зачетный вес факт, т]]/Таблица4[[#This Row],[Валовый сбор факт, т]], "-")</f>
        <v>0.14125190409026789</v>
      </c>
      <c r="V29" s="207">
        <f>761065.5/1000</f>
        <v>761.06550000000004</v>
      </c>
      <c r="W29" s="193"/>
    </row>
    <row r="30" spans="1:23" ht="23.45" customHeight="1">
      <c r="A30" s="192" t="s">
        <v>47</v>
      </c>
      <c r="B30" s="192" t="s">
        <v>117</v>
      </c>
      <c r="C30" s="193" t="s">
        <v>41</v>
      </c>
      <c r="D30" s="193" t="s">
        <v>41</v>
      </c>
      <c r="E30" s="193" t="s">
        <v>41</v>
      </c>
      <c r="F30" s="216" t="s">
        <v>992</v>
      </c>
      <c r="G30" s="216"/>
      <c r="H30" s="197">
        <v>102</v>
      </c>
      <c r="I30" s="205">
        <v>10</v>
      </c>
      <c r="J30" s="196">
        <v>50</v>
      </c>
      <c r="K30" s="196">
        <f>Таблица4[[#This Row],[Количество внесения, п.е.]]/Таблица4[[#This Row],[Площадь внесения, га]]</f>
        <v>5</v>
      </c>
      <c r="L30" s="221">
        <v>18</v>
      </c>
      <c r="M30" s="193">
        <f>Таблица4[[#This Row],[Урожайность план, т/га]]*Таблица4[[#This Row],[Площадь внесения, га]]</f>
        <v>180</v>
      </c>
      <c r="N30" s="208">
        <v>0.13</v>
      </c>
      <c r="O30" s="207">
        <f>Таблица4[[#This Row],[Валовый сбор план, т]]*(1-Таблица4[[#This Row],[Рефакция план, %]])</f>
        <v>156.6</v>
      </c>
      <c r="P30" s="205">
        <v>10</v>
      </c>
      <c r="Q30" s="210">
        <f>Таблица4[[#This Row],[Площадь внесения, га]]-Таблица4[[#This Row],[Площадь уборки, га]]</f>
        <v>0</v>
      </c>
      <c r="R30" s="205"/>
      <c r="S30" s="221">
        <f>IFERROR(Таблица4[[#This Row],[Валовый сбор факт, т]]/Таблица4[[#This Row],[Площадь уборки, га]], "-")</f>
        <v>12.924000000000001</v>
      </c>
      <c r="T30" s="207">
        <f>129240/1000</f>
        <v>129.24</v>
      </c>
      <c r="U30" s="208">
        <f>IFERROR(1-Таблица4[[#This Row],[Зачетный вес факт, т]]/Таблица4[[#This Row],[Валовый сбор факт, т]], "-")</f>
        <v>0.19254874651810583</v>
      </c>
      <c r="V30" s="207">
        <f>104355/1000</f>
        <v>104.355</v>
      </c>
      <c r="W30" s="193"/>
    </row>
    <row r="31" spans="1:23" ht="23.45" customHeight="1">
      <c r="A31" s="192" t="s">
        <v>47</v>
      </c>
      <c r="B31" s="192" t="s">
        <v>117</v>
      </c>
      <c r="C31" s="193" t="s">
        <v>148</v>
      </c>
      <c r="D31" s="193" t="s">
        <v>41</v>
      </c>
      <c r="E31" s="193" t="s">
        <v>41</v>
      </c>
      <c r="F31" s="216" t="s">
        <v>992</v>
      </c>
      <c r="G31" s="216"/>
      <c r="H31" s="197">
        <v>102</v>
      </c>
      <c r="I31" s="205">
        <v>29</v>
      </c>
      <c r="J31" s="196">
        <v>18.899999999999999</v>
      </c>
      <c r="K31" s="196">
        <f>Таблица4[[#This Row],[Количество внесения, п.е.]]/Таблица4[[#This Row],[Площадь внесения, га]]</f>
        <v>0.65172413793103445</v>
      </c>
      <c r="L31" s="221">
        <v>18</v>
      </c>
      <c r="M31" s="193">
        <f>Таблица4[[#This Row],[Урожайность план, т/га]]*Таблица4[[#This Row],[Площадь внесения, га]]</f>
        <v>522</v>
      </c>
      <c r="N31" s="208">
        <v>0.13</v>
      </c>
      <c r="O31" s="207">
        <f>Таблица4[[#This Row],[Валовый сбор план, т]]*(1-Таблица4[[#This Row],[Рефакция план, %]])</f>
        <v>454.14</v>
      </c>
      <c r="P31" s="205">
        <v>29</v>
      </c>
      <c r="Q31" s="210">
        <f>Таблица4[[#This Row],[Площадь внесения, га]]-Таблица4[[#This Row],[Площадь уборки, га]]</f>
        <v>0</v>
      </c>
      <c r="R31" s="205"/>
      <c r="S31" s="221">
        <f>IFERROR(Таблица4[[#This Row],[Валовый сбор факт, т]]/Таблица4[[#This Row],[Площадь уборки, га]], "-")</f>
        <v>12.235862068965517</v>
      </c>
      <c r="T31" s="207">
        <f>354840/1000</f>
        <v>354.84</v>
      </c>
      <c r="U31" s="208">
        <f>IFERROR(1-Таблица4[[#This Row],[Зачетный вес факт, т]]/Таблица4[[#This Row],[Валовый сбор факт, т]], "-")</f>
        <v>0.13762597226919171</v>
      </c>
      <c r="V31" s="207">
        <f>306004.8/1000</f>
        <v>306.00479999999999</v>
      </c>
      <c r="W31" s="193"/>
    </row>
    <row r="32" spans="1:23" ht="23.45" customHeight="1">
      <c r="A32" s="192" t="s">
        <v>47</v>
      </c>
      <c r="B32" s="192" t="s">
        <v>969</v>
      </c>
      <c r="C32" s="193" t="s">
        <v>148</v>
      </c>
      <c r="D32" s="193" t="s">
        <v>41</v>
      </c>
      <c r="E32" s="193" t="s">
        <v>41</v>
      </c>
      <c r="F32" s="216" t="s">
        <v>992</v>
      </c>
      <c r="G32" s="216" t="s">
        <v>2350</v>
      </c>
      <c r="H32" s="197">
        <v>54</v>
      </c>
      <c r="I32" s="205">
        <v>54</v>
      </c>
      <c r="J32" s="196">
        <v>35.1</v>
      </c>
      <c r="K32" s="196">
        <f>Таблица4[[#This Row],[Количество внесения, п.е.]]/Таблица4[[#This Row],[Площадь внесения, га]]</f>
        <v>0.65</v>
      </c>
      <c r="L32" s="221">
        <v>18</v>
      </c>
      <c r="M32" s="193">
        <f>Таблица4[[#This Row],[Урожайность план, т/га]]*Таблица4[[#This Row],[Площадь внесения, га]]</f>
        <v>972</v>
      </c>
      <c r="N32" s="208">
        <v>0.13</v>
      </c>
      <c r="O32" s="207">
        <f>Таблица4[[#This Row],[Валовый сбор план, т]]*(1-Таблица4[[#This Row],[Рефакция план, %]])</f>
        <v>845.64</v>
      </c>
      <c r="P32" s="205">
        <v>54</v>
      </c>
      <c r="Q32" s="210">
        <f>Таблица4[[#This Row],[Площадь внесения, га]]-Таблица4[[#This Row],[Площадь уборки, га]]</f>
        <v>0</v>
      </c>
      <c r="R32" s="205"/>
      <c r="S32" s="221">
        <f>IFERROR(Таблица4[[#This Row],[Валовый сбор факт, т]]/Таблица4[[#This Row],[Площадь уборки, га]], "-")</f>
        <v>8.18</v>
      </c>
      <c r="T32" s="207">
        <f>441720/1000</f>
        <v>441.72</v>
      </c>
      <c r="U32" s="208">
        <f>IFERROR(1-Таблица4[[#This Row],[Зачетный вес факт, т]]/Таблица4[[#This Row],[Валовый сбор факт, т]], "-")</f>
        <v>0.27003192067372994</v>
      </c>
      <c r="V32" s="207">
        <f>322441.5/1000</f>
        <v>322.44150000000002</v>
      </c>
      <c r="W32" s="193"/>
    </row>
    <row r="33" spans="1:23" ht="23.45" customHeight="1">
      <c r="A33" s="192" t="s">
        <v>43</v>
      </c>
      <c r="B33" s="192" t="s">
        <v>966</v>
      </c>
      <c r="C33" s="193" t="s">
        <v>394</v>
      </c>
      <c r="D33" s="193" t="s">
        <v>394</v>
      </c>
      <c r="E33" s="193" t="s">
        <v>394</v>
      </c>
      <c r="F33" s="216" t="s">
        <v>993</v>
      </c>
      <c r="G33" s="215">
        <v>45929</v>
      </c>
      <c r="H33" s="197">
        <v>55</v>
      </c>
      <c r="I33" s="205">
        <v>4.5</v>
      </c>
      <c r="J33" s="196">
        <v>4</v>
      </c>
      <c r="K33" s="196">
        <f>Таблица4[[#This Row],[Количество внесения, п.е.]]/Таблица4[[#This Row],[Площадь внесения, га]]</f>
        <v>0.88888888888888884</v>
      </c>
      <c r="L33" s="221">
        <v>14</v>
      </c>
      <c r="M33" s="193">
        <f>Таблица4[[#This Row],[Урожайность план, т/га]]*Таблица4[[#This Row],[Площадь внесения, га]]</f>
        <v>63</v>
      </c>
      <c r="N33" s="208">
        <v>0.13</v>
      </c>
      <c r="O33" s="207">
        <f>Таблица4[[#This Row],[Валовый сбор план, т]]*(1-Таблица4[[#This Row],[Рефакция план, %]])</f>
        <v>54.81</v>
      </c>
      <c r="P33" s="205">
        <v>4.5</v>
      </c>
      <c r="Q33" s="210">
        <f>Таблица4[[#This Row],[Площадь внесения, га]]-Таблица4[[#This Row],[Площадь уборки, га]]</f>
        <v>0</v>
      </c>
      <c r="R33" s="205"/>
      <c r="S33" s="221">
        <f>IFERROR(Таблица4[[#This Row],[Валовый сбор факт, т]]/Таблица4[[#This Row],[Площадь уборки, га]], "-")</f>
        <v>10.804444444444444</v>
      </c>
      <c r="T33" s="207">
        <f>48620/1000</f>
        <v>48.62</v>
      </c>
      <c r="U33" s="208">
        <f>IFERROR(1-Таблица4[[#This Row],[Зачетный вес факт, т]]/Таблица4[[#This Row],[Валовый сбор факт, т]], "-")</f>
        <v>0.30411970382558617</v>
      </c>
      <c r="V33" s="207">
        <f>33833.7/1000</f>
        <v>33.8337</v>
      </c>
      <c r="W33" s="193"/>
    </row>
    <row r="34" spans="1:23" ht="23.45" customHeight="1">
      <c r="A34" s="192" t="s">
        <v>43</v>
      </c>
      <c r="B34" s="192" t="s">
        <v>966</v>
      </c>
      <c r="C34" s="193" t="s">
        <v>967</v>
      </c>
      <c r="D34" s="193" t="s">
        <v>163</v>
      </c>
      <c r="E34" s="193" t="s">
        <v>163</v>
      </c>
      <c r="F34" s="216" t="s">
        <v>993</v>
      </c>
      <c r="G34" s="215">
        <v>45921</v>
      </c>
      <c r="H34" s="197">
        <v>55</v>
      </c>
      <c r="I34" s="205">
        <v>0.5</v>
      </c>
      <c r="J34" s="196">
        <v>0.43</v>
      </c>
      <c r="K34" s="196">
        <f>Таблица4[[#This Row],[Количество внесения, п.е.]]/Таблица4[[#This Row],[Площадь внесения, га]]</f>
        <v>0.86</v>
      </c>
      <c r="L34" s="221">
        <v>14</v>
      </c>
      <c r="M34" s="193">
        <f>Таблица4[[#This Row],[Урожайность план, т/га]]*Таблица4[[#This Row],[Площадь внесения, га]]</f>
        <v>7</v>
      </c>
      <c r="N34" s="208">
        <v>0.13</v>
      </c>
      <c r="O34" s="207">
        <f>Таблица4[[#This Row],[Валовый сбор план, т]]*(1-Таблица4[[#This Row],[Рефакция план, %]])</f>
        <v>6.09</v>
      </c>
      <c r="P34" s="205">
        <v>0.5</v>
      </c>
      <c r="Q34" s="210">
        <f>Таблица4[[#This Row],[Площадь внесения, га]]-Таблица4[[#This Row],[Площадь уборки, га]]</f>
        <v>0</v>
      </c>
      <c r="R34" s="205"/>
      <c r="S34" s="221">
        <f>IFERROR(Таблица4[[#This Row],[Валовый сбор факт, т]]/Таблица4[[#This Row],[Площадь уборки, га]], "-")</f>
        <v>4.4314285714285715</v>
      </c>
      <c r="T34" s="207">
        <f>31020/1000*0.5/7</f>
        <v>2.2157142857142857</v>
      </c>
      <c r="U34" s="208">
        <f>IFERROR(1-Таблица4[[#This Row],[Зачетный вес факт, т]]/Таблица4[[#This Row],[Валовый сбор факт, т]], "-")</f>
        <v>5.5841392649903288E-2</v>
      </c>
      <c r="V34" s="207">
        <f>29287.8/1000*0.5/7</f>
        <v>2.0919857142857143</v>
      </c>
      <c r="W34" s="193"/>
    </row>
    <row r="35" spans="1:23" ht="23.45" customHeight="1">
      <c r="A35" s="192" t="s">
        <v>43</v>
      </c>
      <c r="B35" s="192" t="s">
        <v>966</v>
      </c>
      <c r="C35" s="193"/>
      <c r="D35" s="193"/>
      <c r="E35" s="193" t="s">
        <v>991</v>
      </c>
      <c r="F35" s="216" t="s">
        <v>993</v>
      </c>
      <c r="G35" s="216" t="s">
        <v>2142</v>
      </c>
      <c r="H35" s="197">
        <v>55</v>
      </c>
      <c r="I35" s="205">
        <v>50</v>
      </c>
      <c r="J35" s="196">
        <v>34.700000000000003</v>
      </c>
      <c r="K35" s="196">
        <f>Таблица4[[#This Row],[Количество внесения, п.е.]]/Таблица4[[#This Row],[Площадь внесения, га]]</f>
        <v>0.69400000000000006</v>
      </c>
      <c r="L35" s="221">
        <v>14</v>
      </c>
      <c r="M35" s="193">
        <f>Таблица4[[#This Row],[Урожайность план, т/га]]*Таблица4[[#This Row],[Площадь внесения, га]]</f>
        <v>700</v>
      </c>
      <c r="N35" s="208">
        <v>0.13</v>
      </c>
      <c r="O35" s="207">
        <f>Таблица4[[#This Row],[Валовый сбор план, т]]*(1-Таблица4[[#This Row],[Рефакция план, %]])</f>
        <v>609</v>
      </c>
      <c r="P35" s="205">
        <v>50</v>
      </c>
      <c r="Q35" s="210">
        <f>Таблица4[[#This Row],[Площадь внесения, га]]-Таблица4[[#This Row],[Площадь уборки, га]]</f>
        <v>0</v>
      </c>
      <c r="R35" s="205"/>
      <c r="S35" s="221">
        <f>IFERROR(Таблица4[[#This Row],[Валовый сбор факт, т]]/Таблица4[[#This Row],[Площадь уборки, га]], "-")</f>
        <v>9.4250000000000007</v>
      </c>
      <c r="T35" s="207">
        <f>471250/1000</f>
        <v>471.25</v>
      </c>
      <c r="U35" s="208">
        <f>IFERROR(1-Таблица4[[#This Row],[Зачетный вес факт, т]]/Таблица4[[#This Row],[Валовый сбор факт, т]], "-")</f>
        <v>0.23553846153846159</v>
      </c>
      <c r="V35" s="207">
        <f>360252.5/1000</f>
        <v>360.2525</v>
      </c>
      <c r="W35" s="193"/>
    </row>
    <row r="36" spans="1:23" ht="23.45" customHeight="1">
      <c r="A36" s="192" t="s">
        <v>43</v>
      </c>
      <c r="B36" s="192" t="s">
        <v>968</v>
      </c>
      <c r="C36" s="193" t="s">
        <v>100</v>
      </c>
      <c r="D36" s="193" t="s">
        <v>260</v>
      </c>
      <c r="E36" s="193" t="s">
        <v>260</v>
      </c>
      <c r="F36" s="216" t="s">
        <v>993</v>
      </c>
      <c r="G36" s="215">
        <v>45901</v>
      </c>
      <c r="H36" s="197">
        <v>8</v>
      </c>
      <c r="I36" s="205">
        <v>1.5</v>
      </c>
      <c r="J36" s="196">
        <v>0.15</v>
      </c>
      <c r="K36" s="196">
        <f>Таблица4[[#This Row],[Количество внесения, п.е.]]/Таблица4[[#This Row],[Площадь внесения, га]]</f>
        <v>9.9999999999999992E-2</v>
      </c>
      <c r="L36" s="221">
        <v>14</v>
      </c>
      <c r="M36" s="193">
        <f>Таблица4[[#This Row],[Урожайность план, т/га]]*Таблица4[[#This Row],[Площадь внесения, га]]</f>
        <v>21</v>
      </c>
      <c r="N36" s="208">
        <v>0.13</v>
      </c>
      <c r="O36" s="207">
        <f>Таблица4[[#This Row],[Валовый сбор план, т]]*(1-Таблица4[[#This Row],[Рефакция план, %]])</f>
        <v>18.27</v>
      </c>
      <c r="P36" s="205">
        <v>1.5</v>
      </c>
      <c r="Q36" s="210">
        <f>Таблица4[[#This Row],[Площадь внесения, га]]-Таблица4[[#This Row],[Площадь уборки, га]]</f>
        <v>0</v>
      </c>
      <c r="R36" s="205"/>
      <c r="S36" s="221">
        <f>IFERROR(Таблица4[[#This Row],[Валовый сбор факт, т]]/Таблица4[[#This Row],[Площадь уборки, га]], "-")</f>
        <v>0</v>
      </c>
      <c r="T36" s="207"/>
      <c r="U36" s="208" t="str">
        <f>IFERROR(1-Таблица4[[#This Row],[Зачетный вес факт, т]]/Таблица4[[#This Row],[Валовый сбор факт, т]], "-")</f>
        <v>-</v>
      </c>
      <c r="V36" s="207"/>
      <c r="W36" s="193" t="s">
        <v>3830</v>
      </c>
    </row>
    <row r="37" spans="1:23" ht="23.45" customHeight="1">
      <c r="A37" s="192" t="s">
        <v>43</v>
      </c>
      <c r="B37" s="192" t="s">
        <v>968</v>
      </c>
      <c r="C37" s="193" t="s">
        <v>967</v>
      </c>
      <c r="D37" s="193" t="s">
        <v>163</v>
      </c>
      <c r="E37" s="193" t="s">
        <v>163</v>
      </c>
      <c r="F37" s="216" t="s">
        <v>993</v>
      </c>
      <c r="G37" s="215">
        <v>45921</v>
      </c>
      <c r="H37" s="197">
        <v>8</v>
      </c>
      <c r="I37" s="205">
        <v>6.5</v>
      </c>
      <c r="J37" s="196">
        <v>0.56999999999999995</v>
      </c>
      <c r="K37" s="196">
        <f>Таблица4[[#This Row],[Количество внесения, п.е.]]/Таблица4[[#This Row],[Площадь внесения, га]]</f>
        <v>8.7692307692307681E-2</v>
      </c>
      <c r="L37" s="221">
        <v>14</v>
      </c>
      <c r="M37" s="193">
        <f>Таблица4[[#This Row],[Урожайность план, т/га]]*Таблица4[[#This Row],[Площадь внесения, га]]</f>
        <v>91</v>
      </c>
      <c r="N37" s="208">
        <v>0.13</v>
      </c>
      <c r="O37" s="207">
        <f>Таблица4[[#This Row],[Валовый сбор план, т]]*(1-Таблица4[[#This Row],[Рефакция план, %]])</f>
        <v>79.17</v>
      </c>
      <c r="P37" s="205">
        <v>6.5</v>
      </c>
      <c r="Q37" s="210">
        <f>Таблица4[[#This Row],[Площадь внесения, га]]-Таблица4[[#This Row],[Площадь уборки, га]]</f>
        <v>0</v>
      </c>
      <c r="R37" s="205"/>
      <c r="S37" s="221">
        <f>IFERROR(Таблица4[[#This Row],[Валовый сбор факт, т]]/Таблица4[[#This Row],[Площадь уборки, га]], "-")</f>
        <v>4.4314285714285715</v>
      </c>
      <c r="T37" s="207">
        <f>31020/1000*6.5/7</f>
        <v>28.804285714285715</v>
      </c>
      <c r="U37" s="208">
        <f>IFERROR(1-Таблица4[[#This Row],[Зачетный вес факт, т]]/Таблица4[[#This Row],[Валовый сбор факт, т]], "-")</f>
        <v>5.5841392649903399E-2</v>
      </c>
      <c r="V37" s="207">
        <f>29287.8/1000*6.5/7</f>
        <v>27.195814285714285</v>
      </c>
      <c r="W37" s="193"/>
    </row>
    <row r="38" spans="1:23" ht="23.45" customHeight="1">
      <c r="A38" s="192" t="s">
        <v>944</v>
      </c>
      <c r="B38" s="192" t="s">
        <v>943</v>
      </c>
      <c r="C38" s="193" t="s">
        <v>124</v>
      </c>
      <c r="D38" s="193" t="s">
        <v>51</v>
      </c>
      <c r="E38" s="193" t="s">
        <v>51</v>
      </c>
      <c r="F38" s="216" t="s">
        <v>994</v>
      </c>
      <c r="G38" s="215" t="s">
        <v>2440</v>
      </c>
      <c r="H38" s="197">
        <v>58</v>
      </c>
      <c r="I38" s="205">
        <v>58</v>
      </c>
      <c r="J38" s="196">
        <v>37.700000000000003</v>
      </c>
      <c r="K38" s="196">
        <f>Таблица4[[#This Row],[Количество внесения, п.е.]]/Таблица4[[#This Row],[Площадь внесения, га]]</f>
        <v>0.65</v>
      </c>
      <c r="L38" s="221">
        <v>18</v>
      </c>
      <c r="M38" s="193">
        <f>Таблица4[[#This Row],[Урожайность план, т/га]]*Таблица4[[#This Row],[Площадь внесения, га]]</f>
        <v>1044</v>
      </c>
      <c r="N38" s="208">
        <v>0.13</v>
      </c>
      <c r="O38" s="207">
        <f>Таблица4[[#This Row],[Валовый сбор план, т]]*(1-Таблица4[[#This Row],[Рефакция план, %]])</f>
        <v>908.28</v>
      </c>
      <c r="P38" s="205">
        <v>58</v>
      </c>
      <c r="Q38" s="210">
        <f>Таблица4[[#This Row],[Площадь внесения, га]]-Таблица4[[#This Row],[Площадь уборки, га]]</f>
        <v>0</v>
      </c>
      <c r="R38" s="205"/>
      <c r="S38" s="221">
        <f>IFERROR(Таблица4[[#This Row],[Валовый сбор факт, т]]/Таблица4[[#This Row],[Площадь уборки, га]], "-")</f>
        <v>14.303275862068967</v>
      </c>
      <c r="T38" s="207">
        <f>829590/1000</f>
        <v>829.59</v>
      </c>
      <c r="U38" s="208">
        <f>IFERROR(1-Таблица4[[#This Row],[Зачетный вес факт, т]]/Таблица4[[#This Row],[Валовый сбор факт, т]], "-")</f>
        <v>0.11593534155426177</v>
      </c>
      <c r="V38" s="207">
        <f>733411.2/1000</f>
        <v>733.41120000000001</v>
      </c>
      <c r="W38" s="193"/>
    </row>
    <row r="39" spans="1:23" ht="23.45" customHeight="1">
      <c r="A39" s="192" t="s">
        <v>944</v>
      </c>
      <c r="B39" s="192" t="s">
        <v>945</v>
      </c>
      <c r="C39" s="193" t="s">
        <v>124</v>
      </c>
      <c r="D39" s="193" t="s">
        <v>51</v>
      </c>
      <c r="E39" s="193" t="s">
        <v>51</v>
      </c>
      <c r="F39" s="216" t="s">
        <v>994</v>
      </c>
      <c r="G39" s="215">
        <v>45932</v>
      </c>
      <c r="H39" s="197">
        <v>41</v>
      </c>
      <c r="I39" s="205">
        <v>41</v>
      </c>
      <c r="J39" s="196">
        <v>26.6</v>
      </c>
      <c r="K39" s="196">
        <f>Таблица4[[#This Row],[Количество внесения, п.е.]]/Таблица4[[#This Row],[Площадь внесения, га]]</f>
        <v>0.64878048780487807</v>
      </c>
      <c r="L39" s="221">
        <v>18</v>
      </c>
      <c r="M39" s="193">
        <f>Таблица4[[#This Row],[Урожайность план, т/га]]*Таблица4[[#This Row],[Площадь внесения, га]]</f>
        <v>738</v>
      </c>
      <c r="N39" s="208">
        <v>0.13</v>
      </c>
      <c r="O39" s="207">
        <f>Таблица4[[#This Row],[Валовый сбор план, т]]*(1-Таблица4[[#This Row],[Рефакция план, %]])</f>
        <v>642.05999999999995</v>
      </c>
      <c r="P39" s="205">
        <v>41</v>
      </c>
      <c r="Q39" s="210">
        <f>Таблица4[[#This Row],[Площадь внесения, га]]-Таблица4[[#This Row],[Площадь уборки, га]]</f>
        <v>0</v>
      </c>
      <c r="R39" s="205"/>
      <c r="S39" s="221">
        <f>IFERROR(Таблица4[[#This Row],[Валовый сбор факт, т]]/Таблица4[[#This Row],[Площадь уборки, га]], "-")</f>
        <v>12.297317073170731</v>
      </c>
      <c r="T39" s="207">
        <f>504190/1000</f>
        <v>504.19</v>
      </c>
      <c r="U39" s="208">
        <f>IFERROR(1-Таблица4[[#This Row],[Зачетный вес факт, т]]/Таблица4[[#This Row],[Валовый сбор факт, т]], "-")</f>
        <v>0.11353279517642156</v>
      </c>
      <c r="V39" s="207">
        <f>446947.9/1000</f>
        <v>446.9479</v>
      </c>
      <c r="W39" s="193"/>
    </row>
    <row r="40" spans="1:23" ht="23.45" customHeight="1">
      <c r="A40" s="192" t="s">
        <v>944</v>
      </c>
      <c r="B40" s="192" t="s">
        <v>946</v>
      </c>
      <c r="C40" s="193" t="s">
        <v>124</v>
      </c>
      <c r="D40" s="193" t="s">
        <v>51</v>
      </c>
      <c r="E40" s="193" t="s">
        <v>51</v>
      </c>
      <c r="F40" s="216" t="s">
        <v>994</v>
      </c>
      <c r="G40" s="215" t="s">
        <v>2351</v>
      </c>
      <c r="H40" s="197">
        <v>26</v>
      </c>
      <c r="I40" s="205">
        <v>26</v>
      </c>
      <c r="J40" s="196">
        <v>16.7</v>
      </c>
      <c r="K40" s="196">
        <f>Таблица4[[#This Row],[Количество внесения, п.е.]]/Таблица4[[#This Row],[Площадь внесения, га]]</f>
        <v>0.64230769230769225</v>
      </c>
      <c r="L40" s="221">
        <v>18</v>
      </c>
      <c r="M40" s="193">
        <f>Таблица4[[#This Row],[Урожайность план, т/га]]*Таблица4[[#This Row],[Площадь внесения, га]]</f>
        <v>468</v>
      </c>
      <c r="N40" s="208">
        <v>0.13</v>
      </c>
      <c r="O40" s="207">
        <f>Таблица4[[#This Row],[Валовый сбор план, т]]*(1-Таблица4[[#This Row],[Рефакция план, %]])</f>
        <v>407.16</v>
      </c>
      <c r="P40" s="205">
        <v>26</v>
      </c>
      <c r="Q40" s="210">
        <f>Таблица4[[#This Row],[Площадь внесения, га]]-Таблица4[[#This Row],[Площадь уборки, га]]</f>
        <v>0</v>
      </c>
      <c r="R40" s="205"/>
      <c r="S40" s="221">
        <f>IFERROR(Таблица4[[#This Row],[Валовый сбор факт, т]]/Таблица4[[#This Row],[Площадь уборки, га]], "-")</f>
        <v>20.263846153846153</v>
      </c>
      <c r="T40" s="207">
        <f>526860/1000</f>
        <v>526.86</v>
      </c>
      <c r="U40" s="208">
        <f>IFERROR(1-Таблица4[[#This Row],[Зачетный вес факт, т]]/Таблица4[[#This Row],[Валовый сбор факт, т]], "-")</f>
        <v>8.7589872072277308E-2</v>
      </c>
      <c r="V40" s="207">
        <f>480712.4/1000</f>
        <v>480.7124</v>
      </c>
      <c r="W40" s="193"/>
    </row>
    <row r="41" spans="1:23" ht="23.45" customHeight="1">
      <c r="A41" s="192" t="s">
        <v>959</v>
      </c>
      <c r="B41" s="192" t="s">
        <v>958</v>
      </c>
      <c r="C41" s="193" t="s">
        <v>124</v>
      </c>
      <c r="D41" s="193" t="s">
        <v>51</v>
      </c>
      <c r="E41" s="193" t="s">
        <v>51</v>
      </c>
      <c r="F41" s="216" t="s">
        <v>995</v>
      </c>
      <c r="G41" s="215">
        <v>45934</v>
      </c>
      <c r="H41" s="195">
        <v>51.4</v>
      </c>
      <c r="I41" s="205">
        <v>51.4</v>
      </c>
      <c r="J41" s="196">
        <v>34</v>
      </c>
      <c r="K41" s="196">
        <f>Таблица4[[#This Row],[Количество внесения, п.е.]]/Таблица4[[#This Row],[Площадь внесения, га]]</f>
        <v>0.66147859922178986</v>
      </c>
      <c r="L41" s="221">
        <v>18</v>
      </c>
      <c r="M41" s="205">
        <f>Таблица4[[#This Row],[Урожайность план, т/га]]*Таблица4[[#This Row],[Площадь внесения, га]]</f>
        <v>925.19999999999993</v>
      </c>
      <c r="N41" s="208">
        <v>0.13</v>
      </c>
      <c r="O41" s="207">
        <f>Таблица4[[#This Row],[Валовый сбор план, т]]*(1-Таблица4[[#This Row],[Рефакция план, %]])</f>
        <v>804.92399999999998</v>
      </c>
      <c r="P41" s="205">
        <v>51.4</v>
      </c>
      <c r="Q41" s="210">
        <f>Таблица4[[#This Row],[Площадь внесения, га]]-Таблица4[[#This Row],[Площадь уборки, га]]</f>
        <v>0</v>
      </c>
      <c r="R41" s="205"/>
      <c r="S41" s="221">
        <f>IFERROR(Таблица4[[#This Row],[Валовый сбор факт, т]]/Таблица4[[#This Row],[Площадь уборки, га]], "-")</f>
        <v>11.273346303501947</v>
      </c>
      <c r="T41" s="207">
        <f>579450/1000</f>
        <v>579.45000000000005</v>
      </c>
      <c r="U41" s="208">
        <f>IFERROR(1-Таблица4[[#This Row],[Зачетный вес факт, т]]/Таблица4[[#This Row],[Валовый сбор факт, т]], "-")</f>
        <v>0.14258175856415567</v>
      </c>
      <c r="V41" s="207">
        <f>496831/1000</f>
        <v>496.83100000000002</v>
      </c>
      <c r="W41" s="193"/>
    </row>
    <row r="42" spans="1:23" ht="23.45" customHeight="1">
      <c r="A42" s="192" t="s">
        <v>959</v>
      </c>
      <c r="B42" s="192" t="s">
        <v>960</v>
      </c>
      <c r="C42" s="193" t="s">
        <v>124</v>
      </c>
      <c r="D42" s="193" t="s">
        <v>51</v>
      </c>
      <c r="E42" s="193" t="s">
        <v>51</v>
      </c>
      <c r="F42" s="216" t="s">
        <v>995</v>
      </c>
      <c r="G42" s="215">
        <v>45934</v>
      </c>
      <c r="H42" s="195">
        <v>51.5</v>
      </c>
      <c r="I42" s="205">
        <v>51.5</v>
      </c>
      <c r="J42" s="196">
        <v>34</v>
      </c>
      <c r="K42" s="196">
        <f>Таблица4[[#This Row],[Количество внесения, п.е.]]/Таблица4[[#This Row],[Площадь внесения, га]]</f>
        <v>0.66019417475728159</v>
      </c>
      <c r="L42" s="221">
        <v>18</v>
      </c>
      <c r="M42" s="205">
        <f>Таблица4[[#This Row],[Урожайность план, т/га]]*Таблица4[[#This Row],[Площадь внесения, га]]</f>
        <v>927</v>
      </c>
      <c r="N42" s="208">
        <v>0.13</v>
      </c>
      <c r="O42" s="207">
        <f>Таблица4[[#This Row],[Валовый сбор план, т]]*(1-Таблица4[[#This Row],[Рефакция план, %]])</f>
        <v>806.49</v>
      </c>
      <c r="P42" s="205">
        <v>51.5</v>
      </c>
      <c r="Q42" s="210">
        <f>Таблица4[[#This Row],[Площадь внесения, га]]-Таблица4[[#This Row],[Площадь уборки, га]]</f>
        <v>0</v>
      </c>
      <c r="R42" s="205"/>
      <c r="S42" s="221">
        <f>IFERROR(Таблица4[[#This Row],[Валовый сбор факт, т]]/Таблица4[[#This Row],[Площадь уборки, га]], "-")</f>
        <v>15.516893203883495</v>
      </c>
      <c r="T42" s="207">
        <f>799120/1000</f>
        <v>799.12</v>
      </c>
      <c r="U42" s="208">
        <f>IFERROR(1-Таблица4[[#This Row],[Зачетный вес факт, т]]/Таблица4[[#This Row],[Валовый сбор факт, т]], "-")</f>
        <v>0.16079187105816395</v>
      </c>
      <c r="V42" s="207">
        <f>670628/1000</f>
        <v>670.62800000000004</v>
      </c>
      <c r="W42" s="193"/>
    </row>
    <row r="43" spans="1:23" ht="23.45" customHeight="1">
      <c r="A43" s="192" t="s">
        <v>959</v>
      </c>
      <c r="B43" s="192" t="s">
        <v>962</v>
      </c>
      <c r="C43" s="193" t="s">
        <v>95</v>
      </c>
      <c r="D43" s="193" t="s">
        <v>42</v>
      </c>
      <c r="E43" s="193" t="s">
        <v>42</v>
      </c>
      <c r="F43" s="216" t="s">
        <v>995</v>
      </c>
      <c r="G43" s="215" t="s">
        <v>3828</v>
      </c>
      <c r="H43" s="195">
        <v>77.099999999999994</v>
      </c>
      <c r="I43" s="205">
        <v>44.8</v>
      </c>
      <c r="J43" s="196">
        <v>58</v>
      </c>
      <c r="K43" s="196">
        <f>Таблица4[[#This Row],[Количество внесения, п.е.]]/Таблица4[[#This Row],[Площадь внесения, га]]</f>
        <v>1.2946428571428572</v>
      </c>
      <c r="L43" s="221">
        <v>18</v>
      </c>
      <c r="M43" s="205">
        <f>Таблица4[[#This Row],[Урожайность план, т/га]]*Таблица4[[#This Row],[Площадь внесения, га]]</f>
        <v>806.4</v>
      </c>
      <c r="N43" s="208">
        <v>0.13</v>
      </c>
      <c r="O43" s="207">
        <f>Таблица4[[#This Row],[Валовый сбор план, т]]*(1-Таблица4[[#This Row],[Рефакция план, %]])</f>
        <v>701.56799999999998</v>
      </c>
      <c r="P43" s="205">
        <v>44.8</v>
      </c>
      <c r="Q43" s="210">
        <f>Таблица4[[#This Row],[Площадь внесения, га]]-Таблица4[[#This Row],[Площадь уборки, га]]</f>
        <v>0</v>
      </c>
      <c r="R43" s="205"/>
      <c r="S43" s="221">
        <f>IFERROR(Таблица4[[#This Row],[Валовый сбор факт, т]]/Таблица4[[#This Row],[Площадь уборки, га]], "-")</f>
        <v>6.5734375000000007</v>
      </c>
      <c r="T43" s="207">
        <f>294490/1000</f>
        <v>294.49</v>
      </c>
      <c r="U43" s="208">
        <f>IFERROR(1-Таблица4[[#This Row],[Зачетный вес факт, т]]/Таблица4[[#This Row],[Валовый сбор факт, т]], "-")</f>
        <v>0.10654521375938064</v>
      </c>
      <c r="V43" s="207">
        <f>263113.5/1000</f>
        <v>263.11349999999999</v>
      </c>
      <c r="W43" s="193"/>
    </row>
    <row r="44" spans="1:23" ht="23.45" customHeight="1">
      <c r="A44" s="192" t="s">
        <v>959</v>
      </c>
      <c r="B44" s="192" t="s">
        <v>962</v>
      </c>
      <c r="C44" s="193" t="s">
        <v>963</v>
      </c>
      <c r="D44" s="193" t="s">
        <v>971</v>
      </c>
      <c r="E44" s="193" t="s">
        <v>971</v>
      </c>
      <c r="F44" s="216" t="s">
        <v>995</v>
      </c>
      <c r="G44" s="215">
        <v>45935</v>
      </c>
      <c r="H44" s="195">
        <v>77.099999999999994</v>
      </c>
      <c r="I44" s="205">
        <v>32.299999999999997</v>
      </c>
      <c r="J44" s="196">
        <v>20</v>
      </c>
      <c r="K44" s="196">
        <f>Таблица4[[#This Row],[Количество внесения, п.е.]]/Таблица4[[#This Row],[Площадь внесения, га]]</f>
        <v>0.61919504643962853</v>
      </c>
      <c r="L44" s="221">
        <v>18</v>
      </c>
      <c r="M44" s="205">
        <f>Таблица4[[#This Row],[Урожайность план, т/га]]*Таблица4[[#This Row],[Площадь внесения, га]]</f>
        <v>581.4</v>
      </c>
      <c r="N44" s="208">
        <v>0.13</v>
      </c>
      <c r="O44" s="207">
        <f>Таблица4[[#This Row],[Валовый сбор план, т]]*(1-Таблица4[[#This Row],[Рефакция план, %]])</f>
        <v>505.81799999999998</v>
      </c>
      <c r="P44" s="205">
        <v>32.299999999999997</v>
      </c>
      <c r="Q44" s="210">
        <f>Таблица4[[#This Row],[Площадь внесения, га]]-Таблица4[[#This Row],[Площадь уборки, га]]</f>
        <v>0</v>
      </c>
      <c r="R44" s="205"/>
      <c r="S44" s="221">
        <f>IFERROR(Таблица4[[#This Row],[Валовый сбор факт, т]]/Таблица4[[#This Row],[Площадь уборки, га]], "-")</f>
        <v>15.841176470588238</v>
      </c>
      <c r="T44" s="207">
        <f>511670/1000</f>
        <v>511.67</v>
      </c>
      <c r="U44" s="208">
        <f>IFERROR(1-Таблица4[[#This Row],[Зачетный вес факт, т]]/Таблица4[[#This Row],[Валовый сбор факт, т]], "-")</f>
        <v>0.11214005120487824</v>
      </c>
      <c r="V44" s="207">
        <f>454291.3/1000</f>
        <v>454.29129999999998</v>
      </c>
      <c r="W44" s="193"/>
    </row>
    <row r="45" spans="1:23" ht="23.45" customHeight="1">
      <c r="A45" s="192" t="s">
        <v>959</v>
      </c>
      <c r="B45" s="192" t="s">
        <v>2709</v>
      </c>
      <c r="C45" s="193"/>
      <c r="D45" s="193" t="s">
        <v>51</v>
      </c>
      <c r="E45" s="193" t="s">
        <v>51</v>
      </c>
      <c r="F45" s="216" t="s">
        <v>996</v>
      </c>
      <c r="G45" s="215" t="s">
        <v>3827</v>
      </c>
      <c r="H45" s="197">
        <v>88</v>
      </c>
      <c r="I45" s="205">
        <f>88/57*51</f>
        <v>78.73684210526315</v>
      </c>
      <c r="J45" s="196">
        <v>51</v>
      </c>
      <c r="K45" s="196">
        <f>Таблица4[[#This Row],[Количество внесения, п.е.]]/Таблица4[[#This Row],[Площадь внесения, га]]</f>
        <v>0.64772727272727282</v>
      </c>
      <c r="L45" s="221">
        <v>18</v>
      </c>
      <c r="M45" s="205">
        <f>Таблица4[[#This Row],[Урожайность план, т/га]]*Таблица4[[#This Row],[Площадь внесения, га]]</f>
        <v>1417.2631578947367</v>
      </c>
      <c r="N45" s="208">
        <v>0.13</v>
      </c>
      <c r="O45" s="207">
        <f>Таблица4[[#This Row],[Валовый сбор план, т]]*(1-Таблица4[[#This Row],[Рефакция план, %]])</f>
        <v>1233.0189473684209</v>
      </c>
      <c r="P45" s="205">
        <v>78.7</v>
      </c>
      <c r="Q45" s="210">
        <f>Таблица4[[#This Row],[Площадь внесения, га]]-Таблица4[[#This Row],[Площадь уборки, га]]</f>
        <v>3.6842105263147573E-2</v>
      </c>
      <c r="R45" s="205"/>
      <c r="S45" s="221">
        <f>IFERROR(Таблица4[[#This Row],[Валовый сбор факт, т]]/Таблица4[[#This Row],[Площадь уборки, га]], "-")</f>
        <v>8.3617534942820839</v>
      </c>
      <c r="T45" s="207">
        <f>658070/1000</f>
        <v>658.07</v>
      </c>
      <c r="U45" s="208">
        <f>IFERROR(1-Таблица4[[#This Row],[Зачетный вес факт, т]]/Таблица4[[#This Row],[Валовый сбор факт, т]], "-")</f>
        <v>0.19263178689197202</v>
      </c>
      <c r="V45" s="207">
        <f>531304.8/1000</f>
        <v>531.3048</v>
      </c>
      <c r="W45" s="193"/>
    </row>
    <row r="46" spans="1:23" ht="23.45" customHeight="1">
      <c r="A46" s="192" t="s">
        <v>959</v>
      </c>
      <c r="B46" s="192" t="s">
        <v>2709</v>
      </c>
      <c r="C46" s="193"/>
      <c r="D46" s="193" t="s">
        <v>42</v>
      </c>
      <c r="E46" s="193" t="s">
        <v>42</v>
      </c>
      <c r="F46" s="216" t="s">
        <v>996</v>
      </c>
      <c r="G46" s="216" t="s">
        <v>3826</v>
      </c>
      <c r="H46" s="197">
        <v>88</v>
      </c>
      <c r="I46" s="205">
        <f>88-I45</f>
        <v>9.2631578947368496</v>
      </c>
      <c r="J46" s="196">
        <v>12</v>
      </c>
      <c r="K46" s="196">
        <f>Таблица4[[#This Row],[Количество внесения, п.е.]]/Таблица4[[#This Row],[Площадь внесения, га]]</f>
        <v>1.2954545454545443</v>
      </c>
      <c r="L46" s="221">
        <v>18</v>
      </c>
      <c r="M46" s="205">
        <f>Таблица4[[#This Row],[Урожайность план, т/га]]*Таблица4[[#This Row],[Площадь внесения, га]]</f>
        <v>166.73684210526329</v>
      </c>
      <c r="N46" s="208">
        <v>0.13</v>
      </c>
      <c r="O46" s="207">
        <f>Таблица4[[#This Row],[Валовый сбор план, т]]*(1-Таблица4[[#This Row],[Рефакция план, %]])</f>
        <v>145.06105263157906</v>
      </c>
      <c r="P46" s="205">
        <v>9.3000000000000007</v>
      </c>
      <c r="Q46" s="210">
        <f>Таблица4[[#This Row],[Площадь внесения, га]]-Таблица4[[#This Row],[Площадь уборки, га]]</f>
        <v>-3.6842105263151126E-2</v>
      </c>
      <c r="R46" s="205"/>
      <c r="S46" s="221">
        <f>IFERROR(Таблица4[[#This Row],[Валовый сбор факт, т]]/Таблица4[[#This Row],[Площадь уборки, га]], "-")</f>
        <v>40.898924731182795</v>
      </c>
      <c r="T46" s="207">
        <f>380360/1000</f>
        <v>380.36</v>
      </c>
      <c r="U46" s="208">
        <f>IFERROR(1-Таблица4[[#This Row],[Зачетный вес факт, т]]/Таблица4[[#This Row],[Валовый сбор факт, т]], "-")</f>
        <v>0.10594594594594586</v>
      </c>
      <c r="V46" s="207">
        <f>340062.4/1000</f>
        <v>340.06240000000003</v>
      </c>
      <c r="W46" s="193"/>
    </row>
    <row r="47" spans="1:23" ht="23.45" customHeight="1">
      <c r="A47" s="192" t="s">
        <v>52</v>
      </c>
      <c r="B47" s="192" t="s">
        <v>931</v>
      </c>
      <c r="C47" s="193" t="s">
        <v>124</v>
      </c>
      <c r="D47" s="193" t="s">
        <v>51</v>
      </c>
      <c r="E47" s="193" t="s">
        <v>51</v>
      </c>
      <c r="F47" s="216" t="s">
        <v>997</v>
      </c>
      <c r="G47" s="216" t="s">
        <v>2876</v>
      </c>
      <c r="H47" s="195">
        <v>73.7</v>
      </c>
      <c r="I47" s="205">
        <v>73.7</v>
      </c>
      <c r="J47" s="196">
        <v>47.9</v>
      </c>
      <c r="K47" s="196">
        <f>Таблица4[[#This Row],[Количество внесения, п.е.]]/Таблица4[[#This Row],[Площадь внесения, га]]</f>
        <v>0.64993215739484389</v>
      </c>
      <c r="L47" s="221">
        <v>17</v>
      </c>
      <c r="M47" s="193">
        <f>Таблица4[[#This Row],[Урожайность план, т/га]]*Таблица4[[#This Row],[Площадь внесения, га]]</f>
        <v>1252.9000000000001</v>
      </c>
      <c r="N47" s="208">
        <v>0.13</v>
      </c>
      <c r="O47" s="207">
        <f>Таблица4[[#This Row],[Валовый сбор план, т]]*(1-Таблица4[[#This Row],[Рефакция план, %]])</f>
        <v>1090.0230000000001</v>
      </c>
      <c r="P47" s="205">
        <v>73.7</v>
      </c>
      <c r="Q47" s="210">
        <f>Таблица4[[#This Row],[Площадь внесения, га]]-Таблица4[[#This Row],[Площадь уборки, га]]</f>
        <v>0</v>
      </c>
      <c r="R47" s="205"/>
      <c r="S47" s="221">
        <f>IFERROR(Таблица4[[#This Row],[Валовый сбор факт, т]]/Таблица4[[#This Row],[Площадь уборки, га]], "-")</f>
        <v>15.679647218453187</v>
      </c>
      <c r="T47" s="207">
        <f>1155590/1000</f>
        <v>1155.5899999999999</v>
      </c>
      <c r="U47" s="208">
        <f>IFERROR(1-Таблица4[[#This Row],[Зачетный вес факт, т]]/Таблица4[[#This Row],[Валовый сбор факт, т]], "-")</f>
        <v>8.4111146686973615E-2</v>
      </c>
      <c r="V47" s="207">
        <f>1058392/1000</f>
        <v>1058.3920000000001</v>
      </c>
      <c r="W47" s="193"/>
    </row>
    <row r="48" spans="1:23" ht="23.45" customHeight="1">
      <c r="A48" s="192" t="s">
        <v>52</v>
      </c>
      <c r="B48" s="192" t="s">
        <v>932</v>
      </c>
      <c r="C48" s="193" t="s">
        <v>124</v>
      </c>
      <c r="D48" s="193" t="s">
        <v>51</v>
      </c>
      <c r="E48" s="193" t="s">
        <v>51</v>
      </c>
      <c r="F48" s="216" t="s">
        <v>997</v>
      </c>
      <c r="G48" s="216" t="s">
        <v>3420</v>
      </c>
      <c r="H48" s="195">
        <v>73.3</v>
      </c>
      <c r="I48" s="205">
        <v>73.3</v>
      </c>
      <c r="J48" s="196">
        <v>48.1</v>
      </c>
      <c r="K48" s="196">
        <f>Таблица4[[#This Row],[Количество внесения, п.е.]]/Таблица4[[#This Row],[Площадь внесения, га]]</f>
        <v>0.65620736698499327</v>
      </c>
      <c r="L48" s="221">
        <v>17</v>
      </c>
      <c r="M48" s="193">
        <f>Таблица4[[#This Row],[Урожайность план, т/га]]*Таблица4[[#This Row],[Площадь внесения, га]]</f>
        <v>1246.0999999999999</v>
      </c>
      <c r="N48" s="208">
        <v>0.13</v>
      </c>
      <c r="O48" s="207">
        <f>Таблица4[[#This Row],[Валовый сбор план, т]]*(1-Таблица4[[#This Row],[Рефакция план, %]])</f>
        <v>1084.107</v>
      </c>
      <c r="P48" s="205">
        <v>73.3</v>
      </c>
      <c r="Q48" s="210">
        <f>Таблица4[[#This Row],[Площадь внесения, га]]-Таблица4[[#This Row],[Площадь уборки, га]]</f>
        <v>0</v>
      </c>
      <c r="R48" s="205"/>
      <c r="S48" s="221">
        <f>IFERROR(Таблица4[[#This Row],[Валовый сбор факт, т]]/Таблица4[[#This Row],[Площадь уборки, га]], "-")</f>
        <v>15.871487039563441</v>
      </c>
      <c r="T48" s="207">
        <f>1163380/1000</f>
        <v>1163.3800000000001</v>
      </c>
      <c r="U48" s="208">
        <f>IFERROR(1-Таблица4[[#This Row],[Зачетный вес факт, т]]/Таблица4[[#This Row],[Валовый сбор факт, т]], "-")</f>
        <v>0.13217779229486504</v>
      </c>
      <c r="V48" s="207">
        <f>1009607/1000</f>
        <v>1009.607</v>
      </c>
      <c r="W48" s="193"/>
    </row>
    <row r="49" spans="1:23" ht="23.45" customHeight="1">
      <c r="A49" s="192" t="s">
        <v>52</v>
      </c>
      <c r="B49" s="192" t="s">
        <v>933</v>
      </c>
      <c r="C49" s="193" t="s">
        <v>124</v>
      </c>
      <c r="D49" s="193" t="s">
        <v>51</v>
      </c>
      <c r="E49" s="193" t="s">
        <v>51</v>
      </c>
      <c r="F49" s="216" t="s">
        <v>997</v>
      </c>
      <c r="G49" s="215" t="s">
        <v>2877</v>
      </c>
      <c r="H49" s="195">
        <v>75.400000000000006</v>
      </c>
      <c r="I49" s="205">
        <v>75.400000000000006</v>
      </c>
      <c r="J49" s="196">
        <v>49</v>
      </c>
      <c r="K49" s="196">
        <f>Таблица4[[#This Row],[Количество внесения, п.е.]]/Таблица4[[#This Row],[Площадь внесения, га]]</f>
        <v>0.64986737400530503</v>
      </c>
      <c r="L49" s="221">
        <v>17</v>
      </c>
      <c r="M49" s="193">
        <f>Таблица4[[#This Row],[Урожайность план, т/га]]*Таблица4[[#This Row],[Площадь внесения, га]]</f>
        <v>1281.8000000000002</v>
      </c>
      <c r="N49" s="208">
        <v>0.13</v>
      </c>
      <c r="O49" s="207">
        <f>Таблица4[[#This Row],[Валовый сбор план, т]]*(1-Таблица4[[#This Row],[Рефакция план, %]])</f>
        <v>1115.1660000000002</v>
      </c>
      <c r="P49" s="205">
        <v>75.400000000000006</v>
      </c>
      <c r="Q49" s="210">
        <f>Таблица4[[#This Row],[Площадь внесения, га]]-Таблица4[[#This Row],[Площадь уборки, га]]</f>
        <v>0</v>
      </c>
      <c r="R49" s="205"/>
      <c r="S49" s="221">
        <f>IFERROR(Таблица4[[#This Row],[Валовый сбор факт, т]]/Таблица4[[#This Row],[Площадь уборки, га]], "-")</f>
        <v>16.363129973474798</v>
      </c>
      <c r="T49" s="207">
        <f>1233780/1000</f>
        <v>1233.78</v>
      </c>
      <c r="U49" s="208">
        <f>IFERROR(1-Таблица4[[#This Row],[Зачетный вес факт, т]]/Таблица4[[#This Row],[Валовый сбор факт, т]], "-")</f>
        <v>8.9304819335700003E-2</v>
      </c>
      <c r="V49" s="207">
        <f>1123597.5/1000</f>
        <v>1123.5975000000001</v>
      </c>
      <c r="W49" s="193"/>
    </row>
    <row r="50" spans="1:23" ht="23.45" customHeight="1">
      <c r="A50" s="192" t="s">
        <v>52</v>
      </c>
      <c r="B50" s="192" t="s">
        <v>934</v>
      </c>
      <c r="C50" s="193" t="s">
        <v>95</v>
      </c>
      <c r="D50" s="193" t="s">
        <v>42</v>
      </c>
      <c r="E50" s="193" t="s">
        <v>42</v>
      </c>
      <c r="F50" s="216" t="s">
        <v>997</v>
      </c>
      <c r="G50" s="216" t="s">
        <v>3419</v>
      </c>
      <c r="H50" s="195">
        <v>74.599999999999994</v>
      </c>
      <c r="I50" s="205">
        <v>74.599999999999994</v>
      </c>
      <c r="J50" s="196">
        <v>98</v>
      </c>
      <c r="K50" s="196">
        <f>Таблица4[[#This Row],[Количество внесения, п.е.]]/Таблица4[[#This Row],[Площадь внесения, га]]</f>
        <v>1.3136729222520109</v>
      </c>
      <c r="L50" s="221">
        <v>17</v>
      </c>
      <c r="M50" s="193">
        <f>Таблица4[[#This Row],[Урожайность план, т/га]]*Таблица4[[#This Row],[Площадь внесения, га]]</f>
        <v>1268.1999999999998</v>
      </c>
      <c r="N50" s="208">
        <v>0.13</v>
      </c>
      <c r="O50" s="207">
        <f>Таблица4[[#This Row],[Валовый сбор план, т]]*(1-Таблица4[[#This Row],[Рефакция план, %]])</f>
        <v>1103.3339999999998</v>
      </c>
      <c r="P50" s="205">
        <v>74.599999999999994</v>
      </c>
      <c r="Q50" s="210">
        <f>Таблица4[[#This Row],[Площадь внесения, га]]-Таблица4[[#This Row],[Площадь уборки, га]]</f>
        <v>0</v>
      </c>
      <c r="R50" s="205"/>
      <c r="S50" s="221">
        <f>IFERROR(Таблица4[[#This Row],[Валовый сбор факт, т]]/Таблица4[[#This Row],[Площадь уборки, га]], "-")</f>
        <v>15.218494638069707</v>
      </c>
      <c r="T50" s="207">
        <f>1135299.7/1000</f>
        <v>1135.2997</v>
      </c>
      <c r="U50" s="208">
        <f>IFERROR(1-Таблица4[[#This Row],[Зачетный вес факт, т]]/Таблица4[[#This Row],[Валовый сбор факт, т]], "-")</f>
        <v>0.15186060561805836</v>
      </c>
      <c r="V50" s="207">
        <f>962892.4/1000</f>
        <v>962.89240000000007</v>
      </c>
      <c r="W50" s="193"/>
    </row>
    <row r="51" spans="1:23" ht="23.45" customHeight="1">
      <c r="A51" s="192" t="s">
        <v>55</v>
      </c>
      <c r="B51" s="192" t="s">
        <v>949</v>
      </c>
      <c r="C51" s="193" t="s">
        <v>124</v>
      </c>
      <c r="D51" s="193" t="s">
        <v>51</v>
      </c>
      <c r="E51" s="193" t="s">
        <v>51</v>
      </c>
      <c r="F51" s="216" t="s">
        <v>998</v>
      </c>
      <c r="G51" s="215" t="s">
        <v>3123</v>
      </c>
      <c r="H51" s="197">
        <v>75</v>
      </c>
      <c r="I51" s="205">
        <v>75</v>
      </c>
      <c r="J51" s="196">
        <v>50</v>
      </c>
      <c r="K51" s="196">
        <f>Таблица4[[#This Row],[Количество внесения, п.е.]]/Таблица4[[#This Row],[Площадь внесения, га]]</f>
        <v>0.66666666666666663</v>
      </c>
      <c r="L51" s="221">
        <v>19</v>
      </c>
      <c r="M51" s="193">
        <f>Таблица4[[#This Row],[Урожайность план, т/га]]*Таблица4[[#This Row],[Площадь внесения, га]]</f>
        <v>1425</v>
      </c>
      <c r="N51" s="208">
        <v>0.13</v>
      </c>
      <c r="O51" s="207">
        <f>Таблица4[[#This Row],[Валовый сбор план, т]]*(1-Таблица4[[#This Row],[Рефакция план, %]])</f>
        <v>1239.75</v>
      </c>
      <c r="P51" s="205">
        <v>75</v>
      </c>
      <c r="Q51" s="210">
        <f>Таблица4[[#This Row],[Площадь внесения, га]]-Таблица4[[#This Row],[Площадь уборки, га]]</f>
        <v>0</v>
      </c>
      <c r="R51" s="205"/>
      <c r="S51" s="221">
        <f>IFERROR(Таблица4[[#This Row],[Валовый сбор факт, т]]/Таблица4[[#This Row],[Площадь уборки, га]], "-")</f>
        <v>21.5932</v>
      </c>
      <c r="T51" s="207">
        <f>1619490/1000</f>
        <v>1619.49</v>
      </c>
      <c r="U51" s="208">
        <f>IFERROR(1-Таблица4[[#This Row],[Зачетный вес факт, т]]/Таблица4[[#This Row],[Валовый сбор факт, т]], "-")</f>
        <v>0.13903988292610636</v>
      </c>
      <c r="V51" s="207">
        <f>1394316.3/1000</f>
        <v>1394.3163</v>
      </c>
      <c r="W51" s="193"/>
    </row>
    <row r="52" spans="1:23" ht="23.45" customHeight="1">
      <c r="A52" s="192" t="s">
        <v>55</v>
      </c>
      <c r="B52" s="192" t="s">
        <v>951</v>
      </c>
      <c r="C52" s="193" t="s">
        <v>124</v>
      </c>
      <c r="D52" s="193" t="s">
        <v>51</v>
      </c>
      <c r="E52" s="193" t="s">
        <v>51</v>
      </c>
      <c r="F52" s="216" t="s">
        <v>998</v>
      </c>
      <c r="G52" s="216" t="s">
        <v>3533</v>
      </c>
      <c r="H52" s="197">
        <v>83</v>
      </c>
      <c r="I52" s="205">
        <v>83</v>
      </c>
      <c r="J52" s="196">
        <v>56</v>
      </c>
      <c r="K52" s="196">
        <f>Таблица4[[#This Row],[Количество внесения, п.е.]]/Таблица4[[#This Row],[Площадь внесения, га]]</f>
        <v>0.67469879518072284</v>
      </c>
      <c r="L52" s="221">
        <v>19</v>
      </c>
      <c r="M52" s="193">
        <f>Таблица4[[#This Row],[Урожайность план, т/га]]*Таблица4[[#This Row],[Площадь внесения, га]]</f>
        <v>1577</v>
      </c>
      <c r="N52" s="208">
        <v>0.13</v>
      </c>
      <c r="O52" s="207">
        <f>Таблица4[[#This Row],[Валовый сбор план, т]]*(1-Таблица4[[#This Row],[Рефакция план, %]])</f>
        <v>1371.99</v>
      </c>
      <c r="P52" s="205">
        <v>83</v>
      </c>
      <c r="Q52" s="210">
        <f>Таблица4[[#This Row],[Площадь внесения, га]]-Таблица4[[#This Row],[Площадь уборки, га]]</f>
        <v>0</v>
      </c>
      <c r="R52" s="205"/>
      <c r="S52" s="221">
        <f>IFERROR(Таблица4[[#This Row],[Валовый сбор факт, т]]/Таблица4[[#This Row],[Площадь уборки, га]], "-")</f>
        <v>22.247951807228915</v>
      </c>
      <c r="T52" s="207">
        <f>1846580/1000</f>
        <v>1846.58</v>
      </c>
      <c r="U52" s="208">
        <f>IFERROR(1-Таблица4[[#This Row],[Зачетный вес факт, т]]/Таблица4[[#This Row],[Валовый сбор факт, т]], "-")</f>
        <v>0.10765176705043922</v>
      </c>
      <c r="V52" s="207">
        <f>1647792.4/1000</f>
        <v>1647.7923999999998</v>
      </c>
      <c r="W52" s="193"/>
    </row>
    <row r="53" spans="1:23" ht="23.45" customHeight="1">
      <c r="A53" s="192" t="s">
        <v>55</v>
      </c>
      <c r="B53" s="192" t="s">
        <v>956</v>
      </c>
      <c r="C53" s="193" t="s">
        <v>124</v>
      </c>
      <c r="D53" s="193" t="s">
        <v>51</v>
      </c>
      <c r="E53" s="193" t="s">
        <v>51</v>
      </c>
      <c r="F53" s="216" t="s">
        <v>998</v>
      </c>
      <c r="G53" s="215">
        <v>45966</v>
      </c>
      <c r="H53" s="197">
        <v>45</v>
      </c>
      <c r="I53" s="205">
        <v>45</v>
      </c>
      <c r="J53" s="196">
        <v>30</v>
      </c>
      <c r="K53" s="196">
        <f>Таблица4[[#This Row],[Количество внесения, п.е.]]/Таблица4[[#This Row],[Площадь внесения, га]]</f>
        <v>0.66666666666666663</v>
      </c>
      <c r="L53" s="221">
        <v>19</v>
      </c>
      <c r="M53" s="193">
        <f>Таблица4[[#This Row],[Урожайность план, т/га]]*Таблица4[[#This Row],[Площадь внесения, га]]</f>
        <v>855</v>
      </c>
      <c r="N53" s="208">
        <v>0.13</v>
      </c>
      <c r="O53" s="207">
        <f>Таблица4[[#This Row],[Валовый сбор план, т]]*(1-Таблица4[[#This Row],[Рефакция план, %]])</f>
        <v>743.85</v>
      </c>
      <c r="P53" s="205">
        <v>45</v>
      </c>
      <c r="Q53" s="210">
        <f>Таблица4[[#This Row],[Площадь внесения, га]]-Таблица4[[#This Row],[Площадь уборки, га]]</f>
        <v>0</v>
      </c>
      <c r="R53" s="205"/>
      <c r="S53" s="221">
        <f>IFERROR(Таблица4[[#This Row],[Валовый сбор факт, т]]/Таблица4[[#This Row],[Площадь уборки, га]], "-")</f>
        <v>19.562888888888889</v>
      </c>
      <c r="T53" s="207">
        <f>880330/1000</f>
        <v>880.33</v>
      </c>
      <c r="U53" s="208">
        <f>IFERROR(1-Таблица4[[#This Row],[Зачетный вес факт, т]]/Таблица4[[#This Row],[Валовый сбор факт, т]], "-")</f>
        <v>0.28753728715368099</v>
      </c>
      <c r="V53" s="207">
        <f>627202.3/1000</f>
        <v>627.20230000000004</v>
      </c>
      <c r="W53" s="193"/>
    </row>
    <row r="54" spans="1:23" ht="23.45" customHeight="1">
      <c r="A54" s="192" t="s">
        <v>55</v>
      </c>
      <c r="B54" s="192" t="s">
        <v>957</v>
      </c>
      <c r="C54" s="193" t="s">
        <v>124</v>
      </c>
      <c r="D54" s="193" t="s">
        <v>51</v>
      </c>
      <c r="E54" s="193" t="s">
        <v>51</v>
      </c>
      <c r="F54" s="216" t="s">
        <v>998</v>
      </c>
      <c r="G54" s="216" t="s">
        <v>3681</v>
      </c>
      <c r="H54" s="197">
        <v>140</v>
      </c>
      <c r="I54" s="205">
        <v>140</v>
      </c>
      <c r="J54" s="196">
        <v>94</v>
      </c>
      <c r="K54" s="196">
        <f>Таблица4[[#This Row],[Количество внесения, п.е.]]/Таблица4[[#This Row],[Площадь внесения, га]]</f>
        <v>0.67142857142857137</v>
      </c>
      <c r="L54" s="221">
        <v>19</v>
      </c>
      <c r="M54" s="193">
        <f>Таблица4[[#This Row],[Урожайность план, т/га]]*Таблица4[[#This Row],[Площадь внесения, га]]</f>
        <v>2660</v>
      </c>
      <c r="N54" s="208">
        <v>0.13</v>
      </c>
      <c r="O54" s="207">
        <f>Таблица4[[#This Row],[Валовый сбор план, т]]*(1-Таблица4[[#This Row],[Рефакция план, %]])</f>
        <v>2314.1999999999998</v>
      </c>
      <c r="P54" s="205">
        <v>140</v>
      </c>
      <c r="Q54" s="210">
        <f>Таблица4[[#This Row],[Площадь внесения, га]]-Таблица4[[#This Row],[Площадь уборки, га]]</f>
        <v>0</v>
      </c>
      <c r="R54" s="205"/>
      <c r="S54" s="221">
        <f>IFERROR(Таблица4[[#This Row],[Валовый сбор факт, т]]/Таблица4[[#This Row],[Площадь уборки, га]], "-")</f>
        <v>18.614428571428572</v>
      </c>
      <c r="T54" s="207">
        <f>2606020/1000</f>
        <v>2606.02</v>
      </c>
      <c r="U54" s="208">
        <f>IFERROR(1-Таблица4[[#This Row],[Зачетный вес факт, т]]/Таблица4[[#This Row],[Валовый сбор факт, т]], "-")</f>
        <v>0.11530951412498758</v>
      </c>
      <c r="V54" s="207">
        <f>2305521.1/1000</f>
        <v>2305.5210999999999</v>
      </c>
      <c r="W54" s="193"/>
    </row>
    <row r="55" spans="1:23" ht="23.45" customHeight="1">
      <c r="A55" s="192" t="s">
        <v>55</v>
      </c>
      <c r="B55" s="192" t="s">
        <v>144</v>
      </c>
      <c r="C55" s="193" t="s">
        <v>95</v>
      </c>
      <c r="D55" s="193" t="s">
        <v>42</v>
      </c>
      <c r="E55" s="193" t="s">
        <v>42</v>
      </c>
      <c r="F55" s="216" t="s">
        <v>998</v>
      </c>
      <c r="G55" s="215" t="s">
        <v>3535</v>
      </c>
      <c r="H55" s="197">
        <v>55</v>
      </c>
      <c r="I55" s="205">
        <v>22</v>
      </c>
      <c r="J55" s="196">
        <v>29</v>
      </c>
      <c r="K55" s="196">
        <f>Таблица4[[#This Row],[Количество внесения, п.е.]]/Таблица4[[#This Row],[Площадь внесения, га]]</f>
        <v>1.3181818181818181</v>
      </c>
      <c r="L55" s="221">
        <v>19</v>
      </c>
      <c r="M55" s="193">
        <f>Таблица4[[#This Row],[Урожайность план, т/га]]*Таблица4[[#This Row],[Площадь внесения, га]]</f>
        <v>418</v>
      </c>
      <c r="N55" s="208">
        <v>0.13</v>
      </c>
      <c r="O55" s="207">
        <f>Таблица4[[#This Row],[Валовый сбор план, т]]*(1-Таблица4[[#This Row],[Рефакция план, %]])</f>
        <v>363.66</v>
      </c>
      <c r="P55" s="205">
        <v>22</v>
      </c>
      <c r="Q55" s="210">
        <f>Таблица4[[#This Row],[Площадь внесения, га]]-Таблица4[[#This Row],[Площадь уборки, га]]</f>
        <v>0</v>
      </c>
      <c r="R55" s="205"/>
      <c r="S55" s="221">
        <f>IFERROR(Таблица4[[#This Row],[Валовый сбор факт, т]]/Таблица4[[#This Row],[Площадь уборки, га]], "-")</f>
        <v>24.010909090909092</v>
      </c>
      <c r="T55" s="207">
        <f>528240/1000</f>
        <v>528.24</v>
      </c>
      <c r="U55" s="208">
        <f>IFERROR(1-Таблица4[[#This Row],[Зачетный вес факт, т]]/Таблица4[[#This Row],[Валовый сбор факт, т]], "-")</f>
        <v>0.17477472361048019</v>
      </c>
      <c r="V55" s="207">
        <f>435917/1000</f>
        <v>435.91699999999997</v>
      </c>
      <c r="W55" s="193"/>
    </row>
    <row r="56" spans="1:23" ht="23.45" customHeight="1">
      <c r="A56" s="192" t="s">
        <v>55</v>
      </c>
      <c r="B56" s="192" t="s">
        <v>144</v>
      </c>
      <c r="C56" s="193" t="s">
        <v>124</v>
      </c>
      <c r="D56" s="193" t="s">
        <v>51</v>
      </c>
      <c r="E56" s="193" t="s">
        <v>51</v>
      </c>
      <c r="F56" s="216" t="s">
        <v>998</v>
      </c>
      <c r="G56" s="215" t="s">
        <v>3534</v>
      </c>
      <c r="H56" s="197">
        <v>55</v>
      </c>
      <c r="I56" s="205">
        <v>33</v>
      </c>
      <c r="J56" s="196">
        <v>22</v>
      </c>
      <c r="K56" s="196">
        <f>Таблица4[[#This Row],[Количество внесения, п.е.]]/Таблица4[[#This Row],[Площадь внесения, га]]</f>
        <v>0.66666666666666663</v>
      </c>
      <c r="L56" s="221">
        <v>19</v>
      </c>
      <c r="M56" s="193">
        <f>Таблица4[[#This Row],[Урожайность план, т/га]]*Таблица4[[#This Row],[Площадь внесения, га]]</f>
        <v>627</v>
      </c>
      <c r="N56" s="208">
        <v>0.13</v>
      </c>
      <c r="O56" s="207">
        <f>Таблица4[[#This Row],[Валовый сбор план, т]]*(1-Таблица4[[#This Row],[Рефакция план, %]])</f>
        <v>545.49</v>
      </c>
      <c r="P56" s="205">
        <v>33</v>
      </c>
      <c r="Q56" s="210">
        <f>Таблица4[[#This Row],[Площадь внесения, га]]-Таблица4[[#This Row],[Площадь уборки, га]]</f>
        <v>0</v>
      </c>
      <c r="R56" s="205"/>
      <c r="S56" s="221">
        <f>IFERROR(Таблица4[[#This Row],[Валовый сбор факт, т]]/Таблица4[[#This Row],[Площадь уборки, га]], "-")</f>
        <v>16.065757575757573</v>
      </c>
      <c r="T56" s="207">
        <f>530170/1000</f>
        <v>530.16999999999996</v>
      </c>
      <c r="U56" s="208">
        <f>IFERROR(1-Таблица4[[#This Row],[Зачетный вес факт, т]]/Таблица4[[#This Row],[Валовый сбор факт, т]], "-")</f>
        <v>7.922175905841522E-2</v>
      </c>
      <c r="V56" s="207">
        <f>488169/1000</f>
        <v>488.16899999999998</v>
      </c>
      <c r="W56" s="193"/>
    </row>
    <row r="57" spans="1:23" ht="23.45" customHeight="1">
      <c r="A57" s="192" t="s">
        <v>55</v>
      </c>
      <c r="B57" s="192" t="s">
        <v>142</v>
      </c>
      <c r="C57" s="193" t="s">
        <v>95</v>
      </c>
      <c r="D57" s="193" t="s">
        <v>42</v>
      </c>
      <c r="E57" s="193" t="s">
        <v>42</v>
      </c>
      <c r="F57" s="216" t="s">
        <v>998</v>
      </c>
      <c r="G57" s="216" t="s">
        <v>3044</v>
      </c>
      <c r="H57" s="197">
        <v>53</v>
      </c>
      <c r="I57" s="205">
        <v>53</v>
      </c>
      <c r="J57" s="196">
        <v>69</v>
      </c>
      <c r="K57" s="196">
        <f>Таблица4[[#This Row],[Количество внесения, п.е.]]/Таблица4[[#This Row],[Площадь внесения, га]]</f>
        <v>1.3018867924528301</v>
      </c>
      <c r="L57" s="221">
        <v>19</v>
      </c>
      <c r="M57" s="193">
        <f>Таблица4[[#This Row],[Урожайность план, т/га]]*Таблица4[[#This Row],[Площадь внесения, га]]</f>
        <v>1007</v>
      </c>
      <c r="N57" s="208">
        <v>0.13</v>
      </c>
      <c r="O57" s="207">
        <f>Таблица4[[#This Row],[Валовый сбор план, т]]*(1-Таблица4[[#This Row],[Рефакция план, %]])</f>
        <v>876.09</v>
      </c>
      <c r="P57" s="205">
        <v>53</v>
      </c>
      <c r="Q57" s="210">
        <f>Таблица4[[#This Row],[Площадь внесения, га]]-Таблица4[[#This Row],[Площадь уборки, га]]</f>
        <v>0</v>
      </c>
      <c r="R57" s="205"/>
      <c r="S57" s="221">
        <f>IFERROR(Таблица4[[#This Row],[Валовый сбор факт, т]]/Таблица4[[#This Row],[Площадь уборки, га]], "-")</f>
        <v>22.884716981132076</v>
      </c>
      <c r="T57" s="207">
        <f>1212890/1000</f>
        <v>1212.8900000000001</v>
      </c>
      <c r="U57" s="208">
        <f>IFERROR(1-Таблица4[[#This Row],[Зачетный вес факт, т]]/Таблица4[[#This Row],[Валовый сбор факт, т]], "-")</f>
        <v>0.1153373347954062</v>
      </c>
      <c r="V57" s="207">
        <f>1072998.5/1000</f>
        <v>1072.9984999999999</v>
      </c>
      <c r="W57" s="193"/>
    </row>
    <row r="58" spans="1:23" ht="15">
      <c r="A58" s="192"/>
      <c r="B58" s="193"/>
      <c r="C58" s="193"/>
      <c r="D58" s="193"/>
      <c r="E58" s="193"/>
      <c r="F58" s="216"/>
      <c r="G58" s="216"/>
      <c r="H58" s="197"/>
      <c r="I58" s="205">
        <f>SUBTOTAL(109,Таблица4[Площадь внесения, га])</f>
        <v>2269</v>
      </c>
      <c r="J58" s="205">
        <f>SUBTOTAL(109,Таблица4[Количество внесения, п.е.])</f>
        <v>1658.2</v>
      </c>
      <c r="K58" s="196">
        <f>Таблица4[[#Totals],[Количество внесения, п.е.]]/Таблица4[[#Totals],[Площадь внесения, га]]</f>
        <v>0.73080652269722346</v>
      </c>
      <c r="L58" s="221">
        <f>Таблица4[[#Totals],[Валовый сбор план, т]]/Таблица4[[#Totals],[Площадь внесения, га]]</f>
        <v>17.261348611723225</v>
      </c>
      <c r="M58" s="207">
        <f>SUBTOTAL(109,Таблица4[Валовый сбор план, т])</f>
        <v>39166</v>
      </c>
      <c r="N58" s="208">
        <f>1-Таблица4[[#Totals],[Зачетный вес план, т]]/Таблица4[[#Totals],[Валовый сбор план, т]]</f>
        <v>0.13</v>
      </c>
      <c r="O58" s="207">
        <f>SUBTOTAL(109,Таблица4[Зачетный вес план, т])</f>
        <v>34074.42</v>
      </c>
      <c r="P58" s="218">
        <f>SUBTOTAL(109,Таблица4[Площадь уборки, га])</f>
        <v>2197</v>
      </c>
      <c r="Q58" s="205">
        <f>SUBTOTAL(109,Таблица4[Остаток, га])</f>
        <v>72</v>
      </c>
      <c r="R58" s="205">
        <f>SUBTOTAL(109,Таблица4[в т.ч. Бросили, га])</f>
        <v>72</v>
      </c>
      <c r="S58" s="221">
        <f>Таблица4[[#Totals],[Валовый сбор факт, т]]/Таблица4[[#Totals],[Площадь уборки, га]]</f>
        <v>15.976181019572143</v>
      </c>
      <c r="T58" s="207">
        <f>SUBTOTAL(109,Таблица4[Валовый сбор факт, т])</f>
        <v>35099.669699999999</v>
      </c>
      <c r="U58" s="208">
        <f>1-Таблица4[[#Totals],[Зачетный вес факт, т]]/Таблица4[[#Totals],[Валовый сбор факт, т]]</f>
        <v>0.14327288669613869</v>
      </c>
      <c r="V58" s="207">
        <f>SUBTOTAL(109,Таблица4[Зачетный вес факт, т])</f>
        <v>30070.838700000008</v>
      </c>
      <c r="W58"/>
    </row>
    <row r="63" spans="1:23">
      <c r="U63" s="256"/>
    </row>
    <row r="74" spans="7:7">
      <c r="G74" s="217" t="s">
        <v>2649</v>
      </c>
    </row>
  </sheetData>
  <phoneticPr fontId="30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8C68F-DA2A-4E59-AAA6-680D65A16814}">
  <sheetPr>
    <tabColor theme="2" tint="-0.249977111117893"/>
    <pageSetUpPr fitToPage="1"/>
  </sheetPr>
  <dimension ref="A2:U30"/>
  <sheetViews>
    <sheetView zoomScale="80" zoomScaleNormal="80" workbookViewId="0">
      <selection activeCell="P5" sqref="P5"/>
    </sheetView>
  </sheetViews>
  <sheetFormatPr defaultColWidth="9.140625" defaultRowHeight="14.25" outlineLevelCol="1"/>
  <cols>
    <col min="1" max="1" width="3.28515625" style="5" customWidth="1"/>
    <col min="2" max="2" width="46.28515625" style="5" customWidth="1"/>
    <col min="3" max="7" width="14.5703125" style="5" customWidth="1"/>
    <col min="8" max="9" width="18.5703125" style="5" customWidth="1"/>
    <col min="10" max="10" width="10.85546875" style="5" customWidth="1"/>
    <col min="11" max="11" width="15.28515625" style="5" customWidth="1"/>
    <col min="12" max="12" width="18.85546875" style="5" customWidth="1" outlineLevel="1"/>
    <col min="13" max="13" width="12.140625" style="5" customWidth="1" outlineLevel="1"/>
    <col min="14" max="14" width="21.28515625" style="5" customWidth="1" outlineLevel="1"/>
    <col min="15" max="15" width="9.140625" style="9" customWidth="1" outlineLevel="1"/>
    <col min="16" max="16" width="12.28515625" style="5" customWidth="1"/>
    <col min="17" max="17" width="16.7109375" style="5" hidden="1" customWidth="1" outlineLevel="1"/>
    <col min="18" max="18" width="17.5703125" style="5" hidden="1" customWidth="1" outlineLevel="1"/>
    <col min="19" max="19" width="18.85546875" style="5" customWidth="1" collapsed="1"/>
    <col min="20" max="20" width="17.5703125" style="5" customWidth="1"/>
    <col min="21" max="21" width="26.140625" style="5" customWidth="1"/>
    <col min="22" max="22" width="11.7109375" style="5" bestFit="1" customWidth="1"/>
    <col min="23" max="24" width="14.42578125" style="5" bestFit="1" customWidth="1"/>
    <col min="25" max="16384" width="9.140625" style="5"/>
  </cols>
  <sheetData>
    <row r="2" spans="1:21" ht="60" customHeight="1">
      <c r="B2" s="366" t="s">
        <v>241</v>
      </c>
      <c r="C2" s="361"/>
      <c r="D2" s="361"/>
      <c r="E2" s="361"/>
      <c r="F2" s="361"/>
      <c r="G2" s="361"/>
      <c r="H2" s="361"/>
      <c r="I2" s="361"/>
      <c r="J2" s="361"/>
      <c r="K2" s="361"/>
      <c r="L2" s="361"/>
      <c r="M2" s="361"/>
      <c r="N2" s="361"/>
      <c r="O2" s="361"/>
      <c r="P2" s="361"/>
      <c r="Q2" s="361"/>
      <c r="R2" s="361"/>
      <c r="S2" s="361"/>
      <c r="T2" s="62"/>
    </row>
    <row r="3" spans="1:21" ht="30">
      <c r="C3" s="253" t="s">
        <v>108</v>
      </c>
      <c r="H3" s="6"/>
      <c r="I3" s="6"/>
      <c r="J3" s="6"/>
      <c r="K3" s="62"/>
      <c r="L3" s="62"/>
      <c r="M3" s="62"/>
      <c r="N3" s="62"/>
      <c r="O3" s="62"/>
      <c r="P3" s="62"/>
      <c r="Q3" s="62"/>
      <c r="R3" s="62"/>
      <c r="S3" s="62"/>
      <c r="T3" s="62"/>
    </row>
    <row r="4" spans="1:21" ht="48.75" customHeight="1">
      <c r="B4" s="7" t="s">
        <v>0</v>
      </c>
      <c r="C4" s="8" t="s">
        <v>1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338</v>
      </c>
      <c r="I4" s="322" t="s">
        <v>3831</v>
      </c>
      <c r="K4" s="332" t="s">
        <v>262</v>
      </c>
      <c r="L4" s="332" t="s">
        <v>24</v>
      </c>
      <c r="M4" s="332" t="s">
        <v>26</v>
      </c>
      <c r="N4" s="332" t="s">
        <v>28</v>
      </c>
      <c r="O4" s="332" t="s">
        <v>19</v>
      </c>
      <c r="P4" s="332" t="s">
        <v>13</v>
      </c>
      <c r="Q4" s="332" t="s">
        <v>204</v>
      </c>
      <c r="R4" s="332" t="s">
        <v>205</v>
      </c>
      <c r="S4" s="336" t="s">
        <v>269</v>
      </c>
      <c r="T4" s="337" t="s">
        <v>206</v>
      </c>
    </row>
    <row r="5" spans="1:21" s="9" customFormat="1" ht="21.75" customHeight="1">
      <c r="B5" s="11" t="s">
        <v>6</v>
      </c>
      <c r="C5" s="12">
        <v>44067</v>
      </c>
      <c r="D5" s="12">
        <v>44427</v>
      </c>
      <c r="E5" s="12">
        <v>44800</v>
      </c>
      <c r="F5" s="12">
        <v>45184</v>
      </c>
      <c r="G5" s="12">
        <v>45522</v>
      </c>
      <c r="H5" s="12">
        <v>45916</v>
      </c>
      <c r="I5" s="323">
        <f>K5</f>
        <v>46237</v>
      </c>
      <c r="K5" s="340">
        <v>46237</v>
      </c>
      <c r="L5" s="13" t="s">
        <v>116</v>
      </c>
      <c r="M5" s="15">
        <v>58</v>
      </c>
      <c r="N5" s="255" t="s">
        <v>46</v>
      </c>
      <c r="O5" s="14">
        <v>16</v>
      </c>
      <c r="P5" s="15">
        <f>SUMIFS('Реестр уборки 2026'!L:L,'Реестр уборки 2026'!I:I,'Реестр уборки 2026'!$I$2,'Реестр уборки 2026'!G:G,L5,'Реестр уборки 2026'!K:K,'Кукуруза суперсл ГРК'!K5)</f>
        <v>14.999999999999996</v>
      </c>
      <c r="Q5" s="16"/>
      <c r="R5" s="17"/>
      <c r="S5" s="329">
        <f>SUMIFS('Реестр уборки 2026'!Q:Q,'Реестр уборки 2026'!I:I,'Реестр уборки 2026'!$I$2,'Реестр уборки 2026'!G:G,L5,'Реестр уборки 2026'!K:K,'Кукуруза суперсл ГРК'!K5)</f>
        <v>279000</v>
      </c>
      <c r="T5" s="330">
        <f>IFERROR(S5/1000/P5, "-")</f>
        <v>18.600000000000005</v>
      </c>
    </row>
    <row r="6" spans="1:21" ht="21.75" customHeight="1">
      <c r="B6" s="11" t="s">
        <v>7</v>
      </c>
      <c r="C6" s="12">
        <v>44097</v>
      </c>
      <c r="D6" s="12">
        <v>44458</v>
      </c>
      <c r="E6" s="12">
        <v>44825</v>
      </c>
      <c r="F6" s="12">
        <v>45201</v>
      </c>
      <c r="G6" s="12">
        <v>45538</v>
      </c>
      <c r="H6" s="12">
        <v>45931</v>
      </c>
      <c r="I6" s="323"/>
      <c r="K6" s="340">
        <v>46238</v>
      </c>
      <c r="L6" s="13" t="s">
        <v>116</v>
      </c>
      <c r="M6" s="15">
        <v>58</v>
      </c>
      <c r="N6" s="255" t="s">
        <v>46</v>
      </c>
      <c r="O6" s="14">
        <v>23</v>
      </c>
      <c r="P6" s="15">
        <f>SUMIFS('Реестр уборки 2026'!L:L,'Реестр уборки 2026'!I:I,'Реестр уборки 2026'!$I$2,'Реестр уборки 2026'!G:G,L6,'Реестр уборки 2026'!K:K,'Кукуруза суперсл ГРК'!K6)</f>
        <v>19</v>
      </c>
      <c r="Q6" s="16"/>
      <c r="R6" s="17"/>
      <c r="S6" s="329">
        <f>SUMIFS('Реестр уборки 2026'!Q:Q,'Реестр уборки 2026'!I:I,'Реестр уборки 2026'!$I$2,'Реестр уборки 2026'!G:G,L6,'Реестр уборки 2026'!K:K,'Кукуруза суперсл ГРК'!K6)</f>
        <v>436590</v>
      </c>
      <c r="T6" s="331">
        <f t="shared" ref="T6:T16" si="0">IFERROR(S6/1000/P6, "-")</f>
        <v>22.978421052631578</v>
      </c>
      <c r="U6" s="338" t="s">
        <v>3886</v>
      </c>
    </row>
    <row r="7" spans="1:21" ht="21.75" customHeight="1">
      <c r="B7" s="11" t="s">
        <v>8</v>
      </c>
      <c r="C7" s="19">
        <f t="shared" ref="C7:I7" si="1">IF(C6=0,"-",C6-C5+1)</f>
        <v>31</v>
      </c>
      <c r="D7" s="19">
        <f t="shared" si="1"/>
        <v>32</v>
      </c>
      <c r="E7" s="19">
        <f t="shared" si="1"/>
        <v>26</v>
      </c>
      <c r="F7" s="19">
        <f t="shared" si="1"/>
        <v>18</v>
      </c>
      <c r="G7" s="19">
        <f t="shared" si="1"/>
        <v>17</v>
      </c>
      <c r="H7" s="19">
        <f t="shared" si="1"/>
        <v>16</v>
      </c>
      <c r="I7" s="324" t="str">
        <f t="shared" si="1"/>
        <v>-</v>
      </c>
      <c r="K7" s="341">
        <f>K6</f>
        <v>46238</v>
      </c>
      <c r="L7" s="13" t="s">
        <v>3871</v>
      </c>
      <c r="M7" s="15">
        <v>59</v>
      </c>
      <c r="N7" s="255" t="s">
        <v>46</v>
      </c>
      <c r="O7" s="14">
        <v>2</v>
      </c>
      <c r="P7" s="15">
        <f>SUMIFS('Реестр уборки 2026'!L:L,'Реестр уборки 2026'!I:I,'Реестр уборки 2026'!$I$2,'Реестр уборки 2026'!G:G,L7,'Реестр уборки 2026'!K:K,'Кукуруза суперсл ГРК'!K7)</f>
        <v>1.5</v>
      </c>
      <c r="Q7" s="16"/>
      <c r="R7" s="17"/>
      <c r="S7" s="329">
        <f>SUMIFS('Реестр уборки 2026'!Q:Q,'Реестр уборки 2026'!I:I,'Реестр уборки 2026'!$I$2,'Реестр уборки 2026'!G:G,L7,'Реестр уборки 2026'!K:K,'Кукуруза суперсл ГРК'!K7)</f>
        <v>30550</v>
      </c>
      <c r="T7" s="331">
        <f t="shared" si="0"/>
        <v>20.366666666666667</v>
      </c>
    </row>
    <row r="8" spans="1:21" ht="21.75" customHeight="1">
      <c r="B8" s="11" t="s">
        <v>9</v>
      </c>
      <c r="C8" s="19">
        <v>20</v>
      </c>
      <c r="D8" s="19">
        <v>18</v>
      </c>
      <c r="E8" s="19">
        <v>17</v>
      </c>
      <c r="F8" s="19">
        <v>7</v>
      </c>
      <c r="G8" s="19">
        <v>13</v>
      </c>
      <c r="H8" s="19">
        <v>16</v>
      </c>
      <c r="I8" s="324"/>
      <c r="K8" s="340">
        <v>46239</v>
      </c>
      <c r="L8" s="13" t="s">
        <v>116</v>
      </c>
      <c r="M8" s="15">
        <v>58</v>
      </c>
      <c r="N8" s="255" t="s">
        <v>46</v>
      </c>
      <c r="O8" s="14">
        <f>21-1</f>
        <v>20</v>
      </c>
      <c r="P8" s="15">
        <f>SUMIFS('Реестр уборки 2026'!L:L,'Реестр уборки 2026'!I:I,'Реестр уборки 2026'!$I$2,'Реестр уборки 2026'!G:G,L8,'Реестр уборки 2026'!K:K,'Кукуруза суперсл ГРК'!K8)</f>
        <v>24</v>
      </c>
      <c r="Q8" s="16"/>
      <c r="R8" s="17"/>
      <c r="S8" s="329">
        <f>SUMIFS('Реестр уборки 2026'!Q:Q,'Реестр уборки 2026'!I:I,'Реестр уборки 2026'!$I$2,'Реестр уборки 2026'!G:G,L8,'Реестр уборки 2026'!K:K,'Кукуруза суперсл ГРК'!K8)</f>
        <v>426170</v>
      </c>
      <c r="T8" s="331">
        <f t="shared" si="0"/>
        <v>17.757083333333334</v>
      </c>
    </row>
    <row r="9" spans="1:21" ht="21.75" customHeight="1">
      <c r="B9" s="11" t="s">
        <v>10</v>
      </c>
      <c r="C9" s="20"/>
      <c r="D9" s="20"/>
      <c r="E9" s="20"/>
      <c r="F9" s="20"/>
      <c r="G9" s="20" t="s">
        <v>248</v>
      </c>
      <c r="H9" s="20" t="s">
        <v>312</v>
      </c>
      <c r="I9" s="325" t="s">
        <v>177</v>
      </c>
      <c r="K9" s="341">
        <f>K8</f>
        <v>46239</v>
      </c>
      <c r="L9" s="13" t="s">
        <v>3871</v>
      </c>
      <c r="M9" s="15">
        <v>59</v>
      </c>
      <c r="N9" s="255" t="s">
        <v>46</v>
      </c>
      <c r="O9" s="14">
        <v>8</v>
      </c>
      <c r="P9" s="15">
        <f>SUMIFS('Реестр уборки 2026'!L:L,'Реестр уборки 2026'!I:I,'Реестр уборки 2026'!$I$2,'Реестр уборки 2026'!G:G,L9,'Реестр уборки 2026'!K:K,'Кукуруза суперсл ГРК'!K9)</f>
        <v>7</v>
      </c>
      <c r="Q9" s="16"/>
      <c r="R9" s="17"/>
      <c r="S9" s="329">
        <f>SUMIFS('Реестр уборки 2026'!Q:Q,'Реестр уборки 2026'!I:I,'Реестр уборки 2026'!$I$2,'Реестр уборки 2026'!G:G,L9,'Реестр уборки 2026'!K:K,'Кукуруза суперсл ГРК'!K9)</f>
        <v>163640</v>
      </c>
      <c r="T9" s="331">
        <f t="shared" si="0"/>
        <v>23.377142857142854</v>
      </c>
    </row>
    <row r="10" spans="1:21" ht="21.75" customHeight="1">
      <c r="B10" s="11" t="s">
        <v>11</v>
      </c>
      <c r="C10" s="34">
        <v>6271.2</v>
      </c>
      <c r="D10" s="34">
        <v>4487.5</v>
      </c>
      <c r="E10" s="34">
        <v>4513.01</v>
      </c>
      <c r="F10" s="34">
        <v>1950.56</v>
      </c>
      <c r="G10" s="34">
        <v>3707.36</v>
      </c>
      <c r="H10" s="34">
        <v>550.89</v>
      </c>
      <c r="I10" s="326">
        <f>S17/1000</f>
        <v>2214.75</v>
      </c>
      <c r="K10" s="340">
        <v>46240</v>
      </c>
      <c r="L10" s="13" t="s">
        <v>3871</v>
      </c>
      <c r="M10" s="15">
        <v>59</v>
      </c>
      <c r="N10" s="255" t="s">
        <v>46</v>
      </c>
      <c r="O10" s="14">
        <v>26</v>
      </c>
      <c r="P10" s="15">
        <f>SUMIFS('Реестр уборки 2026'!L:L,'Реестр уборки 2026'!I:I,'Реестр уборки 2026'!$I$2,'Реестр уборки 2026'!G:G,L10,'Реестр уборки 2026'!K:K,'Кукуруза суперсл ГРК'!K10)</f>
        <v>27.500000000000004</v>
      </c>
      <c r="Q10" s="16"/>
      <c r="R10" s="17"/>
      <c r="S10" s="329">
        <f>SUMIFS('Реестр уборки 2026'!Q:Q,'Реестр уборки 2026'!I:I,'Реестр уборки 2026'!$I$2,'Реестр уборки 2026'!G:G,L10,'Реестр уборки 2026'!K:K,'Кукуруза суперсл ГРК'!K10)</f>
        <v>491940</v>
      </c>
      <c r="T10" s="331">
        <f t="shared" si="0"/>
        <v>17.888727272727269</v>
      </c>
    </row>
    <row r="11" spans="1:21" ht="21.75" customHeight="1">
      <c r="B11" s="11" t="s">
        <v>12</v>
      </c>
      <c r="C11" s="22">
        <v>411</v>
      </c>
      <c r="D11" s="22">
        <v>315</v>
      </c>
      <c r="E11" s="22">
        <v>400</v>
      </c>
      <c r="F11" s="22">
        <v>142.69999999999999</v>
      </c>
      <c r="G11" s="22">
        <v>482</v>
      </c>
      <c r="H11" s="22">
        <v>63</v>
      </c>
      <c r="I11" s="327">
        <v>136</v>
      </c>
      <c r="K11" s="340">
        <v>46241</v>
      </c>
      <c r="L11" s="13" t="s">
        <v>3871</v>
      </c>
      <c r="M11" s="15">
        <v>59</v>
      </c>
      <c r="N11" s="255" t="s">
        <v>46</v>
      </c>
      <c r="O11" s="14">
        <v>18</v>
      </c>
      <c r="P11" s="15">
        <f>SUMIFS('Реестр уборки 2026'!L:L,'Реестр уборки 2026'!I:I,'Реестр уборки 2026'!$I$2,'Реестр уборки 2026'!G:G,L11,'Реестр уборки 2026'!K:K,'Кукуруза суперсл ГРК'!K11)</f>
        <v>23</v>
      </c>
      <c r="Q11" s="16"/>
      <c r="R11" s="17"/>
      <c r="S11" s="329">
        <f>SUMIFS('Реестр уборки 2026'!Q:Q,'Реестр уборки 2026'!I:I,'Реестр уборки 2026'!$I$2,'Реестр уборки 2026'!G:G,L11,'Реестр уборки 2026'!K:K,'Кукуруза суперсл ГРК'!K11)</f>
        <v>386860</v>
      </c>
      <c r="T11" s="331">
        <f t="shared" si="0"/>
        <v>16.82</v>
      </c>
    </row>
    <row r="12" spans="1:21" ht="21.75" customHeight="1">
      <c r="B12" s="11" t="s">
        <v>13</v>
      </c>
      <c r="C12" s="22">
        <v>411</v>
      </c>
      <c r="D12" s="22">
        <v>315</v>
      </c>
      <c r="E12" s="22">
        <v>400</v>
      </c>
      <c r="F12" s="22">
        <v>142.69999999999999</v>
      </c>
      <c r="G12" s="22">
        <v>459</v>
      </c>
      <c r="H12" s="22">
        <v>63</v>
      </c>
      <c r="I12" s="327">
        <f>P17</f>
        <v>117</v>
      </c>
      <c r="K12" s="13"/>
      <c r="L12" s="13"/>
      <c r="M12" s="15"/>
      <c r="N12" s="255"/>
      <c r="O12" s="14"/>
      <c r="P12" s="15"/>
      <c r="Q12" s="16"/>
      <c r="R12" s="17"/>
      <c r="S12" s="329"/>
      <c r="T12" s="331" t="str">
        <f t="shared" si="0"/>
        <v>-</v>
      </c>
    </row>
    <row r="13" spans="1:21" ht="21.75" customHeight="1">
      <c r="B13" s="11" t="s">
        <v>14</v>
      </c>
      <c r="C13" s="166">
        <f>C10/C12</f>
        <v>15.258394160583942</v>
      </c>
      <c r="D13" s="166">
        <f t="shared" ref="D13:I13" si="2">D10/D12</f>
        <v>14.246031746031745</v>
      </c>
      <c r="E13" s="166">
        <f t="shared" si="2"/>
        <v>11.282525</v>
      </c>
      <c r="F13" s="166">
        <f t="shared" si="2"/>
        <v>13.66895585143658</v>
      </c>
      <c r="G13" s="321">
        <f t="shared" si="2"/>
        <v>8.0770370370370372</v>
      </c>
      <c r="H13" s="321">
        <f t="shared" si="2"/>
        <v>8.7442857142857147</v>
      </c>
      <c r="I13" s="328">
        <f t="shared" si="2"/>
        <v>18.929487179487179</v>
      </c>
      <c r="K13" s="13"/>
      <c r="L13" s="13"/>
      <c r="M13" s="15"/>
      <c r="N13" s="255"/>
      <c r="O13" s="14"/>
      <c r="P13" s="15"/>
      <c r="Q13" s="16"/>
      <c r="R13" s="17"/>
      <c r="S13" s="329"/>
      <c r="T13" s="331" t="str">
        <f t="shared" si="0"/>
        <v>-</v>
      </c>
    </row>
    <row r="14" spans="1:21" ht="21.75" customHeight="1">
      <c r="B14" s="11"/>
      <c r="C14" s="24"/>
      <c r="D14" s="24"/>
      <c r="E14" s="24"/>
      <c r="F14" s="24"/>
      <c r="G14" s="24"/>
      <c r="K14" s="13"/>
      <c r="L14" s="13"/>
      <c r="M14" s="15"/>
      <c r="N14" s="15"/>
      <c r="O14" s="14"/>
      <c r="P14" s="15"/>
      <c r="Q14" s="16"/>
      <c r="R14" s="17"/>
      <c r="S14" s="329"/>
      <c r="T14" s="331" t="str">
        <f t="shared" si="0"/>
        <v>-</v>
      </c>
    </row>
    <row r="15" spans="1:21" ht="21.75" customHeight="1">
      <c r="A15" s="25"/>
      <c r="B15" s="11"/>
      <c r="C15" s="2"/>
      <c r="K15" s="13"/>
      <c r="L15" s="13"/>
      <c r="M15" s="15"/>
      <c r="N15" s="15"/>
      <c r="O15" s="14"/>
      <c r="P15" s="15"/>
      <c r="Q15" s="16"/>
      <c r="R15" s="17"/>
      <c r="S15" s="329"/>
      <c r="T15" s="331" t="str">
        <f t="shared" si="0"/>
        <v>-</v>
      </c>
    </row>
    <row r="16" spans="1:21" ht="21.75" customHeight="1">
      <c r="B16" s="27" t="s">
        <v>3832</v>
      </c>
      <c r="C16" s="28"/>
      <c r="D16" s="28"/>
      <c r="E16" s="28"/>
      <c r="K16" s="13"/>
      <c r="L16" s="13"/>
      <c r="M16" s="15"/>
      <c r="N16" s="255"/>
      <c r="O16" s="14"/>
      <c r="P16" s="15"/>
      <c r="Q16" s="16"/>
      <c r="R16" s="17"/>
      <c r="S16" s="329"/>
      <c r="T16" s="331" t="str">
        <f t="shared" si="0"/>
        <v>-</v>
      </c>
    </row>
    <row r="17" spans="2:20" ht="21.75" customHeight="1">
      <c r="B17" s="11" t="s">
        <v>16</v>
      </c>
      <c r="C17" s="34">
        <f>15*I11</f>
        <v>2040</v>
      </c>
      <c r="D17" s="166">
        <f>C17/E17</f>
        <v>15</v>
      </c>
      <c r="E17" s="139">
        <f>I11</f>
        <v>136</v>
      </c>
      <c r="K17" s="332" t="s">
        <v>21</v>
      </c>
      <c r="L17" s="332"/>
      <c r="M17" s="332"/>
      <c r="N17" s="332"/>
      <c r="O17" s="332">
        <f>SUM(O5:O16)</f>
        <v>113</v>
      </c>
      <c r="P17" s="333">
        <f>SUM(P5:P16)</f>
        <v>117</v>
      </c>
      <c r="Q17" s="334">
        <f>SUM(Q5:Q16)</f>
        <v>0</v>
      </c>
      <c r="R17" s="335">
        <f>Q17/P17/100</f>
        <v>0</v>
      </c>
      <c r="S17" s="334">
        <f>SUM(S5:S16)</f>
        <v>2214750</v>
      </c>
      <c r="T17" s="343">
        <f>S17/P17/1000</f>
        <v>18.929487179487179</v>
      </c>
    </row>
    <row r="18" spans="2:20" ht="21.75" customHeight="1">
      <c r="B18" s="120" t="s">
        <v>17</v>
      </c>
      <c r="C18" s="69">
        <f>S17/1000</f>
        <v>2214.75</v>
      </c>
      <c r="D18" s="167">
        <f>IFERROR(C18/E18,)</f>
        <v>18.929487179487179</v>
      </c>
      <c r="E18" s="165">
        <f>P17</f>
        <v>117</v>
      </c>
    </row>
    <row r="19" spans="2:20" ht="21.75" customHeight="1">
      <c r="B19" s="11" t="s">
        <v>179</v>
      </c>
      <c r="C19" s="2">
        <f>C18/C17</f>
        <v>1.0856617647058824</v>
      </c>
      <c r="D19" s="1"/>
      <c r="E19" s="138"/>
    </row>
    <row r="20" spans="2:20" ht="21.75" customHeight="1">
      <c r="B20" s="11" t="s">
        <v>180</v>
      </c>
      <c r="C20" s="2">
        <f>IFERROR(E18/E17, )</f>
        <v>0.86029411764705888</v>
      </c>
    </row>
    <row r="21" spans="2:20" ht="21.75" customHeight="1">
      <c r="O21" s="5"/>
    </row>
    <row r="22" spans="2:20" ht="21.75" customHeight="1">
      <c r="O22" s="5"/>
    </row>
    <row r="23" spans="2:20" ht="21.75" customHeight="1">
      <c r="S23" s="80"/>
    </row>
    <row r="24" spans="2:20">
      <c r="S24" s="80"/>
    </row>
    <row r="30" spans="2:20">
      <c r="G30" s="5" t="s">
        <v>2888</v>
      </c>
    </row>
  </sheetData>
  <mergeCells count="1">
    <mergeCell ref="B2:S2"/>
  </mergeCells>
  <phoneticPr fontId="30" type="noConversion"/>
  <pageMargins left="0.7" right="0.7" top="0.75" bottom="0.75" header="0.3" footer="0.3"/>
  <pageSetup paperSize="9" scale="40" fitToHeight="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F918B-2DCA-426C-A754-D4948F9D1E41}">
  <dimension ref="A1:XEN1461"/>
  <sheetViews>
    <sheetView showGridLines="0" topLeftCell="C1" zoomScale="70" zoomScaleNormal="70" workbookViewId="0">
      <pane ySplit="1" topLeftCell="A1068" activePane="bottomLeft" state="frozen"/>
      <selection activeCell="I14" sqref="I14"/>
      <selection pane="bottomLeft" activeCell="I1483" sqref="I1483"/>
    </sheetView>
  </sheetViews>
  <sheetFormatPr defaultRowHeight="15"/>
  <cols>
    <col min="1" max="1" width="32.85546875" customWidth="1"/>
    <col min="2" max="2" width="15.85546875" customWidth="1"/>
    <col min="3" max="3" width="9.42578125" customWidth="1"/>
    <col min="4" max="4" width="14" customWidth="1"/>
    <col min="5" max="5" width="12.7109375" customWidth="1"/>
    <col min="6" max="6" width="14.42578125" customWidth="1"/>
    <col min="7" max="7" width="10.7109375" customWidth="1"/>
    <col min="8" max="8" width="12.85546875" customWidth="1"/>
    <col min="9" max="9" width="23.42578125" customWidth="1"/>
    <col min="10" max="10" width="15.42578125" customWidth="1"/>
    <col min="11" max="11" width="15.42578125" style="35" customWidth="1"/>
    <col min="12" max="12" width="15.42578125" customWidth="1"/>
    <col min="13" max="13" width="22" style="320" customWidth="1"/>
    <col min="14" max="14" width="13" customWidth="1"/>
    <col min="15" max="15" width="11.7109375" customWidth="1"/>
    <col min="16" max="16" width="9.85546875" customWidth="1"/>
    <col min="17" max="17" width="14" customWidth="1"/>
    <col min="18" max="18" width="15.85546875" customWidth="1"/>
    <col min="19" max="19" width="13.28515625" customWidth="1"/>
    <col min="20" max="20" width="12.28515625" style="35" customWidth="1"/>
    <col min="21" max="207" width="8" customWidth="1"/>
    <col min="208" max="208" width="1.5703125" customWidth="1"/>
    <col min="209" max="209" width="48.28515625" customWidth="1"/>
    <col min="210" max="210" width="13.28515625" customWidth="1"/>
    <col min="211" max="211" width="18.28515625" customWidth="1"/>
    <col min="212" max="212" width="18.5703125" customWidth="1"/>
    <col min="213" max="213" width="12.7109375" customWidth="1"/>
    <col min="214" max="214" width="10.85546875" customWidth="1"/>
    <col min="215" max="215" width="16.28515625" customWidth="1"/>
    <col min="216" max="216" width="8.140625" customWidth="1"/>
    <col min="217" max="221" width="11.7109375" customWidth="1"/>
    <col min="222" max="222" width="15.85546875" customWidth="1"/>
    <col min="223" max="463" width="8" customWidth="1"/>
    <col min="464" max="464" width="1.5703125" customWidth="1"/>
    <col min="465" max="465" width="48.28515625" customWidth="1"/>
    <col min="466" max="466" width="13.28515625" customWidth="1"/>
    <col min="467" max="467" width="18.28515625" customWidth="1"/>
    <col min="468" max="468" width="18.5703125" customWidth="1"/>
    <col min="469" max="469" width="12.7109375" customWidth="1"/>
    <col min="470" max="470" width="10.85546875" customWidth="1"/>
    <col min="471" max="471" width="16.28515625" customWidth="1"/>
    <col min="472" max="472" width="8.140625" customWidth="1"/>
    <col min="473" max="477" width="11.7109375" customWidth="1"/>
    <col min="478" max="478" width="15.85546875" customWidth="1"/>
    <col min="479" max="719" width="8" customWidth="1"/>
    <col min="720" max="720" width="1.5703125" customWidth="1"/>
    <col min="721" max="721" width="48.28515625" customWidth="1"/>
    <col min="722" max="722" width="13.28515625" customWidth="1"/>
    <col min="723" max="723" width="18.28515625" customWidth="1"/>
    <col min="724" max="724" width="18.5703125" customWidth="1"/>
    <col min="725" max="725" width="12.7109375" customWidth="1"/>
    <col min="726" max="726" width="10.85546875" customWidth="1"/>
    <col min="727" max="727" width="16.28515625" customWidth="1"/>
    <col min="728" max="728" width="8.140625" customWidth="1"/>
    <col min="729" max="733" width="11.7109375" customWidth="1"/>
    <col min="734" max="734" width="15.85546875" customWidth="1"/>
    <col min="735" max="975" width="8" customWidth="1"/>
    <col min="976" max="976" width="1.5703125" customWidth="1"/>
    <col min="977" max="977" width="48.28515625" customWidth="1"/>
    <col min="978" max="978" width="13.28515625" customWidth="1"/>
    <col min="979" max="979" width="18.28515625" customWidth="1"/>
    <col min="980" max="980" width="18.5703125" customWidth="1"/>
    <col min="981" max="981" width="12.7109375" customWidth="1"/>
    <col min="982" max="982" width="10.85546875" customWidth="1"/>
    <col min="983" max="983" width="16.28515625" customWidth="1"/>
    <col min="984" max="984" width="8.140625" customWidth="1"/>
    <col min="985" max="989" width="11.7109375" customWidth="1"/>
    <col min="990" max="990" width="15.85546875" customWidth="1"/>
    <col min="991" max="1231" width="8" customWidth="1"/>
    <col min="1232" max="1232" width="1.5703125" customWidth="1"/>
    <col min="1233" max="1233" width="48.28515625" customWidth="1"/>
    <col min="1234" max="1234" width="13.28515625" customWidth="1"/>
    <col min="1235" max="1235" width="18.28515625" customWidth="1"/>
    <col min="1236" max="1236" width="18.5703125" customWidth="1"/>
    <col min="1237" max="1237" width="12.7109375" customWidth="1"/>
    <col min="1238" max="1238" width="10.85546875" customWidth="1"/>
    <col min="1239" max="1239" width="16.28515625" customWidth="1"/>
    <col min="1240" max="1240" width="8.140625" customWidth="1"/>
    <col min="1241" max="1245" width="11.7109375" customWidth="1"/>
    <col min="1246" max="1246" width="15.85546875" customWidth="1"/>
    <col min="1247" max="1487" width="8" customWidth="1"/>
    <col min="1488" max="1488" width="1.5703125" customWidth="1"/>
    <col min="1489" max="1489" width="48.28515625" customWidth="1"/>
    <col min="1490" max="1490" width="13.28515625" customWidth="1"/>
    <col min="1491" max="1491" width="18.28515625" customWidth="1"/>
    <col min="1492" max="1492" width="18.5703125" customWidth="1"/>
    <col min="1493" max="1493" width="12.7109375" customWidth="1"/>
    <col min="1494" max="1494" width="10.85546875" customWidth="1"/>
    <col min="1495" max="1495" width="16.28515625" customWidth="1"/>
    <col min="1496" max="1496" width="8.140625" customWidth="1"/>
    <col min="1497" max="1501" width="11.7109375" customWidth="1"/>
    <col min="1502" max="1502" width="15.85546875" customWidth="1"/>
    <col min="1503" max="1743" width="8" customWidth="1"/>
    <col min="1744" max="1744" width="1.5703125" customWidth="1"/>
    <col min="1745" max="1745" width="48.28515625" customWidth="1"/>
    <col min="1746" max="1746" width="13.28515625" customWidth="1"/>
    <col min="1747" max="1747" width="18.28515625" customWidth="1"/>
    <col min="1748" max="1748" width="18.5703125" customWidth="1"/>
    <col min="1749" max="1749" width="12.7109375" customWidth="1"/>
    <col min="1750" max="1750" width="10.85546875" customWidth="1"/>
    <col min="1751" max="1751" width="16.28515625" customWidth="1"/>
    <col min="1752" max="1752" width="8.140625" customWidth="1"/>
    <col min="1753" max="1757" width="11.7109375" customWidth="1"/>
    <col min="1758" max="1758" width="15.85546875" customWidth="1"/>
    <col min="1759" max="1999" width="8" customWidth="1"/>
    <col min="2000" max="2000" width="1.5703125" customWidth="1"/>
    <col min="2001" max="2001" width="48.28515625" customWidth="1"/>
    <col min="2002" max="2002" width="13.28515625" customWidth="1"/>
    <col min="2003" max="2003" width="18.28515625" customWidth="1"/>
    <col min="2004" max="2004" width="18.5703125" customWidth="1"/>
    <col min="2005" max="2005" width="12.7109375" customWidth="1"/>
    <col min="2006" max="2006" width="10.85546875" customWidth="1"/>
    <col min="2007" max="2007" width="16.28515625" customWidth="1"/>
    <col min="2008" max="2008" width="8.140625" customWidth="1"/>
    <col min="2009" max="2013" width="11.7109375" customWidth="1"/>
    <col min="2014" max="2014" width="15.85546875" customWidth="1"/>
    <col min="2015" max="2255" width="8" customWidth="1"/>
    <col min="2256" max="2256" width="1.5703125" customWidth="1"/>
    <col min="2257" max="2257" width="48.28515625" customWidth="1"/>
    <col min="2258" max="2258" width="13.28515625" customWidth="1"/>
    <col min="2259" max="2259" width="18.28515625" customWidth="1"/>
    <col min="2260" max="2260" width="18.5703125" customWidth="1"/>
    <col min="2261" max="2261" width="12.7109375" customWidth="1"/>
    <col min="2262" max="2262" width="10.85546875" customWidth="1"/>
    <col min="2263" max="2263" width="16.28515625" customWidth="1"/>
    <col min="2264" max="2264" width="8.140625" customWidth="1"/>
    <col min="2265" max="2269" width="11.7109375" customWidth="1"/>
    <col min="2270" max="2270" width="15.85546875" customWidth="1"/>
    <col min="2271" max="2511" width="8" customWidth="1"/>
    <col min="2512" max="2512" width="1.5703125" customWidth="1"/>
    <col min="2513" max="2513" width="48.28515625" customWidth="1"/>
    <col min="2514" max="2514" width="13.28515625" customWidth="1"/>
    <col min="2515" max="2515" width="18.28515625" customWidth="1"/>
    <col min="2516" max="2516" width="18.5703125" customWidth="1"/>
    <col min="2517" max="2517" width="12.7109375" customWidth="1"/>
    <col min="2518" max="2518" width="10.85546875" customWidth="1"/>
    <col min="2519" max="2519" width="16.28515625" customWidth="1"/>
    <col min="2520" max="2520" width="8.140625" customWidth="1"/>
    <col min="2521" max="2525" width="11.7109375" customWidth="1"/>
    <col min="2526" max="2526" width="15.85546875" customWidth="1"/>
    <col min="2527" max="2767" width="8" customWidth="1"/>
    <col min="2768" max="2768" width="1.5703125" customWidth="1"/>
    <col min="2769" max="2769" width="48.28515625" customWidth="1"/>
    <col min="2770" max="2770" width="13.28515625" customWidth="1"/>
    <col min="2771" max="2771" width="18.28515625" customWidth="1"/>
    <col min="2772" max="2772" width="18.5703125" customWidth="1"/>
    <col min="2773" max="2773" width="12.7109375" customWidth="1"/>
    <col min="2774" max="2774" width="10.85546875" customWidth="1"/>
    <col min="2775" max="2775" width="16.28515625" customWidth="1"/>
    <col min="2776" max="2776" width="8.140625" customWidth="1"/>
    <col min="2777" max="2781" width="11.7109375" customWidth="1"/>
    <col min="2782" max="2782" width="15.85546875" customWidth="1"/>
    <col min="2783" max="3023" width="8" customWidth="1"/>
    <col min="3024" max="3024" width="1.5703125" customWidth="1"/>
    <col min="3025" max="3025" width="48.28515625" customWidth="1"/>
    <col min="3026" max="3026" width="13.28515625" customWidth="1"/>
    <col min="3027" max="3027" width="18.28515625" customWidth="1"/>
    <col min="3028" max="3028" width="18.5703125" customWidth="1"/>
    <col min="3029" max="3029" width="12.7109375" customWidth="1"/>
    <col min="3030" max="3030" width="10.85546875" customWidth="1"/>
    <col min="3031" max="3031" width="16.28515625" customWidth="1"/>
    <col min="3032" max="3032" width="8.140625" customWidth="1"/>
    <col min="3033" max="3037" width="11.7109375" customWidth="1"/>
    <col min="3038" max="3038" width="15.85546875" customWidth="1"/>
    <col min="3039" max="3279" width="8" customWidth="1"/>
    <col min="3280" max="3280" width="1.5703125" customWidth="1"/>
    <col min="3281" max="3281" width="48.28515625" customWidth="1"/>
    <col min="3282" max="3282" width="13.28515625" customWidth="1"/>
    <col min="3283" max="3283" width="18.28515625" customWidth="1"/>
    <col min="3284" max="3284" width="18.5703125" customWidth="1"/>
    <col min="3285" max="3285" width="12.7109375" customWidth="1"/>
    <col min="3286" max="3286" width="10.85546875" customWidth="1"/>
    <col min="3287" max="3287" width="16.28515625" customWidth="1"/>
    <col min="3288" max="3288" width="8.140625" customWidth="1"/>
    <col min="3289" max="3293" width="11.7109375" customWidth="1"/>
    <col min="3294" max="3294" width="15.85546875" customWidth="1"/>
    <col min="3295" max="3535" width="8" customWidth="1"/>
    <col min="3536" max="3536" width="1.5703125" customWidth="1"/>
    <col min="3537" max="3537" width="48.28515625" customWidth="1"/>
    <col min="3538" max="3538" width="13.28515625" customWidth="1"/>
    <col min="3539" max="3539" width="18.28515625" customWidth="1"/>
    <col min="3540" max="3540" width="18.5703125" customWidth="1"/>
    <col min="3541" max="3541" width="12.7109375" customWidth="1"/>
    <col min="3542" max="3542" width="10.85546875" customWidth="1"/>
    <col min="3543" max="3543" width="16.28515625" customWidth="1"/>
    <col min="3544" max="3544" width="8.140625" customWidth="1"/>
    <col min="3545" max="3549" width="11.7109375" customWidth="1"/>
    <col min="3550" max="3550" width="15.85546875" customWidth="1"/>
    <col min="3551" max="3791" width="8" customWidth="1"/>
    <col min="3792" max="3792" width="1.5703125" customWidth="1"/>
    <col min="3793" max="3793" width="48.28515625" customWidth="1"/>
    <col min="3794" max="3794" width="13.28515625" customWidth="1"/>
    <col min="3795" max="3795" width="18.28515625" customWidth="1"/>
    <col min="3796" max="3796" width="18.5703125" customWidth="1"/>
    <col min="3797" max="3797" width="12.7109375" customWidth="1"/>
    <col min="3798" max="3798" width="10.85546875" customWidth="1"/>
    <col min="3799" max="3799" width="16.28515625" customWidth="1"/>
    <col min="3800" max="3800" width="8.140625" customWidth="1"/>
    <col min="3801" max="3805" width="11.7109375" customWidth="1"/>
    <col min="3806" max="3806" width="15.85546875" customWidth="1"/>
    <col min="3807" max="4047" width="8" customWidth="1"/>
    <col min="4048" max="4048" width="1.5703125" customWidth="1"/>
    <col min="4049" max="4049" width="48.28515625" customWidth="1"/>
    <col min="4050" max="4050" width="13.28515625" customWidth="1"/>
    <col min="4051" max="4051" width="18.28515625" customWidth="1"/>
    <col min="4052" max="4052" width="18.5703125" customWidth="1"/>
    <col min="4053" max="4053" width="12.7109375" customWidth="1"/>
    <col min="4054" max="4054" width="10.85546875" customWidth="1"/>
    <col min="4055" max="4055" width="16.28515625" customWidth="1"/>
    <col min="4056" max="4056" width="8.140625" customWidth="1"/>
    <col min="4057" max="4061" width="11.7109375" customWidth="1"/>
    <col min="4062" max="4062" width="15.85546875" customWidth="1"/>
    <col min="4063" max="4303" width="8" customWidth="1"/>
    <col min="4304" max="4304" width="1.5703125" customWidth="1"/>
    <col min="4305" max="4305" width="48.28515625" customWidth="1"/>
    <col min="4306" max="4306" width="13.28515625" customWidth="1"/>
    <col min="4307" max="4307" width="18.28515625" customWidth="1"/>
    <col min="4308" max="4308" width="18.5703125" customWidth="1"/>
    <col min="4309" max="4309" width="12.7109375" customWidth="1"/>
    <col min="4310" max="4310" width="10.85546875" customWidth="1"/>
    <col min="4311" max="4311" width="16.28515625" customWidth="1"/>
    <col min="4312" max="4312" width="8.140625" customWidth="1"/>
    <col min="4313" max="4317" width="11.7109375" customWidth="1"/>
    <col min="4318" max="4318" width="15.85546875" customWidth="1"/>
    <col min="4319" max="4559" width="8" customWidth="1"/>
    <col min="4560" max="4560" width="1.5703125" customWidth="1"/>
    <col min="4561" max="4561" width="48.28515625" customWidth="1"/>
    <col min="4562" max="4562" width="13.28515625" customWidth="1"/>
    <col min="4563" max="4563" width="18.28515625" customWidth="1"/>
    <col min="4564" max="4564" width="18.5703125" customWidth="1"/>
    <col min="4565" max="4565" width="12.7109375" customWidth="1"/>
    <col min="4566" max="4566" width="10.85546875" customWidth="1"/>
    <col min="4567" max="4567" width="16.28515625" customWidth="1"/>
    <col min="4568" max="4568" width="8.140625" customWidth="1"/>
    <col min="4569" max="4573" width="11.7109375" customWidth="1"/>
    <col min="4574" max="4574" width="15.85546875" customWidth="1"/>
    <col min="4575" max="4815" width="8" customWidth="1"/>
    <col min="4816" max="4816" width="1.5703125" customWidth="1"/>
    <col min="4817" max="4817" width="48.28515625" customWidth="1"/>
    <col min="4818" max="4818" width="13.28515625" customWidth="1"/>
    <col min="4819" max="4819" width="18.28515625" customWidth="1"/>
    <col min="4820" max="4820" width="18.5703125" customWidth="1"/>
    <col min="4821" max="4821" width="12.7109375" customWidth="1"/>
    <col min="4822" max="4822" width="10.85546875" customWidth="1"/>
    <col min="4823" max="4823" width="16.28515625" customWidth="1"/>
    <col min="4824" max="4824" width="8.140625" customWidth="1"/>
    <col min="4825" max="4829" width="11.7109375" customWidth="1"/>
    <col min="4830" max="4830" width="15.85546875" customWidth="1"/>
    <col min="4831" max="5071" width="8" customWidth="1"/>
    <col min="5072" max="5072" width="1.5703125" customWidth="1"/>
    <col min="5073" max="5073" width="48.28515625" customWidth="1"/>
    <col min="5074" max="5074" width="13.28515625" customWidth="1"/>
    <col min="5075" max="5075" width="18.28515625" customWidth="1"/>
    <col min="5076" max="5076" width="18.5703125" customWidth="1"/>
    <col min="5077" max="5077" width="12.7109375" customWidth="1"/>
    <col min="5078" max="5078" width="10.85546875" customWidth="1"/>
    <col min="5079" max="5079" width="16.28515625" customWidth="1"/>
    <col min="5080" max="5080" width="8.140625" customWidth="1"/>
    <col min="5081" max="5085" width="11.7109375" customWidth="1"/>
    <col min="5086" max="5086" width="15.85546875" customWidth="1"/>
    <col min="5087" max="5327" width="8" customWidth="1"/>
    <col min="5328" max="5328" width="1.5703125" customWidth="1"/>
    <col min="5329" max="5329" width="48.28515625" customWidth="1"/>
    <col min="5330" max="5330" width="13.28515625" customWidth="1"/>
    <col min="5331" max="5331" width="18.28515625" customWidth="1"/>
    <col min="5332" max="5332" width="18.5703125" customWidth="1"/>
    <col min="5333" max="5333" width="12.7109375" customWidth="1"/>
    <col min="5334" max="5334" width="10.85546875" customWidth="1"/>
    <col min="5335" max="5335" width="16.28515625" customWidth="1"/>
    <col min="5336" max="5336" width="8.140625" customWidth="1"/>
    <col min="5337" max="5341" width="11.7109375" customWidth="1"/>
    <col min="5342" max="5342" width="15.85546875" customWidth="1"/>
    <col min="5343" max="5583" width="8" customWidth="1"/>
    <col min="5584" max="5584" width="1.5703125" customWidth="1"/>
    <col min="5585" max="5585" width="48.28515625" customWidth="1"/>
    <col min="5586" max="5586" width="13.28515625" customWidth="1"/>
    <col min="5587" max="5587" width="18.28515625" customWidth="1"/>
    <col min="5588" max="5588" width="18.5703125" customWidth="1"/>
    <col min="5589" max="5589" width="12.7109375" customWidth="1"/>
    <col min="5590" max="5590" width="10.85546875" customWidth="1"/>
    <col min="5591" max="5591" width="16.28515625" customWidth="1"/>
    <col min="5592" max="5592" width="8.140625" customWidth="1"/>
    <col min="5593" max="5597" width="11.7109375" customWidth="1"/>
    <col min="5598" max="5598" width="15.85546875" customWidth="1"/>
    <col min="5599" max="5839" width="8" customWidth="1"/>
    <col min="5840" max="5840" width="1.5703125" customWidth="1"/>
    <col min="5841" max="5841" width="48.28515625" customWidth="1"/>
    <col min="5842" max="5842" width="13.28515625" customWidth="1"/>
    <col min="5843" max="5843" width="18.28515625" customWidth="1"/>
    <col min="5844" max="5844" width="18.5703125" customWidth="1"/>
    <col min="5845" max="5845" width="12.7109375" customWidth="1"/>
    <col min="5846" max="5846" width="10.85546875" customWidth="1"/>
    <col min="5847" max="5847" width="16.28515625" customWidth="1"/>
    <col min="5848" max="5848" width="8.140625" customWidth="1"/>
    <col min="5849" max="5853" width="11.7109375" customWidth="1"/>
    <col min="5854" max="5854" width="15.85546875" customWidth="1"/>
    <col min="5855" max="6095" width="8" customWidth="1"/>
    <col min="6096" max="6096" width="1.5703125" customWidth="1"/>
    <col min="6097" max="6097" width="48.28515625" customWidth="1"/>
    <col min="6098" max="6098" width="13.28515625" customWidth="1"/>
    <col min="6099" max="6099" width="18.28515625" customWidth="1"/>
    <col min="6100" max="6100" width="18.5703125" customWidth="1"/>
    <col min="6101" max="6101" width="12.7109375" customWidth="1"/>
    <col min="6102" max="6102" width="10.85546875" customWidth="1"/>
    <col min="6103" max="6103" width="16.28515625" customWidth="1"/>
    <col min="6104" max="6104" width="8.140625" customWidth="1"/>
    <col min="6105" max="6109" width="11.7109375" customWidth="1"/>
    <col min="6110" max="6110" width="15.85546875" customWidth="1"/>
    <col min="6111" max="6351" width="8" customWidth="1"/>
    <col min="6352" max="6352" width="1.5703125" customWidth="1"/>
    <col min="6353" max="6353" width="48.28515625" customWidth="1"/>
    <col min="6354" max="6354" width="13.28515625" customWidth="1"/>
    <col min="6355" max="6355" width="18.28515625" customWidth="1"/>
    <col min="6356" max="6356" width="18.5703125" customWidth="1"/>
    <col min="6357" max="6357" width="12.7109375" customWidth="1"/>
    <col min="6358" max="6358" width="10.85546875" customWidth="1"/>
    <col min="6359" max="6359" width="16.28515625" customWidth="1"/>
    <col min="6360" max="6360" width="8.140625" customWidth="1"/>
    <col min="6361" max="6365" width="11.7109375" customWidth="1"/>
    <col min="6366" max="6366" width="15.85546875" customWidth="1"/>
    <col min="6367" max="6607" width="8" customWidth="1"/>
    <col min="6608" max="6608" width="1.5703125" customWidth="1"/>
    <col min="6609" max="6609" width="48.28515625" customWidth="1"/>
    <col min="6610" max="6610" width="13.28515625" customWidth="1"/>
    <col min="6611" max="6611" width="18.28515625" customWidth="1"/>
    <col min="6612" max="6612" width="18.5703125" customWidth="1"/>
    <col min="6613" max="6613" width="12.7109375" customWidth="1"/>
    <col min="6614" max="6614" width="10.85546875" customWidth="1"/>
    <col min="6615" max="6615" width="16.28515625" customWidth="1"/>
    <col min="6616" max="6616" width="8.140625" customWidth="1"/>
    <col min="6617" max="6621" width="11.7109375" customWidth="1"/>
    <col min="6622" max="6622" width="15.85546875" customWidth="1"/>
    <col min="6623" max="6863" width="8" customWidth="1"/>
    <col min="6864" max="6864" width="1.5703125" customWidth="1"/>
    <col min="6865" max="6865" width="48.28515625" customWidth="1"/>
    <col min="6866" max="6866" width="13.28515625" customWidth="1"/>
    <col min="6867" max="6867" width="18.28515625" customWidth="1"/>
    <col min="6868" max="6868" width="18.5703125" customWidth="1"/>
    <col min="6869" max="6869" width="12.7109375" customWidth="1"/>
    <col min="6870" max="6870" width="10.85546875" customWidth="1"/>
    <col min="6871" max="6871" width="16.28515625" customWidth="1"/>
    <col min="6872" max="6872" width="8.140625" customWidth="1"/>
    <col min="6873" max="6877" width="11.7109375" customWidth="1"/>
    <col min="6878" max="6878" width="15.85546875" customWidth="1"/>
    <col min="6879" max="7119" width="8" customWidth="1"/>
    <col min="7120" max="7120" width="1.5703125" customWidth="1"/>
    <col min="7121" max="7121" width="48.28515625" customWidth="1"/>
    <col min="7122" max="7122" width="13.28515625" customWidth="1"/>
    <col min="7123" max="7123" width="18.28515625" customWidth="1"/>
    <col min="7124" max="7124" width="18.5703125" customWidth="1"/>
    <col min="7125" max="7125" width="12.7109375" customWidth="1"/>
    <col min="7126" max="7126" width="10.85546875" customWidth="1"/>
    <col min="7127" max="7127" width="16.28515625" customWidth="1"/>
    <col min="7128" max="7128" width="8.140625" customWidth="1"/>
    <col min="7129" max="7133" width="11.7109375" customWidth="1"/>
    <col min="7134" max="7134" width="15.85546875" customWidth="1"/>
    <col min="7135" max="7375" width="8" customWidth="1"/>
    <col min="7376" max="7376" width="1.5703125" customWidth="1"/>
    <col min="7377" max="7377" width="48.28515625" customWidth="1"/>
    <col min="7378" max="7378" width="13.28515625" customWidth="1"/>
    <col min="7379" max="7379" width="18.28515625" customWidth="1"/>
    <col min="7380" max="7380" width="18.5703125" customWidth="1"/>
    <col min="7381" max="7381" width="12.7109375" customWidth="1"/>
    <col min="7382" max="7382" width="10.85546875" customWidth="1"/>
    <col min="7383" max="7383" width="16.28515625" customWidth="1"/>
    <col min="7384" max="7384" width="8.140625" customWidth="1"/>
    <col min="7385" max="7389" width="11.7109375" customWidth="1"/>
    <col min="7390" max="7390" width="15.85546875" customWidth="1"/>
    <col min="7391" max="7631" width="8" customWidth="1"/>
    <col min="7632" max="7632" width="1.5703125" customWidth="1"/>
    <col min="7633" max="7633" width="48.28515625" customWidth="1"/>
    <col min="7634" max="7634" width="13.28515625" customWidth="1"/>
    <col min="7635" max="7635" width="18.28515625" customWidth="1"/>
    <col min="7636" max="7636" width="18.5703125" customWidth="1"/>
    <col min="7637" max="7637" width="12.7109375" customWidth="1"/>
    <col min="7638" max="7638" width="10.85546875" customWidth="1"/>
    <col min="7639" max="7639" width="16.28515625" customWidth="1"/>
    <col min="7640" max="7640" width="8.140625" customWidth="1"/>
    <col min="7641" max="7645" width="11.7109375" customWidth="1"/>
    <col min="7646" max="7646" width="15.85546875" customWidth="1"/>
    <col min="7647" max="7887" width="8" customWidth="1"/>
    <col min="7888" max="7888" width="1.5703125" customWidth="1"/>
    <col min="7889" max="7889" width="48.28515625" customWidth="1"/>
    <col min="7890" max="7890" width="13.28515625" customWidth="1"/>
    <col min="7891" max="7891" width="18.28515625" customWidth="1"/>
    <col min="7892" max="7892" width="18.5703125" customWidth="1"/>
    <col min="7893" max="7893" width="12.7109375" customWidth="1"/>
    <col min="7894" max="7894" width="10.85546875" customWidth="1"/>
    <col min="7895" max="7895" width="16.28515625" customWidth="1"/>
    <col min="7896" max="7896" width="8.140625" customWidth="1"/>
    <col min="7897" max="7901" width="11.7109375" customWidth="1"/>
    <col min="7902" max="7902" width="15.85546875" customWidth="1"/>
    <col min="7903" max="8143" width="8" customWidth="1"/>
    <col min="8144" max="8144" width="1.5703125" customWidth="1"/>
    <col min="8145" max="8145" width="48.28515625" customWidth="1"/>
    <col min="8146" max="8146" width="13.28515625" customWidth="1"/>
    <col min="8147" max="8147" width="18.28515625" customWidth="1"/>
    <col min="8148" max="8148" width="18.5703125" customWidth="1"/>
    <col min="8149" max="8149" width="12.7109375" customWidth="1"/>
    <col min="8150" max="8150" width="10.85546875" customWidth="1"/>
    <col min="8151" max="8151" width="16.28515625" customWidth="1"/>
    <col min="8152" max="8152" width="8.140625" customWidth="1"/>
    <col min="8153" max="8157" width="11.7109375" customWidth="1"/>
    <col min="8158" max="8158" width="15.85546875" customWidth="1"/>
    <col min="8159" max="8399" width="8" customWidth="1"/>
    <col min="8400" max="8400" width="1.5703125" customWidth="1"/>
    <col min="8401" max="8401" width="48.28515625" customWidth="1"/>
    <col min="8402" max="8402" width="13.28515625" customWidth="1"/>
    <col min="8403" max="8403" width="18.28515625" customWidth="1"/>
    <col min="8404" max="8404" width="18.5703125" customWidth="1"/>
    <col min="8405" max="8405" width="12.7109375" customWidth="1"/>
    <col min="8406" max="8406" width="10.85546875" customWidth="1"/>
    <col min="8407" max="8407" width="16.28515625" customWidth="1"/>
    <col min="8408" max="8408" width="8.140625" customWidth="1"/>
    <col min="8409" max="8413" width="11.7109375" customWidth="1"/>
    <col min="8414" max="8414" width="15.85546875" customWidth="1"/>
    <col min="8415" max="8655" width="8" customWidth="1"/>
    <col min="8656" max="8656" width="1.5703125" customWidth="1"/>
    <col min="8657" max="8657" width="48.28515625" customWidth="1"/>
    <col min="8658" max="8658" width="13.28515625" customWidth="1"/>
    <col min="8659" max="8659" width="18.28515625" customWidth="1"/>
    <col min="8660" max="8660" width="18.5703125" customWidth="1"/>
    <col min="8661" max="8661" width="12.7109375" customWidth="1"/>
    <col min="8662" max="8662" width="10.85546875" customWidth="1"/>
    <col min="8663" max="8663" width="16.28515625" customWidth="1"/>
    <col min="8664" max="8664" width="8.140625" customWidth="1"/>
    <col min="8665" max="8669" width="11.7109375" customWidth="1"/>
    <col min="8670" max="8670" width="15.85546875" customWidth="1"/>
    <col min="8671" max="8911" width="8" customWidth="1"/>
    <col min="8912" max="8912" width="1.5703125" customWidth="1"/>
    <col min="8913" max="8913" width="48.28515625" customWidth="1"/>
    <col min="8914" max="8914" width="13.28515625" customWidth="1"/>
    <col min="8915" max="8915" width="18.28515625" customWidth="1"/>
    <col min="8916" max="8916" width="18.5703125" customWidth="1"/>
    <col min="8917" max="8917" width="12.7109375" customWidth="1"/>
    <col min="8918" max="8918" width="10.85546875" customWidth="1"/>
    <col min="8919" max="8919" width="16.28515625" customWidth="1"/>
    <col min="8920" max="8920" width="8.140625" customWidth="1"/>
    <col min="8921" max="8925" width="11.7109375" customWidth="1"/>
    <col min="8926" max="8926" width="15.85546875" customWidth="1"/>
    <col min="8927" max="9167" width="8" customWidth="1"/>
    <col min="9168" max="9168" width="1.5703125" customWidth="1"/>
    <col min="9169" max="9169" width="48.28515625" customWidth="1"/>
    <col min="9170" max="9170" width="13.28515625" customWidth="1"/>
    <col min="9171" max="9171" width="18.28515625" customWidth="1"/>
    <col min="9172" max="9172" width="18.5703125" customWidth="1"/>
    <col min="9173" max="9173" width="12.7109375" customWidth="1"/>
    <col min="9174" max="9174" width="10.85546875" customWidth="1"/>
    <col min="9175" max="9175" width="16.28515625" customWidth="1"/>
    <col min="9176" max="9176" width="8.140625" customWidth="1"/>
    <col min="9177" max="9181" width="11.7109375" customWidth="1"/>
    <col min="9182" max="9182" width="15.85546875" customWidth="1"/>
    <col min="9183" max="9423" width="8" customWidth="1"/>
    <col min="9424" max="9424" width="1.5703125" customWidth="1"/>
    <col min="9425" max="9425" width="48.28515625" customWidth="1"/>
    <col min="9426" max="9426" width="13.28515625" customWidth="1"/>
    <col min="9427" max="9427" width="18.28515625" customWidth="1"/>
    <col min="9428" max="9428" width="18.5703125" customWidth="1"/>
    <col min="9429" max="9429" width="12.7109375" customWidth="1"/>
    <col min="9430" max="9430" width="10.85546875" customWidth="1"/>
    <col min="9431" max="9431" width="16.28515625" customWidth="1"/>
    <col min="9432" max="9432" width="8.140625" customWidth="1"/>
    <col min="9433" max="9437" width="11.7109375" customWidth="1"/>
    <col min="9438" max="9438" width="15.85546875" customWidth="1"/>
    <col min="9439" max="9679" width="8" customWidth="1"/>
    <col min="9680" max="9680" width="1.5703125" customWidth="1"/>
    <col min="9681" max="9681" width="48.28515625" customWidth="1"/>
    <col min="9682" max="9682" width="13.28515625" customWidth="1"/>
    <col min="9683" max="9683" width="18.28515625" customWidth="1"/>
    <col min="9684" max="9684" width="18.5703125" customWidth="1"/>
    <col min="9685" max="9685" width="12.7109375" customWidth="1"/>
    <col min="9686" max="9686" width="10.85546875" customWidth="1"/>
    <col min="9687" max="9687" width="16.28515625" customWidth="1"/>
    <col min="9688" max="9688" width="8.140625" customWidth="1"/>
    <col min="9689" max="9693" width="11.7109375" customWidth="1"/>
    <col min="9694" max="9694" width="15.85546875" customWidth="1"/>
    <col min="9695" max="9935" width="8" customWidth="1"/>
    <col min="9936" max="9936" width="1.5703125" customWidth="1"/>
    <col min="9937" max="9937" width="48.28515625" customWidth="1"/>
    <col min="9938" max="9938" width="13.28515625" customWidth="1"/>
    <col min="9939" max="9939" width="18.28515625" customWidth="1"/>
    <col min="9940" max="9940" width="18.5703125" customWidth="1"/>
    <col min="9941" max="9941" width="12.7109375" customWidth="1"/>
    <col min="9942" max="9942" width="10.85546875" customWidth="1"/>
    <col min="9943" max="9943" width="16.28515625" customWidth="1"/>
    <col min="9944" max="9944" width="8.140625" customWidth="1"/>
    <col min="9945" max="9949" width="11.7109375" customWidth="1"/>
    <col min="9950" max="9950" width="15.85546875" customWidth="1"/>
    <col min="9951" max="10191" width="8" customWidth="1"/>
    <col min="10192" max="10192" width="1.5703125" customWidth="1"/>
    <col min="10193" max="10193" width="48.28515625" customWidth="1"/>
    <col min="10194" max="10194" width="13.28515625" customWidth="1"/>
    <col min="10195" max="10195" width="18.28515625" customWidth="1"/>
    <col min="10196" max="10196" width="18.5703125" customWidth="1"/>
    <col min="10197" max="10197" width="12.7109375" customWidth="1"/>
    <col min="10198" max="10198" width="10.85546875" customWidth="1"/>
    <col min="10199" max="10199" width="16.28515625" customWidth="1"/>
    <col min="10200" max="10200" width="8.140625" customWidth="1"/>
    <col min="10201" max="10205" width="11.7109375" customWidth="1"/>
    <col min="10206" max="10206" width="15.85546875" customWidth="1"/>
    <col min="10207" max="10447" width="8" customWidth="1"/>
    <col min="10448" max="10448" width="1.5703125" customWidth="1"/>
    <col min="10449" max="10449" width="48.28515625" customWidth="1"/>
    <col min="10450" max="10450" width="13.28515625" customWidth="1"/>
    <col min="10451" max="10451" width="18.28515625" customWidth="1"/>
    <col min="10452" max="10452" width="18.5703125" customWidth="1"/>
    <col min="10453" max="10453" width="12.7109375" customWidth="1"/>
    <col min="10454" max="10454" width="10.85546875" customWidth="1"/>
    <col min="10455" max="10455" width="16.28515625" customWidth="1"/>
    <col min="10456" max="10456" width="8.140625" customWidth="1"/>
    <col min="10457" max="10461" width="11.7109375" customWidth="1"/>
    <col min="10462" max="10462" width="15.85546875" customWidth="1"/>
    <col min="10463" max="10703" width="8" customWidth="1"/>
    <col min="10704" max="10704" width="1.5703125" customWidth="1"/>
    <col min="10705" max="10705" width="48.28515625" customWidth="1"/>
    <col min="10706" max="10706" width="13.28515625" customWidth="1"/>
    <col min="10707" max="10707" width="18.28515625" customWidth="1"/>
    <col min="10708" max="10708" width="18.5703125" customWidth="1"/>
    <col min="10709" max="10709" width="12.7109375" customWidth="1"/>
    <col min="10710" max="10710" width="10.85546875" customWidth="1"/>
    <col min="10711" max="10711" width="16.28515625" customWidth="1"/>
    <col min="10712" max="10712" width="8.140625" customWidth="1"/>
    <col min="10713" max="10717" width="11.7109375" customWidth="1"/>
    <col min="10718" max="10718" width="15.85546875" customWidth="1"/>
    <col min="10719" max="10959" width="8" customWidth="1"/>
    <col min="10960" max="10960" width="1.5703125" customWidth="1"/>
    <col min="10961" max="10961" width="48.28515625" customWidth="1"/>
    <col min="10962" max="10962" width="13.28515625" customWidth="1"/>
    <col min="10963" max="10963" width="18.28515625" customWidth="1"/>
    <col min="10964" max="10964" width="18.5703125" customWidth="1"/>
    <col min="10965" max="10965" width="12.7109375" customWidth="1"/>
    <col min="10966" max="10966" width="10.85546875" customWidth="1"/>
    <col min="10967" max="10967" width="16.28515625" customWidth="1"/>
    <col min="10968" max="10968" width="8.140625" customWidth="1"/>
    <col min="10969" max="10973" width="11.7109375" customWidth="1"/>
    <col min="10974" max="10974" width="15.85546875" customWidth="1"/>
    <col min="10975" max="11215" width="8" customWidth="1"/>
    <col min="11216" max="11216" width="1.5703125" customWidth="1"/>
    <col min="11217" max="11217" width="48.28515625" customWidth="1"/>
    <col min="11218" max="11218" width="13.28515625" customWidth="1"/>
    <col min="11219" max="11219" width="18.28515625" customWidth="1"/>
    <col min="11220" max="11220" width="18.5703125" customWidth="1"/>
    <col min="11221" max="11221" width="12.7109375" customWidth="1"/>
    <col min="11222" max="11222" width="10.85546875" customWidth="1"/>
    <col min="11223" max="11223" width="16.28515625" customWidth="1"/>
    <col min="11224" max="11224" width="8.140625" customWidth="1"/>
    <col min="11225" max="11229" width="11.7109375" customWidth="1"/>
    <col min="11230" max="11230" width="15.85546875" customWidth="1"/>
    <col min="11231" max="11471" width="8" customWidth="1"/>
    <col min="11472" max="11472" width="1.5703125" customWidth="1"/>
    <col min="11473" max="11473" width="48.28515625" customWidth="1"/>
    <col min="11474" max="11474" width="13.28515625" customWidth="1"/>
    <col min="11475" max="11475" width="18.28515625" customWidth="1"/>
    <col min="11476" max="11476" width="18.5703125" customWidth="1"/>
    <col min="11477" max="11477" width="12.7109375" customWidth="1"/>
    <col min="11478" max="11478" width="10.85546875" customWidth="1"/>
    <col min="11479" max="11479" width="16.28515625" customWidth="1"/>
    <col min="11480" max="11480" width="8.140625" customWidth="1"/>
    <col min="11481" max="11485" width="11.7109375" customWidth="1"/>
    <col min="11486" max="11486" width="15.85546875" customWidth="1"/>
    <col min="11487" max="11727" width="8" customWidth="1"/>
    <col min="11728" max="11728" width="1.5703125" customWidth="1"/>
    <col min="11729" max="11729" width="48.28515625" customWidth="1"/>
    <col min="11730" max="11730" width="13.28515625" customWidth="1"/>
    <col min="11731" max="11731" width="18.28515625" customWidth="1"/>
    <col min="11732" max="11732" width="18.5703125" customWidth="1"/>
    <col min="11733" max="11733" width="12.7109375" customWidth="1"/>
    <col min="11734" max="11734" width="10.85546875" customWidth="1"/>
    <col min="11735" max="11735" width="16.28515625" customWidth="1"/>
    <col min="11736" max="11736" width="8.140625" customWidth="1"/>
    <col min="11737" max="11741" width="11.7109375" customWidth="1"/>
    <col min="11742" max="11742" width="15.85546875" customWidth="1"/>
    <col min="11743" max="11983" width="8" customWidth="1"/>
    <col min="11984" max="11984" width="1.5703125" customWidth="1"/>
    <col min="11985" max="11985" width="48.28515625" customWidth="1"/>
    <col min="11986" max="11986" width="13.28515625" customWidth="1"/>
    <col min="11987" max="11987" width="18.28515625" customWidth="1"/>
    <col min="11988" max="11988" width="18.5703125" customWidth="1"/>
    <col min="11989" max="11989" width="12.7109375" customWidth="1"/>
    <col min="11990" max="11990" width="10.85546875" customWidth="1"/>
    <col min="11991" max="11991" width="16.28515625" customWidth="1"/>
    <col min="11992" max="11992" width="8.140625" customWidth="1"/>
    <col min="11993" max="11997" width="11.7109375" customWidth="1"/>
    <col min="11998" max="11998" width="15.85546875" customWidth="1"/>
    <col min="11999" max="12239" width="8" customWidth="1"/>
    <col min="12240" max="12240" width="1.5703125" customWidth="1"/>
    <col min="12241" max="12241" width="48.28515625" customWidth="1"/>
    <col min="12242" max="12242" width="13.28515625" customWidth="1"/>
    <col min="12243" max="12243" width="18.28515625" customWidth="1"/>
    <col min="12244" max="12244" width="18.5703125" customWidth="1"/>
    <col min="12245" max="12245" width="12.7109375" customWidth="1"/>
    <col min="12246" max="12246" width="10.85546875" customWidth="1"/>
    <col min="12247" max="12247" width="16.28515625" customWidth="1"/>
    <col min="12248" max="12248" width="8.140625" customWidth="1"/>
    <col min="12249" max="12253" width="11.7109375" customWidth="1"/>
    <col min="12254" max="12254" width="15.85546875" customWidth="1"/>
    <col min="12255" max="12495" width="8" customWidth="1"/>
    <col min="12496" max="12496" width="1.5703125" customWidth="1"/>
    <col min="12497" max="12497" width="48.28515625" customWidth="1"/>
    <col min="12498" max="12498" width="13.28515625" customWidth="1"/>
    <col min="12499" max="12499" width="18.28515625" customWidth="1"/>
    <col min="12500" max="12500" width="18.5703125" customWidth="1"/>
    <col min="12501" max="12501" width="12.7109375" customWidth="1"/>
    <col min="12502" max="12502" width="10.85546875" customWidth="1"/>
    <col min="12503" max="12503" width="16.28515625" customWidth="1"/>
    <col min="12504" max="12504" width="8.140625" customWidth="1"/>
    <col min="12505" max="12509" width="11.7109375" customWidth="1"/>
    <col min="12510" max="12510" width="15.85546875" customWidth="1"/>
    <col min="12511" max="12751" width="8" customWidth="1"/>
    <col min="12752" max="12752" width="1.5703125" customWidth="1"/>
    <col min="12753" max="12753" width="48.28515625" customWidth="1"/>
    <col min="12754" max="12754" width="13.28515625" customWidth="1"/>
    <col min="12755" max="12755" width="18.28515625" customWidth="1"/>
    <col min="12756" max="12756" width="18.5703125" customWidth="1"/>
    <col min="12757" max="12757" width="12.7109375" customWidth="1"/>
    <col min="12758" max="12758" width="10.85546875" customWidth="1"/>
    <col min="12759" max="12759" width="16.28515625" customWidth="1"/>
    <col min="12760" max="12760" width="8.140625" customWidth="1"/>
    <col min="12761" max="12765" width="11.7109375" customWidth="1"/>
    <col min="12766" max="12766" width="15.85546875" customWidth="1"/>
    <col min="12767" max="13007" width="8" customWidth="1"/>
    <col min="13008" max="13008" width="1.5703125" customWidth="1"/>
    <col min="13009" max="13009" width="48.28515625" customWidth="1"/>
    <col min="13010" max="13010" width="13.28515625" customWidth="1"/>
    <col min="13011" max="13011" width="18.28515625" customWidth="1"/>
    <col min="13012" max="13012" width="18.5703125" customWidth="1"/>
    <col min="13013" max="13013" width="12.7109375" customWidth="1"/>
    <col min="13014" max="13014" width="10.85546875" customWidth="1"/>
    <col min="13015" max="13015" width="16.28515625" customWidth="1"/>
    <col min="13016" max="13016" width="8.140625" customWidth="1"/>
    <col min="13017" max="13021" width="11.7109375" customWidth="1"/>
    <col min="13022" max="13022" width="15.85546875" customWidth="1"/>
    <col min="13023" max="13263" width="8" customWidth="1"/>
    <col min="13264" max="13264" width="1.5703125" customWidth="1"/>
    <col min="13265" max="13265" width="48.28515625" customWidth="1"/>
    <col min="13266" max="13266" width="13.28515625" customWidth="1"/>
    <col min="13267" max="13267" width="18.28515625" customWidth="1"/>
    <col min="13268" max="13268" width="18.5703125" customWidth="1"/>
    <col min="13269" max="13269" width="12.7109375" customWidth="1"/>
    <col min="13270" max="13270" width="10.85546875" customWidth="1"/>
    <col min="13271" max="13271" width="16.28515625" customWidth="1"/>
    <col min="13272" max="13272" width="8.140625" customWidth="1"/>
    <col min="13273" max="13277" width="11.7109375" customWidth="1"/>
    <col min="13278" max="13278" width="15.85546875" customWidth="1"/>
    <col min="13279" max="13519" width="8" customWidth="1"/>
    <col min="13520" max="13520" width="1.5703125" customWidth="1"/>
    <col min="13521" max="13521" width="48.28515625" customWidth="1"/>
    <col min="13522" max="13522" width="13.28515625" customWidth="1"/>
    <col min="13523" max="13523" width="18.28515625" customWidth="1"/>
    <col min="13524" max="13524" width="18.5703125" customWidth="1"/>
    <col min="13525" max="13525" width="12.7109375" customWidth="1"/>
    <col min="13526" max="13526" width="10.85546875" customWidth="1"/>
    <col min="13527" max="13527" width="16.28515625" customWidth="1"/>
    <col min="13528" max="13528" width="8.140625" customWidth="1"/>
    <col min="13529" max="13533" width="11.7109375" customWidth="1"/>
    <col min="13534" max="13534" width="15.85546875" customWidth="1"/>
    <col min="13535" max="13775" width="8" customWidth="1"/>
    <col min="13776" max="13776" width="1.5703125" customWidth="1"/>
    <col min="13777" max="13777" width="48.28515625" customWidth="1"/>
    <col min="13778" max="13778" width="13.28515625" customWidth="1"/>
    <col min="13779" max="13779" width="18.28515625" customWidth="1"/>
    <col min="13780" max="13780" width="18.5703125" customWidth="1"/>
    <col min="13781" max="13781" width="12.7109375" customWidth="1"/>
    <col min="13782" max="13782" width="10.85546875" customWidth="1"/>
    <col min="13783" max="13783" width="16.28515625" customWidth="1"/>
    <col min="13784" max="13784" width="8.140625" customWidth="1"/>
    <col min="13785" max="13789" width="11.7109375" customWidth="1"/>
    <col min="13790" max="13790" width="15.85546875" customWidth="1"/>
    <col min="13791" max="14031" width="8" customWidth="1"/>
    <col min="14032" max="14032" width="1.5703125" customWidth="1"/>
    <col min="14033" max="14033" width="48.28515625" customWidth="1"/>
    <col min="14034" max="14034" width="13.28515625" customWidth="1"/>
    <col min="14035" max="14035" width="18.28515625" customWidth="1"/>
    <col min="14036" max="14036" width="18.5703125" customWidth="1"/>
    <col min="14037" max="14037" width="12.7109375" customWidth="1"/>
    <col min="14038" max="14038" width="10.85546875" customWidth="1"/>
    <col min="14039" max="14039" width="16.28515625" customWidth="1"/>
    <col min="14040" max="14040" width="8.140625" customWidth="1"/>
    <col min="14041" max="14045" width="11.7109375" customWidth="1"/>
    <col min="14046" max="14046" width="15.85546875" customWidth="1"/>
    <col min="14047" max="14287" width="8" customWidth="1"/>
    <col min="14288" max="14288" width="1.5703125" customWidth="1"/>
    <col min="14289" max="14289" width="48.28515625" customWidth="1"/>
    <col min="14290" max="14290" width="13.28515625" customWidth="1"/>
    <col min="14291" max="14291" width="18.28515625" customWidth="1"/>
    <col min="14292" max="14292" width="18.5703125" customWidth="1"/>
    <col min="14293" max="14293" width="12.7109375" customWidth="1"/>
    <col min="14294" max="14294" width="10.85546875" customWidth="1"/>
    <col min="14295" max="14295" width="16.28515625" customWidth="1"/>
    <col min="14296" max="14296" width="8.140625" customWidth="1"/>
    <col min="14297" max="14301" width="11.7109375" customWidth="1"/>
    <col min="14302" max="14302" width="15.85546875" customWidth="1"/>
    <col min="14303" max="14543" width="8" customWidth="1"/>
    <col min="14544" max="14544" width="1.5703125" customWidth="1"/>
    <col min="14545" max="14545" width="48.28515625" customWidth="1"/>
    <col min="14546" max="14546" width="13.28515625" customWidth="1"/>
    <col min="14547" max="14547" width="18.28515625" customWidth="1"/>
    <col min="14548" max="14548" width="18.5703125" customWidth="1"/>
    <col min="14549" max="14549" width="12.7109375" customWidth="1"/>
    <col min="14550" max="14550" width="10.85546875" customWidth="1"/>
    <col min="14551" max="14551" width="16.28515625" customWidth="1"/>
    <col min="14552" max="14552" width="8.140625" customWidth="1"/>
    <col min="14553" max="14557" width="11.7109375" customWidth="1"/>
    <col min="14558" max="14558" width="15.85546875" customWidth="1"/>
    <col min="14559" max="14799" width="8" customWidth="1"/>
    <col min="14800" max="14800" width="1.5703125" customWidth="1"/>
    <col min="14801" max="14801" width="48.28515625" customWidth="1"/>
    <col min="14802" max="14802" width="13.28515625" customWidth="1"/>
    <col min="14803" max="14803" width="18.28515625" customWidth="1"/>
    <col min="14804" max="14804" width="18.5703125" customWidth="1"/>
    <col min="14805" max="14805" width="12.7109375" customWidth="1"/>
    <col min="14806" max="14806" width="10.85546875" customWidth="1"/>
    <col min="14807" max="14807" width="16.28515625" customWidth="1"/>
    <col min="14808" max="14808" width="8.140625" customWidth="1"/>
    <col min="14809" max="14813" width="11.7109375" customWidth="1"/>
    <col min="14814" max="14814" width="15.85546875" customWidth="1"/>
    <col min="14815" max="15055" width="8" customWidth="1"/>
    <col min="15056" max="15056" width="1.5703125" customWidth="1"/>
    <col min="15057" max="15057" width="48.28515625" customWidth="1"/>
    <col min="15058" max="15058" width="13.28515625" customWidth="1"/>
    <col min="15059" max="15059" width="18.28515625" customWidth="1"/>
    <col min="15060" max="15060" width="18.5703125" customWidth="1"/>
    <col min="15061" max="15061" width="12.7109375" customWidth="1"/>
    <col min="15062" max="15062" width="10.85546875" customWidth="1"/>
    <col min="15063" max="15063" width="16.28515625" customWidth="1"/>
    <col min="15064" max="15064" width="8.140625" customWidth="1"/>
    <col min="15065" max="15069" width="11.7109375" customWidth="1"/>
    <col min="15070" max="15070" width="15.85546875" customWidth="1"/>
    <col min="15071" max="15311" width="8" customWidth="1"/>
    <col min="15312" max="15312" width="1.5703125" customWidth="1"/>
    <col min="15313" max="15313" width="48.28515625" customWidth="1"/>
    <col min="15314" max="15314" width="13.28515625" customWidth="1"/>
    <col min="15315" max="15315" width="18.28515625" customWidth="1"/>
    <col min="15316" max="15316" width="18.5703125" customWidth="1"/>
    <col min="15317" max="15317" width="12.7109375" customWidth="1"/>
    <col min="15318" max="15318" width="10.85546875" customWidth="1"/>
    <col min="15319" max="15319" width="16.28515625" customWidth="1"/>
    <col min="15320" max="15320" width="8.140625" customWidth="1"/>
    <col min="15321" max="15325" width="11.7109375" customWidth="1"/>
    <col min="15326" max="15326" width="15.85546875" customWidth="1"/>
    <col min="15327" max="15567" width="8" customWidth="1"/>
    <col min="15568" max="15568" width="1.5703125" customWidth="1"/>
    <col min="15569" max="15569" width="48.28515625" customWidth="1"/>
    <col min="15570" max="15570" width="13.28515625" customWidth="1"/>
    <col min="15571" max="15571" width="18.28515625" customWidth="1"/>
    <col min="15572" max="15572" width="18.5703125" customWidth="1"/>
    <col min="15573" max="15573" width="12.7109375" customWidth="1"/>
    <col min="15574" max="15574" width="10.85546875" customWidth="1"/>
    <col min="15575" max="15575" width="16.28515625" customWidth="1"/>
    <col min="15576" max="15576" width="8.140625" customWidth="1"/>
    <col min="15577" max="15581" width="11.7109375" customWidth="1"/>
    <col min="15582" max="15582" width="15.85546875" customWidth="1"/>
    <col min="15583" max="15823" width="8" customWidth="1"/>
    <col min="15824" max="15824" width="1.5703125" customWidth="1"/>
    <col min="15825" max="15825" width="48.28515625" customWidth="1"/>
    <col min="15826" max="15826" width="13.28515625" customWidth="1"/>
    <col min="15827" max="15827" width="18.28515625" customWidth="1"/>
    <col min="15828" max="15828" width="18.5703125" customWidth="1"/>
    <col min="15829" max="15829" width="12.7109375" customWidth="1"/>
    <col min="15830" max="15830" width="10.85546875" customWidth="1"/>
    <col min="15831" max="15831" width="16.28515625" customWidth="1"/>
    <col min="15832" max="15832" width="8.140625" customWidth="1"/>
    <col min="15833" max="15837" width="11.7109375" customWidth="1"/>
    <col min="15838" max="15838" width="15.85546875" customWidth="1"/>
    <col min="15839" max="16079" width="8" customWidth="1"/>
    <col min="16080" max="16080" width="1.5703125" customWidth="1"/>
    <col min="16081" max="16081" width="48.28515625" customWidth="1"/>
    <col min="16082" max="16082" width="13.28515625" customWidth="1"/>
    <col min="16083" max="16083" width="18.28515625" customWidth="1"/>
    <col min="16084" max="16084" width="18.5703125" customWidth="1"/>
    <col min="16085" max="16085" width="12.7109375" customWidth="1"/>
    <col min="16086" max="16086" width="10.85546875" customWidth="1"/>
    <col min="16087" max="16087" width="16.28515625" customWidth="1"/>
    <col min="16088" max="16088" width="8.140625" customWidth="1"/>
    <col min="16089" max="16093" width="11.7109375" customWidth="1"/>
    <col min="16094" max="16094" width="15.85546875" customWidth="1"/>
    <col min="16095" max="16384" width="8" customWidth="1"/>
  </cols>
  <sheetData>
    <row r="1" spans="1:20" s="319" customFormat="1" ht="60" customHeight="1">
      <c r="A1" s="232" t="s">
        <v>354</v>
      </c>
      <c r="B1" s="232" t="s">
        <v>355</v>
      </c>
      <c r="C1" s="232" t="s">
        <v>356</v>
      </c>
      <c r="D1" s="232" t="s">
        <v>27</v>
      </c>
      <c r="E1" s="232" t="s">
        <v>357</v>
      </c>
      <c r="F1" s="232" t="s">
        <v>358</v>
      </c>
      <c r="G1" s="232" t="s">
        <v>359</v>
      </c>
      <c r="H1" s="232" t="s">
        <v>360</v>
      </c>
      <c r="I1" s="232" t="s">
        <v>361</v>
      </c>
      <c r="J1" s="232" t="s">
        <v>547</v>
      </c>
      <c r="K1" s="237" t="s">
        <v>548</v>
      </c>
      <c r="L1" s="232" t="s">
        <v>37</v>
      </c>
      <c r="M1" s="232" t="s">
        <v>2141</v>
      </c>
      <c r="N1" s="232" t="s">
        <v>362</v>
      </c>
      <c r="O1" s="232" t="s">
        <v>363</v>
      </c>
      <c r="P1" s="232" t="s">
        <v>364</v>
      </c>
      <c r="Q1" s="232" t="s">
        <v>365</v>
      </c>
      <c r="R1" s="232" t="s">
        <v>366</v>
      </c>
      <c r="S1" s="232" t="s">
        <v>543</v>
      </c>
      <c r="T1" s="237" t="s">
        <v>544</v>
      </c>
    </row>
    <row r="2" spans="1:20" ht="38.25" hidden="1" customHeight="1">
      <c r="A2" s="233" t="s">
        <v>367</v>
      </c>
      <c r="B2" s="240">
        <v>819</v>
      </c>
      <c r="C2" s="241">
        <v>15</v>
      </c>
      <c r="D2" s="239" t="s">
        <v>368</v>
      </c>
      <c r="E2" s="239" t="s">
        <v>369</v>
      </c>
      <c r="F2" s="239" t="s">
        <v>370</v>
      </c>
      <c r="G2" s="239"/>
      <c r="H2" s="239" t="s">
        <v>46</v>
      </c>
      <c r="I2" s="239" t="s">
        <v>371</v>
      </c>
      <c r="J2" s="233">
        <v>21190</v>
      </c>
      <c r="K2" s="235"/>
      <c r="L2" s="233">
        <v>0</v>
      </c>
      <c r="M2" s="234">
        <v>0</v>
      </c>
      <c r="N2" s="234">
        <v>36230</v>
      </c>
      <c r="O2" s="234">
        <v>15040</v>
      </c>
      <c r="P2" s="242">
        <v>5</v>
      </c>
      <c r="Q2" s="234">
        <v>21190</v>
      </c>
      <c r="R2" s="234">
        <v>20130.5</v>
      </c>
      <c r="S2" s="243" t="s">
        <v>491</v>
      </c>
      <c r="T2" s="236">
        <v>45873</v>
      </c>
    </row>
    <row r="3" spans="1:20" ht="38.25" hidden="1" customHeight="1">
      <c r="A3" s="239" t="s">
        <v>1891</v>
      </c>
      <c r="B3" s="240">
        <v>820</v>
      </c>
      <c r="C3" s="241">
        <v>14</v>
      </c>
      <c r="D3" s="239" t="s">
        <v>368</v>
      </c>
      <c r="E3" s="239" t="s">
        <v>372</v>
      </c>
      <c r="F3" s="239" t="s">
        <v>373</v>
      </c>
      <c r="G3" s="239"/>
      <c r="H3" s="239" t="s">
        <v>46</v>
      </c>
      <c r="I3" s="239" t="s">
        <v>371</v>
      </c>
      <c r="J3" s="233">
        <v>22180</v>
      </c>
      <c r="K3" s="235"/>
      <c r="L3" s="233">
        <v>0</v>
      </c>
      <c r="M3" s="234">
        <v>0</v>
      </c>
      <c r="N3" s="234">
        <v>37090</v>
      </c>
      <c r="O3" s="234">
        <v>14910</v>
      </c>
      <c r="P3" s="242">
        <v>7</v>
      </c>
      <c r="Q3" s="234">
        <v>22180</v>
      </c>
      <c r="R3" s="234">
        <v>20627.400000000001</v>
      </c>
      <c r="S3" s="243" t="s">
        <v>1932</v>
      </c>
      <c r="T3" s="236">
        <v>45873</v>
      </c>
    </row>
    <row r="4" spans="1:20" ht="38.25" hidden="1" customHeight="1">
      <c r="A4" s="239" t="s">
        <v>1892</v>
      </c>
      <c r="B4" s="240">
        <v>823</v>
      </c>
      <c r="C4" s="241">
        <v>29</v>
      </c>
      <c r="D4" s="239" t="s">
        <v>368</v>
      </c>
      <c r="E4" s="239" t="s">
        <v>369</v>
      </c>
      <c r="F4" s="239" t="s">
        <v>370</v>
      </c>
      <c r="G4" s="239"/>
      <c r="H4" s="239" t="s">
        <v>46</v>
      </c>
      <c r="I4" s="239" t="s">
        <v>371</v>
      </c>
      <c r="J4" s="233">
        <v>22800</v>
      </c>
      <c r="K4" s="235"/>
      <c r="L4" s="233">
        <v>0</v>
      </c>
      <c r="M4" s="234">
        <v>0</v>
      </c>
      <c r="N4" s="234">
        <v>37890</v>
      </c>
      <c r="O4" s="234">
        <v>15090</v>
      </c>
      <c r="P4" s="242">
        <v>5</v>
      </c>
      <c r="Q4" s="234">
        <v>22800</v>
      </c>
      <c r="R4" s="234">
        <v>21660</v>
      </c>
      <c r="S4" s="243" t="s">
        <v>1933</v>
      </c>
      <c r="T4" s="236">
        <v>45875</v>
      </c>
    </row>
    <row r="5" spans="1:20" ht="38.25" hidden="1" customHeight="1">
      <c r="A5" s="239" t="s">
        <v>1893</v>
      </c>
      <c r="B5" s="240">
        <v>824</v>
      </c>
      <c r="C5" s="241">
        <v>30</v>
      </c>
      <c r="D5" s="239" t="s">
        <v>368</v>
      </c>
      <c r="E5" s="239" t="s">
        <v>374</v>
      </c>
      <c r="F5" s="239" t="s">
        <v>375</v>
      </c>
      <c r="G5" s="239"/>
      <c r="H5" s="239" t="s">
        <v>46</v>
      </c>
      <c r="I5" s="239" t="s">
        <v>371</v>
      </c>
      <c r="J5" s="233">
        <v>21770</v>
      </c>
      <c r="K5" s="235"/>
      <c r="L5" s="233">
        <v>0</v>
      </c>
      <c r="M5" s="234">
        <v>0</v>
      </c>
      <c r="N5" s="234">
        <v>37200</v>
      </c>
      <c r="O5" s="234">
        <v>15430</v>
      </c>
      <c r="P5" s="242">
        <v>6</v>
      </c>
      <c r="Q5" s="234">
        <v>21770</v>
      </c>
      <c r="R5" s="234">
        <v>20463.8</v>
      </c>
      <c r="S5" s="243" t="s">
        <v>1934</v>
      </c>
      <c r="T5" s="236">
        <v>45875</v>
      </c>
    </row>
    <row r="6" spans="1:20" ht="38.25" hidden="1" customHeight="1">
      <c r="A6" s="239" t="s">
        <v>1894</v>
      </c>
      <c r="B6" s="240">
        <v>829</v>
      </c>
      <c r="C6" s="241">
        <v>83</v>
      </c>
      <c r="D6" s="239" t="s">
        <v>376</v>
      </c>
      <c r="E6" s="239" t="s">
        <v>377</v>
      </c>
      <c r="F6" s="239" t="s">
        <v>378</v>
      </c>
      <c r="G6" s="239"/>
      <c r="H6" s="239" t="s">
        <v>51</v>
      </c>
      <c r="I6" s="239" t="s">
        <v>379</v>
      </c>
      <c r="J6" s="233">
        <v>26780</v>
      </c>
      <c r="K6" s="235"/>
      <c r="L6" s="233">
        <v>0</v>
      </c>
      <c r="M6" s="234">
        <v>0</v>
      </c>
      <c r="N6" s="234">
        <v>41870</v>
      </c>
      <c r="O6" s="234">
        <v>15090</v>
      </c>
      <c r="P6" s="242">
        <v>8</v>
      </c>
      <c r="Q6" s="234">
        <v>26780</v>
      </c>
      <c r="R6" s="234">
        <v>24637.599999999999</v>
      </c>
      <c r="S6" s="243" t="s">
        <v>1935</v>
      </c>
      <c r="T6" s="236">
        <v>45875</v>
      </c>
    </row>
    <row r="7" spans="1:20" ht="38.25" hidden="1" customHeight="1">
      <c r="A7" s="239" t="s">
        <v>1895</v>
      </c>
      <c r="B7" s="240">
        <v>834</v>
      </c>
      <c r="C7" s="241">
        <v>84</v>
      </c>
      <c r="D7" s="239" t="s">
        <v>376</v>
      </c>
      <c r="E7" s="239" t="s">
        <v>380</v>
      </c>
      <c r="F7" s="239" t="s">
        <v>381</v>
      </c>
      <c r="G7" s="239"/>
      <c r="H7" s="239" t="s">
        <v>51</v>
      </c>
      <c r="I7" s="239" t="s">
        <v>379</v>
      </c>
      <c r="J7" s="233">
        <v>22500</v>
      </c>
      <c r="K7" s="235"/>
      <c r="L7" s="233">
        <v>0</v>
      </c>
      <c r="M7" s="234">
        <v>0</v>
      </c>
      <c r="N7" s="234">
        <v>37590</v>
      </c>
      <c r="O7" s="234">
        <v>15090</v>
      </c>
      <c r="P7" s="242">
        <v>7</v>
      </c>
      <c r="Q7" s="234">
        <v>22500</v>
      </c>
      <c r="R7" s="234">
        <v>20925</v>
      </c>
      <c r="S7" s="243" t="s">
        <v>1936</v>
      </c>
      <c r="T7" s="236">
        <v>45875</v>
      </c>
    </row>
    <row r="8" spans="1:20" ht="38.25" hidden="1" customHeight="1">
      <c r="A8" s="239" t="s">
        <v>1896</v>
      </c>
      <c r="B8" s="240">
        <v>836</v>
      </c>
      <c r="C8" s="241">
        <v>85</v>
      </c>
      <c r="D8" s="239" t="s">
        <v>376</v>
      </c>
      <c r="E8" s="239" t="s">
        <v>372</v>
      </c>
      <c r="F8" s="239" t="s">
        <v>373</v>
      </c>
      <c r="G8" s="239"/>
      <c r="H8" s="239" t="s">
        <v>51</v>
      </c>
      <c r="I8" s="239" t="s">
        <v>379</v>
      </c>
      <c r="J8" s="233">
        <v>23820</v>
      </c>
      <c r="K8" s="235"/>
      <c r="L8" s="233">
        <v>0</v>
      </c>
      <c r="M8" s="234">
        <v>0</v>
      </c>
      <c r="N8" s="234">
        <v>38810</v>
      </c>
      <c r="O8" s="234">
        <v>14990</v>
      </c>
      <c r="P8" s="242">
        <v>5</v>
      </c>
      <c r="Q8" s="234">
        <v>23820</v>
      </c>
      <c r="R8" s="234">
        <v>22629</v>
      </c>
      <c r="S8" s="243" t="s">
        <v>1937</v>
      </c>
      <c r="T8" s="236">
        <v>45875</v>
      </c>
    </row>
    <row r="9" spans="1:20" ht="38.25" hidden="1" customHeight="1">
      <c r="A9" s="239" t="s">
        <v>1897</v>
      </c>
      <c r="B9" s="240">
        <v>837</v>
      </c>
      <c r="C9" s="241">
        <v>86</v>
      </c>
      <c r="D9" s="239" t="s">
        <v>376</v>
      </c>
      <c r="E9" s="239" t="s">
        <v>382</v>
      </c>
      <c r="F9" s="239" t="s">
        <v>383</v>
      </c>
      <c r="G9" s="239"/>
      <c r="H9" s="239" t="s">
        <v>51</v>
      </c>
      <c r="I9" s="239" t="s">
        <v>379</v>
      </c>
      <c r="J9" s="233">
        <v>22690</v>
      </c>
      <c r="K9" s="235"/>
      <c r="L9" s="233">
        <v>0</v>
      </c>
      <c r="M9" s="234">
        <v>0</v>
      </c>
      <c r="N9" s="234">
        <v>37320</v>
      </c>
      <c r="O9" s="234">
        <v>14630</v>
      </c>
      <c r="P9" s="242">
        <v>6</v>
      </c>
      <c r="Q9" s="234">
        <v>22690</v>
      </c>
      <c r="R9" s="234">
        <v>21328.6</v>
      </c>
      <c r="S9" s="243" t="s">
        <v>1938</v>
      </c>
      <c r="T9" s="236">
        <v>45875</v>
      </c>
    </row>
    <row r="10" spans="1:20" ht="38.25" hidden="1" customHeight="1">
      <c r="A10" s="239" t="s">
        <v>1898</v>
      </c>
      <c r="B10" s="240">
        <v>838</v>
      </c>
      <c r="C10" s="241">
        <v>39</v>
      </c>
      <c r="D10" s="239" t="s">
        <v>368</v>
      </c>
      <c r="E10" s="239" t="s">
        <v>384</v>
      </c>
      <c r="F10" s="239" t="s">
        <v>385</v>
      </c>
      <c r="G10" s="239"/>
      <c r="H10" s="239" t="s">
        <v>46</v>
      </c>
      <c r="I10" s="239" t="s">
        <v>371</v>
      </c>
      <c r="J10" s="233">
        <v>23660</v>
      </c>
      <c r="K10" s="235"/>
      <c r="L10" s="233">
        <v>0</v>
      </c>
      <c r="M10" s="234">
        <v>0</v>
      </c>
      <c r="N10" s="234">
        <v>37560</v>
      </c>
      <c r="O10" s="234">
        <v>13900</v>
      </c>
      <c r="P10" s="242">
        <v>7</v>
      </c>
      <c r="Q10" s="234">
        <v>23660</v>
      </c>
      <c r="R10" s="234">
        <v>22003.8</v>
      </c>
      <c r="S10" s="243" t="s">
        <v>1939</v>
      </c>
      <c r="T10" s="236">
        <v>45876</v>
      </c>
    </row>
    <row r="11" spans="1:20" ht="38.25" hidden="1" customHeight="1">
      <c r="A11" s="239" t="s">
        <v>1899</v>
      </c>
      <c r="B11" s="240">
        <v>839</v>
      </c>
      <c r="C11" s="241">
        <v>41</v>
      </c>
      <c r="D11" s="239" t="s">
        <v>368</v>
      </c>
      <c r="E11" s="239" t="s">
        <v>386</v>
      </c>
      <c r="F11" s="239" t="s">
        <v>387</v>
      </c>
      <c r="G11" s="239"/>
      <c r="H11" s="239" t="s">
        <v>46</v>
      </c>
      <c r="I11" s="239" t="s">
        <v>371</v>
      </c>
      <c r="J11" s="233">
        <v>26220</v>
      </c>
      <c r="K11" s="235"/>
      <c r="L11" s="233">
        <v>0</v>
      </c>
      <c r="M11" s="234">
        <v>0</v>
      </c>
      <c r="N11" s="234">
        <v>41540</v>
      </c>
      <c r="O11" s="234">
        <v>15320</v>
      </c>
      <c r="P11" s="242">
        <v>7</v>
      </c>
      <c r="Q11" s="234">
        <v>26220</v>
      </c>
      <c r="R11" s="234">
        <v>24384.6</v>
      </c>
      <c r="S11" s="243" t="s">
        <v>1940</v>
      </c>
      <c r="T11" s="236">
        <v>45876</v>
      </c>
    </row>
    <row r="12" spans="1:20" ht="38.25" hidden="1" customHeight="1">
      <c r="A12" s="239" t="s">
        <v>1901</v>
      </c>
      <c r="B12" s="240">
        <v>848</v>
      </c>
      <c r="C12" s="241">
        <v>90</v>
      </c>
      <c r="D12" s="239" t="s">
        <v>376</v>
      </c>
      <c r="E12" s="239" t="s">
        <v>390</v>
      </c>
      <c r="F12" s="239" t="s">
        <v>391</v>
      </c>
      <c r="G12" s="239"/>
      <c r="H12" s="239" t="s">
        <v>51</v>
      </c>
      <c r="I12" s="239" t="s">
        <v>379</v>
      </c>
      <c r="J12" s="233">
        <v>24380</v>
      </c>
      <c r="K12" s="235"/>
      <c r="L12" s="233">
        <v>0</v>
      </c>
      <c r="M12" s="234">
        <v>0</v>
      </c>
      <c r="N12" s="234">
        <v>39360</v>
      </c>
      <c r="O12" s="234">
        <v>14980</v>
      </c>
      <c r="P12" s="242">
        <v>10</v>
      </c>
      <c r="Q12" s="234">
        <v>24380</v>
      </c>
      <c r="R12" s="234">
        <v>21942</v>
      </c>
      <c r="S12" s="243" t="s">
        <v>1942</v>
      </c>
      <c r="T12" s="236">
        <v>45876</v>
      </c>
    </row>
    <row r="13" spans="1:20" ht="38.25" hidden="1" customHeight="1">
      <c r="A13" s="239" t="s">
        <v>1902</v>
      </c>
      <c r="B13" s="240">
        <v>849</v>
      </c>
      <c r="C13" s="241">
        <v>88</v>
      </c>
      <c r="D13" s="239" t="s">
        <v>376</v>
      </c>
      <c r="E13" s="239" t="s">
        <v>392</v>
      </c>
      <c r="F13" s="239" t="s">
        <v>393</v>
      </c>
      <c r="G13" s="239"/>
      <c r="H13" s="239" t="s">
        <v>51</v>
      </c>
      <c r="I13" s="239" t="s">
        <v>379</v>
      </c>
      <c r="J13" s="233">
        <v>42190</v>
      </c>
      <c r="K13" s="235"/>
      <c r="L13" s="233">
        <v>0</v>
      </c>
      <c r="M13" s="234">
        <v>0</v>
      </c>
      <c r="N13" s="234">
        <v>66280</v>
      </c>
      <c r="O13" s="234">
        <v>24090</v>
      </c>
      <c r="P13" s="242">
        <v>14</v>
      </c>
      <c r="Q13" s="234">
        <v>42190</v>
      </c>
      <c r="R13" s="234">
        <v>36283.4</v>
      </c>
      <c r="S13" s="243" t="s">
        <v>1943</v>
      </c>
      <c r="T13" s="236">
        <v>45876</v>
      </c>
    </row>
    <row r="14" spans="1:20" ht="38.25" hidden="1" customHeight="1">
      <c r="A14" s="239" t="s">
        <v>1903</v>
      </c>
      <c r="B14" s="240">
        <v>850</v>
      </c>
      <c r="C14" s="241">
        <v>91</v>
      </c>
      <c r="D14" s="239" t="s">
        <v>376</v>
      </c>
      <c r="E14" s="239" t="s">
        <v>377</v>
      </c>
      <c r="F14" s="239" t="s">
        <v>378</v>
      </c>
      <c r="G14" s="239"/>
      <c r="H14" s="239" t="s">
        <v>51</v>
      </c>
      <c r="I14" s="239" t="s">
        <v>379</v>
      </c>
      <c r="J14" s="233">
        <v>27290</v>
      </c>
      <c r="K14" s="235"/>
      <c r="L14" s="233">
        <v>0</v>
      </c>
      <c r="M14" s="234">
        <v>0</v>
      </c>
      <c r="N14" s="234">
        <v>42400</v>
      </c>
      <c r="O14" s="234">
        <v>15110</v>
      </c>
      <c r="P14" s="242">
        <v>11</v>
      </c>
      <c r="Q14" s="234">
        <v>27290</v>
      </c>
      <c r="R14" s="234">
        <v>24288.1</v>
      </c>
      <c r="S14" s="243" t="s">
        <v>1944</v>
      </c>
      <c r="T14" s="236">
        <v>45876</v>
      </c>
    </row>
    <row r="15" spans="1:20" ht="38.25" hidden="1" customHeight="1">
      <c r="A15" s="239" t="s">
        <v>1905</v>
      </c>
      <c r="B15" s="240">
        <v>853</v>
      </c>
      <c r="C15" s="241">
        <v>92</v>
      </c>
      <c r="D15" s="239" t="s">
        <v>376</v>
      </c>
      <c r="E15" s="239" t="s">
        <v>380</v>
      </c>
      <c r="F15" s="239" t="s">
        <v>381</v>
      </c>
      <c r="G15" s="239"/>
      <c r="H15" s="239" t="s">
        <v>394</v>
      </c>
      <c r="I15" s="239" t="s">
        <v>379</v>
      </c>
      <c r="J15" s="233">
        <v>23280</v>
      </c>
      <c r="K15" s="235"/>
      <c r="L15" s="233">
        <v>0</v>
      </c>
      <c r="M15" s="234">
        <v>0</v>
      </c>
      <c r="N15" s="234">
        <v>38360</v>
      </c>
      <c r="O15" s="234">
        <v>15080</v>
      </c>
      <c r="P15" s="242">
        <v>6</v>
      </c>
      <c r="Q15" s="234">
        <v>23280</v>
      </c>
      <c r="R15" s="234">
        <v>21883.200000000001</v>
      </c>
      <c r="S15" s="243" t="s">
        <v>1946</v>
      </c>
      <c r="T15" s="236">
        <v>45876</v>
      </c>
    </row>
    <row r="16" spans="1:20" ht="38.25" hidden="1" customHeight="1">
      <c r="A16" s="239" t="s">
        <v>1907</v>
      </c>
      <c r="B16" s="240">
        <v>855</v>
      </c>
      <c r="C16" s="241">
        <v>93</v>
      </c>
      <c r="D16" s="239" t="s">
        <v>376</v>
      </c>
      <c r="E16" s="239" t="s">
        <v>372</v>
      </c>
      <c r="F16" s="239" t="s">
        <v>373</v>
      </c>
      <c r="G16" s="239"/>
      <c r="H16" s="239" t="s">
        <v>394</v>
      </c>
      <c r="I16" s="239" t="s">
        <v>379</v>
      </c>
      <c r="J16" s="233">
        <v>24170</v>
      </c>
      <c r="K16" s="235"/>
      <c r="L16" s="233">
        <v>0</v>
      </c>
      <c r="M16" s="234">
        <v>0</v>
      </c>
      <c r="N16" s="234">
        <v>39290</v>
      </c>
      <c r="O16" s="234">
        <v>15120</v>
      </c>
      <c r="P16" s="242">
        <v>8</v>
      </c>
      <c r="Q16" s="234">
        <v>24170</v>
      </c>
      <c r="R16" s="234">
        <v>22236.400000000001</v>
      </c>
      <c r="S16" s="243" t="s">
        <v>1948</v>
      </c>
      <c r="T16" s="236">
        <v>45876</v>
      </c>
    </row>
    <row r="17" spans="1:20" ht="38.25" hidden="1" customHeight="1">
      <c r="A17" s="239" t="s">
        <v>1904</v>
      </c>
      <c r="B17" s="240">
        <v>851</v>
      </c>
      <c r="C17" s="241">
        <v>45</v>
      </c>
      <c r="D17" s="239" t="s">
        <v>368</v>
      </c>
      <c r="E17" s="239" t="s">
        <v>369</v>
      </c>
      <c r="F17" s="239" t="s">
        <v>370</v>
      </c>
      <c r="G17" s="239"/>
      <c r="H17" s="239" t="s">
        <v>46</v>
      </c>
      <c r="I17" s="239" t="s">
        <v>371</v>
      </c>
      <c r="J17" s="233">
        <v>22990</v>
      </c>
      <c r="K17" s="235"/>
      <c r="L17" s="233">
        <v>0</v>
      </c>
      <c r="M17" s="234">
        <v>0</v>
      </c>
      <c r="N17" s="234">
        <v>38060</v>
      </c>
      <c r="O17" s="234">
        <v>15070</v>
      </c>
      <c r="P17" s="242">
        <v>5</v>
      </c>
      <c r="Q17" s="234">
        <v>22990</v>
      </c>
      <c r="R17" s="234">
        <v>21840.5</v>
      </c>
      <c r="S17" s="243" t="s">
        <v>1945</v>
      </c>
      <c r="T17" s="236">
        <v>45876</v>
      </c>
    </row>
    <row r="18" spans="1:20" ht="38.25" hidden="1" customHeight="1">
      <c r="A18" s="239" t="s">
        <v>1900</v>
      </c>
      <c r="B18" s="240">
        <v>847</v>
      </c>
      <c r="C18" s="241">
        <v>89</v>
      </c>
      <c r="D18" s="239" t="s">
        <v>376</v>
      </c>
      <c r="E18" s="239" t="s">
        <v>388</v>
      </c>
      <c r="F18" s="239" t="s">
        <v>389</v>
      </c>
      <c r="G18" s="239"/>
      <c r="H18" s="239" t="s">
        <v>51</v>
      </c>
      <c r="I18" s="239" t="s">
        <v>379</v>
      </c>
      <c r="J18" s="233">
        <v>35050</v>
      </c>
      <c r="K18" s="235"/>
      <c r="L18" s="233">
        <v>0</v>
      </c>
      <c r="M18" s="234">
        <v>0</v>
      </c>
      <c r="N18" s="234">
        <v>56030</v>
      </c>
      <c r="O18" s="234">
        <v>20980</v>
      </c>
      <c r="P18" s="242">
        <v>6</v>
      </c>
      <c r="Q18" s="234">
        <v>35050</v>
      </c>
      <c r="R18" s="234">
        <v>32947</v>
      </c>
      <c r="S18" s="243" t="s">
        <v>1941</v>
      </c>
      <c r="T18" s="236">
        <v>45876</v>
      </c>
    </row>
    <row r="19" spans="1:20" ht="38.25" hidden="1" customHeight="1">
      <c r="A19" s="239" t="s">
        <v>1908</v>
      </c>
      <c r="B19" s="240">
        <v>856</v>
      </c>
      <c r="C19" s="241">
        <v>95</v>
      </c>
      <c r="D19" s="239" t="s">
        <v>376</v>
      </c>
      <c r="E19" s="239" t="s">
        <v>395</v>
      </c>
      <c r="F19" s="239" t="s">
        <v>383</v>
      </c>
      <c r="G19" s="239"/>
      <c r="H19" s="239" t="s">
        <v>394</v>
      </c>
      <c r="I19" s="239" t="s">
        <v>379</v>
      </c>
      <c r="J19" s="233">
        <v>24270</v>
      </c>
      <c r="K19" s="235"/>
      <c r="L19" s="233">
        <v>0</v>
      </c>
      <c r="M19" s="234">
        <v>0</v>
      </c>
      <c r="N19" s="234">
        <v>38920</v>
      </c>
      <c r="O19" s="234">
        <v>14650</v>
      </c>
      <c r="P19" s="242">
        <v>7</v>
      </c>
      <c r="Q19" s="234">
        <v>24270</v>
      </c>
      <c r="R19" s="234">
        <v>22571.1</v>
      </c>
      <c r="S19" s="243" t="s">
        <v>1949</v>
      </c>
      <c r="T19" s="236">
        <v>45876</v>
      </c>
    </row>
    <row r="20" spans="1:20" ht="38.25" hidden="1" customHeight="1">
      <c r="A20" s="239" t="s">
        <v>1906</v>
      </c>
      <c r="B20" s="240">
        <v>854</v>
      </c>
      <c r="C20" s="241">
        <v>44</v>
      </c>
      <c r="D20" s="239" t="s">
        <v>368</v>
      </c>
      <c r="E20" s="239" t="s">
        <v>374</v>
      </c>
      <c r="F20" s="239" t="s">
        <v>375</v>
      </c>
      <c r="G20" s="239"/>
      <c r="H20" s="239" t="s">
        <v>46</v>
      </c>
      <c r="I20" s="239" t="s">
        <v>371</v>
      </c>
      <c r="J20" s="233">
        <v>21900</v>
      </c>
      <c r="K20" s="235"/>
      <c r="L20" s="233">
        <v>0</v>
      </c>
      <c r="M20" s="234">
        <v>0</v>
      </c>
      <c r="N20" s="234">
        <v>37360</v>
      </c>
      <c r="O20" s="234">
        <v>15460</v>
      </c>
      <c r="P20" s="242">
        <v>12</v>
      </c>
      <c r="Q20" s="234">
        <v>21900</v>
      </c>
      <c r="R20" s="234">
        <v>19272</v>
      </c>
      <c r="S20" s="243" t="s">
        <v>1947</v>
      </c>
      <c r="T20" s="236">
        <v>45876</v>
      </c>
    </row>
    <row r="21" spans="1:20" ht="38.25" hidden="1" customHeight="1">
      <c r="A21" s="239" t="s">
        <v>1909</v>
      </c>
      <c r="B21" s="240">
        <v>861</v>
      </c>
      <c r="C21" s="241">
        <v>9456</v>
      </c>
      <c r="D21" s="239" t="s">
        <v>3817</v>
      </c>
      <c r="E21" s="239" t="s">
        <v>384</v>
      </c>
      <c r="F21" s="239" t="s">
        <v>385</v>
      </c>
      <c r="G21" s="239" t="s">
        <v>397</v>
      </c>
      <c r="H21" s="239" t="s">
        <v>398</v>
      </c>
      <c r="I21" s="239" t="s">
        <v>399</v>
      </c>
      <c r="J21" s="233"/>
      <c r="K21" s="235">
        <v>45877</v>
      </c>
      <c r="L21" s="233">
        <v>1</v>
      </c>
      <c r="M21" s="234" t="s">
        <v>397</v>
      </c>
      <c r="N21" s="234">
        <v>34410</v>
      </c>
      <c r="O21" s="234">
        <v>13910</v>
      </c>
      <c r="P21" s="242">
        <v>34</v>
      </c>
      <c r="Q21" s="234">
        <v>20500</v>
      </c>
      <c r="R21" s="234">
        <v>13530</v>
      </c>
      <c r="S21" s="243" t="s">
        <v>1950</v>
      </c>
      <c r="T21" s="236">
        <v>45878</v>
      </c>
    </row>
    <row r="22" spans="1:20" ht="38.25" hidden="1" customHeight="1">
      <c r="A22" s="239" t="s">
        <v>1910</v>
      </c>
      <c r="B22" s="240">
        <v>862</v>
      </c>
      <c r="C22" s="241">
        <v>9458</v>
      </c>
      <c r="D22" s="239" t="s">
        <v>3817</v>
      </c>
      <c r="E22" s="239" t="s">
        <v>377</v>
      </c>
      <c r="F22" s="239" t="s">
        <v>378</v>
      </c>
      <c r="G22" s="239" t="s">
        <v>397</v>
      </c>
      <c r="H22" s="239" t="s">
        <v>398</v>
      </c>
      <c r="I22" s="239" t="s">
        <v>399</v>
      </c>
      <c r="J22" s="233"/>
      <c r="K22" s="235">
        <v>45877</v>
      </c>
      <c r="L22" s="233">
        <v>1.1000000000000001</v>
      </c>
      <c r="M22" s="234" t="s">
        <v>397</v>
      </c>
      <c r="N22" s="234">
        <v>36660</v>
      </c>
      <c r="O22" s="234">
        <v>15050</v>
      </c>
      <c r="P22" s="242">
        <v>26</v>
      </c>
      <c r="Q22" s="234">
        <v>21610</v>
      </c>
      <c r="R22" s="234">
        <v>15991.4</v>
      </c>
      <c r="S22" s="243" t="s">
        <v>1951</v>
      </c>
      <c r="T22" s="236">
        <v>45878</v>
      </c>
    </row>
    <row r="23" spans="1:20" ht="38.25" hidden="1" customHeight="1">
      <c r="A23" s="239" t="s">
        <v>1911</v>
      </c>
      <c r="B23" s="240">
        <v>863</v>
      </c>
      <c r="C23" s="241">
        <v>9460</v>
      </c>
      <c r="D23" s="239" t="s">
        <v>3817</v>
      </c>
      <c r="E23" s="239" t="s">
        <v>400</v>
      </c>
      <c r="F23" s="239" t="s">
        <v>401</v>
      </c>
      <c r="G23" s="239" t="s">
        <v>397</v>
      </c>
      <c r="H23" s="239" t="s">
        <v>398</v>
      </c>
      <c r="I23" s="239" t="s">
        <v>399</v>
      </c>
      <c r="J23" s="233"/>
      <c r="K23" s="235">
        <v>45877</v>
      </c>
      <c r="L23" s="233">
        <v>1.1000000000000001</v>
      </c>
      <c r="M23" s="234" t="s">
        <v>397</v>
      </c>
      <c r="N23" s="234">
        <v>36320</v>
      </c>
      <c r="O23" s="234">
        <v>14710</v>
      </c>
      <c r="P23" s="242">
        <v>28</v>
      </c>
      <c r="Q23" s="234">
        <v>21610</v>
      </c>
      <c r="R23" s="234">
        <v>15559.2</v>
      </c>
      <c r="S23" s="243" t="s">
        <v>1952</v>
      </c>
      <c r="T23" s="236">
        <v>45878</v>
      </c>
    </row>
    <row r="24" spans="1:20" ht="38.25" hidden="1" customHeight="1">
      <c r="A24" s="239" t="s">
        <v>402</v>
      </c>
      <c r="B24" s="240">
        <v>864</v>
      </c>
      <c r="C24" s="241">
        <v>9462</v>
      </c>
      <c r="D24" s="239" t="s">
        <v>3817</v>
      </c>
      <c r="E24" s="239" t="s">
        <v>403</v>
      </c>
      <c r="F24" s="239" t="s">
        <v>404</v>
      </c>
      <c r="G24" s="239" t="s">
        <v>397</v>
      </c>
      <c r="H24" s="239" t="s">
        <v>398</v>
      </c>
      <c r="I24" s="239" t="s">
        <v>399</v>
      </c>
      <c r="J24" s="233"/>
      <c r="K24" s="235">
        <v>45877</v>
      </c>
      <c r="L24" s="233">
        <v>0.9</v>
      </c>
      <c r="M24" s="234" t="s">
        <v>397</v>
      </c>
      <c r="N24" s="234">
        <v>33220</v>
      </c>
      <c r="O24" s="234">
        <v>14490</v>
      </c>
      <c r="P24" s="242">
        <v>38</v>
      </c>
      <c r="Q24" s="234">
        <v>18730</v>
      </c>
      <c r="R24" s="234">
        <v>11612.6</v>
      </c>
      <c r="S24" s="243" t="s">
        <v>492</v>
      </c>
      <c r="T24" s="236">
        <v>45878</v>
      </c>
    </row>
    <row r="25" spans="1:20" ht="38.25" hidden="1" customHeight="1">
      <c r="A25" s="239" t="s">
        <v>405</v>
      </c>
      <c r="B25" s="240">
        <v>865</v>
      </c>
      <c r="C25" s="241">
        <v>9464</v>
      </c>
      <c r="D25" s="239" t="s">
        <v>3817</v>
      </c>
      <c r="E25" s="239" t="s">
        <v>406</v>
      </c>
      <c r="F25" s="239" t="s">
        <v>407</v>
      </c>
      <c r="G25" s="239" t="s">
        <v>397</v>
      </c>
      <c r="H25" s="239" t="s">
        <v>398</v>
      </c>
      <c r="I25" s="239" t="s">
        <v>399</v>
      </c>
      <c r="J25" s="233"/>
      <c r="K25" s="235">
        <v>45877</v>
      </c>
      <c r="L25" s="233">
        <v>1</v>
      </c>
      <c r="M25" s="234" t="s">
        <v>397</v>
      </c>
      <c r="N25" s="234">
        <v>36050</v>
      </c>
      <c r="O25" s="234">
        <v>15040</v>
      </c>
      <c r="P25" s="242">
        <v>35</v>
      </c>
      <c r="Q25" s="234">
        <v>21010</v>
      </c>
      <c r="R25" s="234">
        <v>13656.5</v>
      </c>
      <c r="S25" s="243" t="s">
        <v>493</v>
      </c>
      <c r="T25" s="236">
        <v>45878</v>
      </c>
    </row>
    <row r="26" spans="1:20" ht="38.25" hidden="1" customHeight="1">
      <c r="A26" s="239" t="s">
        <v>408</v>
      </c>
      <c r="B26" s="240">
        <v>866</v>
      </c>
      <c r="C26" s="241">
        <v>9466</v>
      </c>
      <c r="D26" s="239" t="s">
        <v>3817</v>
      </c>
      <c r="E26" s="239" t="s">
        <v>380</v>
      </c>
      <c r="F26" s="239" t="s">
        <v>381</v>
      </c>
      <c r="G26" s="239" t="s">
        <v>397</v>
      </c>
      <c r="H26" s="239" t="s">
        <v>398</v>
      </c>
      <c r="I26" s="239" t="s">
        <v>399</v>
      </c>
      <c r="J26" s="233"/>
      <c r="K26" s="235">
        <v>45877</v>
      </c>
      <c r="L26" s="233">
        <v>1</v>
      </c>
      <c r="M26" s="234" t="s">
        <v>397</v>
      </c>
      <c r="N26" s="234">
        <v>36350</v>
      </c>
      <c r="O26" s="234">
        <v>15040</v>
      </c>
      <c r="P26" s="242">
        <v>22</v>
      </c>
      <c r="Q26" s="234">
        <v>21310</v>
      </c>
      <c r="R26" s="234">
        <v>16621.8</v>
      </c>
      <c r="S26" s="243" t="s">
        <v>494</v>
      </c>
      <c r="T26" s="236">
        <v>45878</v>
      </c>
    </row>
    <row r="27" spans="1:20" ht="38.25" hidden="1" customHeight="1">
      <c r="A27" s="239" t="s">
        <v>409</v>
      </c>
      <c r="B27" s="240">
        <v>867</v>
      </c>
      <c r="C27" s="241">
        <v>9468</v>
      </c>
      <c r="D27" s="239" t="s">
        <v>3817</v>
      </c>
      <c r="E27" s="239" t="s">
        <v>410</v>
      </c>
      <c r="F27" s="239" t="s">
        <v>411</v>
      </c>
      <c r="G27" s="239" t="s">
        <v>397</v>
      </c>
      <c r="H27" s="239" t="s">
        <v>398</v>
      </c>
      <c r="I27" s="239" t="s">
        <v>399</v>
      </c>
      <c r="J27" s="233"/>
      <c r="K27" s="235">
        <v>45877</v>
      </c>
      <c r="L27" s="233">
        <v>0.9</v>
      </c>
      <c r="M27" s="234" t="s">
        <v>397</v>
      </c>
      <c r="N27" s="234">
        <v>33750</v>
      </c>
      <c r="O27" s="234">
        <v>15000</v>
      </c>
      <c r="P27" s="242">
        <v>30</v>
      </c>
      <c r="Q27" s="234">
        <v>18750</v>
      </c>
      <c r="R27" s="234">
        <v>13125</v>
      </c>
      <c r="S27" s="243" t="s">
        <v>495</v>
      </c>
      <c r="T27" s="236">
        <v>45878</v>
      </c>
    </row>
    <row r="28" spans="1:20" ht="38.25" hidden="1" customHeight="1">
      <c r="A28" s="239" t="s">
        <v>412</v>
      </c>
      <c r="B28" s="240">
        <v>868</v>
      </c>
      <c r="C28" s="241">
        <v>9470</v>
      </c>
      <c r="D28" s="239" t="s">
        <v>3817</v>
      </c>
      <c r="E28" s="239" t="s">
        <v>413</v>
      </c>
      <c r="F28" s="239" t="s">
        <v>414</v>
      </c>
      <c r="G28" s="239" t="s">
        <v>397</v>
      </c>
      <c r="H28" s="239" t="s">
        <v>398</v>
      </c>
      <c r="I28" s="239" t="s">
        <v>399</v>
      </c>
      <c r="J28" s="233"/>
      <c r="K28" s="235">
        <v>45877</v>
      </c>
      <c r="L28" s="233">
        <v>1</v>
      </c>
      <c r="M28" s="234" t="s">
        <v>397</v>
      </c>
      <c r="N28" s="234">
        <v>34870</v>
      </c>
      <c r="O28" s="234">
        <v>14920</v>
      </c>
      <c r="P28" s="242">
        <v>39</v>
      </c>
      <c r="Q28" s="234">
        <v>19950</v>
      </c>
      <c r="R28" s="234">
        <v>12169.5</v>
      </c>
      <c r="S28" s="243" t="s">
        <v>496</v>
      </c>
      <c r="T28" s="236">
        <v>45878</v>
      </c>
    </row>
    <row r="29" spans="1:20" ht="38.25" hidden="1" customHeight="1">
      <c r="A29" s="239" t="s">
        <v>415</v>
      </c>
      <c r="B29" s="240">
        <v>869</v>
      </c>
      <c r="C29" s="241">
        <v>9472</v>
      </c>
      <c r="D29" s="239" t="s">
        <v>3817</v>
      </c>
      <c r="E29" s="239" t="s">
        <v>416</v>
      </c>
      <c r="F29" s="239" t="s">
        <v>417</v>
      </c>
      <c r="G29" s="239" t="s">
        <v>397</v>
      </c>
      <c r="H29" s="239" t="s">
        <v>398</v>
      </c>
      <c r="I29" s="239" t="s">
        <v>399</v>
      </c>
      <c r="J29" s="233"/>
      <c r="K29" s="235">
        <v>45877</v>
      </c>
      <c r="L29" s="233">
        <v>1</v>
      </c>
      <c r="M29" s="234" t="s">
        <v>397</v>
      </c>
      <c r="N29" s="234">
        <v>35140</v>
      </c>
      <c r="O29" s="234">
        <v>14710</v>
      </c>
      <c r="P29" s="242">
        <v>26</v>
      </c>
      <c r="Q29" s="234">
        <v>20430</v>
      </c>
      <c r="R29" s="234">
        <v>15118.2</v>
      </c>
      <c r="S29" s="243" t="s">
        <v>497</v>
      </c>
      <c r="T29" s="236">
        <v>45878</v>
      </c>
    </row>
    <row r="30" spans="1:20" ht="38.25" hidden="1" customHeight="1">
      <c r="A30" s="239" t="s">
        <v>418</v>
      </c>
      <c r="B30" s="240">
        <v>870</v>
      </c>
      <c r="C30" s="239" t="s">
        <v>419</v>
      </c>
      <c r="D30" s="239" t="s">
        <v>3817</v>
      </c>
      <c r="E30" s="239" t="s">
        <v>420</v>
      </c>
      <c r="F30" s="239" t="s">
        <v>421</v>
      </c>
      <c r="G30" s="239" t="s">
        <v>397</v>
      </c>
      <c r="H30" s="239" t="s">
        <v>398</v>
      </c>
      <c r="I30" s="239" t="s">
        <v>399</v>
      </c>
      <c r="J30" s="233"/>
      <c r="K30" s="235">
        <v>45878</v>
      </c>
      <c r="L30" s="233">
        <v>1.6</v>
      </c>
      <c r="M30" s="234" t="s">
        <v>397</v>
      </c>
      <c r="N30" s="234">
        <v>33680</v>
      </c>
      <c r="O30" s="234">
        <v>14870</v>
      </c>
      <c r="P30" s="242">
        <v>43</v>
      </c>
      <c r="Q30" s="234">
        <v>18810</v>
      </c>
      <c r="R30" s="234">
        <v>10721.7</v>
      </c>
      <c r="S30" s="243" t="s">
        <v>498</v>
      </c>
      <c r="T30" s="236">
        <v>45878</v>
      </c>
    </row>
    <row r="31" spans="1:20" ht="38.25" hidden="1" customHeight="1">
      <c r="A31" s="239" t="s">
        <v>422</v>
      </c>
      <c r="B31" s="240">
        <v>872</v>
      </c>
      <c r="C31" s="241">
        <v>9478</v>
      </c>
      <c r="D31" s="239" t="s">
        <v>3817</v>
      </c>
      <c r="E31" s="239" t="s">
        <v>390</v>
      </c>
      <c r="F31" s="239" t="s">
        <v>391</v>
      </c>
      <c r="G31" s="239" t="s">
        <v>397</v>
      </c>
      <c r="H31" s="239" t="s">
        <v>398</v>
      </c>
      <c r="I31" s="239" t="s">
        <v>399</v>
      </c>
      <c r="J31" s="233"/>
      <c r="K31" s="235">
        <v>45878</v>
      </c>
      <c r="L31" s="233">
        <v>1.9</v>
      </c>
      <c r="M31" s="234" t="s">
        <v>397</v>
      </c>
      <c r="N31" s="234">
        <v>36760</v>
      </c>
      <c r="O31" s="234">
        <v>14950</v>
      </c>
      <c r="P31" s="242">
        <v>44</v>
      </c>
      <c r="Q31" s="234">
        <v>21810</v>
      </c>
      <c r="R31" s="234">
        <v>12213.6</v>
      </c>
      <c r="S31" s="243" t="s">
        <v>499</v>
      </c>
      <c r="T31" s="236">
        <v>45879</v>
      </c>
    </row>
    <row r="32" spans="1:20" ht="38.25" hidden="1" customHeight="1">
      <c r="A32" s="239" t="s">
        <v>423</v>
      </c>
      <c r="B32" s="240">
        <v>874</v>
      </c>
      <c r="C32" s="241">
        <v>9476</v>
      </c>
      <c r="D32" s="239" t="s">
        <v>3817</v>
      </c>
      <c r="E32" s="239" t="s">
        <v>388</v>
      </c>
      <c r="F32" s="239" t="s">
        <v>389</v>
      </c>
      <c r="G32" s="239" t="s">
        <v>397</v>
      </c>
      <c r="H32" s="239" t="s">
        <v>398</v>
      </c>
      <c r="I32" s="239" t="s">
        <v>399</v>
      </c>
      <c r="J32" s="233"/>
      <c r="K32" s="235">
        <v>45878</v>
      </c>
      <c r="L32" s="233">
        <v>2.2000000000000002</v>
      </c>
      <c r="M32" s="234" t="s">
        <v>397</v>
      </c>
      <c r="N32" s="234">
        <v>46180</v>
      </c>
      <c r="O32" s="234">
        <v>20940</v>
      </c>
      <c r="P32" s="242">
        <v>21</v>
      </c>
      <c r="Q32" s="234">
        <v>25240</v>
      </c>
      <c r="R32" s="234">
        <v>19939.599999999999</v>
      </c>
      <c r="S32" s="243" t="s">
        <v>500</v>
      </c>
      <c r="T32" s="236">
        <v>45879</v>
      </c>
    </row>
    <row r="33" spans="1:20" ht="38.25" hidden="1" customHeight="1">
      <c r="A33" s="239" t="s">
        <v>424</v>
      </c>
      <c r="B33" s="240">
        <v>875</v>
      </c>
      <c r="C33" s="241">
        <v>9480</v>
      </c>
      <c r="D33" s="239" t="s">
        <v>3817</v>
      </c>
      <c r="E33" s="239" t="s">
        <v>425</v>
      </c>
      <c r="F33" s="239" t="s">
        <v>426</v>
      </c>
      <c r="G33" s="239" t="s">
        <v>397</v>
      </c>
      <c r="H33" s="239" t="s">
        <v>398</v>
      </c>
      <c r="I33" s="239" t="s">
        <v>399</v>
      </c>
      <c r="J33" s="233"/>
      <c r="K33" s="235">
        <v>45878</v>
      </c>
      <c r="L33" s="233">
        <v>2.2999999999999998</v>
      </c>
      <c r="M33" s="234" t="s">
        <v>397</v>
      </c>
      <c r="N33" s="234">
        <v>45100</v>
      </c>
      <c r="O33" s="234">
        <v>18610</v>
      </c>
      <c r="P33" s="242">
        <v>24</v>
      </c>
      <c r="Q33" s="234">
        <v>26490</v>
      </c>
      <c r="R33" s="234">
        <v>20132.400000000001</v>
      </c>
      <c r="S33" s="243" t="s">
        <v>501</v>
      </c>
      <c r="T33" s="236">
        <v>45879</v>
      </c>
    </row>
    <row r="34" spans="1:20" ht="38.25" hidden="1" customHeight="1">
      <c r="A34" s="239" t="s">
        <v>427</v>
      </c>
      <c r="B34" s="240">
        <v>876</v>
      </c>
      <c r="C34" s="241">
        <v>9482</v>
      </c>
      <c r="D34" s="239" t="s">
        <v>3817</v>
      </c>
      <c r="E34" s="239" t="s">
        <v>382</v>
      </c>
      <c r="F34" s="239" t="s">
        <v>383</v>
      </c>
      <c r="G34" s="239" t="s">
        <v>397</v>
      </c>
      <c r="H34" s="239" t="s">
        <v>398</v>
      </c>
      <c r="I34" s="239" t="s">
        <v>399</v>
      </c>
      <c r="J34" s="233"/>
      <c r="K34" s="235">
        <v>45878</v>
      </c>
      <c r="L34" s="233">
        <v>1.6</v>
      </c>
      <c r="M34" s="234" t="s">
        <v>397</v>
      </c>
      <c r="N34" s="234">
        <v>33760</v>
      </c>
      <c r="O34" s="234">
        <v>14600</v>
      </c>
      <c r="P34" s="242">
        <v>17</v>
      </c>
      <c r="Q34" s="234">
        <v>19160</v>
      </c>
      <c r="R34" s="234">
        <v>15902.8</v>
      </c>
      <c r="S34" s="243" t="s">
        <v>502</v>
      </c>
      <c r="T34" s="236">
        <v>45879</v>
      </c>
    </row>
    <row r="35" spans="1:20" ht="38.25" hidden="1" customHeight="1">
      <c r="A35" s="239" t="s">
        <v>428</v>
      </c>
      <c r="B35" s="240">
        <v>877</v>
      </c>
      <c r="C35" s="241">
        <v>9484</v>
      </c>
      <c r="D35" s="239" t="s">
        <v>3817</v>
      </c>
      <c r="E35" s="239" t="s">
        <v>429</v>
      </c>
      <c r="F35" s="239" t="s">
        <v>430</v>
      </c>
      <c r="G35" s="239" t="s">
        <v>397</v>
      </c>
      <c r="H35" s="239" t="s">
        <v>398</v>
      </c>
      <c r="I35" s="239" t="s">
        <v>399</v>
      </c>
      <c r="J35" s="233"/>
      <c r="K35" s="235">
        <v>45878</v>
      </c>
      <c r="L35" s="233">
        <v>1.9</v>
      </c>
      <c r="M35" s="234" t="s">
        <v>397</v>
      </c>
      <c r="N35" s="234">
        <v>36930</v>
      </c>
      <c r="O35" s="234">
        <v>14240</v>
      </c>
      <c r="P35" s="242">
        <v>40</v>
      </c>
      <c r="Q35" s="234">
        <v>22690</v>
      </c>
      <c r="R35" s="234">
        <v>13614</v>
      </c>
      <c r="S35" s="243" t="s">
        <v>503</v>
      </c>
      <c r="T35" s="236">
        <v>45879</v>
      </c>
    </row>
    <row r="36" spans="1:20" ht="38.25" hidden="1" customHeight="1">
      <c r="A36" s="239" t="s">
        <v>431</v>
      </c>
      <c r="B36" s="240">
        <v>878</v>
      </c>
      <c r="C36" s="241">
        <v>9486</v>
      </c>
      <c r="D36" s="239" t="s">
        <v>3817</v>
      </c>
      <c r="E36" s="239" t="s">
        <v>432</v>
      </c>
      <c r="F36" s="239" t="s">
        <v>433</v>
      </c>
      <c r="G36" s="239" t="s">
        <v>397</v>
      </c>
      <c r="H36" s="239" t="s">
        <v>398</v>
      </c>
      <c r="I36" s="239" t="s">
        <v>399</v>
      </c>
      <c r="J36" s="233"/>
      <c r="K36" s="235">
        <v>45878</v>
      </c>
      <c r="L36" s="233">
        <v>2</v>
      </c>
      <c r="M36" s="234" t="s">
        <v>397</v>
      </c>
      <c r="N36" s="234">
        <v>38770</v>
      </c>
      <c r="O36" s="234">
        <v>15600</v>
      </c>
      <c r="P36" s="242">
        <v>31</v>
      </c>
      <c r="Q36" s="234">
        <v>23170</v>
      </c>
      <c r="R36" s="234">
        <v>15987.3</v>
      </c>
      <c r="S36" s="243" t="s">
        <v>504</v>
      </c>
      <c r="T36" s="236">
        <v>45879</v>
      </c>
    </row>
    <row r="37" spans="1:20" ht="38.25" hidden="1" customHeight="1">
      <c r="A37" s="239" t="s">
        <v>434</v>
      </c>
      <c r="B37" s="240">
        <v>879</v>
      </c>
      <c r="C37" s="241">
        <v>9492</v>
      </c>
      <c r="D37" s="239" t="s">
        <v>3817</v>
      </c>
      <c r="E37" s="239" t="s">
        <v>377</v>
      </c>
      <c r="F37" s="239" t="s">
        <v>378</v>
      </c>
      <c r="G37" s="239" t="s">
        <v>397</v>
      </c>
      <c r="H37" s="239" t="s">
        <v>398</v>
      </c>
      <c r="I37" s="239" t="s">
        <v>399</v>
      </c>
      <c r="J37" s="233"/>
      <c r="K37" s="235">
        <v>45878</v>
      </c>
      <c r="L37" s="233">
        <v>1.9</v>
      </c>
      <c r="M37" s="234" t="s">
        <v>397</v>
      </c>
      <c r="N37" s="234">
        <v>37280</v>
      </c>
      <c r="O37" s="234">
        <v>15070</v>
      </c>
      <c r="P37" s="242">
        <v>49</v>
      </c>
      <c r="Q37" s="234">
        <v>22210</v>
      </c>
      <c r="R37" s="234">
        <v>11327.1</v>
      </c>
      <c r="S37" s="243" t="s">
        <v>505</v>
      </c>
      <c r="T37" s="236">
        <v>45879</v>
      </c>
    </row>
    <row r="38" spans="1:20" ht="38.25" hidden="1" customHeight="1">
      <c r="A38" s="239" t="s">
        <v>435</v>
      </c>
      <c r="B38" s="240">
        <v>880</v>
      </c>
      <c r="C38" s="241">
        <v>9488</v>
      </c>
      <c r="D38" s="239" t="s">
        <v>3817</v>
      </c>
      <c r="E38" s="239" t="s">
        <v>1410</v>
      </c>
      <c r="F38" s="239" t="s">
        <v>437</v>
      </c>
      <c r="G38" s="239" t="s">
        <v>397</v>
      </c>
      <c r="H38" s="239" t="s">
        <v>398</v>
      </c>
      <c r="I38" s="239" t="s">
        <v>399</v>
      </c>
      <c r="J38" s="233"/>
      <c r="K38" s="235">
        <v>45878</v>
      </c>
      <c r="L38" s="233">
        <v>2</v>
      </c>
      <c r="M38" s="234" t="s">
        <v>397</v>
      </c>
      <c r="N38" s="234">
        <v>37960</v>
      </c>
      <c r="O38" s="234">
        <v>14900</v>
      </c>
      <c r="P38" s="242">
        <v>48</v>
      </c>
      <c r="Q38" s="234">
        <v>23060</v>
      </c>
      <c r="R38" s="234">
        <v>11991.2</v>
      </c>
      <c r="S38" s="243" t="s">
        <v>506</v>
      </c>
      <c r="T38" s="236">
        <v>45879</v>
      </c>
    </row>
    <row r="39" spans="1:20" ht="38.25" hidden="1" customHeight="1">
      <c r="A39" s="239" t="s">
        <v>438</v>
      </c>
      <c r="B39" s="240">
        <v>881</v>
      </c>
      <c r="C39" s="241">
        <v>9490</v>
      </c>
      <c r="D39" s="239" t="s">
        <v>3817</v>
      </c>
      <c r="E39" s="239" t="s">
        <v>439</v>
      </c>
      <c r="F39" s="239" t="s">
        <v>440</v>
      </c>
      <c r="G39" s="239" t="s">
        <v>397</v>
      </c>
      <c r="H39" s="239" t="s">
        <v>398</v>
      </c>
      <c r="I39" s="239" t="s">
        <v>399</v>
      </c>
      <c r="J39" s="233"/>
      <c r="K39" s="235">
        <v>45878</v>
      </c>
      <c r="L39" s="233">
        <v>1.8</v>
      </c>
      <c r="M39" s="234" t="s">
        <v>397</v>
      </c>
      <c r="N39" s="234">
        <v>36110</v>
      </c>
      <c r="O39" s="234">
        <v>14930</v>
      </c>
      <c r="P39" s="242">
        <v>49</v>
      </c>
      <c r="Q39" s="234">
        <v>21180</v>
      </c>
      <c r="R39" s="234">
        <v>10801.8</v>
      </c>
      <c r="S39" s="243" t="s">
        <v>507</v>
      </c>
      <c r="T39" s="236">
        <v>45879</v>
      </c>
    </row>
    <row r="40" spans="1:20" ht="38.25" hidden="1" customHeight="1">
      <c r="A40" s="239" t="s">
        <v>441</v>
      </c>
      <c r="B40" s="240">
        <v>883</v>
      </c>
      <c r="C40" s="241">
        <v>9494</v>
      </c>
      <c r="D40" s="239" t="s">
        <v>3817</v>
      </c>
      <c r="E40" s="239" t="s">
        <v>442</v>
      </c>
      <c r="F40" s="239" t="s">
        <v>443</v>
      </c>
      <c r="G40" s="239" t="s">
        <v>397</v>
      </c>
      <c r="H40" s="239" t="s">
        <v>398</v>
      </c>
      <c r="I40" s="239" t="s">
        <v>399</v>
      </c>
      <c r="J40" s="233"/>
      <c r="K40" s="235">
        <v>45878</v>
      </c>
      <c r="L40" s="233">
        <v>1.6</v>
      </c>
      <c r="M40" s="234" t="s">
        <v>397</v>
      </c>
      <c r="N40" s="234">
        <v>32690</v>
      </c>
      <c r="O40" s="234">
        <v>14460</v>
      </c>
      <c r="P40" s="242">
        <v>46</v>
      </c>
      <c r="Q40" s="234">
        <v>18230</v>
      </c>
      <c r="R40" s="234">
        <v>9844.2000000000007</v>
      </c>
      <c r="S40" s="243" t="s">
        <v>508</v>
      </c>
      <c r="T40" s="236">
        <v>45879</v>
      </c>
    </row>
    <row r="41" spans="1:20" ht="38.25" hidden="1" customHeight="1">
      <c r="A41" s="239" t="s">
        <v>444</v>
      </c>
      <c r="B41" s="240">
        <v>884</v>
      </c>
      <c r="C41" s="241">
        <v>9498</v>
      </c>
      <c r="D41" s="239" t="s">
        <v>3817</v>
      </c>
      <c r="E41" s="239" t="s">
        <v>380</v>
      </c>
      <c r="F41" s="239" t="s">
        <v>381</v>
      </c>
      <c r="G41" s="239" t="s">
        <v>397</v>
      </c>
      <c r="H41" s="239" t="s">
        <v>398</v>
      </c>
      <c r="I41" s="239" t="s">
        <v>399</v>
      </c>
      <c r="J41" s="233"/>
      <c r="K41" s="235">
        <v>45878</v>
      </c>
      <c r="L41" s="233">
        <v>1.7</v>
      </c>
      <c r="M41" s="234" t="s">
        <v>397</v>
      </c>
      <c r="N41" s="234">
        <v>34460</v>
      </c>
      <c r="O41" s="234">
        <v>15060</v>
      </c>
      <c r="P41" s="242">
        <v>45</v>
      </c>
      <c r="Q41" s="234">
        <v>19400</v>
      </c>
      <c r="R41" s="234">
        <v>10670</v>
      </c>
      <c r="S41" s="243" t="s">
        <v>509</v>
      </c>
      <c r="T41" s="236">
        <v>45879</v>
      </c>
    </row>
    <row r="42" spans="1:20" ht="38.25" hidden="1" customHeight="1">
      <c r="A42" s="239" t="s">
        <v>445</v>
      </c>
      <c r="B42" s="240">
        <v>885</v>
      </c>
      <c r="C42" s="241">
        <v>9500</v>
      </c>
      <c r="D42" s="239" t="s">
        <v>3817</v>
      </c>
      <c r="E42" s="239" t="s">
        <v>410</v>
      </c>
      <c r="F42" s="239" t="s">
        <v>411</v>
      </c>
      <c r="G42" s="239" t="s">
        <v>397</v>
      </c>
      <c r="H42" s="239" t="s">
        <v>398</v>
      </c>
      <c r="I42" s="239" t="s">
        <v>399</v>
      </c>
      <c r="J42" s="233"/>
      <c r="K42" s="235">
        <v>45878</v>
      </c>
      <c r="L42" s="233">
        <v>1.6</v>
      </c>
      <c r="M42" s="234" t="s">
        <v>397</v>
      </c>
      <c r="N42" s="234">
        <v>34010</v>
      </c>
      <c r="O42" s="234">
        <v>14840</v>
      </c>
      <c r="P42" s="242">
        <v>37</v>
      </c>
      <c r="Q42" s="234">
        <v>19170</v>
      </c>
      <c r="R42" s="234">
        <v>12077.1</v>
      </c>
      <c r="S42" s="243" t="s">
        <v>510</v>
      </c>
      <c r="T42" s="236">
        <v>45879</v>
      </c>
    </row>
    <row r="43" spans="1:20" ht="38.25" hidden="1" customHeight="1">
      <c r="A43" s="239" t="s">
        <v>446</v>
      </c>
      <c r="B43" s="240">
        <v>887</v>
      </c>
      <c r="C43" s="241">
        <v>9502</v>
      </c>
      <c r="D43" s="239" t="s">
        <v>3817</v>
      </c>
      <c r="E43" s="239" t="s">
        <v>447</v>
      </c>
      <c r="F43" s="239" t="s">
        <v>448</v>
      </c>
      <c r="G43" s="239" t="s">
        <v>397</v>
      </c>
      <c r="H43" s="239" t="s">
        <v>398</v>
      </c>
      <c r="I43" s="239" t="s">
        <v>399</v>
      </c>
      <c r="J43" s="233"/>
      <c r="K43" s="235">
        <v>45879</v>
      </c>
      <c r="L43" s="233">
        <v>1.3</v>
      </c>
      <c r="M43" s="234" t="s">
        <v>397</v>
      </c>
      <c r="N43" s="234">
        <v>37300</v>
      </c>
      <c r="O43" s="234">
        <v>15680</v>
      </c>
      <c r="P43" s="242">
        <v>45</v>
      </c>
      <c r="Q43" s="234">
        <v>21620</v>
      </c>
      <c r="R43" s="234">
        <v>11891</v>
      </c>
      <c r="S43" s="243" t="s">
        <v>511</v>
      </c>
      <c r="T43" s="236">
        <v>45879</v>
      </c>
    </row>
    <row r="44" spans="1:20" ht="38.25" hidden="1" customHeight="1">
      <c r="A44" s="239" t="s">
        <v>449</v>
      </c>
      <c r="B44" s="240">
        <v>888</v>
      </c>
      <c r="C44" s="241">
        <v>9496</v>
      </c>
      <c r="D44" s="239" t="s">
        <v>3817</v>
      </c>
      <c r="E44" s="239" t="s">
        <v>392</v>
      </c>
      <c r="F44" s="239" t="s">
        <v>393</v>
      </c>
      <c r="G44" s="239" t="s">
        <v>397</v>
      </c>
      <c r="H44" s="239" t="s">
        <v>398</v>
      </c>
      <c r="I44" s="239" t="s">
        <v>399</v>
      </c>
      <c r="J44" s="233"/>
      <c r="K44" s="235">
        <v>45879</v>
      </c>
      <c r="L44" s="233">
        <v>2.2000000000000002</v>
      </c>
      <c r="M44" s="234" t="s">
        <v>397</v>
      </c>
      <c r="N44" s="234">
        <v>59720</v>
      </c>
      <c r="O44" s="234">
        <v>24020</v>
      </c>
      <c r="P44" s="242">
        <v>44</v>
      </c>
      <c r="Q44" s="234">
        <v>35700</v>
      </c>
      <c r="R44" s="234">
        <v>19992</v>
      </c>
      <c r="S44" s="243" t="s">
        <v>512</v>
      </c>
      <c r="T44" s="236">
        <v>45879</v>
      </c>
    </row>
    <row r="45" spans="1:20" ht="38.25" hidden="1" customHeight="1">
      <c r="A45" s="239" t="s">
        <v>450</v>
      </c>
      <c r="B45" s="240">
        <v>889</v>
      </c>
      <c r="C45" s="241">
        <v>9504</v>
      </c>
      <c r="D45" s="239" t="s">
        <v>3817</v>
      </c>
      <c r="E45" s="239" t="s">
        <v>413</v>
      </c>
      <c r="F45" s="239" t="s">
        <v>414</v>
      </c>
      <c r="G45" s="239" t="s">
        <v>397</v>
      </c>
      <c r="H45" s="239" t="s">
        <v>398</v>
      </c>
      <c r="I45" s="239" t="s">
        <v>399</v>
      </c>
      <c r="J45" s="233"/>
      <c r="K45" s="235">
        <v>45879</v>
      </c>
      <c r="L45" s="233">
        <v>1.5</v>
      </c>
      <c r="M45" s="234" t="s">
        <v>397</v>
      </c>
      <c r="N45" s="234">
        <v>40070</v>
      </c>
      <c r="O45" s="234">
        <v>14930</v>
      </c>
      <c r="P45" s="242">
        <v>42</v>
      </c>
      <c r="Q45" s="234">
        <v>25140</v>
      </c>
      <c r="R45" s="234">
        <v>14581.2</v>
      </c>
      <c r="S45" s="243" t="s">
        <v>513</v>
      </c>
      <c r="T45" s="236">
        <v>45879</v>
      </c>
    </row>
    <row r="46" spans="1:20" ht="38.25" hidden="1" customHeight="1">
      <c r="A46" s="239" t="s">
        <v>451</v>
      </c>
      <c r="B46" s="240">
        <v>890</v>
      </c>
      <c r="C46" s="241">
        <v>9506</v>
      </c>
      <c r="D46" s="239" t="s">
        <v>3817</v>
      </c>
      <c r="E46" s="239" t="s">
        <v>416</v>
      </c>
      <c r="F46" s="239" t="s">
        <v>417</v>
      </c>
      <c r="G46" s="239" t="s">
        <v>397</v>
      </c>
      <c r="H46" s="239" t="s">
        <v>398</v>
      </c>
      <c r="I46" s="239" t="s">
        <v>399</v>
      </c>
      <c r="J46" s="233"/>
      <c r="K46" s="235">
        <v>45879</v>
      </c>
      <c r="L46" s="233">
        <v>1.4</v>
      </c>
      <c r="M46" s="234" t="s">
        <v>397</v>
      </c>
      <c r="N46" s="234">
        <v>37670</v>
      </c>
      <c r="O46" s="234">
        <v>14710</v>
      </c>
      <c r="P46" s="242">
        <v>46</v>
      </c>
      <c r="Q46" s="234">
        <v>22960</v>
      </c>
      <c r="R46" s="234">
        <v>12398.4</v>
      </c>
      <c r="S46" s="243" t="s">
        <v>514</v>
      </c>
      <c r="T46" s="236">
        <v>45879</v>
      </c>
    </row>
    <row r="47" spans="1:20" ht="38.25" hidden="1" customHeight="1">
      <c r="A47" s="239" t="s">
        <v>452</v>
      </c>
      <c r="B47" s="240">
        <v>891</v>
      </c>
      <c r="C47" s="241">
        <v>9508</v>
      </c>
      <c r="D47" s="239" t="s">
        <v>3817</v>
      </c>
      <c r="E47" s="239" t="s">
        <v>453</v>
      </c>
      <c r="F47" s="239" t="s">
        <v>454</v>
      </c>
      <c r="G47" s="239" t="s">
        <v>397</v>
      </c>
      <c r="H47" s="239" t="s">
        <v>398</v>
      </c>
      <c r="I47" s="239" t="s">
        <v>399</v>
      </c>
      <c r="J47" s="233"/>
      <c r="K47" s="235">
        <v>45879</v>
      </c>
      <c r="L47" s="233">
        <v>1.6</v>
      </c>
      <c r="M47" s="234" t="s">
        <v>397</v>
      </c>
      <c r="N47" s="234">
        <v>49720</v>
      </c>
      <c r="O47" s="234">
        <v>23560</v>
      </c>
      <c r="P47" s="242">
        <v>46</v>
      </c>
      <c r="Q47" s="234">
        <v>26160</v>
      </c>
      <c r="R47" s="234">
        <v>14126.4</v>
      </c>
      <c r="S47" s="243" t="s">
        <v>515</v>
      </c>
      <c r="T47" s="236">
        <v>45879</v>
      </c>
    </row>
    <row r="48" spans="1:20" ht="38.25" hidden="1" customHeight="1">
      <c r="A48" s="239" t="s">
        <v>455</v>
      </c>
      <c r="B48" s="240">
        <v>892</v>
      </c>
      <c r="C48" s="241">
        <v>9510</v>
      </c>
      <c r="D48" s="239" t="s">
        <v>3817</v>
      </c>
      <c r="E48" s="239" t="s">
        <v>456</v>
      </c>
      <c r="F48" s="239" t="s">
        <v>457</v>
      </c>
      <c r="G48" s="239" t="s">
        <v>397</v>
      </c>
      <c r="H48" s="239" t="s">
        <v>398</v>
      </c>
      <c r="I48" s="239" t="s">
        <v>399</v>
      </c>
      <c r="J48" s="233"/>
      <c r="K48" s="235">
        <v>45879</v>
      </c>
      <c r="L48" s="233">
        <v>1.5</v>
      </c>
      <c r="M48" s="234" t="s">
        <v>397</v>
      </c>
      <c r="N48" s="234">
        <v>40530</v>
      </c>
      <c r="O48" s="234">
        <v>15550</v>
      </c>
      <c r="P48" s="242">
        <v>47</v>
      </c>
      <c r="Q48" s="234">
        <v>24980</v>
      </c>
      <c r="R48" s="234">
        <v>13239.4</v>
      </c>
      <c r="S48" s="243" t="s">
        <v>516</v>
      </c>
      <c r="T48" s="236">
        <v>45879</v>
      </c>
    </row>
    <row r="49" spans="1:20" ht="38.25" hidden="1" customHeight="1">
      <c r="A49" s="239" t="s">
        <v>458</v>
      </c>
      <c r="B49" s="240">
        <v>893</v>
      </c>
      <c r="C49" s="241">
        <v>9512</v>
      </c>
      <c r="D49" s="239" t="s">
        <v>3817</v>
      </c>
      <c r="E49" s="239" t="s">
        <v>420</v>
      </c>
      <c r="F49" s="239" t="s">
        <v>421</v>
      </c>
      <c r="G49" s="239" t="s">
        <v>397</v>
      </c>
      <c r="H49" s="239" t="s">
        <v>398</v>
      </c>
      <c r="I49" s="239" t="s">
        <v>399</v>
      </c>
      <c r="J49" s="233"/>
      <c r="K49" s="235">
        <v>45879</v>
      </c>
      <c r="L49" s="233">
        <v>1.3</v>
      </c>
      <c r="M49" s="234" t="s">
        <v>397</v>
      </c>
      <c r="N49" s="234">
        <v>35910</v>
      </c>
      <c r="O49" s="234">
        <v>14880</v>
      </c>
      <c r="P49" s="242">
        <v>11</v>
      </c>
      <c r="Q49" s="234">
        <v>21030</v>
      </c>
      <c r="R49" s="234">
        <v>18716.7</v>
      </c>
      <c r="S49" s="243" t="s">
        <v>517</v>
      </c>
      <c r="T49" s="236">
        <v>45879</v>
      </c>
    </row>
    <row r="50" spans="1:20" ht="38.25" hidden="1" customHeight="1">
      <c r="A50" s="239" t="s">
        <v>459</v>
      </c>
      <c r="B50" s="240">
        <v>894</v>
      </c>
      <c r="C50" s="241">
        <v>9514</v>
      </c>
      <c r="D50" s="239" t="s">
        <v>3817</v>
      </c>
      <c r="E50" s="239" t="s">
        <v>372</v>
      </c>
      <c r="F50" s="239" t="s">
        <v>373</v>
      </c>
      <c r="G50" s="239" t="s">
        <v>397</v>
      </c>
      <c r="H50" s="239" t="s">
        <v>398</v>
      </c>
      <c r="I50" s="239" t="s">
        <v>399</v>
      </c>
      <c r="J50" s="233"/>
      <c r="K50" s="235">
        <v>45879</v>
      </c>
      <c r="L50" s="233">
        <v>1.4</v>
      </c>
      <c r="M50" s="234" t="s">
        <v>397</v>
      </c>
      <c r="N50" s="234">
        <v>38150</v>
      </c>
      <c r="O50" s="234">
        <v>14910</v>
      </c>
      <c r="P50" s="242">
        <v>43</v>
      </c>
      <c r="Q50" s="234">
        <v>23240</v>
      </c>
      <c r="R50" s="234">
        <v>13246.8</v>
      </c>
      <c r="S50" s="243" t="s">
        <v>518</v>
      </c>
      <c r="T50" s="236">
        <v>45879</v>
      </c>
    </row>
    <row r="51" spans="1:20" ht="38.25" hidden="1" customHeight="1">
      <c r="A51" s="239" t="s">
        <v>460</v>
      </c>
      <c r="B51" s="240">
        <v>895</v>
      </c>
      <c r="C51" s="241">
        <v>9516</v>
      </c>
      <c r="D51" s="239" t="s">
        <v>3817</v>
      </c>
      <c r="E51" s="239" t="s">
        <v>386</v>
      </c>
      <c r="F51" s="239" t="s">
        <v>387</v>
      </c>
      <c r="G51" s="239" t="s">
        <v>397</v>
      </c>
      <c r="H51" s="239" t="s">
        <v>398</v>
      </c>
      <c r="I51" s="239" t="s">
        <v>399</v>
      </c>
      <c r="J51" s="233"/>
      <c r="K51" s="235">
        <v>45879</v>
      </c>
      <c r="L51" s="233">
        <v>1.5</v>
      </c>
      <c r="M51" s="234" t="s">
        <v>397</v>
      </c>
      <c r="N51" s="234">
        <v>39770</v>
      </c>
      <c r="O51" s="234">
        <v>15410</v>
      </c>
      <c r="P51" s="242">
        <v>26</v>
      </c>
      <c r="Q51" s="234">
        <v>24360</v>
      </c>
      <c r="R51" s="234">
        <v>18026.400000000001</v>
      </c>
      <c r="S51" s="243" t="s">
        <v>519</v>
      </c>
      <c r="T51" s="236">
        <v>45880</v>
      </c>
    </row>
    <row r="52" spans="1:20" ht="38.25" hidden="1" customHeight="1">
      <c r="A52" s="239" t="s">
        <v>467</v>
      </c>
      <c r="B52" s="240">
        <v>896</v>
      </c>
      <c r="C52" s="241">
        <v>9518</v>
      </c>
      <c r="D52" s="239" t="s">
        <v>3817</v>
      </c>
      <c r="E52" s="239" t="s">
        <v>369</v>
      </c>
      <c r="F52" s="239" t="s">
        <v>370</v>
      </c>
      <c r="G52" s="239" t="s">
        <v>397</v>
      </c>
      <c r="H52" s="239" t="s">
        <v>398</v>
      </c>
      <c r="I52" s="239" t="s">
        <v>399</v>
      </c>
      <c r="J52" s="233"/>
      <c r="K52" s="235">
        <v>45879</v>
      </c>
      <c r="L52" s="233">
        <v>1.3</v>
      </c>
      <c r="M52" s="234" t="s">
        <v>397</v>
      </c>
      <c r="N52" s="234">
        <v>37270</v>
      </c>
      <c r="O52" s="234">
        <v>15080</v>
      </c>
      <c r="P52" s="242">
        <v>31</v>
      </c>
      <c r="Q52" s="234">
        <v>22190</v>
      </c>
      <c r="R52" s="234">
        <v>15311.1</v>
      </c>
      <c r="S52" s="243" t="s">
        <v>524</v>
      </c>
      <c r="T52" s="236">
        <v>45880</v>
      </c>
    </row>
    <row r="53" spans="1:20" ht="38.25" hidden="1" customHeight="1">
      <c r="A53" s="239" t="s">
        <v>468</v>
      </c>
      <c r="B53" s="240">
        <v>897</v>
      </c>
      <c r="C53" s="241">
        <v>9520</v>
      </c>
      <c r="D53" s="239" t="s">
        <v>3817</v>
      </c>
      <c r="E53" s="239" t="s">
        <v>403</v>
      </c>
      <c r="F53" s="239" t="s">
        <v>404</v>
      </c>
      <c r="G53" s="239" t="s">
        <v>397</v>
      </c>
      <c r="H53" s="239" t="s">
        <v>398</v>
      </c>
      <c r="I53" s="239" t="s">
        <v>399</v>
      </c>
      <c r="J53" s="233"/>
      <c r="K53" s="235">
        <v>45879</v>
      </c>
      <c r="L53" s="233">
        <v>1.4</v>
      </c>
      <c r="M53" s="234" t="s">
        <v>397</v>
      </c>
      <c r="N53" s="234">
        <v>37590</v>
      </c>
      <c r="O53" s="234">
        <v>14500</v>
      </c>
      <c r="P53" s="242">
        <v>47</v>
      </c>
      <c r="Q53" s="234">
        <v>23090</v>
      </c>
      <c r="R53" s="234">
        <v>12237.7</v>
      </c>
      <c r="S53" s="243" t="s">
        <v>525</v>
      </c>
      <c r="T53" s="236">
        <v>45880</v>
      </c>
    </row>
    <row r="54" spans="1:20" ht="38.25" hidden="1" customHeight="1">
      <c r="A54" s="239" t="s">
        <v>469</v>
      </c>
      <c r="B54" s="240">
        <v>898</v>
      </c>
      <c r="C54" s="241">
        <v>9522</v>
      </c>
      <c r="D54" s="239" t="s">
        <v>3817</v>
      </c>
      <c r="E54" s="239" t="s">
        <v>406</v>
      </c>
      <c r="F54" s="239" t="s">
        <v>407</v>
      </c>
      <c r="G54" s="239" t="s">
        <v>397</v>
      </c>
      <c r="H54" s="239" t="s">
        <v>398</v>
      </c>
      <c r="I54" s="239" t="s">
        <v>399</v>
      </c>
      <c r="J54" s="233"/>
      <c r="K54" s="235">
        <v>45879</v>
      </c>
      <c r="L54" s="233">
        <v>1.4</v>
      </c>
      <c r="M54" s="234" t="s">
        <v>397</v>
      </c>
      <c r="N54" s="234">
        <v>37450</v>
      </c>
      <c r="O54" s="234">
        <v>15050</v>
      </c>
      <c r="P54" s="242">
        <v>32</v>
      </c>
      <c r="Q54" s="234">
        <v>22400</v>
      </c>
      <c r="R54" s="234">
        <v>15232</v>
      </c>
      <c r="S54" s="243" t="s">
        <v>526</v>
      </c>
      <c r="T54" s="236">
        <v>45880</v>
      </c>
    </row>
    <row r="55" spans="1:20" ht="38.25" hidden="1" customHeight="1">
      <c r="A55" s="239" t="s">
        <v>470</v>
      </c>
      <c r="B55" s="240">
        <v>899</v>
      </c>
      <c r="C55" s="241">
        <v>9524</v>
      </c>
      <c r="D55" s="239" t="s">
        <v>3817</v>
      </c>
      <c r="E55" s="239" t="s">
        <v>400</v>
      </c>
      <c r="F55" s="239" t="s">
        <v>401</v>
      </c>
      <c r="G55" s="239" t="s">
        <v>397</v>
      </c>
      <c r="H55" s="239" t="s">
        <v>398</v>
      </c>
      <c r="I55" s="239" t="s">
        <v>399</v>
      </c>
      <c r="J55" s="233"/>
      <c r="K55" s="235">
        <v>45879</v>
      </c>
      <c r="L55" s="233">
        <v>1.4</v>
      </c>
      <c r="M55" s="234" t="s">
        <v>397</v>
      </c>
      <c r="N55" s="234">
        <v>37010</v>
      </c>
      <c r="O55" s="234">
        <v>14660</v>
      </c>
      <c r="P55" s="242">
        <v>28</v>
      </c>
      <c r="Q55" s="234">
        <v>22350</v>
      </c>
      <c r="R55" s="234">
        <v>16092</v>
      </c>
      <c r="S55" s="243" t="s">
        <v>527</v>
      </c>
      <c r="T55" s="236">
        <v>45880</v>
      </c>
    </row>
    <row r="56" spans="1:20" ht="38.25" hidden="1" customHeight="1">
      <c r="A56" s="239" t="s">
        <v>471</v>
      </c>
      <c r="B56" s="240">
        <v>900</v>
      </c>
      <c r="C56" s="241">
        <v>9526</v>
      </c>
      <c r="D56" s="239" t="s">
        <v>3817</v>
      </c>
      <c r="E56" s="239" t="s">
        <v>472</v>
      </c>
      <c r="F56" s="239" t="s">
        <v>473</v>
      </c>
      <c r="G56" s="239" t="s">
        <v>397</v>
      </c>
      <c r="H56" s="239" t="s">
        <v>398</v>
      </c>
      <c r="I56" s="239" t="s">
        <v>399</v>
      </c>
      <c r="J56" s="233"/>
      <c r="K56" s="235">
        <v>45879</v>
      </c>
      <c r="L56" s="233">
        <v>1.4</v>
      </c>
      <c r="M56" s="234" t="s">
        <v>397</v>
      </c>
      <c r="N56" s="234">
        <v>39320</v>
      </c>
      <c r="O56" s="234">
        <v>16640</v>
      </c>
      <c r="P56" s="242">
        <v>34</v>
      </c>
      <c r="Q56" s="234">
        <v>22680</v>
      </c>
      <c r="R56" s="234">
        <v>14968.8</v>
      </c>
      <c r="S56" s="243" t="s">
        <v>528</v>
      </c>
      <c r="T56" s="236">
        <v>45880</v>
      </c>
    </row>
    <row r="57" spans="1:20" ht="38.25" hidden="1" customHeight="1">
      <c r="A57" s="239" t="s">
        <v>474</v>
      </c>
      <c r="B57" s="240">
        <v>901</v>
      </c>
      <c r="C57" s="241">
        <v>9528</v>
      </c>
      <c r="D57" s="239" t="s">
        <v>3817</v>
      </c>
      <c r="E57" s="239" t="s">
        <v>475</v>
      </c>
      <c r="F57" s="239" t="s">
        <v>476</v>
      </c>
      <c r="G57" s="239" t="s">
        <v>397</v>
      </c>
      <c r="H57" s="239" t="s">
        <v>398</v>
      </c>
      <c r="I57" s="239" t="s">
        <v>399</v>
      </c>
      <c r="J57" s="233"/>
      <c r="K57" s="235">
        <v>45879</v>
      </c>
      <c r="L57" s="233">
        <v>1.3</v>
      </c>
      <c r="M57" s="234" t="s">
        <v>397</v>
      </c>
      <c r="N57" s="234">
        <v>37420</v>
      </c>
      <c r="O57" s="234">
        <v>16330</v>
      </c>
      <c r="P57" s="242">
        <v>35</v>
      </c>
      <c r="Q57" s="234">
        <v>21090</v>
      </c>
      <c r="R57" s="234">
        <v>13708.5</v>
      </c>
      <c r="S57" s="243" t="s">
        <v>529</v>
      </c>
      <c r="T57" s="236">
        <v>45880</v>
      </c>
    </row>
    <row r="58" spans="1:20" ht="38.25" hidden="1" customHeight="1">
      <c r="A58" s="239" t="s">
        <v>461</v>
      </c>
      <c r="B58" s="240">
        <v>903</v>
      </c>
      <c r="C58" s="241">
        <v>9530</v>
      </c>
      <c r="D58" s="239" t="s">
        <v>3817</v>
      </c>
      <c r="E58" s="239" t="s">
        <v>462</v>
      </c>
      <c r="F58" s="239" t="s">
        <v>463</v>
      </c>
      <c r="G58" s="239" t="s">
        <v>397</v>
      </c>
      <c r="H58" s="239" t="s">
        <v>398</v>
      </c>
      <c r="I58" s="239" t="s">
        <v>399</v>
      </c>
      <c r="J58" s="233"/>
      <c r="K58" s="235">
        <v>45879</v>
      </c>
      <c r="L58" s="233">
        <v>1.3</v>
      </c>
      <c r="M58" s="234" t="s">
        <v>397</v>
      </c>
      <c r="N58" s="234">
        <v>37790</v>
      </c>
      <c r="O58" s="234">
        <v>16490</v>
      </c>
      <c r="P58" s="242">
        <v>37</v>
      </c>
      <c r="Q58" s="234">
        <v>21300</v>
      </c>
      <c r="R58" s="234">
        <v>13419</v>
      </c>
      <c r="S58" s="243" t="s">
        <v>520</v>
      </c>
      <c r="T58" s="236">
        <v>45880</v>
      </c>
    </row>
    <row r="59" spans="1:20" ht="38.25" hidden="1" customHeight="1">
      <c r="A59" s="239" t="s">
        <v>464</v>
      </c>
      <c r="B59" s="240">
        <v>904</v>
      </c>
      <c r="C59" s="241">
        <v>9532</v>
      </c>
      <c r="D59" s="239" t="s">
        <v>3817</v>
      </c>
      <c r="E59" s="239" t="s">
        <v>377</v>
      </c>
      <c r="F59" s="239" t="s">
        <v>378</v>
      </c>
      <c r="G59" s="239" t="s">
        <v>397</v>
      </c>
      <c r="H59" s="239" t="s">
        <v>398</v>
      </c>
      <c r="I59" s="239" t="s">
        <v>399</v>
      </c>
      <c r="J59" s="233"/>
      <c r="K59" s="235">
        <v>45879</v>
      </c>
      <c r="L59" s="233">
        <v>1.5</v>
      </c>
      <c r="M59" s="234" t="s">
        <v>397</v>
      </c>
      <c r="N59" s="234">
        <v>39060</v>
      </c>
      <c r="O59" s="234">
        <v>15080</v>
      </c>
      <c r="P59" s="242">
        <v>29</v>
      </c>
      <c r="Q59" s="234">
        <v>23980</v>
      </c>
      <c r="R59" s="234">
        <v>17025.8</v>
      </c>
      <c r="S59" s="243" t="s">
        <v>521</v>
      </c>
      <c r="T59" s="236">
        <v>45880</v>
      </c>
    </row>
    <row r="60" spans="1:20" ht="38.25" hidden="1" customHeight="1">
      <c r="A60" s="239" t="s">
        <v>465</v>
      </c>
      <c r="B60" s="240">
        <v>905</v>
      </c>
      <c r="C60" s="241">
        <v>9534</v>
      </c>
      <c r="D60" s="239" t="s">
        <v>3817</v>
      </c>
      <c r="E60" s="239" t="s">
        <v>425</v>
      </c>
      <c r="F60" s="239" t="s">
        <v>426</v>
      </c>
      <c r="G60" s="239" t="s">
        <v>397</v>
      </c>
      <c r="H60" s="239" t="s">
        <v>398</v>
      </c>
      <c r="I60" s="239" t="s">
        <v>399</v>
      </c>
      <c r="J60" s="233"/>
      <c r="K60" s="235">
        <v>45879</v>
      </c>
      <c r="L60" s="233">
        <v>1.6</v>
      </c>
      <c r="M60" s="234" t="s">
        <v>397</v>
      </c>
      <c r="N60" s="234">
        <v>44540</v>
      </c>
      <c r="O60" s="234">
        <v>18590</v>
      </c>
      <c r="P60" s="242">
        <v>37</v>
      </c>
      <c r="Q60" s="234">
        <v>25950</v>
      </c>
      <c r="R60" s="234">
        <v>16348.5</v>
      </c>
      <c r="S60" s="243" t="s">
        <v>522</v>
      </c>
      <c r="T60" s="236">
        <v>45880</v>
      </c>
    </row>
    <row r="61" spans="1:20" ht="38.25" hidden="1" customHeight="1">
      <c r="A61" s="239" t="s">
        <v>466</v>
      </c>
      <c r="B61" s="240">
        <v>906</v>
      </c>
      <c r="C61" s="241">
        <v>9536</v>
      </c>
      <c r="D61" s="239" t="s">
        <v>3817</v>
      </c>
      <c r="E61" s="239" t="s">
        <v>388</v>
      </c>
      <c r="F61" s="239" t="s">
        <v>389</v>
      </c>
      <c r="G61" s="239" t="s">
        <v>397</v>
      </c>
      <c r="H61" s="239" t="s">
        <v>398</v>
      </c>
      <c r="I61" s="239" t="s">
        <v>399</v>
      </c>
      <c r="J61" s="233"/>
      <c r="K61" s="235">
        <v>45879</v>
      </c>
      <c r="L61" s="233">
        <v>1.9</v>
      </c>
      <c r="M61" s="234" t="s">
        <v>397</v>
      </c>
      <c r="N61" s="234">
        <v>51520</v>
      </c>
      <c r="O61" s="234">
        <v>20900</v>
      </c>
      <c r="P61" s="242">
        <v>40</v>
      </c>
      <c r="Q61" s="234">
        <v>30620</v>
      </c>
      <c r="R61" s="234">
        <v>18372</v>
      </c>
      <c r="S61" s="243" t="s">
        <v>523</v>
      </c>
      <c r="T61" s="236">
        <v>45880</v>
      </c>
    </row>
    <row r="62" spans="1:20" ht="38.25" hidden="1" customHeight="1">
      <c r="A62" s="239" t="s">
        <v>477</v>
      </c>
      <c r="B62" s="240">
        <v>909</v>
      </c>
      <c r="C62" s="241">
        <v>9540</v>
      </c>
      <c r="D62" s="239" t="s">
        <v>3817</v>
      </c>
      <c r="E62" s="239" t="s">
        <v>384</v>
      </c>
      <c r="F62" s="239" t="s">
        <v>385</v>
      </c>
      <c r="G62" s="239" t="s">
        <v>397</v>
      </c>
      <c r="H62" s="239" t="s">
        <v>398</v>
      </c>
      <c r="I62" s="239" t="s">
        <v>399</v>
      </c>
      <c r="J62" s="233"/>
      <c r="K62" s="235">
        <v>45880</v>
      </c>
      <c r="L62" s="233">
        <v>1.2</v>
      </c>
      <c r="M62" s="234" t="s">
        <v>397</v>
      </c>
      <c r="N62" s="234">
        <v>36720</v>
      </c>
      <c r="O62" s="234">
        <v>13890</v>
      </c>
      <c r="P62" s="242">
        <v>30</v>
      </c>
      <c r="Q62" s="234">
        <v>22830</v>
      </c>
      <c r="R62" s="234">
        <v>15981</v>
      </c>
      <c r="S62" s="243" t="s">
        <v>530</v>
      </c>
      <c r="T62" s="236">
        <v>45880</v>
      </c>
    </row>
    <row r="63" spans="1:20" ht="38.25" hidden="1" customHeight="1">
      <c r="A63" s="239" t="s">
        <v>478</v>
      </c>
      <c r="B63" s="240">
        <v>910</v>
      </c>
      <c r="C63" s="241">
        <v>9538</v>
      </c>
      <c r="D63" s="239" t="s">
        <v>3817</v>
      </c>
      <c r="E63" s="239" t="s">
        <v>432</v>
      </c>
      <c r="F63" s="239" t="s">
        <v>433</v>
      </c>
      <c r="G63" s="239" t="s">
        <v>397</v>
      </c>
      <c r="H63" s="239" t="s">
        <v>398</v>
      </c>
      <c r="I63" s="239" t="s">
        <v>399</v>
      </c>
      <c r="J63" s="233"/>
      <c r="K63" s="235">
        <v>45880</v>
      </c>
      <c r="L63" s="233">
        <v>1.3</v>
      </c>
      <c r="M63" s="234" t="s">
        <v>397</v>
      </c>
      <c r="N63" s="234">
        <v>39340</v>
      </c>
      <c r="O63" s="234">
        <v>15570</v>
      </c>
      <c r="P63" s="242">
        <v>21</v>
      </c>
      <c r="Q63" s="234">
        <v>23770</v>
      </c>
      <c r="R63" s="234">
        <v>18778.3</v>
      </c>
      <c r="S63" s="243" t="s">
        <v>531</v>
      </c>
      <c r="T63" s="236">
        <v>45880</v>
      </c>
    </row>
    <row r="64" spans="1:20" ht="38.25" hidden="1" customHeight="1">
      <c r="A64" s="239" t="s">
        <v>479</v>
      </c>
      <c r="B64" s="240">
        <v>911</v>
      </c>
      <c r="C64" s="241">
        <v>9542</v>
      </c>
      <c r="D64" s="239" t="s">
        <v>3817</v>
      </c>
      <c r="E64" s="239" t="s">
        <v>447</v>
      </c>
      <c r="F64" s="239" t="s">
        <v>448</v>
      </c>
      <c r="G64" s="239" t="s">
        <v>397</v>
      </c>
      <c r="H64" s="239" t="s">
        <v>398</v>
      </c>
      <c r="I64" s="239" t="s">
        <v>399</v>
      </c>
      <c r="J64" s="233"/>
      <c r="K64" s="235">
        <v>45880</v>
      </c>
      <c r="L64" s="233">
        <v>1.2</v>
      </c>
      <c r="M64" s="234" t="s">
        <v>397</v>
      </c>
      <c r="N64" s="234">
        <v>37550</v>
      </c>
      <c r="O64" s="234">
        <v>15560</v>
      </c>
      <c r="P64" s="242">
        <v>21</v>
      </c>
      <c r="Q64" s="234">
        <v>21990</v>
      </c>
      <c r="R64" s="234">
        <v>17372.099999999999</v>
      </c>
      <c r="S64" s="243" t="s">
        <v>532</v>
      </c>
      <c r="T64" s="236">
        <v>45880</v>
      </c>
    </row>
    <row r="65" spans="1:20" ht="38.25" hidden="1" customHeight="1">
      <c r="A65" s="239" t="s">
        <v>480</v>
      </c>
      <c r="B65" s="240">
        <v>912</v>
      </c>
      <c r="C65" s="241">
        <v>29985</v>
      </c>
      <c r="D65" s="239" t="s">
        <v>3817</v>
      </c>
      <c r="E65" s="239" t="s">
        <v>392</v>
      </c>
      <c r="F65" s="239" t="s">
        <v>393</v>
      </c>
      <c r="G65" s="239" t="s">
        <v>397</v>
      </c>
      <c r="H65" s="239" t="s">
        <v>398</v>
      </c>
      <c r="I65" s="239" t="s">
        <v>399</v>
      </c>
      <c r="J65" s="233"/>
      <c r="K65" s="235">
        <v>45880</v>
      </c>
      <c r="L65" s="233">
        <v>1.3</v>
      </c>
      <c r="M65" s="234" t="s">
        <v>397</v>
      </c>
      <c r="N65" s="234">
        <v>48510</v>
      </c>
      <c r="O65" s="234">
        <v>23920</v>
      </c>
      <c r="P65" s="242">
        <v>31</v>
      </c>
      <c r="Q65" s="234">
        <v>24590</v>
      </c>
      <c r="R65" s="234">
        <v>16967.099999999999</v>
      </c>
      <c r="S65" s="243" t="s">
        <v>533</v>
      </c>
      <c r="T65" s="236">
        <v>45881</v>
      </c>
    </row>
    <row r="66" spans="1:20" ht="38.25" hidden="1" customHeight="1">
      <c r="A66" s="239" t="s">
        <v>481</v>
      </c>
      <c r="B66" s="240">
        <v>913</v>
      </c>
      <c r="C66" s="241">
        <v>29987</v>
      </c>
      <c r="D66" s="239" t="s">
        <v>3817</v>
      </c>
      <c r="E66" s="239" t="s">
        <v>390</v>
      </c>
      <c r="F66" s="239" t="s">
        <v>391</v>
      </c>
      <c r="G66" s="239" t="s">
        <v>397</v>
      </c>
      <c r="H66" s="239" t="s">
        <v>398</v>
      </c>
      <c r="I66" s="239" t="s">
        <v>399</v>
      </c>
      <c r="J66" s="233"/>
      <c r="K66" s="235">
        <v>45880</v>
      </c>
      <c r="L66" s="233">
        <v>1.1000000000000001</v>
      </c>
      <c r="M66" s="234" t="s">
        <v>397</v>
      </c>
      <c r="N66" s="234">
        <v>36020</v>
      </c>
      <c r="O66" s="234">
        <v>14870</v>
      </c>
      <c r="P66" s="242">
        <v>23</v>
      </c>
      <c r="Q66" s="234">
        <v>21150</v>
      </c>
      <c r="R66" s="234">
        <v>16285.5</v>
      </c>
      <c r="S66" s="243" t="s">
        <v>534</v>
      </c>
      <c r="T66" s="236">
        <v>45881</v>
      </c>
    </row>
    <row r="67" spans="1:20" ht="38.25" hidden="1" customHeight="1">
      <c r="A67" s="239" t="s">
        <v>482</v>
      </c>
      <c r="B67" s="240">
        <v>914</v>
      </c>
      <c r="C67" s="241">
        <v>29991</v>
      </c>
      <c r="D67" s="239" t="s">
        <v>3817</v>
      </c>
      <c r="E67" s="239" t="s">
        <v>413</v>
      </c>
      <c r="F67" s="239" t="s">
        <v>414</v>
      </c>
      <c r="G67" s="239" t="s">
        <v>397</v>
      </c>
      <c r="H67" s="239" t="s">
        <v>398</v>
      </c>
      <c r="I67" s="239" t="s">
        <v>399</v>
      </c>
      <c r="J67" s="233"/>
      <c r="K67" s="235">
        <v>45880</v>
      </c>
      <c r="L67" s="233">
        <v>1.4</v>
      </c>
      <c r="M67" s="234" t="s">
        <v>397</v>
      </c>
      <c r="N67" s="234">
        <v>40380</v>
      </c>
      <c r="O67" s="234">
        <v>14930</v>
      </c>
      <c r="P67" s="242">
        <v>31</v>
      </c>
      <c r="Q67" s="234">
        <v>25450</v>
      </c>
      <c r="R67" s="234">
        <v>17560.5</v>
      </c>
      <c r="S67" s="243" t="s">
        <v>535</v>
      </c>
      <c r="T67" s="236">
        <v>45881</v>
      </c>
    </row>
    <row r="68" spans="1:20" ht="38.25" hidden="1" customHeight="1">
      <c r="A68" s="239" t="s">
        <v>483</v>
      </c>
      <c r="B68" s="240">
        <v>915</v>
      </c>
      <c r="C68" s="241">
        <v>29993</v>
      </c>
      <c r="D68" s="239" t="s">
        <v>3817</v>
      </c>
      <c r="E68" s="239" t="s">
        <v>416</v>
      </c>
      <c r="F68" s="239" t="s">
        <v>417</v>
      </c>
      <c r="G68" s="239" t="s">
        <v>397</v>
      </c>
      <c r="H68" s="239" t="s">
        <v>398</v>
      </c>
      <c r="I68" s="239" t="s">
        <v>399</v>
      </c>
      <c r="J68" s="233"/>
      <c r="K68" s="235">
        <v>45880</v>
      </c>
      <c r="L68" s="233">
        <v>1.2</v>
      </c>
      <c r="M68" s="234" t="s">
        <v>397</v>
      </c>
      <c r="N68" s="234">
        <v>37570</v>
      </c>
      <c r="O68" s="234">
        <v>14680</v>
      </c>
      <c r="P68" s="242">
        <v>32</v>
      </c>
      <c r="Q68" s="234">
        <v>22890</v>
      </c>
      <c r="R68" s="234">
        <v>15565.2</v>
      </c>
      <c r="S68" s="243" t="s">
        <v>536</v>
      </c>
      <c r="T68" s="236">
        <v>45881</v>
      </c>
    </row>
    <row r="69" spans="1:20" ht="38.25" hidden="1" customHeight="1">
      <c r="A69" s="239" t="s">
        <v>484</v>
      </c>
      <c r="B69" s="240">
        <v>916</v>
      </c>
      <c r="C69" s="241">
        <v>29997</v>
      </c>
      <c r="D69" s="239" t="s">
        <v>3817</v>
      </c>
      <c r="E69" s="239" t="s">
        <v>456</v>
      </c>
      <c r="F69" s="239" t="s">
        <v>457</v>
      </c>
      <c r="G69" s="239" t="s">
        <v>397</v>
      </c>
      <c r="H69" s="239" t="s">
        <v>398</v>
      </c>
      <c r="I69" s="239" t="s">
        <v>399</v>
      </c>
      <c r="J69" s="233"/>
      <c r="K69" s="235">
        <v>45880</v>
      </c>
      <c r="L69" s="233">
        <v>1.4</v>
      </c>
      <c r="M69" s="234" t="s">
        <v>397</v>
      </c>
      <c r="N69" s="234">
        <v>41630</v>
      </c>
      <c r="O69" s="234">
        <v>15440</v>
      </c>
      <c r="P69" s="242">
        <v>40</v>
      </c>
      <c r="Q69" s="234">
        <v>26190</v>
      </c>
      <c r="R69" s="234">
        <v>15714</v>
      </c>
      <c r="S69" s="243" t="s">
        <v>537</v>
      </c>
      <c r="T69" s="236">
        <v>45881</v>
      </c>
    </row>
    <row r="70" spans="1:20" ht="38.25" hidden="1" customHeight="1">
      <c r="A70" s="239" t="s">
        <v>485</v>
      </c>
      <c r="B70" s="240">
        <v>917</v>
      </c>
      <c r="C70" s="241">
        <v>29995</v>
      </c>
      <c r="D70" s="239" t="s">
        <v>3817</v>
      </c>
      <c r="E70" s="239" t="s">
        <v>453</v>
      </c>
      <c r="F70" s="239" t="s">
        <v>454</v>
      </c>
      <c r="G70" s="239" t="s">
        <v>397</v>
      </c>
      <c r="H70" s="239" t="s">
        <v>398</v>
      </c>
      <c r="I70" s="239" t="s">
        <v>399</v>
      </c>
      <c r="J70" s="233"/>
      <c r="K70" s="235">
        <v>45880</v>
      </c>
      <c r="L70" s="233">
        <v>1.3</v>
      </c>
      <c r="M70" s="234" t="s">
        <v>397</v>
      </c>
      <c r="N70" s="234">
        <v>48220</v>
      </c>
      <c r="O70" s="234">
        <v>23430</v>
      </c>
      <c r="P70" s="242">
        <v>34</v>
      </c>
      <c r="Q70" s="234">
        <v>24790</v>
      </c>
      <c r="R70" s="234">
        <v>16361.4</v>
      </c>
      <c r="S70" s="243" t="s">
        <v>538</v>
      </c>
      <c r="T70" s="236">
        <v>45881</v>
      </c>
    </row>
    <row r="71" spans="1:20" ht="38.25" hidden="1" customHeight="1">
      <c r="A71" s="239" t="s">
        <v>486</v>
      </c>
      <c r="B71" s="240">
        <v>920</v>
      </c>
      <c r="C71" s="241">
        <v>29999</v>
      </c>
      <c r="D71" s="239" t="s">
        <v>3817</v>
      </c>
      <c r="E71" s="239" t="s">
        <v>1410</v>
      </c>
      <c r="F71" s="239" t="s">
        <v>437</v>
      </c>
      <c r="G71" s="239" t="s">
        <v>397</v>
      </c>
      <c r="H71" s="239" t="s">
        <v>398</v>
      </c>
      <c r="I71" s="239" t="s">
        <v>399</v>
      </c>
      <c r="J71" s="233"/>
      <c r="K71" s="235">
        <v>45880</v>
      </c>
      <c r="L71" s="233">
        <v>1.3</v>
      </c>
      <c r="M71" s="234" t="s">
        <v>397</v>
      </c>
      <c r="N71" s="234">
        <v>38530</v>
      </c>
      <c r="O71" s="234">
        <v>14860</v>
      </c>
      <c r="P71" s="242">
        <v>31</v>
      </c>
      <c r="Q71" s="234">
        <v>23670</v>
      </c>
      <c r="R71" s="234">
        <v>16332.3</v>
      </c>
      <c r="S71" s="243" t="s">
        <v>539</v>
      </c>
      <c r="T71" s="236">
        <v>45881</v>
      </c>
    </row>
    <row r="72" spans="1:20" ht="38.25" hidden="1" customHeight="1">
      <c r="A72" s="239" t="s">
        <v>487</v>
      </c>
      <c r="B72" s="240">
        <v>921</v>
      </c>
      <c r="C72" s="245">
        <v>30001</v>
      </c>
      <c r="D72" s="239" t="s">
        <v>3817</v>
      </c>
      <c r="E72" s="239" t="s">
        <v>439</v>
      </c>
      <c r="F72" s="239" t="s">
        <v>440</v>
      </c>
      <c r="G72" s="239" t="s">
        <v>397</v>
      </c>
      <c r="H72" s="239" t="s">
        <v>398</v>
      </c>
      <c r="I72" s="239" t="s">
        <v>399</v>
      </c>
      <c r="J72" s="233"/>
      <c r="K72" s="235">
        <v>45880</v>
      </c>
      <c r="L72" s="233">
        <v>1</v>
      </c>
      <c r="M72" s="234" t="s">
        <v>397</v>
      </c>
      <c r="N72" s="234">
        <v>36940</v>
      </c>
      <c r="O72" s="234">
        <v>15010</v>
      </c>
      <c r="P72" s="242">
        <v>29</v>
      </c>
      <c r="Q72" s="234">
        <v>21930</v>
      </c>
      <c r="R72" s="234">
        <v>15570.3</v>
      </c>
      <c r="S72" s="243" t="s">
        <v>540</v>
      </c>
      <c r="T72" s="236">
        <v>45881</v>
      </c>
    </row>
    <row r="73" spans="1:20" ht="38.25" hidden="1" customHeight="1">
      <c r="A73" s="239" t="s">
        <v>488</v>
      </c>
      <c r="B73" s="240">
        <v>924</v>
      </c>
      <c r="C73" s="241">
        <v>110</v>
      </c>
      <c r="D73" s="239" t="s">
        <v>376</v>
      </c>
      <c r="E73" s="239" t="s">
        <v>372</v>
      </c>
      <c r="F73" s="239" t="s">
        <v>373</v>
      </c>
      <c r="G73" s="239"/>
      <c r="H73" s="239" t="s">
        <v>728</v>
      </c>
      <c r="I73" s="239" t="s">
        <v>371</v>
      </c>
      <c r="J73" s="233">
        <v>27540</v>
      </c>
      <c r="K73" s="235"/>
      <c r="L73" s="233">
        <v>0</v>
      </c>
      <c r="M73" s="234">
        <v>0</v>
      </c>
      <c r="N73" s="234">
        <v>40080</v>
      </c>
      <c r="O73" s="234">
        <v>15110</v>
      </c>
      <c r="P73" s="242">
        <v>20</v>
      </c>
      <c r="Q73" s="234">
        <v>24970</v>
      </c>
      <c r="R73" s="234">
        <v>19976</v>
      </c>
      <c r="S73" s="243" t="s">
        <v>541</v>
      </c>
      <c r="T73" s="236">
        <v>45881</v>
      </c>
    </row>
    <row r="74" spans="1:20" ht="38.25" hidden="1" customHeight="1">
      <c r="A74" s="239" t="s">
        <v>489</v>
      </c>
      <c r="B74" s="240">
        <v>925</v>
      </c>
      <c r="C74" s="241">
        <v>111</v>
      </c>
      <c r="D74" s="239" t="s">
        <v>376</v>
      </c>
      <c r="E74" s="239" t="s">
        <v>369</v>
      </c>
      <c r="F74" s="239" t="s">
        <v>370</v>
      </c>
      <c r="G74" s="239"/>
      <c r="H74" s="239" t="s">
        <v>728</v>
      </c>
      <c r="I74" s="239" t="s">
        <v>371</v>
      </c>
      <c r="J74" s="233">
        <v>26740</v>
      </c>
      <c r="K74" s="235"/>
      <c r="L74" s="233">
        <v>0</v>
      </c>
      <c r="M74" s="234">
        <v>0</v>
      </c>
      <c r="N74" s="234">
        <v>39940</v>
      </c>
      <c r="O74" s="234">
        <v>15110</v>
      </c>
      <c r="P74" s="242">
        <v>4</v>
      </c>
      <c r="Q74" s="234">
        <v>24830</v>
      </c>
      <c r="R74" s="234">
        <v>23836.799999999999</v>
      </c>
      <c r="S74" s="243" t="s">
        <v>542</v>
      </c>
      <c r="T74" s="236">
        <v>45881</v>
      </c>
    </row>
    <row r="75" spans="1:20" ht="38.25" hidden="1" customHeight="1">
      <c r="A75" s="239" t="s">
        <v>727</v>
      </c>
      <c r="B75" s="240">
        <v>926</v>
      </c>
      <c r="C75" s="241">
        <v>112</v>
      </c>
      <c r="D75" s="239" t="s">
        <v>376</v>
      </c>
      <c r="E75" s="239" t="s">
        <v>403</v>
      </c>
      <c r="F75" s="239" t="s">
        <v>404</v>
      </c>
      <c r="G75" s="239"/>
      <c r="H75" s="239" t="s">
        <v>728</v>
      </c>
      <c r="I75" s="239" t="s">
        <v>371</v>
      </c>
      <c r="J75" s="233">
        <v>24970</v>
      </c>
      <c r="K75" s="235"/>
      <c r="L75" s="233">
        <v>0</v>
      </c>
      <c r="M75" s="234">
        <v>0</v>
      </c>
      <c r="N75" s="234">
        <v>42080</v>
      </c>
      <c r="O75" s="234">
        <v>14540</v>
      </c>
      <c r="P75" s="242">
        <v>4</v>
      </c>
      <c r="Q75" s="234">
        <v>27540</v>
      </c>
      <c r="R75" s="234">
        <v>26438.400000000001</v>
      </c>
      <c r="S75" s="243" t="s">
        <v>752</v>
      </c>
      <c r="T75" s="236">
        <v>45881</v>
      </c>
    </row>
    <row r="76" spans="1:20" ht="38.25" hidden="1" customHeight="1">
      <c r="A76" s="239" t="s">
        <v>732</v>
      </c>
      <c r="B76" s="240">
        <v>935</v>
      </c>
      <c r="C76" s="241">
        <v>119</v>
      </c>
      <c r="D76" s="239" t="s">
        <v>376</v>
      </c>
      <c r="E76" s="239" t="s">
        <v>388</v>
      </c>
      <c r="F76" s="239" t="s">
        <v>389</v>
      </c>
      <c r="G76" s="239"/>
      <c r="H76" s="239" t="s">
        <v>728</v>
      </c>
      <c r="I76" s="239" t="s">
        <v>371</v>
      </c>
      <c r="J76" s="233">
        <v>25530</v>
      </c>
      <c r="K76" s="235"/>
      <c r="L76" s="233">
        <v>0</v>
      </c>
      <c r="M76" s="234">
        <v>0</v>
      </c>
      <c r="N76" s="234">
        <v>56270</v>
      </c>
      <c r="O76" s="234">
        <v>20960</v>
      </c>
      <c r="P76" s="242">
        <v>19</v>
      </c>
      <c r="Q76" s="234">
        <v>35310</v>
      </c>
      <c r="R76" s="234">
        <v>28601.1</v>
      </c>
      <c r="S76" s="243" t="s">
        <v>756</v>
      </c>
      <c r="T76" s="236">
        <v>45882</v>
      </c>
    </row>
    <row r="77" spans="1:20" ht="38.25" hidden="1" customHeight="1">
      <c r="A77" s="239" t="s">
        <v>735</v>
      </c>
      <c r="B77" s="240">
        <v>934</v>
      </c>
      <c r="C77" s="241">
        <v>118</v>
      </c>
      <c r="D77" s="239" t="s">
        <v>376</v>
      </c>
      <c r="E77" s="239" t="s">
        <v>400</v>
      </c>
      <c r="F77" s="239" t="s">
        <v>401</v>
      </c>
      <c r="G77" s="239"/>
      <c r="H77" s="239" t="s">
        <v>728</v>
      </c>
      <c r="I77" s="239" t="s">
        <v>371</v>
      </c>
      <c r="J77" s="233">
        <v>29270</v>
      </c>
      <c r="K77" s="235"/>
      <c r="L77" s="233">
        <v>0</v>
      </c>
      <c r="M77" s="234">
        <v>0</v>
      </c>
      <c r="N77" s="234">
        <v>40290</v>
      </c>
      <c r="O77" s="234">
        <v>14760</v>
      </c>
      <c r="P77" s="242">
        <v>34</v>
      </c>
      <c r="Q77" s="234">
        <v>25530</v>
      </c>
      <c r="R77" s="234">
        <v>16849.8</v>
      </c>
      <c r="S77" s="243" t="s">
        <v>759</v>
      </c>
      <c r="T77" s="236">
        <v>45882</v>
      </c>
    </row>
    <row r="78" spans="1:20" ht="38.25" hidden="1" customHeight="1">
      <c r="A78" s="239" t="s">
        <v>729</v>
      </c>
      <c r="B78" s="240">
        <v>927</v>
      </c>
      <c r="C78" s="241">
        <v>113</v>
      </c>
      <c r="D78" s="239" t="s">
        <v>376</v>
      </c>
      <c r="E78" s="239" t="s">
        <v>406</v>
      </c>
      <c r="F78" s="239" t="s">
        <v>407</v>
      </c>
      <c r="G78" s="239"/>
      <c r="H78" s="239" t="s">
        <v>728</v>
      </c>
      <c r="I78" s="239" t="s">
        <v>371</v>
      </c>
      <c r="J78" s="233">
        <v>24830</v>
      </c>
      <c r="K78" s="235"/>
      <c r="L78" s="233">
        <v>0</v>
      </c>
      <c r="M78" s="234">
        <v>0</v>
      </c>
      <c r="N78" s="234">
        <v>41830</v>
      </c>
      <c r="O78" s="234">
        <v>15090</v>
      </c>
      <c r="P78" s="242">
        <v>3</v>
      </c>
      <c r="Q78" s="234">
        <v>26740</v>
      </c>
      <c r="R78" s="234">
        <v>25937.8</v>
      </c>
      <c r="S78" s="243" t="s">
        <v>753</v>
      </c>
      <c r="T78" s="236">
        <v>45881</v>
      </c>
    </row>
    <row r="79" spans="1:20" ht="38.25" hidden="1" customHeight="1">
      <c r="A79" s="239" t="s">
        <v>733</v>
      </c>
      <c r="B79" s="240">
        <v>933</v>
      </c>
      <c r="C79" s="241">
        <v>117</v>
      </c>
      <c r="D79" s="239" t="s">
        <v>376</v>
      </c>
      <c r="E79" s="239" t="s">
        <v>413</v>
      </c>
      <c r="F79" s="239" t="s">
        <v>414</v>
      </c>
      <c r="G79" s="239"/>
      <c r="H79" s="239" t="s">
        <v>728</v>
      </c>
      <c r="I79" s="239" t="s">
        <v>371</v>
      </c>
      <c r="J79" s="233">
        <v>27940</v>
      </c>
      <c r="K79" s="235"/>
      <c r="L79" s="233">
        <v>0</v>
      </c>
      <c r="M79" s="234">
        <v>0</v>
      </c>
      <c r="N79" s="234">
        <v>42950</v>
      </c>
      <c r="O79" s="234">
        <v>15010</v>
      </c>
      <c r="P79" s="242">
        <v>22</v>
      </c>
      <c r="Q79" s="234">
        <v>27940</v>
      </c>
      <c r="R79" s="234">
        <v>21793.200000000001</v>
      </c>
      <c r="S79" s="243" t="s">
        <v>757</v>
      </c>
      <c r="T79" s="236">
        <v>45882</v>
      </c>
    </row>
    <row r="80" spans="1:20" ht="38.25" hidden="1" customHeight="1">
      <c r="A80" s="239" t="s">
        <v>734</v>
      </c>
      <c r="B80" s="240">
        <v>932</v>
      </c>
      <c r="C80" s="241">
        <v>116</v>
      </c>
      <c r="D80" s="239" t="s">
        <v>376</v>
      </c>
      <c r="E80" s="239" t="s">
        <v>432</v>
      </c>
      <c r="F80" s="239" t="s">
        <v>433</v>
      </c>
      <c r="G80" s="239"/>
      <c r="H80" s="239" t="s">
        <v>728</v>
      </c>
      <c r="I80" s="239" t="s">
        <v>371</v>
      </c>
      <c r="J80" s="233">
        <v>35310</v>
      </c>
      <c r="K80" s="235"/>
      <c r="L80" s="233">
        <v>0</v>
      </c>
      <c r="M80" s="234">
        <v>0</v>
      </c>
      <c r="N80" s="234">
        <v>44940</v>
      </c>
      <c r="O80" s="234">
        <v>15670</v>
      </c>
      <c r="P80" s="242">
        <v>20</v>
      </c>
      <c r="Q80" s="234">
        <v>29270</v>
      </c>
      <c r="R80" s="234">
        <v>23416</v>
      </c>
      <c r="S80" s="243" t="s">
        <v>758</v>
      </c>
      <c r="T80" s="236">
        <v>45882</v>
      </c>
    </row>
    <row r="81" spans="1:20" ht="38.25" hidden="1" customHeight="1">
      <c r="A81" s="239" t="s">
        <v>731</v>
      </c>
      <c r="B81" s="240">
        <v>931</v>
      </c>
      <c r="C81" s="241">
        <v>115</v>
      </c>
      <c r="D81" s="239" t="s">
        <v>376</v>
      </c>
      <c r="E81" s="239" t="s">
        <v>425</v>
      </c>
      <c r="F81" s="239" t="s">
        <v>426</v>
      </c>
      <c r="G81" s="239"/>
      <c r="H81" s="239" t="s">
        <v>728</v>
      </c>
      <c r="I81" s="239" t="s">
        <v>371</v>
      </c>
      <c r="J81" s="233">
        <v>31170</v>
      </c>
      <c r="K81" s="235"/>
      <c r="L81" s="233">
        <v>0</v>
      </c>
      <c r="M81" s="234">
        <v>0</v>
      </c>
      <c r="N81" s="234">
        <v>49870</v>
      </c>
      <c r="O81" s="234">
        <v>18700</v>
      </c>
      <c r="P81" s="242">
        <v>32</v>
      </c>
      <c r="Q81" s="234">
        <v>31170</v>
      </c>
      <c r="R81" s="234">
        <v>21195.599999999999</v>
      </c>
      <c r="S81" s="243" t="s">
        <v>755</v>
      </c>
      <c r="T81" s="236">
        <v>45881</v>
      </c>
    </row>
    <row r="82" spans="1:20" ht="38.25" hidden="1" customHeight="1">
      <c r="A82" s="239" t="s">
        <v>730</v>
      </c>
      <c r="B82" s="240">
        <v>930</v>
      </c>
      <c r="C82" s="241">
        <v>114</v>
      </c>
      <c r="D82" s="239" t="s">
        <v>376</v>
      </c>
      <c r="E82" s="239" t="s">
        <v>377</v>
      </c>
      <c r="F82" s="239" t="s">
        <v>378</v>
      </c>
      <c r="G82" s="239"/>
      <c r="H82" s="239" t="s">
        <v>728</v>
      </c>
      <c r="I82" s="239" t="s">
        <v>371</v>
      </c>
      <c r="J82" s="233">
        <v>28380</v>
      </c>
      <c r="K82" s="235"/>
      <c r="L82" s="233">
        <v>0</v>
      </c>
      <c r="M82" s="234">
        <v>0</v>
      </c>
      <c r="N82" s="234">
        <v>43510</v>
      </c>
      <c r="O82" s="234">
        <v>15130</v>
      </c>
      <c r="P82" s="242">
        <v>22</v>
      </c>
      <c r="Q82" s="234">
        <v>28380</v>
      </c>
      <c r="R82" s="234">
        <v>22136.400000000001</v>
      </c>
      <c r="S82" s="243" t="s">
        <v>754</v>
      </c>
      <c r="T82" s="236">
        <v>45881</v>
      </c>
    </row>
    <row r="83" spans="1:20" ht="38.25" hidden="1" customHeight="1">
      <c r="A83" s="239" t="s">
        <v>736</v>
      </c>
      <c r="B83" s="240">
        <v>937</v>
      </c>
      <c r="C83" s="241">
        <v>120</v>
      </c>
      <c r="D83" s="239" t="s">
        <v>376</v>
      </c>
      <c r="E83" s="239" t="s">
        <v>390</v>
      </c>
      <c r="F83" s="239" t="s">
        <v>391</v>
      </c>
      <c r="G83" s="239"/>
      <c r="H83" s="239" t="s">
        <v>728</v>
      </c>
      <c r="I83" s="239" t="s">
        <v>371</v>
      </c>
      <c r="J83" s="233">
        <v>28900</v>
      </c>
      <c r="K83" s="235"/>
      <c r="L83" s="233">
        <v>0</v>
      </c>
      <c r="M83" s="234">
        <v>0</v>
      </c>
      <c r="N83" s="234">
        <v>39300</v>
      </c>
      <c r="O83" s="234">
        <v>14950</v>
      </c>
      <c r="P83" s="242">
        <v>13</v>
      </c>
      <c r="Q83" s="234">
        <v>24350</v>
      </c>
      <c r="R83" s="234">
        <v>21184.5</v>
      </c>
      <c r="S83" s="243" t="s">
        <v>760</v>
      </c>
      <c r="T83" s="236">
        <v>45882</v>
      </c>
    </row>
    <row r="84" spans="1:20" ht="38.25" hidden="1" customHeight="1">
      <c r="A84" s="239" t="s">
        <v>737</v>
      </c>
      <c r="B84" s="240">
        <v>939</v>
      </c>
      <c r="C84" s="241">
        <v>122</v>
      </c>
      <c r="D84" s="239" t="s">
        <v>376</v>
      </c>
      <c r="E84" s="239" t="s">
        <v>453</v>
      </c>
      <c r="F84" s="239" t="s">
        <v>454</v>
      </c>
      <c r="G84" s="239"/>
      <c r="H84" s="239" t="s">
        <v>728</v>
      </c>
      <c r="I84" s="239" t="s">
        <v>371</v>
      </c>
      <c r="J84" s="233">
        <v>27460</v>
      </c>
      <c r="K84" s="235"/>
      <c r="L84" s="233">
        <v>0</v>
      </c>
      <c r="M84" s="234">
        <v>0</v>
      </c>
      <c r="N84" s="234">
        <v>52350</v>
      </c>
      <c r="O84" s="234">
        <v>23450</v>
      </c>
      <c r="P84" s="242">
        <v>10</v>
      </c>
      <c r="Q84" s="234">
        <v>28900</v>
      </c>
      <c r="R84" s="234">
        <v>26010</v>
      </c>
      <c r="S84" s="243" t="s">
        <v>761</v>
      </c>
      <c r="T84" s="236">
        <v>45882</v>
      </c>
    </row>
    <row r="85" spans="1:20" ht="38.25" hidden="1" customHeight="1">
      <c r="A85" s="239" t="s">
        <v>738</v>
      </c>
      <c r="B85" s="240">
        <v>940</v>
      </c>
      <c r="C85" s="241">
        <v>123</v>
      </c>
      <c r="D85" s="239" t="s">
        <v>376</v>
      </c>
      <c r="E85" s="239" t="s">
        <v>456</v>
      </c>
      <c r="F85" s="239" t="s">
        <v>457</v>
      </c>
      <c r="G85" s="239"/>
      <c r="H85" s="239" t="s">
        <v>728</v>
      </c>
      <c r="I85" s="239" t="s">
        <v>371</v>
      </c>
      <c r="J85" s="233">
        <v>39440</v>
      </c>
      <c r="K85" s="235"/>
      <c r="L85" s="233">
        <v>0</v>
      </c>
      <c r="M85" s="234">
        <v>0</v>
      </c>
      <c r="N85" s="234">
        <v>43100</v>
      </c>
      <c r="O85" s="234">
        <v>15640</v>
      </c>
      <c r="P85" s="242">
        <v>15</v>
      </c>
      <c r="Q85" s="234">
        <v>27460</v>
      </c>
      <c r="R85" s="234">
        <v>23341</v>
      </c>
      <c r="S85" s="243" t="s">
        <v>762</v>
      </c>
      <c r="T85" s="236">
        <v>45882</v>
      </c>
    </row>
    <row r="86" spans="1:20" ht="38.25" hidden="1" customHeight="1">
      <c r="A86" s="239" t="s">
        <v>739</v>
      </c>
      <c r="B86" s="240">
        <v>936</v>
      </c>
      <c r="C86" s="241">
        <v>121</v>
      </c>
      <c r="D86" s="239" t="s">
        <v>376</v>
      </c>
      <c r="E86" s="239" t="s">
        <v>392</v>
      </c>
      <c r="F86" s="239" t="s">
        <v>393</v>
      </c>
      <c r="G86" s="239"/>
      <c r="H86" s="239" t="s">
        <v>728</v>
      </c>
      <c r="I86" s="239" t="s">
        <v>371</v>
      </c>
      <c r="J86" s="233">
        <v>24350</v>
      </c>
      <c r="K86" s="235"/>
      <c r="L86" s="233">
        <v>0</v>
      </c>
      <c r="M86" s="234">
        <v>0</v>
      </c>
      <c r="N86" s="234">
        <v>63600</v>
      </c>
      <c r="O86" s="234">
        <v>24160</v>
      </c>
      <c r="P86" s="242">
        <v>10</v>
      </c>
      <c r="Q86" s="234">
        <v>39440</v>
      </c>
      <c r="R86" s="234">
        <v>35496</v>
      </c>
      <c r="S86" s="243" t="s">
        <v>763</v>
      </c>
      <c r="T86" s="236">
        <v>45882</v>
      </c>
    </row>
    <row r="87" spans="1:20" ht="38.25" hidden="1" customHeight="1">
      <c r="A87" s="239" t="s">
        <v>740</v>
      </c>
      <c r="B87" s="240">
        <v>941</v>
      </c>
      <c r="C87" s="241">
        <v>124</v>
      </c>
      <c r="D87" s="239" t="s">
        <v>376</v>
      </c>
      <c r="E87" s="239" t="s">
        <v>1410</v>
      </c>
      <c r="F87" s="239" t="s">
        <v>437</v>
      </c>
      <c r="G87" s="239"/>
      <c r="H87" s="239" t="s">
        <v>728</v>
      </c>
      <c r="I87" s="239" t="s">
        <v>371</v>
      </c>
      <c r="J87" s="233">
        <v>26530</v>
      </c>
      <c r="K87" s="235"/>
      <c r="L87" s="233">
        <v>0</v>
      </c>
      <c r="M87" s="234">
        <v>0</v>
      </c>
      <c r="N87" s="234">
        <v>41440</v>
      </c>
      <c r="O87" s="234">
        <v>14910</v>
      </c>
      <c r="P87" s="242">
        <v>9</v>
      </c>
      <c r="Q87" s="234">
        <v>26530</v>
      </c>
      <c r="R87" s="234">
        <v>24142.3</v>
      </c>
      <c r="S87" s="243" t="s">
        <v>764</v>
      </c>
      <c r="T87" s="236">
        <v>45882</v>
      </c>
    </row>
    <row r="88" spans="1:20" ht="38.25" hidden="1" customHeight="1">
      <c r="A88" s="239" t="s">
        <v>741</v>
      </c>
      <c r="B88" s="240">
        <v>942</v>
      </c>
      <c r="C88" s="241">
        <v>125</v>
      </c>
      <c r="D88" s="239" t="s">
        <v>376</v>
      </c>
      <c r="E88" s="239" t="s">
        <v>439</v>
      </c>
      <c r="F88" s="239" t="s">
        <v>440</v>
      </c>
      <c r="G88" s="239"/>
      <c r="H88" s="239" t="s">
        <v>728</v>
      </c>
      <c r="I88" s="239" t="s">
        <v>371</v>
      </c>
      <c r="J88" s="233">
        <v>25020</v>
      </c>
      <c r="K88" s="235"/>
      <c r="L88" s="233">
        <v>0</v>
      </c>
      <c r="M88" s="234">
        <v>0</v>
      </c>
      <c r="N88" s="234">
        <v>40150</v>
      </c>
      <c r="O88" s="234">
        <v>15130</v>
      </c>
      <c r="P88" s="242">
        <v>9</v>
      </c>
      <c r="Q88" s="234">
        <v>25020</v>
      </c>
      <c r="R88" s="234">
        <v>22768.2</v>
      </c>
      <c r="S88" s="243" t="s">
        <v>765</v>
      </c>
      <c r="T88" s="236">
        <v>45882</v>
      </c>
    </row>
    <row r="89" spans="1:20" ht="38.25" hidden="1" customHeight="1">
      <c r="A89" s="239" t="s">
        <v>742</v>
      </c>
      <c r="B89" s="240">
        <v>944</v>
      </c>
      <c r="C89" s="241">
        <v>127</v>
      </c>
      <c r="D89" s="239" t="s">
        <v>376</v>
      </c>
      <c r="E89" s="239" t="s">
        <v>382</v>
      </c>
      <c r="F89" s="239" t="s">
        <v>383</v>
      </c>
      <c r="G89" s="239"/>
      <c r="H89" s="239" t="s">
        <v>728</v>
      </c>
      <c r="I89" s="239" t="s">
        <v>371</v>
      </c>
      <c r="J89" s="233">
        <v>24770</v>
      </c>
      <c r="K89" s="235"/>
      <c r="L89" s="233">
        <v>0</v>
      </c>
      <c r="M89" s="234">
        <v>0</v>
      </c>
      <c r="N89" s="234">
        <v>39350</v>
      </c>
      <c r="O89" s="234">
        <v>14580</v>
      </c>
      <c r="P89" s="242">
        <v>13</v>
      </c>
      <c r="Q89" s="234">
        <v>24770</v>
      </c>
      <c r="R89" s="234">
        <v>21549.9</v>
      </c>
      <c r="S89" s="243" t="s">
        <v>766</v>
      </c>
      <c r="T89" s="236">
        <v>45882</v>
      </c>
    </row>
    <row r="90" spans="1:20" ht="38.25" hidden="1" customHeight="1">
      <c r="A90" s="239" t="s">
        <v>743</v>
      </c>
      <c r="B90" s="240">
        <v>945</v>
      </c>
      <c r="C90" s="241">
        <v>126</v>
      </c>
      <c r="D90" s="239" t="s">
        <v>376</v>
      </c>
      <c r="E90" s="239" t="s">
        <v>447</v>
      </c>
      <c r="F90" s="239" t="s">
        <v>448</v>
      </c>
      <c r="G90" s="239"/>
      <c r="H90" s="239" t="s">
        <v>728</v>
      </c>
      <c r="I90" s="239" t="s">
        <v>371</v>
      </c>
      <c r="J90" s="233">
        <v>32190</v>
      </c>
      <c r="K90" s="235"/>
      <c r="L90" s="233">
        <v>0</v>
      </c>
      <c r="M90" s="234">
        <v>0</v>
      </c>
      <c r="N90" s="234">
        <v>51680</v>
      </c>
      <c r="O90" s="234">
        <v>19490</v>
      </c>
      <c r="P90" s="242">
        <v>4</v>
      </c>
      <c r="Q90" s="234">
        <v>32190</v>
      </c>
      <c r="R90" s="234">
        <v>30902.400000000001</v>
      </c>
      <c r="S90" s="243" t="s">
        <v>767</v>
      </c>
      <c r="T90" s="236">
        <v>45882</v>
      </c>
    </row>
    <row r="91" spans="1:20" ht="38.25" hidden="1" customHeight="1">
      <c r="A91" s="239" t="s">
        <v>744</v>
      </c>
      <c r="B91" s="240">
        <v>946</v>
      </c>
      <c r="C91" s="241">
        <v>129</v>
      </c>
      <c r="D91" s="239" t="s">
        <v>376</v>
      </c>
      <c r="E91" s="239" t="s">
        <v>384</v>
      </c>
      <c r="F91" s="239" t="s">
        <v>385</v>
      </c>
      <c r="G91" s="239"/>
      <c r="H91" s="239" t="s">
        <v>728</v>
      </c>
      <c r="I91" s="239" t="s">
        <v>371</v>
      </c>
      <c r="J91" s="233">
        <v>24480</v>
      </c>
      <c r="K91" s="235"/>
      <c r="L91" s="233">
        <v>0</v>
      </c>
      <c r="M91" s="234">
        <v>0</v>
      </c>
      <c r="N91" s="234">
        <v>38460</v>
      </c>
      <c r="O91" s="234">
        <v>13980</v>
      </c>
      <c r="P91" s="242">
        <v>5</v>
      </c>
      <c r="Q91" s="234">
        <v>24480</v>
      </c>
      <c r="R91" s="234">
        <v>23256</v>
      </c>
      <c r="S91" s="243" t="s">
        <v>768</v>
      </c>
      <c r="T91" s="236">
        <v>45882</v>
      </c>
    </row>
    <row r="92" spans="1:20" ht="38.25" hidden="1" customHeight="1">
      <c r="A92" s="239" t="s">
        <v>746</v>
      </c>
      <c r="B92" s="240">
        <v>947</v>
      </c>
      <c r="C92" s="241">
        <v>131</v>
      </c>
      <c r="D92" s="239" t="s">
        <v>376</v>
      </c>
      <c r="E92" s="239" t="s">
        <v>386</v>
      </c>
      <c r="F92" s="239" t="s">
        <v>387</v>
      </c>
      <c r="G92" s="239"/>
      <c r="H92" s="239" t="s">
        <v>728</v>
      </c>
      <c r="I92" s="239" t="s">
        <v>371</v>
      </c>
      <c r="J92" s="233">
        <v>26040</v>
      </c>
      <c r="K92" s="235"/>
      <c r="L92" s="233">
        <v>0</v>
      </c>
      <c r="M92" s="234">
        <v>0</v>
      </c>
      <c r="N92" s="234">
        <v>43230</v>
      </c>
      <c r="O92" s="234">
        <v>15390</v>
      </c>
      <c r="P92" s="242">
        <v>4</v>
      </c>
      <c r="Q92" s="234">
        <v>27840</v>
      </c>
      <c r="R92" s="234">
        <v>26726.400000000001</v>
      </c>
      <c r="S92" s="243" t="s">
        <v>770</v>
      </c>
      <c r="T92" s="236">
        <v>45882</v>
      </c>
    </row>
    <row r="93" spans="1:20" ht="38.25" hidden="1" customHeight="1">
      <c r="A93" s="239" t="s">
        <v>747</v>
      </c>
      <c r="B93" s="240">
        <v>948</v>
      </c>
      <c r="C93" s="241">
        <v>110</v>
      </c>
      <c r="D93" s="239" t="s">
        <v>376</v>
      </c>
      <c r="E93" s="239" t="s">
        <v>372</v>
      </c>
      <c r="F93" s="239" t="s">
        <v>373</v>
      </c>
      <c r="G93" s="239"/>
      <c r="H93" s="239" t="s">
        <v>728</v>
      </c>
      <c r="I93" s="239" t="s">
        <v>371</v>
      </c>
      <c r="J93" s="233">
        <v>27840</v>
      </c>
      <c r="K93" s="235"/>
      <c r="L93" s="233">
        <v>0</v>
      </c>
      <c r="M93" s="234">
        <v>0</v>
      </c>
      <c r="N93" s="234">
        <v>41550</v>
      </c>
      <c r="O93" s="234">
        <v>15130</v>
      </c>
      <c r="P93" s="242">
        <v>10</v>
      </c>
      <c r="Q93" s="234">
        <v>26420</v>
      </c>
      <c r="R93" s="234">
        <v>23778</v>
      </c>
      <c r="S93" s="243" t="s">
        <v>771</v>
      </c>
      <c r="T93" s="236">
        <v>45882</v>
      </c>
    </row>
    <row r="94" spans="1:20" ht="38.25" hidden="1" customHeight="1">
      <c r="A94" s="239" t="s">
        <v>745</v>
      </c>
      <c r="B94" s="240">
        <v>949</v>
      </c>
      <c r="C94" s="241">
        <v>132</v>
      </c>
      <c r="D94" s="239" t="s">
        <v>376</v>
      </c>
      <c r="E94" s="239" t="s">
        <v>377</v>
      </c>
      <c r="F94" s="239" t="s">
        <v>378</v>
      </c>
      <c r="G94" s="239"/>
      <c r="H94" s="239" t="s">
        <v>728</v>
      </c>
      <c r="I94" s="239" t="s">
        <v>371</v>
      </c>
      <c r="J94" s="233">
        <v>26420</v>
      </c>
      <c r="K94" s="235"/>
      <c r="L94" s="233">
        <v>0</v>
      </c>
      <c r="M94" s="234">
        <v>0</v>
      </c>
      <c r="N94" s="234">
        <v>41190</v>
      </c>
      <c r="O94" s="234">
        <v>15150</v>
      </c>
      <c r="P94" s="242">
        <v>18</v>
      </c>
      <c r="Q94" s="234">
        <v>26040</v>
      </c>
      <c r="R94" s="234">
        <v>21352.799999999999</v>
      </c>
      <c r="S94" s="243" t="s">
        <v>769</v>
      </c>
      <c r="T94" s="236">
        <v>45882</v>
      </c>
    </row>
    <row r="95" spans="1:20" ht="38.25" hidden="1" customHeight="1">
      <c r="A95" s="239" t="s">
        <v>748</v>
      </c>
      <c r="B95" s="240">
        <v>950</v>
      </c>
      <c r="C95" s="241">
        <v>135</v>
      </c>
      <c r="D95" s="239" t="s">
        <v>376</v>
      </c>
      <c r="E95" s="239" t="s">
        <v>403</v>
      </c>
      <c r="F95" s="239" t="s">
        <v>404</v>
      </c>
      <c r="G95" s="239"/>
      <c r="H95" s="239" t="s">
        <v>728</v>
      </c>
      <c r="I95" s="239" t="s">
        <v>371</v>
      </c>
      <c r="J95" s="233">
        <v>29060</v>
      </c>
      <c r="K95" s="235"/>
      <c r="L95" s="233">
        <v>0</v>
      </c>
      <c r="M95" s="234">
        <v>0</v>
      </c>
      <c r="N95" s="234">
        <v>43580</v>
      </c>
      <c r="O95" s="234">
        <v>14520</v>
      </c>
      <c r="P95" s="242">
        <v>17</v>
      </c>
      <c r="Q95" s="234">
        <v>29060</v>
      </c>
      <c r="R95" s="234">
        <v>24119.8</v>
      </c>
      <c r="S95" s="243" t="s">
        <v>772</v>
      </c>
      <c r="T95" s="236">
        <v>45883</v>
      </c>
    </row>
    <row r="96" spans="1:20" ht="38.25" hidden="1" customHeight="1">
      <c r="A96" s="239" t="s">
        <v>749</v>
      </c>
      <c r="B96" s="240">
        <v>951</v>
      </c>
      <c r="C96" s="241">
        <v>136</v>
      </c>
      <c r="D96" s="239" t="s">
        <v>376</v>
      </c>
      <c r="E96" s="239" t="s">
        <v>406</v>
      </c>
      <c r="F96" s="239" t="s">
        <v>407</v>
      </c>
      <c r="G96" s="239"/>
      <c r="H96" s="239" t="s">
        <v>728</v>
      </c>
      <c r="I96" s="239" t="s">
        <v>371</v>
      </c>
      <c r="J96" s="233">
        <v>27120</v>
      </c>
      <c r="K96" s="235"/>
      <c r="L96" s="233">
        <v>0</v>
      </c>
      <c r="M96" s="234">
        <v>0</v>
      </c>
      <c r="N96" s="234">
        <v>42250</v>
      </c>
      <c r="O96" s="234">
        <v>15130</v>
      </c>
      <c r="P96" s="242">
        <v>4</v>
      </c>
      <c r="Q96" s="234">
        <v>27120</v>
      </c>
      <c r="R96" s="234">
        <v>26035.200000000001</v>
      </c>
      <c r="S96" s="243" t="s">
        <v>773</v>
      </c>
      <c r="T96" s="236">
        <v>45883</v>
      </c>
    </row>
    <row r="97" spans="1:20" ht="38.25" hidden="1" customHeight="1">
      <c r="A97" s="239" t="s">
        <v>788</v>
      </c>
      <c r="B97" s="240">
        <v>952</v>
      </c>
      <c r="C97" s="241">
        <v>30004</v>
      </c>
      <c r="D97" s="239" t="s">
        <v>3817</v>
      </c>
      <c r="E97" s="239" t="s">
        <v>380</v>
      </c>
      <c r="F97" s="239" t="s">
        <v>381</v>
      </c>
      <c r="G97" s="239" t="s">
        <v>750</v>
      </c>
      <c r="H97" s="239" t="s">
        <v>777</v>
      </c>
      <c r="I97" s="239" t="s">
        <v>399</v>
      </c>
      <c r="J97" s="233"/>
      <c r="K97" s="235">
        <v>45882</v>
      </c>
      <c r="L97" s="233">
        <v>1.4</v>
      </c>
      <c r="M97" s="234" t="s">
        <v>750</v>
      </c>
      <c r="N97" s="234">
        <v>35530</v>
      </c>
      <c r="O97" s="234">
        <v>15060</v>
      </c>
      <c r="P97" s="242">
        <v>6</v>
      </c>
      <c r="Q97" s="234">
        <v>20470</v>
      </c>
      <c r="R97" s="234">
        <v>19241.8</v>
      </c>
      <c r="S97" s="243" t="s">
        <v>774</v>
      </c>
      <c r="T97" s="236">
        <v>45883</v>
      </c>
    </row>
    <row r="98" spans="1:20" ht="38.25" hidden="1" customHeight="1">
      <c r="A98" s="239" t="s">
        <v>789</v>
      </c>
      <c r="B98" s="240">
        <v>953</v>
      </c>
      <c r="C98" s="241">
        <v>30006</v>
      </c>
      <c r="D98" s="239" t="s">
        <v>3817</v>
      </c>
      <c r="E98" s="239" t="s">
        <v>410</v>
      </c>
      <c r="F98" s="239" t="s">
        <v>411</v>
      </c>
      <c r="G98" s="239" t="s">
        <v>750</v>
      </c>
      <c r="H98" s="239" t="s">
        <v>777</v>
      </c>
      <c r="I98" s="239" t="s">
        <v>399</v>
      </c>
      <c r="J98" s="233"/>
      <c r="K98" s="235">
        <v>45882</v>
      </c>
      <c r="L98" s="233">
        <v>1.4</v>
      </c>
      <c r="M98" s="234" t="s">
        <v>750</v>
      </c>
      <c r="N98" s="234">
        <v>36240</v>
      </c>
      <c r="O98" s="234">
        <v>14980</v>
      </c>
      <c r="P98" s="242">
        <v>16</v>
      </c>
      <c r="Q98" s="234">
        <v>21260</v>
      </c>
      <c r="R98" s="234">
        <v>17858.400000000001</v>
      </c>
      <c r="S98" s="243" t="s">
        <v>775</v>
      </c>
      <c r="T98" s="236">
        <v>45883</v>
      </c>
    </row>
    <row r="99" spans="1:20" ht="38.25" hidden="1" customHeight="1">
      <c r="A99" s="239" t="s">
        <v>751</v>
      </c>
      <c r="B99" s="240">
        <v>954</v>
      </c>
      <c r="C99" s="241">
        <v>30017</v>
      </c>
      <c r="D99" s="239" t="s">
        <v>3817</v>
      </c>
      <c r="E99" s="239" t="s">
        <v>420</v>
      </c>
      <c r="F99" s="239" t="s">
        <v>421</v>
      </c>
      <c r="G99" s="239" t="s">
        <v>750</v>
      </c>
      <c r="H99" s="239" t="s">
        <v>777</v>
      </c>
      <c r="I99" s="239" t="s">
        <v>399</v>
      </c>
      <c r="J99" s="233"/>
      <c r="K99" s="235">
        <v>45882</v>
      </c>
      <c r="L99" s="233">
        <v>1.3</v>
      </c>
      <c r="M99" s="234" t="s">
        <v>750</v>
      </c>
      <c r="N99" s="234">
        <v>34280</v>
      </c>
      <c r="O99" s="234">
        <v>14870</v>
      </c>
      <c r="P99" s="242">
        <v>16</v>
      </c>
      <c r="Q99" s="234">
        <v>19410</v>
      </c>
      <c r="R99" s="234">
        <v>16304.4</v>
      </c>
      <c r="S99" s="243" t="s">
        <v>776</v>
      </c>
      <c r="T99" s="236">
        <v>45883</v>
      </c>
    </row>
    <row r="100" spans="1:20" ht="38.25" hidden="1" customHeight="1">
      <c r="A100" s="239" t="s">
        <v>778</v>
      </c>
      <c r="B100" s="240">
        <v>955</v>
      </c>
      <c r="C100" s="241">
        <v>30043</v>
      </c>
      <c r="D100" s="239" t="s">
        <v>3817</v>
      </c>
      <c r="E100" s="239" t="s">
        <v>442</v>
      </c>
      <c r="F100" s="239" t="s">
        <v>443</v>
      </c>
      <c r="G100" s="239" t="s">
        <v>750</v>
      </c>
      <c r="H100" s="239" t="s">
        <v>777</v>
      </c>
      <c r="I100" s="239" t="s">
        <v>399</v>
      </c>
      <c r="J100" s="233"/>
      <c r="K100" s="235">
        <v>45882</v>
      </c>
      <c r="L100" s="233">
        <v>1.3</v>
      </c>
      <c r="M100" s="234" t="s">
        <v>750</v>
      </c>
      <c r="N100" s="234">
        <v>33340</v>
      </c>
      <c r="O100" s="234">
        <v>14470</v>
      </c>
      <c r="P100" s="242">
        <v>29</v>
      </c>
      <c r="Q100" s="234">
        <v>18870</v>
      </c>
      <c r="R100" s="234">
        <v>13397.7</v>
      </c>
      <c r="S100" s="243" t="s">
        <v>796</v>
      </c>
      <c r="T100" s="236">
        <v>45883</v>
      </c>
    </row>
    <row r="101" spans="1:20" ht="38.25" hidden="1" customHeight="1">
      <c r="A101" s="239" t="s">
        <v>779</v>
      </c>
      <c r="B101" s="240">
        <v>956</v>
      </c>
      <c r="C101" s="241">
        <v>30045</v>
      </c>
      <c r="D101" s="239" t="s">
        <v>3817</v>
      </c>
      <c r="E101" s="239" t="s">
        <v>780</v>
      </c>
      <c r="F101" s="239" t="s">
        <v>781</v>
      </c>
      <c r="G101" s="239" t="s">
        <v>750</v>
      </c>
      <c r="H101" s="239" t="s">
        <v>777</v>
      </c>
      <c r="I101" s="239" t="s">
        <v>399</v>
      </c>
      <c r="J101" s="233"/>
      <c r="K101" s="235">
        <v>45882</v>
      </c>
      <c r="L101" s="233">
        <v>1.3</v>
      </c>
      <c r="M101" s="234" t="s">
        <v>750</v>
      </c>
      <c r="N101" s="234">
        <v>33680</v>
      </c>
      <c r="O101" s="234">
        <v>14890</v>
      </c>
      <c r="P101" s="242">
        <v>12</v>
      </c>
      <c r="Q101" s="234">
        <v>18790</v>
      </c>
      <c r="R101" s="234">
        <v>16535.2</v>
      </c>
      <c r="S101" s="243" t="s">
        <v>797</v>
      </c>
      <c r="T101" s="236">
        <v>45883</v>
      </c>
    </row>
    <row r="102" spans="1:20" ht="38.25" hidden="1" customHeight="1">
      <c r="A102" s="239" t="s">
        <v>782</v>
      </c>
      <c r="B102" s="240">
        <v>958</v>
      </c>
      <c r="C102" s="241">
        <v>30091</v>
      </c>
      <c r="D102" s="239" t="s">
        <v>3817</v>
      </c>
      <c r="E102" s="239" t="s">
        <v>783</v>
      </c>
      <c r="F102" s="239" t="s">
        <v>784</v>
      </c>
      <c r="G102" s="239" t="s">
        <v>750</v>
      </c>
      <c r="H102" s="239" t="s">
        <v>777</v>
      </c>
      <c r="I102" s="239" t="s">
        <v>399</v>
      </c>
      <c r="J102" s="233"/>
      <c r="K102" s="235">
        <v>45882</v>
      </c>
      <c r="L102" s="233">
        <v>1.5</v>
      </c>
      <c r="M102" s="234" t="s">
        <v>750</v>
      </c>
      <c r="N102" s="234">
        <v>37090</v>
      </c>
      <c r="O102" s="234">
        <v>14660</v>
      </c>
      <c r="P102" s="242">
        <v>20</v>
      </c>
      <c r="Q102" s="234">
        <v>22430</v>
      </c>
      <c r="R102" s="234">
        <v>17944</v>
      </c>
      <c r="S102" s="243" t="s">
        <v>798</v>
      </c>
      <c r="T102" s="236">
        <v>45883</v>
      </c>
    </row>
    <row r="103" spans="1:20" ht="38.25" hidden="1" customHeight="1">
      <c r="A103" s="239" t="s">
        <v>785</v>
      </c>
      <c r="B103" s="240">
        <v>959</v>
      </c>
      <c r="C103" s="241">
        <v>30089</v>
      </c>
      <c r="D103" s="239" t="s">
        <v>3817</v>
      </c>
      <c r="E103" s="239" t="s">
        <v>786</v>
      </c>
      <c r="F103" s="239" t="s">
        <v>787</v>
      </c>
      <c r="G103" s="239" t="s">
        <v>750</v>
      </c>
      <c r="H103" s="239" t="s">
        <v>777</v>
      </c>
      <c r="I103" s="239" t="s">
        <v>399</v>
      </c>
      <c r="J103" s="233"/>
      <c r="K103" s="235">
        <v>45882</v>
      </c>
      <c r="L103" s="233">
        <v>1.3</v>
      </c>
      <c r="M103" s="234" t="s">
        <v>750</v>
      </c>
      <c r="N103" s="234">
        <v>33150</v>
      </c>
      <c r="O103" s="234">
        <v>14010</v>
      </c>
      <c r="P103" s="242">
        <v>20</v>
      </c>
      <c r="Q103" s="234">
        <v>19140</v>
      </c>
      <c r="R103" s="234">
        <v>15312</v>
      </c>
      <c r="S103" s="243" t="s">
        <v>799</v>
      </c>
      <c r="T103" s="236">
        <v>45883</v>
      </c>
    </row>
    <row r="104" spans="1:20" ht="38.25" hidden="1" customHeight="1">
      <c r="A104" s="239" t="s">
        <v>790</v>
      </c>
      <c r="B104" s="240">
        <v>961</v>
      </c>
      <c r="C104" s="241">
        <v>30093</v>
      </c>
      <c r="D104" s="239" t="s">
        <v>3817</v>
      </c>
      <c r="E104" s="239" t="s">
        <v>791</v>
      </c>
      <c r="F104" s="239" t="s">
        <v>792</v>
      </c>
      <c r="G104" s="239" t="s">
        <v>750</v>
      </c>
      <c r="H104" s="239" t="s">
        <v>777</v>
      </c>
      <c r="I104" s="239" t="s">
        <v>399</v>
      </c>
      <c r="J104" s="233"/>
      <c r="K104" s="235">
        <v>45882</v>
      </c>
      <c r="L104" s="233">
        <v>1.4</v>
      </c>
      <c r="M104" s="234" t="s">
        <v>750</v>
      </c>
      <c r="N104" s="234">
        <v>36520</v>
      </c>
      <c r="O104" s="234">
        <v>14980</v>
      </c>
      <c r="P104" s="242">
        <v>21</v>
      </c>
      <c r="Q104" s="234">
        <v>21540</v>
      </c>
      <c r="R104" s="234">
        <v>17016.599999999999</v>
      </c>
      <c r="S104" s="243" t="s">
        <v>800</v>
      </c>
      <c r="T104" s="236">
        <v>45883</v>
      </c>
    </row>
    <row r="105" spans="1:20" ht="38.25" hidden="1" customHeight="1">
      <c r="A105" s="239" t="s">
        <v>793</v>
      </c>
      <c r="B105" s="240">
        <v>962</v>
      </c>
      <c r="C105" s="241">
        <v>30095</v>
      </c>
      <c r="D105" s="239" t="s">
        <v>3817</v>
      </c>
      <c r="E105" s="239" t="s">
        <v>794</v>
      </c>
      <c r="F105" s="239" t="s">
        <v>795</v>
      </c>
      <c r="G105" s="239" t="s">
        <v>750</v>
      </c>
      <c r="H105" s="239" t="s">
        <v>777</v>
      </c>
      <c r="I105" s="239" t="s">
        <v>399</v>
      </c>
      <c r="J105" s="233"/>
      <c r="K105" s="235">
        <v>45882</v>
      </c>
      <c r="L105" s="233">
        <v>1.6</v>
      </c>
      <c r="M105" s="234" t="s">
        <v>750</v>
      </c>
      <c r="N105" s="234">
        <v>39640</v>
      </c>
      <c r="O105" s="234">
        <v>16100</v>
      </c>
      <c r="P105" s="242">
        <v>13</v>
      </c>
      <c r="Q105" s="234">
        <v>23540</v>
      </c>
      <c r="R105" s="234">
        <v>20479.8</v>
      </c>
      <c r="S105" s="243" t="s">
        <v>801</v>
      </c>
      <c r="T105" s="236">
        <v>45883</v>
      </c>
    </row>
    <row r="106" spans="1:20" ht="38.25" hidden="1" customHeight="1">
      <c r="A106" s="239" t="s">
        <v>844</v>
      </c>
      <c r="B106" s="240">
        <v>964</v>
      </c>
      <c r="C106" s="241">
        <v>30097</v>
      </c>
      <c r="D106" s="239" t="s">
        <v>3817</v>
      </c>
      <c r="E106" s="239" t="s">
        <v>841</v>
      </c>
      <c r="F106" s="239" t="s">
        <v>845</v>
      </c>
      <c r="G106" s="239" t="s">
        <v>750</v>
      </c>
      <c r="H106" s="239" t="s">
        <v>777</v>
      </c>
      <c r="I106" s="239" t="s">
        <v>399</v>
      </c>
      <c r="J106" s="233"/>
      <c r="K106" s="235">
        <v>45882</v>
      </c>
      <c r="L106" s="233">
        <v>1.6</v>
      </c>
      <c r="M106" s="234" t="s">
        <v>750</v>
      </c>
      <c r="N106" s="234">
        <v>39460</v>
      </c>
      <c r="O106" s="234">
        <v>15920</v>
      </c>
      <c r="P106" s="242">
        <v>12</v>
      </c>
      <c r="Q106" s="234">
        <v>23540</v>
      </c>
      <c r="R106" s="234">
        <v>20715.2</v>
      </c>
      <c r="S106" s="243" t="s">
        <v>876</v>
      </c>
      <c r="T106" s="236">
        <v>45883</v>
      </c>
    </row>
    <row r="107" spans="1:20" ht="38.25" hidden="1" customHeight="1">
      <c r="A107" s="239" t="s">
        <v>846</v>
      </c>
      <c r="B107" s="240">
        <v>967</v>
      </c>
      <c r="C107" s="241">
        <v>30099</v>
      </c>
      <c r="D107" s="239" t="s">
        <v>3817</v>
      </c>
      <c r="E107" s="239" t="s">
        <v>413</v>
      </c>
      <c r="F107" s="239" t="s">
        <v>414</v>
      </c>
      <c r="G107" s="239" t="s">
        <v>750</v>
      </c>
      <c r="H107" s="239" t="s">
        <v>777</v>
      </c>
      <c r="I107" s="239" t="s">
        <v>399</v>
      </c>
      <c r="J107" s="233"/>
      <c r="K107" s="235">
        <v>45883</v>
      </c>
      <c r="L107" s="233">
        <v>2.4</v>
      </c>
      <c r="M107" s="234" t="s">
        <v>750</v>
      </c>
      <c r="N107" s="234">
        <v>40140</v>
      </c>
      <c r="O107" s="234">
        <v>14920</v>
      </c>
      <c r="P107" s="242">
        <v>37</v>
      </c>
      <c r="Q107" s="234">
        <v>25220</v>
      </c>
      <c r="R107" s="234">
        <v>15888.6</v>
      </c>
      <c r="S107" s="243" t="s">
        <v>877</v>
      </c>
      <c r="T107" s="236">
        <v>45883</v>
      </c>
    </row>
    <row r="108" spans="1:20" ht="38.25" hidden="1" customHeight="1">
      <c r="A108" s="239" t="s">
        <v>847</v>
      </c>
      <c r="B108" s="240">
        <v>968</v>
      </c>
      <c r="C108" s="241">
        <v>30101</v>
      </c>
      <c r="D108" s="239" t="s">
        <v>3817</v>
      </c>
      <c r="E108" s="239" t="s">
        <v>432</v>
      </c>
      <c r="F108" s="239" t="s">
        <v>433</v>
      </c>
      <c r="G108" s="239" t="s">
        <v>750</v>
      </c>
      <c r="H108" s="239" t="s">
        <v>777</v>
      </c>
      <c r="I108" s="239" t="s">
        <v>399</v>
      </c>
      <c r="J108" s="233"/>
      <c r="K108" s="235">
        <v>45883</v>
      </c>
      <c r="L108" s="233">
        <v>2.4</v>
      </c>
      <c r="M108" s="234" t="s">
        <v>750</v>
      </c>
      <c r="N108" s="234">
        <v>41240</v>
      </c>
      <c r="O108" s="234">
        <v>15590</v>
      </c>
      <c r="P108" s="242">
        <v>19</v>
      </c>
      <c r="Q108" s="234">
        <v>25650</v>
      </c>
      <c r="R108" s="234">
        <v>20776.5</v>
      </c>
      <c r="S108" s="243" t="s">
        <v>878</v>
      </c>
      <c r="T108" s="236">
        <v>45883</v>
      </c>
    </row>
    <row r="109" spans="1:20" ht="38.25" hidden="1" customHeight="1">
      <c r="A109" s="239" t="s">
        <v>848</v>
      </c>
      <c r="B109" s="240">
        <v>969</v>
      </c>
      <c r="C109" s="241">
        <v>30103</v>
      </c>
      <c r="D109" s="239" t="s">
        <v>3817</v>
      </c>
      <c r="E109" s="239" t="s">
        <v>462</v>
      </c>
      <c r="F109" s="239" t="s">
        <v>463</v>
      </c>
      <c r="G109" s="239" t="s">
        <v>750</v>
      </c>
      <c r="H109" s="239" t="s">
        <v>777</v>
      </c>
      <c r="I109" s="239" t="s">
        <v>399</v>
      </c>
      <c r="J109" s="233"/>
      <c r="K109" s="235">
        <v>45883</v>
      </c>
      <c r="L109" s="233">
        <v>2.1</v>
      </c>
      <c r="M109" s="234" t="s">
        <v>750</v>
      </c>
      <c r="N109" s="234">
        <v>38470</v>
      </c>
      <c r="O109" s="234">
        <v>16400</v>
      </c>
      <c r="P109" s="242">
        <v>6</v>
      </c>
      <c r="Q109" s="234">
        <v>22070</v>
      </c>
      <c r="R109" s="234">
        <v>20745.8</v>
      </c>
      <c r="S109" s="243" t="s">
        <v>879</v>
      </c>
      <c r="T109" s="236">
        <v>45883</v>
      </c>
    </row>
    <row r="110" spans="1:20" ht="38.25" hidden="1" customHeight="1">
      <c r="A110" s="239" t="s">
        <v>849</v>
      </c>
      <c r="B110" s="240">
        <v>970</v>
      </c>
      <c r="C110" s="241">
        <v>30105</v>
      </c>
      <c r="D110" s="239" t="s">
        <v>3817</v>
      </c>
      <c r="E110" s="239" t="s">
        <v>447</v>
      </c>
      <c r="F110" s="239" t="s">
        <v>448</v>
      </c>
      <c r="G110" s="239" t="s">
        <v>750</v>
      </c>
      <c r="H110" s="239" t="s">
        <v>777</v>
      </c>
      <c r="I110" s="239" t="s">
        <v>399</v>
      </c>
      <c r="J110" s="233"/>
      <c r="K110" s="235">
        <v>45883</v>
      </c>
      <c r="L110" s="233">
        <v>2.2999999999999998</v>
      </c>
      <c r="M110" s="234" t="s">
        <v>750</v>
      </c>
      <c r="N110" s="234">
        <v>43920</v>
      </c>
      <c r="O110" s="234">
        <v>19310</v>
      </c>
      <c r="P110" s="242">
        <v>19</v>
      </c>
      <c r="Q110" s="234">
        <v>24610</v>
      </c>
      <c r="R110" s="234">
        <v>19934.099999999999</v>
      </c>
      <c r="S110" s="243" t="s">
        <v>880</v>
      </c>
      <c r="T110" s="236">
        <v>45883</v>
      </c>
    </row>
    <row r="111" spans="1:20" ht="38.25" hidden="1" customHeight="1">
      <c r="A111" s="239" t="s">
        <v>851</v>
      </c>
      <c r="B111" s="240">
        <v>971</v>
      </c>
      <c r="C111" s="241">
        <v>30115</v>
      </c>
      <c r="D111" s="239" t="s">
        <v>3817</v>
      </c>
      <c r="E111" s="239" t="s">
        <v>456</v>
      </c>
      <c r="F111" s="239" t="s">
        <v>457</v>
      </c>
      <c r="G111" s="239" t="s">
        <v>750</v>
      </c>
      <c r="H111" s="239" t="s">
        <v>777</v>
      </c>
      <c r="I111" s="239" t="s">
        <v>399</v>
      </c>
      <c r="J111" s="233"/>
      <c r="K111" s="235">
        <v>45883</v>
      </c>
      <c r="L111" s="233">
        <v>2.5</v>
      </c>
      <c r="M111" s="234" t="s">
        <v>750</v>
      </c>
      <c r="N111" s="234">
        <v>41820</v>
      </c>
      <c r="O111" s="234">
        <v>15540</v>
      </c>
      <c r="P111" s="242">
        <v>10</v>
      </c>
      <c r="Q111" s="234">
        <v>26280</v>
      </c>
      <c r="R111" s="234">
        <v>23652</v>
      </c>
      <c r="S111" s="243" t="s">
        <v>882</v>
      </c>
      <c r="T111" s="236">
        <v>45883</v>
      </c>
    </row>
    <row r="112" spans="1:20" ht="38.25" hidden="1" customHeight="1">
      <c r="A112" s="239" t="s">
        <v>852</v>
      </c>
      <c r="B112" s="240">
        <v>973</v>
      </c>
      <c r="C112" s="241">
        <v>30107</v>
      </c>
      <c r="D112" s="239" t="s">
        <v>3817</v>
      </c>
      <c r="E112" s="239" t="s">
        <v>392</v>
      </c>
      <c r="F112" s="239" t="s">
        <v>393</v>
      </c>
      <c r="G112" s="239" t="s">
        <v>750</v>
      </c>
      <c r="H112" s="239" t="s">
        <v>777</v>
      </c>
      <c r="I112" s="239" t="s">
        <v>399</v>
      </c>
      <c r="J112" s="233"/>
      <c r="K112" s="235">
        <v>45883</v>
      </c>
      <c r="L112" s="233">
        <v>2.2000000000000002</v>
      </c>
      <c r="M112" s="234" t="s">
        <v>750</v>
      </c>
      <c r="N112" s="234">
        <v>47570</v>
      </c>
      <c r="O112" s="234">
        <v>24050</v>
      </c>
      <c r="P112" s="242">
        <v>23</v>
      </c>
      <c r="Q112" s="234">
        <v>23520</v>
      </c>
      <c r="R112" s="234">
        <v>18110.400000000001</v>
      </c>
      <c r="S112" s="243" t="s">
        <v>883</v>
      </c>
      <c r="T112" s="236">
        <v>45884</v>
      </c>
    </row>
    <row r="113" spans="1:20" ht="38.25" hidden="1" customHeight="1">
      <c r="A113" s="239" t="s">
        <v>850</v>
      </c>
      <c r="B113" s="240">
        <v>972</v>
      </c>
      <c r="C113" s="241">
        <v>30113</v>
      </c>
      <c r="D113" s="239" t="s">
        <v>3817</v>
      </c>
      <c r="E113" s="239" t="s">
        <v>453</v>
      </c>
      <c r="F113" s="239" t="s">
        <v>454</v>
      </c>
      <c r="G113" s="239" t="s">
        <v>750</v>
      </c>
      <c r="H113" s="239" t="s">
        <v>777</v>
      </c>
      <c r="I113" s="239" t="s">
        <v>399</v>
      </c>
      <c r="J113" s="233"/>
      <c r="K113" s="235">
        <v>45883</v>
      </c>
      <c r="L113" s="233">
        <v>2.5</v>
      </c>
      <c r="M113" s="234" t="s">
        <v>750</v>
      </c>
      <c r="N113" s="234">
        <v>50440</v>
      </c>
      <c r="O113" s="234">
        <v>24130</v>
      </c>
      <c r="P113" s="242">
        <v>15</v>
      </c>
      <c r="Q113" s="234">
        <v>26310</v>
      </c>
      <c r="R113" s="234">
        <v>22363.5</v>
      </c>
      <c r="S113" s="243" t="s">
        <v>881</v>
      </c>
      <c r="T113" s="236">
        <v>45883</v>
      </c>
    </row>
    <row r="114" spans="1:20" ht="38.25" hidden="1" customHeight="1">
      <c r="A114" s="239" t="s">
        <v>853</v>
      </c>
      <c r="B114" s="240">
        <v>974</v>
      </c>
      <c r="C114" s="241">
        <v>30109</v>
      </c>
      <c r="D114" s="239" t="s">
        <v>3817</v>
      </c>
      <c r="E114" s="239" t="s">
        <v>390</v>
      </c>
      <c r="F114" s="239" t="s">
        <v>391</v>
      </c>
      <c r="G114" s="239" t="s">
        <v>750</v>
      </c>
      <c r="H114" s="239" t="s">
        <v>777</v>
      </c>
      <c r="I114" s="239" t="s">
        <v>399</v>
      </c>
      <c r="J114" s="233"/>
      <c r="K114" s="235">
        <v>45883</v>
      </c>
      <c r="L114" s="233">
        <v>2.1</v>
      </c>
      <c r="M114" s="234" t="s">
        <v>750</v>
      </c>
      <c r="N114" s="234">
        <v>36940</v>
      </c>
      <c r="O114" s="234">
        <v>14830</v>
      </c>
      <c r="P114" s="242">
        <v>15</v>
      </c>
      <c r="Q114" s="234">
        <v>22110</v>
      </c>
      <c r="R114" s="234">
        <v>18793.5</v>
      </c>
      <c r="S114" s="243" t="s">
        <v>884</v>
      </c>
      <c r="T114" s="236">
        <v>45884</v>
      </c>
    </row>
    <row r="115" spans="1:20" ht="38.25" hidden="1" customHeight="1">
      <c r="A115" s="239" t="s">
        <v>854</v>
      </c>
      <c r="B115" s="240">
        <v>975</v>
      </c>
      <c r="C115" s="241">
        <v>30111</v>
      </c>
      <c r="D115" s="239" t="s">
        <v>3817</v>
      </c>
      <c r="E115" s="239" t="s">
        <v>388</v>
      </c>
      <c r="F115" s="239" t="s">
        <v>389</v>
      </c>
      <c r="G115" s="239" t="s">
        <v>750</v>
      </c>
      <c r="H115" s="239" t="s">
        <v>777</v>
      </c>
      <c r="I115" s="239" t="s">
        <v>399</v>
      </c>
      <c r="J115" s="233"/>
      <c r="K115" s="235">
        <v>45883</v>
      </c>
      <c r="L115" s="233">
        <v>2.4</v>
      </c>
      <c r="M115" s="234" t="s">
        <v>750</v>
      </c>
      <c r="N115" s="234">
        <v>48340</v>
      </c>
      <c r="O115" s="234">
        <v>20890</v>
      </c>
      <c r="P115" s="242">
        <v>19</v>
      </c>
      <c r="Q115" s="234">
        <v>27450</v>
      </c>
      <c r="R115" s="234">
        <v>22234.5</v>
      </c>
      <c r="S115" s="243" t="s">
        <v>885</v>
      </c>
      <c r="T115" s="236">
        <v>45884</v>
      </c>
    </row>
    <row r="116" spans="1:20" ht="38.25" hidden="1" customHeight="1">
      <c r="A116" s="239" t="s">
        <v>863</v>
      </c>
      <c r="B116" s="240">
        <v>976</v>
      </c>
      <c r="C116" s="241">
        <v>30121</v>
      </c>
      <c r="D116" s="239" t="s">
        <v>3817</v>
      </c>
      <c r="E116" s="239" t="s">
        <v>1410</v>
      </c>
      <c r="F116" s="239" t="s">
        <v>437</v>
      </c>
      <c r="G116" s="239" t="s">
        <v>750</v>
      </c>
      <c r="H116" s="239" t="s">
        <v>260</v>
      </c>
      <c r="I116" s="239" t="s">
        <v>399</v>
      </c>
      <c r="J116" s="233"/>
      <c r="K116" s="235">
        <v>45883</v>
      </c>
      <c r="L116" s="233">
        <v>1.9</v>
      </c>
      <c r="M116" s="234" t="s">
        <v>750</v>
      </c>
      <c r="N116" s="234">
        <v>38190</v>
      </c>
      <c r="O116" s="234">
        <v>14870</v>
      </c>
      <c r="P116" s="242">
        <v>17</v>
      </c>
      <c r="Q116" s="234">
        <v>23320</v>
      </c>
      <c r="R116" s="234">
        <v>19355.599999999999</v>
      </c>
      <c r="S116" s="243" t="s">
        <v>891</v>
      </c>
      <c r="T116" s="236">
        <v>45884</v>
      </c>
    </row>
    <row r="117" spans="1:20" ht="38.25" hidden="1" customHeight="1">
      <c r="A117" s="239" t="s">
        <v>864</v>
      </c>
      <c r="B117" s="240">
        <v>977</v>
      </c>
      <c r="C117" s="241">
        <v>30123</v>
      </c>
      <c r="D117" s="239" t="s">
        <v>3817</v>
      </c>
      <c r="E117" s="239" t="s">
        <v>439</v>
      </c>
      <c r="F117" s="239" t="s">
        <v>440</v>
      </c>
      <c r="G117" s="239" t="s">
        <v>750</v>
      </c>
      <c r="H117" s="239" t="s">
        <v>260</v>
      </c>
      <c r="I117" s="239" t="s">
        <v>399</v>
      </c>
      <c r="J117" s="233"/>
      <c r="K117" s="235">
        <v>45883</v>
      </c>
      <c r="L117" s="233">
        <v>1.8</v>
      </c>
      <c r="M117" s="234" t="s">
        <v>750</v>
      </c>
      <c r="N117" s="234">
        <v>37190</v>
      </c>
      <c r="O117" s="234">
        <v>14880</v>
      </c>
      <c r="P117" s="242">
        <v>8</v>
      </c>
      <c r="Q117" s="234">
        <v>22310</v>
      </c>
      <c r="R117" s="234">
        <v>20525.2</v>
      </c>
      <c r="S117" s="243" t="s">
        <v>892</v>
      </c>
      <c r="T117" s="236">
        <v>45884</v>
      </c>
    </row>
    <row r="118" spans="1:20" ht="38.25" hidden="1" customHeight="1">
      <c r="A118" s="239" t="s">
        <v>865</v>
      </c>
      <c r="B118" s="240">
        <v>978</v>
      </c>
      <c r="C118" s="241">
        <v>30119</v>
      </c>
      <c r="D118" s="239" t="s">
        <v>3817</v>
      </c>
      <c r="E118" s="239" t="s">
        <v>866</v>
      </c>
      <c r="F118" s="239" t="s">
        <v>867</v>
      </c>
      <c r="G118" s="239" t="s">
        <v>750</v>
      </c>
      <c r="H118" s="239" t="s">
        <v>260</v>
      </c>
      <c r="I118" s="239" t="s">
        <v>399</v>
      </c>
      <c r="J118" s="233"/>
      <c r="K118" s="235">
        <v>45883</v>
      </c>
      <c r="L118" s="233">
        <v>1.8</v>
      </c>
      <c r="M118" s="234" t="s">
        <v>750</v>
      </c>
      <c r="N118" s="234">
        <v>37120</v>
      </c>
      <c r="O118" s="234">
        <v>14460</v>
      </c>
      <c r="P118" s="242">
        <v>23</v>
      </c>
      <c r="Q118" s="234">
        <v>22660</v>
      </c>
      <c r="R118" s="234">
        <v>17448.2</v>
      </c>
      <c r="S118" s="243" t="s">
        <v>893</v>
      </c>
      <c r="T118" s="236">
        <v>45884</v>
      </c>
    </row>
    <row r="119" spans="1:20" ht="38.25" hidden="1" customHeight="1">
      <c r="A119" s="239" t="s">
        <v>857</v>
      </c>
      <c r="B119" s="240">
        <v>980</v>
      </c>
      <c r="C119" s="241">
        <v>30129</v>
      </c>
      <c r="D119" s="239" t="s">
        <v>3817</v>
      </c>
      <c r="E119" s="239" t="s">
        <v>858</v>
      </c>
      <c r="F119" s="239" t="s">
        <v>859</v>
      </c>
      <c r="G119" s="239" t="s">
        <v>750</v>
      </c>
      <c r="H119" s="239" t="s">
        <v>260</v>
      </c>
      <c r="I119" s="239" t="s">
        <v>399</v>
      </c>
      <c r="J119" s="233"/>
      <c r="K119" s="235">
        <v>45883</v>
      </c>
      <c r="L119" s="233">
        <v>1.5</v>
      </c>
      <c r="M119" s="234" t="s">
        <v>750</v>
      </c>
      <c r="N119" s="234">
        <v>34000</v>
      </c>
      <c r="O119" s="234">
        <v>14580</v>
      </c>
      <c r="P119" s="242">
        <v>11</v>
      </c>
      <c r="Q119" s="234">
        <v>19420</v>
      </c>
      <c r="R119" s="234">
        <v>17283.8</v>
      </c>
      <c r="S119" s="243" t="s">
        <v>887</v>
      </c>
      <c r="T119" s="236">
        <v>45884</v>
      </c>
    </row>
    <row r="120" spans="1:20" ht="38.25" hidden="1" customHeight="1">
      <c r="A120" s="239" t="s">
        <v>868</v>
      </c>
      <c r="B120" s="240">
        <v>981</v>
      </c>
      <c r="C120" s="241">
        <v>30125</v>
      </c>
      <c r="D120" s="239" t="s">
        <v>3817</v>
      </c>
      <c r="E120" s="239" t="s">
        <v>372</v>
      </c>
      <c r="F120" s="239" t="s">
        <v>373</v>
      </c>
      <c r="G120" s="239" t="s">
        <v>856</v>
      </c>
      <c r="H120" s="239" t="s">
        <v>869</v>
      </c>
      <c r="I120" s="239" t="s">
        <v>399</v>
      </c>
      <c r="J120" s="233"/>
      <c r="K120" s="235">
        <v>45883</v>
      </c>
      <c r="L120" s="233">
        <v>1</v>
      </c>
      <c r="M120" s="234" t="s">
        <v>856</v>
      </c>
      <c r="N120" s="234">
        <v>35220</v>
      </c>
      <c r="O120" s="234">
        <v>14930</v>
      </c>
      <c r="P120" s="242">
        <v>57</v>
      </c>
      <c r="Q120" s="234">
        <v>20290</v>
      </c>
      <c r="R120" s="234">
        <v>8724.7000000000007</v>
      </c>
      <c r="S120" s="243" t="s">
        <v>894</v>
      </c>
      <c r="T120" s="236">
        <v>45884</v>
      </c>
    </row>
    <row r="121" spans="1:20" ht="38.25" hidden="1" customHeight="1">
      <c r="A121" s="239" t="s">
        <v>860</v>
      </c>
      <c r="B121" s="240">
        <v>982</v>
      </c>
      <c r="C121" s="241">
        <v>30127</v>
      </c>
      <c r="D121" s="239" t="s">
        <v>3817</v>
      </c>
      <c r="E121" s="239" t="s">
        <v>369</v>
      </c>
      <c r="F121" s="239" t="s">
        <v>370</v>
      </c>
      <c r="G121" s="239" t="s">
        <v>397</v>
      </c>
      <c r="H121" s="239" t="s">
        <v>260</v>
      </c>
      <c r="I121" s="239" t="s">
        <v>399</v>
      </c>
      <c r="J121" s="233"/>
      <c r="K121" s="235">
        <v>45883</v>
      </c>
      <c r="L121" s="233">
        <v>0.3</v>
      </c>
      <c r="M121" s="234" t="s">
        <v>397</v>
      </c>
      <c r="N121" s="234">
        <v>37560</v>
      </c>
      <c r="O121" s="234">
        <v>15090</v>
      </c>
      <c r="P121" s="242">
        <v>10</v>
      </c>
      <c r="Q121" s="234">
        <v>22470</v>
      </c>
      <c r="R121" s="234">
        <v>20223</v>
      </c>
      <c r="S121" s="243" t="s">
        <v>888</v>
      </c>
      <c r="T121" s="236">
        <v>45884</v>
      </c>
    </row>
    <row r="122" spans="1:20" ht="38.25" hidden="1" customHeight="1">
      <c r="A122" s="239" t="s">
        <v>855</v>
      </c>
      <c r="B122" s="240">
        <v>979</v>
      </c>
      <c r="C122" s="241">
        <v>30131</v>
      </c>
      <c r="D122" s="239" t="s">
        <v>3817</v>
      </c>
      <c r="E122" s="239" t="s">
        <v>400</v>
      </c>
      <c r="F122" s="239" t="s">
        <v>401</v>
      </c>
      <c r="G122" s="239" t="s">
        <v>856</v>
      </c>
      <c r="H122" s="239" t="s">
        <v>398</v>
      </c>
      <c r="I122" s="239" t="s">
        <v>399</v>
      </c>
      <c r="J122" s="233"/>
      <c r="K122" s="235">
        <v>45883</v>
      </c>
      <c r="L122" s="233">
        <v>1</v>
      </c>
      <c r="M122" s="234" t="s">
        <v>856</v>
      </c>
      <c r="N122" s="234">
        <v>36340</v>
      </c>
      <c r="O122" s="234">
        <v>14700</v>
      </c>
      <c r="P122" s="242">
        <v>53</v>
      </c>
      <c r="Q122" s="234">
        <v>21640</v>
      </c>
      <c r="R122" s="234">
        <v>10170.799999999999</v>
      </c>
      <c r="S122" s="243" t="s">
        <v>886</v>
      </c>
      <c r="T122" s="236">
        <v>45884</v>
      </c>
    </row>
    <row r="123" spans="1:20" ht="38.25" hidden="1" customHeight="1">
      <c r="A123" s="239" t="s">
        <v>861</v>
      </c>
      <c r="B123" s="240">
        <v>983</v>
      </c>
      <c r="C123" s="241">
        <v>30133</v>
      </c>
      <c r="D123" s="239" t="s">
        <v>3817</v>
      </c>
      <c r="E123" s="239" t="s">
        <v>377</v>
      </c>
      <c r="F123" s="239" t="s">
        <v>378</v>
      </c>
      <c r="G123" s="239" t="s">
        <v>397</v>
      </c>
      <c r="H123" s="239" t="s">
        <v>260</v>
      </c>
      <c r="I123" s="239" t="s">
        <v>399</v>
      </c>
      <c r="J123" s="233"/>
      <c r="K123" s="235">
        <v>45883</v>
      </c>
      <c r="L123" s="233">
        <v>0.3</v>
      </c>
      <c r="M123" s="234" t="s">
        <v>397</v>
      </c>
      <c r="N123" s="234">
        <v>37490</v>
      </c>
      <c r="O123" s="234">
        <v>15070</v>
      </c>
      <c r="P123" s="242">
        <v>25</v>
      </c>
      <c r="Q123" s="234">
        <v>22420</v>
      </c>
      <c r="R123" s="234">
        <v>16815</v>
      </c>
      <c r="S123" s="243" t="s">
        <v>889</v>
      </c>
      <c r="T123" s="236">
        <v>45884</v>
      </c>
    </row>
    <row r="124" spans="1:20" ht="38.25" hidden="1" customHeight="1">
      <c r="A124" s="239" t="s">
        <v>862</v>
      </c>
      <c r="B124" s="240">
        <v>984</v>
      </c>
      <c r="C124" s="241">
        <v>30103</v>
      </c>
      <c r="D124" s="239" t="s">
        <v>3817</v>
      </c>
      <c r="E124" s="239" t="s">
        <v>462</v>
      </c>
      <c r="F124" s="239" t="s">
        <v>463</v>
      </c>
      <c r="G124" s="239" t="s">
        <v>397</v>
      </c>
      <c r="H124" s="239" t="s">
        <v>260</v>
      </c>
      <c r="I124" s="239" t="s">
        <v>399</v>
      </c>
      <c r="J124" s="233"/>
      <c r="K124" s="235">
        <v>45883</v>
      </c>
      <c r="L124" s="233">
        <v>0.3</v>
      </c>
      <c r="M124" s="234" t="s">
        <v>397</v>
      </c>
      <c r="N124" s="234">
        <v>39300</v>
      </c>
      <c r="O124" s="234">
        <v>16400</v>
      </c>
      <c r="P124" s="242">
        <v>35</v>
      </c>
      <c r="Q124" s="234">
        <v>22900</v>
      </c>
      <c r="R124" s="234">
        <v>14885</v>
      </c>
      <c r="S124" s="243" t="s">
        <v>890</v>
      </c>
      <c r="T124" s="236">
        <v>45884</v>
      </c>
    </row>
    <row r="125" spans="1:20" ht="38.25" hidden="1" customHeight="1">
      <c r="A125" s="239" t="s">
        <v>870</v>
      </c>
      <c r="B125" s="240">
        <v>990</v>
      </c>
      <c r="C125" s="241">
        <v>30137</v>
      </c>
      <c r="D125" s="239" t="s">
        <v>3817</v>
      </c>
      <c r="E125" s="239" t="s">
        <v>794</v>
      </c>
      <c r="F125" s="239" t="s">
        <v>795</v>
      </c>
      <c r="G125" s="239" t="s">
        <v>397</v>
      </c>
      <c r="H125" s="239" t="s">
        <v>260</v>
      </c>
      <c r="I125" s="239" t="s">
        <v>399</v>
      </c>
      <c r="J125" s="233"/>
      <c r="K125" s="235">
        <v>45884</v>
      </c>
      <c r="L125" s="233">
        <v>1</v>
      </c>
      <c r="M125" s="234" t="s">
        <v>397</v>
      </c>
      <c r="N125" s="234">
        <v>41480</v>
      </c>
      <c r="O125" s="234">
        <v>16090</v>
      </c>
      <c r="P125" s="242">
        <v>31</v>
      </c>
      <c r="Q125" s="234">
        <v>25390</v>
      </c>
      <c r="R125" s="234">
        <v>17519.099999999999</v>
      </c>
      <c r="S125" s="243" t="s">
        <v>895</v>
      </c>
      <c r="T125" s="236">
        <v>45884</v>
      </c>
    </row>
    <row r="126" spans="1:20" ht="38.25" hidden="1" customHeight="1">
      <c r="A126" s="239" t="s">
        <v>871</v>
      </c>
      <c r="B126" s="240">
        <v>991</v>
      </c>
      <c r="C126" s="241">
        <v>128</v>
      </c>
      <c r="D126" s="239" t="s">
        <v>368</v>
      </c>
      <c r="E126" s="239" t="s">
        <v>403</v>
      </c>
      <c r="F126" s="239" t="s">
        <v>404</v>
      </c>
      <c r="G126" s="239"/>
      <c r="H126" s="239" t="s">
        <v>46</v>
      </c>
      <c r="I126" s="239" t="s">
        <v>371</v>
      </c>
      <c r="J126" s="233">
        <v>22390</v>
      </c>
      <c r="K126" s="235"/>
      <c r="L126" s="233">
        <v>0</v>
      </c>
      <c r="M126" s="234">
        <v>0</v>
      </c>
      <c r="N126" s="234">
        <v>36890</v>
      </c>
      <c r="O126" s="234">
        <v>14500</v>
      </c>
      <c r="P126" s="242">
        <v>8</v>
      </c>
      <c r="Q126" s="234">
        <v>22390</v>
      </c>
      <c r="R126" s="234">
        <v>20598.8</v>
      </c>
      <c r="S126" s="243" t="s">
        <v>896</v>
      </c>
      <c r="T126" s="236">
        <v>45884</v>
      </c>
    </row>
    <row r="127" spans="1:20" ht="38.25" hidden="1" customHeight="1">
      <c r="A127" s="239" t="s">
        <v>873</v>
      </c>
      <c r="B127" s="240">
        <v>993</v>
      </c>
      <c r="C127" s="241">
        <v>30142</v>
      </c>
      <c r="D127" s="239" t="s">
        <v>3817</v>
      </c>
      <c r="E127" s="239" t="s">
        <v>841</v>
      </c>
      <c r="F127" s="239" t="s">
        <v>845</v>
      </c>
      <c r="G127" s="239" t="s">
        <v>397</v>
      </c>
      <c r="H127" s="239" t="s">
        <v>260</v>
      </c>
      <c r="I127" s="239" t="s">
        <v>399</v>
      </c>
      <c r="J127" s="233"/>
      <c r="K127" s="235">
        <v>45884</v>
      </c>
      <c r="L127" s="233">
        <v>1.1000000000000001</v>
      </c>
      <c r="M127" s="234" t="s">
        <v>397</v>
      </c>
      <c r="N127" s="234">
        <v>41680</v>
      </c>
      <c r="O127" s="234">
        <v>15930</v>
      </c>
      <c r="P127" s="242">
        <v>43</v>
      </c>
      <c r="Q127" s="234">
        <v>25750</v>
      </c>
      <c r="R127" s="234">
        <v>14677.5</v>
      </c>
      <c r="S127" s="243" t="s">
        <v>898</v>
      </c>
      <c r="T127" s="236">
        <v>45884</v>
      </c>
    </row>
    <row r="128" spans="1:20" ht="38.25" hidden="1" customHeight="1">
      <c r="A128" s="239" t="s">
        <v>872</v>
      </c>
      <c r="B128" s="240">
        <v>992</v>
      </c>
      <c r="C128" s="241">
        <v>129</v>
      </c>
      <c r="D128" s="239" t="s">
        <v>368</v>
      </c>
      <c r="E128" s="239" t="s">
        <v>406</v>
      </c>
      <c r="F128" s="239" t="s">
        <v>407</v>
      </c>
      <c r="G128" s="239"/>
      <c r="H128" s="239" t="s">
        <v>46</v>
      </c>
      <c r="I128" s="239" t="s">
        <v>371</v>
      </c>
      <c r="J128" s="233">
        <v>22950</v>
      </c>
      <c r="K128" s="235"/>
      <c r="L128" s="233">
        <v>0</v>
      </c>
      <c r="M128" s="234">
        <v>0</v>
      </c>
      <c r="N128" s="234">
        <v>38030</v>
      </c>
      <c r="O128" s="234">
        <v>15080</v>
      </c>
      <c r="P128" s="242">
        <v>5</v>
      </c>
      <c r="Q128" s="234">
        <v>22950</v>
      </c>
      <c r="R128" s="234">
        <v>21802.5</v>
      </c>
      <c r="S128" s="243" t="s">
        <v>897</v>
      </c>
      <c r="T128" s="236">
        <v>45884</v>
      </c>
    </row>
    <row r="129" spans="1:20" ht="38.25" hidden="1" customHeight="1">
      <c r="A129" s="239" t="s">
        <v>874</v>
      </c>
      <c r="B129" s="240">
        <v>995</v>
      </c>
      <c r="C129" s="241">
        <v>132</v>
      </c>
      <c r="D129" s="239" t="s">
        <v>368</v>
      </c>
      <c r="E129" s="239" t="s">
        <v>380</v>
      </c>
      <c r="F129" s="239" t="s">
        <v>381</v>
      </c>
      <c r="G129" s="239"/>
      <c r="H129" s="239" t="s">
        <v>46</v>
      </c>
      <c r="I129" s="239" t="s">
        <v>371</v>
      </c>
      <c r="J129" s="233">
        <v>24190</v>
      </c>
      <c r="K129" s="235"/>
      <c r="L129" s="233">
        <v>0</v>
      </c>
      <c r="M129" s="234">
        <v>0</v>
      </c>
      <c r="N129" s="234">
        <v>39230</v>
      </c>
      <c r="O129" s="234">
        <v>15040</v>
      </c>
      <c r="P129" s="242">
        <v>11</v>
      </c>
      <c r="Q129" s="234">
        <v>24190</v>
      </c>
      <c r="R129" s="234">
        <v>21529.1</v>
      </c>
      <c r="S129" s="243" t="s">
        <v>899</v>
      </c>
      <c r="T129" s="236">
        <v>45884</v>
      </c>
    </row>
    <row r="130" spans="1:20" ht="38.25" hidden="1" customHeight="1">
      <c r="A130" s="239" t="s">
        <v>875</v>
      </c>
      <c r="B130" s="240">
        <v>996</v>
      </c>
      <c r="C130" s="241">
        <v>133</v>
      </c>
      <c r="D130" s="239" t="s">
        <v>368</v>
      </c>
      <c r="E130" s="239" t="s">
        <v>386</v>
      </c>
      <c r="F130" s="239" t="s">
        <v>387</v>
      </c>
      <c r="G130" s="239"/>
      <c r="H130" s="239" t="s">
        <v>46</v>
      </c>
      <c r="I130" s="239" t="s">
        <v>371</v>
      </c>
      <c r="J130" s="233">
        <v>22570</v>
      </c>
      <c r="K130" s="235"/>
      <c r="L130" s="233">
        <v>0</v>
      </c>
      <c r="M130" s="234">
        <v>0</v>
      </c>
      <c r="N130" s="234">
        <v>38110</v>
      </c>
      <c r="O130" s="234">
        <v>15540</v>
      </c>
      <c r="P130" s="242">
        <v>11</v>
      </c>
      <c r="Q130" s="234">
        <v>22570</v>
      </c>
      <c r="R130" s="234">
        <v>20087.3</v>
      </c>
      <c r="S130" s="243" t="s">
        <v>900</v>
      </c>
      <c r="T130" s="236">
        <v>45884</v>
      </c>
    </row>
    <row r="131" spans="1:20" ht="38.25" hidden="1" customHeight="1">
      <c r="A131" s="239" t="s">
        <v>1003</v>
      </c>
      <c r="B131" s="240">
        <v>999</v>
      </c>
      <c r="C131" s="241">
        <v>300194</v>
      </c>
      <c r="D131" s="239" t="s">
        <v>3817</v>
      </c>
      <c r="E131" s="239" t="s">
        <v>783</v>
      </c>
      <c r="F131" s="239" t="s">
        <v>784</v>
      </c>
      <c r="G131" s="239" t="s">
        <v>939</v>
      </c>
      <c r="H131" s="239" t="s">
        <v>974</v>
      </c>
      <c r="I131" s="239" t="s">
        <v>399</v>
      </c>
      <c r="J131" s="233"/>
      <c r="K131" s="235">
        <v>45886</v>
      </c>
      <c r="L131" s="233">
        <v>1.9</v>
      </c>
      <c r="M131" s="234" t="s">
        <v>939</v>
      </c>
      <c r="N131" s="234">
        <v>40930</v>
      </c>
      <c r="O131" s="234">
        <v>14640</v>
      </c>
      <c r="P131" s="242">
        <v>25</v>
      </c>
      <c r="Q131" s="234">
        <v>26290</v>
      </c>
      <c r="R131" s="234">
        <v>19717.5</v>
      </c>
      <c r="S131" s="243" t="s">
        <v>1005</v>
      </c>
      <c r="T131" s="236">
        <v>45887</v>
      </c>
    </row>
    <row r="132" spans="1:20" ht="38.25" hidden="1" customHeight="1">
      <c r="A132" s="239" t="s">
        <v>1004</v>
      </c>
      <c r="B132" s="240">
        <v>1000</v>
      </c>
      <c r="C132" s="241">
        <v>30196</v>
      </c>
      <c r="D132" s="239" t="s">
        <v>3817</v>
      </c>
      <c r="E132" s="239" t="s">
        <v>786</v>
      </c>
      <c r="F132" s="239" t="s">
        <v>787</v>
      </c>
      <c r="G132" s="239" t="s">
        <v>939</v>
      </c>
      <c r="H132" s="239" t="s">
        <v>974</v>
      </c>
      <c r="I132" s="239" t="s">
        <v>399</v>
      </c>
      <c r="J132" s="233"/>
      <c r="K132" s="235">
        <v>45886</v>
      </c>
      <c r="L132" s="233">
        <v>1.5</v>
      </c>
      <c r="M132" s="234" t="s">
        <v>939</v>
      </c>
      <c r="N132" s="234">
        <v>35510</v>
      </c>
      <c r="O132" s="234">
        <v>14020</v>
      </c>
      <c r="P132" s="242">
        <v>16</v>
      </c>
      <c r="Q132" s="234">
        <v>21490</v>
      </c>
      <c r="R132" s="234">
        <v>18051.599999999999</v>
      </c>
      <c r="S132" s="243" t="s">
        <v>1006</v>
      </c>
      <c r="T132" s="236">
        <v>45887</v>
      </c>
    </row>
    <row r="133" spans="1:20" ht="38.25" hidden="1" customHeight="1">
      <c r="A133" s="239" t="s">
        <v>1011</v>
      </c>
      <c r="B133" s="240">
        <v>1002</v>
      </c>
      <c r="C133" s="241">
        <v>30202</v>
      </c>
      <c r="D133" s="239" t="s">
        <v>3817</v>
      </c>
      <c r="E133" s="239" t="s">
        <v>794</v>
      </c>
      <c r="F133" s="239" t="s">
        <v>795</v>
      </c>
      <c r="G133" s="239" t="s">
        <v>939</v>
      </c>
      <c r="H133" s="239" t="s">
        <v>974</v>
      </c>
      <c r="I133" s="239" t="s">
        <v>399</v>
      </c>
      <c r="J133" s="233"/>
      <c r="K133" s="235">
        <v>45886</v>
      </c>
      <c r="L133" s="233">
        <v>1.8</v>
      </c>
      <c r="M133" s="234" t="s">
        <v>939</v>
      </c>
      <c r="N133" s="234">
        <v>41350</v>
      </c>
      <c r="O133" s="234">
        <v>16110</v>
      </c>
      <c r="P133" s="242">
        <v>24</v>
      </c>
      <c r="Q133" s="234">
        <v>25240</v>
      </c>
      <c r="R133" s="234">
        <v>19182.400000000001</v>
      </c>
      <c r="S133" s="243" t="s">
        <v>1021</v>
      </c>
      <c r="T133" s="236">
        <v>45887</v>
      </c>
    </row>
    <row r="134" spans="1:20" ht="38.25" hidden="1" customHeight="1">
      <c r="A134" s="239" t="s">
        <v>1012</v>
      </c>
      <c r="B134" s="240">
        <v>1006</v>
      </c>
      <c r="C134" s="241">
        <v>30204</v>
      </c>
      <c r="D134" s="239" t="s">
        <v>3817</v>
      </c>
      <c r="E134" s="239" t="s">
        <v>377</v>
      </c>
      <c r="F134" s="239" t="s">
        <v>378</v>
      </c>
      <c r="G134" s="239" t="s">
        <v>939</v>
      </c>
      <c r="H134" s="239" t="s">
        <v>974</v>
      </c>
      <c r="I134" s="239" t="s">
        <v>399</v>
      </c>
      <c r="J134" s="233"/>
      <c r="K134" s="235">
        <v>45886</v>
      </c>
      <c r="L134" s="233">
        <v>1.8</v>
      </c>
      <c r="M134" s="234" t="s">
        <v>939</v>
      </c>
      <c r="N134" s="234">
        <v>41020</v>
      </c>
      <c r="O134" s="234">
        <v>15090</v>
      </c>
      <c r="P134" s="242">
        <v>24</v>
      </c>
      <c r="Q134" s="234">
        <v>25930</v>
      </c>
      <c r="R134" s="234">
        <v>19706.8</v>
      </c>
      <c r="S134" s="243" t="s">
        <v>1022</v>
      </c>
      <c r="T134" s="236">
        <v>45887</v>
      </c>
    </row>
    <row r="135" spans="1:20" ht="38.25" hidden="1" customHeight="1">
      <c r="A135" s="239" t="s">
        <v>1013</v>
      </c>
      <c r="B135" s="240">
        <v>1008</v>
      </c>
      <c r="C135" s="241">
        <v>30206</v>
      </c>
      <c r="D135" s="239" t="s">
        <v>3817</v>
      </c>
      <c r="E135" s="239" t="s">
        <v>462</v>
      </c>
      <c r="F135" s="239" t="s">
        <v>463</v>
      </c>
      <c r="G135" s="239" t="s">
        <v>939</v>
      </c>
      <c r="H135" s="239" t="s">
        <v>974</v>
      </c>
      <c r="I135" s="239" t="s">
        <v>399</v>
      </c>
      <c r="J135" s="233"/>
      <c r="K135" s="235">
        <v>45886</v>
      </c>
      <c r="L135" s="233">
        <v>1.6</v>
      </c>
      <c r="M135" s="234" t="s">
        <v>939</v>
      </c>
      <c r="N135" s="234">
        <v>39670</v>
      </c>
      <c r="O135" s="234">
        <v>16400</v>
      </c>
      <c r="P135" s="242">
        <v>42</v>
      </c>
      <c r="Q135" s="234">
        <v>23270</v>
      </c>
      <c r="R135" s="234">
        <v>13496.6</v>
      </c>
      <c r="S135" s="243" t="s">
        <v>1023</v>
      </c>
      <c r="T135" s="236">
        <v>45887</v>
      </c>
    </row>
    <row r="136" spans="1:20" ht="38.25" hidden="1" customHeight="1">
      <c r="A136" s="239" t="s">
        <v>1014</v>
      </c>
      <c r="B136" s="240">
        <v>1001</v>
      </c>
      <c r="C136" s="241">
        <v>30200</v>
      </c>
      <c r="D136" s="239" t="s">
        <v>3817</v>
      </c>
      <c r="E136" s="239" t="s">
        <v>841</v>
      </c>
      <c r="F136" s="239" t="s">
        <v>845</v>
      </c>
      <c r="G136" s="239" t="s">
        <v>939</v>
      </c>
      <c r="H136" s="239" t="s">
        <v>974</v>
      </c>
      <c r="I136" s="239" t="s">
        <v>399</v>
      </c>
      <c r="J136" s="233"/>
      <c r="K136" s="235">
        <v>45886</v>
      </c>
      <c r="L136" s="233">
        <v>1.8</v>
      </c>
      <c r="M136" s="234" t="s">
        <v>939</v>
      </c>
      <c r="N136" s="234">
        <v>41280</v>
      </c>
      <c r="O136" s="234">
        <v>15930</v>
      </c>
      <c r="P136" s="242">
        <v>30</v>
      </c>
      <c r="Q136" s="234">
        <v>25350</v>
      </c>
      <c r="R136" s="234">
        <v>17745</v>
      </c>
      <c r="S136" s="243" t="s">
        <v>1024</v>
      </c>
      <c r="T136" s="236">
        <v>45887</v>
      </c>
    </row>
    <row r="137" spans="1:20" ht="38.25" hidden="1" customHeight="1">
      <c r="A137" s="239" t="s">
        <v>1015</v>
      </c>
      <c r="B137" s="240">
        <v>1009</v>
      </c>
      <c r="C137" s="241">
        <v>30208</v>
      </c>
      <c r="D137" s="239" t="s">
        <v>3817</v>
      </c>
      <c r="E137" s="239" t="s">
        <v>472</v>
      </c>
      <c r="F137" s="239" t="s">
        <v>473</v>
      </c>
      <c r="G137" s="239" t="s">
        <v>939</v>
      </c>
      <c r="H137" s="239" t="s">
        <v>974</v>
      </c>
      <c r="I137" s="239" t="s">
        <v>399</v>
      </c>
      <c r="J137" s="233"/>
      <c r="K137" s="235">
        <v>45886</v>
      </c>
      <c r="L137" s="233">
        <v>1.6</v>
      </c>
      <c r="M137" s="234" t="s">
        <v>939</v>
      </c>
      <c r="N137" s="234">
        <v>38520</v>
      </c>
      <c r="O137" s="234">
        <v>16630</v>
      </c>
      <c r="P137" s="242">
        <v>28</v>
      </c>
      <c r="Q137" s="234">
        <v>21890</v>
      </c>
      <c r="R137" s="234">
        <v>15760.8</v>
      </c>
      <c r="S137" s="243" t="s">
        <v>1025</v>
      </c>
      <c r="T137" s="236">
        <v>45887</v>
      </c>
    </row>
    <row r="138" spans="1:20" ht="38.25" hidden="1" customHeight="1">
      <c r="A138" s="239" t="s">
        <v>1016</v>
      </c>
      <c r="B138" s="240">
        <v>1011</v>
      </c>
      <c r="C138" s="241">
        <v>30198</v>
      </c>
      <c r="D138" s="239" t="s">
        <v>3817</v>
      </c>
      <c r="E138" s="239" t="s">
        <v>791</v>
      </c>
      <c r="F138" s="239" t="s">
        <v>792</v>
      </c>
      <c r="G138" s="239" t="s">
        <v>939</v>
      </c>
      <c r="H138" s="239" t="s">
        <v>974</v>
      </c>
      <c r="I138" s="239" t="s">
        <v>399</v>
      </c>
      <c r="J138" s="233"/>
      <c r="K138" s="235">
        <v>45887</v>
      </c>
      <c r="L138" s="233">
        <v>2</v>
      </c>
      <c r="M138" s="234" t="s">
        <v>939</v>
      </c>
      <c r="N138" s="234">
        <v>40460</v>
      </c>
      <c r="O138" s="234">
        <v>14970</v>
      </c>
      <c r="P138" s="242">
        <v>28</v>
      </c>
      <c r="Q138" s="234">
        <v>25490</v>
      </c>
      <c r="R138" s="234">
        <v>18352.8</v>
      </c>
      <c r="S138" s="243" t="s">
        <v>1026</v>
      </c>
      <c r="T138" s="236">
        <v>45887</v>
      </c>
    </row>
    <row r="139" spans="1:20" ht="38.25" hidden="1" customHeight="1">
      <c r="A139" s="239" t="s">
        <v>1017</v>
      </c>
      <c r="B139" s="240">
        <v>1012</v>
      </c>
      <c r="C139" s="241">
        <v>30210</v>
      </c>
      <c r="D139" s="239" t="s">
        <v>3817</v>
      </c>
      <c r="E139" s="239" t="s">
        <v>475</v>
      </c>
      <c r="F139" s="239" t="s">
        <v>476</v>
      </c>
      <c r="G139" s="239" t="s">
        <v>942</v>
      </c>
      <c r="H139" s="239" t="s">
        <v>869</v>
      </c>
      <c r="I139" s="239" t="s">
        <v>399</v>
      </c>
      <c r="J139" s="233"/>
      <c r="K139" s="235">
        <v>45887</v>
      </c>
      <c r="L139" s="233">
        <v>2</v>
      </c>
      <c r="M139" s="234" t="s">
        <v>942</v>
      </c>
      <c r="N139" s="234">
        <v>39420</v>
      </c>
      <c r="O139" s="234">
        <v>16570</v>
      </c>
      <c r="P139" s="242">
        <v>25</v>
      </c>
      <c r="Q139" s="234">
        <v>22850</v>
      </c>
      <c r="R139" s="234">
        <v>17137.5</v>
      </c>
      <c r="S139" s="243" t="s">
        <v>1027</v>
      </c>
      <c r="T139" s="236">
        <v>45887</v>
      </c>
    </row>
    <row r="140" spans="1:20" ht="38.25" hidden="1" customHeight="1">
      <c r="A140" s="239" t="s">
        <v>1018</v>
      </c>
      <c r="B140" s="240">
        <v>1013</v>
      </c>
      <c r="C140" s="241">
        <v>30212</v>
      </c>
      <c r="D140" s="239" t="s">
        <v>3817</v>
      </c>
      <c r="E140" s="239" t="s">
        <v>413</v>
      </c>
      <c r="F140" s="239" t="s">
        <v>414</v>
      </c>
      <c r="G140" s="239" t="s">
        <v>942</v>
      </c>
      <c r="H140" s="239" t="s">
        <v>973</v>
      </c>
      <c r="I140" s="239" t="s">
        <v>399</v>
      </c>
      <c r="J140" s="233"/>
      <c r="K140" s="235">
        <v>45887</v>
      </c>
      <c r="L140" s="233">
        <v>2</v>
      </c>
      <c r="M140" s="234" t="s">
        <v>942</v>
      </c>
      <c r="N140" s="234">
        <v>41950</v>
      </c>
      <c r="O140" s="234">
        <v>14980</v>
      </c>
      <c r="P140" s="242">
        <v>17</v>
      </c>
      <c r="Q140" s="234">
        <v>26970</v>
      </c>
      <c r="R140" s="234">
        <v>22385.1</v>
      </c>
      <c r="S140" s="243" t="s">
        <v>1028</v>
      </c>
      <c r="T140" s="236">
        <v>45887</v>
      </c>
    </row>
    <row r="141" spans="1:20" ht="38.25" hidden="1" customHeight="1">
      <c r="A141" s="239" t="s">
        <v>1045</v>
      </c>
      <c r="B141" s="240">
        <v>1016</v>
      </c>
      <c r="C141" s="241">
        <v>30220</v>
      </c>
      <c r="D141" s="239" t="s">
        <v>3817</v>
      </c>
      <c r="E141" s="239" t="s">
        <v>447</v>
      </c>
      <c r="F141" s="239" t="s">
        <v>448</v>
      </c>
      <c r="G141" s="239" t="s">
        <v>939</v>
      </c>
      <c r="H141" s="239" t="s">
        <v>973</v>
      </c>
      <c r="I141" s="239" t="s">
        <v>399</v>
      </c>
      <c r="J141" s="233"/>
      <c r="K141" s="235">
        <v>45887</v>
      </c>
      <c r="L141" s="233">
        <v>2</v>
      </c>
      <c r="M141" s="234" t="s">
        <v>939</v>
      </c>
      <c r="N141" s="234">
        <v>46680</v>
      </c>
      <c r="O141" s="234">
        <v>19370</v>
      </c>
      <c r="P141" s="242">
        <v>19</v>
      </c>
      <c r="Q141" s="234">
        <v>27310</v>
      </c>
      <c r="R141" s="234">
        <v>22121.1</v>
      </c>
      <c r="S141" s="243" t="s">
        <v>1029</v>
      </c>
      <c r="T141" s="236">
        <v>45888</v>
      </c>
    </row>
    <row r="142" spans="1:20" ht="38.25" hidden="1" customHeight="1">
      <c r="A142" s="239" t="s">
        <v>1019</v>
      </c>
      <c r="B142" s="240">
        <v>1017</v>
      </c>
      <c r="C142" s="241">
        <v>30222</v>
      </c>
      <c r="D142" s="239" t="s">
        <v>3817</v>
      </c>
      <c r="E142" s="239" t="s">
        <v>453</v>
      </c>
      <c r="F142" s="239" t="s">
        <v>454</v>
      </c>
      <c r="G142" s="239" t="s">
        <v>939</v>
      </c>
      <c r="H142" s="239" t="s">
        <v>973</v>
      </c>
      <c r="I142" s="239" t="s">
        <v>399</v>
      </c>
      <c r="J142" s="233"/>
      <c r="K142" s="235">
        <v>45887</v>
      </c>
      <c r="L142" s="233">
        <v>1.6</v>
      </c>
      <c r="M142" s="234" t="s">
        <v>939</v>
      </c>
      <c r="N142" s="234">
        <v>46150</v>
      </c>
      <c r="O142" s="234">
        <v>24180</v>
      </c>
      <c r="P142" s="242">
        <v>24</v>
      </c>
      <c r="Q142" s="234">
        <v>21970</v>
      </c>
      <c r="R142" s="234">
        <v>16697.2</v>
      </c>
      <c r="S142" s="243" t="s">
        <v>1030</v>
      </c>
      <c r="T142" s="236">
        <v>45888</v>
      </c>
    </row>
    <row r="143" spans="1:20" ht="38.25" hidden="1" customHeight="1">
      <c r="A143" s="239" t="s">
        <v>1020</v>
      </c>
      <c r="B143" s="240">
        <v>1018</v>
      </c>
      <c r="C143" s="241">
        <v>30224</v>
      </c>
      <c r="D143" s="239" t="s">
        <v>3817</v>
      </c>
      <c r="E143" s="239" t="s">
        <v>456</v>
      </c>
      <c r="F143" s="239" t="s">
        <v>457</v>
      </c>
      <c r="G143" s="239" t="s">
        <v>939</v>
      </c>
      <c r="H143" s="239" t="s">
        <v>973</v>
      </c>
      <c r="I143" s="239" t="s">
        <v>399</v>
      </c>
      <c r="J143" s="233"/>
      <c r="K143" s="235">
        <v>45887</v>
      </c>
      <c r="L143" s="233">
        <v>2</v>
      </c>
      <c r="M143" s="234" t="s">
        <v>939</v>
      </c>
      <c r="N143" s="234">
        <v>42960</v>
      </c>
      <c r="O143" s="234">
        <v>15580</v>
      </c>
      <c r="P143" s="242">
        <v>26</v>
      </c>
      <c r="Q143" s="234">
        <v>27380</v>
      </c>
      <c r="R143" s="234">
        <v>20261.2</v>
      </c>
      <c r="S143" s="243" t="s">
        <v>1031</v>
      </c>
      <c r="T143" s="236">
        <v>45888</v>
      </c>
    </row>
    <row r="144" spans="1:20" ht="38.25" hidden="1" customHeight="1">
      <c r="A144" s="239" t="s">
        <v>1046</v>
      </c>
      <c r="B144" s="240">
        <v>1019</v>
      </c>
      <c r="C144" s="241">
        <v>30216</v>
      </c>
      <c r="D144" s="239" t="s">
        <v>3817</v>
      </c>
      <c r="E144" s="239" t="s">
        <v>416</v>
      </c>
      <c r="F144" s="239" t="s">
        <v>417</v>
      </c>
      <c r="G144" s="239" t="s">
        <v>939</v>
      </c>
      <c r="H144" s="239" t="s">
        <v>973</v>
      </c>
      <c r="I144" s="239" t="s">
        <v>399</v>
      </c>
      <c r="J144" s="233"/>
      <c r="K144" s="235">
        <v>45887</v>
      </c>
      <c r="L144" s="233">
        <v>1.8</v>
      </c>
      <c r="M144" s="234" t="s">
        <v>939</v>
      </c>
      <c r="N144" s="234">
        <v>39190</v>
      </c>
      <c r="O144" s="234">
        <v>14720</v>
      </c>
      <c r="P144" s="242">
        <v>15</v>
      </c>
      <c r="Q144" s="234">
        <v>24470</v>
      </c>
      <c r="R144" s="234">
        <v>20799.5</v>
      </c>
      <c r="S144" s="243" t="s">
        <v>1047</v>
      </c>
      <c r="T144" s="236">
        <v>45888</v>
      </c>
    </row>
    <row r="145" spans="1:20" ht="38.25" hidden="1" customHeight="1">
      <c r="A145" s="239" t="s">
        <v>1048</v>
      </c>
      <c r="B145" s="240">
        <v>1020</v>
      </c>
      <c r="C145" s="241">
        <v>30214</v>
      </c>
      <c r="D145" s="239" t="s">
        <v>3817</v>
      </c>
      <c r="E145" s="239" t="s">
        <v>420</v>
      </c>
      <c r="F145" s="239" t="s">
        <v>421</v>
      </c>
      <c r="G145" s="239" t="s">
        <v>939</v>
      </c>
      <c r="H145" s="239" t="s">
        <v>973</v>
      </c>
      <c r="I145" s="239" t="s">
        <v>399</v>
      </c>
      <c r="J145" s="233"/>
      <c r="K145" s="235">
        <v>45887</v>
      </c>
      <c r="L145" s="233">
        <v>1.6</v>
      </c>
      <c r="M145" s="234" t="s">
        <v>939</v>
      </c>
      <c r="N145" s="234">
        <v>36580</v>
      </c>
      <c r="O145" s="234">
        <v>14790</v>
      </c>
      <c r="P145" s="242">
        <v>23</v>
      </c>
      <c r="Q145" s="234">
        <v>21790</v>
      </c>
      <c r="R145" s="234">
        <v>16778.3</v>
      </c>
      <c r="S145" s="243" t="s">
        <v>1049</v>
      </c>
      <c r="T145" s="236">
        <v>45888</v>
      </c>
    </row>
    <row r="146" spans="1:20" ht="38.25" hidden="1" customHeight="1">
      <c r="A146" s="239" t="s">
        <v>1050</v>
      </c>
      <c r="B146" s="240">
        <v>1023</v>
      </c>
      <c r="C146" s="241">
        <v>30218</v>
      </c>
      <c r="D146" s="239" t="s">
        <v>3817</v>
      </c>
      <c r="E146" s="239" t="s">
        <v>432</v>
      </c>
      <c r="F146" s="239" t="s">
        <v>433</v>
      </c>
      <c r="G146" s="239" t="s">
        <v>939</v>
      </c>
      <c r="H146" s="239" t="s">
        <v>973</v>
      </c>
      <c r="I146" s="239" t="s">
        <v>399</v>
      </c>
      <c r="J146" s="233"/>
      <c r="K146" s="235">
        <v>45887</v>
      </c>
      <c r="L146" s="233">
        <v>1.9</v>
      </c>
      <c r="M146" s="234" t="s">
        <v>939</v>
      </c>
      <c r="N146" s="234">
        <v>42140</v>
      </c>
      <c r="O146" s="234">
        <v>15570</v>
      </c>
      <c r="P146" s="242">
        <v>22</v>
      </c>
      <c r="Q146" s="234">
        <v>26570</v>
      </c>
      <c r="R146" s="234">
        <v>20724.599999999999</v>
      </c>
      <c r="S146" s="243" t="s">
        <v>1051</v>
      </c>
      <c r="T146" s="236">
        <v>45888</v>
      </c>
    </row>
    <row r="147" spans="1:20" ht="38.25" hidden="1" customHeight="1">
      <c r="A147" s="239" t="s">
        <v>1052</v>
      </c>
      <c r="B147" s="240">
        <v>1028</v>
      </c>
      <c r="C147" s="241">
        <v>30238</v>
      </c>
      <c r="D147" s="239" t="s">
        <v>3817</v>
      </c>
      <c r="E147" s="239" t="s">
        <v>866</v>
      </c>
      <c r="F147" s="239" t="s">
        <v>867</v>
      </c>
      <c r="G147" s="239" t="s">
        <v>939</v>
      </c>
      <c r="H147" s="239" t="s">
        <v>973</v>
      </c>
      <c r="I147" s="239" t="s">
        <v>399</v>
      </c>
      <c r="J147" s="233"/>
      <c r="K147" s="235">
        <v>45887</v>
      </c>
      <c r="L147" s="233">
        <v>1.8</v>
      </c>
      <c r="M147" s="234" t="s">
        <v>939</v>
      </c>
      <c r="N147" s="234">
        <v>38420</v>
      </c>
      <c r="O147" s="234">
        <v>14410</v>
      </c>
      <c r="P147" s="242">
        <v>11</v>
      </c>
      <c r="Q147" s="234">
        <v>24010</v>
      </c>
      <c r="R147" s="234">
        <v>21368.9</v>
      </c>
      <c r="S147" s="243" t="s">
        <v>1053</v>
      </c>
      <c r="T147" s="236">
        <v>45888</v>
      </c>
    </row>
    <row r="148" spans="1:20" ht="38.25" hidden="1" customHeight="1">
      <c r="A148" s="239" t="s">
        <v>1054</v>
      </c>
      <c r="B148" s="240">
        <v>1030</v>
      </c>
      <c r="C148" s="241">
        <v>30228</v>
      </c>
      <c r="D148" s="239" t="s">
        <v>3817</v>
      </c>
      <c r="E148" s="239" t="s">
        <v>439</v>
      </c>
      <c r="F148" s="239" t="s">
        <v>440</v>
      </c>
      <c r="G148" s="239" t="s">
        <v>939</v>
      </c>
      <c r="H148" s="239" t="s">
        <v>973</v>
      </c>
      <c r="I148" s="239" t="s">
        <v>399</v>
      </c>
      <c r="J148" s="233"/>
      <c r="K148" s="235">
        <v>45887</v>
      </c>
      <c r="L148" s="233">
        <v>1.9</v>
      </c>
      <c r="M148" s="234" t="s">
        <v>939</v>
      </c>
      <c r="N148" s="234">
        <v>40310</v>
      </c>
      <c r="O148" s="234">
        <v>14970</v>
      </c>
      <c r="P148" s="242">
        <v>18</v>
      </c>
      <c r="Q148" s="234">
        <v>25340</v>
      </c>
      <c r="R148" s="234">
        <v>20778.8</v>
      </c>
      <c r="S148" s="243" t="s">
        <v>1055</v>
      </c>
      <c r="T148" s="236">
        <v>45888</v>
      </c>
    </row>
    <row r="149" spans="1:20" ht="38.25" hidden="1" customHeight="1">
      <c r="A149" s="239" t="s">
        <v>1056</v>
      </c>
      <c r="B149" s="240">
        <v>1029</v>
      </c>
      <c r="C149" s="241">
        <v>30226</v>
      </c>
      <c r="D149" s="239" t="s">
        <v>3817</v>
      </c>
      <c r="E149" s="239" t="s">
        <v>1410</v>
      </c>
      <c r="F149" s="239" t="s">
        <v>437</v>
      </c>
      <c r="G149" s="239" t="s">
        <v>939</v>
      </c>
      <c r="H149" s="239" t="s">
        <v>973</v>
      </c>
      <c r="I149" s="239" t="s">
        <v>399</v>
      </c>
      <c r="J149" s="233"/>
      <c r="K149" s="235">
        <v>45887</v>
      </c>
      <c r="L149" s="233">
        <v>1.8</v>
      </c>
      <c r="M149" s="234" t="s">
        <v>939</v>
      </c>
      <c r="N149" s="234">
        <v>39390</v>
      </c>
      <c r="O149" s="234">
        <v>14830</v>
      </c>
      <c r="P149" s="242">
        <v>13</v>
      </c>
      <c r="Q149" s="234">
        <v>24560</v>
      </c>
      <c r="R149" s="234">
        <v>21367.200000000001</v>
      </c>
      <c r="S149" s="243" t="s">
        <v>1057</v>
      </c>
      <c r="T149" s="236">
        <v>45888</v>
      </c>
    </row>
    <row r="150" spans="1:20" ht="38.25" hidden="1" customHeight="1">
      <c r="A150" s="239" t="s">
        <v>1058</v>
      </c>
      <c r="B150" s="240">
        <v>1031</v>
      </c>
      <c r="C150" s="241">
        <v>30232</v>
      </c>
      <c r="D150" s="239" t="s">
        <v>3817</v>
      </c>
      <c r="E150" s="239" t="s">
        <v>369</v>
      </c>
      <c r="F150" s="239" t="s">
        <v>370</v>
      </c>
      <c r="G150" s="239" t="s">
        <v>939</v>
      </c>
      <c r="H150" s="239" t="s">
        <v>973</v>
      </c>
      <c r="I150" s="239" t="s">
        <v>399</v>
      </c>
      <c r="J150" s="233"/>
      <c r="K150" s="235">
        <v>45887</v>
      </c>
      <c r="L150" s="233">
        <v>1.6</v>
      </c>
      <c r="M150" s="234" t="s">
        <v>939</v>
      </c>
      <c r="N150" s="234">
        <v>38060</v>
      </c>
      <c r="O150" s="234">
        <v>15060</v>
      </c>
      <c r="P150" s="242">
        <v>18</v>
      </c>
      <c r="Q150" s="234">
        <v>23000</v>
      </c>
      <c r="R150" s="234">
        <v>18860</v>
      </c>
      <c r="S150" s="243" t="s">
        <v>1059</v>
      </c>
      <c r="T150" s="236">
        <v>45888</v>
      </c>
    </row>
    <row r="151" spans="1:20" ht="38.25" hidden="1" customHeight="1">
      <c r="A151" s="239" t="s">
        <v>1060</v>
      </c>
      <c r="B151" s="240">
        <v>1032</v>
      </c>
      <c r="C151" s="241">
        <v>30230</v>
      </c>
      <c r="D151" s="239" t="s">
        <v>3817</v>
      </c>
      <c r="E151" s="239" t="s">
        <v>372</v>
      </c>
      <c r="F151" s="239" t="s">
        <v>373</v>
      </c>
      <c r="G151" s="239" t="s">
        <v>942</v>
      </c>
      <c r="H151" s="239" t="s">
        <v>869</v>
      </c>
      <c r="I151" s="239" t="s">
        <v>399</v>
      </c>
      <c r="J151" s="233"/>
      <c r="K151" s="236">
        <v>45888</v>
      </c>
      <c r="L151" s="233">
        <v>1.7</v>
      </c>
      <c r="M151" s="234" t="s">
        <v>942</v>
      </c>
      <c r="N151" s="234">
        <v>38010</v>
      </c>
      <c r="O151" s="234">
        <v>14900</v>
      </c>
      <c r="P151" s="242">
        <v>13</v>
      </c>
      <c r="Q151" s="234">
        <v>23110</v>
      </c>
      <c r="R151" s="234">
        <v>20105.7</v>
      </c>
      <c r="S151" s="243" t="s">
        <v>1061</v>
      </c>
      <c r="T151" s="236">
        <v>45888</v>
      </c>
    </row>
    <row r="152" spans="1:20" ht="38.25" hidden="1" customHeight="1">
      <c r="A152" s="239" t="s">
        <v>1066</v>
      </c>
      <c r="B152" s="240">
        <v>1033</v>
      </c>
      <c r="C152" s="241">
        <v>30234</v>
      </c>
      <c r="D152" s="239" t="s">
        <v>3817</v>
      </c>
      <c r="E152" s="239" t="s">
        <v>374</v>
      </c>
      <c r="F152" s="239" t="s">
        <v>375</v>
      </c>
      <c r="G152" s="239" t="s">
        <v>942</v>
      </c>
      <c r="H152" s="239" t="s">
        <v>869</v>
      </c>
      <c r="I152" s="239" t="s">
        <v>399</v>
      </c>
      <c r="J152" s="233"/>
      <c r="K152" s="236">
        <v>45888</v>
      </c>
      <c r="L152" s="233">
        <v>1.6</v>
      </c>
      <c r="M152" s="234" t="s">
        <v>942</v>
      </c>
      <c r="N152" s="234">
        <v>37880</v>
      </c>
      <c r="O152" s="234">
        <v>15550</v>
      </c>
      <c r="P152" s="242">
        <v>11</v>
      </c>
      <c r="Q152" s="234">
        <v>22330</v>
      </c>
      <c r="R152" s="234">
        <v>19873.7</v>
      </c>
      <c r="S152" s="243" t="s">
        <v>1067</v>
      </c>
      <c r="T152" s="236">
        <v>45888</v>
      </c>
    </row>
    <row r="153" spans="1:20" ht="38.25" hidden="1" customHeight="1">
      <c r="A153" s="239" t="s">
        <v>1072</v>
      </c>
      <c r="B153" s="240">
        <v>1034</v>
      </c>
      <c r="C153" s="241">
        <v>30240</v>
      </c>
      <c r="D153" s="239" t="s">
        <v>3817</v>
      </c>
      <c r="E153" s="239" t="s">
        <v>858</v>
      </c>
      <c r="F153" s="239" t="s">
        <v>859</v>
      </c>
      <c r="G153" s="239" t="s">
        <v>942</v>
      </c>
      <c r="H153" s="239" t="s">
        <v>869</v>
      </c>
      <c r="I153" s="239" t="s">
        <v>399</v>
      </c>
      <c r="J153" s="233"/>
      <c r="K153" s="236">
        <v>45888</v>
      </c>
      <c r="L153" s="233">
        <v>1.7</v>
      </c>
      <c r="M153" s="234" t="s">
        <v>942</v>
      </c>
      <c r="N153" s="234">
        <v>38060</v>
      </c>
      <c r="O153" s="234">
        <v>14680</v>
      </c>
      <c r="P153" s="242">
        <v>4</v>
      </c>
      <c r="Q153" s="234">
        <v>23380</v>
      </c>
      <c r="R153" s="234">
        <v>22444.799999999999</v>
      </c>
      <c r="S153" s="243" t="s">
        <v>1073</v>
      </c>
      <c r="T153" s="236">
        <v>45888</v>
      </c>
    </row>
    <row r="154" spans="1:20" ht="38.25" hidden="1" customHeight="1">
      <c r="A154" s="239" t="s">
        <v>1074</v>
      </c>
      <c r="B154" s="240">
        <v>1035</v>
      </c>
      <c r="C154" s="241">
        <v>30252</v>
      </c>
      <c r="D154" s="239" t="s">
        <v>3817</v>
      </c>
      <c r="E154" s="239" t="s">
        <v>403</v>
      </c>
      <c r="F154" s="239" t="s">
        <v>404</v>
      </c>
      <c r="G154" s="239" t="s">
        <v>942</v>
      </c>
      <c r="H154" s="239" t="s">
        <v>869</v>
      </c>
      <c r="I154" s="239" t="s">
        <v>399</v>
      </c>
      <c r="J154" s="233"/>
      <c r="K154" s="236">
        <v>45888</v>
      </c>
      <c r="L154" s="233">
        <v>1.6</v>
      </c>
      <c r="M154" s="234" t="s">
        <v>942</v>
      </c>
      <c r="N154" s="234">
        <v>37270</v>
      </c>
      <c r="O154" s="234">
        <v>14440</v>
      </c>
      <c r="P154" s="242">
        <v>28</v>
      </c>
      <c r="Q154" s="234">
        <v>22830</v>
      </c>
      <c r="R154" s="234">
        <v>16437.599999999999</v>
      </c>
      <c r="S154" s="243" t="s">
        <v>1075</v>
      </c>
      <c r="T154" s="236">
        <v>45888</v>
      </c>
    </row>
    <row r="155" spans="1:20" ht="38.25" hidden="1" customHeight="1">
      <c r="A155" s="239" t="s">
        <v>1076</v>
      </c>
      <c r="B155" s="240">
        <v>1036</v>
      </c>
      <c r="C155" s="241">
        <v>30254</v>
      </c>
      <c r="D155" s="239" t="s">
        <v>3817</v>
      </c>
      <c r="E155" s="239" t="s">
        <v>406</v>
      </c>
      <c r="F155" s="239" t="s">
        <v>407</v>
      </c>
      <c r="G155" s="239" t="s">
        <v>942</v>
      </c>
      <c r="H155" s="239" t="s">
        <v>869</v>
      </c>
      <c r="I155" s="239" t="s">
        <v>399</v>
      </c>
      <c r="J155" s="233"/>
      <c r="K155" s="236">
        <v>45888</v>
      </c>
      <c r="L155" s="233">
        <v>1.7</v>
      </c>
      <c r="M155" s="234" t="s">
        <v>942</v>
      </c>
      <c r="N155" s="234">
        <v>38360</v>
      </c>
      <c r="O155" s="234">
        <v>15030</v>
      </c>
      <c r="P155" s="242">
        <v>24</v>
      </c>
      <c r="Q155" s="234">
        <v>23330</v>
      </c>
      <c r="R155" s="234">
        <v>17730.8</v>
      </c>
      <c r="S155" s="243" t="s">
        <v>1077</v>
      </c>
      <c r="T155" s="236">
        <v>45888</v>
      </c>
    </row>
    <row r="156" spans="1:20" ht="38.25" hidden="1" customHeight="1">
      <c r="A156" s="239" t="s">
        <v>1062</v>
      </c>
      <c r="B156" s="240">
        <v>1037</v>
      </c>
      <c r="C156" s="241">
        <v>30268</v>
      </c>
      <c r="D156" s="239" t="s">
        <v>3817</v>
      </c>
      <c r="E156" s="239" t="s">
        <v>841</v>
      </c>
      <c r="F156" s="239" t="s">
        <v>845</v>
      </c>
      <c r="G156" s="239" t="s">
        <v>942</v>
      </c>
      <c r="H156" s="239" t="s">
        <v>869</v>
      </c>
      <c r="I156" s="239" t="s">
        <v>399</v>
      </c>
      <c r="J156" s="233"/>
      <c r="K156" s="236">
        <v>45888</v>
      </c>
      <c r="L156" s="233">
        <v>1.9</v>
      </c>
      <c r="M156" s="234" t="s">
        <v>942</v>
      </c>
      <c r="N156" s="234">
        <v>42150</v>
      </c>
      <c r="O156" s="234">
        <v>15710</v>
      </c>
      <c r="P156" s="242">
        <v>18</v>
      </c>
      <c r="Q156" s="234">
        <v>26440</v>
      </c>
      <c r="R156" s="234">
        <v>21680.799999999999</v>
      </c>
      <c r="S156" s="243" t="s">
        <v>1063</v>
      </c>
      <c r="T156" s="236">
        <v>45888</v>
      </c>
    </row>
    <row r="157" spans="1:20" ht="38.25" hidden="1" customHeight="1">
      <c r="A157" s="239" t="s">
        <v>1064</v>
      </c>
      <c r="B157" s="240">
        <v>1038</v>
      </c>
      <c r="C157" s="241">
        <v>30288</v>
      </c>
      <c r="D157" s="239" t="s">
        <v>3817</v>
      </c>
      <c r="E157" s="239" t="s">
        <v>794</v>
      </c>
      <c r="F157" s="239" t="s">
        <v>795</v>
      </c>
      <c r="G157" s="239" t="s">
        <v>942</v>
      </c>
      <c r="H157" s="239" t="s">
        <v>869</v>
      </c>
      <c r="I157" s="239" t="s">
        <v>399</v>
      </c>
      <c r="J157" s="233"/>
      <c r="K157" s="236">
        <v>45888</v>
      </c>
      <c r="L157" s="233">
        <v>1.9</v>
      </c>
      <c r="M157" s="234" t="s">
        <v>942</v>
      </c>
      <c r="N157" s="234">
        <v>42350</v>
      </c>
      <c r="O157" s="234">
        <v>16110</v>
      </c>
      <c r="P157" s="242">
        <v>21</v>
      </c>
      <c r="Q157" s="234">
        <v>26240</v>
      </c>
      <c r="R157" s="234">
        <v>20729.599999999999</v>
      </c>
      <c r="S157" s="243" t="s">
        <v>1065</v>
      </c>
      <c r="T157" s="236">
        <v>45888</v>
      </c>
    </row>
    <row r="158" spans="1:20" ht="38.25" hidden="1" customHeight="1">
      <c r="A158" s="239" t="s">
        <v>1068</v>
      </c>
      <c r="B158" s="240">
        <v>1039</v>
      </c>
      <c r="C158" s="241">
        <v>30290</v>
      </c>
      <c r="D158" s="239" t="s">
        <v>3817</v>
      </c>
      <c r="E158" s="239" t="s">
        <v>783</v>
      </c>
      <c r="F158" s="239" t="s">
        <v>784</v>
      </c>
      <c r="G158" s="239" t="s">
        <v>942</v>
      </c>
      <c r="H158" s="239" t="s">
        <v>869</v>
      </c>
      <c r="I158" s="239" t="s">
        <v>399</v>
      </c>
      <c r="J158" s="233"/>
      <c r="K158" s="236">
        <v>45888</v>
      </c>
      <c r="L158" s="233">
        <v>1.8</v>
      </c>
      <c r="M158" s="234" t="s">
        <v>942</v>
      </c>
      <c r="N158" s="234">
        <v>39940</v>
      </c>
      <c r="O158" s="234">
        <v>14660</v>
      </c>
      <c r="P158" s="242">
        <v>32</v>
      </c>
      <c r="Q158" s="234">
        <v>25280</v>
      </c>
      <c r="R158" s="234">
        <v>17190.400000000001</v>
      </c>
      <c r="S158" s="243" t="s">
        <v>1069</v>
      </c>
      <c r="T158" s="236">
        <v>45888</v>
      </c>
    </row>
    <row r="159" spans="1:20" ht="38.25" hidden="1" customHeight="1">
      <c r="A159" s="239" t="s">
        <v>1070</v>
      </c>
      <c r="B159" s="240">
        <v>1040</v>
      </c>
      <c r="C159" s="241">
        <v>30293</v>
      </c>
      <c r="D159" s="239" t="s">
        <v>3817</v>
      </c>
      <c r="E159" s="239" t="s">
        <v>791</v>
      </c>
      <c r="F159" s="239" t="s">
        <v>792</v>
      </c>
      <c r="G159" s="239" t="s">
        <v>942</v>
      </c>
      <c r="H159" s="239" t="s">
        <v>869</v>
      </c>
      <c r="I159" s="239" t="s">
        <v>399</v>
      </c>
      <c r="J159" s="233"/>
      <c r="K159" s="236">
        <v>45888</v>
      </c>
      <c r="L159" s="233">
        <v>1.8</v>
      </c>
      <c r="M159" s="234" t="s">
        <v>942</v>
      </c>
      <c r="N159" s="234">
        <v>40180</v>
      </c>
      <c r="O159" s="234">
        <v>14980</v>
      </c>
      <c r="P159" s="242">
        <v>31</v>
      </c>
      <c r="Q159" s="234">
        <v>25200</v>
      </c>
      <c r="R159" s="234">
        <v>17388</v>
      </c>
      <c r="S159" s="243" t="s">
        <v>1071</v>
      </c>
      <c r="T159" s="236">
        <v>45888</v>
      </c>
    </row>
    <row r="160" spans="1:20" ht="38.25" hidden="1" customHeight="1">
      <c r="A160" s="239" t="s">
        <v>1078</v>
      </c>
      <c r="B160" s="240">
        <v>1041</v>
      </c>
      <c r="C160" s="241">
        <v>30300</v>
      </c>
      <c r="D160" s="239" t="s">
        <v>3817</v>
      </c>
      <c r="E160" s="239" t="s">
        <v>475</v>
      </c>
      <c r="F160" s="239" t="s">
        <v>476</v>
      </c>
      <c r="G160" s="239" t="s">
        <v>942</v>
      </c>
      <c r="H160" s="239" t="s">
        <v>869</v>
      </c>
      <c r="I160" s="239" t="s">
        <v>399</v>
      </c>
      <c r="J160" s="233"/>
      <c r="K160" s="236">
        <v>45888</v>
      </c>
      <c r="L160" s="233">
        <v>1.6</v>
      </c>
      <c r="M160" s="234" t="s">
        <v>942</v>
      </c>
      <c r="N160" s="234">
        <v>38660</v>
      </c>
      <c r="O160" s="234">
        <v>16320</v>
      </c>
      <c r="P160" s="242">
        <v>15</v>
      </c>
      <c r="Q160" s="234">
        <v>22340</v>
      </c>
      <c r="R160" s="234">
        <v>18989</v>
      </c>
      <c r="S160" s="243" t="s">
        <v>1079</v>
      </c>
      <c r="T160" s="236">
        <v>45889</v>
      </c>
    </row>
    <row r="161" spans="1:20" ht="38.25" hidden="1" customHeight="1">
      <c r="A161" s="239" t="s">
        <v>1080</v>
      </c>
      <c r="B161" s="240">
        <v>1042</v>
      </c>
      <c r="C161" s="241">
        <v>30302</v>
      </c>
      <c r="D161" s="239" t="s">
        <v>3817</v>
      </c>
      <c r="E161" s="239" t="s">
        <v>472</v>
      </c>
      <c r="F161" s="239" t="s">
        <v>473</v>
      </c>
      <c r="G161" s="239" t="s">
        <v>942</v>
      </c>
      <c r="H161" s="239" t="s">
        <v>869</v>
      </c>
      <c r="I161" s="239" t="s">
        <v>399</v>
      </c>
      <c r="J161" s="233"/>
      <c r="K161" s="236">
        <v>45888</v>
      </c>
      <c r="L161" s="233">
        <v>1.6</v>
      </c>
      <c r="M161" s="234" t="s">
        <v>942</v>
      </c>
      <c r="N161" s="234">
        <v>39010</v>
      </c>
      <c r="O161" s="234">
        <v>16650</v>
      </c>
      <c r="P161" s="242">
        <v>22</v>
      </c>
      <c r="Q161" s="234">
        <v>22360</v>
      </c>
      <c r="R161" s="234">
        <v>17440.8</v>
      </c>
      <c r="S161" s="243" t="s">
        <v>1081</v>
      </c>
      <c r="T161" s="236">
        <v>45889</v>
      </c>
    </row>
    <row r="162" spans="1:20" ht="38.25" hidden="1" customHeight="1">
      <c r="A162" s="239" t="s">
        <v>1082</v>
      </c>
      <c r="B162" s="240">
        <v>1043</v>
      </c>
      <c r="C162" s="241">
        <v>30304</v>
      </c>
      <c r="D162" s="239" t="s">
        <v>3817</v>
      </c>
      <c r="E162" s="239" t="s">
        <v>462</v>
      </c>
      <c r="F162" s="239" t="s">
        <v>463</v>
      </c>
      <c r="G162" s="239" t="s">
        <v>942</v>
      </c>
      <c r="H162" s="239" t="s">
        <v>869</v>
      </c>
      <c r="I162" s="239" t="s">
        <v>399</v>
      </c>
      <c r="J162" s="233"/>
      <c r="K162" s="236">
        <v>45888</v>
      </c>
      <c r="L162" s="233">
        <v>1.6</v>
      </c>
      <c r="M162" s="234" t="s">
        <v>942</v>
      </c>
      <c r="N162" s="234">
        <v>38980</v>
      </c>
      <c r="O162" s="234">
        <v>16370</v>
      </c>
      <c r="P162" s="242">
        <v>18</v>
      </c>
      <c r="Q162" s="234">
        <v>22610</v>
      </c>
      <c r="R162" s="234">
        <v>18540.2</v>
      </c>
      <c r="S162" s="243" t="s">
        <v>1083</v>
      </c>
      <c r="T162" s="236">
        <v>45889</v>
      </c>
    </row>
    <row r="163" spans="1:20" ht="38.25" hidden="1" customHeight="1">
      <c r="A163" s="239" t="s">
        <v>1084</v>
      </c>
      <c r="B163" s="240">
        <v>1044</v>
      </c>
      <c r="C163" s="241">
        <v>30306</v>
      </c>
      <c r="D163" s="239" t="s">
        <v>3817</v>
      </c>
      <c r="E163" s="239" t="s">
        <v>786</v>
      </c>
      <c r="F163" s="239" t="s">
        <v>787</v>
      </c>
      <c r="G163" s="239" t="s">
        <v>942</v>
      </c>
      <c r="H163" s="239" t="s">
        <v>869</v>
      </c>
      <c r="I163" s="239" t="s">
        <v>399</v>
      </c>
      <c r="J163" s="233"/>
      <c r="K163" s="236">
        <v>45888</v>
      </c>
      <c r="L163" s="233">
        <v>1.6</v>
      </c>
      <c r="M163" s="234" t="s">
        <v>942</v>
      </c>
      <c r="N163" s="234">
        <v>35740</v>
      </c>
      <c r="O163" s="234">
        <v>14020</v>
      </c>
      <c r="P163" s="242">
        <v>26</v>
      </c>
      <c r="Q163" s="234">
        <v>21720</v>
      </c>
      <c r="R163" s="234">
        <v>16072.8</v>
      </c>
      <c r="S163" s="243" t="s">
        <v>1085</v>
      </c>
      <c r="T163" s="236">
        <v>45889</v>
      </c>
    </row>
    <row r="164" spans="1:20" ht="38.25" hidden="1" customHeight="1">
      <c r="A164" s="239" t="s">
        <v>1086</v>
      </c>
      <c r="B164" s="240">
        <v>1045</v>
      </c>
      <c r="C164" s="241">
        <v>30314</v>
      </c>
      <c r="D164" s="239" t="s">
        <v>3817</v>
      </c>
      <c r="E164" s="239" t="s">
        <v>380</v>
      </c>
      <c r="F164" s="239" t="s">
        <v>381</v>
      </c>
      <c r="G164" s="239" t="s">
        <v>942</v>
      </c>
      <c r="H164" s="239" t="s">
        <v>869</v>
      </c>
      <c r="I164" s="239" t="s">
        <v>399</v>
      </c>
      <c r="J164" s="233"/>
      <c r="K164" s="236">
        <v>45888</v>
      </c>
      <c r="L164" s="233">
        <v>1.6</v>
      </c>
      <c r="M164" s="234" t="s">
        <v>942</v>
      </c>
      <c r="N164" s="234">
        <v>37570</v>
      </c>
      <c r="O164" s="234">
        <v>15030</v>
      </c>
      <c r="P164" s="242">
        <v>18</v>
      </c>
      <c r="Q164" s="234">
        <v>22540</v>
      </c>
      <c r="R164" s="234">
        <v>18482.8</v>
      </c>
      <c r="S164" s="243" t="s">
        <v>1087</v>
      </c>
      <c r="T164" s="236">
        <v>45889</v>
      </c>
    </row>
    <row r="165" spans="1:20" ht="38.25" hidden="1" customHeight="1">
      <c r="A165" s="239" t="s">
        <v>1088</v>
      </c>
      <c r="B165" s="240">
        <v>1046</v>
      </c>
      <c r="C165" s="241">
        <v>30320</v>
      </c>
      <c r="D165" s="239" t="s">
        <v>3817</v>
      </c>
      <c r="E165" s="239" t="s">
        <v>384</v>
      </c>
      <c r="F165" s="239" t="s">
        <v>385</v>
      </c>
      <c r="G165" s="239" t="s">
        <v>942</v>
      </c>
      <c r="H165" s="239" t="s">
        <v>869</v>
      </c>
      <c r="I165" s="239" t="s">
        <v>399</v>
      </c>
      <c r="J165" s="233"/>
      <c r="K165" s="236">
        <v>45888</v>
      </c>
      <c r="L165" s="233">
        <v>1.6</v>
      </c>
      <c r="M165" s="234" t="s">
        <v>942</v>
      </c>
      <c r="N165" s="234">
        <v>35480</v>
      </c>
      <c r="O165" s="234">
        <v>13900</v>
      </c>
      <c r="P165" s="242">
        <v>30</v>
      </c>
      <c r="Q165" s="234">
        <v>21580</v>
      </c>
      <c r="R165" s="234">
        <v>15106</v>
      </c>
      <c r="S165" s="243" t="s">
        <v>1089</v>
      </c>
      <c r="T165" s="236">
        <v>45889</v>
      </c>
    </row>
    <row r="166" spans="1:20" ht="38.25" hidden="1" customHeight="1">
      <c r="A166" s="239" t="s">
        <v>1090</v>
      </c>
      <c r="B166" s="240">
        <v>1047</v>
      </c>
      <c r="C166" s="241">
        <v>30322</v>
      </c>
      <c r="D166" s="239" t="s">
        <v>3817</v>
      </c>
      <c r="E166" s="239" t="s">
        <v>400</v>
      </c>
      <c r="F166" s="239" t="s">
        <v>401</v>
      </c>
      <c r="G166" s="239" t="s">
        <v>942</v>
      </c>
      <c r="H166" s="239" t="s">
        <v>869</v>
      </c>
      <c r="I166" s="239" t="s">
        <v>399</v>
      </c>
      <c r="J166" s="233"/>
      <c r="K166" s="236">
        <v>45888</v>
      </c>
      <c r="L166" s="233">
        <v>1.7</v>
      </c>
      <c r="M166" s="234" t="s">
        <v>942</v>
      </c>
      <c r="N166" s="234">
        <v>37680</v>
      </c>
      <c r="O166" s="234">
        <v>14670</v>
      </c>
      <c r="P166" s="242">
        <v>27</v>
      </c>
      <c r="Q166" s="234">
        <v>23010</v>
      </c>
      <c r="R166" s="234">
        <v>16797.3</v>
      </c>
      <c r="S166" s="243" t="s">
        <v>1091</v>
      </c>
      <c r="T166" s="236">
        <v>45889</v>
      </c>
    </row>
    <row r="167" spans="1:20" ht="38.25" hidden="1" customHeight="1">
      <c r="A167" s="239" t="s">
        <v>1092</v>
      </c>
      <c r="B167" s="240">
        <v>1048</v>
      </c>
      <c r="C167" s="241">
        <v>30324</v>
      </c>
      <c r="D167" s="239" t="s">
        <v>3817</v>
      </c>
      <c r="E167" s="239" t="s">
        <v>377</v>
      </c>
      <c r="F167" s="239" t="s">
        <v>378</v>
      </c>
      <c r="G167" s="239" t="s">
        <v>942</v>
      </c>
      <c r="H167" s="239" t="s">
        <v>869</v>
      </c>
      <c r="I167" s="239" t="s">
        <v>399</v>
      </c>
      <c r="J167" s="233"/>
      <c r="K167" s="236">
        <v>45888</v>
      </c>
      <c r="L167" s="233">
        <v>1.7</v>
      </c>
      <c r="M167" s="234" t="s">
        <v>942</v>
      </c>
      <c r="N167" s="234">
        <v>39070</v>
      </c>
      <c r="O167" s="234">
        <v>15060</v>
      </c>
      <c r="P167" s="242">
        <v>23</v>
      </c>
      <c r="Q167" s="234">
        <v>24010</v>
      </c>
      <c r="R167" s="234">
        <v>18487.7</v>
      </c>
      <c r="S167" s="243" t="s">
        <v>1093</v>
      </c>
      <c r="T167" s="236">
        <v>45889</v>
      </c>
    </row>
    <row r="168" spans="1:20" ht="38.25" hidden="1" customHeight="1">
      <c r="A168" s="239" t="s">
        <v>1094</v>
      </c>
      <c r="B168" s="240">
        <v>1049</v>
      </c>
      <c r="C168" s="241">
        <v>30334</v>
      </c>
      <c r="D168" s="239" t="s">
        <v>3817</v>
      </c>
      <c r="E168" s="239" t="s">
        <v>780</v>
      </c>
      <c r="F168" s="239" t="s">
        <v>781</v>
      </c>
      <c r="G168" s="239" t="s">
        <v>942</v>
      </c>
      <c r="H168" s="239" t="s">
        <v>869</v>
      </c>
      <c r="I168" s="239" t="s">
        <v>399</v>
      </c>
      <c r="J168" s="233"/>
      <c r="K168" s="236">
        <v>45888</v>
      </c>
      <c r="L168" s="233">
        <v>1.5</v>
      </c>
      <c r="M168" s="234" t="s">
        <v>942</v>
      </c>
      <c r="N168" s="234">
        <v>35760</v>
      </c>
      <c r="O168" s="234">
        <v>14840</v>
      </c>
      <c r="P168" s="242">
        <v>18</v>
      </c>
      <c r="Q168" s="234">
        <v>20920</v>
      </c>
      <c r="R168" s="234">
        <v>17154.400000000001</v>
      </c>
      <c r="S168" s="243" t="s">
        <v>1095</v>
      </c>
      <c r="T168" s="236">
        <v>45889</v>
      </c>
    </row>
    <row r="169" spans="1:20" ht="38.25" hidden="1" customHeight="1">
      <c r="A169" s="239" t="s">
        <v>1096</v>
      </c>
      <c r="B169" s="240">
        <v>1050</v>
      </c>
      <c r="C169" s="241">
        <v>30336</v>
      </c>
      <c r="D169" s="239" t="s">
        <v>3817</v>
      </c>
      <c r="E169" s="239" t="s">
        <v>442</v>
      </c>
      <c r="F169" s="239" t="s">
        <v>443</v>
      </c>
      <c r="G169" s="239" t="s">
        <v>942</v>
      </c>
      <c r="H169" s="239" t="s">
        <v>869</v>
      </c>
      <c r="I169" s="239" t="s">
        <v>399</v>
      </c>
      <c r="J169" s="233"/>
      <c r="K169" s="236">
        <v>45888</v>
      </c>
      <c r="L169" s="233">
        <v>1.5</v>
      </c>
      <c r="M169" s="234" t="s">
        <v>942</v>
      </c>
      <c r="N169" s="234">
        <v>35020</v>
      </c>
      <c r="O169" s="234">
        <v>14490</v>
      </c>
      <c r="P169" s="242">
        <v>32</v>
      </c>
      <c r="Q169" s="234">
        <v>20530</v>
      </c>
      <c r="R169" s="234">
        <v>13960.4</v>
      </c>
      <c r="S169" s="243" t="s">
        <v>1097</v>
      </c>
      <c r="T169" s="236">
        <v>45889</v>
      </c>
    </row>
    <row r="170" spans="1:20" ht="38.25" hidden="1" customHeight="1">
      <c r="A170" s="239" t="s">
        <v>1098</v>
      </c>
      <c r="B170" s="240">
        <v>1051</v>
      </c>
      <c r="C170" s="241">
        <v>30342</v>
      </c>
      <c r="D170" s="239" t="s">
        <v>3817</v>
      </c>
      <c r="E170" s="239" t="s">
        <v>429</v>
      </c>
      <c r="F170" s="239" t="s">
        <v>430</v>
      </c>
      <c r="G170" s="239" t="s">
        <v>942</v>
      </c>
      <c r="H170" s="239" t="s">
        <v>869</v>
      </c>
      <c r="I170" s="239" t="s">
        <v>399</v>
      </c>
      <c r="J170" s="233"/>
      <c r="K170" s="236">
        <v>45888</v>
      </c>
      <c r="L170" s="233">
        <v>1.5</v>
      </c>
      <c r="M170" s="234" t="s">
        <v>942</v>
      </c>
      <c r="N170" s="234">
        <v>35250</v>
      </c>
      <c r="O170" s="234">
        <v>14220</v>
      </c>
      <c r="P170" s="242">
        <v>9</v>
      </c>
      <c r="Q170" s="234">
        <v>21030</v>
      </c>
      <c r="R170" s="234">
        <v>19137.3</v>
      </c>
      <c r="S170" s="243" t="s">
        <v>1099</v>
      </c>
      <c r="T170" s="236">
        <v>45889</v>
      </c>
    </row>
    <row r="171" spans="1:20" ht="38.25" hidden="1" customHeight="1">
      <c r="A171" s="239" t="s">
        <v>1100</v>
      </c>
      <c r="B171" s="240">
        <v>1053</v>
      </c>
      <c r="C171" s="241">
        <v>30339</v>
      </c>
      <c r="D171" s="239" t="s">
        <v>3817</v>
      </c>
      <c r="E171" s="239" t="s">
        <v>382</v>
      </c>
      <c r="F171" s="239" t="s">
        <v>383</v>
      </c>
      <c r="G171" s="239" t="s">
        <v>942</v>
      </c>
      <c r="H171" s="239" t="s">
        <v>869</v>
      </c>
      <c r="I171" s="239" t="s">
        <v>399</v>
      </c>
      <c r="J171" s="233"/>
      <c r="K171" s="236">
        <v>45888</v>
      </c>
      <c r="L171" s="233">
        <v>1.6</v>
      </c>
      <c r="M171" s="234" t="s">
        <v>942</v>
      </c>
      <c r="N171" s="234">
        <v>36080</v>
      </c>
      <c r="O171" s="234">
        <v>14530</v>
      </c>
      <c r="P171" s="242">
        <v>31</v>
      </c>
      <c r="Q171" s="234">
        <v>21550</v>
      </c>
      <c r="R171" s="234">
        <v>14869.5</v>
      </c>
      <c r="S171" s="243" t="s">
        <v>1101</v>
      </c>
      <c r="T171" s="236">
        <v>45889</v>
      </c>
    </row>
    <row r="172" spans="1:20" ht="38.25" hidden="1" customHeight="1">
      <c r="A172" s="239" t="s">
        <v>1102</v>
      </c>
      <c r="B172" s="240">
        <v>1054</v>
      </c>
      <c r="C172" s="241">
        <v>30344</v>
      </c>
      <c r="D172" s="239" t="s">
        <v>3817</v>
      </c>
      <c r="E172" s="239" t="s">
        <v>416</v>
      </c>
      <c r="F172" s="239" t="s">
        <v>417</v>
      </c>
      <c r="G172" s="239" t="s">
        <v>942</v>
      </c>
      <c r="H172" s="239" t="s">
        <v>869</v>
      </c>
      <c r="I172" s="239" t="s">
        <v>399</v>
      </c>
      <c r="J172" s="233"/>
      <c r="K172" s="236">
        <v>45888</v>
      </c>
      <c r="L172" s="233">
        <v>1.6</v>
      </c>
      <c r="M172" s="234" t="s">
        <v>942</v>
      </c>
      <c r="N172" s="234">
        <v>37510</v>
      </c>
      <c r="O172" s="234">
        <v>14760</v>
      </c>
      <c r="P172" s="242">
        <v>21</v>
      </c>
      <c r="Q172" s="234">
        <v>22750</v>
      </c>
      <c r="R172" s="234">
        <v>17972.5</v>
      </c>
      <c r="S172" s="243" t="s">
        <v>1103</v>
      </c>
      <c r="T172" s="236">
        <v>45889</v>
      </c>
    </row>
    <row r="173" spans="1:20" ht="38.25" hidden="1" customHeight="1">
      <c r="A173" s="239" t="s">
        <v>1106</v>
      </c>
      <c r="B173" s="240">
        <v>1055</v>
      </c>
      <c r="C173" s="241">
        <v>30346</v>
      </c>
      <c r="D173" s="239" t="s">
        <v>3817</v>
      </c>
      <c r="E173" s="239" t="s">
        <v>420</v>
      </c>
      <c r="F173" s="239" t="s">
        <v>421</v>
      </c>
      <c r="G173" s="239" t="s">
        <v>942</v>
      </c>
      <c r="H173" s="239" t="s">
        <v>869</v>
      </c>
      <c r="I173" s="239" t="s">
        <v>399</v>
      </c>
      <c r="J173" s="233"/>
      <c r="K173" s="236">
        <v>45888</v>
      </c>
      <c r="L173" s="233">
        <v>1.5</v>
      </c>
      <c r="M173" s="234" t="s">
        <v>942</v>
      </c>
      <c r="N173" s="234">
        <v>35760</v>
      </c>
      <c r="O173" s="234">
        <v>14860</v>
      </c>
      <c r="P173" s="242">
        <v>24</v>
      </c>
      <c r="Q173" s="234">
        <v>20900</v>
      </c>
      <c r="R173" s="234">
        <v>15884</v>
      </c>
      <c r="S173" s="243" t="s">
        <v>1107</v>
      </c>
      <c r="T173" s="236">
        <v>45889</v>
      </c>
    </row>
    <row r="174" spans="1:20" ht="38.25" hidden="1" customHeight="1">
      <c r="A174" s="239" t="s">
        <v>1108</v>
      </c>
      <c r="B174" s="240">
        <v>1059</v>
      </c>
      <c r="C174" s="241">
        <v>30111</v>
      </c>
      <c r="D174" s="239" t="s">
        <v>3817</v>
      </c>
      <c r="E174" s="239" t="s">
        <v>388</v>
      </c>
      <c r="F174" s="239" t="s">
        <v>389</v>
      </c>
      <c r="G174" s="239" t="s">
        <v>942</v>
      </c>
      <c r="H174" s="239" t="s">
        <v>973</v>
      </c>
      <c r="I174" s="239" t="s">
        <v>399</v>
      </c>
      <c r="J174" s="233"/>
      <c r="K174" s="236">
        <v>45889</v>
      </c>
      <c r="L174" s="233">
        <v>0.9</v>
      </c>
      <c r="M174" s="234" t="s">
        <v>942</v>
      </c>
      <c r="N174" s="234">
        <v>40000</v>
      </c>
      <c r="O174" s="234">
        <v>20920</v>
      </c>
      <c r="P174" s="242">
        <v>36</v>
      </c>
      <c r="Q174" s="234">
        <v>19080</v>
      </c>
      <c r="R174" s="234">
        <v>12211.2</v>
      </c>
      <c r="S174" s="243" t="s">
        <v>1109</v>
      </c>
      <c r="T174" s="236">
        <v>45889</v>
      </c>
    </row>
    <row r="175" spans="1:20" ht="38.25" hidden="1" customHeight="1">
      <c r="A175" s="239" t="s">
        <v>1114</v>
      </c>
      <c r="B175" s="240">
        <v>1060</v>
      </c>
      <c r="C175" s="241">
        <v>30348</v>
      </c>
      <c r="D175" s="239" t="s">
        <v>3817</v>
      </c>
      <c r="E175" s="239" t="s">
        <v>432</v>
      </c>
      <c r="F175" s="239" t="s">
        <v>433</v>
      </c>
      <c r="G175" s="239" t="s">
        <v>942</v>
      </c>
      <c r="H175" s="239" t="s">
        <v>869</v>
      </c>
      <c r="I175" s="239" t="s">
        <v>399</v>
      </c>
      <c r="J175" s="233"/>
      <c r="K175" s="236">
        <v>45889</v>
      </c>
      <c r="L175" s="233">
        <v>2.7</v>
      </c>
      <c r="M175" s="234" t="s">
        <v>942</v>
      </c>
      <c r="N175" s="234">
        <v>40560</v>
      </c>
      <c r="O175" s="234">
        <v>15670</v>
      </c>
      <c r="P175" s="242">
        <v>14</v>
      </c>
      <c r="Q175" s="234">
        <v>24890</v>
      </c>
      <c r="R175" s="234">
        <v>21405.4</v>
      </c>
      <c r="S175" s="243" t="s">
        <v>1115</v>
      </c>
      <c r="T175" s="236">
        <v>45889</v>
      </c>
    </row>
    <row r="176" spans="1:20" ht="38.25" hidden="1" customHeight="1">
      <c r="A176" s="239" t="s">
        <v>1118</v>
      </c>
      <c r="B176" s="240">
        <v>1062</v>
      </c>
      <c r="C176" s="241">
        <v>30350</v>
      </c>
      <c r="D176" s="239" t="s">
        <v>3817</v>
      </c>
      <c r="E176" s="239" t="s">
        <v>392</v>
      </c>
      <c r="F176" s="239" t="s">
        <v>393</v>
      </c>
      <c r="G176" s="239" t="s">
        <v>942</v>
      </c>
      <c r="H176" s="239" t="s">
        <v>869</v>
      </c>
      <c r="I176" s="239" t="s">
        <v>399</v>
      </c>
      <c r="J176" s="233"/>
      <c r="K176" s="236">
        <v>45889</v>
      </c>
      <c r="L176" s="233">
        <v>2.4</v>
      </c>
      <c r="M176" s="234" t="s">
        <v>942</v>
      </c>
      <c r="N176" s="234">
        <v>45250</v>
      </c>
      <c r="O176" s="234">
        <v>24040</v>
      </c>
      <c r="P176" s="242">
        <v>17</v>
      </c>
      <c r="Q176" s="234">
        <v>21210</v>
      </c>
      <c r="R176" s="234">
        <v>17604.3</v>
      </c>
      <c r="S176" s="243" t="s">
        <v>1119</v>
      </c>
      <c r="T176" s="236">
        <v>45889</v>
      </c>
    </row>
    <row r="177" spans="1:20" ht="38.25" hidden="1" customHeight="1">
      <c r="A177" s="239" t="s">
        <v>1104</v>
      </c>
      <c r="B177" s="240">
        <v>1063</v>
      </c>
      <c r="C177" s="241">
        <v>30352</v>
      </c>
      <c r="D177" s="239" t="s">
        <v>3817</v>
      </c>
      <c r="E177" s="239" t="s">
        <v>390</v>
      </c>
      <c r="F177" s="239" t="s">
        <v>391</v>
      </c>
      <c r="G177" s="239" t="s">
        <v>942</v>
      </c>
      <c r="H177" s="239" t="s">
        <v>973</v>
      </c>
      <c r="I177" s="239" t="s">
        <v>399</v>
      </c>
      <c r="J177" s="233"/>
      <c r="K177" s="236">
        <v>45889</v>
      </c>
      <c r="L177" s="233">
        <v>1.1000000000000001</v>
      </c>
      <c r="M177" s="234" t="s">
        <v>942</v>
      </c>
      <c r="N177" s="234">
        <v>37750</v>
      </c>
      <c r="O177" s="234">
        <v>14850</v>
      </c>
      <c r="P177" s="242">
        <v>14</v>
      </c>
      <c r="Q177" s="234">
        <v>22900</v>
      </c>
      <c r="R177" s="234">
        <v>19694</v>
      </c>
      <c r="S177" s="243" t="s">
        <v>1105</v>
      </c>
      <c r="T177" s="236">
        <v>45889</v>
      </c>
    </row>
    <row r="178" spans="1:20" ht="38.25" hidden="1" customHeight="1">
      <c r="A178" s="239" t="s">
        <v>1110</v>
      </c>
      <c r="B178" s="240">
        <v>1064</v>
      </c>
      <c r="C178" s="241">
        <v>30356</v>
      </c>
      <c r="D178" s="239" t="s">
        <v>3817</v>
      </c>
      <c r="E178" s="239" t="s">
        <v>1410</v>
      </c>
      <c r="F178" s="239" t="s">
        <v>437</v>
      </c>
      <c r="G178" s="239" t="s">
        <v>942</v>
      </c>
      <c r="H178" s="239" t="s">
        <v>973</v>
      </c>
      <c r="I178" s="239" t="s">
        <v>399</v>
      </c>
      <c r="J178" s="233"/>
      <c r="K178" s="236">
        <v>45889</v>
      </c>
      <c r="L178" s="233">
        <v>1.1000000000000001</v>
      </c>
      <c r="M178" s="234" t="s">
        <v>942</v>
      </c>
      <c r="N178" s="234">
        <v>39150</v>
      </c>
      <c r="O178" s="234">
        <v>14840</v>
      </c>
      <c r="P178" s="242">
        <v>22</v>
      </c>
      <c r="Q178" s="234">
        <v>24310</v>
      </c>
      <c r="R178" s="234">
        <v>18961.8</v>
      </c>
      <c r="S178" s="243" t="s">
        <v>1111</v>
      </c>
      <c r="T178" s="236">
        <v>45889</v>
      </c>
    </row>
    <row r="179" spans="1:20" ht="38.25" hidden="1" customHeight="1">
      <c r="A179" s="239" t="s">
        <v>1112</v>
      </c>
      <c r="B179" s="240">
        <v>1065</v>
      </c>
      <c r="C179" s="241">
        <v>30358</v>
      </c>
      <c r="D179" s="239" t="s">
        <v>3817</v>
      </c>
      <c r="E179" s="239" t="s">
        <v>439</v>
      </c>
      <c r="F179" s="239" t="s">
        <v>440</v>
      </c>
      <c r="G179" s="239" t="s">
        <v>942</v>
      </c>
      <c r="H179" s="239" t="s">
        <v>973</v>
      </c>
      <c r="I179" s="239" t="s">
        <v>399</v>
      </c>
      <c r="J179" s="233"/>
      <c r="K179" s="236">
        <v>45889</v>
      </c>
      <c r="L179" s="233">
        <v>1.2</v>
      </c>
      <c r="M179" s="234" t="s">
        <v>942</v>
      </c>
      <c r="N179" s="234">
        <v>40680</v>
      </c>
      <c r="O179" s="234">
        <v>14900</v>
      </c>
      <c r="P179" s="242">
        <v>21</v>
      </c>
      <c r="Q179" s="234">
        <v>25780</v>
      </c>
      <c r="R179" s="234">
        <v>20366.2</v>
      </c>
      <c r="S179" s="243" t="s">
        <v>1113</v>
      </c>
      <c r="T179" s="236">
        <v>45889</v>
      </c>
    </row>
    <row r="180" spans="1:20" ht="38.25" hidden="1" customHeight="1">
      <c r="A180" s="239" t="s">
        <v>1116</v>
      </c>
      <c r="B180" s="240">
        <v>1066</v>
      </c>
      <c r="C180" s="241">
        <v>30360</v>
      </c>
      <c r="D180" s="239" t="s">
        <v>3817</v>
      </c>
      <c r="E180" s="239" t="s">
        <v>447</v>
      </c>
      <c r="F180" s="239" t="s">
        <v>448</v>
      </c>
      <c r="G180" s="239" t="s">
        <v>942</v>
      </c>
      <c r="H180" s="239" t="s">
        <v>973</v>
      </c>
      <c r="I180" s="239" t="s">
        <v>399</v>
      </c>
      <c r="J180" s="233"/>
      <c r="K180" s="236">
        <v>45889</v>
      </c>
      <c r="L180" s="233">
        <v>1.2</v>
      </c>
      <c r="M180" s="234" t="s">
        <v>942</v>
      </c>
      <c r="N180" s="234">
        <v>45370</v>
      </c>
      <c r="O180" s="234">
        <v>19350</v>
      </c>
      <c r="P180" s="242">
        <v>32</v>
      </c>
      <c r="Q180" s="234">
        <v>26020</v>
      </c>
      <c r="R180" s="234">
        <v>17693.599999999999</v>
      </c>
      <c r="S180" s="243" t="s">
        <v>1117</v>
      </c>
      <c r="T180" s="236">
        <v>45889</v>
      </c>
    </row>
    <row r="181" spans="1:20" ht="38.25" hidden="1" customHeight="1">
      <c r="A181" s="239" t="s">
        <v>1120</v>
      </c>
      <c r="B181" s="240">
        <v>1067</v>
      </c>
      <c r="C181" s="241">
        <v>30362</v>
      </c>
      <c r="D181" s="239" t="s">
        <v>3817</v>
      </c>
      <c r="E181" s="239" t="s">
        <v>403</v>
      </c>
      <c r="F181" s="239" t="s">
        <v>404</v>
      </c>
      <c r="G181" s="239" t="s">
        <v>942</v>
      </c>
      <c r="H181" s="239" t="s">
        <v>973</v>
      </c>
      <c r="I181" s="239" t="s">
        <v>399</v>
      </c>
      <c r="J181" s="233"/>
      <c r="K181" s="236">
        <v>45889</v>
      </c>
      <c r="L181" s="233">
        <v>1.1000000000000001</v>
      </c>
      <c r="M181" s="234" t="s">
        <v>942</v>
      </c>
      <c r="N181" s="234">
        <v>38240</v>
      </c>
      <c r="O181" s="234">
        <v>14490</v>
      </c>
      <c r="P181" s="242">
        <v>42</v>
      </c>
      <c r="Q181" s="234">
        <v>23750</v>
      </c>
      <c r="R181" s="234">
        <v>13775</v>
      </c>
      <c r="S181" s="243" t="s">
        <v>1121</v>
      </c>
      <c r="T181" s="236">
        <v>45890</v>
      </c>
    </row>
    <row r="182" spans="1:20" ht="38.25" hidden="1" customHeight="1">
      <c r="A182" s="239" t="s">
        <v>1122</v>
      </c>
      <c r="B182" s="240">
        <v>1068</v>
      </c>
      <c r="C182" s="241">
        <v>30364</v>
      </c>
      <c r="D182" s="239" t="s">
        <v>3817</v>
      </c>
      <c r="E182" s="239" t="s">
        <v>406</v>
      </c>
      <c r="F182" s="239" t="s">
        <v>407</v>
      </c>
      <c r="G182" s="239" t="s">
        <v>942</v>
      </c>
      <c r="H182" s="239" t="s">
        <v>973</v>
      </c>
      <c r="I182" s="239" t="s">
        <v>399</v>
      </c>
      <c r="J182" s="233"/>
      <c r="K182" s="236">
        <v>45889</v>
      </c>
      <c r="L182" s="233">
        <v>1.1000000000000001</v>
      </c>
      <c r="M182" s="234" t="s">
        <v>942</v>
      </c>
      <c r="N182" s="234">
        <v>38700</v>
      </c>
      <c r="O182" s="234">
        <v>15070</v>
      </c>
      <c r="P182" s="242">
        <v>21</v>
      </c>
      <c r="Q182" s="234">
        <v>23630</v>
      </c>
      <c r="R182" s="234">
        <v>18667.7</v>
      </c>
      <c r="S182" s="243" t="s">
        <v>1123</v>
      </c>
      <c r="T182" s="236">
        <v>45890</v>
      </c>
    </row>
    <row r="183" spans="1:20" ht="38.25" hidden="1" customHeight="1">
      <c r="A183" s="239" t="s">
        <v>1124</v>
      </c>
      <c r="B183" s="240">
        <v>1069</v>
      </c>
      <c r="C183" s="241">
        <v>30368</v>
      </c>
      <c r="D183" s="239" t="s">
        <v>3817</v>
      </c>
      <c r="E183" s="239" t="s">
        <v>453</v>
      </c>
      <c r="F183" s="239" t="s">
        <v>454</v>
      </c>
      <c r="G183" s="239" t="s">
        <v>942</v>
      </c>
      <c r="H183" s="239" t="s">
        <v>973</v>
      </c>
      <c r="I183" s="239" t="s">
        <v>399</v>
      </c>
      <c r="J183" s="233"/>
      <c r="K183" s="236">
        <v>45889</v>
      </c>
      <c r="L183" s="233">
        <v>1.1000000000000001</v>
      </c>
      <c r="M183" s="234" t="s">
        <v>942</v>
      </c>
      <c r="N183" s="234">
        <v>46560</v>
      </c>
      <c r="O183" s="234">
        <v>24080</v>
      </c>
      <c r="P183" s="242">
        <v>29</v>
      </c>
      <c r="Q183" s="234">
        <v>22480</v>
      </c>
      <c r="R183" s="234">
        <v>15960.8</v>
      </c>
      <c r="S183" s="243" t="s">
        <v>1125</v>
      </c>
      <c r="T183" s="236">
        <v>45890</v>
      </c>
    </row>
    <row r="184" spans="1:20" ht="38.25" hidden="1" customHeight="1">
      <c r="A184" s="239" t="s">
        <v>1126</v>
      </c>
      <c r="B184" s="240">
        <v>1070</v>
      </c>
      <c r="C184" s="241">
        <v>30366</v>
      </c>
      <c r="D184" s="239" t="s">
        <v>3817</v>
      </c>
      <c r="E184" s="239" t="s">
        <v>456</v>
      </c>
      <c r="F184" s="239" t="s">
        <v>457</v>
      </c>
      <c r="G184" s="239" t="s">
        <v>942</v>
      </c>
      <c r="H184" s="239" t="s">
        <v>973</v>
      </c>
      <c r="I184" s="239" t="s">
        <v>399</v>
      </c>
      <c r="J184" s="233"/>
      <c r="K184" s="236">
        <v>45889</v>
      </c>
      <c r="L184" s="233">
        <v>1.2</v>
      </c>
      <c r="M184" s="234" t="s">
        <v>942</v>
      </c>
      <c r="N184" s="234">
        <v>40610</v>
      </c>
      <c r="O184" s="234">
        <v>15510</v>
      </c>
      <c r="P184" s="242">
        <v>22</v>
      </c>
      <c r="Q184" s="234">
        <v>25100</v>
      </c>
      <c r="R184" s="234">
        <v>19578</v>
      </c>
      <c r="S184" s="243" t="s">
        <v>1127</v>
      </c>
      <c r="T184" s="236">
        <v>45890</v>
      </c>
    </row>
    <row r="185" spans="1:20" ht="38.25" hidden="1" customHeight="1">
      <c r="A185" s="239" t="s">
        <v>1128</v>
      </c>
      <c r="B185" s="240">
        <v>1071</v>
      </c>
      <c r="C185" s="241">
        <v>30371</v>
      </c>
      <c r="D185" s="239" t="s">
        <v>3817</v>
      </c>
      <c r="E185" s="239" t="s">
        <v>372</v>
      </c>
      <c r="F185" s="239" t="s">
        <v>373</v>
      </c>
      <c r="G185" s="239" t="s">
        <v>942</v>
      </c>
      <c r="H185" s="239" t="s">
        <v>973</v>
      </c>
      <c r="I185" s="239" t="s">
        <v>399</v>
      </c>
      <c r="J185" s="233"/>
      <c r="K185" s="236">
        <v>45889</v>
      </c>
      <c r="L185" s="233">
        <v>1.1000000000000001</v>
      </c>
      <c r="M185" s="234" t="s">
        <v>942</v>
      </c>
      <c r="N185" s="234">
        <v>39330</v>
      </c>
      <c r="O185" s="234">
        <v>14940</v>
      </c>
      <c r="P185" s="242">
        <v>48</v>
      </c>
      <c r="Q185" s="234">
        <v>24390</v>
      </c>
      <c r="R185" s="234">
        <v>12682.8</v>
      </c>
      <c r="S185" s="243" t="s">
        <v>1129</v>
      </c>
      <c r="T185" s="236">
        <v>45890</v>
      </c>
    </row>
    <row r="186" spans="1:20" ht="38.25" hidden="1" customHeight="1">
      <c r="A186" s="239" t="s">
        <v>1130</v>
      </c>
      <c r="B186" s="240">
        <v>1072</v>
      </c>
      <c r="C186" s="241">
        <v>30373</v>
      </c>
      <c r="D186" s="239" t="s">
        <v>3817</v>
      </c>
      <c r="E186" s="239" t="s">
        <v>369</v>
      </c>
      <c r="F186" s="239" t="s">
        <v>370</v>
      </c>
      <c r="G186" s="239" t="s">
        <v>942</v>
      </c>
      <c r="H186" s="239" t="s">
        <v>973</v>
      </c>
      <c r="I186" s="239" t="s">
        <v>399</v>
      </c>
      <c r="J186" s="233"/>
      <c r="K186" s="236">
        <v>45889</v>
      </c>
      <c r="L186" s="233">
        <v>1.1000000000000001</v>
      </c>
      <c r="M186" s="234" t="s">
        <v>942</v>
      </c>
      <c r="N186" s="234">
        <v>38070</v>
      </c>
      <c r="O186" s="234">
        <v>15070</v>
      </c>
      <c r="P186" s="242">
        <v>24</v>
      </c>
      <c r="Q186" s="234">
        <v>23000</v>
      </c>
      <c r="R186" s="234">
        <v>17480</v>
      </c>
      <c r="S186" s="243" t="s">
        <v>1131</v>
      </c>
      <c r="T186" s="236">
        <v>45890</v>
      </c>
    </row>
    <row r="187" spans="1:20" ht="38.25" hidden="1" customHeight="1">
      <c r="A187" s="239" t="s">
        <v>1132</v>
      </c>
      <c r="B187" s="240">
        <v>1073</v>
      </c>
      <c r="C187" s="241">
        <v>30387</v>
      </c>
      <c r="D187" s="239" t="s">
        <v>3817</v>
      </c>
      <c r="E187" s="239" t="s">
        <v>783</v>
      </c>
      <c r="F187" s="239" t="s">
        <v>784</v>
      </c>
      <c r="G187" s="239" t="s">
        <v>942</v>
      </c>
      <c r="H187" s="239" t="s">
        <v>973</v>
      </c>
      <c r="I187" s="239" t="s">
        <v>399</v>
      </c>
      <c r="J187" s="233"/>
      <c r="K187" s="236">
        <v>45889</v>
      </c>
      <c r="L187" s="233">
        <v>1.2</v>
      </c>
      <c r="M187" s="234" t="s">
        <v>942</v>
      </c>
      <c r="N187" s="234">
        <v>40100</v>
      </c>
      <c r="O187" s="234">
        <v>14700</v>
      </c>
      <c r="P187" s="242">
        <v>14</v>
      </c>
      <c r="Q187" s="234">
        <v>25400</v>
      </c>
      <c r="R187" s="234">
        <v>21844</v>
      </c>
      <c r="S187" s="243" t="s">
        <v>1133</v>
      </c>
      <c r="T187" s="236">
        <v>45890</v>
      </c>
    </row>
    <row r="188" spans="1:20" ht="38.25" hidden="1" customHeight="1">
      <c r="A188" s="239" t="s">
        <v>1134</v>
      </c>
      <c r="B188" s="240">
        <v>1074</v>
      </c>
      <c r="C188" s="241">
        <v>30381</v>
      </c>
      <c r="D188" s="239" t="s">
        <v>3817</v>
      </c>
      <c r="E188" s="239" t="s">
        <v>374</v>
      </c>
      <c r="F188" s="239" t="s">
        <v>375</v>
      </c>
      <c r="G188" s="239" t="s">
        <v>942</v>
      </c>
      <c r="H188" s="239" t="s">
        <v>973</v>
      </c>
      <c r="I188" s="239" t="s">
        <v>399</v>
      </c>
      <c r="J188" s="233"/>
      <c r="K188" s="236">
        <v>45889</v>
      </c>
      <c r="L188" s="233">
        <v>1.1000000000000001</v>
      </c>
      <c r="M188" s="234" t="s">
        <v>942</v>
      </c>
      <c r="N188" s="234">
        <v>39280</v>
      </c>
      <c r="O188" s="234">
        <v>15600</v>
      </c>
      <c r="P188" s="242">
        <v>26</v>
      </c>
      <c r="Q188" s="234">
        <v>23680</v>
      </c>
      <c r="R188" s="234">
        <v>17523.2</v>
      </c>
      <c r="S188" s="243" t="s">
        <v>1135</v>
      </c>
      <c r="T188" s="236">
        <v>45890</v>
      </c>
    </row>
    <row r="189" spans="1:20" ht="38.25" hidden="1" customHeight="1">
      <c r="A189" s="239" t="s">
        <v>1136</v>
      </c>
      <c r="B189" s="240">
        <v>1075</v>
      </c>
      <c r="C189" s="241">
        <v>30402</v>
      </c>
      <c r="D189" s="239" t="s">
        <v>3817</v>
      </c>
      <c r="E189" s="239" t="s">
        <v>462</v>
      </c>
      <c r="F189" s="239" t="s">
        <v>463</v>
      </c>
      <c r="G189" s="239" t="s">
        <v>942</v>
      </c>
      <c r="H189" s="239" t="s">
        <v>973</v>
      </c>
      <c r="I189" s="239" t="s">
        <v>399</v>
      </c>
      <c r="J189" s="233"/>
      <c r="K189" s="236">
        <v>45889</v>
      </c>
      <c r="L189" s="233">
        <v>1.2</v>
      </c>
      <c r="M189" s="234" t="s">
        <v>942</v>
      </c>
      <c r="N189" s="234">
        <v>41400</v>
      </c>
      <c r="O189" s="234">
        <v>16410</v>
      </c>
      <c r="P189" s="242">
        <v>18</v>
      </c>
      <c r="Q189" s="234">
        <v>24990</v>
      </c>
      <c r="R189" s="234">
        <v>20491.8</v>
      </c>
      <c r="S189" s="243" t="s">
        <v>1137</v>
      </c>
      <c r="T189" s="236">
        <v>45890</v>
      </c>
    </row>
    <row r="190" spans="1:20" ht="38.25" hidden="1" customHeight="1">
      <c r="A190" s="239" t="s">
        <v>1138</v>
      </c>
      <c r="B190" s="240">
        <v>1076</v>
      </c>
      <c r="C190" s="241">
        <v>30395</v>
      </c>
      <c r="D190" s="239" t="s">
        <v>3817</v>
      </c>
      <c r="E190" s="239" t="s">
        <v>475</v>
      </c>
      <c r="F190" s="239" t="s">
        <v>476</v>
      </c>
      <c r="G190" s="239" t="s">
        <v>942</v>
      </c>
      <c r="H190" s="239" t="s">
        <v>973</v>
      </c>
      <c r="I190" s="239" t="s">
        <v>399</v>
      </c>
      <c r="J190" s="233"/>
      <c r="K190" s="236">
        <v>45889</v>
      </c>
      <c r="L190" s="233">
        <v>1.1000000000000001</v>
      </c>
      <c r="M190" s="234" t="s">
        <v>942</v>
      </c>
      <c r="N190" s="234">
        <v>39500</v>
      </c>
      <c r="O190" s="234">
        <v>16470</v>
      </c>
      <c r="P190" s="242">
        <v>17</v>
      </c>
      <c r="Q190" s="234">
        <v>23030</v>
      </c>
      <c r="R190" s="234">
        <v>19114.900000000001</v>
      </c>
      <c r="S190" s="243" t="s">
        <v>1139</v>
      </c>
      <c r="T190" s="236">
        <v>45890</v>
      </c>
    </row>
    <row r="191" spans="1:20" ht="38.25" hidden="1" customHeight="1">
      <c r="A191" s="239" t="s">
        <v>1140</v>
      </c>
      <c r="B191" s="240">
        <v>1077</v>
      </c>
      <c r="C191" s="241">
        <v>30397</v>
      </c>
      <c r="D191" s="239" t="s">
        <v>3817</v>
      </c>
      <c r="E191" s="239" t="s">
        <v>472</v>
      </c>
      <c r="F191" s="239" t="s">
        <v>473</v>
      </c>
      <c r="G191" s="239" t="s">
        <v>942</v>
      </c>
      <c r="H191" s="239" t="s">
        <v>973</v>
      </c>
      <c r="I191" s="239" t="s">
        <v>399</v>
      </c>
      <c r="J191" s="233"/>
      <c r="K191" s="236">
        <v>45889</v>
      </c>
      <c r="L191" s="233">
        <v>1.1000000000000001</v>
      </c>
      <c r="M191" s="234" t="s">
        <v>942</v>
      </c>
      <c r="N191" s="234">
        <v>39010</v>
      </c>
      <c r="O191" s="234">
        <v>16550</v>
      </c>
      <c r="P191" s="242">
        <v>13</v>
      </c>
      <c r="Q191" s="234">
        <v>22460</v>
      </c>
      <c r="R191" s="234">
        <v>19540.2</v>
      </c>
      <c r="S191" s="243" t="s">
        <v>1141</v>
      </c>
      <c r="T191" s="236">
        <v>45890</v>
      </c>
    </row>
    <row r="192" spans="1:20" ht="38.25" hidden="1" customHeight="1">
      <c r="A192" s="239" t="s">
        <v>1142</v>
      </c>
      <c r="B192" s="240">
        <v>1078</v>
      </c>
      <c r="C192" s="241">
        <v>30393</v>
      </c>
      <c r="D192" s="239" t="s">
        <v>3817</v>
      </c>
      <c r="E192" s="239" t="s">
        <v>794</v>
      </c>
      <c r="F192" s="239" t="s">
        <v>795</v>
      </c>
      <c r="G192" s="239" t="s">
        <v>942</v>
      </c>
      <c r="H192" s="239" t="s">
        <v>973</v>
      </c>
      <c r="I192" s="239" t="s">
        <v>399</v>
      </c>
      <c r="J192" s="233"/>
      <c r="K192" s="236">
        <v>45889</v>
      </c>
      <c r="L192" s="233">
        <v>1.3</v>
      </c>
      <c r="M192" s="234" t="s">
        <v>942</v>
      </c>
      <c r="N192" s="234">
        <v>43490</v>
      </c>
      <c r="O192" s="234">
        <v>16120</v>
      </c>
      <c r="P192" s="242">
        <v>20</v>
      </c>
      <c r="Q192" s="234">
        <v>27370</v>
      </c>
      <c r="R192" s="234">
        <v>21896</v>
      </c>
      <c r="S192" s="243" t="s">
        <v>1150</v>
      </c>
      <c r="T192" s="236">
        <v>45890</v>
      </c>
    </row>
    <row r="193" spans="1:20" ht="38.25" hidden="1" customHeight="1">
      <c r="A193" s="239" t="s">
        <v>1143</v>
      </c>
      <c r="B193" s="240">
        <v>1080</v>
      </c>
      <c r="C193" s="241">
        <v>30404</v>
      </c>
      <c r="D193" s="239" t="s">
        <v>3817</v>
      </c>
      <c r="E193" s="239" t="s">
        <v>841</v>
      </c>
      <c r="F193" s="239" t="s">
        <v>845</v>
      </c>
      <c r="G193" s="239" t="s">
        <v>942</v>
      </c>
      <c r="H193" s="239" t="s">
        <v>973</v>
      </c>
      <c r="I193" s="239" t="s">
        <v>399</v>
      </c>
      <c r="J193" s="233"/>
      <c r="K193" s="236">
        <v>45889</v>
      </c>
      <c r="L193" s="233">
        <v>1.2</v>
      </c>
      <c r="M193" s="234" t="s">
        <v>942</v>
      </c>
      <c r="N193" s="234">
        <v>41080</v>
      </c>
      <c r="O193" s="234">
        <v>15960</v>
      </c>
      <c r="P193" s="242">
        <v>28</v>
      </c>
      <c r="Q193" s="234">
        <v>25120</v>
      </c>
      <c r="R193" s="234">
        <v>18086.400000000001</v>
      </c>
      <c r="S193" s="243" t="s">
        <v>1151</v>
      </c>
      <c r="T193" s="236">
        <v>45890</v>
      </c>
    </row>
    <row r="194" spans="1:20" ht="38.25" hidden="1" customHeight="1">
      <c r="A194" s="239" t="s">
        <v>1144</v>
      </c>
      <c r="B194" s="240">
        <v>1081</v>
      </c>
      <c r="C194" s="241">
        <v>30406</v>
      </c>
      <c r="D194" s="239" t="s">
        <v>3817</v>
      </c>
      <c r="E194" s="239" t="s">
        <v>791</v>
      </c>
      <c r="F194" s="239" t="s">
        <v>792</v>
      </c>
      <c r="G194" s="239" t="s">
        <v>942</v>
      </c>
      <c r="H194" s="239" t="s">
        <v>973</v>
      </c>
      <c r="I194" s="239" t="s">
        <v>399</v>
      </c>
      <c r="J194" s="233"/>
      <c r="K194" s="236">
        <v>45889</v>
      </c>
      <c r="L194" s="233">
        <v>1.2</v>
      </c>
      <c r="M194" s="234" t="s">
        <v>942</v>
      </c>
      <c r="N194" s="234">
        <v>41280</v>
      </c>
      <c r="O194" s="234">
        <v>15000</v>
      </c>
      <c r="P194" s="242">
        <v>19</v>
      </c>
      <c r="Q194" s="234">
        <v>26280</v>
      </c>
      <c r="R194" s="234">
        <v>21286.799999999999</v>
      </c>
      <c r="S194" s="243" t="s">
        <v>1152</v>
      </c>
      <c r="T194" s="236">
        <v>45890</v>
      </c>
    </row>
    <row r="195" spans="1:20" ht="38.25" hidden="1" customHeight="1">
      <c r="A195" s="239" t="s">
        <v>1145</v>
      </c>
      <c r="B195" s="240">
        <v>1083</v>
      </c>
      <c r="C195" s="241">
        <v>30410</v>
      </c>
      <c r="D195" s="239" t="s">
        <v>3817</v>
      </c>
      <c r="E195" s="239" t="s">
        <v>380</v>
      </c>
      <c r="F195" s="239" t="s">
        <v>381</v>
      </c>
      <c r="G195" s="239" t="s">
        <v>942</v>
      </c>
      <c r="H195" s="239" t="s">
        <v>973</v>
      </c>
      <c r="I195" s="239" t="s">
        <v>399</v>
      </c>
      <c r="J195" s="233"/>
      <c r="K195" s="236">
        <v>45889</v>
      </c>
      <c r="L195" s="233">
        <v>1.1000000000000001</v>
      </c>
      <c r="M195" s="234" t="s">
        <v>942</v>
      </c>
      <c r="N195" s="234">
        <v>38850</v>
      </c>
      <c r="O195" s="234">
        <v>15040</v>
      </c>
      <c r="P195" s="242">
        <v>16</v>
      </c>
      <c r="Q195" s="234">
        <v>23810</v>
      </c>
      <c r="R195" s="234">
        <v>20000.400000000001</v>
      </c>
      <c r="S195" s="243" t="s">
        <v>1153</v>
      </c>
      <c r="T195" s="236">
        <v>45890</v>
      </c>
    </row>
    <row r="196" spans="1:20" ht="38.25" hidden="1" customHeight="1">
      <c r="A196" s="239" t="s">
        <v>1146</v>
      </c>
      <c r="B196" s="240">
        <v>1084</v>
      </c>
      <c r="C196" s="241">
        <v>30408</v>
      </c>
      <c r="D196" s="239" t="s">
        <v>3817</v>
      </c>
      <c r="E196" s="239" t="s">
        <v>786</v>
      </c>
      <c r="F196" s="239" t="s">
        <v>787</v>
      </c>
      <c r="G196" s="239" t="s">
        <v>942</v>
      </c>
      <c r="H196" s="239" t="s">
        <v>973</v>
      </c>
      <c r="I196" s="239" t="s">
        <v>399</v>
      </c>
      <c r="J196" s="233"/>
      <c r="K196" s="236">
        <v>45889</v>
      </c>
      <c r="L196" s="233">
        <v>1</v>
      </c>
      <c r="M196" s="234" t="s">
        <v>942</v>
      </c>
      <c r="N196" s="234">
        <v>35950</v>
      </c>
      <c r="O196" s="234">
        <v>13990</v>
      </c>
      <c r="P196" s="242">
        <v>29</v>
      </c>
      <c r="Q196" s="234">
        <v>21960</v>
      </c>
      <c r="R196" s="234">
        <v>15591.6</v>
      </c>
      <c r="S196" s="243" t="s">
        <v>1154</v>
      </c>
      <c r="T196" s="236">
        <v>45890</v>
      </c>
    </row>
    <row r="197" spans="1:20" ht="38.25" hidden="1" customHeight="1">
      <c r="A197" s="239" t="s">
        <v>1147</v>
      </c>
      <c r="B197" s="240">
        <v>1086</v>
      </c>
      <c r="C197" s="241">
        <v>30414</v>
      </c>
      <c r="D197" s="239" t="s">
        <v>3817</v>
      </c>
      <c r="E197" s="239" t="s">
        <v>413</v>
      </c>
      <c r="F197" s="239" t="s">
        <v>414</v>
      </c>
      <c r="G197" s="239" t="s">
        <v>942</v>
      </c>
      <c r="H197" s="239" t="s">
        <v>973</v>
      </c>
      <c r="I197" s="239" t="s">
        <v>399</v>
      </c>
      <c r="J197" s="233"/>
      <c r="K197" s="236">
        <v>45889</v>
      </c>
      <c r="L197" s="233">
        <v>1.1000000000000001</v>
      </c>
      <c r="M197" s="234" t="s">
        <v>942</v>
      </c>
      <c r="N197" s="234">
        <v>38680</v>
      </c>
      <c r="O197" s="234">
        <v>14950</v>
      </c>
      <c r="P197" s="242">
        <v>13</v>
      </c>
      <c r="Q197" s="234">
        <v>23730</v>
      </c>
      <c r="R197" s="234">
        <v>20645.099999999999</v>
      </c>
      <c r="S197" s="243" t="s">
        <v>1155</v>
      </c>
      <c r="T197" s="236">
        <v>45890</v>
      </c>
    </row>
    <row r="198" spans="1:20" ht="38.25" hidden="1" customHeight="1">
      <c r="A198" s="239" t="s">
        <v>1148</v>
      </c>
      <c r="B198" s="240">
        <v>1089</v>
      </c>
      <c r="C198" s="241">
        <v>30412</v>
      </c>
      <c r="D198" s="239" t="s">
        <v>3817</v>
      </c>
      <c r="E198" s="239" t="s">
        <v>377</v>
      </c>
      <c r="F198" s="239" t="s">
        <v>378</v>
      </c>
      <c r="G198" s="239" t="s">
        <v>942</v>
      </c>
      <c r="H198" s="239" t="s">
        <v>973</v>
      </c>
      <c r="I198" s="239" t="s">
        <v>399</v>
      </c>
      <c r="J198" s="233"/>
      <c r="K198" s="236">
        <v>45889</v>
      </c>
      <c r="L198" s="233">
        <v>1.2</v>
      </c>
      <c r="M198" s="234" t="s">
        <v>942</v>
      </c>
      <c r="N198" s="234">
        <v>41370</v>
      </c>
      <c r="O198" s="234">
        <v>15200</v>
      </c>
      <c r="P198" s="242">
        <v>21</v>
      </c>
      <c r="Q198" s="234">
        <v>26170</v>
      </c>
      <c r="R198" s="234">
        <v>20674.3</v>
      </c>
      <c r="S198" s="243" t="s">
        <v>1156</v>
      </c>
      <c r="T198" s="236">
        <v>45890</v>
      </c>
    </row>
    <row r="199" spans="1:20" ht="38.25" hidden="1" customHeight="1">
      <c r="A199" s="239" t="s">
        <v>1149</v>
      </c>
      <c r="B199" s="240">
        <v>1090</v>
      </c>
      <c r="C199" s="241">
        <v>30416</v>
      </c>
      <c r="D199" s="239" t="s">
        <v>3817</v>
      </c>
      <c r="E199" s="239" t="s">
        <v>410</v>
      </c>
      <c r="F199" s="239" t="s">
        <v>411</v>
      </c>
      <c r="G199" s="239" t="s">
        <v>942</v>
      </c>
      <c r="H199" s="239" t="s">
        <v>973</v>
      </c>
      <c r="I199" s="239" t="s">
        <v>399</v>
      </c>
      <c r="J199" s="233"/>
      <c r="K199" s="236">
        <v>45889</v>
      </c>
      <c r="L199" s="233">
        <v>1</v>
      </c>
      <c r="M199" s="234" t="s">
        <v>942</v>
      </c>
      <c r="N199" s="234">
        <v>37510</v>
      </c>
      <c r="O199" s="234">
        <v>15090</v>
      </c>
      <c r="P199" s="242">
        <v>15</v>
      </c>
      <c r="Q199" s="234">
        <v>22420</v>
      </c>
      <c r="R199" s="234">
        <v>19057</v>
      </c>
      <c r="S199" s="243" t="s">
        <v>1157</v>
      </c>
      <c r="T199" s="236">
        <v>45890</v>
      </c>
    </row>
    <row r="200" spans="1:20" ht="38.25" hidden="1" customHeight="1">
      <c r="A200" s="239" t="s">
        <v>1158</v>
      </c>
      <c r="B200" s="240">
        <v>1093</v>
      </c>
      <c r="C200" s="241">
        <v>30418</v>
      </c>
      <c r="D200" s="239" t="s">
        <v>3817</v>
      </c>
      <c r="E200" s="239" t="s">
        <v>384</v>
      </c>
      <c r="F200" s="239" t="s">
        <v>385</v>
      </c>
      <c r="G200" s="239" t="s">
        <v>942</v>
      </c>
      <c r="H200" s="239" t="s">
        <v>973</v>
      </c>
      <c r="I200" s="239" t="s">
        <v>399</v>
      </c>
      <c r="J200" s="233"/>
      <c r="K200" s="235">
        <v>45891</v>
      </c>
      <c r="L200" s="233">
        <v>1</v>
      </c>
      <c r="M200" s="234" t="s">
        <v>942</v>
      </c>
      <c r="N200" s="234">
        <v>37500</v>
      </c>
      <c r="O200" s="234">
        <v>13900</v>
      </c>
      <c r="P200" s="242">
        <v>28</v>
      </c>
      <c r="Q200" s="234">
        <v>23600</v>
      </c>
      <c r="R200" s="234">
        <v>16992</v>
      </c>
      <c r="S200" s="234" t="s">
        <v>1227</v>
      </c>
      <c r="T200" s="236">
        <v>45891</v>
      </c>
    </row>
    <row r="201" spans="1:20" ht="38.25" hidden="1" customHeight="1">
      <c r="A201" s="239" t="s">
        <v>1159</v>
      </c>
      <c r="B201" s="240">
        <v>1094</v>
      </c>
      <c r="C201" s="241">
        <v>30420</v>
      </c>
      <c r="D201" s="239" t="s">
        <v>3817</v>
      </c>
      <c r="E201" s="239" t="s">
        <v>400</v>
      </c>
      <c r="F201" s="239" t="s">
        <v>401</v>
      </c>
      <c r="G201" s="239" t="s">
        <v>942</v>
      </c>
      <c r="H201" s="239" t="s">
        <v>973</v>
      </c>
      <c r="I201" s="239" t="s">
        <v>399</v>
      </c>
      <c r="J201" s="233"/>
      <c r="K201" s="235">
        <v>45891</v>
      </c>
      <c r="L201" s="233">
        <v>1</v>
      </c>
      <c r="M201" s="234" t="s">
        <v>942</v>
      </c>
      <c r="N201" s="234">
        <v>38700</v>
      </c>
      <c r="O201" s="234">
        <v>14690</v>
      </c>
      <c r="P201" s="242">
        <v>26</v>
      </c>
      <c r="Q201" s="234">
        <v>24010</v>
      </c>
      <c r="R201" s="234">
        <v>17767.400000000001</v>
      </c>
      <c r="S201" s="234" t="s">
        <v>1228</v>
      </c>
      <c r="T201" s="236">
        <v>45891</v>
      </c>
    </row>
    <row r="202" spans="1:20" ht="38.25" hidden="1" customHeight="1">
      <c r="A202" s="239" t="s">
        <v>1162</v>
      </c>
      <c r="B202" s="240">
        <v>1095</v>
      </c>
      <c r="C202" s="241">
        <v>30424</v>
      </c>
      <c r="D202" s="239" t="s">
        <v>3817</v>
      </c>
      <c r="E202" s="239" t="s">
        <v>858</v>
      </c>
      <c r="F202" s="239" t="s">
        <v>859</v>
      </c>
      <c r="G202" s="239" t="s">
        <v>942</v>
      </c>
      <c r="H202" s="239" t="s">
        <v>973</v>
      </c>
      <c r="I202" s="239" t="s">
        <v>399</v>
      </c>
      <c r="J202" s="233"/>
      <c r="K202" s="235">
        <v>45891</v>
      </c>
      <c r="L202" s="233">
        <v>1</v>
      </c>
      <c r="M202" s="234" t="s">
        <v>942</v>
      </c>
      <c r="N202" s="234">
        <v>38520</v>
      </c>
      <c r="O202" s="234">
        <v>14700</v>
      </c>
      <c r="P202" s="242">
        <v>11</v>
      </c>
      <c r="Q202" s="234">
        <v>23820</v>
      </c>
      <c r="R202" s="234">
        <v>21199.8</v>
      </c>
      <c r="S202" s="234" t="s">
        <v>1231</v>
      </c>
      <c r="T202" s="236">
        <v>45891</v>
      </c>
    </row>
    <row r="203" spans="1:20" ht="38.25" hidden="1" customHeight="1">
      <c r="A203" s="239" t="s">
        <v>1163</v>
      </c>
      <c r="B203" s="240">
        <v>1096</v>
      </c>
      <c r="C203" s="241">
        <v>30422</v>
      </c>
      <c r="D203" s="239" t="s">
        <v>3817</v>
      </c>
      <c r="E203" s="239" t="s">
        <v>429</v>
      </c>
      <c r="F203" s="239" t="s">
        <v>430</v>
      </c>
      <c r="G203" s="239" t="s">
        <v>942</v>
      </c>
      <c r="H203" s="239" t="s">
        <v>973</v>
      </c>
      <c r="I203" s="239" t="s">
        <v>399</v>
      </c>
      <c r="J203" s="233"/>
      <c r="K203" s="235">
        <v>45891</v>
      </c>
      <c r="L203" s="233">
        <v>1</v>
      </c>
      <c r="M203" s="234" t="s">
        <v>942</v>
      </c>
      <c r="N203" s="234">
        <v>38090</v>
      </c>
      <c r="O203" s="234">
        <v>14180</v>
      </c>
      <c r="P203" s="242">
        <v>26</v>
      </c>
      <c r="Q203" s="234">
        <v>23910</v>
      </c>
      <c r="R203" s="234">
        <v>17693.400000000001</v>
      </c>
      <c r="S203" s="234" t="s">
        <v>1232</v>
      </c>
      <c r="T203" s="236">
        <v>45891</v>
      </c>
    </row>
    <row r="204" spans="1:20" ht="38.25" hidden="1" customHeight="1">
      <c r="A204" s="239" t="s">
        <v>1164</v>
      </c>
      <c r="B204" s="240">
        <v>1100</v>
      </c>
      <c r="C204" s="241">
        <v>30435</v>
      </c>
      <c r="D204" s="239" t="s">
        <v>3817</v>
      </c>
      <c r="E204" s="239" t="s">
        <v>369</v>
      </c>
      <c r="F204" s="239" t="s">
        <v>370</v>
      </c>
      <c r="G204" s="239" t="s">
        <v>939</v>
      </c>
      <c r="H204" s="239" t="s">
        <v>974</v>
      </c>
      <c r="I204" s="239" t="s">
        <v>399</v>
      </c>
      <c r="J204" s="233"/>
      <c r="K204" s="235">
        <v>45891</v>
      </c>
      <c r="L204" s="233">
        <v>1.1000000000000001</v>
      </c>
      <c r="M204" s="234" t="s">
        <v>939</v>
      </c>
      <c r="N204" s="234">
        <v>38690</v>
      </c>
      <c r="O204" s="234">
        <v>15060</v>
      </c>
      <c r="P204" s="242">
        <v>5</v>
      </c>
      <c r="Q204" s="234">
        <v>23630</v>
      </c>
      <c r="R204" s="234">
        <v>22448.5</v>
      </c>
      <c r="S204" s="234" t="s">
        <v>1233</v>
      </c>
      <c r="T204" s="236">
        <v>45891</v>
      </c>
    </row>
    <row r="205" spans="1:20" ht="38.25" hidden="1" customHeight="1">
      <c r="A205" s="239" t="s">
        <v>1160</v>
      </c>
      <c r="B205" s="240">
        <v>1101</v>
      </c>
      <c r="C205" s="241">
        <v>30437</v>
      </c>
      <c r="D205" s="239" t="s">
        <v>3817</v>
      </c>
      <c r="E205" s="239" t="s">
        <v>374</v>
      </c>
      <c r="F205" s="239" t="s">
        <v>375</v>
      </c>
      <c r="G205" s="239" t="s">
        <v>939</v>
      </c>
      <c r="H205" s="239" t="s">
        <v>974</v>
      </c>
      <c r="I205" s="239" t="s">
        <v>399</v>
      </c>
      <c r="J205" s="233"/>
      <c r="K205" s="235">
        <v>45891</v>
      </c>
      <c r="L205" s="233">
        <v>1.1000000000000001</v>
      </c>
      <c r="M205" s="234" t="s">
        <v>939</v>
      </c>
      <c r="N205" s="234">
        <v>39190</v>
      </c>
      <c r="O205" s="234">
        <v>15620</v>
      </c>
      <c r="P205" s="242">
        <v>19</v>
      </c>
      <c r="Q205" s="234">
        <v>23570</v>
      </c>
      <c r="R205" s="234">
        <v>19091.7</v>
      </c>
      <c r="S205" s="234" t="s">
        <v>1229</v>
      </c>
      <c r="T205" s="236">
        <v>45891</v>
      </c>
    </row>
    <row r="206" spans="1:20" ht="38.25" hidden="1" customHeight="1">
      <c r="A206" s="239" t="s">
        <v>1161</v>
      </c>
      <c r="B206" s="240">
        <v>1102</v>
      </c>
      <c r="C206" s="241">
        <v>30439</v>
      </c>
      <c r="D206" s="239" t="s">
        <v>3817</v>
      </c>
      <c r="E206" s="239" t="s">
        <v>386</v>
      </c>
      <c r="F206" s="239" t="s">
        <v>387</v>
      </c>
      <c r="G206" s="239" t="s">
        <v>939</v>
      </c>
      <c r="H206" s="239" t="s">
        <v>974</v>
      </c>
      <c r="I206" s="239" t="s">
        <v>399</v>
      </c>
      <c r="J206" s="233"/>
      <c r="K206" s="235">
        <v>45891</v>
      </c>
      <c r="L206" s="233">
        <v>1</v>
      </c>
      <c r="M206" s="234" t="s">
        <v>939</v>
      </c>
      <c r="N206" s="234">
        <v>38090</v>
      </c>
      <c r="O206" s="234">
        <v>15410</v>
      </c>
      <c r="P206" s="242">
        <v>11</v>
      </c>
      <c r="Q206" s="234">
        <v>22680</v>
      </c>
      <c r="R206" s="234">
        <v>20185.2</v>
      </c>
      <c r="S206" s="234" t="s">
        <v>1230</v>
      </c>
      <c r="T206" s="236">
        <v>45891</v>
      </c>
    </row>
    <row r="207" spans="1:20" ht="38.25" hidden="1" customHeight="1">
      <c r="A207" s="239" t="s">
        <v>1165</v>
      </c>
      <c r="B207" s="240">
        <v>1103</v>
      </c>
      <c r="C207" s="241">
        <v>30445</v>
      </c>
      <c r="D207" s="239" t="s">
        <v>3817</v>
      </c>
      <c r="E207" s="239" t="s">
        <v>783</v>
      </c>
      <c r="F207" s="239" t="s">
        <v>784</v>
      </c>
      <c r="G207" s="235" t="s">
        <v>939</v>
      </c>
      <c r="H207" s="239" t="s">
        <v>974</v>
      </c>
      <c r="I207" s="239" t="s">
        <v>399</v>
      </c>
      <c r="J207" s="233"/>
      <c r="K207" s="235">
        <v>45891</v>
      </c>
      <c r="L207" s="233">
        <v>1.2</v>
      </c>
      <c r="M207" s="234" t="s">
        <v>939</v>
      </c>
      <c r="N207" s="234">
        <v>41220</v>
      </c>
      <c r="O207" s="234">
        <v>14700</v>
      </c>
      <c r="P207" s="242">
        <v>34</v>
      </c>
      <c r="Q207" s="234">
        <v>26520</v>
      </c>
      <c r="R207" s="234">
        <v>17503.2</v>
      </c>
      <c r="S207" s="234" t="s">
        <v>1234</v>
      </c>
      <c r="T207" s="236">
        <v>45892</v>
      </c>
    </row>
    <row r="208" spans="1:20" ht="38.25" hidden="1" customHeight="1">
      <c r="A208" s="239" t="s">
        <v>1166</v>
      </c>
      <c r="B208" s="240">
        <v>1105</v>
      </c>
      <c r="C208" s="241">
        <v>30452</v>
      </c>
      <c r="D208" s="239" t="s">
        <v>3817</v>
      </c>
      <c r="E208" s="239" t="s">
        <v>786</v>
      </c>
      <c r="F208" s="239" t="s">
        <v>787</v>
      </c>
      <c r="G208" s="235" t="s">
        <v>939</v>
      </c>
      <c r="H208" s="239" t="s">
        <v>974</v>
      </c>
      <c r="I208" s="239" t="s">
        <v>399</v>
      </c>
      <c r="J208" s="233"/>
      <c r="K208" s="235">
        <v>45891</v>
      </c>
      <c r="L208" s="233">
        <v>1</v>
      </c>
      <c r="M208" s="234" t="s">
        <v>939</v>
      </c>
      <c r="N208" s="234">
        <v>36340</v>
      </c>
      <c r="O208" s="234">
        <v>13930</v>
      </c>
      <c r="P208" s="242">
        <v>8</v>
      </c>
      <c r="Q208" s="234">
        <v>22410</v>
      </c>
      <c r="R208" s="234">
        <v>20617.2</v>
      </c>
      <c r="S208" s="234" t="s">
        <v>1235</v>
      </c>
      <c r="T208" s="236">
        <v>45892</v>
      </c>
    </row>
    <row r="209" spans="1:20" ht="38.25" hidden="1" customHeight="1">
      <c r="A209" s="239" t="s">
        <v>1167</v>
      </c>
      <c r="B209" s="240">
        <v>1106</v>
      </c>
      <c r="C209" s="241">
        <v>30447</v>
      </c>
      <c r="D209" s="239" t="s">
        <v>3817</v>
      </c>
      <c r="E209" s="239" t="s">
        <v>791</v>
      </c>
      <c r="F209" s="239" t="s">
        <v>792</v>
      </c>
      <c r="G209" s="235" t="s">
        <v>939</v>
      </c>
      <c r="H209" s="239" t="s">
        <v>974</v>
      </c>
      <c r="I209" s="239" t="s">
        <v>399</v>
      </c>
      <c r="J209" s="233"/>
      <c r="K209" s="235">
        <v>45891</v>
      </c>
      <c r="L209" s="233">
        <v>1.2</v>
      </c>
      <c r="M209" s="234" t="s">
        <v>939</v>
      </c>
      <c r="N209" s="234">
        <v>40950</v>
      </c>
      <c r="O209" s="234">
        <v>14980</v>
      </c>
      <c r="P209" s="242">
        <v>12</v>
      </c>
      <c r="Q209" s="234">
        <v>25970</v>
      </c>
      <c r="R209" s="234">
        <v>22853.599999999999</v>
      </c>
      <c r="S209" s="234" t="s">
        <v>1236</v>
      </c>
      <c r="T209" s="236">
        <v>45892</v>
      </c>
    </row>
    <row r="210" spans="1:20" ht="38.25" hidden="1" customHeight="1">
      <c r="A210" s="239" t="s">
        <v>1168</v>
      </c>
      <c r="B210" s="240">
        <v>1104</v>
      </c>
      <c r="C210" s="241">
        <v>30450</v>
      </c>
      <c r="D210" s="239" t="s">
        <v>3817</v>
      </c>
      <c r="E210" s="239" t="s">
        <v>841</v>
      </c>
      <c r="F210" s="239" t="s">
        <v>845</v>
      </c>
      <c r="G210" s="235" t="s">
        <v>939</v>
      </c>
      <c r="H210" s="239" t="s">
        <v>974</v>
      </c>
      <c r="I210" s="239" t="s">
        <v>399</v>
      </c>
      <c r="J210" s="233"/>
      <c r="K210" s="235">
        <v>45891</v>
      </c>
      <c r="L210" s="233">
        <v>1.2</v>
      </c>
      <c r="M210" s="234" t="s">
        <v>939</v>
      </c>
      <c r="N210" s="234">
        <v>42500</v>
      </c>
      <c r="O210" s="234">
        <v>15930</v>
      </c>
      <c r="P210" s="242">
        <v>10</v>
      </c>
      <c r="Q210" s="234">
        <v>26570</v>
      </c>
      <c r="R210" s="234">
        <v>23913</v>
      </c>
      <c r="S210" s="234" t="s">
        <v>1237</v>
      </c>
      <c r="T210" s="236">
        <v>45892</v>
      </c>
    </row>
    <row r="211" spans="1:20" ht="38.25" hidden="1" customHeight="1">
      <c r="A211" s="239" t="s">
        <v>1169</v>
      </c>
      <c r="B211" s="240">
        <v>1107</v>
      </c>
      <c r="C211" s="241">
        <v>30454</v>
      </c>
      <c r="D211" s="239" t="s">
        <v>3817</v>
      </c>
      <c r="E211" s="239" t="s">
        <v>794</v>
      </c>
      <c r="F211" s="239" t="s">
        <v>795</v>
      </c>
      <c r="G211" s="235" t="s">
        <v>939</v>
      </c>
      <c r="H211" s="239" t="s">
        <v>974</v>
      </c>
      <c r="I211" s="239" t="s">
        <v>399</v>
      </c>
      <c r="J211" s="233"/>
      <c r="K211" s="235">
        <v>45891</v>
      </c>
      <c r="L211" s="233">
        <v>1.2</v>
      </c>
      <c r="M211" s="234" t="s">
        <v>939</v>
      </c>
      <c r="N211" s="234">
        <v>42720</v>
      </c>
      <c r="O211" s="234">
        <v>16100</v>
      </c>
      <c r="P211" s="242">
        <v>8</v>
      </c>
      <c r="Q211" s="234">
        <v>26620</v>
      </c>
      <c r="R211" s="234">
        <v>24490.400000000001</v>
      </c>
      <c r="S211" s="234" t="s">
        <v>1238</v>
      </c>
      <c r="T211" s="236">
        <v>45892</v>
      </c>
    </row>
    <row r="212" spans="1:20" ht="38.25" hidden="1" customHeight="1">
      <c r="A212" s="239" t="s">
        <v>1170</v>
      </c>
      <c r="B212" s="240">
        <v>1108</v>
      </c>
      <c r="C212" s="241">
        <v>30456</v>
      </c>
      <c r="D212" s="239" t="s">
        <v>3817</v>
      </c>
      <c r="E212" s="239" t="s">
        <v>380</v>
      </c>
      <c r="F212" s="239" t="s">
        <v>381</v>
      </c>
      <c r="G212" s="235" t="s">
        <v>939</v>
      </c>
      <c r="H212" s="239" t="s">
        <v>974</v>
      </c>
      <c r="I212" s="239" t="s">
        <v>399</v>
      </c>
      <c r="J212" s="233"/>
      <c r="K212" s="235">
        <v>45891</v>
      </c>
      <c r="L212" s="233">
        <v>1.1000000000000001</v>
      </c>
      <c r="M212" s="234" t="s">
        <v>939</v>
      </c>
      <c r="N212" s="234">
        <v>39680</v>
      </c>
      <c r="O212" s="234">
        <v>15040</v>
      </c>
      <c r="P212" s="242">
        <v>31</v>
      </c>
      <c r="Q212" s="234">
        <v>24640</v>
      </c>
      <c r="R212" s="234">
        <v>17001.599999999999</v>
      </c>
      <c r="S212" s="234" t="s">
        <v>1239</v>
      </c>
      <c r="T212" s="236">
        <v>45892</v>
      </c>
    </row>
    <row r="213" spans="1:20" ht="38.25" hidden="1" customHeight="1">
      <c r="A213" s="239" t="s">
        <v>1171</v>
      </c>
      <c r="B213" s="240">
        <v>1109</v>
      </c>
      <c r="C213" s="241">
        <v>30458</v>
      </c>
      <c r="D213" s="239" t="s">
        <v>3817</v>
      </c>
      <c r="E213" s="239" t="s">
        <v>413</v>
      </c>
      <c r="F213" s="239" t="s">
        <v>414</v>
      </c>
      <c r="G213" s="235" t="s">
        <v>939</v>
      </c>
      <c r="H213" s="239" t="s">
        <v>974</v>
      </c>
      <c r="I213" s="239" t="s">
        <v>399</v>
      </c>
      <c r="J213" s="233"/>
      <c r="K213" s="235">
        <v>45891</v>
      </c>
      <c r="L213" s="233">
        <v>1.3</v>
      </c>
      <c r="M213" s="234" t="s">
        <v>939</v>
      </c>
      <c r="N213" s="234">
        <v>42860</v>
      </c>
      <c r="O213" s="234">
        <v>14940</v>
      </c>
      <c r="P213" s="242">
        <v>15</v>
      </c>
      <c r="Q213" s="234">
        <v>27920</v>
      </c>
      <c r="R213" s="234">
        <v>23732</v>
      </c>
      <c r="S213" s="234" t="s">
        <v>1240</v>
      </c>
      <c r="T213" s="236">
        <v>45892</v>
      </c>
    </row>
    <row r="214" spans="1:20" ht="38.25" hidden="1" customHeight="1">
      <c r="A214" s="239" t="s">
        <v>1172</v>
      </c>
      <c r="B214" s="240">
        <v>1110</v>
      </c>
      <c r="C214" s="241">
        <v>30460</v>
      </c>
      <c r="D214" s="239" t="s">
        <v>3817</v>
      </c>
      <c r="E214" s="239" t="s">
        <v>432</v>
      </c>
      <c r="F214" s="239" t="s">
        <v>433</v>
      </c>
      <c r="G214" s="235" t="s">
        <v>939</v>
      </c>
      <c r="H214" s="239" t="s">
        <v>974</v>
      </c>
      <c r="I214" s="239" t="s">
        <v>399</v>
      </c>
      <c r="J214" s="233"/>
      <c r="K214" s="235">
        <v>45891</v>
      </c>
      <c r="L214" s="233">
        <v>1.2</v>
      </c>
      <c r="M214" s="234" t="s">
        <v>939</v>
      </c>
      <c r="N214" s="234">
        <v>41830</v>
      </c>
      <c r="O214" s="234">
        <v>15570</v>
      </c>
      <c r="P214" s="242">
        <v>8</v>
      </c>
      <c r="Q214" s="234">
        <v>26260</v>
      </c>
      <c r="R214" s="234">
        <v>24159.200000000001</v>
      </c>
      <c r="S214" s="234" t="s">
        <v>1241</v>
      </c>
      <c r="T214" s="236">
        <v>45892</v>
      </c>
    </row>
    <row r="215" spans="1:20" ht="38.25" hidden="1" customHeight="1">
      <c r="A215" s="239" t="s">
        <v>1173</v>
      </c>
      <c r="B215" s="240">
        <v>1111</v>
      </c>
      <c r="C215" s="241">
        <v>30463</v>
      </c>
      <c r="D215" s="239" t="s">
        <v>3817</v>
      </c>
      <c r="E215" s="239" t="s">
        <v>447</v>
      </c>
      <c r="F215" s="239" t="s">
        <v>448</v>
      </c>
      <c r="G215" s="235" t="s">
        <v>939</v>
      </c>
      <c r="H215" s="239" t="s">
        <v>974</v>
      </c>
      <c r="I215" s="239" t="s">
        <v>399</v>
      </c>
      <c r="J215" s="233"/>
      <c r="K215" s="235">
        <v>45891</v>
      </c>
      <c r="L215" s="233">
        <v>1.2</v>
      </c>
      <c r="M215" s="234" t="s">
        <v>939</v>
      </c>
      <c r="N215" s="234">
        <v>45680</v>
      </c>
      <c r="O215" s="234">
        <v>19410</v>
      </c>
      <c r="P215" s="242">
        <v>13</v>
      </c>
      <c r="Q215" s="234">
        <v>26270</v>
      </c>
      <c r="R215" s="234">
        <v>22854.9</v>
      </c>
      <c r="S215" s="234" t="s">
        <v>1242</v>
      </c>
      <c r="T215" s="236">
        <v>45892</v>
      </c>
    </row>
    <row r="216" spans="1:20" ht="38.25" hidden="1" customHeight="1">
      <c r="A216" s="239" t="s">
        <v>1174</v>
      </c>
      <c r="B216" s="240">
        <v>1113</v>
      </c>
      <c r="C216" s="241">
        <v>30466</v>
      </c>
      <c r="D216" s="239" t="s">
        <v>3817</v>
      </c>
      <c r="E216" s="239" t="s">
        <v>442</v>
      </c>
      <c r="F216" s="239" t="s">
        <v>443</v>
      </c>
      <c r="G216" s="235" t="s">
        <v>939</v>
      </c>
      <c r="H216" s="239" t="s">
        <v>974</v>
      </c>
      <c r="I216" s="239" t="s">
        <v>399</v>
      </c>
      <c r="J216" s="233"/>
      <c r="K216" s="235">
        <v>45891</v>
      </c>
      <c r="L216" s="233">
        <v>0.9</v>
      </c>
      <c r="M216" s="234" t="s">
        <v>939</v>
      </c>
      <c r="N216" s="234">
        <v>35190</v>
      </c>
      <c r="O216" s="234">
        <v>14480</v>
      </c>
      <c r="P216" s="242">
        <v>16</v>
      </c>
      <c r="Q216" s="234">
        <v>20710</v>
      </c>
      <c r="R216" s="234">
        <v>17396.400000000001</v>
      </c>
      <c r="S216" s="234" t="s">
        <v>1243</v>
      </c>
      <c r="T216" s="236">
        <v>45892</v>
      </c>
    </row>
    <row r="217" spans="1:20" ht="38.25" hidden="1" customHeight="1">
      <c r="A217" s="239" t="s">
        <v>1175</v>
      </c>
      <c r="B217" s="240">
        <v>1114</v>
      </c>
      <c r="C217" s="241">
        <v>30468</v>
      </c>
      <c r="D217" s="239" t="s">
        <v>3817</v>
      </c>
      <c r="E217" s="239" t="s">
        <v>780</v>
      </c>
      <c r="F217" s="239" t="s">
        <v>781</v>
      </c>
      <c r="G217" s="239" t="s">
        <v>939</v>
      </c>
      <c r="H217" s="239" t="s">
        <v>974</v>
      </c>
      <c r="I217" s="239" t="s">
        <v>399</v>
      </c>
      <c r="J217" s="233"/>
      <c r="K217" s="235">
        <v>45891</v>
      </c>
      <c r="L217" s="233">
        <v>1</v>
      </c>
      <c r="M217" s="234" t="s">
        <v>939</v>
      </c>
      <c r="N217" s="234">
        <v>35870</v>
      </c>
      <c r="O217" s="234">
        <v>14810</v>
      </c>
      <c r="P217" s="242">
        <v>12</v>
      </c>
      <c r="Q217" s="234">
        <v>21060</v>
      </c>
      <c r="R217" s="234">
        <v>18532.8</v>
      </c>
      <c r="S217" s="234" t="s">
        <v>1244</v>
      </c>
      <c r="T217" s="236">
        <v>45892</v>
      </c>
    </row>
    <row r="218" spans="1:20" ht="38.25" hidden="1" customHeight="1">
      <c r="A218" s="239" t="s">
        <v>1176</v>
      </c>
      <c r="B218" s="240">
        <v>1115</v>
      </c>
      <c r="C218" s="241">
        <v>30470</v>
      </c>
      <c r="D218" s="239" t="s">
        <v>3817</v>
      </c>
      <c r="E218" s="239" t="s">
        <v>416</v>
      </c>
      <c r="F218" s="239" t="s">
        <v>417</v>
      </c>
      <c r="G218" s="239" t="s">
        <v>939</v>
      </c>
      <c r="H218" s="239" t="s">
        <v>974</v>
      </c>
      <c r="I218" s="239" t="s">
        <v>399</v>
      </c>
      <c r="J218" s="233"/>
      <c r="K218" s="235">
        <v>45891</v>
      </c>
      <c r="L218" s="233">
        <v>1.1000000000000001</v>
      </c>
      <c r="M218" s="234" t="s">
        <v>939</v>
      </c>
      <c r="N218" s="234">
        <v>39240</v>
      </c>
      <c r="O218" s="234">
        <v>14740</v>
      </c>
      <c r="P218" s="242">
        <v>12</v>
      </c>
      <c r="Q218" s="234">
        <v>24500</v>
      </c>
      <c r="R218" s="234">
        <v>21560</v>
      </c>
      <c r="S218" s="234" t="s">
        <v>1246</v>
      </c>
      <c r="T218" s="236">
        <v>45892</v>
      </c>
    </row>
    <row r="219" spans="1:20" ht="38.25" hidden="1" customHeight="1">
      <c r="A219" s="239" t="s">
        <v>1177</v>
      </c>
      <c r="B219" s="240">
        <v>1116</v>
      </c>
      <c r="C219" s="241">
        <v>30472</v>
      </c>
      <c r="D219" s="239" t="s">
        <v>3817</v>
      </c>
      <c r="E219" s="239" t="s">
        <v>420</v>
      </c>
      <c r="F219" s="239" t="s">
        <v>421</v>
      </c>
      <c r="G219" s="239" t="s">
        <v>939</v>
      </c>
      <c r="H219" s="239" t="s">
        <v>974</v>
      </c>
      <c r="I219" s="239" t="s">
        <v>399</v>
      </c>
      <c r="J219" s="233"/>
      <c r="K219" s="235">
        <v>45891</v>
      </c>
      <c r="L219" s="233">
        <v>1</v>
      </c>
      <c r="M219" s="234" t="s">
        <v>939</v>
      </c>
      <c r="N219" s="234">
        <v>37010</v>
      </c>
      <c r="O219" s="234">
        <v>14880</v>
      </c>
      <c r="P219" s="242">
        <v>16</v>
      </c>
      <c r="Q219" s="234">
        <v>22130</v>
      </c>
      <c r="R219" s="234">
        <v>18589.2</v>
      </c>
      <c r="S219" s="234" t="s">
        <v>1247</v>
      </c>
      <c r="T219" s="236">
        <v>45892</v>
      </c>
    </row>
    <row r="220" spans="1:20" ht="38.25" hidden="1" customHeight="1">
      <c r="A220" s="239" t="s">
        <v>1178</v>
      </c>
      <c r="B220" s="240">
        <v>1117</v>
      </c>
      <c r="C220" s="241">
        <v>30474</v>
      </c>
      <c r="D220" s="239" t="s">
        <v>3817</v>
      </c>
      <c r="E220" s="239" t="s">
        <v>377</v>
      </c>
      <c r="F220" s="239" t="s">
        <v>378</v>
      </c>
      <c r="G220" s="239" t="s">
        <v>939</v>
      </c>
      <c r="H220" s="239" t="s">
        <v>974</v>
      </c>
      <c r="I220" s="239" t="s">
        <v>399</v>
      </c>
      <c r="J220" s="233"/>
      <c r="K220" s="235">
        <v>45891</v>
      </c>
      <c r="L220" s="233">
        <v>1.1000000000000001</v>
      </c>
      <c r="M220" s="234" t="s">
        <v>939</v>
      </c>
      <c r="N220" s="234">
        <v>40460</v>
      </c>
      <c r="O220" s="234">
        <v>15160</v>
      </c>
      <c r="P220" s="242">
        <v>10</v>
      </c>
      <c r="Q220" s="234">
        <v>25300</v>
      </c>
      <c r="R220" s="234">
        <v>22770</v>
      </c>
      <c r="S220" s="234" t="s">
        <v>1248</v>
      </c>
      <c r="T220" s="236">
        <v>45892</v>
      </c>
    </row>
    <row r="221" spans="1:20" ht="38.25" hidden="1" customHeight="1">
      <c r="A221" s="239" t="s">
        <v>1184</v>
      </c>
      <c r="B221" s="240">
        <v>1119</v>
      </c>
      <c r="C221" s="241">
        <v>30476</v>
      </c>
      <c r="D221" s="239" t="s">
        <v>3817</v>
      </c>
      <c r="E221" s="239" t="s">
        <v>403</v>
      </c>
      <c r="F221" s="239" t="s">
        <v>404</v>
      </c>
      <c r="G221" s="239" t="s">
        <v>939</v>
      </c>
      <c r="H221" s="239" t="s">
        <v>974</v>
      </c>
      <c r="I221" s="239" t="s">
        <v>399</v>
      </c>
      <c r="J221" s="233"/>
      <c r="K221" s="235">
        <v>45891</v>
      </c>
      <c r="L221" s="233">
        <v>1.1000000000000001</v>
      </c>
      <c r="M221" s="234" t="s">
        <v>939</v>
      </c>
      <c r="N221" s="234">
        <v>39090</v>
      </c>
      <c r="O221" s="234">
        <v>14470</v>
      </c>
      <c r="P221" s="242">
        <v>21</v>
      </c>
      <c r="Q221" s="234">
        <v>24620</v>
      </c>
      <c r="R221" s="234">
        <v>19449.8</v>
      </c>
      <c r="S221" s="234" t="s">
        <v>1253</v>
      </c>
      <c r="T221" s="236">
        <v>45892</v>
      </c>
    </row>
    <row r="222" spans="1:20" ht="38.25" hidden="1" customHeight="1">
      <c r="A222" s="239" t="s">
        <v>1179</v>
      </c>
      <c r="B222" s="240">
        <v>1120</v>
      </c>
      <c r="C222" s="241">
        <v>30478</v>
      </c>
      <c r="D222" s="239" t="s">
        <v>3817</v>
      </c>
      <c r="E222" s="239" t="s">
        <v>406</v>
      </c>
      <c r="F222" s="239" t="s">
        <v>407</v>
      </c>
      <c r="G222" s="239" t="s">
        <v>939</v>
      </c>
      <c r="H222" s="239" t="s">
        <v>974</v>
      </c>
      <c r="I222" s="239" t="s">
        <v>399</v>
      </c>
      <c r="J222" s="233"/>
      <c r="K222" s="235">
        <v>45892</v>
      </c>
      <c r="L222" s="233">
        <v>1.3</v>
      </c>
      <c r="M222" s="234" t="s">
        <v>939</v>
      </c>
      <c r="N222" s="234">
        <v>39520</v>
      </c>
      <c r="O222" s="234">
        <v>15010</v>
      </c>
      <c r="P222" s="242">
        <v>23</v>
      </c>
      <c r="Q222" s="234">
        <v>24510</v>
      </c>
      <c r="R222" s="234">
        <v>18872.7</v>
      </c>
      <c r="S222" s="234" t="s">
        <v>1245</v>
      </c>
      <c r="T222" s="236">
        <v>45892</v>
      </c>
    </row>
    <row r="223" spans="1:20" ht="38.25" hidden="1" customHeight="1">
      <c r="A223" s="239" t="s">
        <v>1190</v>
      </c>
      <c r="B223" s="240">
        <v>1121</v>
      </c>
      <c r="C223" s="241">
        <v>30493</v>
      </c>
      <c r="D223" s="239" t="s">
        <v>3817</v>
      </c>
      <c r="E223" s="239" t="s">
        <v>382</v>
      </c>
      <c r="F223" s="239" t="s">
        <v>383</v>
      </c>
      <c r="G223" s="239" t="s">
        <v>939</v>
      </c>
      <c r="H223" s="239" t="s">
        <v>974</v>
      </c>
      <c r="I223" s="239" t="s">
        <v>399</v>
      </c>
      <c r="J223" s="233"/>
      <c r="K223" s="235">
        <v>45892</v>
      </c>
      <c r="L223" s="233">
        <v>1.3</v>
      </c>
      <c r="M223" s="234" t="s">
        <v>939</v>
      </c>
      <c r="N223" s="234">
        <v>38880</v>
      </c>
      <c r="O223" s="234">
        <v>14540</v>
      </c>
      <c r="P223" s="242">
        <v>13</v>
      </c>
      <c r="Q223" s="234">
        <v>24340</v>
      </c>
      <c r="R223" s="234">
        <v>21175.8</v>
      </c>
      <c r="S223" s="234" t="s">
        <v>1259</v>
      </c>
      <c r="T223" s="236">
        <v>45892</v>
      </c>
    </row>
    <row r="224" spans="1:20" ht="38.25" hidden="1" customHeight="1">
      <c r="A224" s="239" t="s">
        <v>1180</v>
      </c>
      <c r="B224" s="240">
        <v>1122</v>
      </c>
      <c r="C224" s="241">
        <v>30482</v>
      </c>
      <c r="D224" s="239" t="s">
        <v>3817</v>
      </c>
      <c r="E224" s="239" t="s">
        <v>453</v>
      </c>
      <c r="F224" s="239" t="s">
        <v>454</v>
      </c>
      <c r="G224" s="239" t="s">
        <v>939</v>
      </c>
      <c r="H224" s="239" t="s">
        <v>974</v>
      </c>
      <c r="I224" s="239" t="s">
        <v>399</v>
      </c>
      <c r="J224" s="233"/>
      <c r="K224" s="235">
        <v>45892</v>
      </c>
      <c r="L224" s="233">
        <v>1.2</v>
      </c>
      <c r="M224" s="234" t="s">
        <v>939</v>
      </c>
      <c r="N224" s="234">
        <v>46960</v>
      </c>
      <c r="O224" s="234">
        <v>24190</v>
      </c>
      <c r="P224" s="242">
        <v>16</v>
      </c>
      <c r="Q224" s="234">
        <v>22770</v>
      </c>
      <c r="R224" s="234">
        <v>19126.8</v>
      </c>
      <c r="S224" s="234" t="s">
        <v>1249</v>
      </c>
      <c r="T224" s="236">
        <v>45892</v>
      </c>
    </row>
    <row r="225" spans="1:20" ht="38.25" hidden="1" customHeight="1">
      <c r="A225" s="239" t="s">
        <v>1181</v>
      </c>
      <c r="B225" s="240">
        <v>1123</v>
      </c>
      <c r="C225" s="241">
        <v>30486</v>
      </c>
      <c r="D225" s="239" t="s">
        <v>3817</v>
      </c>
      <c r="E225" s="239" t="s">
        <v>410</v>
      </c>
      <c r="F225" s="239" t="s">
        <v>411</v>
      </c>
      <c r="G225" s="239" t="s">
        <v>939</v>
      </c>
      <c r="H225" s="239" t="s">
        <v>974</v>
      </c>
      <c r="I225" s="239" t="s">
        <v>399</v>
      </c>
      <c r="J225" s="233"/>
      <c r="K225" s="235">
        <v>45892</v>
      </c>
      <c r="L225" s="233">
        <v>1.3</v>
      </c>
      <c r="M225" s="234" t="s">
        <v>939</v>
      </c>
      <c r="N225" s="234">
        <v>38870</v>
      </c>
      <c r="O225" s="234">
        <v>15070</v>
      </c>
      <c r="P225" s="242">
        <v>14</v>
      </c>
      <c r="Q225" s="234">
        <v>23800</v>
      </c>
      <c r="R225" s="234">
        <v>20468</v>
      </c>
      <c r="S225" s="234" t="s">
        <v>1250</v>
      </c>
      <c r="T225" s="236">
        <v>45892</v>
      </c>
    </row>
    <row r="226" spans="1:20" ht="38.25" hidden="1" customHeight="1">
      <c r="A226" s="239" t="s">
        <v>1182</v>
      </c>
      <c r="B226" s="240">
        <v>1124</v>
      </c>
      <c r="C226" s="241">
        <v>30484</v>
      </c>
      <c r="D226" s="239" t="s">
        <v>3817</v>
      </c>
      <c r="E226" s="239" t="s">
        <v>456</v>
      </c>
      <c r="F226" s="239" t="s">
        <v>457</v>
      </c>
      <c r="G226" s="239" t="s">
        <v>939</v>
      </c>
      <c r="H226" s="239" t="s">
        <v>974</v>
      </c>
      <c r="I226" s="239" t="s">
        <v>399</v>
      </c>
      <c r="J226" s="233"/>
      <c r="K226" s="235">
        <v>45892</v>
      </c>
      <c r="L226" s="233">
        <v>1.5</v>
      </c>
      <c r="M226" s="234" t="s">
        <v>939</v>
      </c>
      <c r="N226" s="234">
        <v>43090</v>
      </c>
      <c r="O226" s="234">
        <v>15620</v>
      </c>
      <c r="P226" s="242">
        <v>17</v>
      </c>
      <c r="Q226" s="234">
        <v>27470</v>
      </c>
      <c r="R226" s="234">
        <v>22800.1</v>
      </c>
      <c r="S226" s="234" t="s">
        <v>1251</v>
      </c>
      <c r="T226" s="236">
        <v>45892</v>
      </c>
    </row>
    <row r="227" spans="1:20" ht="38.25" hidden="1" customHeight="1">
      <c r="A227" s="239" t="s">
        <v>1183</v>
      </c>
      <c r="B227" s="240">
        <v>1125</v>
      </c>
      <c r="C227" s="241">
        <v>30488</v>
      </c>
      <c r="D227" s="239" t="s">
        <v>3817</v>
      </c>
      <c r="E227" s="239" t="s">
        <v>462</v>
      </c>
      <c r="F227" s="239" t="s">
        <v>463</v>
      </c>
      <c r="G227" s="239" t="s">
        <v>939</v>
      </c>
      <c r="H227" s="239" t="s">
        <v>974</v>
      </c>
      <c r="I227" s="239" t="s">
        <v>399</v>
      </c>
      <c r="J227" s="233"/>
      <c r="K227" s="235">
        <v>45892</v>
      </c>
      <c r="L227" s="233">
        <v>1.3</v>
      </c>
      <c r="M227" s="234" t="s">
        <v>939</v>
      </c>
      <c r="N227" s="234">
        <v>41090</v>
      </c>
      <c r="O227" s="234">
        <v>16410</v>
      </c>
      <c r="P227" s="242">
        <v>13</v>
      </c>
      <c r="Q227" s="234">
        <v>24680</v>
      </c>
      <c r="R227" s="234">
        <v>21471.599999999999</v>
      </c>
      <c r="S227" s="234" t="s">
        <v>1252</v>
      </c>
      <c r="T227" s="236">
        <v>45892</v>
      </c>
    </row>
    <row r="228" spans="1:20" ht="38.25" hidden="1" customHeight="1">
      <c r="A228" s="239" t="s">
        <v>1185</v>
      </c>
      <c r="B228" s="240">
        <v>1128</v>
      </c>
      <c r="C228" s="241">
        <v>30490</v>
      </c>
      <c r="D228" s="239" t="s">
        <v>3817</v>
      </c>
      <c r="E228" s="239" t="s">
        <v>472</v>
      </c>
      <c r="F228" s="239" t="s">
        <v>473</v>
      </c>
      <c r="G228" s="239" t="s">
        <v>939</v>
      </c>
      <c r="H228" s="239" t="s">
        <v>974</v>
      </c>
      <c r="I228" s="239" t="s">
        <v>399</v>
      </c>
      <c r="J228" s="233"/>
      <c r="K228" s="235">
        <v>45892</v>
      </c>
      <c r="L228" s="233">
        <v>1.3</v>
      </c>
      <c r="M228" s="234" t="s">
        <v>939</v>
      </c>
      <c r="N228" s="234">
        <v>41150</v>
      </c>
      <c r="O228" s="234">
        <v>16540</v>
      </c>
      <c r="P228" s="242">
        <v>8</v>
      </c>
      <c r="Q228" s="234">
        <v>24610</v>
      </c>
      <c r="R228" s="234">
        <v>22641.200000000001</v>
      </c>
      <c r="S228" s="234" t="s">
        <v>1254</v>
      </c>
      <c r="T228" s="236">
        <v>45892</v>
      </c>
    </row>
    <row r="229" spans="1:20" ht="38.25" hidden="1" customHeight="1">
      <c r="A229" s="239" t="s">
        <v>1186</v>
      </c>
      <c r="B229" s="240">
        <v>1129</v>
      </c>
      <c r="C229" s="241">
        <v>30492</v>
      </c>
      <c r="D229" s="239" t="s">
        <v>3817</v>
      </c>
      <c r="E229" s="239" t="s">
        <v>475</v>
      </c>
      <c r="F229" s="239" t="s">
        <v>476</v>
      </c>
      <c r="G229" s="239" t="s">
        <v>939</v>
      </c>
      <c r="H229" s="239" t="s">
        <v>974</v>
      </c>
      <c r="I229" s="239" t="s">
        <v>399</v>
      </c>
      <c r="J229" s="233"/>
      <c r="K229" s="235">
        <v>45892</v>
      </c>
      <c r="L229" s="233">
        <v>1.3</v>
      </c>
      <c r="M229" s="234" t="s">
        <v>939</v>
      </c>
      <c r="N229" s="234">
        <v>40180</v>
      </c>
      <c r="O229" s="234">
        <v>16440</v>
      </c>
      <c r="P229" s="242">
        <v>12</v>
      </c>
      <c r="Q229" s="234">
        <v>23740</v>
      </c>
      <c r="R229" s="234">
        <v>20891.2</v>
      </c>
      <c r="S229" s="234" t="s">
        <v>1255</v>
      </c>
      <c r="T229" s="236">
        <v>45892</v>
      </c>
    </row>
    <row r="230" spans="1:20" ht="38.25" hidden="1" customHeight="1">
      <c r="A230" s="239" t="s">
        <v>1187</v>
      </c>
      <c r="B230" s="240">
        <v>1130</v>
      </c>
      <c r="C230" s="241">
        <v>30495</v>
      </c>
      <c r="D230" s="239" t="s">
        <v>3817</v>
      </c>
      <c r="E230" s="239" t="s">
        <v>380</v>
      </c>
      <c r="F230" s="239" t="s">
        <v>381</v>
      </c>
      <c r="G230" s="239" t="s">
        <v>939</v>
      </c>
      <c r="H230" s="239" t="s">
        <v>974</v>
      </c>
      <c r="I230" s="239" t="s">
        <v>399</v>
      </c>
      <c r="J230" s="233"/>
      <c r="K230" s="235">
        <v>45892</v>
      </c>
      <c r="L230" s="233">
        <v>1.3</v>
      </c>
      <c r="M230" s="234" t="s">
        <v>939</v>
      </c>
      <c r="N230" s="234">
        <v>38900</v>
      </c>
      <c r="O230" s="234">
        <v>15020</v>
      </c>
      <c r="P230" s="242">
        <v>20</v>
      </c>
      <c r="Q230" s="234">
        <v>23880</v>
      </c>
      <c r="R230" s="234">
        <v>19104</v>
      </c>
      <c r="S230" s="234" t="s">
        <v>1256</v>
      </c>
      <c r="T230" s="236">
        <v>45892</v>
      </c>
    </row>
    <row r="231" spans="1:20" ht="38.25" hidden="1" customHeight="1">
      <c r="A231" s="239" t="s">
        <v>1188</v>
      </c>
      <c r="B231" s="240">
        <v>1131</v>
      </c>
      <c r="C231" s="241">
        <v>30497</v>
      </c>
      <c r="D231" s="239" t="s">
        <v>3817</v>
      </c>
      <c r="E231" s="239" t="s">
        <v>429</v>
      </c>
      <c r="F231" s="239" t="s">
        <v>430</v>
      </c>
      <c r="G231" s="239" t="s">
        <v>939</v>
      </c>
      <c r="H231" s="239" t="s">
        <v>974</v>
      </c>
      <c r="I231" s="239" t="s">
        <v>399</v>
      </c>
      <c r="J231" s="233"/>
      <c r="K231" s="235">
        <v>45892</v>
      </c>
      <c r="L231" s="233">
        <v>1.2</v>
      </c>
      <c r="M231" s="234" t="s">
        <v>939</v>
      </c>
      <c r="N231" s="234">
        <v>37650</v>
      </c>
      <c r="O231" s="234">
        <v>14180</v>
      </c>
      <c r="P231" s="242">
        <v>28</v>
      </c>
      <c r="Q231" s="234">
        <v>23470</v>
      </c>
      <c r="R231" s="234">
        <v>16898.400000000001</v>
      </c>
      <c r="S231" s="234" t="s">
        <v>1257</v>
      </c>
      <c r="T231" s="236">
        <v>45892</v>
      </c>
    </row>
    <row r="232" spans="1:20" ht="38.25" hidden="1" customHeight="1">
      <c r="A232" s="239" t="s">
        <v>1189</v>
      </c>
      <c r="B232" s="240">
        <v>1132</v>
      </c>
      <c r="C232" s="241">
        <v>30499</v>
      </c>
      <c r="D232" s="239" t="s">
        <v>3817</v>
      </c>
      <c r="E232" s="239" t="s">
        <v>386</v>
      </c>
      <c r="F232" s="239" t="s">
        <v>387</v>
      </c>
      <c r="G232" s="239" t="s">
        <v>939</v>
      </c>
      <c r="H232" s="239" t="s">
        <v>974</v>
      </c>
      <c r="I232" s="239" t="s">
        <v>399</v>
      </c>
      <c r="J232" s="233"/>
      <c r="K232" s="235">
        <v>45892</v>
      </c>
      <c r="L232" s="233">
        <v>1.2</v>
      </c>
      <c r="M232" s="234" t="s">
        <v>939</v>
      </c>
      <c r="N232" s="234">
        <v>37840</v>
      </c>
      <c r="O232" s="234">
        <v>15440</v>
      </c>
      <c r="P232" s="242">
        <v>18</v>
      </c>
      <c r="Q232" s="234">
        <v>22400</v>
      </c>
      <c r="R232" s="234">
        <v>18368</v>
      </c>
      <c r="S232" s="234" t="s">
        <v>1258</v>
      </c>
      <c r="T232" s="236">
        <v>45892</v>
      </c>
    </row>
    <row r="233" spans="1:20" ht="38.25" hidden="1" customHeight="1">
      <c r="A233" s="239" t="s">
        <v>1191</v>
      </c>
      <c r="B233" s="240">
        <v>1133</v>
      </c>
      <c r="C233" s="241">
        <v>30501</v>
      </c>
      <c r="D233" s="239" t="s">
        <v>3817</v>
      </c>
      <c r="E233" s="239" t="s">
        <v>369</v>
      </c>
      <c r="F233" s="239" t="s">
        <v>370</v>
      </c>
      <c r="G233" s="239" t="s">
        <v>939</v>
      </c>
      <c r="H233" s="239" t="s">
        <v>974</v>
      </c>
      <c r="I233" s="239" t="s">
        <v>399</v>
      </c>
      <c r="J233" s="233"/>
      <c r="K233" s="235">
        <v>45892</v>
      </c>
      <c r="L233" s="233">
        <v>1.2</v>
      </c>
      <c r="M233" s="234" t="s">
        <v>939</v>
      </c>
      <c r="N233" s="234">
        <v>38290</v>
      </c>
      <c r="O233" s="234">
        <v>15070</v>
      </c>
      <c r="P233" s="242">
        <v>20</v>
      </c>
      <c r="Q233" s="234">
        <v>23220</v>
      </c>
      <c r="R233" s="234">
        <v>18576</v>
      </c>
      <c r="S233" s="234" t="s">
        <v>1260</v>
      </c>
      <c r="T233" s="236">
        <v>45892</v>
      </c>
    </row>
    <row r="234" spans="1:20" ht="38.25" hidden="1" customHeight="1">
      <c r="A234" s="239" t="s">
        <v>1192</v>
      </c>
      <c r="B234" s="240">
        <v>1134</v>
      </c>
      <c r="C234" s="241">
        <v>30503</v>
      </c>
      <c r="D234" s="239" t="s">
        <v>3817</v>
      </c>
      <c r="E234" s="239" t="s">
        <v>413</v>
      </c>
      <c r="F234" s="239" t="s">
        <v>414</v>
      </c>
      <c r="G234" s="239" t="s">
        <v>939</v>
      </c>
      <c r="H234" s="239" t="s">
        <v>974</v>
      </c>
      <c r="I234" s="239" t="s">
        <v>399</v>
      </c>
      <c r="J234" s="233"/>
      <c r="K234" s="235">
        <v>45892</v>
      </c>
      <c r="L234" s="233">
        <v>1.5</v>
      </c>
      <c r="M234" s="234" t="s">
        <v>939</v>
      </c>
      <c r="N234" s="234">
        <v>43070</v>
      </c>
      <c r="O234" s="234">
        <v>14990</v>
      </c>
      <c r="P234" s="242">
        <v>19</v>
      </c>
      <c r="Q234" s="234">
        <v>28080</v>
      </c>
      <c r="R234" s="234">
        <v>22744.799999999999</v>
      </c>
      <c r="S234" s="234" t="s">
        <v>1261</v>
      </c>
      <c r="T234" s="236">
        <v>45893</v>
      </c>
    </row>
    <row r="235" spans="1:20" ht="38.25" hidden="1" customHeight="1">
      <c r="A235" s="239" t="s">
        <v>1193</v>
      </c>
      <c r="B235" s="240">
        <v>1135</v>
      </c>
      <c r="C235" s="241">
        <v>30505</v>
      </c>
      <c r="D235" s="239" t="s">
        <v>3817</v>
      </c>
      <c r="E235" s="239" t="s">
        <v>432</v>
      </c>
      <c r="F235" s="239" t="s">
        <v>433</v>
      </c>
      <c r="G235" s="239" t="s">
        <v>939</v>
      </c>
      <c r="H235" s="239" t="s">
        <v>974</v>
      </c>
      <c r="I235" s="239" t="s">
        <v>399</v>
      </c>
      <c r="J235" s="233"/>
      <c r="K235" s="235">
        <v>45892</v>
      </c>
      <c r="L235" s="233">
        <v>1.4</v>
      </c>
      <c r="M235" s="234" t="s">
        <v>939</v>
      </c>
      <c r="N235" s="234">
        <v>42130</v>
      </c>
      <c r="O235" s="234">
        <v>15620</v>
      </c>
      <c r="P235" s="242">
        <v>18</v>
      </c>
      <c r="Q235" s="234">
        <v>26510</v>
      </c>
      <c r="R235" s="234">
        <v>21738.2</v>
      </c>
      <c r="S235" s="234" t="s">
        <v>1262</v>
      </c>
      <c r="T235" s="236">
        <v>45893</v>
      </c>
    </row>
    <row r="236" spans="1:20" ht="38.25" hidden="1" customHeight="1">
      <c r="A236" s="239" t="s">
        <v>1194</v>
      </c>
      <c r="B236" s="240">
        <v>1136</v>
      </c>
      <c r="C236" s="241">
        <v>30507</v>
      </c>
      <c r="D236" s="239" t="s">
        <v>3817</v>
      </c>
      <c r="E236" s="239" t="s">
        <v>439</v>
      </c>
      <c r="F236" s="239" t="s">
        <v>440</v>
      </c>
      <c r="G236" s="239" t="s">
        <v>939</v>
      </c>
      <c r="H236" s="239" t="s">
        <v>974</v>
      </c>
      <c r="I236" s="239" t="s">
        <v>399</v>
      </c>
      <c r="J236" s="233"/>
      <c r="K236" s="235">
        <v>45892</v>
      </c>
      <c r="L236" s="233">
        <v>1.4</v>
      </c>
      <c r="M236" s="234" t="s">
        <v>939</v>
      </c>
      <c r="N236" s="234">
        <v>41410</v>
      </c>
      <c r="O236" s="234">
        <v>14950</v>
      </c>
      <c r="P236" s="242">
        <v>18</v>
      </c>
      <c r="Q236" s="234">
        <v>26460</v>
      </c>
      <c r="R236" s="234">
        <v>21697.200000000001</v>
      </c>
      <c r="S236" s="234" t="s">
        <v>1263</v>
      </c>
      <c r="T236" s="236">
        <v>45893</v>
      </c>
    </row>
    <row r="237" spans="1:20" ht="38.25" hidden="1" customHeight="1">
      <c r="A237" s="239" t="s">
        <v>1195</v>
      </c>
      <c r="B237" s="240">
        <v>1137</v>
      </c>
      <c r="C237" s="241">
        <v>30511</v>
      </c>
      <c r="D237" s="239" t="s">
        <v>3817</v>
      </c>
      <c r="E237" s="239" t="s">
        <v>786</v>
      </c>
      <c r="F237" s="239" t="s">
        <v>787</v>
      </c>
      <c r="G237" s="239" t="s">
        <v>939</v>
      </c>
      <c r="H237" s="239" t="s">
        <v>974</v>
      </c>
      <c r="I237" s="239" t="s">
        <v>399</v>
      </c>
      <c r="J237" s="233"/>
      <c r="K237" s="235">
        <v>45892</v>
      </c>
      <c r="L237" s="233">
        <v>1.1000000000000001</v>
      </c>
      <c r="M237" s="234" t="s">
        <v>939</v>
      </c>
      <c r="N237" s="234">
        <v>34530</v>
      </c>
      <c r="O237" s="234">
        <v>13970</v>
      </c>
      <c r="P237" s="242">
        <v>16</v>
      </c>
      <c r="Q237" s="234">
        <v>20560</v>
      </c>
      <c r="R237" s="234">
        <v>17270.400000000001</v>
      </c>
      <c r="S237" s="234" t="s">
        <v>1264</v>
      </c>
      <c r="T237" s="236">
        <v>45893</v>
      </c>
    </row>
    <row r="238" spans="1:20" ht="38.25" hidden="1" customHeight="1">
      <c r="A238" s="239" t="s">
        <v>1196</v>
      </c>
      <c r="B238" s="240">
        <v>1138</v>
      </c>
      <c r="C238" s="241">
        <v>30509</v>
      </c>
      <c r="D238" s="239" t="s">
        <v>3817</v>
      </c>
      <c r="E238" s="239" t="s">
        <v>374</v>
      </c>
      <c r="F238" s="239" t="s">
        <v>375</v>
      </c>
      <c r="G238" s="239" t="s">
        <v>939</v>
      </c>
      <c r="H238" s="239" t="s">
        <v>974</v>
      </c>
      <c r="I238" s="239" t="s">
        <v>399</v>
      </c>
      <c r="J238" s="233"/>
      <c r="K238" s="235">
        <v>45892</v>
      </c>
      <c r="L238" s="233">
        <v>1.2</v>
      </c>
      <c r="M238" s="234" t="s">
        <v>939</v>
      </c>
      <c r="N238" s="234">
        <v>38160</v>
      </c>
      <c r="O238" s="234">
        <v>15620</v>
      </c>
      <c r="P238" s="242">
        <v>49</v>
      </c>
      <c r="Q238" s="234">
        <v>22540</v>
      </c>
      <c r="R238" s="234">
        <v>11495.4</v>
      </c>
      <c r="S238" s="234" t="s">
        <v>1265</v>
      </c>
      <c r="T238" s="236">
        <v>45893</v>
      </c>
    </row>
    <row r="239" spans="1:20" ht="38.25" hidden="1" customHeight="1">
      <c r="A239" s="239" t="s">
        <v>1197</v>
      </c>
      <c r="B239" s="240">
        <v>1139</v>
      </c>
      <c r="C239" s="241">
        <v>30515</v>
      </c>
      <c r="D239" s="239" t="s">
        <v>3817</v>
      </c>
      <c r="E239" s="239" t="s">
        <v>783</v>
      </c>
      <c r="F239" s="239" t="s">
        <v>784</v>
      </c>
      <c r="G239" s="239" t="s">
        <v>939</v>
      </c>
      <c r="H239" s="239" t="s">
        <v>974</v>
      </c>
      <c r="I239" s="239" t="s">
        <v>399</v>
      </c>
      <c r="J239" s="233"/>
      <c r="K239" s="235">
        <v>45892</v>
      </c>
      <c r="L239" s="233">
        <v>1.4</v>
      </c>
      <c r="M239" s="234" t="s">
        <v>939</v>
      </c>
      <c r="N239" s="234">
        <v>40750</v>
      </c>
      <c r="O239" s="234">
        <v>14690</v>
      </c>
      <c r="P239" s="242">
        <v>26</v>
      </c>
      <c r="Q239" s="234">
        <v>26060</v>
      </c>
      <c r="R239" s="234">
        <v>19284.400000000001</v>
      </c>
      <c r="S239" s="234" t="s">
        <v>1266</v>
      </c>
      <c r="T239" s="236">
        <v>45893</v>
      </c>
    </row>
    <row r="240" spans="1:20" ht="38.25" hidden="1" customHeight="1">
      <c r="A240" s="239" t="s">
        <v>1198</v>
      </c>
      <c r="B240" s="240">
        <v>1140</v>
      </c>
      <c r="C240" s="241">
        <v>30517</v>
      </c>
      <c r="D240" s="239" t="s">
        <v>3817</v>
      </c>
      <c r="E240" s="239" t="s">
        <v>791</v>
      </c>
      <c r="F240" s="239" t="s">
        <v>792</v>
      </c>
      <c r="G240" s="239" t="s">
        <v>939</v>
      </c>
      <c r="H240" s="239" t="s">
        <v>974</v>
      </c>
      <c r="I240" s="239" t="s">
        <v>399</v>
      </c>
      <c r="J240" s="233"/>
      <c r="K240" s="235">
        <v>45892</v>
      </c>
      <c r="L240" s="233">
        <v>1.3</v>
      </c>
      <c r="M240" s="234" t="s">
        <v>939</v>
      </c>
      <c r="N240" s="234">
        <v>38680</v>
      </c>
      <c r="O240" s="234">
        <v>15030</v>
      </c>
      <c r="P240" s="242">
        <v>27</v>
      </c>
      <c r="Q240" s="234">
        <v>23650</v>
      </c>
      <c r="R240" s="234">
        <v>17264.5</v>
      </c>
      <c r="S240" s="234" t="s">
        <v>1267</v>
      </c>
      <c r="T240" s="236">
        <v>45893</v>
      </c>
    </row>
    <row r="241" spans="1:20" ht="38.25" hidden="1" customHeight="1">
      <c r="A241" s="239" t="s">
        <v>1199</v>
      </c>
      <c r="B241" s="240">
        <v>1141</v>
      </c>
      <c r="C241" s="241">
        <v>30513</v>
      </c>
      <c r="D241" s="239" t="s">
        <v>3817</v>
      </c>
      <c r="E241" s="239" t="s">
        <v>447</v>
      </c>
      <c r="F241" s="239" t="s">
        <v>448</v>
      </c>
      <c r="G241" s="239" t="s">
        <v>939</v>
      </c>
      <c r="H241" s="239" t="s">
        <v>974</v>
      </c>
      <c r="I241" s="239" t="s">
        <v>399</v>
      </c>
      <c r="J241" s="233"/>
      <c r="K241" s="235">
        <v>45892</v>
      </c>
      <c r="L241" s="233">
        <v>1.3</v>
      </c>
      <c r="M241" s="234" t="s">
        <v>939</v>
      </c>
      <c r="N241" s="234">
        <v>46570</v>
      </c>
      <c r="O241" s="234">
        <v>19430</v>
      </c>
      <c r="P241" s="242">
        <v>32</v>
      </c>
      <c r="Q241" s="234">
        <v>27140</v>
      </c>
      <c r="R241" s="234">
        <v>18455.2</v>
      </c>
      <c r="S241" s="234" t="s">
        <v>1268</v>
      </c>
      <c r="T241" s="236">
        <v>45893</v>
      </c>
    </row>
    <row r="242" spans="1:20" ht="38.25" hidden="1" customHeight="1">
      <c r="A242" s="239" t="s">
        <v>1205</v>
      </c>
      <c r="B242" s="240">
        <v>1153</v>
      </c>
      <c r="C242" s="241">
        <v>58126</v>
      </c>
      <c r="D242" s="239" t="s">
        <v>3818</v>
      </c>
      <c r="E242" s="239" t="s">
        <v>841</v>
      </c>
      <c r="F242" s="239" t="s">
        <v>845</v>
      </c>
      <c r="G242" s="239" t="s">
        <v>964</v>
      </c>
      <c r="H242" s="239" t="s">
        <v>48</v>
      </c>
      <c r="I242" s="239" t="s">
        <v>399</v>
      </c>
      <c r="J242" s="233"/>
      <c r="K242" s="235">
        <v>45893</v>
      </c>
      <c r="L242" s="233">
        <v>1.5</v>
      </c>
      <c r="M242" s="234" t="s">
        <v>964</v>
      </c>
      <c r="N242" s="234">
        <v>42180</v>
      </c>
      <c r="O242" s="234">
        <v>15890</v>
      </c>
      <c r="P242" s="242">
        <v>13</v>
      </c>
      <c r="Q242" s="234">
        <v>26290</v>
      </c>
      <c r="R242" s="234">
        <v>22872.3</v>
      </c>
      <c r="S242" s="234" t="s">
        <v>1272</v>
      </c>
      <c r="T242" s="236">
        <v>45893</v>
      </c>
    </row>
    <row r="243" spans="1:20" ht="38.25" hidden="1" customHeight="1">
      <c r="A243" s="239" t="s">
        <v>1206</v>
      </c>
      <c r="B243" s="240">
        <v>1154</v>
      </c>
      <c r="C243" s="241">
        <v>58128</v>
      </c>
      <c r="D243" s="239" t="s">
        <v>3818</v>
      </c>
      <c r="E243" s="239" t="s">
        <v>794</v>
      </c>
      <c r="F243" s="239" t="s">
        <v>795</v>
      </c>
      <c r="G243" s="239" t="s">
        <v>964</v>
      </c>
      <c r="H243" s="239" t="s">
        <v>777</v>
      </c>
      <c r="I243" s="239" t="s">
        <v>399</v>
      </c>
      <c r="J243" s="233"/>
      <c r="K243" s="235">
        <v>45893</v>
      </c>
      <c r="L243" s="233">
        <v>1.5</v>
      </c>
      <c r="M243" s="234" t="s">
        <v>964</v>
      </c>
      <c r="N243" s="234">
        <v>41280</v>
      </c>
      <c r="O243" s="234">
        <v>16080</v>
      </c>
      <c r="P243" s="242">
        <v>14</v>
      </c>
      <c r="Q243" s="234">
        <v>25200</v>
      </c>
      <c r="R243" s="234">
        <v>21672</v>
      </c>
      <c r="S243" s="234" t="s">
        <v>1273</v>
      </c>
      <c r="T243" s="236">
        <v>45893</v>
      </c>
    </row>
    <row r="244" spans="1:20" ht="38.25" hidden="1" customHeight="1">
      <c r="A244" s="239" t="s">
        <v>1200</v>
      </c>
      <c r="B244" s="240">
        <v>1155</v>
      </c>
      <c r="C244" s="241">
        <v>58106</v>
      </c>
      <c r="D244" s="239" t="s">
        <v>3818</v>
      </c>
      <c r="E244" s="239" t="s">
        <v>377</v>
      </c>
      <c r="F244" s="239" t="s">
        <v>378</v>
      </c>
      <c r="G244" s="239" t="s">
        <v>965</v>
      </c>
      <c r="H244" s="239" t="s">
        <v>48</v>
      </c>
      <c r="I244" s="239" t="s">
        <v>399</v>
      </c>
      <c r="J244" s="233"/>
      <c r="K244" s="235">
        <v>45893</v>
      </c>
      <c r="L244" s="233">
        <v>1.5</v>
      </c>
      <c r="M244" s="234" t="s">
        <v>965</v>
      </c>
      <c r="N244" s="234">
        <v>41600</v>
      </c>
      <c r="O244" s="234">
        <v>15190</v>
      </c>
      <c r="P244" s="242">
        <v>21</v>
      </c>
      <c r="Q244" s="234">
        <v>26410</v>
      </c>
      <c r="R244" s="234">
        <v>20863.900000000001</v>
      </c>
      <c r="S244" s="234" t="s">
        <v>1269</v>
      </c>
      <c r="T244" s="236">
        <v>45893</v>
      </c>
    </row>
    <row r="245" spans="1:20" ht="38.25" hidden="1" customHeight="1">
      <c r="A245" s="239" t="s">
        <v>1201</v>
      </c>
      <c r="B245" s="240">
        <v>1156</v>
      </c>
      <c r="C245" s="241">
        <v>58110</v>
      </c>
      <c r="D245" s="239" t="s">
        <v>3818</v>
      </c>
      <c r="E245" s="239" t="s">
        <v>416</v>
      </c>
      <c r="F245" s="239" t="s">
        <v>417</v>
      </c>
      <c r="G245" s="239" t="s">
        <v>965</v>
      </c>
      <c r="H245" s="239" t="s">
        <v>48</v>
      </c>
      <c r="I245" s="239" t="s">
        <v>399</v>
      </c>
      <c r="J245" s="233"/>
      <c r="K245" s="235">
        <v>45893</v>
      </c>
      <c r="L245" s="233">
        <v>1.3</v>
      </c>
      <c r="M245" s="234" t="s">
        <v>965</v>
      </c>
      <c r="N245" s="234">
        <v>38150</v>
      </c>
      <c r="O245" s="234">
        <v>14700</v>
      </c>
      <c r="P245" s="242">
        <v>16</v>
      </c>
      <c r="Q245" s="234">
        <v>23450</v>
      </c>
      <c r="R245" s="234">
        <v>19698</v>
      </c>
      <c r="S245" s="234" t="s">
        <v>1270</v>
      </c>
      <c r="T245" s="236">
        <v>45893</v>
      </c>
    </row>
    <row r="246" spans="1:20" ht="38.25" hidden="1" customHeight="1">
      <c r="A246" s="239" t="s">
        <v>1202</v>
      </c>
      <c r="B246" s="240">
        <v>1157</v>
      </c>
      <c r="C246" s="241">
        <v>58108</v>
      </c>
      <c r="D246" s="239" t="s">
        <v>3818</v>
      </c>
      <c r="E246" s="239" t="s">
        <v>420</v>
      </c>
      <c r="F246" s="239" t="s">
        <v>421</v>
      </c>
      <c r="G246" s="239" t="s">
        <v>965</v>
      </c>
      <c r="H246" s="239" t="s">
        <v>48</v>
      </c>
      <c r="I246" s="239" t="s">
        <v>399</v>
      </c>
      <c r="J246" s="233"/>
      <c r="K246" s="235">
        <v>45893</v>
      </c>
      <c r="L246" s="233">
        <v>1.3</v>
      </c>
      <c r="M246" s="234" t="s">
        <v>965</v>
      </c>
      <c r="N246" s="234">
        <v>37570</v>
      </c>
      <c r="O246" s="234">
        <v>14870</v>
      </c>
      <c r="P246" s="242">
        <v>18</v>
      </c>
      <c r="Q246" s="234">
        <v>22700</v>
      </c>
      <c r="R246" s="234">
        <v>18614</v>
      </c>
      <c r="S246" s="234" t="s">
        <v>1271</v>
      </c>
      <c r="T246" s="236">
        <v>45893</v>
      </c>
    </row>
    <row r="247" spans="1:20" ht="38.25" hidden="1" customHeight="1">
      <c r="A247" s="239" t="s">
        <v>1203</v>
      </c>
      <c r="B247" s="240">
        <v>1158</v>
      </c>
      <c r="C247" s="241">
        <v>58112</v>
      </c>
      <c r="D247" s="239" t="s">
        <v>3818</v>
      </c>
      <c r="E247" s="239" t="s">
        <v>453</v>
      </c>
      <c r="F247" s="239" t="s">
        <v>454</v>
      </c>
      <c r="G247" s="239" t="s">
        <v>965</v>
      </c>
      <c r="H247" s="239" t="s">
        <v>48</v>
      </c>
      <c r="I247" s="239" t="s">
        <v>399</v>
      </c>
      <c r="J247" s="233"/>
      <c r="K247" s="235">
        <v>45893</v>
      </c>
      <c r="L247" s="233">
        <v>1.3</v>
      </c>
      <c r="M247" s="234" t="s">
        <v>965</v>
      </c>
      <c r="N247" s="234">
        <v>46580</v>
      </c>
      <c r="O247" s="234">
        <v>24100</v>
      </c>
      <c r="P247" s="242">
        <v>26</v>
      </c>
      <c r="Q247" s="234">
        <v>22480</v>
      </c>
      <c r="R247" s="234">
        <v>16635.2</v>
      </c>
      <c r="S247" s="234" t="s">
        <v>1274</v>
      </c>
      <c r="T247" s="236">
        <v>45893</v>
      </c>
    </row>
    <row r="248" spans="1:20" ht="38.25" hidden="1" customHeight="1">
      <c r="A248" s="239" t="s">
        <v>1204</v>
      </c>
      <c r="B248" s="240">
        <v>1159</v>
      </c>
      <c r="C248" s="241">
        <v>58114</v>
      </c>
      <c r="D248" s="239" t="s">
        <v>3818</v>
      </c>
      <c r="E248" s="239" t="s">
        <v>456</v>
      </c>
      <c r="F248" s="239" t="s">
        <v>457</v>
      </c>
      <c r="G248" s="239" t="s">
        <v>965</v>
      </c>
      <c r="H248" s="239" t="s">
        <v>48</v>
      </c>
      <c r="I248" s="239" t="s">
        <v>399</v>
      </c>
      <c r="J248" s="233"/>
      <c r="K248" s="235">
        <v>45893</v>
      </c>
      <c r="L248" s="233">
        <v>1.5</v>
      </c>
      <c r="M248" s="234" t="s">
        <v>965</v>
      </c>
      <c r="N248" s="234">
        <v>42310</v>
      </c>
      <c r="O248" s="234">
        <v>15520</v>
      </c>
      <c r="P248" s="242">
        <v>34</v>
      </c>
      <c r="Q248" s="234">
        <v>26790</v>
      </c>
      <c r="R248" s="234">
        <v>17681.400000000001</v>
      </c>
      <c r="S248" s="234" t="s">
        <v>1275</v>
      </c>
      <c r="T248" s="236">
        <v>45893</v>
      </c>
    </row>
    <row r="249" spans="1:20" ht="38.25" hidden="1" customHeight="1">
      <c r="A249" s="239" t="s">
        <v>1207</v>
      </c>
      <c r="B249" s="240">
        <v>1160</v>
      </c>
      <c r="C249" s="241">
        <v>58116</v>
      </c>
      <c r="D249" s="239" t="s">
        <v>3818</v>
      </c>
      <c r="E249" s="239" t="s">
        <v>403</v>
      </c>
      <c r="F249" s="239" t="s">
        <v>404</v>
      </c>
      <c r="G249" s="239" t="s">
        <v>965</v>
      </c>
      <c r="H249" s="239" t="s">
        <v>48</v>
      </c>
      <c r="I249" s="239" t="s">
        <v>399</v>
      </c>
      <c r="J249" s="233"/>
      <c r="K249" s="235">
        <v>45893</v>
      </c>
      <c r="L249" s="233">
        <v>1.4</v>
      </c>
      <c r="M249" s="234" t="s">
        <v>965</v>
      </c>
      <c r="N249" s="234">
        <v>38570</v>
      </c>
      <c r="O249" s="234">
        <v>14470</v>
      </c>
      <c r="P249" s="242">
        <v>24</v>
      </c>
      <c r="Q249" s="234">
        <v>24100</v>
      </c>
      <c r="R249" s="234">
        <v>18316</v>
      </c>
      <c r="S249" s="234" t="s">
        <v>1276</v>
      </c>
      <c r="T249" s="236">
        <v>45894</v>
      </c>
    </row>
    <row r="250" spans="1:20" ht="38.25" hidden="1" customHeight="1">
      <c r="A250" s="239" t="s">
        <v>1208</v>
      </c>
      <c r="B250" s="240">
        <v>1161</v>
      </c>
      <c r="C250" s="241">
        <v>58118</v>
      </c>
      <c r="D250" s="239" t="s">
        <v>3818</v>
      </c>
      <c r="E250" s="239" t="s">
        <v>406</v>
      </c>
      <c r="F250" s="239" t="s">
        <v>407</v>
      </c>
      <c r="G250" s="239" t="s">
        <v>965</v>
      </c>
      <c r="H250" s="239" t="s">
        <v>48</v>
      </c>
      <c r="I250" s="239" t="s">
        <v>399</v>
      </c>
      <c r="J250" s="233"/>
      <c r="K250" s="235">
        <v>45893</v>
      </c>
      <c r="L250" s="233">
        <v>1.4</v>
      </c>
      <c r="M250" s="234" t="s">
        <v>965</v>
      </c>
      <c r="N250" s="234">
        <v>39320</v>
      </c>
      <c r="O250" s="234">
        <v>15070</v>
      </c>
      <c r="P250" s="242">
        <v>26</v>
      </c>
      <c r="Q250" s="234">
        <v>24250</v>
      </c>
      <c r="R250" s="234">
        <v>17945</v>
      </c>
      <c r="S250" s="234" t="s">
        <v>1277</v>
      </c>
      <c r="T250" s="236">
        <v>45894</v>
      </c>
    </row>
    <row r="251" spans="1:20" ht="38.25" hidden="1" customHeight="1">
      <c r="A251" s="239" t="s">
        <v>1209</v>
      </c>
      <c r="B251" s="240">
        <v>1162</v>
      </c>
      <c r="C251" s="241">
        <v>58120</v>
      </c>
      <c r="D251" s="239" t="s">
        <v>3818</v>
      </c>
      <c r="E251" s="239" t="s">
        <v>462</v>
      </c>
      <c r="F251" s="239" t="s">
        <v>463</v>
      </c>
      <c r="G251" s="239" t="s">
        <v>965</v>
      </c>
      <c r="H251" s="239" t="s">
        <v>48</v>
      </c>
      <c r="I251" s="239" t="s">
        <v>399</v>
      </c>
      <c r="J251" s="233"/>
      <c r="K251" s="235">
        <v>45893</v>
      </c>
      <c r="L251" s="233">
        <v>1.4</v>
      </c>
      <c r="M251" s="234" t="s">
        <v>965</v>
      </c>
      <c r="N251" s="234">
        <v>40430</v>
      </c>
      <c r="O251" s="234">
        <v>16390</v>
      </c>
      <c r="P251" s="242">
        <v>29</v>
      </c>
      <c r="Q251" s="234">
        <v>24040</v>
      </c>
      <c r="R251" s="234">
        <v>17068.400000000001</v>
      </c>
      <c r="S251" s="234" t="s">
        <v>1278</v>
      </c>
      <c r="T251" s="236">
        <v>45894</v>
      </c>
    </row>
    <row r="252" spans="1:20" ht="38.25" hidden="1" customHeight="1">
      <c r="A252" s="239" t="s">
        <v>1210</v>
      </c>
      <c r="B252" s="240">
        <v>1163</v>
      </c>
      <c r="C252" s="241">
        <v>58122</v>
      </c>
      <c r="D252" s="239" t="s">
        <v>3818</v>
      </c>
      <c r="E252" s="239" t="s">
        <v>472</v>
      </c>
      <c r="F252" s="239" t="s">
        <v>473</v>
      </c>
      <c r="G252" s="239" t="s">
        <v>965</v>
      </c>
      <c r="H252" s="239" t="s">
        <v>48</v>
      </c>
      <c r="I252" s="239" t="s">
        <v>399</v>
      </c>
      <c r="J252" s="233"/>
      <c r="K252" s="235">
        <v>45893</v>
      </c>
      <c r="L252" s="233">
        <v>1.3</v>
      </c>
      <c r="M252" s="234" t="s">
        <v>965</v>
      </c>
      <c r="N252" s="234">
        <v>38750</v>
      </c>
      <c r="O252" s="234">
        <v>16580</v>
      </c>
      <c r="P252" s="242">
        <v>33</v>
      </c>
      <c r="Q252" s="234">
        <v>22170</v>
      </c>
      <c r="R252" s="234">
        <v>14853.9</v>
      </c>
      <c r="S252" s="234" t="s">
        <v>1279</v>
      </c>
      <c r="T252" s="236">
        <v>45894</v>
      </c>
    </row>
    <row r="253" spans="1:20" ht="38.25" hidden="1" customHeight="1">
      <c r="A253" s="239" t="s">
        <v>1211</v>
      </c>
      <c r="B253" s="240">
        <v>1164</v>
      </c>
      <c r="C253" s="241">
        <v>58124</v>
      </c>
      <c r="D253" s="239" t="s">
        <v>3818</v>
      </c>
      <c r="E253" s="239" t="s">
        <v>475</v>
      </c>
      <c r="F253" s="239" t="s">
        <v>476</v>
      </c>
      <c r="G253" s="239" t="s">
        <v>965</v>
      </c>
      <c r="H253" s="239" t="s">
        <v>48</v>
      </c>
      <c r="I253" s="239" t="s">
        <v>399</v>
      </c>
      <c r="J253" s="233"/>
      <c r="K253" s="235">
        <v>45893</v>
      </c>
      <c r="L253" s="233">
        <v>1.3</v>
      </c>
      <c r="M253" s="234" t="s">
        <v>965</v>
      </c>
      <c r="N253" s="234">
        <v>39920</v>
      </c>
      <c r="O253" s="234">
        <v>16380</v>
      </c>
      <c r="P253" s="242">
        <v>36</v>
      </c>
      <c r="Q253" s="234">
        <v>23540</v>
      </c>
      <c r="R253" s="234">
        <v>15065.6</v>
      </c>
      <c r="S253" s="234" t="s">
        <v>1280</v>
      </c>
      <c r="T253" s="236">
        <v>45894</v>
      </c>
    </row>
    <row r="254" spans="1:20" ht="38.25" hidden="1" customHeight="1">
      <c r="A254" s="239" t="s">
        <v>1212</v>
      </c>
      <c r="B254" s="240">
        <v>1165</v>
      </c>
      <c r="C254" s="241">
        <v>58154</v>
      </c>
      <c r="D254" s="239" t="s">
        <v>3818</v>
      </c>
      <c r="E254" s="239" t="s">
        <v>392</v>
      </c>
      <c r="F254" s="239" t="s">
        <v>393</v>
      </c>
      <c r="G254" s="239" t="s">
        <v>965</v>
      </c>
      <c r="H254" s="239" t="s">
        <v>48</v>
      </c>
      <c r="I254" s="239" t="s">
        <v>399</v>
      </c>
      <c r="J254" s="233"/>
      <c r="K254" s="235">
        <v>45893</v>
      </c>
      <c r="L254" s="233">
        <v>1.2</v>
      </c>
      <c r="M254" s="234" t="s">
        <v>965</v>
      </c>
      <c r="N254" s="234">
        <v>45140</v>
      </c>
      <c r="O254" s="234">
        <v>24130</v>
      </c>
      <c r="P254" s="242">
        <v>40</v>
      </c>
      <c r="Q254" s="234">
        <v>21010</v>
      </c>
      <c r="R254" s="234">
        <v>12606</v>
      </c>
      <c r="S254" s="234" t="s">
        <v>1281</v>
      </c>
      <c r="T254" s="236">
        <v>45894</v>
      </c>
    </row>
    <row r="255" spans="1:20" ht="38.25" hidden="1" customHeight="1">
      <c r="A255" s="239" t="s">
        <v>1217</v>
      </c>
      <c r="B255" s="240">
        <v>1174</v>
      </c>
      <c r="C255" s="241">
        <v>58156</v>
      </c>
      <c r="D255" s="239" t="s">
        <v>3818</v>
      </c>
      <c r="E255" s="239" t="s">
        <v>432</v>
      </c>
      <c r="F255" s="239" t="s">
        <v>433</v>
      </c>
      <c r="G255" s="239" t="s">
        <v>965</v>
      </c>
      <c r="H255" s="239" t="s">
        <v>48</v>
      </c>
      <c r="I255" s="239" t="s">
        <v>399</v>
      </c>
      <c r="J255" s="233"/>
      <c r="K255" s="236">
        <v>45894</v>
      </c>
      <c r="L255" s="233">
        <v>1</v>
      </c>
      <c r="M255" s="234" t="s">
        <v>965</v>
      </c>
      <c r="N255" s="234">
        <v>35480</v>
      </c>
      <c r="O255" s="234">
        <v>15610</v>
      </c>
      <c r="P255" s="242">
        <v>20</v>
      </c>
      <c r="Q255" s="234">
        <v>19870</v>
      </c>
      <c r="R255" s="234">
        <v>15896</v>
      </c>
      <c r="S255" s="234" t="s">
        <v>1282</v>
      </c>
      <c r="T255" s="236">
        <v>45894</v>
      </c>
    </row>
    <row r="256" spans="1:20" ht="38.25" hidden="1" customHeight="1">
      <c r="A256" s="239" t="s">
        <v>1218</v>
      </c>
      <c r="B256" s="240">
        <v>1175</v>
      </c>
      <c r="C256" s="241">
        <v>59158</v>
      </c>
      <c r="D256" s="239" t="s">
        <v>3818</v>
      </c>
      <c r="E256" s="239" t="s">
        <v>382</v>
      </c>
      <c r="F256" s="239" t="s">
        <v>383</v>
      </c>
      <c r="G256" s="239" t="s">
        <v>965</v>
      </c>
      <c r="H256" s="239" t="s">
        <v>48</v>
      </c>
      <c r="I256" s="239" t="s">
        <v>399</v>
      </c>
      <c r="J256" s="233"/>
      <c r="K256" s="236">
        <v>45894</v>
      </c>
      <c r="L256" s="233">
        <v>1.1000000000000001</v>
      </c>
      <c r="M256" s="234" t="s">
        <v>965</v>
      </c>
      <c r="N256" s="234">
        <v>36080</v>
      </c>
      <c r="O256" s="234">
        <v>14590</v>
      </c>
      <c r="P256" s="242">
        <v>25</v>
      </c>
      <c r="Q256" s="234">
        <v>21490</v>
      </c>
      <c r="R256" s="234">
        <v>16117.5</v>
      </c>
      <c r="S256" s="234" t="s">
        <v>1283</v>
      </c>
      <c r="T256" s="236">
        <v>45894</v>
      </c>
    </row>
    <row r="257" spans="1:20" ht="38.25" hidden="1" customHeight="1">
      <c r="A257" s="239" t="s">
        <v>1219</v>
      </c>
      <c r="B257" s="240">
        <v>1176</v>
      </c>
      <c r="C257" s="241">
        <v>58162</v>
      </c>
      <c r="D257" s="239" t="s">
        <v>3818</v>
      </c>
      <c r="E257" s="239" t="s">
        <v>429</v>
      </c>
      <c r="F257" s="239" t="s">
        <v>430</v>
      </c>
      <c r="G257" s="239" t="s">
        <v>965</v>
      </c>
      <c r="H257" s="239" t="s">
        <v>48</v>
      </c>
      <c r="I257" s="239" t="s">
        <v>399</v>
      </c>
      <c r="J257" s="233"/>
      <c r="K257" s="236">
        <v>45894</v>
      </c>
      <c r="L257" s="233">
        <v>1.3</v>
      </c>
      <c r="M257" s="234" t="s">
        <v>965</v>
      </c>
      <c r="N257" s="234">
        <v>39500</v>
      </c>
      <c r="O257" s="234">
        <v>14430</v>
      </c>
      <c r="P257" s="242">
        <v>27</v>
      </c>
      <c r="Q257" s="234">
        <v>25070</v>
      </c>
      <c r="R257" s="234">
        <v>18301.099999999999</v>
      </c>
      <c r="S257" s="234" t="s">
        <v>1284</v>
      </c>
      <c r="T257" s="236">
        <v>45894</v>
      </c>
    </row>
    <row r="258" spans="1:20" ht="38.25" hidden="1" customHeight="1">
      <c r="A258" s="239" t="s">
        <v>1220</v>
      </c>
      <c r="B258" s="240">
        <v>1177</v>
      </c>
      <c r="C258" s="241">
        <v>58167</v>
      </c>
      <c r="D258" s="239" t="s">
        <v>3818</v>
      </c>
      <c r="E258" s="239" t="s">
        <v>439</v>
      </c>
      <c r="F258" s="239" t="s">
        <v>440</v>
      </c>
      <c r="G258" s="239" t="s">
        <v>965</v>
      </c>
      <c r="H258" s="239" t="s">
        <v>48</v>
      </c>
      <c r="I258" s="239" t="s">
        <v>399</v>
      </c>
      <c r="J258" s="233"/>
      <c r="K258" s="236">
        <v>45894</v>
      </c>
      <c r="L258" s="233">
        <v>1.3</v>
      </c>
      <c r="M258" s="234" t="s">
        <v>965</v>
      </c>
      <c r="N258" s="234">
        <v>39030</v>
      </c>
      <c r="O258" s="234">
        <v>14970</v>
      </c>
      <c r="P258" s="242">
        <v>26</v>
      </c>
      <c r="Q258" s="234">
        <v>24060</v>
      </c>
      <c r="R258" s="234">
        <v>17804.400000000001</v>
      </c>
      <c r="S258" s="234" t="s">
        <v>1285</v>
      </c>
      <c r="T258" s="236">
        <v>45894</v>
      </c>
    </row>
    <row r="259" spans="1:20" ht="38.25" hidden="1" customHeight="1">
      <c r="A259" s="239" t="s">
        <v>1221</v>
      </c>
      <c r="B259" s="240">
        <v>1178</v>
      </c>
      <c r="C259" s="241">
        <v>58171</v>
      </c>
      <c r="D259" s="239" t="s">
        <v>3818</v>
      </c>
      <c r="E259" s="239" t="s">
        <v>388</v>
      </c>
      <c r="F259" s="239" t="s">
        <v>389</v>
      </c>
      <c r="G259" s="239" t="s">
        <v>965</v>
      </c>
      <c r="H259" s="239" t="s">
        <v>48</v>
      </c>
      <c r="I259" s="239" t="s">
        <v>399</v>
      </c>
      <c r="J259" s="233"/>
      <c r="K259" s="236">
        <v>45894</v>
      </c>
      <c r="L259" s="233">
        <v>1.3</v>
      </c>
      <c r="M259" s="234" t="s">
        <v>965</v>
      </c>
      <c r="N259" s="234">
        <v>46750</v>
      </c>
      <c r="O259" s="234">
        <v>20970</v>
      </c>
      <c r="P259" s="242">
        <v>21</v>
      </c>
      <c r="Q259" s="234">
        <v>25780</v>
      </c>
      <c r="R259" s="234">
        <v>20366.2</v>
      </c>
      <c r="S259" s="234" t="s">
        <v>1286</v>
      </c>
      <c r="T259" s="236">
        <v>45894</v>
      </c>
    </row>
    <row r="260" spans="1:20" ht="38.25" hidden="1" customHeight="1">
      <c r="A260" s="239" t="s">
        <v>1224</v>
      </c>
      <c r="B260" s="240">
        <v>1179</v>
      </c>
      <c r="C260" s="241">
        <v>58180</v>
      </c>
      <c r="D260" s="239" t="s">
        <v>3818</v>
      </c>
      <c r="E260" s="239" t="s">
        <v>791</v>
      </c>
      <c r="F260" s="239" t="s">
        <v>792</v>
      </c>
      <c r="G260" s="239" t="s">
        <v>965</v>
      </c>
      <c r="H260" s="239" t="s">
        <v>48</v>
      </c>
      <c r="I260" s="239" t="s">
        <v>399</v>
      </c>
      <c r="J260" s="233"/>
      <c r="K260" s="236">
        <v>45894</v>
      </c>
      <c r="L260" s="233">
        <v>1.2</v>
      </c>
      <c r="M260" s="234" t="s">
        <v>965</v>
      </c>
      <c r="N260" s="234">
        <v>38020</v>
      </c>
      <c r="O260" s="234">
        <v>15000</v>
      </c>
      <c r="P260" s="242">
        <v>18</v>
      </c>
      <c r="Q260" s="234">
        <v>23020</v>
      </c>
      <c r="R260" s="234">
        <v>18876.400000000001</v>
      </c>
      <c r="S260" s="234" t="s">
        <v>1289</v>
      </c>
      <c r="T260" s="236">
        <v>45895</v>
      </c>
    </row>
    <row r="261" spans="1:20" ht="38.25" hidden="1" customHeight="1">
      <c r="A261" s="239" t="s">
        <v>1225</v>
      </c>
      <c r="B261" s="240">
        <v>1180</v>
      </c>
      <c r="C261" s="241">
        <v>58186</v>
      </c>
      <c r="D261" s="239" t="s">
        <v>3818</v>
      </c>
      <c r="E261" s="239" t="s">
        <v>400</v>
      </c>
      <c r="F261" s="239" t="s">
        <v>401</v>
      </c>
      <c r="G261" s="239" t="s">
        <v>965</v>
      </c>
      <c r="H261" s="239" t="s">
        <v>48</v>
      </c>
      <c r="I261" s="239" t="s">
        <v>399</v>
      </c>
      <c r="J261" s="233"/>
      <c r="K261" s="236">
        <v>45894</v>
      </c>
      <c r="L261" s="233">
        <v>1.1000000000000001</v>
      </c>
      <c r="M261" s="234" t="s">
        <v>965</v>
      </c>
      <c r="N261" s="234">
        <v>35880</v>
      </c>
      <c r="O261" s="234">
        <v>14730</v>
      </c>
      <c r="P261" s="242">
        <v>15</v>
      </c>
      <c r="Q261" s="234">
        <v>21150</v>
      </c>
      <c r="R261" s="234">
        <v>17977.5</v>
      </c>
      <c r="S261" s="234" t="s">
        <v>1290</v>
      </c>
      <c r="T261" s="236">
        <v>45895</v>
      </c>
    </row>
    <row r="262" spans="1:20" ht="38.25" hidden="1" customHeight="1">
      <c r="A262" s="239" t="s">
        <v>1226</v>
      </c>
      <c r="B262" s="240">
        <v>1181</v>
      </c>
      <c r="C262" s="241">
        <v>58188</v>
      </c>
      <c r="D262" s="239" t="s">
        <v>3818</v>
      </c>
      <c r="E262" s="239" t="s">
        <v>783</v>
      </c>
      <c r="F262" s="239" t="s">
        <v>784</v>
      </c>
      <c r="G262" s="239" t="s">
        <v>965</v>
      </c>
      <c r="H262" s="239" t="s">
        <v>48</v>
      </c>
      <c r="I262" s="239" t="s">
        <v>399</v>
      </c>
      <c r="J262" s="233"/>
      <c r="K262" s="236">
        <v>45894</v>
      </c>
      <c r="L262" s="233">
        <v>1.3</v>
      </c>
      <c r="M262" s="234" t="s">
        <v>965</v>
      </c>
      <c r="N262" s="234">
        <v>39250</v>
      </c>
      <c r="O262" s="234">
        <v>14660</v>
      </c>
      <c r="P262" s="242">
        <v>12</v>
      </c>
      <c r="Q262" s="234">
        <v>24590</v>
      </c>
      <c r="R262" s="234">
        <v>21639.200000000001</v>
      </c>
      <c r="S262" s="234" t="s">
        <v>1291</v>
      </c>
      <c r="T262" s="236">
        <v>45895</v>
      </c>
    </row>
    <row r="263" spans="1:20" ht="38.25" hidden="1" customHeight="1">
      <c r="A263" s="239" t="s">
        <v>1222</v>
      </c>
      <c r="B263" s="240">
        <v>1182</v>
      </c>
      <c r="C263" s="241">
        <v>58182</v>
      </c>
      <c r="D263" s="239" t="s">
        <v>3818</v>
      </c>
      <c r="E263" s="239" t="s">
        <v>416</v>
      </c>
      <c r="F263" s="239" t="s">
        <v>417</v>
      </c>
      <c r="G263" s="239" t="s">
        <v>965</v>
      </c>
      <c r="H263" s="239" t="s">
        <v>48</v>
      </c>
      <c r="I263" s="239" t="s">
        <v>399</v>
      </c>
      <c r="J263" s="233"/>
      <c r="K263" s="236">
        <v>45894</v>
      </c>
      <c r="L263" s="233">
        <v>1.2</v>
      </c>
      <c r="M263" s="234" t="s">
        <v>965</v>
      </c>
      <c r="N263" s="234">
        <v>37970</v>
      </c>
      <c r="O263" s="234">
        <v>14700</v>
      </c>
      <c r="P263" s="242">
        <v>12</v>
      </c>
      <c r="Q263" s="234">
        <v>23270</v>
      </c>
      <c r="R263" s="234">
        <v>20477.599999999999</v>
      </c>
      <c r="S263" s="234" t="s">
        <v>1287</v>
      </c>
      <c r="T263" s="236">
        <v>45895</v>
      </c>
    </row>
    <row r="264" spans="1:20" ht="38.25" hidden="1" customHeight="1">
      <c r="A264" s="239" t="s">
        <v>1223</v>
      </c>
      <c r="B264" s="240">
        <v>1183</v>
      </c>
      <c r="C264" s="241">
        <v>58184</v>
      </c>
      <c r="D264" s="239" t="s">
        <v>3818</v>
      </c>
      <c r="E264" s="239" t="s">
        <v>420</v>
      </c>
      <c r="F264" s="239" t="s">
        <v>421</v>
      </c>
      <c r="G264" s="239" t="s">
        <v>965</v>
      </c>
      <c r="H264" s="239" t="s">
        <v>48</v>
      </c>
      <c r="I264" s="239" t="s">
        <v>399</v>
      </c>
      <c r="J264" s="233"/>
      <c r="K264" s="236">
        <v>45894</v>
      </c>
      <c r="L264" s="233">
        <v>1.1000000000000001</v>
      </c>
      <c r="M264" s="234" t="s">
        <v>965</v>
      </c>
      <c r="N264" s="234">
        <v>35660</v>
      </c>
      <c r="O264" s="234">
        <v>14900</v>
      </c>
      <c r="P264" s="242">
        <v>16</v>
      </c>
      <c r="Q264" s="234">
        <v>20760</v>
      </c>
      <c r="R264" s="234">
        <v>17438.400000000001</v>
      </c>
      <c r="S264" s="234" t="s">
        <v>1288</v>
      </c>
      <c r="T264" s="236">
        <v>45895</v>
      </c>
    </row>
    <row r="265" spans="1:20" ht="38.25" hidden="1" customHeight="1">
      <c r="A265" s="239" t="s">
        <v>1293</v>
      </c>
      <c r="B265" s="240">
        <v>1184</v>
      </c>
      <c r="C265" s="241">
        <v>58192</v>
      </c>
      <c r="D265" s="239" t="s">
        <v>3818</v>
      </c>
      <c r="E265" s="239" t="s">
        <v>794</v>
      </c>
      <c r="F265" s="239" t="s">
        <v>795</v>
      </c>
      <c r="G265" s="239" t="s">
        <v>965</v>
      </c>
      <c r="H265" s="239" t="s">
        <v>48</v>
      </c>
      <c r="I265" s="239" t="s">
        <v>399</v>
      </c>
      <c r="J265" s="233"/>
      <c r="K265" s="236">
        <v>45894</v>
      </c>
      <c r="L265" s="233">
        <v>1.3</v>
      </c>
      <c r="M265" s="234" t="s">
        <v>965</v>
      </c>
      <c r="N265" s="234">
        <v>41750</v>
      </c>
      <c r="O265" s="234">
        <v>16150</v>
      </c>
      <c r="P265" s="242">
        <v>13</v>
      </c>
      <c r="Q265" s="234">
        <v>25600</v>
      </c>
      <c r="R265" s="234">
        <v>22272</v>
      </c>
      <c r="S265" s="234" t="s">
        <v>1324</v>
      </c>
      <c r="T265" s="236">
        <v>45895</v>
      </c>
    </row>
    <row r="266" spans="1:20" ht="38.25" hidden="1" customHeight="1">
      <c r="A266" s="239" t="s">
        <v>1294</v>
      </c>
      <c r="B266" s="240">
        <v>1185</v>
      </c>
      <c r="C266" s="241">
        <v>58190</v>
      </c>
      <c r="D266" s="239" t="s">
        <v>3818</v>
      </c>
      <c r="E266" s="239" t="s">
        <v>786</v>
      </c>
      <c r="F266" s="239" t="s">
        <v>787</v>
      </c>
      <c r="G266" s="239" t="s">
        <v>965</v>
      </c>
      <c r="H266" s="239" t="s">
        <v>48</v>
      </c>
      <c r="I266" s="239" t="s">
        <v>399</v>
      </c>
      <c r="J266" s="233"/>
      <c r="K266" s="236">
        <v>45894</v>
      </c>
      <c r="L266" s="233">
        <v>1.1000000000000001</v>
      </c>
      <c r="M266" s="234" t="s">
        <v>965</v>
      </c>
      <c r="N266" s="234">
        <v>35590</v>
      </c>
      <c r="O266" s="234">
        <v>13980</v>
      </c>
      <c r="P266" s="242">
        <v>12</v>
      </c>
      <c r="Q266" s="234">
        <v>21610</v>
      </c>
      <c r="R266" s="234">
        <v>19016.8</v>
      </c>
      <c r="S266" s="234" t="s">
        <v>1325</v>
      </c>
      <c r="T266" s="236">
        <v>45895</v>
      </c>
    </row>
    <row r="267" spans="1:20" ht="38.25" hidden="1" customHeight="1">
      <c r="A267" s="239" t="s">
        <v>1295</v>
      </c>
      <c r="B267" s="240">
        <v>1186</v>
      </c>
      <c r="C267" s="241">
        <v>58194</v>
      </c>
      <c r="D267" s="239" t="s">
        <v>3818</v>
      </c>
      <c r="E267" s="239" t="s">
        <v>841</v>
      </c>
      <c r="F267" s="239" t="s">
        <v>845</v>
      </c>
      <c r="G267" s="239" t="s">
        <v>965</v>
      </c>
      <c r="H267" s="239" t="s">
        <v>48</v>
      </c>
      <c r="I267" s="239" t="s">
        <v>399</v>
      </c>
      <c r="J267" s="233"/>
      <c r="K267" s="236">
        <v>45894</v>
      </c>
      <c r="L267" s="233">
        <v>1.3</v>
      </c>
      <c r="M267" s="234" t="s">
        <v>965</v>
      </c>
      <c r="N267" s="234">
        <v>41240</v>
      </c>
      <c r="O267" s="234">
        <v>15930</v>
      </c>
      <c r="P267" s="242">
        <v>12</v>
      </c>
      <c r="Q267" s="234">
        <v>25310</v>
      </c>
      <c r="R267" s="234">
        <v>22272.799999999999</v>
      </c>
      <c r="S267" s="234" t="s">
        <v>1326</v>
      </c>
      <c r="T267" s="236">
        <v>45895</v>
      </c>
    </row>
    <row r="268" spans="1:20" ht="38.25" hidden="1" customHeight="1">
      <c r="A268" s="239" t="s">
        <v>1296</v>
      </c>
      <c r="B268" s="240">
        <v>1188</v>
      </c>
      <c r="C268" s="241">
        <v>58196</v>
      </c>
      <c r="D268" s="239" t="s">
        <v>3818</v>
      </c>
      <c r="E268" s="239" t="s">
        <v>410</v>
      </c>
      <c r="F268" s="239" t="s">
        <v>411</v>
      </c>
      <c r="G268" s="239" t="s">
        <v>965</v>
      </c>
      <c r="H268" s="239" t="s">
        <v>48</v>
      </c>
      <c r="I268" s="239" t="s">
        <v>399</v>
      </c>
      <c r="J268" s="233"/>
      <c r="K268" s="236">
        <v>45894</v>
      </c>
      <c r="L268" s="233">
        <v>1.2</v>
      </c>
      <c r="M268" s="234" t="s">
        <v>965</v>
      </c>
      <c r="N268" s="234">
        <v>37590</v>
      </c>
      <c r="O268" s="234">
        <v>14940</v>
      </c>
      <c r="P268" s="242">
        <v>16</v>
      </c>
      <c r="Q268" s="234">
        <v>22650</v>
      </c>
      <c r="R268" s="234">
        <v>19026</v>
      </c>
      <c r="S268" s="234" t="s">
        <v>1327</v>
      </c>
      <c r="T268" s="236">
        <v>45895</v>
      </c>
    </row>
    <row r="269" spans="1:20" ht="38.25" hidden="1" customHeight="1">
      <c r="A269" s="239" t="s">
        <v>1297</v>
      </c>
      <c r="B269" s="240">
        <v>1190</v>
      </c>
      <c r="C269" s="241">
        <v>58208</v>
      </c>
      <c r="D269" s="239" t="s">
        <v>3818</v>
      </c>
      <c r="E269" s="239" t="s">
        <v>780</v>
      </c>
      <c r="F269" s="239" t="s">
        <v>781</v>
      </c>
      <c r="G269" s="239" t="s">
        <v>965</v>
      </c>
      <c r="H269" s="239" t="s">
        <v>48</v>
      </c>
      <c r="I269" s="239" t="s">
        <v>399</v>
      </c>
      <c r="J269" s="233"/>
      <c r="K269" s="236">
        <v>45894</v>
      </c>
      <c r="L269" s="233">
        <v>1.1000000000000001</v>
      </c>
      <c r="M269" s="234" t="s">
        <v>965</v>
      </c>
      <c r="N269" s="234">
        <v>36240</v>
      </c>
      <c r="O269" s="234">
        <v>14830</v>
      </c>
      <c r="P269" s="242">
        <v>5</v>
      </c>
      <c r="Q269" s="234">
        <v>21410</v>
      </c>
      <c r="R269" s="234">
        <v>20339.5</v>
      </c>
      <c r="S269" s="234" t="s">
        <v>1328</v>
      </c>
      <c r="T269" s="236">
        <v>45895</v>
      </c>
    </row>
    <row r="270" spans="1:20" ht="38.25" hidden="1" customHeight="1">
      <c r="A270" s="239" t="s">
        <v>1298</v>
      </c>
      <c r="B270" s="240">
        <v>1191</v>
      </c>
      <c r="C270" s="241">
        <v>58210</v>
      </c>
      <c r="D270" s="239" t="s">
        <v>3818</v>
      </c>
      <c r="E270" s="239" t="s">
        <v>442</v>
      </c>
      <c r="F270" s="239" t="s">
        <v>443</v>
      </c>
      <c r="G270" s="239" t="s">
        <v>965</v>
      </c>
      <c r="H270" s="239" t="s">
        <v>48</v>
      </c>
      <c r="I270" s="239" t="s">
        <v>399</v>
      </c>
      <c r="J270" s="233"/>
      <c r="K270" s="236">
        <v>45894</v>
      </c>
      <c r="L270" s="233">
        <v>1.1000000000000001</v>
      </c>
      <c r="M270" s="234" t="s">
        <v>965</v>
      </c>
      <c r="N270" s="234">
        <v>34770</v>
      </c>
      <c r="O270" s="234">
        <v>14480</v>
      </c>
      <c r="P270" s="242">
        <v>6</v>
      </c>
      <c r="Q270" s="234">
        <v>20290</v>
      </c>
      <c r="R270" s="234">
        <v>19072.599999999999</v>
      </c>
      <c r="S270" s="234" t="s">
        <v>1329</v>
      </c>
      <c r="T270" s="236">
        <v>45895</v>
      </c>
    </row>
    <row r="271" spans="1:20" ht="38.25" hidden="1" customHeight="1">
      <c r="A271" s="239" t="s">
        <v>1299</v>
      </c>
      <c r="B271" s="240">
        <v>1192</v>
      </c>
      <c r="C271" s="241">
        <v>58213</v>
      </c>
      <c r="D271" s="239" t="s">
        <v>3818</v>
      </c>
      <c r="E271" s="239" t="s">
        <v>377</v>
      </c>
      <c r="F271" s="239" t="s">
        <v>378</v>
      </c>
      <c r="G271" s="239" t="s">
        <v>965</v>
      </c>
      <c r="H271" s="239" t="s">
        <v>48</v>
      </c>
      <c r="I271" s="239" t="s">
        <v>399</v>
      </c>
      <c r="J271" s="233"/>
      <c r="K271" s="236">
        <v>45894</v>
      </c>
      <c r="L271" s="233">
        <v>1.4</v>
      </c>
      <c r="M271" s="234" t="s">
        <v>965</v>
      </c>
      <c r="N271" s="234">
        <v>41230</v>
      </c>
      <c r="O271" s="234">
        <v>15190</v>
      </c>
      <c r="P271" s="242">
        <v>5</v>
      </c>
      <c r="Q271" s="234">
        <v>26040</v>
      </c>
      <c r="R271" s="234">
        <v>24738</v>
      </c>
      <c r="S271" s="234" t="s">
        <v>1330</v>
      </c>
      <c r="T271" s="236">
        <v>45895</v>
      </c>
    </row>
    <row r="272" spans="1:20" ht="38.25" hidden="1" customHeight="1">
      <c r="A272" s="239" t="s">
        <v>1300</v>
      </c>
      <c r="B272" s="240">
        <v>1193</v>
      </c>
      <c r="C272" s="241">
        <v>58217</v>
      </c>
      <c r="D272" s="239" t="s">
        <v>3818</v>
      </c>
      <c r="E272" s="239" t="s">
        <v>392</v>
      </c>
      <c r="F272" s="239" t="s">
        <v>393</v>
      </c>
      <c r="G272" s="239" t="s">
        <v>965</v>
      </c>
      <c r="H272" s="239" t="s">
        <v>48</v>
      </c>
      <c r="I272" s="239" t="s">
        <v>399</v>
      </c>
      <c r="J272" s="233"/>
      <c r="K272" s="236">
        <v>45894</v>
      </c>
      <c r="L272" s="233">
        <v>1.1000000000000001</v>
      </c>
      <c r="M272" s="234" t="s">
        <v>965</v>
      </c>
      <c r="N272" s="234">
        <v>45590</v>
      </c>
      <c r="O272" s="234">
        <v>24080</v>
      </c>
      <c r="P272" s="242">
        <v>6</v>
      </c>
      <c r="Q272" s="234">
        <v>21510</v>
      </c>
      <c r="R272" s="234">
        <v>20219.400000000001</v>
      </c>
      <c r="S272" s="234" t="s">
        <v>1331</v>
      </c>
      <c r="T272" s="236">
        <v>45895</v>
      </c>
    </row>
    <row r="273" spans="1:20" ht="38.25" hidden="1" customHeight="1">
      <c r="A273" s="239" t="s">
        <v>1301</v>
      </c>
      <c r="B273" s="240">
        <v>1194</v>
      </c>
      <c r="C273" s="241">
        <v>58215</v>
      </c>
      <c r="D273" s="239" t="s">
        <v>3818</v>
      </c>
      <c r="E273" s="239" t="s">
        <v>384</v>
      </c>
      <c r="F273" s="239" t="s">
        <v>385</v>
      </c>
      <c r="G273" s="239" t="s">
        <v>965</v>
      </c>
      <c r="H273" s="239" t="s">
        <v>48</v>
      </c>
      <c r="I273" s="239" t="s">
        <v>399</v>
      </c>
      <c r="J273" s="233"/>
      <c r="K273" s="236">
        <v>45894</v>
      </c>
      <c r="L273" s="233">
        <v>1.2</v>
      </c>
      <c r="M273" s="234" t="s">
        <v>965</v>
      </c>
      <c r="N273" s="234">
        <v>36300</v>
      </c>
      <c r="O273" s="234">
        <v>13930</v>
      </c>
      <c r="P273" s="242">
        <v>5</v>
      </c>
      <c r="Q273" s="234">
        <v>22370</v>
      </c>
      <c r="R273" s="234">
        <v>21251.5</v>
      </c>
      <c r="S273" s="234" t="s">
        <v>1332</v>
      </c>
      <c r="T273" s="236">
        <v>45895</v>
      </c>
    </row>
    <row r="274" spans="1:20" ht="38.25" hidden="1" customHeight="1">
      <c r="A274" s="239" t="s">
        <v>1302</v>
      </c>
      <c r="B274" s="240">
        <v>1195</v>
      </c>
      <c r="C274" s="241">
        <v>58219</v>
      </c>
      <c r="D274" s="239" t="s">
        <v>3818</v>
      </c>
      <c r="E274" s="239" t="s">
        <v>447</v>
      </c>
      <c r="F274" s="239" t="s">
        <v>448</v>
      </c>
      <c r="G274" s="239" t="s">
        <v>965</v>
      </c>
      <c r="H274" s="239" t="s">
        <v>48</v>
      </c>
      <c r="I274" s="239" t="s">
        <v>399</v>
      </c>
      <c r="J274" s="233"/>
      <c r="K274" s="236">
        <v>45894</v>
      </c>
      <c r="L274" s="233">
        <v>1.3</v>
      </c>
      <c r="M274" s="234" t="s">
        <v>965</v>
      </c>
      <c r="N274" s="234">
        <v>44000</v>
      </c>
      <c r="O274" s="234">
        <v>19360</v>
      </c>
      <c r="P274" s="242">
        <v>7</v>
      </c>
      <c r="Q274" s="234">
        <v>24640</v>
      </c>
      <c r="R274" s="234">
        <v>22915.200000000001</v>
      </c>
      <c r="S274" s="234" t="s">
        <v>1333</v>
      </c>
      <c r="T274" s="236">
        <v>45895</v>
      </c>
    </row>
    <row r="275" spans="1:20" ht="63.75" hidden="1">
      <c r="A275" s="239" t="s">
        <v>1303</v>
      </c>
      <c r="B275" s="240">
        <v>1196</v>
      </c>
      <c r="C275" s="241">
        <v>58221</v>
      </c>
      <c r="D275" s="239" t="s">
        <v>3818</v>
      </c>
      <c r="E275" s="239" t="s">
        <v>866</v>
      </c>
      <c r="F275" s="239" t="s">
        <v>867</v>
      </c>
      <c r="G275" s="239" t="s">
        <v>965</v>
      </c>
      <c r="H275" s="239" t="s">
        <v>48</v>
      </c>
      <c r="I275" s="239" t="s">
        <v>399</v>
      </c>
      <c r="J275" s="233"/>
      <c r="K275" s="236">
        <v>45895</v>
      </c>
      <c r="L275" s="233">
        <v>1.1000000000000001</v>
      </c>
      <c r="M275" s="234" t="s">
        <v>965</v>
      </c>
      <c r="N275" s="234">
        <v>37250</v>
      </c>
      <c r="O275" s="234">
        <v>14460</v>
      </c>
      <c r="P275" s="242">
        <v>12</v>
      </c>
      <c r="Q275" s="234">
        <v>22790</v>
      </c>
      <c r="R275" s="234">
        <v>20055.2</v>
      </c>
      <c r="S275" s="234" t="s">
        <v>1334</v>
      </c>
      <c r="T275" s="236">
        <v>45895</v>
      </c>
    </row>
    <row r="276" spans="1:20" ht="63.75" hidden="1">
      <c r="A276" s="239" t="s">
        <v>1304</v>
      </c>
      <c r="B276" s="240">
        <v>1199</v>
      </c>
      <c r="C276" s="241">
        <v>58229</v>
      </c>
      <c r="D276" s="239" t="s">
        <v>3818</v>
      </c>
      <c r="E276" s="239" t="s">
        <v>1305</v>
      </c>
      <c r="F276" s="239" t="s">
        <v>1306</v>
      </c>
      <c r="G276" s="239" t="s">
        <v>965</v>
      </c>
      <c r="H276" s="239" t="s">
        <v>48</v>
      </c>
      <c r="I276" s="239" t="s">
        <v>399</v>
      </c>
      <c r="J276" s="233"/>
      <c r="K276" s="236">
        <v>45895</v>
      </c>
      <c r="L276" s="233">
        <v>1.1000000000000001</v>
      </c>
      <c r="M276" s="234" t="s">
        <v>965</v>
      </c>
      <c r="N276" s="234">
        <v>37210</v>
      </c>
      <c r="O276" s="234">
        <v>14650</v>
      </c>
      <c r="P276" s="242">
        <v>9</v>
      </c>
      <c r="Q276" s="234">
        <v>22560</v>
      </c>
      <c r="R276" s="234">
        <v>20529.599999999999</v>
      </c>
      <c r="S276" s="234" t="s">
        <v>1335</v>
      </c>
      <c r="T276" s="236">
        <v>45895</v>
      </c>
    </row>
    <row r="277" spans="1:20" ht="63.75" hidden="1">
      <c r="A277" s="239" t="s">
        <v>1307</v>
      </c>
      <c r="B277" s="240">
        <v>1200</v>
      </c>
      <c r="C277" s="241">
        <v>58223</v>
      </c>
      <c r="D277" s="239" t="s">
        <v>3818</v>
      </c>
      <c r="E277" s="239" t="s">
        <v>369</v>
      </c>
      <c r="F277" s="239" t="s">
        <v>370</v>
      </c>
      <c r="G277" s="239" t="s">
        <v>965</v>
      </c>
      <c r="H277" s="239" t="s">
        <v>48</v>
      </c>
      <c r="I277" s="239" t="s">
        <v>399</v>
      </c>
      <c r="J277" s="233"/>
      <c r="K277" s="236">
        <v>45895</v>
      </c>
      <c r="L277" s="233">
        <v>1.2</v>
      </c>
      <c r="M277" s="234" t="s">
        <v>965</v>
      </c>
      <c r="N277" s="234">
        <v>38480</v>
      </c>
      <c r="O277" s="234">
        <v>15090</v>
      </c>
      <c r="P277" s="242">
        <v>10</v>
      </c>
      <c r="Q277" s="234">
        <v>23390</v>
      </c>
      <c r="R277" s="234">
        <v>21051</v>
      </c>
      <c r="S277" s="234" t="s">
        <v>1336</v>
      </c>
      <c r="T277" s="236">
        <v>45895</v>
      </c>
    </row>
    <row r="278" spans="1:20" ht="63.75" hidden="1">
      <c r="A278" s="239" t="s">
        <v>1308</v>
      </c>
      <c r="B278" s="240">
        <v>1201</v>
      </c>
      <c r="C278" s="241">
        <v>58225</v>
      </c>
      <c r="D278" s="239" t="s">
        <v>3818</v>
      </c>
      <c r="E278" s="239" t="s">
        <v>374</v>
      </c>
      <c r="F278" s="239" t="s">
        <v>375</v>
      </c>
      <c r="G278" s="239" t="s">
        <v>965</v>
      </c>
      <c r="H278" s="239" t="s">
        <v>48</v>
      </c>
      <c r="I278" s="239" t="s">
        <v>399</v>
      </c>
      <c r="J278" s="233"/>
      <c r="K278" s="236">
        <v>45895</v>
      </c>
      <c r="L278" s="233">
        <v>1.2</v>
      </c>
      <c r="M278" s="234" t="s">
        <v>965</v>
      </c>
      <c r="N278" s="234">
        <v>39700</v>
      </c>
      <c r="O278" s="234">
        <v>15590</v>
      </c>
      <c r="P278" s="242">
        <v>14</v>
      </c>
      <c r="Q278" s="234">
        <v>24110</v>
      </c>
      <c r="R278" s="234">
        <v>20734.599999999999</v>
      </c>
      <c r="S278" s="234" t="s">
        <v>1337</v>
      </c>
      <c r="T278" s="236">
        <v>45895</v>
      </c>
    </row>
    <row r="279" spans="1:20" ht="63.75" hidden="1">
      <c r="A279" s="239" t="s">
        <v>1309</v>
      </c>
      <c r="B279" s="240">
        <v>1202</v>
      </c>
      <c r="C279" s="241">
        <v>58227</v>
      </c>
      <c r="D279" s="239" t="s">
        <v>3818</v>
      </c>
      <c r="E279" s="239" t="s">
        <v>386</v>
      </c>
      <c r="F279" s="239" t="s">
        <v>387</v>
      </c>
      <c r="G279" s="239" t="s">
        <v>965</v>
      </c>
      <c r="H279" s="239" t="s">
        <v>48</v>
      </c>
      <c r="I279" s="239" t="s">
        <v>399</v>
      </c>
      <c r="J279" s="233"/>
      <c r="K279" s="236">
        <v>45895</v>
      </c>
      <c r="L279" s="233">
        <v>1.2</v>
      </c>
      <c r="M279" s="234" t="s">
        <v>965</v>
      </c>
      <c r="N279" s="234">
        <v>39860</v>
      </c>
      <c r="O279" s="234">
        <v>15400</v>
      </c>
      <c r="P279" s="242">
        <v>13</v>
      </c>
      <c r="Q279" s="234">
        <v>24460</v>
      </c>
      <c r="R279" s="234">
        <v>21280.2</v>
      </c>
      <c r="S279" s="234" t="s">
        <v>1338</v>
      </c>
      <c r="T279" s="236">
        <v>45895</v>
      </c>
    </row>
    <row r="280" spans="1:20" ht="63.75" hidden="1">
      <c r="A280" s="239" t="s">
        <v>1310</v>
      </c>
      <c r="B280" s="240">
        <v>1203</v>
      </c>
      <c r="C280" s="241">
        <v>58233</v>
      </c>
      <c r="D280" s="239" t="s">
        <v>3818</v>
      </c>
      <c r="E280" s="239" t="s">
        <v>432</v>
      </c>
      <c r="F280" s="239" t="s">
        <v>433</v>
      </c>
      <c r="G280" s="239" t="s">
        <v>965</v>
      </c>
      <c r="H280" s="239" t="s">
        <v>48</v>
      </c>
      <c r="I280" s="239" t="s">
        <v>399</v>
      </c>
      <c r="J280" s="233"/>
      <c r="K280" s="236">
        <v>45895</v>
      </c>
      <c r="L280" s="233">
        <v>1.3</v>
      </c>
      <c r="M280" s="234" t="s">
        <v>965</v>
      </c>
      <c r="N280" s="234">
        <v>41290</v>
      </c>
      <c r="O280" s="234">
        <v>15600</v>
      </c>
      <c r="P280" s="242">
        <v>7</v>
      </c>
      <c r="Q280" s="234">
        <v>25690</v>
      </c>
      <c r="R280" s="234">
        <v>23891.7</v>
      </c>
      <c r="S280" s="234" t="s">
        <v>1339</v>
      </c>
      <c r="T280" s="236">
        <v>45895</v>
      </c>
    </row>
    <row r="281" spans="1:20" ht="63.75" hidden="1">
      <c r="A281" s="239" t="s">
        <v>1311</v>
      </c>
      <c r="B281" s="240">
        <v>1204</v>
      </c>
      <c r="C281" s="241">
        <v>582311</v>
      </c>
      <c r="D281" s="239" t="s">
        <v>3818</v>
      </c>
      <c r="E281" s="239" t="s">
        <v>1410</v>
      </c>
      <c r="F281" s="239" t="s">
        <v>437</v>
      </c>
      <c r="G281" s="239" t="s">
        <v>965</v>
      </c>
      <c r="H281" s="239" t="s">
        <v>48</v>
      </c>
      <c r="I281" s="239" t="s">
        <v>399</v>
      </c>
      <c r="J281" s="233"/>
      <c r="K281" s="236">
        <v>45895</v>
      </c>
      <c r="L281" s="233">
        <v>1.2</v>
      </c>
      <c r="M281" s="234" t="s">
        <v>965</v>
      </c>
      <c r="N281" s="234">
        <v>39520</v>
      </c>
      <c r="O281" s="234">
        <v>14840</v>
      </c>
      <c r="P281" s="242">
        <v>8</v>
      </c>
      <c r="Q281" s="234">
        <v>24680</v>
      </c>
      <c r="R281" s="234">
        <v>22705.599999999999</v>
      </c>
      <c r="S281" s="234" t="s">
        <v>1340</v>
      </c>
      <c r="T281" s="236">
        <v>45895</v>
      </c>
    </row>
    <row r="282" spans="1:20" ht="63.75" hidden="1">
      <c r="A282" s="239" t="s">
        <v>1312</v>
      </c>
      <c r="B282" s="240">
        <v>1205</v>
      </c>
      <c r="C282" s="241">
        <v>58235</v>
      </c>
      <c r="D282" s="239" t="s">
        <v>3818</v>
      </c>
      <c r="E282" s="239" t="s">
        <v>453</v>
      </c>
      <c r="F282" s="239" t="s">
        <v>454</v>
      </c>
      <c r="G282" s="239" t="s">
        <v>965</v>
      </c>
      <c r="H282" s="239" t="s">
        <v>48</v>
      </c>
      <c r="I282" s="239" t="s">
        <v>399</v>
      </c>
      <c r="J282" s="233"/>
      <c r="K282" s="236">
        <v>45895</v>
      </c>
      <c r="L282" s="233">
        <v>1.1000000000000001</v>
      </c>
      <c r="M282" s="234" t="s">
        <v>965</v>
      </c>
      <c r="N282" s="234">
        <v>46950</v>
      </c>
      <c r="O282" s="234">
        <v>24200</v>
      </c>
      <c r="P282" s="242">
        <v>6.9</v>
      </c>
      <c r="Q282" s="234">
        <v>22750</v>
      </c>
      <c r="R282" s="234">
        <v>21191</v>
      </c>
      <c r="S282" s="234" t="s">
        <v>1341</v>
      </c>
      <c r="T282" s="236">
        <v>45895</v>
      </c>
    </row>
    <row r="283" spans="1:20" ht="63.75" hidden="1">
      <c r="A283" s="239" t="s">
        <v>1313</v>
      </c>
      <c r="B283" s="240">
        <v>1206</v>
      </c>
      <c r="C283" s="241">
        <v>58237</v>
      </c>
      <c r="D283" s="239" t="s">
        <v>3818</v>
      </c>
      <c r="E283" s="239" t="s">
        <v>456</v>
      </c>
      <c r="F283" s="239" t="s">
        <v>457</v>
      </c>
      <c r="G283" s="239" t="s">
        <v>965</v>
      </c>
      <c r="H283" s="239" t="s">
        <v>48</v>
      </c>
      <c r="I283" s="239" t="s">
        <v>399</v>
      </c>
      <c r="J283" s="233"/>
      <c r="K283" s="236">
        <v>45895</v>
      </c>
      <c r="L283" s="233">
        <v>1.4</v>
      </c>
      <c r="M283" s="234" t="s">
        <v>965</v>
      </c>
      <c r="N283" s="234">
        <v>43250</v>
      </c>
      <c r="O283" s="234">
        <v>15620</v>
      </c>
      <c r="P283" s="242">
        <v>14</v>
      </c>
      <c r="Q283" s="234">
        <v>27630</v>
      </c>
      <c r="R283" s="234">
        <v>23761.8</v>
      </c>
      <c r="S283" s="234" t="s">
        <v>1342</v>
      </c>
      <c r="T283" s="236">
        <v>45895</v>
      </c>
    </row>
    <row r="284" spans="1:20" ht="63.75" hidden="1">
      <c r="A284" s="239" t="s">
        <v>1314</v>
      </c>
      <c r="B284" s="240">
        <v>1207</v>
      </c>
      <c r="C284" s="241">
        <v>58241</v>
      </c>
      <c r="D284" s="239" t="s">
        <v>3818</v>
      </c>
      <c r="E284" s="239" t="s">
        <v>429</v>
      </c>
      <c r="F284" s="239" t="s">
        <v>430</v>
      </c>
      <c r="G284" s="239" t="s">
        <v>965</v>
      </c>
      <c r="H284" s="239" t="s">
        <v>48</v>
      </c>
      <c r="I284" s="239" t="s">
        <v>399</v>
      </c>
      <c r="J284" s="233"/>
      <c r="K284" s="236">
        <v>45895</v>
      </c>
      <c r="L284" s="233">
        <v>1.2</v>
      </c>
      <c r="M284" s="234" t="s">
        <v>965</v>
      </c>
      <c r="N284" s="234">
        <v>37680</v>
      </c>
      <c r="O284" s="234">
        <v>14200</v>
      </c>
      <c r="P284" s="242">
        <v>14</v>
      </c>
      <c r="Q284" s="234">
        <v>23480</v>
      </c>
      <c r="R284" s="234">
        <v>20192.8</v>
      </c>
      <c r="S284" s="234" t="s">
        <v>1343</v>
      </c>
      <c r="T284" s="236">
        <v>45895</v>
      </c>
    </row>
    <row r="285" spans="1:20" ht="63.75" hidden="1">
      <c r="A285" s="239" t="s">
        <v>1315</v>
      </c>
      <c r="B285" s="240">
        <v>1208</v>
      </c>
      <c r="C285" s="241">
        <v>58239</v>
      </c>
      <c r="D285" s="239" t="s">
        <v>3818</v>
      </c>
      <c r="E285" s="239" t="s">
        <v>858</v>
      </c>
      <c r="F285" s="239" t="s">
        <v>859</v>
      </c>
      <c r="G285" s="239" t="s">
        <v>965</v>
      </c>
      <c r="H285" s="239" t="s">
        <v>48</v>
      </c>
      <c r="I285" s="239" t="s">
        <v>399</v>
      </c>
      <c r="J285" s="233"/>
      <c r="K285" s="236">
        <v>45895</v>
      </c>
      <c r="L285" s="233">
        <v>1.2</v>
      </c>
      <c r="M285" s="234" t="s">
        <v>965</v>
      </c>
      <c r="N285" s="234">
        <v>38290</v>
      </c>
      <c r="O285" s="234">
        <v>14760</v>
      </c>
      <c r="P285" s="242">
        <v>12</v>
      </c>
      <c r="Q285" s="234">
        <v>23530</v>
      </c>
      <c r="R285" s="234">
        <v>20706.400000000001</v>
      </c>
      <c r="S285" s="234" t="s">
        <v>1344</v>
      </c>
      <c r="T285" s="236">
        <v>45895</v>
      </c>
    </row>
    <row r="286" spans="1:20" ht="63.75" hidden="1">
      <c r="A286" s="239" t="s">
        <v>1316</v>
      </c>
      <c r="B286" s="240">
        <v>1209</v>
      </c>
      <c r="C286" s="241">
        <v>58243</v>
      </c>
      <c r="D286" s="239" t="s">
        <v>3818</v>
      </c>
      <c r="E286" s="239" t="s">
        <v>462</v>
      </c>
      <c r="F286" s="239" t="s">
        <v>463</v>
      </c>
      <c r="G286" s="239" t="s">
        <v>965</v>
      </c>
      <c r="H286" s="239" t="s">
        <v>48</v>
      </c>
      <c r="I286" s="239" t="s">
        <v>399</v>
      </c>
      <c r="J286" s="233"/>
      <c r="K286" s="236">
        <v>45895</v>
      </c>
      <c r="L286" s="233">
        <v>1.2</v>
      </c>
      <c r="M286" s="234" t="s">
        <v>965</v>
      </c>
      <c r="N286" s="234">
        <v>39770</v>
      </c>
      <c r="O286" s="234">
        <v>16320</v>
      </c>
      <c r="P286" s="242">
        <v>15</v>
      </c>
      <c r="Q286" s="234">
        <v>23450</v>
      </c>
      <c r="R286" s="234">
        <v>19932.5</v>
      </c>
      <c r="S286" s="234" t="s">
        <v>1345</v>
      </c>
      <c r="T286" s="236">
        <v>45895</v>
      </c>
    </row>
    <row r="287" spans="1:20" ht="63.75" hidden="1">
      <c r="A287" s="239" t="s">
        <v>1317</v>
      </c>
      <c r="B287" s="240">
        <v>1210</v>
      </c>
      <c r="C287" s="241">
        <v>58247</v>
      </c>
      <c r="D287" s="239" t="s">
        <v>3818</v>
      </c>
      <c r="E287" s="239" t="s">
        <v>472</v>
      </c>
      <c r="F287" s="239" t="s">
        <v>473</v>
      </c>
      <c r="G287" s="239" t="s">
        <v>965</v>
      </c>
      <c r="H287" s="239" t="s">
        <v>48</v>
      </c>
      <c r="I287" s="239" t="s">
        <v>399</v>
      </c>
      <c r="J287" s="233"/>
      <c r="K287" s="236">
        <v>45895</v>
      </c>
      <c r="L287" s="233">
        <v>1.2</v>
      </c>
      <c r="M287" s="234" t="s">
        <v>965</v>
      </c>
      <c r="N287" s="234">
        <v>39810</v>
      </c>
      <c r="O287" s="234">
        <v>16660</v>
      </c>
      <c r="P287" s="242">
        <v>12</v>
      </c>
      <c r="Q287" s="234">
        <v>23150</v>
      </c>
      <c r="R287" s="234">
        <v>20372</v>
      </c>
      <c r="S287" s="234" t="s">
        <v>1346</v>
      </c>
      <c r="T287" s="236">
        <v>45896</v>
      </c>
    </row>
    <row r="288" spans="1:20" ht="63.75" hidden="1">
      <c r="A288" s="239" t="s">
        <v>1318</v>
      </c>
      <c r="B288" s="240">
        <v>1211</v>
      </c>
      <c r="C288" s="241">
        <v>58245</v>
      </c>
      <c r="D288" s="239" t="s">
        <v>3818</v>
      </c>
      <c r="E288" s="239" t="s">
        <v>475</v>
      </c>
      <c r="F288" s="239" t="s">
        <v>476</v>
      </c>
      <c r="G288" s="239" t="s">
        <v>965</v>
      </c>
      <c r="H288" s="239" t="s">
        <v>48</v>
      </c>
      <c r="I288" s="239" t="s">
        <v>399</v>
      </c>
      <c r="J288" s="233"/>
      <c r="K288" s="236">
        <v>45895</v>
      </c>
      <c r="L288" s="233">
        <v>1.2</v>
      </c>
      <c r="M288" s="234" t="s">
        <v>965</v>
      </c>
      <c r="N288" s="234">
        <v>40020</v>
      </c>
      <c r="O288" s="234">
        <v>16460</v>
      </c>
      <c r="P288" s="242">
        <v>10</v>
      </c>
      <c r="Q288" s="234">
        <v>23560</v>
      </c>
      <c r="R288" s="234">
        <v>21204</v>
      </c>
      <c r="S288" s="234" t="s">
        <v>1347</v>
      </c>
      <c r="T288" s="236">
        <v>45896</v>
      </c>
    </row>
    <row r="289" spans="1:20" ht="63.75" hidden="1">
      <c r="A289" s="239" t="s">
        <v>1319</v>
      </c>
      <c r="B289" s="240">
        <v>1212</v>
      </c>
      <c r="C289" s="241">
        <v>58257</v>
      </c>
      <c r="D289" s="239" t="s">
        <v>3818</v>
      </c>
      <c r="E289" s="239" t="s">
        <v>403</v>
      </c>
      <c r="F289" s="239" t="s">
        <v>404</v>
      </c>
      <c r="G289" s="239" t="s">
        <v>965</v>
      </c>
      <c r="H289" s="239" t="s">
        <v>48</v>
      </c>
      <c r="I289" s="239" t="s">
        <v>399</v>
      </c>
      <c r="J289" s="233"/>
      <c r="K289" s="236">
        <v>45895</v>
      </c>
      <c r="L289" s="233">
        <v>1.2</v>
      </c>
      <c r="M289" s="234" t="s">
        <v>965</v>
      </c>
      <c r="N289" s="234">
        <v>38540</v>
      </c>
      <c r="O289" s="234">
        <v>14470</v>
      </c>
      <c r="P289" s="242">
        <v>9</v>
      </c>
      <c r="Q289" s="234">
        <v>24070</v>
      </c>
      <c r="R289" s="234">
        <v>21903.7</v>
      </c>
      <c r="S289" s="234" t="s">
        <v>1348</v>
      </c>
      <c r="T289" s="236">
        <v>45896</v>
      </c>
    </row>
    <row r="290" spans="1:20" ht="63.75" hidden="1">
      <c r="A290" s="239" t="s">
        <v>1320</v>
      </c>
      <c r="B290" s="240">
        <v>1213</v>
      </c>
      <c r="C290" s="241">
        <v>58259</v>
      </c>
      <c r="D290" s="239" t="s">
        <v>3818</v>
      </c>
      <c r="E290" s="239" t="s">
        <v>406</v>
      </c>
      <c r="F290" s="239" t="s">
        <v>407</v>
      </c>
      <c r="G290" s="239" t="s">
        <v>965</v>
      </c>
      <c r="H290" s="239" t="s">
        <v>48</v>
      </c>
      <c r="I290" s="239" t="s">
        <v>399</v>
      </c>
      <c r="J290" s="233"/>
      <c r="K290" s="236">
        <v>45895</v>
      </c>
      <c r="L290" s="233">
        <v>1.2</v>
      </c>
      <c r="M290" s="234" t="s">
        <v>965</v>
      </c>
      <c r="N290" s="234">
        <v>39720</v>
      </c>
      <c r="O290" s="234">
        <v>15040</v>
      </c>
      <c r="P290" s="242">
        <v>10</v>
      </c>
      <c r="Q290" s="234">
        <v>24680</v>
      </c>
      <c r="R290" s="234">
        <v>22212</v>
      </c>
      <c r="S290" s="234" t="s">
        <v>1349</v>
      </c>
      <c r="T290" s="236">
        <v>45896</v>
      </c>
    </row>
    <row r="291" spans="1:20" ht="63.75" hidden="1">
      <c r="A291" s="239" t="s">
        <v>1321</v>
      </c>
      <c r="B291" s="240">
        <v>1214</v>
      </c>
      <c r="C291" s="241">
        <v>58269</v>
      </c>
      <c r="D291" s="239" t="s">
        <v>3818</v>
      </c>
      <c r="E291" s="239" t="s">
        <v>439</v>
      </c>
      <c r="F291" s="239" t="s">
        <v>440</v>
      </c>
      <c r="G291" s="239" t="s">
        <v>965</v>
      </c>
      <c r="H291" s="239" t="s">
        <v>48</v>
      </c>
      <c r="I291" s="239" t="s">
        <v>399</v>
      </c>
      <c r="J291" s="233"/>
      <c r="K291" s="236">
        <v>45895</v>
      </c>
      <c r="L291" s="233">
        <v>1.3</v>
      </c>
      <c r="M291" s="234" t="s">
        <v>965</v>
      </c>
      <c r="N291" s="234">
        <v>39760</v>
      </c>
      <c r="O291" s="234">
        <v>14960</v>
      </c>
      <c r="P291" s="242">
        <v>9</v>
      </c>
      <c r="Q291" s="234">
        <v>24800</v>
      </c>
      <c r="R291" s="234">
        <v>22568</v>
      </c>
      <c r="S291" s="234" t="s">
        <v>1350</v>
      </c>
      <c r="T291" s="236">
        <v>45896</v>
      </c>
    </row>
    <row r="292" spans="1:20" ht="63.75" hidden="1">
      <c r="A292" s="239" t="s">
        <v>1322</v>
      </c>
      <c r="B292" s="240">
        <v>1220</v>
      </c>
      <c r="C292" s="241">
        <v>58291</v>
      </c>
      <c r="D292" s="239" t="s">
        <v>3818</v>
      </c>
      <c r="E292" s="239" t="s">
        <v>392</v>
      </c>
      <c r="F292" s="239" t="s">
        <v>393</v>
      </c>
      <c r="G292" s="239" t="s">
        <v>965</v>
      </c>
      <c r="H292" s="239" t="s">
        <v>48</v>
      </c>
      <c r="I292" s="239" t="s">
        <v>399</v>
      </c>
      <c r="J292" s="233"/>
      <c r="K292" s="236">
        <v>45895</v>
      </c>
      <c r="L292" s="233">
        <v>1.1000000000000001</v>
      </c>
      <c r="M292" s="234" t="s">
        <v>965</v>
      </c>
      <c r="N292" s="234">
        <v>46130</v>
      </c>
      <c r="O292" s="234">
        <v>24070</v>
      </c>
      <c r="P292" s="242">
        <v>6</v>
      </c>
      <c r="Q292" s="234">
        <v>22060</v>
      </c>
      <c r="R292" s="234">
        <v>20736.400000000001</v>
      </c>
      <c r="S292" s="234" t="s">
        <v>1351</v>
      </c>
      <c r="T292" s="236">
        <v>45896</v>
      </c>
    </row>
    <row r="293" spans="1:20" ht="63.75" hidden="1">
      <c r="A293" s="239" t="s">
        <v>1323</v>
      </c>
      <c r="B293" s="240">
        <v>1221</v>
      </c>
      <c r="C293" s="241">
        <v>28289</v>
      </c>
      <c r="D293" s="239" t="s">
        <v>3818</v>
      </c>
      <c r="E293" s="239" t="s">
        <v>377</v>
      </c>
      <c r="F293" s="239" t="s">
        <v>378</v>
      </c>
      <c r="G293" s="239" t="s">
        <v>965</v>
      </c>
      <c r="H293" s="239" t="s">
        <v>48</v>
      </c>
      <c r="I293" s="239" t="s">
        <v>399</v>
      </c>
      <c r="J293" s="233"/>
      <c r="K293" s="236">
        <v>45895</v>
      </c>
      <c r="L293" s="233">
        <v>1.4</v>
      </c>
      <c r="M293" s="234" t="s">
        <v>965</v>
      </c>
      <c r="N293" s="234">
        <v>42090</v>
      </c>
      <c r="O293" s="234">
        <v>15150</v>
      </c>
      <c r="P293" s="242">
        <v>9</v>
      </c>
      <c r="Q293" s="234">
        <v>26940</v>
      </c>
      <c r="R293" s="234">
        <v>24515.4</v>
      </c>
      <c r="S293" s="234" t="s">
        <v>1352</v>
      </c>
      <c r="T293" s="236">
        <v>45896</v>
      </c>
    </row>
    <row r="294" spans="1:20" ht="63.75" hidden="1">
      <c r="A294" s="239" t="s">
        <v>1356</v>
      </c>
      <c r="B294" s="240">
        <v>1222</v>
      </c>
      <c r="C294" s="241">
        <v>58285</v>
      </c>
      <c r="D294" s="239" t="s">
        <v>3818</v>
      </c>
      <c r="E294" s="239" t="s">
        <v>410</v>
      </c>
      <c r="F294" s="239" t="s">
        <v>411</v>
      </c>
      <c r="G294" s="239" t="s">
        <v>965</v>
      </c>
      <c r="H294" s="239" t="s">
        <v>48</v>
      </c>
      <c r="I294" s="239" t="s">
        <v>399</v>
      </c>
      <c r="J294" s="233"/>
      <c r="K294" s="236">
        <v>45896</v>
      </c>
      <c r="L294" s="233">
        <v>1.2</v>
      </c>
      <c r="M294" s="234" t="s">
        <v>965</v>
      </c>
      <c r="N294" s="234">
        <v>39220</v>
      </c>
      <c r="O294" s="234">
        <v>14940</v>
      </c>
      <c r="P294" s="242">
        <v>5</v>
      </c>
      <c r="Q294" s="234">
        <v>24280</v>
      </c>
      <c r="R294" s="234">
        <v>23066</v>
      </c>
      <c r="S294" s="234" t="s">
        <v>1475</v>
      </c>
      <c r="T294" s="236">
        <v>45896</v>
      </c>
    </row>
    <row r="295" spans="1:20" ht="63.75" hidden="1">
      <c r="A295" s="239" t="s">
        <v>1357</v>
      </c>
      <c r="B295" s="240">
        <v>1224</v>
      </c>
      <c r="C295" s="241">
        <v>58283</v>
      </c>
      <c r="D295" s="239" t="s">
        <v>3818</v>
      </c>
      <c r="E295" s="239" t="s">
        <v>388</v>
      </c>
      <c r="F295" s="239" t="s">
        <v>389</v>
      </c>
      <c r="G295" s="239" t="s">
        <v>965</v>
      </c>
      <c r="H295" s="239" t="s">
        <v>48</v>
      </c>
      <c r="I295" s="239" t="s">
        <v>399</v>
      </c>
      <c r="J295" s="233"/>
      <c r="K295" s="236">
        <v>45896</v>
      </c>
      <c r="L295" s="233">
        <v>1.3</v>
      </c>
      <c r="M295" s="234" t="s">
        <v>965</v>
      </c>
      <c r="N295" s="234">
        <v>47210</v>
      </c>
      <c r="O295" s="234">
        <v>20860</v>
      </c>
      <c r="P295" s="242">
        <v>10</v>
      </c>
      <c r="Q295" s="234">
        <v>26350</v>
      </c>
      <c r="R295" s="234">
        <v>23715</v>
      </c>
      <c r="S295" s="234" t="s">
        <v>1476</v>
      </c>
      <c r="T295" s="236">
        <v>45896</v>
      </c>
    </row>
    <row r="296" spans="1:20" ht="63.75" hidden="1">
      <c r="A296" s="239" t="s">
        <v>1358</v>
      </c>
      <c r="B296" s="240">
        <v>1225</v>
      </c>
      <c r="C296" s="241">
        <v>58287</v>
      </c>
      <c r="D296" s="239" t="s">
        <v>3818</v>
      </c>
      <c r="E296" s="239" t="s">
        <v>382</v>
      </c>
      <c r="F296" s="239" t="s">
        <v>383</v>
      </c>
      <c r="G296" s="239" t="s">
        <v>965</v>
      </c>
      <c r="H296" s="239" t="s">
        <v>48</v>
      </c>
      <c r="I296" s="239" t="s">
        <v>399</v>
      </c>
      <c r="J296" s="233"/>
      <c r="K296" s="236">
        <v>45896</v>
      </c>
      <c r="L296" s="233">
        <v>1</v>
      </c>
      <c r="M296" s="234" t="s">
        <v>965</v>
      </c>
      <c r="N296" s="234">
        <v>36100</v>
      </c>
      <c r="O296" s="234">
        <v>14590</v>
      </c>
      <c r="P296" s="242">
        <v>7</v>
      </c>
      <c r="Q296" s="234">
        <v>21510</v>
      </c>
      <c r="R296" s="234">
        <v>20004.3</v>
      </c>
      <c r="S296" s="234" t="s">
        <v>1477</v>
      </c>
      <c r="T296" s="236">
        <v>45896</v>
      </c>
    </row>
    <row r="297" spans="1:20" ht="63.75" hidden="1">
      <c r="A297" s="239" t="s">
        <v>1359</v>
      </c>
      <c r="B297" s="240">
        <v>1238</v>
      </c>
      <c r="C297" s="241">
        <v>58293</v>
      </c>
      <c r="D297" s="239" t="s">
        <v>3818</v>
      </c>
      <c r="E297" s="239" t="s">
        <v>791</v>
      </c>
      <c r="F297" s="239" t="s">
        <v>792</v>
      </c>
      <c r="G297" s="239" t="s">
        <v>965</v>
      </c>
      <c r="H297" s="239" t="s">
        <v>48</v>
      </c>
      <c r="I297" s="239" t="s">
        <v>399</v>
      </c>
      <c r="J297" s="233"/>
      <c r="K297" s="236">
        <v>45895</v>
      </c>
      <c r="L297" s="233">
        <v>1.3</v>
      </c>
      <c r="M297" s="234" t="s">
        <v>965</v>
      </c>
      <c r="N297" s="234">
        <v>39860</v>
      </c>
      <c r="O297" s="234">
        <v>14970</v>
      </c>
      <c r="P297" s="242">
        <v>7</v>
      </c>
      <c r="Q297" s="234">
        <v>24890</v>
      </c>
      <c r="R297" s="234">
        <v>23147.7</v>
      </c>
      <c r="S297" s="234" t="s">
        <v>1478</v>
      </c>
      <c r="T297" s="236">
        <v>45896</v>
      </c>
    </row>
    <row r="298" spans="1:20" ht="63.75" hidden="1">
      <c r="A298" s="239" t="s">
        <v>1353</v>
      </c>
      <c r="B298" s="240">
        <v>1241</v>
      </c>
      <c r="C298" s="241">
        <v>58295</v>
      </c>
      <c r="D298" s="239" t="s">
        <v>3818</v>
      </c>
      <c r="E298" s="239" t="s">
        <v>447</v>
      </c>
      <c r="F298" s="239" t="s">
        <v>448</v>
      </c>
      <c r="G298" s="239" t="s">
        <v>965</v>
      </c>
      <c r="H298" s="239" t="s">
        <v>48</v>
      </c>
      <c r="I298" s="239" t="s">
        <v>399</v>
      </c>
      <c r="J298" s="233"/>
      <c r="K298" s="236">
        <v>45895</v>
      </c>
      <c r="L298" s="233">
        <v>1.3</v>
      </c>
      <c r="M298" s="234" t="s">
        <v>965</v>
      </c>
      <c r="N298" s="234">
        <v>45160</v>
      </c>
      <c r="O298" s="234">
        <v>19260</v>
      </c>
      <c r="P298" s="242">
        <v>9</v>
      </c>
      <c r="Q298" s="234">
        <v>25900</v>
      </c>
      <c r="R298" s="234">
        <v>23569</v>
      </c>
      <c r="S298" s="234" t="s">
        <v>1472</v>
      </c>
      <c r="T298" s="236">
        <v>45896</v>
      </c>
    </row>
    <row r="299" spans="1:20" ht="63.75" hidden="1">
      <c r="A299" s="239" t="s">
        <v>1354</v>
      </c>
      <c r="B299" s="240">
        <v>1242</v>
      </c>
      <c r="C299" s="241">
        <v>58297</v>
      </c>
      <c r="D299" s="239" t="s">
        <v>3818</v>
      </c>
      <c r="E299" s="239" t="s">
        <v>794</v>
      </c>
      <c r="F299" s="239" t="s">
        <v>795</v>
      </c>
      <c r="G299" s="239" t="s">
        <v>965</v>
      </c>
      <c r="H299" s="239" t="s">
        <v>48</v>
      </c>
      <c r="I299" s="239" t="s">
        <v>399</v>
      </c>
      <c r="J299" s="233"/>
      <c r="K299" s="236">
        <v>45895</v>
      </c>
      <c r="L299" s="233">
        <v>1.3</v>
      </c>
      <c r="M299" s="234" t="s">
        <v>965</v>
      </c>
      <c r="N299" s="234">
        <v>42720</v>
      </c>
      <c r="O299" s="234">
        <v>16110</v>
      </c>
      <c r="P299" s="242">
        <v>5</v>
      </c>
      <c r="Q299" s="234">
        <v>26610</v>
      </c>
      <c r="R299" s="234">
        <v>25279.5</v>
      </c>
      <c r="S299" s="234" t="s">
        <v>1473</v>
      </c>
      <c r="T299" s="236">
        <v>45896</v>
      </c>
    </row>
    <row r="300" spans="1:20" ht="63.75" hidden="1">
      <c r="A300" s="239" t="s">
        <v>1355</v>
      </c>
      <c r="B300" s="240">
        <v>1243</v>
      </c>
      <c r="C300" s="241">
        <v>58299</v>
      </c>
      <c r="D300" s="239" t="s">
        <v>3818</v>
      </c>
      <c r="E300" s="239" t="s">
        <v>841</v>
      </c>
      <c r="F300" s="239" t="s">
        <v>845</v>
      </c>
      <c r="G300" s="239" t="s">
        <v>965</v>
      </c>
      <c r="H300" s="239" t="s">
        <v>48</v>
      </c>
      <c r="I300" s="239" t="s">
        <v>399</v>
      </c>
      <c r="J300" s="233"/>
      <c r="K300" s="235">
        <v>45896</v>
      </c>
      <c r="L300" s="233">
        <v>1.3</v>
      </c>
      <c r="M300" s="234" t="s">
        <v>965</v>
      </c>
      <c r="N300" s="234">
        <v>42160</v>
      </c>
      <c r="O300" s="234">
        <v>15910</v>
      </c>
      <c r="P300" s="242">
        <v>7</v>
      </c>
      <c r="Q300" s="234">
        <v>26250</v>
      </c>
      <c r="R300" s="234">
        <v>24412.5</v>
      </c>
      <c r="S300" s="234" t="s">
        <v>1474</v>
      </c>
      <c r="T300" s="236">
        <v>45896</v>
      </c>
    </row>
    <row r="301" spans="1:20" ht="63.75" hidden="1">
      <c r="A301" s="239" t="s">
        <v>1360</v>
      </c>
      <c r="B301" s="240">
        <v>1244</v>
      </c>
      <c r="C301" s="241">
        <v>58301</v>
      </c>
      <c r="D301" s="239" t="s">
        <v>3818</v>
      </c>
      <c r="E301" s="239" t="s">
        <v>783</v>
      </c>
      <c r="F301" s="239" t="s">
        <v>784</v>
      </c>
      <c r="G301" s="239" t="s">
        <v>965</v>
      </c>
      <c r="H301" s="239" t="s">
        <v>48</v>
      </c>
      <c r="I301" s="239" t="s">
        <v>399</v>
      </c>
      <c r="J301" s="233"/>
      <c r="K301" s="235">
        <v>45896</v>
      </c>
      <c r="L301" s="233">
        <v>1.2</v>
      </c>
      <c r="M301" s="234" t="s">
        <v>965</v>
      </c>
      <c r="N301" s="234">
        <v>40130</v>
      </c>
      <c r="O301" s="234">
        <v>14630</v>
      </c>
      <c r="P301" s="242">
        <v>6</v>
      </c>
      <c r="Q301" s="234">
        <v>25500</v>
      </c>
      <c r="R301" s="234">
        <v>23970</v>
      </c>
      <c r="S301" s="234" t="s">
        <v>1479</v>
      </c>
      <c r="T301" s="236">
        <v>45896</v>
      </c>
    </row>
    <row r="302" spans="1:20" ht="63.75" hidden="1">
      <c r="A302" s="239" t="s">
        <v>1361</v>
      </c>
      <c r="B302" s="240">
        <v>1246</v>
      </c>
      <c r="C302" s="241">
        <v>58326</v>
      </c>
      <c r="D302" s="239" t="s">
        <v>3818</v>
      </c>
      <c r="E302" s="239" t="s">
        <v>380</v>
      </c>
      <c r="F302" s="239" t="s">
        <v>381</v>
      </c>
      <c r="G302" s="239" t="s">
        <v>965</v>
      </c>
      <c r="H302" s="239" t="s">
        <v>48</v>
      </c>
      <c r="I302" s="239" t="s">
        <v>399</v>
      </c>
      <c r="J302" s="233"/>
      <c r="K302" s="235">
        <v>45896</v>
      </c>
      <c r="L302" s="233">
        <v>1.1000000000000001</v>
      </c>
      <c r="M302" s="234" t="s">
        <v>965</v>
      </c>
      <c r="N302" s="234">
        <v>38600</v>
      </c>
      <c r="O302" s="234">
        <v>15060</v>
      </c>
      <c r="P302" s="242">
        <v>10</v>
      </c>
      <c r="Q302" s="234">
        <v>23540</v>
      </c>
      <c r="R302" s="234">
        <v>21186</v>
      </c>
      <c r="S302" s="234" t="s">
        <v>1480</v>
      </c>
      <c r="T302" s="236">
        <v>45896</v>
      </c>
    </row>
    <row r="303" spans="1:20" ht="63.75" hidden="1">
      <c r="A303" s="239" t="s">
        <v>1362</v>
      </c>
      <c r="B303" s="240">
        <v>1247</v>
      </c>
      <c r="C303" s="241">
        <v>58328</v>
      </c>
      <c r="D303" s="239" t="s">
        <v>3818</v>
      </c>
      <c r="E303" s="239" t="s">
        <v>400</v>
      </c>
      <c r="F303" s="239" t="s">
        <v>401</v>
      </c>
      <c r="G303" s="239" t="s">
        <v>965</v>
      </c>
      <c r="H303" s="239" t="s">
        <v>48</v>
      </c>
      <c r="I303" s="239" t="s">
        <v>399</v>
      </c>
      <c r="J303" s="233"/>
      <c r="K303" s="235">
        <v>45896</v>
      </c>
      <c r="L303" s="233">
        <v>1.1000000000000001</v>
      </c>
      <c r="M303" s="234" t="s">
        <v>965</v>
      </c>
      <c r="N303" s="234">
        <v>38260</v>
      </c>
      <c r="O303" s="234">
        <v>14710</v>
      </c>
      <c r="P303" s="242">
        <v>14</v>
      </c>
      <c r="Q303" s="234">
        <v>23550</v>
      </c>
      <c r="R303" s="234">
        <v>20253</v>
      </c>
      <c r="S303" s="234" t="s">
        <v>1481</v>
      </c>
      <c r="T303" s="236">
        <v>45896</v>
      </c>
    </row>
    <row r="304" spans="1:20" ht="63.75" hidden="1">
      <c r="A304" s="239" t="s">
        <v>1363</v>
      </c>
      <c r="B304" s="240">
        <v>1248</v>
      </c>
      <c r="C304" s="241">
        <v>58313</v>
      </c>
      <c r="D304" s="239" t="s">
        <v>3818</v>
      </c>
      <c r="E304" s="239" t="s">
        <v>453</v>
      </c>
      <c r="F304" s="239" t="s">
        <v>454</v>
      </c>
      <c r="G304" s="239" t="s">
        <v>965</v>
      </c>
      <c r="H304" s="239" t="s">
        <v>48</v>
      </c>
      <c r="I304" s="239" t="s">
        <v>399</v>
      </c>
      <c r="J304" s="233"/>
      <c r="K304" s="235">
        <v>45896</v>
      </c>
      <c r="L304" s="233">
        <v>1.1000000000000001</v>
      </c>
      <c r="M304" s="234" t="s">
        <v>965</v>
      </c>
      <c r="N304" s="234">
        <v>47150</v>
      </c>
      <c r="O304" s="234">
        <v>24110</v>
      </c>
      <c r="P304" s="242">
        <v>8</v>
      </c>
      <c r="Q304" s="234">
        <v>23040</v>
      </c>
      <c r="R304" s="234">
        <v>21196.799999999999</v>
      </c>
      <c r="S304" s="234" t="s">
        <v>1482</v>
      </c>
      <c r="T304" s="236">
        <v>45896</v>
      </c>
    </row>
    <row r="305" spans="1:16367" ht="63.75" hidden="1">
      <c r="A305" s="239" t="s">
        <v>1364</v>
      </c>
      <c r="B305" s="240">
        <v>1249</v>
      </c>
      <c r="C305" s="241">
        <v>58315</v>
      </c>
      <c r="D305" s="239" t="s">
        <v>3818</v>
      </c>
      <c r="E305" s="239" t="s">
        <v>456</v>
      </c>
      <c r="F305" s="239" t="s">
        <v>457</v>
      </c>
      <c r="G305" s="239" t="s">
        <v>965</v>
      </c>
      <c r="H305" s="239" t="s">
        <v>48</v>
      </c>
      <c r="I305" s="239" t="s">
        <v>399</v>
      </c>
      <c r="J305" s="233"/>
      <c r="K305" s="235">
        <v>45896</v>
      </c>
      <c r="L305" s="233">
        <v>1.3</v>
      </c>
      <c r="M305" s="234" t="s">
        <v>965</v>
      </c>
      <c r="N305" s="234">
        <v>42290</v>
      </c>
      <c r="O305" s="234">
        <v>15520</v>
      </c>
      <c r="P305" s="242">
        <v>12</v>
      </c>
      <c r="Q305" s="234">
        <v>26770</v>
      </c>
      <c r="R305" s="234">
        <v>23557.599999999999</v>
      </c>
      <c r="S305" s="234" t="s">
        <v>1483</v>
      </c>
      <c r="T305" s="236">
        <v>45896</v>
      </c>
    </row>
    <row r="306" spans="1:16367" ht="63.75" hidden="1">
      <c r="A306" s="239" t="s">
        <v>1365</v>
      </c>
      <c r="B306" s="240">
        <v>1250</v>
      </c>
      <c r="C306" s="241">
        <v>58330</v>
      </c>
      <c r="D306" s="239" t="s">
        <v>3818</v>
      </c>
      <c r="E306" s="239" t="s">
        <v>432</v>
      </c>
      <c r="F306" s="239" t="s">
        <v>433</v>
      </c>
      <c r="G306" s="239" t="s">
        <v>965</v>
      </c>
      <c r="H306" s="239" t="s">
        <v>48</v>
      </c>
      <c r="I306" s="239" t="s">
        <v>399</v>
      </c>
      <c r="J306" s="233"/>
      <c r="K306" s="235">
        <v>45896</v>
      </c>
      <c r="L306" s="233">
        <v>1.2</v>
      </c>
      <c r="M306" s="234" t="s">
        <v>965</v>
      </c>
      <c r="N306" s="234">
        <v>39940</v>
      </c>
      <c r="O306" s="234">
        <v>15590</v>
      </c>
      <c r="P306" s="242">
        <v>12</v>
      </c>
      <c r="Q306" s="234">
        <v>24350</v>
      </c>
      <c r="R306" s="234">
        <v>21428</v>
      </c>
      <c r="S306" s="234" t="s">
        <v>1484</v>
      </c>
      <c r="T306" s="236">
        <v>45896</v>
      </c>
    </row>
    <row r="307" spans="1:16367" ht="63.75" hidden="1">
      <c r="A307" s="239" t="s">
        <v>1366</v>
      </c>
      <c r="B307" s="240">
        <v>1251</v>
      </c>
      <c r="C307" s="241">
        <v>58332</v>
      </c>
      <c r="D307" s="239" t="s">
        <v>3818</v>
      </c>
      <c r="E307" s="239" t="s">
        <v>1410</v>
      </c>
      <c r="F307" s="239" t="s">
        <v>437</v>
      </c>
      <c r="G307" s="239" t="s">
        <v>965</v>
      </c>
      <c r="H307" s="239" t="s">
        <v>48</v>
      </c>
      <c r="I307" s="239" t="s">
        <v>399</v>
      </c>
      <c r="J307" s="233"/>
      <c r="K307" s="235">
        <v>45896</v>
      </c>
      <c r="L307" s="233">
        <v>1.2</v>
      </c>
      <c r="M307" s="234" t="s">
        <v>965</v>
      </c>
      <c r="N307" s="234">
        <v>39850</v>
      </c>
      <c r="O307" s="234">
        <v>14810</v>
      </c>
      <c r="P307" s="242">
        <v>10</v>
      </c>
      <c r="Q307" s="234">
        <v>25040</v>
      </c>
      <c r="R307" s="234">
        <v>22536</v>
      </c>
      <c r="S307" s="234" t="s">
        <v>1485</v>
      </c>
      <c r="T307" s="236">
        <v>45896</v>
      </c>
    </row>
    <row r="308" spans="1:16367" ht="63.75" hidden="1">
      <c r="A308" s="239" t="s">
        <v>1367</v>
      </c>
      <c r="B308" s="240">
        <v>1252</v>
      </c>
      <c r="C308" s="241">
        <v>58334</v>
      </c>
      <c r="D308" s="239" t="s">
        <v>3818</v>
      </c>
      <c r="E308" s="239" t="s">
        <v>866</v>
      </c>
      <c r="F308" s="239" t="s">
        <v>867</v>
      </c>
      <c r="G308" s="239" t="s">
        <v>965</v>
      </c>
      <c r="H308" s="239" t="s">
        <v>48</v>
      </c>
      <c r="I308" s="239" t="s">
        <v>399</v>
      </c>
      <c r="J308" s="233"/>
      <c r="K308" s="235">
        <v>45896</v>
      </c>
      <c r="L308" s="233">
        <v>1.2</v>
      </c>
      <c r="M308" s="234" t="s">
        <v>965</v>
      </c>
      <c r="N308" s="234">
        <v>38890</v>
      </c>
      <c r="O308" s="234">
        <v>14430</v>
      </c>
      <c r="P308" s="242">
        <v>14</v>
      </c>
      <c r="Q308" s="234">
        <v>24460</v>
      </c>
      <c r="R308" s="234">
        <v>21035.599999999999</v>
      </c>
      <c r="S308" s="234" t="s">
        <v>1486</v>
      </c>
      <c r="T308" s="236">
        <v>45896</v>
      </c>
    </row>
    <row r="309" spans="1:16367" ht="63.75" hidden="1">
      <c r="A309" s="239" t="s">
        <v>1368</v>
      </c>
      <c r="B309" s="240">
        <v>1253</v>
      </c>
      <c r="C309" s="241">
        <v>58336</v>
      </c>
      <c r="D309" s="239" t="s">
        <v>3818</v>
      </c>
      <c r="E309" s="239" t="s">
        <v>369</v>
      </c>
      <c r="F309" s="239" t="s">
        <v>370</v>
      </c>
      <c r="G309" s="239" t="s">
        <v>965</v>
      </c>
      <c r="H309" s="239" t="s">
        <v>48</v>
      </c>
      <c r="I309" s="239" t="s">
        <v>399</v>
      </c>
      <c r="J309" s="233"/>
      <c r="K309" s="235">
        <v>45896</v>
      </c>
      <c r="L309" s="233">
        <v>1.1000000000000001</v>
      </c>
      <c r="M309" s="234" t="s">
        <v>965</v>
      </c>
      <c r="N309" s="234">
        <v>38490</v>
      </c>
      <c r="O309" s="234">
        <v>15020</v>
      </c>
      <c r="P309" s="242">
        <v>13</v>
      </c>
      <c r="Q309" s="234">
        <v>23470</v>
      </c>
      <c r="R309" s="234">
        <v>20418.900000000001</v>
      </c>
      <c r="S309" s="234" t="s">
        <v>1487</v>
      </c>
      <c r="T309" s="236">
        <v>45896</v>
      </c>
    </row>
    <row r="310" spans="1:16367" ht="63.75" hidden="1">
      <c r="A310" s="239" t="s">
        <v>1369</v>
      </c>
      <c r="B310" s="240">
        <v>1254</v>
      </c>
      <c r="C310" s="241">
        <v>58338</v>
      </c>
      <c r="D310" s="239" t="s">
        <v>3818</v>
      </c>
      <c r="E310" s="239" t="s">
        <v>786</v>
      </c>
      <c r="F310" s="239" t="s">
        <v>787</v>
      </c>
      <c r="G310" s="239" t="s">
        <v>965</v>
      </c>
      <c r="H310" s="239" t="s">
        <v>48</v>
      </c>
      <c r="I310" s="239" t="s">
        <v>399</v>
      </c>
      <c r="J310" s="233"/>
      <c r="K310" s="235">
        <v>45896</v>
      </c>
      <c r="L310" s="233">
        <v>1.1000000000000001</v>
      </c>
      <c r="M310" s="234" t="s">
        <v>965</v>
      </c>
      <c r="N310" s="234">
        <v>36410</v>
      </c>
      <c r="O310" s="234">
        <v>13950</v>
      </c>
      <c r="P310" s="242">
        <v>9</v>
      </c>
      <c r="Q310" s="234">
        <v>22460</v>
      </c>
      <c r="R310" s="234">
        <v>20438.599999999999</v>
      </c>
      <c r="S310" s="234" t="s">
        <v>1488</v>
      </c>
      <c r="T310" s="236">
        <v>45896</v>
      </c>
    </row>
    <row r="311" spans="1:16367" ht="63.75" hidden="1">
      <c r="A311" s="239" t="s">
        <v>1373</v>
      </c>
      <c r="B311" s="240">
        <v>1257</v>
      </c>
      <c r="C311" s="241">
        <v>58366</v>
      </c>
      <c r="D311" s="239" t="s">
        <v>3818</v>
      </c>
      <c r="E311" s="239" t="s">
        <v>374</v>
      </c>
      <c r="F311" s="239" t="s">
        <v>375</v>
      </c>
      <c r="G311" s="239" t="s">
        <v>965</v>
      </c>
      <c r="H311" s="239" t="s">
        <v>48</v>
      </c>
      <c r="I311" s="239" t="s">
        <v>399</v>
      </c>
      <c r="J311" s="233"/>
      <c r="K311" s="235">
        <v>45896</v>
      </c>
      <c r="L311" s="233">
        <v>1.1000000000000001</v>
      </c>
      <c r="M311" s="234" t="s">
        <v>965</v>
      </c>
      <c r="N311" s="234">
        <v>38040</v>
      </c>
      <c r="O311" s="234">
        <v>15600</v>
      </c>
      <c r="P311" s="242">
        <v>9</v>
      </c>
      <c r="Q311" s="234">
        <v>22440</v>
      </c>
      <c r="R311" s="234">
        <v>20420.400000000001</v>
      </c>
      <c r="S311" s="234" t="s">
        <v>1489</v>
      </c>
      <c r="T311" s="236">
        <v>45897</v>
      </c>
    </row>
    <row r="312" spans="1:16367" ht="63.75" hidden="1">
      <c r="A312" s="239" t="s">
        <v>1374</v>
      </c>
      <c r="B312" s="240">
        <v>1255</v>
      </c>
      <c r="C312" s="241">
        <v>58346</v>
      </c>
      <c r="D312" s="239" t="s">
        <v>3818</v>
      </c>
      <c r="E312" s="239" t="s">
        <v>384</v>
      </c>
      <c r="F312" s="239" t="s">
        <v>385</v>
      </c>
      <c r="G312" s="239" t="s">
        <v>965</v>
      </c>
      <c r="H312" s="239" t="s">
        <v>48</v>
      </c>
      <c r="I312" s="239" t="s">
        <v>399</v>
      </c>
      <c r="J312" s="233"/>
      <c r="K312" s="235">
        <v>45896</v>
      </c>
      <c r="L312" s="233">
        <v>1.1000000000000001</v>
      </c>
      <c r="M312" s="234" t="s">
        <v>965</v>
      </c>
      <c r="N312" s="234">
        <v>36810</v>
      </c>
      <c r="O312" s="234">
        <v>13910</v>
      </c>
      <c r="P312" s="242">
        <v>13</v>
      </c>
      <c r="Q312" s="234">
        <v>22900</v>
      </c>
      <c r="R312" s="234">
        <v>19923</v>
      </c>
      <c r="S312" s="234" t="s">
        <v>1490</v>
      </c>
      <c r="T312" s="236">
        <v>45897</v>
      </c>
      <c r="U312" s="234"/>
      <c r="V312" s="234"/>
      <c r="W312" s="234"/>
      <c r="X312" s="236"/>
      <c r="Y312" s="244"/>
      <c r="Z312" s="239"/>
      <c r="AA312" s="240"/>
      <c r="AB312" s="241"/>
      <c r="AC312" s="239"/>
      <c r="AD312" s="239"/>
      <c r="AE312" s="239"/>
      <c r="AF312" s="239"/>
      <c r="AG312" s="239"/>
      <c r="AH312" s="239"/>
      <c r="AI312" s="233"/>
      <c r="AJ312" s="235"/>
      <c r="AK312" s="233"/>
      <c r="AL312" s="234"/>
      <c r="AM312" s="234"/>
      <c r="AN312" s="242"/>
      <c r="AO312" s="234"/>
      <c r="AP312" s="234"/>
      <c r="AQ312" s="234"/>
      <c r="AR312" s="236"/>
      <c r="AS312" s="244"/>
      <c r="AT312" s="239"/>
      <c r="AU312" s="240"/>
      <c r="AV312" s="241"/>
      <c r="AW312" s="239"/>
      <c r="AX312" s="239"/>
      <c r="AY312" s="239"/>
      <c r="AZ312" s="239"/>
      <c r="BA312" s="239"/>
      <c r="BB312" s="239"/>
      <c r="BC312" s="233"/>
      <c r="BD312" s="235"/>
      <c r="BE312" s="233"/>
      <c r="BF312" s="234"/>
      <c r="BG312" s="234"/>
      <c r="BH312" s="242"/>
      <c r="BI312" s="234"/>
      <c r="BJ312" s="234"/>
      <c r="BK312" s="234"/>
      <c r="BL312" s="236"/>
      <c r="BM312" s="244"/>
      <c r="BN312" s="239"/>
      <c r="BO312" s="240"/>
      <c r="BP312" s="241"/>
      <c r="BQ312" s="239"/>
      <c r="BR312" s="239"/>
      <c r="BS312" s="239"/>
      <c r="BT312" s="239"/>
      <c r="BU312" s="239"/>
      <c r="BV312" s="239"/>
      <c r="BW312" s="233"/>
      <c r="BX312" s="235"/>
      <c r="BY312" s="233"/>
      <c r="BZ312" s="234"/>
      <c r="CA312" s="234"/>
      <c r="CB312" s="242"/>
      <c r="CC312" s="234"/>
      <c r="CD312" s="234"/>
      <c r="CE312" s="234"/>
      <c r="CF312" s="236"/>
      <c r="CG312" s="244"/>
      <c r="CH312" s="239"/>
      <c r="CI312" s="240"/>
      <c r="CJ312" s="241"/>
      <c r="CK312" s="239"/>
      <c r="CL312" s="239"/>
      <c r="CM312" s="239"/>
      <c r="CN312" s="239"/>
      <c r="CO312" s="239"/>
      <c r="CP312" s="239"/>
      <c r="CQ312" s="233"/>
      <c r="CR312" s="235"/>
      <c r="CS312" s="233"/>
      <c r="CT312" s="234"/>
      <c r="CU312" s="234"/>
      <c r="CV312" s="242"/>
      <c r="CW312" s="234"/>
      <c r="CX312" s="234"/>
      <c r="CY312" s="234"/>
      <c r="CZ312" s="236"/>
      <c r="DA312" s="244"/>
      <c r="DB312" s="239"/>
      <c r="DC312" s="240"/>
      <c r="DD312" s="241"/>
      <c r="DE312" s="239"/>
      <c r="DF312" s="239"/>
      <c r="DG312" s="239"/>
      <c r="DH312" s="239"/>
      <c r="DI312" s="239"/>
      <c r="DJ312" s="239"/>
      <c r="DK312" s="233"/>
      <c r="DL312" s="235"/>
      <c r="DM312" s="233"/>
      <c r="DN312" s="234"/>
      <c r="DO312" s="234"/>
      <c r="DP312" s="242"/>
      <c r="DQ312" s="234"/>
      <c r="DR312" s="234"/>
      <c r="DS312" s="234"/>
      <c r="DT312" s="236"/>
      <c r="DU312" s="244"/>
      <c r="DV312" s="239"/>
      <c r="DW312" s="240"/>
      <c r="DX312" s="241"/>
      <c r="DY312" s="239"/>
      <c r="DZ312" s="239"/>
      <c r="EA312" s="239"/>
      <c r="EB312" s="239"/>
      <c r="EC312" s="239"/>
      <c r="ED312" s="239"/>
      <c r="EE312" s="233"/>
      <c r="EF312" s="235"/>
      <c r="EG312" s="233"/>
      <c r="EH312" s="234"/>
      <c r="EI312" s="234"/>
      <c r="EJ312" s="242"/>
      <c r="EK312" s="234"/>
      <c r="EL312" s="234"/>
      <c r="EM312" s="234"/>
      <c r="EN312" s="236"/>
      <c r="EO312" s="244"/>
      <c r="EP312" s="239"/>
      <c r="EQ312" s="240"/>
      <c r="ER312" s="241"/>
      <c r="ES312" s="239"/>
      <c r="ET312" s="239"/>
      <c r="EU312" s="239"/>
      <c r="EV312" s="239"/>
      <c r="EW312" s="239"/>
      <c r="EX312" s="239"/>
      <c r="EY312" s="233"/>
      <c r="EZ312" s="235"/>
      <c r="FA312" s="233"/>
      <c r="FB312" s="234"/>
      <c r="FC312" s="234"/>
      <c r="FD312" s="242"/>
      <c r="FE312" s="234"/>
      <c r="FF312" s="234"/>
      <c r="FG312" s="234"/>
      <c r="FH312" s="236"/>
      <c r="FI312" s="244"/>
      <c r="FJ312" s="239"/>
      <c r="FK312" s="240"/>
      <c r="FL312" s="241"/>
      <c r="FM312" s="239"/>
      <c r="FN312" s="239"/>
      <c r="FO312" s="239"/>
      <c r="FP312" s="239"/>
      <c r="FQ312" s="239"/>
      <c r="FR312" s="239"/>
      <c r="FS312" s="233"/>
      <c r="FT312" s="235"/>
      <c r="FU312" s="233"/>
      <c r="FV312" s="234"/>
      <c r="FW312" s="234"/>
      <c r="FX312" s="242"/>
      <c r="FY312" s="234"/>
      <c r="FZ312" s="234"/>
      <c r="GA312" s="234"/>
      <c r="GB312" s="236"/>
      <c r="GC312" s="244"/>
      <c r="GD312" s="239"/>
      <c r="GE312" s="240"/>
      <c r="GF312" s="241"/>
      <c r="GG312" s="239"/>
      <c r="GH312" s="239"/>
      <c r="GI312" s="239"/>
      <c r="GJ312" s="239"/>
      <c r="GK312" s="239"/>
      <c r="GL312" s="239"/>
      <c r="GM312" s="233"/>
      <c r="GN312" s="235"/>
      <c r="GO312" s="233"/>
      <c r="GP312" s="234"/>
      <c r="GQ312" s="234"/>
      <c r="GR312" s="242"/>
      <c r="GS312" s="234"/>
      <c r="GT312" s="234"/>
      <c r="GU312" s="234"/>
      <c r="GV312" s="236"/>
      <c r="GW312" s="244"/>
      <c r="GX312" s="239"/>
      <c r="GY312" s="240"/>
      <c r="GZ312" s="241"/>
      <c r="HA312" s="239"/>
      <c r="HB312" s="239"/>
      <c r="HC312" s="239"/>
      <c r="HD312" s="239"/>
      <c r="HE312" s="239"/>
      <c r="HF312" s="239"/>
      <c r="HG312" s="233"/>
      <c r="HH312" s="235"/>
      <c r="HI312" s="233"/>
      <c r="HJ312" s="234"/>
      <c r="HK312" s="234"/>
      <c r="HL312" s="242"/>
      <c r="HM312" s="234"/>
      <c r="HN312" s="234"/>
      <c r="HO312" s="234"/>
      <c r="HP312" s="236"/>
      <c r="HQ312" s="244"/>
      <c r="HR312" s="239"/>
      <c r="HS312" s="240"/>
      <c r="HT312" s="241"/>
      <c r="HU312" s="239"/>
      <c r="HV312" s="239"/>
      <c r="HW312" s="239"/>
      <c r="HX312" s="239"/>
      <c r="HY312" s="239"/>
      <c r="HZ312" s="239"/>
      <c r="IA312" s="233"/>
      <c r="IB312" s="235"/>
      <c r="IC312" s="233"/>
      <c r="ID312" s="234"/>
      <c r="IE312" s="234"/>
      <c r="IF312" s="242"/>
      <c r="IG312" s="234"/>
      <c r="IH312" s="234"/>
      <c r="II312" s="234"/>
      <c r="IJ312" s="236"/>
      <c r="IK312" s="244"/>
      <c r="IL312" s="239"/>
      <c r="IM312" s="240"/>
      <c r="IN312" s="241"/>
      <c r="IO312" s="239"/>
      <c r="IP312" s="239"/>
      <c r="IQ312" s="239"/>
      <c r="IR312" s="239"/>
      <c r="IS312" s="239"/>
      <c r="IT312" s="239"/>
      <c r="IU312" s="233"/>
      <c r="IV312" s="235"/>
      <c r="IW312" s="233"/>
      <c r="IX312" s="234"/>
      <c r="IY312" s="234"/>
      <c r="IZ312" s="242"/>
      <c r="JA312" s="234"/>
      <c r="JB312" s="234"/>
      <c r="JC312" s="234"/>
      <c r="JD312" s="236"/>
      <c r="JE312" s="244"/>
      <c r="JF312" s="239"/>
      <c r="JG312" s="240"/>
      <c r="JH312" s="241"/>
      <c r="JI312" s="239"/>
      <c r="JJ312" s="239"/>
      <c r="JK312" s="239"/>
      <c r="JL312" s="239"/>
      <c r="JM312" s="239"/>
      <c r="JN312" s="239"/>
      <c r="JO312" s="233"/>
      <c r="JP312" s="235"/>
      <c r="JQ312" s="233"/>
      <c r="JR312" s="234"/>
      <c r="JS312" s="234"/>
      <c r="JT312" s="242"/>
      <c r="JU312" s="234"/>
      <c r="JV312" s="234"/>
      <c r="JW312" s="234"/>
      <c r="JX312" s="236"/>
      <c r="JY312" s="244"/>
      <c r="JZ312" s="239"/>
      <c r="KA312" s="240"/>
      <c r="KB312" s="241"/>
      <c r="KC312" s="239"/>
      <c r="KD312" s="239"/>
      <c r="KE312" s="239"/>
      <c r="KF312" s="239"/>
      <c r="KG312" s="239"/>
      <c r="KH312" s="239"/>
      <c r="KI312" s="233"/>
      <c r="KJ312" s="235"/>
      <c r="KK312" s="233"/>
      <c r="KL312" s="234"/>
      <c r="KM312" s="234"/>
      <c r="KN312" s="242"/>
      <c r="KO312" s="234"/>
      <c r="KP312" s="234"/>
      <c r="KQ312" s="234"/>
      <c r="KR312" s="236"/>
      <c r="KS312" s="244"/>
      <c r="KT312" s="239"/>
      <c r="KU312" s="240"/>
      <c r="KV312" s="241"/>
      <c r="KW312" s="239"/>
      <c r="KX312" s="239"/>
      <c r="KY312" s="239"/>
      <c r="KZ312" s="239"/>
      <c r="LA312" s="239"/>
      <c r="LB312" s="239"/>
      <c r="LC312" s="233"/>
      <c r="LD312" s="235"/>
      <c r="LE312" s="233"/>
      <c r="LF312" s="234"/>
      <c r="LG312" s="234"/>
      <c r="LH312" s="242"/>
      <c r="LI312" s="234"/>
      <c r="LJ312" s="234"/>
      <c r="LK312" s="234"/>
      <c r="LL312" s="236"/>
      <c r="LM312" s="244"/>
      <c r="LN312" s="239"/>
      <c r="LO312" s="240"/>
      <c r="LP312" s="241"/>
      <c r="LQ312" s="239"/>
      <c r="LR312" s="239"/>
      <c r="LS312" s="239"/>
      <c r="LT312" s="239"/>
      <c r="LU312" s="239"/>
      <c r="LV312" s="239"/>
      <c r="LW312" s="233"/>
      <c r="LX312" s="235"/>
      <c r="LY312" s="233"/>
      <c r="LZ312" s="234"/>
      <c r="MA312" s="234"/>
      <c r="MB312" s="242"/>
      <c r="MC312" s="234"/>
      <c r="MD312" s="234"/>
      <c r="ME312" s="234"/>
      <c r="MF312" s="236"/>
      <c r="MG312" s="244"/>
      <c r="MH312" s="239"/>
      <c r="MI312" s="240"/>
      <c r="MJ312" s="241"/>
      <c r="MK312" s="239"/>
      <c r="ML312" s="239"/>
      <c r="MM312" s="239"/>
      <c r="MN312" s="239"/>
      <c r="MO312" s="239"/>
      <c r="MP312" s="239"/>
      <c r="MQ312" s="233"/>
      <c r="MR312" s="235"/>
      <c r="MS312" s="233"/>
      <c r="MT312" s="234"/>
      <c r="MU312" s="234"/>
      <c r="MV312" s="242"/>
      <c r="MW312" s="234"/>
      <c r="MX312" s="234"/>
      <c r="MY312" s="234"/>
      <c r="MZ312" s="236"/>
      <c r="NA312" s="244"/>
      <c r="NB312" s="239"/>
      <c r="NC312" s="240"/>
      <c r="ND312" s="241"/>
      <c r="NE312" s="239"/>
      <c r="NF312" s="239"/>
      <c r="NG312" s="239"/>
      <c r="NH312" s="239"/>
      <c r="NI312" s="239"/>
      <c r="NJ312" s="239"/>
      <c r="NK312" s="233"/>
      <c r="NL312" s="235"/>
      <c r="NM312" s="233"/>
      <c r="NN312" s="234"/>
      <c r="NO312" s="234"/>
      <c r="NP312" s="242"/>
      <c r="NQ312" s="234"/>
      <c r="NR312" s="234"/>
      <c r="NS312" s="234"/>
      <c r="NT312" s="236"/>
      <c r="NU312" s="244"/>
      <c r="NV312" s="239"/>
      <c r="NW312" s="240"/>
      <c r="NX312" s="241"/>
      <c r="NY312" s="239"/>
      <c r="NZ312" s="239"/>
      <c r="OA312" s="239"/>
      <c r="OB312" s="239"/>
      <c r="OC312" s="239"/>
      <c r="OD312" s="239"/>
      <c r="OE312" s="233"/>
      <c r="OF312" s="235"/>
      <c r="OG312" s="233"/>
      <c r="OH312" s="234"/>
      <c r="OI312" s="234"/>
      <c r="OJ312" s="242"/>
      <c r="OK312" s="234"/>
      <c r="OL312" s="234"/>
      <c r="OM312" s="234"/>
      <c r="ON312" s="236"/>
      <c r="OO312" s="244"/>
      <c r="OP312" s="239"/>
      <c r="OQ312" s="240"/>
      <c r="OR312" s="241"/>
      <c r="OS312" s="239"/>
      <c r="OT312" s="239"/>
      <c r="OU312" s="239"/>
      <c r="OV312" s="239"/>
      <c r="OW312" s="239"/>
      <c r="OX312" s="239"/>
      <c r="OY312" s="233"/>
      <c r="OZ312" s="235"/>
      <c r="PA312" s="233"/>
      <c r="PB312" s="234"/>
      <c r="PC312" s="234"/>
      <c r="PD312" s="242"/>
      <c r="PE312" s="234"/>
      <c r="PF312" s="234"/>
      <c r="PG312" s="234"/>
      <c r="PH312" s="236"/>
      <c r="PI312" s="244"/>
      <c r="PJ312" s="239"/>
      <c r="PK312" s="240"/>
      <c r="PL312" s="241"/>
      <c r="PM312" s="239"/>
      <c r="PN312" s="239"/>
      <c r="PO312" s="239"/>
      <c r="PP312" s="239"/>
      <c r="PQ312" s="239"/>
      <c r="PR312" s="239"/>
      <c r="PS312" s="233"/>
      <c r="PT312" s="235"/>
      <c r="PU312" s="233"/>
      <c r="PV312" s="234"/>
      <c r="PW312" s="234"/>
      <c r="PX312" s="242"/>
      <c r="PY312" s="234"/>
      <c r="PZ312" s="234"/>
      <c r="QA312" s="234"/>
      <c r="QB312" s="236"/>
      <c r="QC312" s="244"/>
      <c r="QD312" s="239"/>
      <c r="QE312" s="240"/>
      <c r="QF312" s="241"/>
      <c r="QG312" s="239"/>
      <c r="QH312" s="239"/>
      <c r="QI312" s="239"/>
      <c r="QJ312" s="239"/>
      <c r="QK312" s="239"/>
      <c r="QL312" s="239"/>
      <c r="QM312" s="233"/>
      <c r="QN312" s="235"/>
      <c r="QO312" s="233"/>
      <c r="QP312" s="234"/>
      <c r="QQ312" s="234"/>
      <c r="QR312" s="242"/>
      <c r="QS312" s="234"/>
      <c r="QT312" s="234"/>
      <c r="QU312" s="234"/>
      <c r="QV312" s="236"/>
      <c r="QW312" s="244"/>
      <c r="QX312" s="239"/>
      <c r="QY312" s="240"/>
      <c r="QZ312" s="241"/>
      <c r="RA312" s="239"/>
      <c r="RB312" s="239"/>
      <c r="RC312" s="239"/>
      <c r="RD312" s="239"/>
      <c r="RE312" s="239"/>
      <c r="RF312" s="239"/>
      <c r="RG312" s="233"/>
      <c r="RH312" s="235"/>
      <c r="RI312" s="233"/>
      <c r="RJ312" s="234"/>
      <c r="RK312" s="234"/>
      <c r="RL312" s="242"/>
      <c r="RM312" s="234"/>
      <c r="RN312" s="234"/>
      <c r="RO312" s="234"/>
      <c r="RP312" s="236"/>
      <c r="RQ312" s="244"/>
      <c r="RR312" s="239"/>
      <c r="RS312" s="240"/>
      <c r="RT312" s="241"/>
      <c r="RU312" s="239"/>
      <c r="RV312" s="239"/>
      <c r="RW312" s="239"/>
      <c r="RX312" s="239"/>
      <c r="RY312" s="239"/>
      <c r="RZ312" s="239"/>
      <c r="SA312" s="233"/>
      <c r="SB312" s="235"/>
      <c r="SC312" s="233"/>
      <c r="SD312" s="234"/>
      <c r="SE312" s="234"/>
      <c r="SF312" s="242"/>
      <c r="SG312" s="234"/>
      <c r="SH312" s="234"/>
      <c r="SI312" s="234"/>
      <c r="SJ312" s="236"/>
      <c r="SK312" s="244"/>
      <c r="SL312" s="239"/>
      <c r="SM312" s="240"/>
      <c r="SN312" s="241"/>
      <c r="SO312" s="239"/>
      <c r="SP312" s="239"/>
      <c r="SQ312" s="239"/>
      <c r="SR312" s="239"/>
      <c r="SS312" s="239"/>
      <c r="ST312" s="239"/>
      <c r="SU312" s="233"/>
      <c r="SV312" s="235"/>
      <c r="SW312" s="233"/>
      <c r="SX312" s="234"/>
      <c r="SY312" s="234"/>
      <c r="SZ312" s="242"/>
      <c r="TA312" s="234"/>
      <c r="TB312" s="234"/>
      <c r="TC312" s="234"/>
      <c r="TD312" s="236"/>
      <c r="TE312" s="244"/>
      <c r="TF312" s="239"/>
      <c r="TG312" s="240"/>
      <c r="TH312" s="241"/>
      <c r="TI312" s="239"/>
      <c r="TJ312" s="239"/>
      <c r="TK312" s="239"/>
      <c r="TL312" s="239"/>
      <c r="TM312" s="239"/>
      <c r="TN312" s="239"/>
      <c r="TO312" s="233"/>
      <c r="TP312" s="235"/>
      <c r="TQ312" s="233"/>
      <c r="TR312" s="234"/>
      <c r="TS312" s="234"/>
      <c r="TT312" s="242"/>
      <c r="TU312" s="234"/>
      <c r="TV312" s="234"/>
      <c r="TW312" s="234"/>
      <c r="TX312" s="236"/>
      <c r="TY312" s="244"/>
      <c r="TZ312" s="239"/>
      <c r="UA312" s="240"/>
      <c r="UB312" s="241"/>
      <c r="UC312" s="239"/>
      <c r="UD312" s="239"/>
      <c r="UE312" s="239"/>
      <c r="UF312" s="239"/>
      <c r="UG312" s="239"/>
      <c r="UH312" s="239"/>
      <c r="UI312" s="233"/>
      <c r="UJ312" s="235"/>
      <c r="UK312" s="233"/>
      <c r="UL312" s="234"/>
      <c r="UM312" s="234"/>
      <c r="UN312" s="242"/>
      <c r="UO312" s="234"/>
      <c r="UP312" s="234"/>
      <c r="UQ312" s="234"/>
      <c r="UR312" s="236"/>
      <c r="US312" s="244"/>
      <c r="UT312" s="239"/>
      <c r="UU312" s="240"/>
      <c r="UV312" s="241"/>
      <c r="UW312" s="239"/>
      <c r="UX312" s="239"/>
      <c r="UY312" s="239"/>
      <c r="UZ312" s="239"/>
      <c r="VA312" s="239"/>
      <c r="VB312" s="239"/>
      <c r="VC312" s="233"/>
      <c r="VD312" s="235"/>
      <c r="VE312" s="233"/>
      <c r="VF312" s="234"/>
      <c r="VG312" s="234"/>
      <c r="VH312" s="242"/>
      <c r="VI312" s="234"/>
      <c r="VJ312" s="234"/>
      <c r="VK312" s="234"/>
      <c r="VL312" s="236"/>
      <c r="VM312" s="244"/>
      <c r="VN312" s="239"/>
      <c r="VO312" s="240"/>
      <c r="VP312" s="241"/>
      <c r="VQ312" s="239"/>
      <c r="VR312" s="239"/>
      <c r="VS312" s="239"/>
      <c r="VT312" s="239"/>
      <c r="VU312" s="239"/>
      <c r="VV312" s="239"/>
      <c r="VW312" s="233"/>
      <c r="VX312" s="235"/>
      <c r="VY312" s="233"/>
      <c r="VZ312" s="234"/>
      <c r="WA312" s="234"/>
      <c r="WB312" s="242"/>
      <c r="WC312" s="234"/>
      <c r="WD312" s="234"/>
      <c r="WE312" s="234"/>
      <c r="WF312" s="236"/>
      <c r="WG312" s="244"/>
      <c r="WH312" s="239"/>
      <c r="WI312" s="240"/>
      <c r="WJ312" s="241"/>
      <c r="WK312" s="239"/>
      <c r="WL312" s="239"/>
      <c r="WM312" s="239"/>
      <c r="WN312" s="239"/>
      <c r="WO312" s="239"/>
      <c r="WP312" s="239"/>
      <c r="WQ312" s="233"/>
      <c r="WR312" s="235"/>
      <c r="WS312" s="233"/>
      <c r="WT312" s="234"/>
      <c r="WU312" s="234"/>
      <c r="WV312" s="242"/>
      <c r="WW312" s="234"/>
      <c r="WX312" s="234"/>
      <c r="WY312" s="234"/>
      <c r="WZ312" s="236"/>
      <c r="XA312" s="244"/>
      <c r="XB312" s="239"/>
      <c r="XC312" s="240"/>
      <c r="XD312" s="241"/>
      <c r="XE312" s="239"/>
      <c r="XF312" s="239"/>
      <c r="XG312" s="239"/>
      <c r="XH312" s="239"/>
      <c r="XI312" s="239"/>
      <c r="XJ312" s="239"/>
      <c r="XK312" s="233"/>
      <c r="XL312" s="235"/>
      <c r="XM312" s="233"/>
      <c r="XN312" s="234"/>
      <c r="XO312" s="234"/>
      <c r="XP312" s="242"/>
      <c r="XQ312" s="234"/>
      <c r="XR312" s="234"/>
      <c r="XS312" s="234"/>
      <c r="XT312" s="236"/>
      <c r="XU312" s="244"/>
      <c r="XV312" s="239"/>
      <c r="XW312" s="240"/>
      <c r="XX312" s="241"/>
      <c r="XY312" s="239"/>
      <c r="XZ312" s="239"/>
      <c r="YA312" s="239"/>
      <c r="YB312" s="239"/>
      <c r="YC312" s="239"/>
      <c r="YD312" s="239"/>
      <c r="YE312" s="233"/>
      <c r="YF312" s="235"/>
      <c r="YG312" s="233"/>
      <c r="YH312" s="234"/>
      <c r="YI312" s="234"/>
      <c r="YJ312" s="242"/>
      <c r="YK312" s="234"/>
      <c r="YL312" s="234"/>
      <c r="YM312" s="234"/>
      <c r="YN312" s="236"/>
      <c r="YO312" s="244"/>
      <c r="YP312" s="239"/>
      <c r="YQ312" s="240"/>
      <c r="YR312" s="241"/>
      <c r="YS312" s="239"/>
      <c r="YT312" s="239"/>
      <c r="YU312" s="239"/>
      <c r="YV312" s="239"/>
      <c r="YW312" s="239"/>
      <c r="YX312" s="239"/>
      <c r="YY312" s="233"/>
      <c r="YZ312" s="235"/>
      <c r="ZA312" s="233"/>
      <c r="ZB312" s="234"/>
      <c r="ZC312" s="234"/>
      <c r="ZD312" s="242"/>
      <c r="ZE312" s="234"/>
      <c r="ZF312" s="234"/>
      <c r="ZG312" s="234"/>
      <c r="ZH312" s="236"/>
      <c r="ZI312" s="244"/>
      <c r="ZJ312" s="239"/>
      <c r="ZK312" s="240"/>
      <c r="ZL312" s="241"/>
      <c r="ZM312" s="239"/>
      <c r="ZN312" s="239"/>
      <c r="ZO312" s="239"/>
      <c r="ZP312" s="239"/>
      <c r="ZQ312" s="239"/>
      <c r="ZR312" s="239"/>
      <c r="ZS312" s="233"/>
      <c r="ZT312" s="235"/>
      <c r="ZU312" s="233"/>
      <c r="ZV312" s="234"/>
      <c r="ZW312" s="234"/>
      <c r="ZX312" s="242"/>
      <c r="ZY312" s="234"/>
      <c r="ZZ312" s="234"/>
      <c r="AAA312" s="234"/>
      <c r="AAB312" s="236"/>
      <c r="AAC312" s="244"/>
      <c r="AAD312" s="239"/>
      <c r="AAE312" s="240"/>
      <c r="AAF312" s="241"/>
      <c r="AAG312" s="239"/>
      <c r="AAH312" s="239"/>
      <c r="AAI312" s="239"/>
      <c r="AAJ312" s="239"/>
      <c r="AAK312" s="239"/>
      <c r="AAL312" s="239"/>
      <c r="AAM312" s="233"/>
      <c r="AAN312" s="235"/>
      <c r="AAO312" s="233"/>
      <c r="AAP312" s="234"/>
      <c r="AAQ312" s="234"/>
      <c r="AAR312" s="242"/>
      <c r="AAS312" s="234"/>
      <c r="AAT312" s="234"/>
      <c r="AAU312" s="234"/>
      <c r="AAV312" s="236"/>
      <c r="AAW312" s="244"/>
      <c r="AAX312" s="239"/>
      <c r="AAY312" s="240"/>
      <c r="AAZ312" s="241"/>
      <c r="ABA312" s="239"/>
      <c r="ABB312" s="239"/>
      <c r="ABC312" s="239"/>
      <c r="ABD312" s="239"/>
      <c r="ABE312" s="239"/>
      <c r="ABF312" s="239"/>
      <c r="ABG312" s="233"/>
      <c r="ABH312" s="235"/>
      <c r="ABI312" s="233"/>
      <c r="ABJ312" s="234"/>
      <c r="ABK312" s="234"/>
      <c r="ABL312" s="242"/>
      <c r="ABM312" s="234"/>
      <c r="ABN312" s="234"/>
      <c r="ABO312" s="234"/>
      <c r="ABP312" s="236"/>
      <c r="ABQ312" s="244"/>
      <c r="ABR312" s="239"/>
      <c r="ABS312" s="240"/>
      <c r="ABT312" s="241"/>
      <c r="ABU312" s="239"/>
      <c r="ABV312" s="239"/>
      <c r="ABW312" s="239"/>
      <c r="ABX312" s="239"/>
      <c r="ABY312" s="239"/>
      <c r="ABZ312" s="239"/>
      <c r="ACA312" s="233"/>
      <c r="ACB312" s="235"/>
      <c r="ACC312" s="233"/>
      <c r="ACD312" s="234"/>
      <c r="ACE312" s="234"/>
      <c r="ACF312" s="242"/>
      <c r="ACG312" s="234"/>
      <c r="ACH312" s="234"/>
      <c r="ACI312" s="234"/>
      <c r="ACJ312" s="236"/>
      <c r="ACK312" s="244"/>
      <c r="ACL312" s="239"/>
      <c r="ACM312" s="240"/>
      <c r="ACN312" s="241"/>
      <c r="ACO312" s="239"/>
      <c r="ACP312" s="239"/>
      <c r="ACQ312" s="239"/>
      <c r="ACR312" s="239"/>
      <c r="ACS312" s="239"/>
      <c r="ACT312" s="239"/>
      <c r="ACU312" s="233"/>
      <c r="ACV312" s="235"/>
      <c r="ACW312" s="233"/>
      <c r="ACX312" s="234"/>
      <c r="ACY312" s="234"/>
      <c r="ACZ312" s="242"/>
      <c r="ADA312" s="234"/>
      <c r="ADB312" s="234"/>
      <c r="ADC312" s="234"/>
      <c r="ADD312" s="236"/>
      <c r="ADE312" s="244"/>
      <c r="ADF312" s="239"/>
      <c r="ADG312" s="240"/>
      <c r="ADH312" s="241"/>
      <c r="ADI312" s="239"/>
      <c r="ADJ312" s="239"/>
      <c r="ADK312" s="239"/>
      <c r="ADL312" s="239"/>
      <c r="ADM312" s="239"/>
      <c r="ADN312" s="239"/>
      <c r="ADO312" s="233"/>
      <c r="ADP312" s="235"/>
      <c r="ADQ312" s="233"/>
      <c r="ADR312" s="234"/>
      <c r="ADS312" s="234"/>
      <c r="ADT312" s="242"/>
      <c r="ADU312" s="234"/>
      <c r="ADV312" s="234"/>
      <c r="ADW312" s="234"/>
      <c r="ADX312" s="236"/>
      <c r="ADY312" s="244"/>
      <c r="ADZ312" s="239"/>
      <c r="AEA312" s="240"/>
      <c r="AEB312" s="241"/>
      <c r="AEC312" s="239"/>
      <c r="AED312" s="239"/>
      <c r="AEE312" s="239"/>
      <c r="AEF312" s="239"/>
      <c r="AEG312" s="239"/>
      <c r="AEH312" s="239"/>
      <c r="AEI312" s="233"/>
      <c r="AEJ312" s="235"/>
      <c r="AEK312" s="233"/>
      <c r="AEL312" s="234"/>
      <c r="AEM312" s="234"/>
      <c r="AEN312" s="242"/>
      <c r="AEO312" s="234"/>
      <c r="AEP312" s="234"/>
      <c r="AEQ312" s="234"/>
      <c r="AER312" s="236"/>
      <c r="AES312" s="244"/>
      <c r="AET312" s="239"/>
      <c r="AEU312" s="240"/>
      <c r="AEV312" s="241"/>
      <c r="AEW312" s="239"/>
      <c r="AEX312" s="239"/>
      <c r="AEY312" s="239"/>
      <c r="AEZ312" s="239"/>
      <c r="AFA312" s="239"/>
      <c r="AFB312" s="239"/>
      <c r="AFC312" s="233"/>
      <c r="AFD312" s="235"/>
      <c r="AFE312" s="233"/>
      <c r="AFF312" s="234"/>
      <c r="AFG312" s="234"/>
      <c r="AFH312" s="242"/>
      <c r="AFI312" s="234"/>
      <c r="AFJ312" s="234"/>
      <c r="AFK312" s="234"/>
      <c r="AFL312" s="236"/>
      <c r="AFM312" s="244"/>
      <c r="AFN312" s="239"/>
      <c r="AFO312" s="240"/>
      <c r="AFP312" s="241"/>
      <c r="AFQ312" s="239"/>
      <c r="AFR312" s="239"/>
      <c r="AFS312" s="239"/>
      <c r="AFT312" s="239"/>
      <c r="AFU312" s="239"/>
      <c r="AFV312" s="239"/>
      <c r="AFW312" s="233"/>
      <c r="AFX312" s="235"/>
      <c r="AFY312" s="233"/>
      <c r="AFZ312" s="234"/>
      <c r="AGA312" s="234"/>
      <c r="AGB312" s="242"/>
      <c r="AGC312" s="234"/>
      <c r="AGD312" s="234"/>
      <c r="AGE312" s="234"/>
      <c r="AGF312" s="236"/>
      <c r="AGG312" s="244"/>
      <c r="AGH312" s="239"/>
      <c r="AGI312" s="240"/>
      <c r="AGJ312" s="241"/>
      <c r="AGK312" s="239"/>
      <c r="AGL312" s="239"/>
      <c r="AGM312" s="239"/>
      <c r="AGN312" s="239"/>
      <c r="AGO312" s="239"/>
      <c r="AGP312" s="239"/>
      <c r="AGQ312" s="233"/>
      <c r="AGR312" s="235"/>
      <c r="AGS312" s="233"/>
      <c r="AGT312" s="234"/>
      <c r="AGU312" s="234"/>
      <c r="AGV312" s="242"/>
      <c r="AGW312" s="234"/>
      <c r="AGX312" s="234"/>
      <c r="AGY312" s="234"/>
      <c r="AGZ312" s="236"/>
      <c r="AHA312" s="244"/>
      <c r="AHB312" s="239"/>
      <c r="AHC312" s="240"/>
      <c r="AHD312" s="241"/>
      <c r="AHE312" s="239"/>
      <c r="AHF312" s="239"/>
      <c r="AHG312" s="239"/>
      <c r="AHH312" s="239"/>
      <c r="AHI312" s="239"/>
      <c r="AHJ312" s="239"/>
      <c r="AHK312" s="233"/>
      <c r="AHL312" s="235"/>
      <c r="AHM312" s="233"/>
      <c r="AHN312" s="234"/>
      <c r="AHO312" s="234"/>
      <c r="AHP312" s="242"/>
      <c r="AHQ312" s="234"/>
      <c r="AHR312" s="234"/>
      <c r="AHS312" s="234"/>
      <c r="AHT312" s="236"/>
      <c r="AHU312" s="244"/>
      <c r="AHV312" s="239"/>
      <c r="AHW312" s="240"/>
      <c r="AHX312" s="241"/>
      <c r="AHY312" s="239"/>
      <c r="AHZ312" s="239"/>
      <c r="AIA312" s="239"/>
      <c r="AIB312" s="239"/>
      <c r="AIC312" s="239"/>
      <c r="AID312" s="239"/>
      <c r="AIE312" s="233"/>
      <c r="AIF312" s="235"/>
      <c r="AIG312" s="233"/>
      <c r="AIH312" s="234"/>
      <c r="AII312" s="234"/>
      <c r="AIJ312" s="242"/>
      <c r="AIK312" s="234"/>
      <c r="AIL312" s="234"/>
      <c r="AIM312" s="234"/>
      <c r="AIN312" s="236"/>
      <c r="AIO312" s="244"/>
      <c r="AIP312" s="239"/>
      <c r="AIQ312" s="240"/>
      <c r="AIR312" s="241"/>
      <c r="AIS312" s="239"/>
      <c r="AIT312" s="239"/>
      <c r="AIU312" s="239"/>
      <c r="AIV312" s="239"/>
      <c r="AIW312" s="239"/>
      <c r="AIX312" s="239"/>
      <c r="AIY312" s="233"/>
      <c r="AIZ312" s="235"/>
      <c r="AJA312" s="233"/>
      <c r="AJB312" s="234"/>
      <c r="AJC312" s="234"/>
      <c r="AJD312" s="242"/>
      <c r="AJE312" s="234"/>
      <c r="AJF312" s="234"/>
      <c r="AJG312" s="234"/>
      <c r="AJH312" s="236"/>
      <c r="AJI312" s="244"/>
      <c r="AJJ312" s="239"/>
      <c r="AJK312" s="240"/>
      <c r="AJL312" s="241"/>
      <c r="AJM312" s="239"/>
      <c r="AJN312" s="239"/>
      <c r="AJO312" s="239"/>
      <c r="AJP312" s="239"/>
      <c r="AJQ312" s="239"/>
      <c r="AJR312" s="239"/>
      <c r="AJS312" s="233"/>
      <c r="AJT312" s="235"/>
      <c r="AJU312" s="233"/>
      <c r="AJV312" s="234"/>
      <c r="AJW312" s="234"/>
      <c r="AJX312" s="242"/>
      <c r="AJY312" s="234"/>
      <c r="AJZ312" s="234"/>
      <c r="AKA312" s="234"/>
      <c r="AKB312" s="236"/>
      <c r="AKC312" s="244"/>
      <c r="AKD312" s="239"/>
      <c r="AKE312" s="240"/>
      <c r="AKF312" s="241"/>
      <c r="AKG312" s="239"/>
      <c r="AKH312" s="239"/>
      <c r="AKI312" s="239"/>
      <c r="AKJ312" s="239"/>
      <c r="AKK312" s="239"/>
      <c r="AKL312" s="239"/>
      <c r="AKM312" s="233"/>
      <c r="AKN312" s="235"/>
      <c r="AKO312" s="233"/>
      <c r="AKP312" s="234"/>
      <c r="AKQ312" s="234"/>
      <c r="AKR312" s="242"/>
      <c r="AKS312" s="234"/>
      <c r="AKT312" s="234"/>
      <c r="AKU312" s="234"/>
      <c r="AKV312" s="236"/>
      <c r="AKW312" s="244"/>
      <c r="AKX312" s="239"/>
      <c r="AKY312" s="240"/>
      <c r="AKZ312" s="241"/>
      <c r="ALA312" s="239"/>
      <c r="ALB312" s="239"/>
      <c r="ALC312" s="239"/>
      <c r="ALD312" s="239"/>
      <c r="ALE312" s="239"/>
      <c r="ALF312" s="239"/>
      <c r="ALG312" s="233"/>
      <c r="ALH312" s="235"/>
      <c r="ALI312" s="233"/>
      <c r="ALJ312" s="234"/>
      <c r="ALK312" s="234"/>
      <c r="ALL312" s="242"/>
      <c r="ALM312" s="234"/>
      <c r="ALN312" s="234"/>
      <c r="ALO312" s="234"/>
      <c r="ALP312" s="236"/>
      <c r="ALQ312" s="244"/>
      <c r="ALR312" s="239"/>
      <c r="ALS312" s="240"/>
      <c r="ALT312" s="241"/>
      <c r="ALU312" s="239"/>
      <c r="ALV312" s="239"/>
      <c r="ALW312" s="239"/>
      <c r="ALX312" s="239"/>
      <c r="ALY312" s="239"/>
      <c r="ALZ312" s="239"/>
      <c r="AMA312" s="233"/>
      <c r="AMB312" s="235"/>
      <c r="AMC312" s="233"/>
      <c r="AMD312" s="234"/>
      <c r="AME312" s="234"/>
      <c r="AMF312" s="242"/>
      <c r="AMG312" s="234"/>
      <c r="AMH312" s="234"/>
      <c r="AMI312" s="234"/>
      <c r="AMJ312" s="236"/>
      <c r="AMK312" s="244"/>
      <c r="AML312" s="239"/>
      <c r="AMM312" s="240"/>
      <c r="AMN312" s="241"/>
      <c r="AMO312" s="239"/>
      <c r="AMP312" s="239"/>
      <c r="AMQ312" s="239"/>
      <c r="AMR312" s="239"/>
      <c r="AMS312" s="239"/>
      <c r="AMT312" s="239"/>
      <c r="AMU312" s="233"/>
      <c r="AMV312" s="235"/>
      <c r="AMW312" s="233"/>
      <c r="AMX312" s="234"/>
      <c r="AMY312" s="234"/>
      <c r="AMZ312" s="242"/>
      <c r="ANA312" s="234"/>
      <c r="ANB312" s="234"/>
      <c r="ANC312" s="234"/>
      <c r="AND312" s="236"/>
      <c r="ANE312" s="244"/>
      <c r="ANF312" s="239"/>
      <c r="ANG312" s="240"/>
      <c r="ANH312" s="241"/>
      <c r="ANI312" s="239"/>
      <c r="ANJ312" s="239"/>
      <c r="ANK312" s="239"/>
      <c r="ANL312" s="239"/>
      <c r="ANM312" s="239"/>
      <c r="ANN312" s="239"/>
      <c r="ANO312" s="233"/>
      <c r="ANP312" s="235"/>
      <c r="ANQ312" s="233"/>
      <c r="ANR312" s="234"/>
      <c r="ANS312" s="234"/>
      <c r="ANT312" s="242"/>
      <c r="ANU312" s="234"/>
      <c r="ANV312" s="234"/>
      <c r="ANW312" s="234"/>
      <c r="ANX312" s="236"/>
      <c r="ANY312" s="244"/>
      <c r="ANZ312" s="239"/>
      <c r="AOA312" s="240"/>
      <c r="AOB312" s="241"/>
      <c r="AOC312" s="239"/>
      <c r="AOD312" s="239"/>
      <c r="AOE312" s="239"/>
      <c r="AOF312" s="239"/>
      <c r="AOG312" s="239"/>
      <c r="AOH312" s="239"/>
      <c r="AOI312" s="233"/>
      <c r="AOJ312" s="235"/>
      <c r="AOK312" s="233"/>
      <c r="AOL312" s="234"/>
      <c r="AOM312" s="234"/>
      <c r="AON312" s="242"/>
      <c r="AOO312" s="234"/>
      <c r="AOP312" s="234"/>
      <c r="AOQ312" s="234"/>
      <c r="AOR312" s="236"/>
      <c r="AOS312" s="244"/>
      <c r="AOT312" s="239"/>
      <c r="AOU312" s="240"/>
      <c r="AOV312" s="241"/>
      <c r="AOW312" s="239"/>
      <c r="AOX312" s="239"/>
      <c r="AOY312" s="239"/>
      <c r="AOZ312" s="239"/>
      <c r="APA312" s="239"/>
      <c r="APB312" s="239"/>
      <c r="APC312" s="233"/>
      <c r="APD312" s="235"/>
      <c r="APE312" s="233"/>
      <c r="APF312" s="234"/>
      <c r="APG312" s="234"/>
      <c r="APH312" s="242"/>
      <c r="API312" s="234"/>
      <c r="APJ312" s="234"/>
      <c r="APK312" s="234"/>
      <c r="APL312" s="236"/>
      <c r="APM312" s="244"/>
      <c r="APN312" s="239"/>
      <c r="APO312" s="240"/>
      <c r="APP312" s="241"/>
      <c r="APQ312" s="239"/>
      <c r="APR312" s="239"/>
      <c r="APS312" s="239"/>
      <c r="APT312" s="239"/>
      <c r="APU312" s="239"/>
      <c r="APV312" s="239"/>
      <c r="APW312" s="233"/>
      <c r="APX312" s="235"/>
      <c r="APY312" s="233"/>
      <c r="APZ312" s="234"/>
      <c r="AQA312" s="234"/>
      <c r="AQB312" s="242"/>
      <c r="AQC312" s="234"/>
      <c r="AQD312" s="234"/>
      <c r="AQE312" s="234"/>
      <c r="AQF312" s="236"/>
      <c r="AQG312" s="244"/>
      <c r="AQH312" s="239"/>
      <c r="AQI312" s="240"/>
      <c r="AQJ312" s="241"/>
      <c r="AQK312" s="239"/>
      <c r="AQL312" s="239"/>
      <c r="AQM312" s="239"/>
      <c r="AQN312" s="239"/>
      <c r="AQO312" s="239"/>
      <c r="AQP312" s="239"/>
      <c r="AQQ312" s="233"/>
      <c r="AQR312" s="235"/>
      <c r="AQS312" s="233"/>
      <c r="AQT312" s="234"/>
      <c r="AQU312" s="234"/>
      <c r="AQV312" s="242"/>
      <c r="AQW312" s="234"/>
      <c r="AQX312" s="234"/>
      <c r="AQY312" s="234"/>
      <c r="AQZ312" s="236"/>
      <c r="ARA312" s="244"/>
      <c r="ARB312" s="239"/>
      <c r="ARC312" s="240"/>
      <c r="ARD312" s="241"/>
      <c r="ARE312" s="239"/>
      <c r="ARF312" s="239"/>
      <c r="ARG312" s="239"/>
      <c r="ARH312" s="239"/>
      <c r="ARI312" s="239"/>
      <c r="ARJ312" s="239"/>
      <c r="ARK312" s="233"/>
      <c r="ARL312" s="235"/>
      <c r="ARM312" s="233"/>
      <c r="ARN312" s="234"/>
      <c r="ARO312" s="234"/>
      <c r="ARP312" s="242"/>
      <c r="ARQ312" s="234"/>
      <c r="ARR312" s="234"/>
      <c r="ARS312" s="234"/>
      <c r="ART312" s="236"/>
      <c r="ARU312" s="244"/>
      <c r="ARV312" s="239"/>
      <c r="ARW312" s="240"/>
      <c r="ARX312" s="241"/>
      <c r="ARY312" s="239"/>
      <c r="ARZ312" s="239"/>
      <c r="ASA312" s="239"/>
      <c r="ASB312" s="239"/>
      <c r="ASC312" s="239"/>
      <c r="ASD312" s="239"/>
      <c r="ASE312" s="233"/>
      <c r="ASF312" s="235"/>
      <c r="ASG312" s="233"/>
      <c r="ASH312" s="234"/>
      <c r="ASI312" s="234"/>
      <c r="ASJ312" s="242"/>
      <c r="ASK312" s="234"/>
      <c r="ASL312" s="234"/>
      <c r="ASM312" s="234"/>
      <c r="ASN312" s="236"/>
      <c r="ASO312" s="244"/>
      <c r="ASP312" s="239"/>
      <c r="ASQ312" s="240"/>
      <c r="ASR312" s="241"/>
      <c r="ASS312" s="239"/>
      <c r="AST312" s="239"/>
      <c r="ASU312" s="239"/>
      <c r="ASV312" s="239"/>
      <c r="ASW312" s="239"/>
      <c r="ASX312" s="239"/>
      <c r="ASY312" s="233"/>
      <c r="ASZ312" s="235"/>
      <c r="ATA312" s="233"/>
      <c r="ATB312" s="234"/>
      <c r="ATC312" s="234"/>
      <c r="ATD312" s="242"/>
      <c r="ATE312" s="234"/>
      <c r="ATF312" s="234"/>
      <c r="ATG312" s="234"/>
      <c r="ATH312" s="236"/>
      <c r="ATI312" s="244"/>
      <c r="ATJ312" s="239"/>
      <c r="ATK312" s="240"/>
      <c r="ATL312" s="241"/>
      <c r="ATM312" s="239"/>
      <c r="ATN312" s="239"/>
      <c r="ATO312" s="239"/>
      <c r="ATP312" s="239"/>
      <c r="ATQ312" s="239"/>
      <c r="ATR312" s="239"/>
      <c r="ATS312" s="233"/>
      <c r="ATT312" s="235"/>
      <c r="ATU312" s="233"/>
      <c r="ATV312" s="234"/>
      <c r="ATW312" s="234"/>
      <c r="ATX312" s="242"/>
      <c r="ATY312" s="234"/>
      <c r="ATZ312" s="234"/>
      <c r="AUA312" s="234"/>
      <c r="AUB312" s="236"/>
      <c r="AUC312" s="244"/>
      <c r="AUD312" s="239"/>
      <c r="AUE312" s="240"/>
      <c r="AUF312" s="241"/>
      <c r="AUG312" s="239"/>
      <c r="AUH312" s="239"/>
      <c r="AUI312" s="239"/>
      <c r="AUJ312" s="239"/>
      <c r="AUK312" s="239"/>
      <c r="AUL312" s="239"/>
      <c r="AUM312" s="233"/>
      <c r="AUN312" s="235"/>
      <c r="AUO312" s="233"/>
      <c r="AUP312" s="234"/>
      <c r="AUQ312" s="234"/>
      <c r="AUR312" s="242"/>
      <c r="AUS312" s="234"/>
      <c r="AUT312" s="234"/>
      <c r="AUU312" s="234"/>
      <c r="AUV312" s="236"/>
      <c r="AUW312" s="244"/>
      <c r="AUX312" s="239"/>
      <c r="AUY312" s="240"/>
      <c r="AUZ312" s="241"/>
      <c r="AVA312" s="239"/>
      <c r="AVB312" s="239"/>
      <c r="AVC312" s="239"/>
      <c r="AVD312" s="239"/>
      <c r="AVE312" s="239"/>
      <c r="AVF312" s="239"/>
      <c r="AVG312" s="233"/>
      <c r="AVH312" s="235"/>
      <c r="AVI312" s="233"/>
      <c r="AVJ312" s="234"/>
      <c r="AVK312" s="234"/>
      <c r="AVL312" s="242"/>
      <c r="AVM312" s="234"/>
      <c r="AVN312" s="234"/>
      <c r="AVO312" s="234"/>
      <c r="AVP312" s="236"/>
      <c r="AVQ312" s="244"/>
      <c r="AVR312" s="239"/>
      <c r="AVS312" s="240"/>
      <c r="AVT312" s="241"/>
      <c r="AVU312" s="239"/>
      <c r="AVV312" s="239"/>
      <c r="AVW312" s="239"/>
      <c r="AVX312" s="239"/>
      <c r="AVY312" s="239"/>
      <c r="AVZ312" s="239"/>
      <c r="AWA312" s="233"/>
      <c r="AWB312" s="235"/>
      <c r="AWC312" s="233"/>
      <c r="AWD312" s="234"/>
      <c r="AWE312" s="234"/>
      <c r="AWF312" s="242"/>
      <c r="AWG312" s="234"/>
      <c r="AWH312" s="234"/>
      <c r="AWI312" s="234"/>
      <c r="AWJ312" s="236"/>
      <c r="AWK312" s="244"/>
      <c r="AWL312" s="239"/>
      <c r="AWM312" s="240"/>
      <c r="AWN312" s="241"/>
      <c r="AWO312" s="239"/>
      <c r="AWP312" s="239"/>
      <c r="AWQ312" s="239"/>
      <c r="AWR312" s="239"/>
      <c r="AWS312" s="239"/>
      <c r="AWT312" s="239"/>
      <c r="AWU312" s="233"/>
      <c r="AWV312" s="235"/>
      <c r="AWW312" s="233"/>
      <c r="AWX312" s="234"/>
      <c r="AWY312" s="234"/>
      <c r="AWZ312" s="242"/>
      <c r="AXA312" s="234"/>
      <c r="AXB312" s="234"/>
      <c r="AXC312" s="234"/>
      <c r="AXD312" s="236"/>
      <c r="AXE312" s="244"/>
      <c r="AXF312" s="239"/>
      <c r="AXG312" s="240"/>
      <c r="AXH312" s="241"/>
      <c r="AXI312" s="239"/>
      <c r="AXJ312" s="239"/>
      <c r="AXK312" s="239"/>
      <c r="AXL312" s="239"/>
      <c r="AXM312" s="239"/>
      <c r="AXN312" s="239"/>
      <c r="AXO312" s="233"/>
      <c r="AXP312" s="235"/>
      <c r="AXQ312" s="233"/>
      <c r="AXR312" s="234"/>
      <c r="AXS312" s="234"/>
      <c r="AXT312" s="242"/>
      <c r="AXU312" s="234"/>
      <c r="AXV312" s="234"/>
      <c r="AXW312" s="234"/>
      <c r="AXX312" s="236"/>
      <c r="AXY312" s="244"/>
      <c r="AXZ312" s="239"/>
      <c r="AYA312" s="240"/>
      <c r="AYB312" s="241"/>
      <c r="AYC312" s="239"/>
      <c r="AYD312" s="239"/>
      <c r="AYE312" s="239"/>
      <c r="AYF312" s="239"/>
      <c r="AYG312" s="239"/>
      <c r="AYH312" s="239"/>
      <c r="AYI312" s="233"/>
      <c r="AYJ312" s="235"/>
      <c r="AYK312" s="233"/>
      <c r="AYL312" s="234"/>
      <c r="AYM312" s="234"/>
      <c r="AYN312" s="242"/>
      <c r="AYO312" s="234"/>
      <c r="AYP312" s="234"/>
      <c r="AYQ312" s="234"/>
      <c r="AYR312" s="236"/>
      <c r="AYS312" s="244"/>
      <c r="AYT312" s="239"/>
      <c r="AYU312" s="240"/>
      <c r="AYV312" s="241"/>
      <c r="AYW312" s="239"/>
      <c r="AYX312" s="239"/>
      <c r="AYY312" s="239"/>
      <c r="AYZ312" s="239"/>
      <c r="AZA312" s="239"/>
      <c r="AZB312" s="239"/>
      <c r="AZC312" s="233"/>
      <c r="AZD312" s="235"/>
      <c r="AZE312" s="233"/>
      <c r="AZF312" s="234"/>
      <c r="AZG312" s="234"/>
      <c r="AZH312" s="242"/>
      <c r="AZI312" s="234"/>
      <c r="AZJ312" s="234"/>
      <c r="AZK312" s="234"/>
      <c r="AZL312" s="236"/>
      <c r="AZM312" s="244"/>
      <c r="AZN312" s="239"/>
      <c r="AZO312" s="240"/>
      <c r="AZP312" s="241"/>
      <c r="AZQ312" s="239"/>
      <c r="AZR312" s="239"/>
      <c r="AZS312" s="239"/>
      <c r="AZT312" s="239"/>
      <c r="AZU312" s="239"/>
      <c r="AZV312" s="239"/>
      <c r="AZW312" s="233"/>
      <c r="AZX312" s="235"/>
      <c r="AZY312" s="233"/>
      <c r="AZZ312" s="234"/>
      <c r="BAA312" s="234"/>
      <c r="BAB312" s="242"/>
      <c r="BAC312" s="234"/>
      <c r="BAD312" s="234"/>
      <c r="BAE312" s="234"/>
      <c r="BAF312" s="236"/>
      <c r="BAG312" s="244"/>
      <c r="BAH312" s="239"/>
      <c r="BAI312" s="240"/>
      <c r="BAJ312" s="241"/>
      <c r="BAK312" s="239"/>
      <c r="BAL312" s="239"/>
      <c r="BAM312" s="239"/>
      <c r="BAN312" s="239"/>
      <c r="BAO312" s="239"/>
      <c r="BAP312" s="239"/>
      <c r="BAQ312" s="233"/>
      <c r="BAR312" s="235"/>
      <c r="BAS312" s="233"/>
      <c r="BAT312" s="234"/>
      <c r="BAU312" s="234"/>
      <c r="BAV312" s="242"/>
      <c r="BAW312" s="234"/>
      <c r="BAX312" s="234"/>
      <c r="BAY312" s="234"/>
      <c r="BAZ312" s="236"/>
      <c r="BBA312" s="244"/>
      <c r="BBB312" s="239"/>
      <c r="BBC312" s="240"/>
      <c r="BBD312" s="241"/>
      <c r="BBE312" s="239"/>
      <c r="BBF312" s="239"/>
      <c r="BBG312" s="239"/>
      <c r="BBH312" s="239"/>
      <c r="BBI312" s="239"/>
      <c r="BBJ312" s="239"/>
      <c r="BBK312" s="233"/>
      <c r="BBL312" s="235"/>
      <c r="BBM312" s="233"/>
      <c r="BBN312" s="234"/>
      <c r="BBO312" s="234"/>
      <c r="BBP312" s="242"/>
      <c r="BBQ312" s="234"/>
      <c r="BBR312" s="234"/>
      <c r="BBS312" s="234"/>
      <c r="BBT312" s="236"/>
      <c r="BBU312" s="244"/>
      <c r="BBV312" s="239"/>
      <c r="BBW312" s="240"/>
      <c r="BBX312" s="241"/>
      <c r="BBY312" s="239"/>
      <c r="BBZ312" s="239"/>
      <c r="BCA312" s="239"/>
      <c r="BCB312" s="239"/>
      <c r="BCC312" s="239"/>
      <c r="BCD312" s="239"/>
      <c r="BCE312" s="233"/>
      <c r="BCF312" s="235"/>
      <c r="BCG312" s="233"/>
      <c r="BCH312" s="234"/>
      <c r="BCI312" s="234"/>
      <c r="BCJ312" s="242"/>
      <c r="BCK312" s="234"/>
      <c r="BCL312" s="234"/>
      <c r="BCM312" s="234"/>
      <c r="BCN312" s="236"/>
      <c r="BCO312" s="244"/>
      <c r="BCP312" s="239"/>
      <c r="BCQ312" s="240"/>
      <c r="BCR312" s="241"/>
      <c r="BCS312" s="239"/>
      <c r="BCT312" s="239"/>
      <c r="BCU312" s="239"/>
      <c r="BCV312" s="239"/>
      <c r="BCW312" s="239"/>
      <c r="BCX312" s="239"/>
      <c r="BCY312" s="233"/>
      <c r="BCZ312" s="235"/>
      <c r="BDA312" s="233"/>
      <c r="BDB312" s="234"/>
      <c r="BDC312" s="234"/>
      <c r="BDD312" s="242"/>
      <c r="BDE312" s="234"/>
      <c r="BDF312" s="234"/>
      <c r="BDG312" s="234"/>
      <c r="BDH312" s="236"/>
      <c r="BDI312" s="244"/>
      <c r="BDJ312" s="239"/>
      <c r="BDK312" s="240"/>
      <c r="BDL312" s="241"/>
      <c r="BDM312" s="239"/>
      <c r="BDN312" s="239"/>
      <c r="BDO312" s="239"/>
      <c r="BDP312" s="239"/>
      <c r="BDQ312" s="239"/>
      <c r="BDR312" s="239"/>
      <c r="BDS312" s="233"/>
      <c r="BDT312" s="235"/>
      <c r="BDU312" s="233"/>
      <c r="BDV312" s="234"/>
      <c r="BDW312" s="234"/>
      <c r="BDX312" s="242"/>
      <c r="BDY312" s="234"/>
      <c r="BDZ312" s="234"/>
      <c r="BEA312" s="234"/>
      <c r="BEB312" s="236"/>
      <c r="BEC312" s="244"/>
      <c r="BED312" s="239"/>
      <c r="BEE312" s="240"/>
      <c r="BEF312" s="241"/>
      <c r="BEG312" s="239"/>
      <c r="BEH312" s="239"/>
      <c r="BEI312" s="239"/>
      <c r="BEJ312" s="239"/>
      <c r="BEK312" s="239"/>
      <c r="BEL312" s="239"/>
      <c r="BEM312" s="233"/>
      <c r="BEN312" s="235"/>
      <c r="BEO312" s="233"/>
      <c r="BEP312" s="234"/>
      <c r="BEQ312" s="234"/>
      <c r="BER312" s="242"/>
      <c r="BES312" s="234"/>
      <c r="BET312" s="234"/>
      <c r="BEU312" s="234"/>
      <c r="BEV312" s="236"/>
      <c r="BEW312" s="244"/>
      <c r="BEX312" s="239"/>
      <c r="BEY312" s="240"/>
      <c r="BEZ312" s="241"/>
      <c r="BFA312" s="239"/>
      <c r="BFB312" s="239"/>
      <c r="BFC312" s="239"/>
      <c r="BFD312" s="239"/>
      <c r="BFE312" s="239"/>
      <c r="BFF312" s="239"/>
      <c r="BFG312" s="233"/>
      <c r="BFH312" s="235"/>
      <c r="BFI312" s="233"/>
      <c r="BFJ312" s="234"/>
      <c r="BFK312" s="234"/>
      <c r="BFL312" s="242"/>
      <c r="BFM312" s="234"/>
      <c r="BFN312" s="234"/>
      <c r="BFO312" s="234"/>
      <c r="BFP312" s="236"/>
      <c r="BFQ312" s="244"/>
      <c r="BFR312" s="239"/>
      <c r="BFS312" s="240"/>
      <c r="BFT312" s="241"/>
      <c r="BFU312" s="239"/>
      <c r="BFV312" s="239"/>
      <c r="BFW312" s="239"/>
      <c r="BFX312" s="239"/>
      <c r="BFY312" s="239"/>
      <c r="BFZ312" s="239"/>
      <c r="BGA312" s="233"/>
      <c r="BGB312" s="235"/>
      <c r="BGC312" s="233"/>
      <c r="BGD312" s="234"/>
      <c r="BGE312" s="234"/>
      <c r="BGF312" s="242"/>
      <c r="BGG312" s="234"/>
      <c r="BGH312" s="234"/>
      <c r="BGI312" s="234"/>
      <c r="BGJ312" s="236"/>
      <c r="BGK312" s="244"/>
      <c r="BGL312" s="239"/>
      <c r="BGM312" s="240"/>
      <c r="BGN312" s="241"/>
      <c r="BGO312" s="239"/>
      <c r="BGP312" s="239"/>
      <c r="BGQ312" s="239"/>
      <c r="BGR312" s="239"/>
      <c r="BGS312" s="239"/>
      <c r="BGT312" s="239"/>
      <c r="BGU312" s="233"/>
      <c r="BGV312" s="235"/>
      <c r="BGW312" s="233"/>
      <c r="BGX312" s="234"/>
      <c r="BGY312" s="234"/>
      <c r="BGZ312" s="242"/>
      <c r="BHA312" s="234"/>
      <c r="BHB312" s="234"/>
      <c r="BHC312" s="234"/>
      <c r="BHD312" s="236"/>
      <c r="BHE312" s="244"/>
      <c r="BHF312" s="239"/>
      <c r="BHG312" s="240"/>
      <c r="BHH312" s="241"/>
      <c r="BHI312" s="239"/>
      <c r="BHJ312" s="239"/>
      <c r="BHK312" s="239"/>
      <c r="BHL312" s="239"/>
      <c r="BHM312" s="239"/>
      <c r="BHN312" s="239"/>
      <c r="BHO312" s="233"/>
      <c r="BHP312" s="235"/>
      <c r="BHQ312" s="233"/>
      <c r="BHR312" s="234"/>
      <c r="BHS312" s="234"/>
      <c r="BHT312" s="242"/>
      <c r="BHU312" s="234"/>
      <c r="BHV312" s="234"/>
      <c r="BHW312" s="234"/>
      <c r="BHX312" s="236"/>
      <c r="BHY312" s="244"/>
      <c r="BHZ312" s="239"/>
      <c r="BIA312" s="240"/>
      <c r="BIB312" s="241"/>
      <c r="BIC312" s="239"/>
      <c r="BID312" s="239"/>
      <c r="BIE312" s="239"/>
      <c r="BIF312" s="239"/>
      <c r="BIG312" s="239"/>
      <c r="BIH312" s="239"/>
      <c r="BII312" s="233"/>
      <c r="BIJ312" s="235"/>
      <c r="BIK312" s="233"/>
      <c r="BIL312" s="234"/>
      <c r="BIM312" s="234"/>
      <c r="BIN312" s="242"/>
      <c r="BIO312" s="234"/>
      <c r="BIP312" s="234"/>
      <c r="BIQ312" s="234"/>
      <c r="BIR312" s="236"/>
      <c r="BIS312" s="244"/>
      <c r="BIT312" s="239"/>
      <c r="BIU312" s="240"/>
      <c r="BIV312" s="241"/>
      <c r="BIW312" s="239"/>
      <c r="BIX312" s="239"/>
      <c r="BIY312" s="239"/>
      <c r="BIZ312" s="239"/>
      <c r="BJA312" s="239"/>
      <c r="BJB312" s="239"/>
      <c r="BJC312" s="233"/>
      <c r="BJD312" s="235"/>
      <c r="BJE312" s="233"/>
      <c r="BJF312" s="234"/>
      <c r="BJG312" s="234"/>
      <c r="BJH312" s="242"/>
      <c r="BJI312" s="234"/>
      <c r="BJJ312" s="234"/>
      <c r="BJK312" s="234"/>
      <c r="BJL312" s="236"/>
      <c r="BJM312" s="244"/>
      <c r="BJN312" s="239"/>
      <c r="BJO312" s="240"/>
      <c r="BJP312" s="241"/>
      <c r="BJQ312" s="239"/>
      <c r="BJR312" s="239"/>
      <c r="BJS312" s="239"/>
      <c r="BJT312" s="239"/>
      <c r="BJU312" s="239"/>
      <c r="BJV312" s="239"/>
      <c r="BJW312" s="233"/>
      <c r="BJX312" s="235"/>
      <c r="BJY312" s="233"/>
      <c r="BJZ312" s="234"/>
      <c r="BKA312" s="234"/>
      <c r="BKB312" s="242"/>
      <c r="BKC312" s="234"/>
      <c r="BKD312" s="234"/>
      <c r="BKE312" s="234"/>
      <c r="BKF312" s="236"/>
      <c r="BKG312" s="244"/>
      <c r="BKH312" s="239"/>
      <c r="BKI312" s="240"/>
      <c r="BKJ312" s="241"/>
      <c r="BKK312" s="239"/>
      <c r="BKL312" s="239"/>
      <c r="BKM312" s="239"/>
      <c r="BKN312" s="239"/>
      <c r="BKO312" s="239"/>
      <c r="BKP312" s="239"/>
      <c r="BKQ312" s="233"/>
      <c r="BKR312" s="235"/>
      <c r="BKS312" s="233"/>
      <c r="BKT312" s="234"/>
      <c r="BKU312" s="234"/>
      <c r="BKV312" s="242"/>
      <c r="BKW312" s="234"/>
      <c r="BKX312" s="234"/>
      <c r="BKY312" s="234"/>
      <c r="BKZ312" s="236"/>
      <c r="BLA312" s="244"/>
      <c r="BLB312" s="239"/>
      <c r="BLC312" s="240"/>
      <c r="BLD312" s="241"/>
      <c r="BLE312" s="239"/>
      <c r="BLF312" s="239"/>
      <c r="BLG312" s="239"/>
      <c r="BLH312" s="239"/>
      <c r="BLI312" s="239"/>
      <c r="BLJ312" s="239"/>
      <c r="BLK312" s="233"/>
      <c r="BLL312" s="235"/>
      <c r="BLM312" s="233"/>
      <c r="BLN312" s="234"/>
      <c r="BLO312" s="234"/>
      <c r="BLP312" s="242"/>
      <c r="BLQ312" s="234"/>
      <c r="BLR312" s="234"/>
      <c r="BLS312" s="234"/>
      <c r="BLT312" s="236"/>
      <c r="BLU312" s="244"/>
      <c r="BLV312" s="239"/>
      <c r="BLW312" s="240"/>
      <c r="BLX312" s="241"/>
      <c r="BLY312" s="239"/>
      <c r="BLZ312" s="239"/>
      <c r="BMA312" s="239"/>
      <c r="BMB312" s="239"/>
      <c r="BMC312" s="239"/>
      <c r="BMD312" s="239"/>
      <c r="BME312" s="233"/>
      <c r="BMF312" s="235"/>
      <c r="BMG312" s="233"/>
      <c r="BMH312" s="234"/>
      <c r="BMI312" s="234"/>
      <c r="BMJ312" s="242"/>
      <c r="BMK312" s="234"/>
      <c r="BML312" s="234"/>
      <c r="BMM312" s="234"/>
      <c r="BMN312" s="236"/>
      <c r="BMO312" s="244"/>
      <c r="BMP312" s="239"/>
      <c r="BMQ312" s="240"/>
      <c r="BMR312" s="241"/>
      <c r="BMS312" s="239"/>
      <c r="BMT312" s="239"/>
      <c r="BMU312" s="239"/>
      <c r="BMV312" s="239"/>
      <c r="BMW312" s="239"/>
      <c r="BMX312" s="239"/>
      <c r="BMY312" s="233"/>
      <c r="BMZ312" s="235"/>
      <c r="BNA312" s="233"/>
      <c r="BNB312" s="234"/>
      <c r="BNC312" s="234"/>
      <c r="BND312" s="242"/>
      <c r="BNE312" s="234"/>
      <c r="BNF312" s="234"/>
      <c r="BNG312" s="234"/>
      <c r="BNH312" s="236"/>
      <c r="BNI312" s="244"/>
      <c r="BNJ312" s="239"/>
      <c r="BNK312" s="240"/>
      <c r="BNL312" s="241"/>
      <c r="BNM312" s="239"/>
      <c r="BNN312" s="239"/>
      <c r="BNO312" s="239"/>
      <c r="BNP312" s="239"/>
      <c r="BNQ312" s="239"/>
      <c r="BNR312" s="239"/>
      <c r="BNS312" s="233"/>
      <c r="BNT312" s="235"/>
      <c r="BNU312" s="233"/>
      <c r="BNV312" s="234"/>
      <c r="BNW312" s="234"/>
      <c r="BNX312" s="242"/>
      <c r="BNY312" s="234"/>
      <c r="BNZ312" s="234"/>
      <c r="BOA312" s="234"/>
      <c r="BOB312" s="236"/>
      <c r="BOC312" s="244"/>
      <c r="BOD312" s="239"/>
      <c r="BOE312" s="240"/>
      <c r="BOF312" s="241"/>
      <c r="BOG312" s="239"/>
      <c r="BOH312" s="239"/>
      <c r="BOI312" s="239"/>
      <c r="BOJ312" s="239"/>
      <c r="BOK312" s="239"/>
      <c r="BOL312" s="239"/>
      <c r="BOM312" s="233"/>
      <c r="BON312" s="235"/>
      <c r="BOO312" s="233"/>
      <c r="BOP312" s="234"/>
      <c r="BOQ312" s="234"/>
      <c r="BOR312" s="242"/>
      <c r="BOS312" s="234"/>
      <c r="BOT312" s="234"/>
      <c r="BOU312" s="234"/>
      <c r="BOV312" s="236"/>
      <c r="BOW312" s="244"/>
      <c r="BOX312" s="239"/>
      <c r="BOY312" s="240"/>
      <c r="BOZ312" s="241"/>
      <c r="BPA312" s="239"/>
      <c r="BPB312" s="239"/>
      <c r="BPC312" s="239"/>
      <c r="BPD312" s="239"/>
      <c r="BPE312" s="239"/>
      <c r="BPF312" s="239"/>
      <c r="BPG312" s="233"/>
      <c r="BPH312" s="235"/>
      <c r="BPI312" s="233"/>
      <c r="BPJ312" s="234"/>
      <c r="BPK312" s="234"/>
      <c r="BPL312" s="242"/>
      <c r="BPM312" s="234"/>
      <c r="BPN312" s="234"/>
      <c r="BPO312" s="234"/>
      <c r="BPP312" s="236"/>
      <c r="BPQ312" s="244"/>
      <c r="BPR312" s="239"/>
      <c r="BPS312" s="240"/>
      <c r="BPT312" s="241"/>
      <c r="BPU312" s="239"/>
      <c r="BPV312" s="239"/>
      <c r="BPW312" s="239"/>
      <c r="BPX312" s="239"/>
      <c r="BPY312" s="239"/>
      <c r="BPZ312" s="239"/>
      <c r="BQA312" s="233"/>
      <c r="BQB312" s="235"/>
      <c r="BQC312" s="233"/>
      <c r="BQD312" s="234"/>
      <c r="BQE312" s="234"/>
      <c r="BQF312" s="242"/>
      <c r="BQG312" s="234"/>
      <c r="BQH312" s="234"/>
      <c r="BQI312" s="234"/>
      <c r="BQJ312" s="236"/>
      <c r="BQK312" s="244"/>
      <c r="BQL312" s="239"/>
      <c r="BQM312" s="240"/>
      <c r="BQN312" s="241"/>
      <c r="BQO312" s="239"/>
      <c r="BQP312" s="239"/>
      <c r="BQQ312" s="239"/>
      <c r="BQR312" s="239"/>
      <c r="BQS312" s="239"/>
      <c r="BQT312" s="239"/>
      <c r="BQU312" s="233"/>
      <c r="BQV312" s="235"/>
      <c r="BQW312" s="233"/>
      <c r="BQX312" s="234"/>
      <c r="BQY312" s="234"/>
      <c r="BQZ312" s="242"/>
      <c r="BRA312" s="234"/>
      <c r="BRB312" s="234"/>
      <c r="BRC312" s="234"/>
      <c r="BRD312" s="236"/>
      <c r="BRE312" s="244"/>
      <c r="BRF312" s="239"/>
      <c r="BRG312" s="240"/>
      <c r="BRH312" s="241"/>
      <c r="BRI312" s="239"/>
      <c r="BRJ312" s="239"/>
      <c r="BRK312" s="239"/>
      <c r="BRL312" s="239"/>
      <c r="BRM312" s="239"/>
      <c r="BRN312" s="239"/>
      <c r="BRO312" s="233"/>
      <c r="BRP312" s="235"/>
      <c r="BRQ312" s="233"/>
      <c r="BRR312" s="234"/>
      <c r="BRS312" s="234"/>
      <c r="BRT312" s="242"/>
      <c r="BRU312" s="234"/>
      <c r="BRV312" s="234"/>
      <c r="BRW312" s="234"/>
      <c r="BRX312" s="236"/>
      <c r="BRY312" s="244"/>
      <c r="BRZ312" s="239"/>
      <c r="BSA312" s="240"/>
      <c r="BSB312" s="241"/>
      <c r="BSC312" s="239"/>
      <c r="BSD312" s="239"/>
      <c r="BSE312" s="239"/>
      <c r="BSF312" s="239"/>
      <c r="BSG312" s="239"/>
      <c r="BSH312" s="239"/>
      <c r="BSI312" s="233"/>
      <c r="BSJ312" s="235"/>
      <c r="BSK312" s="233"/>
      <c r="BSL312" s="234"/>
      <c r="BSM312" s="234"/>
      <c r="BSN312" s="242"/>
      <c r="BSO312" s="234"/>
      <c r="BSP312" s="234"/>
      <c r="BSQ312" s="234"/>
      <c r="BSR312" s="236"/>
      <c r="BSS312" s="244"/>
      <c r="BST312" s="239"/>
      <c r="BSU312" s="240"/>
      <c r="BSV312" s="241"/>
      <c r="BSW312" s="239"/>
      <c r="BSX312" s="239"/>
      <c r="BSY312" s="239"/>
      <c r="BSZ312" s="239"/>
      <c r="BTA312" s="239"/>
      <c r="BTB312" s="239"/>
      <c r="BTC312" s="233"/>
      <c r="BTD312" s="235"/>
      <c r="BTE312" s="233"/>
      <c r="BTF312" s="234"/>
      <c r="BTG312" s="234"/>
      <c r="BTH312" s="242"/>
      <c r="BTI312" s="234"/>
      <c r="BTJ312" s="234"/>
      <c r="BTK312" s="234"/>
      <c r="BTL312" s="236"/>
      <c r="BTM312" s="244"/>
      <c r="BTN312" s="239"/>
      <c r="BTO312" s="240"/>
      <c r="BTP312" s="241"/>
      <c r="BTQ312" s="239"/>
      <c r="BTR312" s="239"/>
      <c r="BTS312" s="239"/>
      <c r="BTT312" s="239"/>
      <c r="BTU312" s="239"/>
      <c r="BTV312" s="239"/>
      <c r="BTW312" s="233"/>
      <c r="BTX312" s="235"/>
      <c r="BTY312" s="233"/>
      <c r="BTZ312" s="234"/>
      <c r="BUA312" s="234"/>
      <c r="BUB312" s="242"/>
      <c r="BUC312" s="234"/>
      <c r="BUD312" s="234"/>
      <c r="BUE312" s="234"/>
      <c r="BUF312" s="236"/>
      <c r="BUG312" s="244"/>
      <c r="BUH312" s="239"/>
      <c r="BUI312" s="240"/>
      <c r="BUJ312" s="241"/>
      <c r="BUK312" s="239"/>
      <c r="BUL312" s="239"/>
      <c r="BUM312" s="239"/>
      <c r="BUN312" s="239"/>
      <c r="BUO312" s="239"/>
      <c r="BUP312" s="239"/>
      <c r="BUQ312" s="233"/>
      <c r="BUR312" s="235"/>
      <c r="BUS312" s="233"/>
      <c r="BUT312" s="234"/>
      <c r="BUU312" s="234"/>
      <c r="BUV312" s="242"/>
      <c r="BUW312" s="234"/>
      <c r="BUX312" s="234"/>
      <c r="BUY312" s="234"/>
      <c r="BUZ312" s="236"/>
      <c r="BVA312" s="244"/>
      <c r="BVB312" s="239"/>
      <c r="BVC312" s="240"/>
      <c r="BVD312" s="241"/>
      <c r="BVE312" s="239"/>
      <c r="BVF312" s="239"/>
      <c r="BVG312" s="239"/>
      <c r="BVH312" s="239"/>
      <c r="BVI312" s="239"/>
      <c r="BVJ312" s="239"/>
      <c r="BVK312" s="233"/>
      <c r="BVL312" s="235"/>
      <c r="BVM312" s="233"/>
      <c r="BVN312" s="234"/>
      <c r="BVO312" s="234"/>
      <c r="BVP312" s="242"/>
      <c r="BVQ312" s="234"/>
      <c r="BVR312" s="234"/>
      <c r="BVS312" s="234"/>
      <c r="BVT312" s="236"/>
      <c r="BVU312" s="244"/>
      <c r="BVV312" s="239"/>
      <c r="BVW312" s="240"/>
      <c r="BVX312" s="241"/>
      <c r="BVY312" s="239"/>
      <c r="BVZ312" s="239"/>
      <c r="BWA312" s="239"/>
      <c r="BWB312" s="239"/>
      <c r="BWC312" s="239"/>
      <c r="BWD312" s="239"/>
      <c r="BWE312" s="233"/>
      <c r="BWF312" s="235"/>
      <c r="BWG312" s="233"/>
      <c r="BWH312" s="234"/>
      <c r="BWI312" s="234"/>
      <c r="BWJ312" s="242"/>
      <c r="BWK312" s="234"/>
      <c r="BWL312" s="234"/>
      <c r="BWM312" s="234"/>
      <c r="BWN312" s="236"/>
      <c r="BWO312" s="244"/>
      <c r="BWP312" s="239"/>
      <c r="BWQ312" s="240"/>
      <c r="BWR312" s="241"/>
      <c r="BWS312" s="239"/>
      <c r="BWT312" s="239"/>
      <c r="BWU312" s="239"/>
      <c r="BWV312" s="239"/>
      <c r="BWW312" s="239"/>
      <c r="BWX312" s="239"/>
      <c r="BWY312" s="233"/>
      <c r="BWZ312" s="235"/>
      <c r="BXA312" s="233"/>
      <c r="BXB312" s="234"/>
      <c r="BXC312" s="234"/>
      <c r="BXD312" s="242"/>
      <c r="BXE312" s="234"/>
      <c r="BXF312" s="234"/>
      <c r="BXG312" s="234"/>
      <c r="BXH312" s="236"/>
      <c r="BXI312" s="244"/>
      <c r="BXJ312" s="239"/>
      <c r="BXK312" s="240"/>
      <c r="BXL312" s="241"/>
      <c r="BXM312" s="239"/>
      <c r="BXN312" s="239"/>
      <c r="BXO312" s="239"/>
      <c r="BXP312" s="239"/>
      <c r="BXQ312" s="239"/>
      <c r="BXR312" s="239"/>
      <c r="BXS312" s="233"/>
      <c r="BXT312" s="235"/>
      <c r="BXU312" s="233"/>
      <c r="BXV312" s="234"/>
      <c r="BXW312" s="234"/>
      <c r="BXX312" s="242"/>
      <c r="BXY312" s="234"/>
      <c r="BXZ312" s="234"/>
      <c r="BYA312" s="234"/>
      <c r="BYB312" s="236"/>
      <c r="BYC312" s="244"/>
      <c r="BYD312" s="239"/>
      <c r="BYE312" s="240"/>
      <c r="BYF312" s="241"/>
      <c r="BYG312" s="239"/>
      <c r="BYH312" s="239"/>
      <c r="BYI312" s="239"/>
      <c r="BYJ312" s="239"/>
      <c r="BYK312" s="239"/>
      <c r="BYL312" s="239"/>
      <c r="BYM312" s="233"/>
      <c r="BYN312" s="235"/>
      <c r="BYO312" s="233"/>
      <c r="BYP312" s="234"/>
      <c r="BYQ312" s="234"/>
      <c r="BYR312" s="242"/>
      <c r="BYS312" s="234"/>
      <c r="BYT312" s="234"/>
      <c r="BYU312" s="234"/>
      <c r="BYV312" s="236"/>
      <c r="BYW312" s="244"/>
      <c r="BYX312" s="239"/>
      <c r="BYY312" s="240"/>
      <c r="BYZ312" s="241"/>
      <c r="BZA312" s="239"/>
      <c r="BZB312" s="239"/>
      <c r="BZC312" s="239"/>
      <c r="BZD312" s="239"/>
      <c r="BZE312" s="239"/>
      <c r="BZF312" s="239"/>
      <c r="BZG312" s="233"/>
      <c r="BZH312" s="235"/>
      <c r="BZI312" s="233"/>
      <c r="BZJ312" s="234"/>
      <c r="BZK312" s="234"/>
      <c r="BZL312" s="242"/>
      <c r="BZM312" s="234"/>
      <c r="BZN312" s="234"/>
      <c r="BZO312" s="234"/>
      <c r="BZP312" s="236"/>
      <c r="BZQ312" s="244"/>
      <c r="BZR312" s="239"/>
      <c r="BZS312" s="240"/>
      <c r="BZT312" s="241"/>
      <c r="BZU312" s="239"/>
      <c r="BZV312" s="239"/>
      <c r="BZW312" s="239"/>
      <c r="BZX312" s="239"/>
      <c r="BZY312" s="239"/>
      <c r="BZZ312" s="239"/>
      <c r="CAA312" s="233"/>
      <c r="CAB312" s="235"/>
      <c r="CAC312" s="233"/>
      <c r="CAD312" s="234"/>
      <c r="CAE312" s="234"/>
      <c r="CAF312" s="242"/>
      <c r="CAG312" s="234"/>
      <c r="CAH312" s="234"/>
      <c r="CAI312" s="234"/>
      <c r="CAJ312" s="236"/>
      <c r="CAK312" s="244"/>
      <c r="CAL312" s="239"/>
      <c r="CAM312" s="240"/>
      <c r="CAN312" s="241"/>
      <c r="CAO312" s="239"/>
      <c r="CAP312" s="239"/>
      <c r="CAQ312" s="239"/>
      <c r="CAR312" s="239"/>
      <c r="CAS312" s="239"/>
      <c r="CAT312" s="239"/>
      <c r="CAU312" s="233"/>
      <c r="CAV312" s="235"/>
      <c r="CAW312" s="233"/>
      <c r="CAX312" s="234"/>
      <c r="CAY312" s="234"/>
      <c r="CAZ312" s="242"/>
      <c r="CBA312" s="234"/>
      <c r="CBB312" s="234"/>
      <c r="CBC312" s="234"/>
      <c r="CBD312" s="236"/>
      <c r="CBE312" s="244"/>
      <c r="CBF312" s="239"/>
      <c r="CBG312" s="240"/>
      <c r="CBH312" s="241"/>
      <c r="CBI312" s="239"/>
      <c r="CBJ312" s="239"/>
      <c r="CBK312" s="239"/>
      <c r="CBL312" s="239"/>
      <c r="CBM312" s="239"/>
      <c r="CBN312" s="239"/>
      <c r="CBO312" s="233"/>
      <c r="CBP312" s="235"/>
      <c r="CBQ312" s="233"/>
      <c r="CBR312" s="234"/>
      <c r="CBS312" s="234"/>
      <c r="CBT312" s="242"/>
      <c r="CBU312" s="234"/>
      <c r="CBV312" s="234"/>
      <c r="CBW312" s="234"/>
      <c r="CBX312" s="236"/>
      <c r="CBY312" s="244"/>
      <c r="CBZ312" s="239"/>
      <c r="CCA312" s="240"/>
      <c r="CCB312" s="241"/>
      <c r="CCC312" s="239"/>
      <c r="CCD312" s="239"/>
      <c r="CCE312" s="239"/>
      <c r="CCF312" s="239"/>
      <c r="CCG312" s="239"/>
      <c r="CCH312" s="239"/>
      <c r="CCI312" s="233"/>
      <c r="CCJ312" s="235"/>
      <c r="CCK312" s="233"/>
      <c r="CCL312" s="234"/>
      <c r="CCM312" s="234"/>
      <c r="CCN312" s="242"/>
      <c r="CCO312" s="234"/>
      <c r="CCP312" s="234"/>
      <c r="CCQ312" s="234"/>
      <c r="CCR312" s="236"/>
      <c r="CCS312" s="244"/>
      <c r="CCT312" s="239"/>
      <c r="CCU312" s="240"/>
      <c r="CCV312" s="241"/>
      <c r="CCW312" s="239"/>
      <c r="CCX312" s="239"/>
      <c r="CCY312" s="239"/>
      <c r="CCZ312" s="239"/>
      <c r="CDA312" s="239"/>
      <c r="CDB312" s="239"/>
      <c r="CDC312" s="233"/>
      <c r="CDD312" s="235"/>
      <c r="CDE312" s="233"/>
      <c r="CDF312" s="234"/>
      <c r="CDG312" s="234"/>
      <c r="CDH312" s="242"/>
      <c r="CDI312" s="234"/>
      <c r="CDJ312" s="234"/>
      <c r="CDK312" s="234"/>
      <c r="CDL312" s="236"/>
      <c r="CDM312" s="244"/>
      <c r="CDN312" s="239"/>
      <c r="CDO312" s="240"/>
      <c r="CDP312" s="241"/>
      <c r="CDQ312" s="239"/>
      <c r="CDR312" s="239"/>
      <c r="CDS312" s="239"/>
      <c r="CDT312" s="239"/>
      <c r="CDU312" s="239"/>
      <c r="CDV312" s="239"/>
      <c r="CDW312" s="233"/>
      <c r="CDX312" s="235"/>
      <c r="CDY312" s="233"/>
      <c r="CDZ312" s="234"/>
      <c r="CEA312" s="234"/>
      <c r="CEB312" s="242"/>
      <c r="CEC312" s="234"/>
      <c r="CED312" s="234"/>
      <c r="CEE312" s="234"/>
      <c r="CEF312" s="236"/>
      <c r="CEG312" s="244"/>
      <c r="CEH312" s="239"/>
      <c r="CEI312" s="240"/>
      <c r="CEJ312" s="241"/>
      <c r="CEK312" s="239"/>
      <c r="CEL312" s="239"/>
      <c r="CEM312" s="239"/>
      <c r="CEN312" s="239"/>
      <c r="CEO312" s="239"/>
      <c r="CEP312" s="239"/>
      <c r="CEQ312" s="233"/>
      <c r="CER312" s="235"/>
      <c r="CES312" s="233"/>
      <c r="CET312" s="234"/>
      <c r="CEU312" s="234"/>
      <c r="CEV312" s="242"/>
      <c r="CEW312" s="234"/>
      <c r="CEX312" s="234"/>
      <c r="CEY312" s="234"/>
      <c r="CEZ312" s="236"/>
      <c r="CFA312" s="244"/>
      <c r="CFB312" s="239"/>
      <c r="CFC312" s="240"/>
      <c r="CFD312" s="241"/>
      <c r="CFE312" s="239"/>
      <c r="CFF312" s="239"/>
      <c r="CFG312" s="239"/>
      <c r="CFH312" s="239"/>
      <c r="CFI312" s="239"/>
      <c r="CFJ312" s="239"/>
      <c r="CFK312" s="233"/>
      <c r="CFL312" s="235"/>
      <c r="CFM312" s="233"/>
      <c r="CFN312" s="234"/>
      <c r="CFO312" s="234"/>
      <c r="CFP312" s="242"/>
      <c r="CFQ312" s="234"/>
      <c r="CFR312" s="234"/>
      <c r="CFS312" s="234"/>
      <c r="CFT312" s="236"/>
      <c r="CFU312" s="244"/>
      <c r="CFV312" s="239"/>
      <c r="CFW312" s="240"/>
      <c r="CFX312" s="241"/>
      <c r="CFY312" s="239"/>
      <c r="CFZ312" s="239"/>
      <c r="CGA312" s="239"/>
      <c r="CGB312" s="239"/>
      <c r="CGC312" s="239"/>
      <c r="CGD312" s="239"/>
      <c r="CGE312" s="233"/>
      <c r="CGF312" s="235"/>
      <c r="CGG312" s="233"/>
      <c r="CGH312" s="234"/>
      <c r="CGI312" s="234"/>
      <c r="CGJ312" s="242"/>
      <c r="CGK312" s="234"/>
      <c r="CGL312" s="234"/>
      <c r="CGM312" s="234"/>
      <c r="CGN312" s="236"/>
      <c r="CGO312" s="244"/>
      <c r="CGP312" s="239"/>
      <c r="CGQ312" s="240"/>
      <c r="CGR312" s="241"/>
      <c r="CGS312" s="239"/>
      <c r="CGT312" s="239"/>
      <c r="CGU312" s="239"/>
      <c r="CGV312" s="239"/>
      <c r="CGW312" s="239"/>
      <c r="CGX312" s="239"/>
      <c r="CGY312" s="233"/>
      <c r="CGZ312" s="235"/>
      <c r="CHA312" s="233"/>
      <c r="CHB312" s="234"/>
      <c r="CHC312" s="234"/>
      <c r="CHD312" s="242"/>
      <c r="CHE312" s="234"/>
      <c r="CHF312" s="234"/>
      <c r="CHG312" s="234"/>
      <c r="CHH312" s="236"/>
      <c r="CHI312" s="244"/>
      <c r="CHJ312" s="239"/>
      <c r="CHK312" s="240"/>
      <c r="CHL312" s="241"/>
      <c r="CHM312" s="239"/>
      <c r="CHN312" s="239"/>
      <c r="CHO312" s="239"/>
      <c r="CHP312" s="239"/>
      <c r="CHQ312" s="239"/>
      <c r="CHR312" s="239"/>
      <c r="CHS312" s="233"/>
      <c r="CHT312" s="235"/>
      <c r="CHU312" s="233"/>
      <c r="CHV312" s="234"/>
      <c r="CHW312" s="234"/>
      <c r="CHX312" s="242"/>
      <c r="CHY312" s="234"/>
      <c r="CHZ312" s="234"/>
      <c r="CIA312" s="234"/>
      <c r="CIB312" s="236"/>
      <c r="CIC312" s="244"/>
      <c r="CID312" s="239"/>
      <c r="CIE312" s="240"/>
      <c r="CIF312" s="241"/>
      <c r="CIG312" s="239"/>
      <c r="CIH312" s="239"/>
      <c r="CII312" s="239"/>
      <c r="CIJ312" s="239"/>
      <c r="CIK312" s="239"/>
      <c r="CIL312" s="239"/>
      <c r="CIM312" s="233"/>
      <c r="CIN312" s="235"/>
      <c r="CIO312" s="233"/>
      <c r="CIP312" s="234"/>
      <c r="CIQ312" s="234"/>
      <c r="CIR312" s="242"/>
      <c r="CIS312" s="234"/>
      <c r="CIT312" s="234"/>
      <c r="CIU312" s="234"/>
      <c r="CIV312" s="236"/>
      <c r="CIW312" s="244"/>
      <c r="CIX312" s="239"/>
      <c r="CIY312" s="240"/>
      <c r="CIZ312" s="241"/>
      <c r="CJA312" s="239"/>
      <c r="CJB312" s="239"/>
      <c r="CJC312" s="239"/>
      <c r="CJD312" s="239"/>
      <c r="CJE312" s="239"/>
      <c r="CJF312" s="239"/>
      <c r="CJG312" s="233"/>
      <c r="CJH312" s="235"/>
      <c r="CJI312" s="233"/>
      <c r="CJJ312" s="234"/>
      <c r="CJK312" s="234"/>
      <c r="CJL312" s="242"/>
      <c r="CJM312" s="234"/>
      <c r="CJN312" s="234"/>
      <c r="CJO312" s="234"/>
      <c r="CJP312" s="236"/>
      <c r="CJQ312" s="244"/>
      <c r="CJR312" s="239"/>
      <c r="CJS312" s="240"/>
      <c r="CJT312" s="241"/>
      <c r="CJU312" s="239"/>
      <c r="CJV312" s="239"/>
      <c r="CJW312" s="239"/>
      <c r="CJX312" s="239"/>
      <c r="CJY312" s="239"/>
      <c r="CJZ312" s="239"/>
      <c r="CKA312" s="233"/>
      <c r="CKB312" s="235"/>
      <c r="CKC312" s="233"/>
      <c r="CKD312" s="234"/>
      <c r="CKE312" s="234"/>
      <c r="CKF312" s="242"/>
      <c r="CKG312" s="234"/>
      <c r="CKH312" s="234"/>
      <c r="CKI312" s="234"/>
      <c r="CKJ312" s="236"/>
      <c r="CKK312" s="244"/>
      <c r="CKL312" s="239"/>
      <c r="CKM312" s="240"/>
      <c r="CKN312" s="241"/>
      <c r="CKO312" s="239"/>
      <c r="CKP312" s="239"/>
      <c r="CKQ312" s="239"/>
      <c r="CKR312" s="239"/>
      <c r="CKS312" s="239"/>
      <c r="CKT312" s="239"/>
      <c r="CKU312" s="233"/>
      <c r="CKV312" s="235"/>
      <c r="CKW312" s="233"/>
      <c r="CKX312" s="234"/>
      <c r="CKY312" s="234"/>
      <c r="CKZ312" s="242"/>
      <c r="CLA312" s="234"/>
      <c r="CLB312" s="234"/>
      <c r="CLC312" s="234"/>
      <c r="CLD312" s="236"/>
      <c r="CLE312" s="244"/>
      <c r="CLF312" s="239"/>
      <c r="CLG312" s="240"/>
      <c r="CLH312" s="241"/>
      <c r="CLI312" s="239"/>
      <c r="CLJ312" s="239"/>
      <c r="CLK312" s="239"/>
      <c r="CLL312" s="239"/>
      <c r="CLM312" s="239"/>
      <c r="CLN312" s="239"/>
      <c r="CLO312" s="233"/>
      <c r="CLP312" s="235"/>
      <c r="CLQ312" s="233"/>
      <c r="CLR312" s="234"/>
      <c r="CLS312" s="234"/>
      <c r="CLT312" s="242"/>
      <c r="CLU312" s="234"/>
      <c r="CLV312" s="234"/>
      <c r="CLW312" s="234"/>
      <c r="CLX312" s="236"/>
      <c r="CLY312" s="244"/>
      <c r="CLZ312" s="239"/>
      <c r="CMA312" s="240"/>
      <c r="CMB312" s="241"/>
      <c r="CMC312" s="239"/>
      <c r="CMD312" s="239"/>
      <c r="CME312" s="239"/>
      <c r="CMF312" s="239"/>
      <c r="CMG312" s="239"/>
      <c r="CMH312" s="239"/>
      <c r="CMI312" s="233"/>
      <c r="CMJ312" s="235"/>
      <c r="CMK312" s="233"/>
      <c r="CML312" s="234"/>
      <c r="CMM312" s="234"/>
      <c r="CMN312" s="242"/>
      <c r="CMO312" s="234"/>
      <c r="CMP312" s="234"/>
      <c r="CMQ312" s="234"/>
      <c r="CMR312" s="236"/>
      <c r="CMS312" s="244"/>
      <c r="CMT312" s="239"/>
      <c r="CMU312" s="240"/>
      <c r="CMV312" s="241"/>
      <c r="CMW312" s="239"/>
      <c r="CMX312" s="239"/>
      <c r="CMY312" s="239"/>
      <c r="CMZ312" s="239"/>
      <c r="CNA312" s="239"/>
      <c r="CNB312" s="239"/>
      <c r="CNC312" s="233"/>
      <c r="CND312" s="235"/>
      <c r="CNE312" s="233"/>
      <c r="CNF312" s="234"/>
      <c r="CNG312" s="234"/>
      <c r="CNH312" s="242"/>
      <c r="CNI312" s="234"/>
      <c r="CNJ312" s="234"/>
      <c r="CNK312" s="234"/>
      <c r="CNL312" s="236"/>
      <c r="CNM312" s="244"/>
      <c r="CNN312" s="239"/>
      <c r="CNO312" s="240"/>
      <c r="CNP312" s="241"/>
      <c r="CNQ312" s="239"/>
      <c r="CNR312" s="239"/>
      <c r="CNS312" s="239"/>
      <c r="CNT312" s="239"/>
      <c r="CNU312" s="239"/>
      <c r="CNV312" s="239"/>
      <c r="CNW312" s="233"/>
      <c r="CNX312" s="235"/>
      <c r="CNY312" s="233"/>
      <c r="CNZ312" s="234"/>
      <c r="COA312" s="234"/>
      <c r="COB312" s="242"/>
      <c r="COC312" s="234"/>
      <c r="COD312" s="234"/>
      <c r="COE312" s="234"/>
      <c r="COF312" s="236"/>
      <c r="COG312" s="244"/>
      <c r="COH312" s="239"/>
      <c r="COI312" s="240"/>
      <c r="COJ312" s="241"/>
      <c r="COK312" s="239"/>
      <c r="COL312" s="239"/>
      <c r="COM312" s="239"/>
      <c r="CON312" s="239"/>
      <c r="COO312" s="239"/>
      <c r="COP312" s="239"/>
      <c r="COQ312" s="233"/>
      <c r="COR312" s="235"/>
      <c r="COS312" s="233"/>
      <c r="COT312" s="234"/>
      <c r="COU312" s="234"/>
      <c r="COV312" s="242"/>
      <c r="COW312" s="234"/>
      <c r="COX312" s="234"/>
      <c r="COY312" s="234"/>
      <c r="COZ312" s="236"/>
      <c r="CPA312" s="244"/>
      <c r="CPB312" s="239"/>
      <c r="CPC312" s="240"/>
      <c r="CPD312" s="241"/>
      <c r="CPE312" s="239"/>
      <c r="CPF312" s="239"/>
      <c r="CPG312" s="239"/>
      <c r="CPH312" s="239"/>
      <c r="CPI312" s="239"/>
      <c r="CPJ312" s="239"/>
      <c r="CPK312" s="233"/>
      <c r="CPL312" s="235"/>
      <c r="CPM312" s="233"/>
      <c r="CPN312" s="234"/>
      <c r="CPO312" s="234"/>
      <c r="CPP312" s="242"/>
      <c r="CPQ312" s="234"/>
      <c r="CPR312" s="234"/>
      <c r="CPS312" s="234"/>
      <c r="CPT312" s="236"/>
      <c r="CPU312" s="244"/>
      <c r="CPV312" s="239"/>
      <c r="CPW312" s="240"/>
      <c r="CPX312" s="241"/>
      <c r="CPY312" s="239"/>
      <c r="CPZ312" s="239"/>
      <c r="CQA312" s="239"/>
      <c r="CQB312" s="239"/>
      <c r="CQC312" s="239"/>
      <c r="CQD312" s="239"/>
      <c r="CQE312" s="233"/>
      <c r="CQF312" s="235"/>
      <c r="CQG312" s="233"/>
      <c r="CQH312" s="234"/>
      <c r="CQI312" s="234"/>
      <c r="CQJ312" s="242"/>
      <c r="CQK312" s="234"/>
      <c r="CQL312" s="234"/>
      <c r="CQM312" s="234"/>
      <c r="CQN312" s="236"/>
      <c r="CQO312" s="244"/>
      <c r="CQP312" s="239"/>
      <c r="CQQ312" s="240"/>
      <c r="CQR312" s="241"/>
      <c r="CQS312" s="239"/>
      <c r="CQT312" s="239"/>
      <c r="CQU312" s="239"/>
      <c r="CQV312" s="239"/>
      <c r="CQW312" s="239"/>
      <c r="CQX312" s="239"/>
      <c r="CQY312" s="233"/>
      <c r="CQZ312" s="235"/>
      <c r="CRA312" s="233"/>
      <c r="CRB312" s="234"/>
      <c r="CRC312" s="234"/>
      <c r="CRD312" s="242"/>
      <c r="CRE312" s="234"/>
      <c r="CRF312" s="234"/>
      <c r="CRG312" s="234"/>
      <c r="CRH312" s="236"/>
      <c r="CRI312" s="244"/>
      <c r="CRJ312" s="239"/>
      <c r="CRK312" s="240"/>
      <c r="CRL312" s="241"/>
      <c r="CRM312" s="239"/>
      <c r="CRN312" s="239"/>
      <c r="CRO312" s="239"/>
      <c r="CRP312" s="239"/>
      <c r="CRQ312" s="239"/>
      <c r="CRR312" s="239"/>
      <c r="CRS312" s="233"/>
      <c r="CRT312" s="235"/>
      <c r="CRU312" s="233"/>
      <c r="CRV312" s="234"/>
      <c r="CRW312" s="234"/>
      <c r="CRX312" s="242"/>
      <c r="CRY312" s="234"/>
      <c r="CRZ312" s="234"/>
      <c r="CSA312" s="234"/>
      <c r="CSB312" s="236"/>
      <c r="CSC312" s="244"/>
      <c r="CSD312" s="239"/>
      <c r="CSE312" s="240"/>
      <c r="CSF312" s="241"/>
      <c r="CSG312" s="239"/>
      <c r="CSH312" s="239"/>
      <c r="CSI312" s="239"/>
      <c r="CSJ312" s="239"/>
      <c r="CSK312" s="239"/>
      <c r="CSL312" s="239"/>
      <c r="CSM312" s="233"/>
      <c r="CSN312" s="235"/>
      <c r="CSO312" s="233"/>
      <c r="CSP312" s="234"/>
      <c r="CSQ312" s="234"/>
      <c r="CSR312" s="242"/>
      <c r="CSS312" s="234"/>
      <c r="CST312" s="234"/>
      <c r="CSU312" s="234"/>
      <c r="CSV312" s="236"/>
      <c r="CSW312" s="244"/>
      <c r="CSX312" s="239"/>
      <c r="CSY312" s="240"/>
      <c r="CSZ312" s="241"/>
      <c r="CTA312" s="239"/>
      <c r="CTB312" s="239"/>
      <c r="CTC312" s="239"/>
      <c r="CTD312" s="239"/>
      <c r="CTE312" s="239"/>
      <c r="CTF312" s="239"/>
      <c r="CTG312" s="233"/>
      <c r="CTH312" s="235"/>
      <c r="CTI312" s="233"/>
      <c r="CTJ312" s="234"/>
      <c r="CTK312" s="234"/>
      <c r="CTL312" s="242"/>
      <c r="CTM312" s="234"/>
      <c r="CTN312" s="234"/>
      <c r="CTO312" s="234"/>
      <c r="CTP312" s="236"/>
      <c r="CTQ312" s="244"/>
      <c r="CTR312" s="239"/>
      <c r="CTS312" s="240"/>
      <c r="CTT312" s="241"/>
      <c r="CTU312" s="239"/>
      <c r="CTV312" s="239"/>
      <c r="CTW312" s="239"/>
      <c r="CTX312" s="239"/>
      <c r="CTY312" s="239"/>
      <c r="CTZ312" s="239"/>
      <c r="CUA312" s="233"/>
      <c r="CUB312" s="235"/>
      <c r="CUC312" s="233"/>
      <c r="CUD312" s="234"/>
      <c r="CUE312" s="234"/>
      <c r="CUF312" s="242"/>
      <c r="CUG312" s="234"/>
      <c r="CUH312" s="234"/>
      <c r="CUI312" s="234"/>
      <c r="CUJ312" s="236"/>
      <c r="CUK312" s="244"/>
      <c r="CUL312" s="239"/>
      <c r="CUM312" s="240"/>
      <c r="CUN312" s="241"/>
      <c r="CUO312" s="239"/>
      <c r="CUP312" s="239"/>
      <c r="CUQ312" s="239"/>
      <c r="CUR312" s="239"/>
      <c r="CUS312" s="239"/>
      <c r="CUT312" s="239"/>
      <c r="CUU312" s="233"/>
      <c r="CUV312" s="235"/>
      <c r="CUW312" s="233"/>
      <c r="CUX312" s="234"/>
      <c r="CUY312" s="234"/>
      <c r="CUZ312" s="242"/>
      <c r="CVA312" s="234"/>
      <c r="CVB312" s="234"/>
      <c r="CVC312" s="234"/>
      <c r="CVD312" s="236"/>
      <c r="CVE312" s="244"/>
      <c r="CVF312" s="239"/>
      <c r="CVG312" s="240"/>
      <c r="CVH312" s="241"/>
      <c r="CVI312" s="239"/>
      <c r="CVJ312" s="239"/>
      <c r="CVK312" s="239"/>
      <c r="CVL312" s="239"/>
      <c r="CVM312" s="239"/>
      <c r="CVN312" s="239"/>
      <c r="CVO312" s="233"/>
      <c r="CVP312" s="235"/>
      <c r="CVQ312" s="233"/>
      <c r="CVR312" s="234"/>
      <c r="CVS312" s="234"/>
      <c r="CVT312" s="242"/>
      <c r="CVU312" s="234"/>
      <c r="CVV312" s="234"/>
      <c r="CVW312" s="234"/>
      <c r="CVX312" s="236"/>
      <c r="CVY312" s="244"/>
      <c r="CVZ312" s="239"/>
      <c r="CWA312" s="240"/>
      <c r="CWB312" s="241"/>
      <c r="CWC312" s="239"/>
      <c r="CWD312" s="239"/>
      <c r="CWE312" s="239"/>
      <c r="CWF312" s="239"/>
      <c r="CWG312" s="239"/>
      <c r="CWH312" s="239"/>
      <c r="CWI312" s="233"/>
      <c r="CWJ312" s="235"/>
      <c r="CWK312" s="233"/>
      <c r="CWL312" s="234"/>
      <c r="CWM312" s="234"/>
      <c r="CWN312" s="242"/>
      <c r="CWO312" s="234"/>
      <c r="CWP312" s="234"/>
      <c r="CWQ312" s="234"/>
      <c r="CWR312" s="236"/>
      <c r="CWS312" s="244"/>
      <c r="CWT312" s="239"/>
      <c r="CWU312" s="240"/>
      <c r="CWV312" s="241"/>
      <c r="CWW312" s="239"/>
      <c r="CWX312" s="239"/>
      <c r="CWY312" s="239"/>
      <c r="CWZ312" s="239"/>
      <c r="CXA312" s="239"/>
      <c r="CXB312" s="239"/>
      <c r="CXC312" s="233"/>
      <c r="CXD312" s="235"/>
      <c r="CXE312" s="233"/>
      <c r="CXF312" s="234"/>
      <c r="CXG312" s="234"/>
      <c r="CXH312" s="242"/>
      <c r="CXI312" s="234"/>
      <c r="CXJ312" s="234"/>
      <c r="CXK312" s="234"/>
      <c r="CXL312" s="236"/>
      <c r="CXM312" s="244"/>
      <c r="CXN312" s="239"/>
      <c r="CXO312" s="240"/>
      <c r="CXP312" s="241"/>
      <c r="CXQ312" s="239"/>
      <c r="CXR312" s="239"/>
      <c r="CXS312" s="239"/>
      <c r="CXT312" s="239"/>
      <c r="CXU312" s="239"/>
      <c r="CXV312" s="239"/>
      <c r="CXW312" s="233"/>
      <c r="CXX312" s="235"/>
      <c r="CXY312" s="233"/>
      <c r="CXZ312" s="234"/>
      <c r="CYA312" s="234"/>
      <c r="CYB312" s="242"/>
      <c r="CYC312" s="234"/>
      <c r="CYD312" s="234"/>
      <c r="CYE312" s="234"/>
      <c r="CYF312" s="236"/>
      <c r="CYG312" s="244"/>
      <c r="CYH312" s="239"/>
      <c r="CYI312" s="240"/>
      <c r="CYJ312" s="241"/>
      <c r="CYK312" s="239"/>
      <c r="CYL312" s="239"/>
      <c r="CYM312" s="239"/>
      <c r="CYN312" s="239"/>
      <c r="CYO312" s="239"/>
      <c r="CYP312" s="239"/>
      <c r="CYQ312" s="233"/>
      <c r="CYR312" s="235"/>
      <c r="CYS312" s="233"/>
      <c r="CYT312" s="234"/>
      <c r="CYU312" s="234"/>
      <c r="CYV312" s="242"/>
      <c r="CYW312" s="234"/>
      <c r="CYX312" s="234"/>
      <c r="CYY312" s="234"/>
      <c r="CYZ312" s="236"/>
      <c r="CZA312" s="244"/>
      <c r="CZB312" s="239"/>
      <c r="CZC312" s="240"/>
      <c r="CZD312" s="241"/>
      <c r="CZE312" s="239"/>
      <c r="CZF312" s="239"/>
      <c r="CZG312" s="239"/>
      <c r="CZH312" s="239"/>
      <c r="CZI312" s="239"/>
      <c r="CZJ312" s="239"/>
      <c r="CZK312" s="233"/>
      <c r="CZL312" s="235"/>
      <c r="CZM312" s="233"/>
      <c r="CZN312" s="234"/>
      <c r="CZO312" s="234"/>
      <c r="CZP312" s="242"/>
      <c r="CZQ312" s="234"/>
      <c r="CZR312" s="234"/>
      <c r="CZS312" s="234"/>
      <c r="CZT312" s="236"/>
      <c r="CZU312" s="244"/>
      <c r="CZV312" s="239"/>
      <c r="CZW312" s="240"/>
      <c r="CZX312" s="241"/>
      <c r="CZY312" s="239"/>
      <c r="CZZ312" s="239"/>
      <c r="DAA312" s="239"/>
      <c r="DAB312" s="239"/>
      <c r="DAC312" s="239"/>
      <c r="DAD312" s="239"/>
      <c r="DAE312" s="233"/>
      <c r="DAF312" s="235"/>
      <c r="DAG312" s="233"/>
      <c r="DAH312" s="234"/>
      <c r="DAI312" s="234"/>
      <c r="DAJ312" s="242"/>
      <c r="DAK312" s="234"/>
      <c r="DAL312" s="234"/>
      <c r="DAM312" s="234"/>
      <c r="DAN312" s="236"/>
      <c r="DAO312" s="244"/>
      <c r="DAP312" s="239"/>
      <c r="DAQ312" s="240"/>
      <c r="DAR312" s="241"/>
      <c r="DAS312" s="239"/>
      <c r="DAT312" s="239"/>
      <c r="DAU312" s="239"/>
      <c r="DAV312" s="239"/>
      <c r="DAW312" s="239"/>
      <c r="DAX312" s="239"/>
      <c r="DAY312" s="233"/>
      <c r="DAZ312" s="235"/>
      <c r="DBA312" s="233"/>
      <c r="DBB312" s="234"/>
      <c r="DBC312" s="234"/>
      <c r="DBD312" s="242"/>
      <c r="DBE312" s="234"/>
      <c r="DBF312" s="234"/>
      <c r="DBG312" s="234"/>
      <c r="DBH312" s="236"/>
      <c r="DBI312" s="244"/>
      <c r="DBJ312" s="239"/>
      <c r="DBK312" s="240"/>
      <c r="DBL312" s="241"/>
      <c r="DBM312" s="239"/>
      <c r="DBN312" s="239"/>
      <c r="DBO312" s="239"/>
      <c r="DBP312" s="239"/>
      <c r="DBQ312" s="239"/>
      <c r="DBR312" s="239"/>
      <c r="DBS312" s="233"/>
      <c r="DBT312" s="235"/>
      <c r="DBU312" s="233"/>
      <c r="DBV312" s="234"/>
      <c r="DBW312" s="234"/>
      <c r="DBX312" s="242"/>
      <c r="DBY312" s="234"/>
      <c r="DBZ312" s="234"/>
      <c r="DCA312" s="234"/>
      <c r="DCB312" s="236"/>
      <c r="DCC312" s="244"/>
      <c r="DCD312" s="239"/>
      <c r="DCE312" s="240"/>
      <c r="DCF312" s="241"/>
      <c r="DCG312" s="239"/>
      <c r="DCH312" s="239"/>
      <c r="DCI312" s="239"/>
      <c r="DCJ312" s="239"/>
      <c r="DCK312" s="239"/>
      <c r="DCL312" s="239"/>
      <c r="DCM312" s="233"/>
      <c r="DCN312" s="235"/>
      <c r="DCO312" s="233"/>
      <c r="DCP312" s="234"/>
      <c r="DCQ312" s="234"/>
      <c r="DCR312" s="242"/>
      <c r="DCS312" s="234"/>
      <c r="DCT312" s="234"/>
      <c r="DCU312" s="234"/>
      <c r="DCV312" s="236"/>
      <c r="DCW312" s="244"/>
      <c r="DCX312" s="239"/>
      <c r="DCY312" s="240"/>
      <c r="DCZ312" s="241"/>
      <c r="DDA312" s="239"/>
      <c r="DDB312" s="239"/>
      <c r="DDC312" s="239"/>
      <c r="DDD312" s="239"/>
      <c r="DDE312" s="239"/>
      <c r="DDF312" s="239"/>
      <c r="DDG312" s="233"/>
      <c r="DDH312" s="235"/>
      <c r="DDI312" s="233"/>
      <c r="DDJ312" s="234"/>
      <c r="DDK312" s="234"/>
      <c r="DDL312" s="242"/>
      <c r="DDM312" s="234"/>
      <c r="DDN312" s="234"/>
      <c r="DDO312" s="234"/>
      <c r="DDP312" s="236"/>
      <c r="DDQ312" s="244"/>
      <c r="DDR312" s="239"/>
      <c r="DDS312" s="240"/>
      <c r="DDT312" s="241"/>
      <c r="DDU312" s="239"/>
      <c r="DDV312" s="239"/>
      <c r="DDW312" s="239"/>
      <c r="DDX312" s="239"/>
      <c r="DDY312" s="239"/>
      <c r="DDZ312" s="239"/>
      <c r="DEA312" s="233"/>
      <c r="DEB312" s="235"/>
      <c r="DEC312" s="233"/>
      <c r="DED312" s="234"/>
      <c r="DEE312" s="234"/>
      <c r="DEF312" s="242"/>
      <c r="DEG312" s="234"/>
      <c r="DEH312" s="234"/>
      <c r="DEI312" s="234"/>
      <c r="DEJ312" s="236"/>
      <c r="DEK312" s="244"/>
      <c r="DEL312" s="239"/>
      <c r="DEM312" s="240"/>
      <c r="DEN312" s="241"/>
      <c r="DEO312" s="239"/>
      <c r="DEP312" s="239"/>
      <c r="DEQ312" s="239"/>
      <c r="DER312" s="239"/>
      <c r="DES312" s="239"/>
      <c r="DET312" s="239"/>
      <c r="DEU312" s="233"/>
      <c r="DEV312" s="235"/>
      <c r="DEW312" s="233"/>
      <c r="DEX312" s="234"/>
      <c r="DEY312" s="234"/>
      <c r="DEZ312" s="242"/>
      <c r="DFA312" s="234"/>
      <c r="DFB312" s="234"/>
      <c r="DFC312" s="234"/>
      <c r="DFD312" s="236"/>
      <c r="DFE312" s="244"/>
      <c r="DFF312" s="239"/>
      <c r="DFG312" s="240"/>
      <c r="DFH312" s="241"/>
      <c r="DFI312" s="239"/>
      <c r="DFJ312" s="239"/>
      <c r="DFK312" s="239"/>
      <c r="DFL312" s="239"/>
      <c r="DFM312" s="239"/>
      <c r="DFN312" s="239"/>
      <c r="DFO312" s="233"/>
      <c r="DFP312" s="235"/>
      <c r="DFQ312" s="233"/>
      <c r="DFR312" s="234"/>
      <c r="DFS312" s="234"/>
      <c r="DFT312" s="242"/>
      <c r="DFU312" s="234"/>
      <c r="DFV312" s="234"/>
      <c r="DFW312" s="234"/>
      <c r="DFX312" s="236"/>
      <c r="DFY312" s="244"/>
      <c r="DFZ312" s="239"/>
      <c r="DGA312" s="240"/>
      <c r="DGB312" s="241"/>
      <c r="DGC312" s="239"/>
      <c r="DGD312" s="239"/>
      <c r="DGE312" s="239"/>
      <c r="DGF312" s="239"/>
      <c r="DGG312" s="239"/>
      <c r="DGH312" s="239"/>
      <c r="DGI312" s="233"/>
      <c r="DGJ312" s="235"/>
      <c r="DGK312" s="233"/>
      <c r="DGL312" s="234"/>
      <c r="DGM312" s="234"/>
      <c r="DGN312" s="242"/>
      <c r="DGO312" s="234"/>
      <c r="DGP312" s="234"/>
      <c r="DGQ312" s="234"/>
      <c r="DGR312" s="236"/>
      <c r="DGS312" s="244"/>
      <c r="DGT312" s="239"/>
      <c r="DGU312" s="240"/>
      <c r="DGV312" s="241"/>
      <c r="DGW312" s="239"/>
      <c r="DGX312" s="239"/>
      <c r="DGY312" s="239"/>
      <c r="DGZ312" s="239"/>
      <c r="DHA312" s="239"/>
      <c r="DHB312" s="239"/>
      <c r="DHC312" s="233"/>
      <c r="DHD312" s="235"/>
      <c r="DHE312" s="233"/>
      <c r="DHF312" s="234"/>
      <c r="DHG312" s="234"/>
      <c r="DHH312" s="242"/>
      <c r="DHI312" s="234"/>
      <c r="DHJ312" s="234"/>
      <c r="DHK312" s="234"/>
      <c r="DHL312" s="236"/>
      <c r="DHM312" s="244"/>
      <c r="DHN312" s="239"/>
      <c r="DHO312" s="240"/>
      <c r="DHP312" s="241"/>
      <c r="DHQ312" s="239"/>
      <c r="DHR312" s="239"/>
      <c r="DHS312" s="239"/>
      <c r="DHT312" s="239"/>
      <c r="DHU312" s="239"/>
      <c r="DHV312" s="239"/>
      <c r="DHW312" s="233"/>
      <c r="DHX312" s="235"/>
      <c r="DHY312" s="233"/>
      <c r="DHZ312" s="234"/>
      <c r="DIA312" s="234"/>
      <c r="DIB312" s="242"/>
      <c r="DIC312" s="234"/>
      <c r="DID312" s="234"/>
      <c r="DIE312" s="234"/>
      <c r="DIF312" s="236"/>
      <c r="DIG312" s="244"/>
      <c r="DIH312" s="239"/>
      <c r="DII312" s="240"/>
      <c r="DIJ312" s="241"/>
      <c r="DIK312" s="239"/>
      <c r="DIL312" s="239"/>
      <c r="DIM312" s="239"/>
      <c r="DIN312" s="239"/>
      <c r="DIO312" s="239"/>
      <c r="DIP312" s="239"/>
      <c r="DIQ312" s="233"/>
      <c r="DIR312" s="235"/>
      <c r="DIS312" s="233"/>
      <c r="DIT312" s="234"/>
      <c r="DIU312" s="234"/>
      <c r="DIV312" s="242"/>
      <c r="DIW312" s="234"/>
      <c r="DIX312" s="234"/>
      <c r="DIY312" s="234"/>
      <c r="DIZ312" s="236"/>
      <c r="DJA312" s="244"/>
      <c r="DJB312" s="239"/>
      <c r="DJC312" s="240"/>
      <c r="DJD312" s="241"/>
      <c r="DJE312" s="239"/>
      <c r="DJF312" s="239"/>
      <c r="DJG312" s="239"/>
      <c r="DJH312" s="239"/>
      <c r="DJI312" s="239"/>
      <c r="DJJ312" s="239"/>
      <c r="DJK312" s="233"/>
      <c r="DJL312" s="235"/>
      <c r="DJM312" s="233"/>
      <c r="DJN312" s="234"/>
      <c r="DJO312" s="234"/>
      <c r="DJP312" s="242"/>
      <c r="DJQ312" s="234"/>
      <c r="DJR312" s="234"/>
      <c r="DJS312" s="234"/>
      <c r="DJT312" s="236"/>
      <c r="DJU312" s="244"/>
      <c r="DJV312" s="239"/>
      <c r="DJW312" s="240"/>
      <c r="DJX312" s="241"/>
      <c r="DJY312" s="239"/>
      <c r="DJZ312" s="239"/>
      <c r="DKA312" s="239"/>
      <c r="DKB312" s="239"/>
      <c r="DKC312" s="239"/>
      <c r="DKD312" s="239"/>
      <c r="DKE312" s="233"/>
      <c r="DKF312" s="235"/>
      <c r="DKG312" s="233"/>
      <c r="DKH312" s="234"/>
      <c r="DKI312" s="234"/>
      <c r="DKJ312" s="242"/>
      <c r="DKK312" s="234"/>
      <c r="DKL312" s="234"/>
      <c r="DKM312" s="234"/>
      <c r="DKN312" s="236"/>
      <c r="DKO312" s="244"/>
      <c r="DKP312" s="239"/>
      <c r="DKQ312" s="240"/>
      <c r="DKR312" s="241"/>
      <c r="DKS312" s="239"/>
      <c r="DKT312" s="239"/>
      <c r="DKU312" s="239"/>
      <c r="DKV312" s="239"/>
      <c r="DKW312" s="239"/>
      <c r="DKX312" s="239"/>
      <c r="DKY312" s="233"/>
      <c r="DKZ312" s="235"/>
      <c r="DLA312" s="233"/>
      <c r="DLB312" s="234"/>
      <c r="DLC312" s="234"/>
      <c r="DLD312" s="242"/>
      <c r="DLE312" s="234"/>
      <c r="DLF312" s="234"/>
      <c r="DLG312" s="234"/>
      <c r="DLH312" s="236"/>
      <c r="DLI312" s="244"/>
      <c r="DLJ312" s="239"/>
      <c r="DLK312" s="240"/>
      <c r="DLL312" s="241"/>
      <c r="DLM312" s="239"/>
      <c r="DLN312" s="239"/>
      <c r="DLO312" s="239"/>
      <c r="DLP312" s="239"/>
      <c r="DLQ312" s="239"/>
      <c r="DLR312" s="239"/>
      <c r="DLS312" s="233"/>
      <c r="DLT312" s="235"/>
      <c r="DLU312" s="233"/>
      <c r="DLV312" s="234"/>
      <c r="DLW312" s="234"/>
      <c r="DLX312" s="242"/>
      <c r="DLY312" s="234"/>
      <c r="DLZ312" s="234"/>
      <c r="DMA312" s="234"/>
      <c r="DMB312" s="236"/>
      <c r="DMC312" s="244"/>
      <c r="DMD312" s="239"/>
      <c r="DME312" s="240"/>
      <c r="DMF312" s="241"/>
      <c r="DMG312" s="239"/>
      <c r="DMH312" s="239"/>
      <c r="DMI312" s="239"/>
      <c r="DMJ312" s="239"/>
      <c r="DMK312" s="239"/>
      <c r="DML312" s="239"/>
      <c r="DMM312" s="233"/>
      <c r="DMN312" s="235"/>
      <c r="DMO312" s="233"/>
      <c r="DMP312" s="234"/>
      <c r="DMQ312" s="234"/>
      <c r="DMR312" s="242"/>
      <c r="DMS312" s="234"/>
      <c r="DMT312" s="234"/>
      <c r="DMU312" s="234"/>
      <c r="DMV312" s="236"/>
      <c r="DMW312" s="244"/>
      <c r="DMX312" s="239"/>
      <c r="DMY312" s="240"/>
      <c r="DMZ312" s="241"/>
      <c r="DNA312" s="239"/>
      <c r="DNB312" s="239"/>
      <c r="DNC312" s="239"/>
      <c r="DND312" s="239"/>
      <c r="DNE312" s="239"/>
      <c r="DNF312" s="239"/>
      <c r="DNG312" s="233"/>
      <c r="DNH312" s="235"/>
      <c r="DNI312" s="233"/>
      <c r="DNJ312" s="234"/>
      <c r="DNK312" s="234"/>
      <c r="DNL312" s="242"/>
      <c r="DNM312" s="234"/>
      <c r="DNN312" s="234"/>
      <c r="DNO312" s="234"/>
      <c r="DNP312" s="236"/>
      <c r="DNQ312" s="244"/>
      <c r="DNR312" s="239"/>
      <c r="DNS312" s="240"/>
      <c r="DNT312" s="241"/>
      <c r="DNU312" s="239"/>
      <c r="DNV312" s="239"/>
      <c r="DNW312" s="239"/>
      <c r="DNX312" s="239"/>
      <c r="DNY312" s="239"/>
      <c r="DNZ312" s="239"/>
      <c r="DOA312" s="233"/>
      <c r="DOB312" s="235"/>
      <c r="DOC312" s="233"/>
      <c r="DOD312" s="234"/>
      <c r="DOE312" s="234"/>
      <c r="DOF312" s="242"/>
      <c r="DOG312" s="234"/>
      <c r="DOH312" s="234"/>
      <c r="DOI312" s="234"/>
      <c r="DOJ312" s="236"/>
      <c r="DOK312" s="244"/>
      <c r="DOL312" s="239"/>
      <c r="DOM312" s="240"/>
      <c r="DON312" s="241"/>
      <c r="DOO312" s="239"/>
      <c r="DOP312" s="239"/>
      <c r="DOQ312" s="239"/>
      <c r="DOR312" s="239"/>
      <c r="DOS312" s="239"/>
      <c r="DOT312" s="239"/>
      <c r="DOU312" s="233"/>
      <c r="DOV312" s="235"/>
      <c r="DOW312" s="233"/>
      <c r="DOX312" s="234"/>
      <c r="DOY312" s="234"/>
      <c r="DOZ312" s="242"/>
      <c r="DPA312" s="234"/>
      <c r="DPB312" s="234"/>
      <c r="DPC312" s="234"/>
      <c r="DPD312" s="236"/>
      <c r="DPE312" s="244"/>
      <c r="DPF312" s="239"/>
      <c r="DPG312" s="240"/>
      <c r="DPH312" s="241"/>
      <c r="DPI312" s="239"/>
      <c r="DPJ312" s="239"/>
      <c r="DPK312" s="239"/>
      <c r="DPL312" s="239"/>
      <c r="DPM312" s="239"/>
      <c r="DPN312" s="239"/>
      <c r="DPO312" s="233"/>
      <c r="DPP312" s="235"/>
      <c r="DPQ312" s="233"/>
      <c r="DPR312" s="234"/>
      <c r="DPS312" s="234"/>
      <c r="DPT312" s="242"/>
      <c r="DPU312" s="234"/>
      <c r="DPV312" s="234"/>
      <c r="DPW312" s="234"/>
      <c r="DPX312" s="236"/>
      <c r="DPY312" s="244"/>
      <c r="DPZ312" s="239"/>
      <c r="DQA312" s="240"/>
      <c r="DQB312" s="241"/>
      <c r="DQC312" s="239"/>
      <c r="DQD312" s="239"/>
      <c r="DQE312" s="239"/>
      <c r="DQF312" s="239"/>
      <c r="DQG312" s="239"/>
      <c r="DQH312" s="239"/>
      <c r="DQI312" s="233"/>
      <c r="DQJ312" s="235"/>
      <c r="DQK312" s="233"/>
      <c r="DQL312" s="234"/>
      <c r="DQM312" s="234"/>
      <c r="DQN312" s="242"/>
      <c r="DQO312" s="234"/>
      <c r="DQP312" s="234"/>
      <c r="DQQ312" s="234"/>
      <c r="DQR312" s="236"/>
      <c r="DQS312" s="244"/>
      <c r="DQT312" s="239"/>
      <c r="DQU312" s="240"/>
      <c r="DQV312" s="241"/>
      <c r="DQW312" s="239"/>
      <c r="DQX312" s="239"/>
      <c r="DQY312" s="239"/>
      <c r="DQZ312" s="239"/>
      <c r="DRA312" s="239"/>
      <c r="DRB312" s="239"/>
      <c r="DRC312" s="233"/>
      <c r="DRD312" s="235"/>
      <c r="DRE312" s="233"/>
      <c r="DRF312" s="234"/>
      <c r="DRG312" s="234"/>
      <c r="DRH312" s="242"/>
      <c r="DRI312" s="234"/>
      <c r="DRJ312" s="234"/>
      <c r="DRK312" s="234"/>
      <c r="DRL312" s="236"/>
      <c r="DRM312" s="244"/>
      <c r="DRN312" s="239"/>
      <c r="DRO312" s="240"/>
      <c r="DRP312" s="241"/>
      <c r="DRQ312" s="239"/>
      <c r="DRR312" s="239"/>
      <c r="DRS312" s="239"/>
      <c r="DRT312" s="239"/>
      <c r="DRU312" s="239"/>
      <c r="DRV312" s="239"/>
      <c r="DRW312" s="233"/>
      <c r="DRX312" s="235"/>
      <c r="DRY312" s="233"/>
      <c r="DRZ312" s="234"/>
      <c r="DSA312" s="234"/>
      <c r="DSB312" s="242"/>
      <c r="DSC312" s="234"/>
      <c r="DSD312" s="234"/>
      <c r="DSE312" s="234"/>
      <c r="DSF312" s="236"/>
      <c r="DSG312" s="244"/>
      <c r="DSH312" s="239"/>
      <c r="DSI312" s="240"/>
      <c r="DSJ312" s="241"/>
      <c r="DSK312" s="239"/>
      <c r="DSL312" s="239"/>
      <c r="DSM312" s="239"/>
      <c r="DSN312" s="239"/>
      <c r="DSO312" s="239"/>
      <c r="DSP312" s="239"/>
      <c r="DSQ312" s="233"/>
      <c r="DSR312" s="235"/>
      <c r="DSS312" s="233"/>
      <c r="DST312" s="234"/>
      <c r="DSU312" s="234"/>
      <c r="DSV312" s="242"/>
      <c r="DSW312" s="234"/>
      <c r="DSX312" s="234"/>
      <c r="DSY312" s="234"/>
      <c r="DSZ312" s="236"/>
      <c r="DTA312" s="244"/>
      <c r="DTB312" s="239"/>
      <c r="DTC312" s="240"/>
      <c r="DTD312" s="241"/>
      <c r="DTE312" s="239"/>
      <c r="DTF312" s="239"/>
      <c r="DTG312" s="239"/>
      <c r="DTH312" s="239"/>
      <c r="DTI312" s="239"/>
      <c r="DTJ312" s="239"/>
      <c r="DTK312" s="233"/>
      <c r="DTL312" s="235"/>
      <c r="DTM312" s="233"/>
      <c r="DTN312" s="234"/>
      <c r="DTO312" s="234"/>
      <c r="DTP312" s="242"/>
      <c r="DTQ312" s="234"/>
      <c r="DTR312" s="234"/>
      <c r="DTS312" s="234"/>
      <c r="DTT312" s="236"/>
      <c r="DTU312" s="244"/>
      <c r="DTV312" s="239"/>
      <c r="DTW312" s="240"/>
      <c r="DTX312" s="241"/>
      <c r="DTY312" s="239"/>
      <c r="DTZ312" s="239"/>
      <c r="DUA312" s="239"/>
      <c r="DUB312" s="239"/>
      <c r="DUC312" s="239"/>
      <c r="DUD312" s="239"/>
      <c r="DUE312" s="233"/>
      <c r="DUF312" s="235"/>
      <c r="DUG312" s="233"/>
      <c r="DUH312" s="234"/>
      <c r="DUI312" s="234"/>
      <c r="DUJ312" s="242"/>
      <c r="DUK312" s="234"/>
      <c r="DUL312" s="234"/>
      <c r="DUM312" s="234"/>
      <c r="DUN312" s="236"/>
      <c r="DUO312" s="244"/>
      <c r="DUP312" s="239"/>
      <c r="DUQ312" s="240"/>
      <c r="DUR312" s="241"/>
      <c r="DUS312" s="239"/>
      <c r="DUT312" s="239"/>
      <c r="DUU312" s="239"/>
      <c r="DUV312" s="239"/>
      <c r="DUW312" s="239"/>
      <c r="DUX312" s="239"/>
      <c r="DUY312" s="233"/>
      <c r="DUZ312" s="235"/>
      <c r="DVA312" s="233"/>
      <c r="DVB312" s="234"/>
      <c r="DVC312" s="234"/>
      <c r="DVD312" s="242"/>
      <c r="DVE312" s="234"/>
      <c r="DVF312" s="234"/>
      <c r="DVG312" s="234"/>
      <c r="DVH312" s="236"/>
      <c r="DVI312" s="244"/>
      <c r="DVJ312" s="239"/>
      <c r="DVK312" s="240"/>
      <c r="DVL312" s="241"/>
      <c r="DVM312" s="239"/>
      <c r="DVN312" s="239"/>
      <c r="DVO312" s="239"/>
      <c r="DVP312" s="239"/>
      <c r="DVQ312" s="239"/>
      <c r="DVR312" s="239"/>
      <c r="DVS312" s="233"/>
      <c r="DVT312" s="235"/>
      <c r="DVU312" s="233"/>
      <c r="DVV312" s="234"/>
      <c r="DVW312" s="234"/>
      <c r="DVX312" s="242"/>
      <c r="DVY312" s="234"/>
      <c r="DVZ312" s="234"/>
      <c r="DWA312" s="234"/>
      <c r="DWB312" s="236"/>
      <c r="DWC312" s="244"/>
      <c r="DWD312" s="239"/>
      <c r="DWE312" s="240"/>
      <c r="DWF312" s="241"/>
      <c r="DWG312" s="239"/>
      <c r="DWH312" s="239"/>
      <c r="DWI312" s="239"/>
      <c r="DWJ312" s="239"/>
      <c r="DWK312" s="239"/>
      <c r="DWL312" s="239"/>
      <c r="DWM312" s="233"/>
      <c r="DWN312" s="235"/>
      <c r="DWO312" s="233"/>
      <c r="DWP312" s="234"/>
      <c r="DWQ312" s="234"/>
      <c r="DWR312" s="242"/>
      <c r="DWS312" s="234"/>
      <c r="DWT312" s="234"/>
      <c r="DWU312" s="234"/>
      <c r="DWV312" s="236"/>
      <c r="DWW312" s="244"/>
      <c r="DWX312" s="239"/>
      <c r="DWY312" s="240"/>
      <c r="DWZ312" s="241"/>
      <c r="DXA312" s="239"/>
      <c r="DXB312" s="239"/>
      <c r="DXC312" s="239"/>
      <c r="DXD312" s="239"/>
      <c r="DXE312" s="239"/>
      <c r="DXF312" s="239"/>
      <c r="DXG312" s="233"/>
      <c r="DXH312" s="235"/>
      <c r="DXI312" s="233"/>
      <c r="DXJ312" s="234"/>
      <c r="DXK312" s="234"/>
      <c r="DXL312" s="242"/>
      <c r="DXM312" s="234"/>
      <c r="DXN312" s="234"/>
      <c r="DXO312" s="234"/>
      <c r="DXP312" s="236"/>
      <c r="DXQ312" s="244"/>
      <c r="DXR312" s="239"/>
      <c r="DXS312" s="240"/>
      <c r="DXT312" s="241"/>
      <c r="DXU312" s="239"/>
      <c r="DXV312" s="239"/>
      <c r="DXW312" s="239"/>
      <c r="DXX312" s="239"/>
      <c r="DXY312" s="239"/>
      <c r="DXZ312" s="239"/>
      <c r="DYA312" s="233"/>
      <c r="DYB312" s="235"/>
      <c r="DYC312" s="233"/>
      <c r="DYD312" s="234"/>
      <c r="DYE312" s="234"/>
      <c r="DYF312" s="242"/>
      <c r="DYG312" s="234"/>
      <c r="DYH312" s="234"/>
      <c r="DYI312" s="234"/>
      <c r="DYJ312" s="236"/>
      <c r="DYK312" s="244"/>
      <c r="DYL312" s="239"/>
      <c r="DYM312" s="240"/>
      <c r="DYN312" s="241"/>
      <c r="DYO312" s="239"/>
      <c r="DYP312" s="239"/>
      <c r="DYQ312" s="239"/>
      <c r="DYR312" s="239"/>
      <c r="DYS312" s="239"/>
      <c r="DYT312" s="239"/>
      <c r="DYU312" s="233"/>
      <c r="DYV312" s="235"/>
      <c r="DYW312" s="233"/>
      <c r="DYX312" s="234"/>
      <c r="DYY312" s="234"/>
      <c r="DYZ312" s="242"/>
      <c r="DZA312" s="234"/>
      <c r="DZB312" s="234"/>
      <c r="DZC312" s="234"/>
      <c r="DZD312" s="236"/>
      <c r="DZE312" s="244"/>
      <c r="DZF312" s="239"/>
      <c r="DZG312" s="240"/>
      <c r="DZH312" s="241"/>
      <c r="DZI312" s="239"/>
      <c r="DZJ312" s="239"/>
      <c r="DZK312" s="239"/>
      <c r="DZL312" s="239"/>
      <c r="DZM312" s="239"/>
      <c r="DZN312" s="239"/>
      <c r="DZO312" s="233"/>
      <c r="DZP312" s="235"/>
      <c r="DZQ312" s="233"/>
      <c r="DZR312" s="234"/>
      <c r="DZS312" s="234"/>
      <c r="DZT312" s="242"/>
      <c r="DZU312" s="234"/>
      <c r="DZV312" s="234"/>
      <c r="DZW312" s="234"/>
      <c r="DZX312" s="236"/>
      <c r="DZY312" s="244"/>
      <c r="DZZ312" s="239"/>
      <c r="EAA312" s="240"/>
      <c r="EAB312" s="241"/>
      <c r="EAC312" s="239"/>
      <c r="EAD312" s="239"/>
      <c r="EAE312" s="239"/>
      <c r="EAF312" s="239"/>
      <c r="EAG312" s="239"/>
      <c r="EAH312" s="239"/>
      <c r="EAI312" s="233"/>
      <c r="EAJ312" s="235"/>
      <c r="EAK312" s="233"/>
      <c r="EAL312" s="234"/>
      <c r="EAM312" s="234"/>
      <c r="EAN312" s="242"/>
      <c r="EAO312" s="234"/>
      <c r="EAP312" s="234"/>
      <c r="EAQ312" s="234"/>
      <c r="EAR312" s="236"/>
      <c r="EAS312" s="244"/>
      <c r="EAT312" s="239"/>
      <c r="EAU312" s="240"/>
      <c r="EAV312" s="241"/>
      <c r="EAW312" s="239"/>
      <c r="EAX312" s="239"/>
      <c r="EAY312" s="239"/>
      <c r="EAZ312" s="239"/>
      <c r="EBA312" s="239"/>
      <c r="EBB312" s="239"/>
      <c r="EBC312" s="233"/>
      <c r="EBD312" s="235"/>
      <c r="EBE312" s="233"/>
      <c r="EBF312" s="234"/>
      <c r="EBG312" s="234"/>
      <c r="EBH312" s="242"/>
      <c r="EBI312" s="234"/>
      <c r="EBJ312" s="234"/>
      <c r="EBK312" s="234"/>
      <c r="EBL312" s="236"/>
      <c r="EBM312" s="244"/>
      <c r="EBN312" s="239"/>
      <c r="EBO312" s="240"/>
      <c r="EBP312" s="241"/>
      <c r="EBQ312" s="239"/>
      <c r="EBR312" s="239"/>
      <c r="EBS312" s="239"/>
      <c r="EBT312" s="239"/>
      <c r="EBU312" s="239"/>
      <c r="EBV312" s="239"/>
      <c r="EBW312" s="233"/>
      <c r="EBX312" s="235"/>
      <c r="EBY312" s="233"/>
      <c r="EBZ312" s="234"/>
      <c r="ECA312" s="234"/>
      <c r="ECB312" s="242"/>
      <c r="ECC312" s="234"/>
      <c r="ECD312" s="234"/>
      <c r="ECE312" s="234"/>
      <c r="ECF312" s="236"/>
      <c r="ECG312" s="244"/>
      <c r="ECH312" s="239"/>
      <c r="ECI312" s="240"/>
      <c r="ECJ312" s="241"/>
      <c r="ECK312" s="239"/>
      <c r="ECL312" s="239"/>
      <c r="ECM312" s="239"/>
      <c r="ECN312" s="239"/>
      <c r="ECO312" s="239"/>
      <c r="ECP312" s="239"/>
      <c r="ECQ312" s="233"/>
      <c r="ECR312" s="235"/>
      <c r="ECS312" s="233"/>
      <c r="ECT312" s="234"/>
      <c r="ECU312" s="234"/>
      <c r="ECV312" s="242"/>
      <c r="ECW312" s="234"/>
      <c r="ECX312" s="234"/>
      <c r="ECY312" s="234"/>
      <c r="ECZ312" s="236"/>
      <c r="EDA312" s="244"/>
      <c r="EDB312" s="239"/>
      <c r="EDC312" s="240"/>
      <c r="EDD312" s="241"/>
      <c r="EDE312" s="239"/>
      <c r="EDF312" s="239"/>
      <c r="EDG312" s="239"/>
      <c r="EDH312" s="239"/>
      <c r="EDI312" s="239"/>
      <c r="EDJ312" s="239"/>
      <c r="EDK312" s="233"/>
      <c r="EDL312" s="235"/>
      <c r="EDM312" s="233"/>
      <c r="EDN312" s="234"/>
      <c r="EDO312" s="234"/>
      <c r="EDP312" s="242"/>
      <c r="EDQ312" s="234"/>
      <c r="EDR312" s="234"/>
      <c r="EDS312" s="234"/>
      <c r="EDT312" s="236"/>
      <c r="EDU312" s="244"/>
      <c r="EDV312" s="239"/>
      <c r="EDW312" s="240"/>
      <c r="EDX312" s="241"/>
      <c r="EDY312" s="239"/>
      <c r="EDZ312" s="239"/>
      <c r="EEA312" s="239"/>
      <c r="EEB312" s="239"/>
      <c r="EEC312" s="239"/>
      <c r="EED312" s="239"/>
      <c r="EEE312" s="233"/>
      <c r="EEF312" s="235"/>
      <c r="EEG312" s="233"/>
      <c r="EEH312" s="234"/>
      <c r="EEI312" s="234"/>
      <c r="EEJ312" s="242"/>
      <c r="EEK312" s="234"/>
      <c r="EEL312" s="234"/>
      <c r="EEM312" s="234"/>
      <c r="EEN312" s="236"/>
      <c r="EEO312" s="244"/>
      <c r="EEP312" s="239"/>
      <c r="EEQ312" s="240"/>
      <c r="EER312" s="241"/>
      <c r="EES312" s="239"/>
      <c r="EET312" s="239"/>
      <c r="EEU312" s="239"/>
      <c r="EEV312" s="239"/>
      <c r="EEW312" s="239"/>
      <c r="EEX312" s="239"/>
      <c r="EEY312" s="233"/>
      <c r="EEZ312" s="235"/>
      <c r="EFA312" s="233"/>
      <c r="EFB312" s="234"/>
      <c r="EFC312" s="234"/>
      <c r="EFD312" s="242"/>
      <c r="EFE312" s="234"/>
      <c r="EFF312" s="234"/>
      <c r="EFG312" s="234"/>
      <c r="EFH312" s="236"/>
      <c r="EFI312" s="244"/>
      <c r="EFJ312" s="239"/>
      <c r="EFK312" s="240"/>
      <c r="EFL312" s="241"/>
      <c r="EFM312" s="239"/>
      <c r="EFN312" s="239"/>
      <c r="EFO312" s="239"/>
      <c r="EFP312" s="239"/>
      <c r="EFQ312" s="239"/>
      <c r="EFR312" s="239"/>
      <c r="EFS312" s="233"/>
      <c r="EFT312" s="235"/>
      <c r="EFU312" s="233"/>
      <c r="EFV312" s="234"/>
      <c r="EFW312" s="234"/>
      <c r="EFX312" s="242"/>
      <c r="EFY312" s="234"/>
      <c r="EFZ312" s="234"/>
      <c r="EGA312" s="234"/>
      <c r="EGB312" s="236"/>
      <c r="EGC312" s="244"/>
      <c r="EGD312" s="239"/>
      <c r="EGE312" s="240"/>
      <c r="EGF312" s="241"/>
      <c r="EGG312" s="239"/>
      <c r="EGH312" s="239"/>
      <c r="EGI312" s="239"/>
      <c r="EGJ312" s="239"/>
      <c r="EGK312" s="239"/>
      <c r="EGL312" s="239"/>
      <c r="EGM312" s="233"/>
      <c r="EGN312" s="235"/>
      <c r="EGO312" s="233"/>
      <c r="EGP312" s="234"/>
      <c r="EGQ312" s="234"/>
      <c r="EGR312" s="242"/>
      <c r="EGS312" s="234"/>
      <c r="EGT312" s="234"/>
      <c r="EGU312" s="234"/>
      <c r="EGV312" s="236"/>
      <c r="EGW312" s="244"/>
      <c r="EGX312" s="239"/>
      <c r="EGY312" s="240"/>
      <c r="EGZ312" s="241"/>
      <c r="EHA312" s="239"/>
      <c r="EHB312" s="239"/>
      <c r="EHC312" s="239"/>
      <c r="EHD312" s="239"/>
      <c r="EHE312" s="239"/>
      <c r="EHF312" s="239"/>
      <c r="EHG312" s="233"/>
      <c r="EHH312" s="235"/>
      <c r="EHI312" s="233"/>
      <c r="EHJ312" s="234"/>
      <c r="EHK312" s="234"/>
      <c r="EHL312" s="242"/>
      <c r="EHM312" s="234"/>
      <c r="EHN312" s="234"/>
      <c r="EHO312" s="234"/>
      <c r="EHP312" s="236"/>
      <c r="EHQ312" s="244"/>
      <c r="EHR312" s="239"/>
      <c r="EHS312" s="240"/>
      <c r="EHT312" s="241"/>
      <c r="EHU312" s="239"/>
      <c r="EHV312" s="239"/>
      <c r="EHW312" s="239"/>
      <c r="EHX312" s="239"/>
      <c r="EHY312" s="239"/>
      <c r="EHZ312" s="239"/>
      <c r="EIA312" s="233"/>
      <c r="EIB312" s="235"/>
      <c r="EIC312" s="233"/>
      <c r="EID312" s="234"/>
      <c r="EIE312" s="234"/>
      <c r="EIF312" s="242"/>
      <c r="EIG312" s="234"/>
      <c r="EIH312" s="234"/>
      <c r="EII312" s="234"/>
      <c r="EIJ312" s="236"/>
      <c r="EIK312" s="244"/>
      <c r="EIL312" s="239"/>
      <c r="EIM312" s="240"/>
      <c r="EIN312" s="241"/>
      <c r="EIO312" s="239"/>
      <c r="EIP312" s="239"/>
      <c r="EIQ312" s="239"/>
      <c r="EIR312" s="239"/>
      <c r="EIS312" s="239"/>
      <c r="EIT312" s="239"/>
      <c r="EIU312" s="233"/>
      <c r="EIV312" s="235"/>
      <c r="EIW312" s="233"/>
      <c r="EIX312" s="234"/>
      <c r="EIY312" s="234"/>
      <c r="EIZ312" s="242"/>
      <c r="EJA312" s="234"/>
      <c r="EJB312" s="234"/>
      <c r="EJC312" s="234"/>
      <c r="EJD312" s="236"/>
      <c r="EJE312" s="244"/>
      <c r="EJF312" s="239"/>
      <c r="EJG312" s="240"/>
      <c r="EJH312" s="241"/>
      <c r="EJI312" s="239"/>
      <c r="EJJ312" s="239"/>
      <c r="EJK312" s="239"/>
      <c r="EJL312" s="239"/>
      <c r="EJM312" s="239"/>
      <c r="EJN312" s="239"/>
      <c r="EJO312" s="233"/>
      <c r="EJP312" s="235"/>
      <c r="EJQ312" s="233"/>
      <c r="EJR312" s="234"/>
      <c r="EJS312" s="234"/>
      <c r="EJT312" s="242"/>
      <c r="EJU312" s="234"/>
      <c r="EJV312" s="234"/>
      <c r="EJW312" s="234"/>
      <c r="EJX312" s="236"/>
      <c r="EJY312" s="244"/>
      <c r="EJZ312" s="239"/>
      <c r="EKA312" s="240"/>
      <c r="EKB312" s="241"/>
      <c r="EKC312" s="239"/>
      <c r="EKD312" s="239"/>
      <c r="EKE312" s="239"/>
      <c r="EKF312" s="239"/>
      <c r="EKG312" s="239"/>
      <c r="EKH312" s="239"/>
      <c r="EKI312" s="233"/>
      <c r="EKJ312" s="235"/>
      <c r="EKK312" s="233"/>
      <c r="EKL312" s="234"/>
      <c r="EKM312" s="234"/>
      <c r="EKN312" s="242"/>
      <c r="EKO312" s="234"/>
      <c r="EKP312" s="234"/>
      <c r="EKQ312" s="234"/>
      <c r="EKR312" s="236"/>
      <c r="EKS312" s="244"/>
      <c r="EKT312" s="239"/>
      <c r="EKU312" s="240"/>
      <c r="EKV312" s="241"/>
      <c r="EKW312" s="239"/>
      <c r="EKX312" s="239"/>
      <c r="EKY312" s="239"/>
      <c r="EKZ312" s="239"/>
      <c r="ELA312" s="239"/>
      <c r="ELB312" s="239"/>
      <c r="ELC312" s="233"/>
      <c r="ELD312" s="235"/>
      <c r="ELE312" s="233"/>
      <c r="ELF312" s="234"/>
      <c r="ELG312" s="234"/>
      <c r="ELH312" s="242"/>
      <c r="ELI312" s="234"/>
      <c r="ELJ312" s="234"/>
      <c r="ELK312" s="234"/>
      <c r="ELL312" s="236"/>
      <c r="ELM312" s="244"/>
      <c r="ELN312" s="239"/>
      <c r="ELO312" s="240"/>
      <c r="ELP312" s="241"/>
      <c r="ELQ312" s="239"/>
      <c r="ELR312" s="239"/>
      <c r="ELS312" s="239"/>
      <c r="ELT312" s="239"/>
      <c r="ELU312" s="239"/>
      <c r="ELV312" s="239"/>
      <c r="ELW312" s="233"/>
      <c r="ELX312" s="235"/>
      <c r="ELY312" s="233"/>
      <c r="ELZ312" s="234"/>
      <c r="EMA312" s="234"/>
      <c r="EMB312" s="242"/>
      <c r="EMC312" s="234"/>
      <c r="EMD312" s="234"/>
      <c r="EME312" s="234"/>
      <c r="EMF312" s="236"/>
      <c r="EMG312" s="244"/>
      <c r="EMH312" s="239"/>
      <c r="EMI312" s="240"/>
      <c r="EMJ312" s="241"/>
      <c r="EMK312" s="239"/>
      <c r="EML312" s="239"/>
      <c r="EMM312" s="239"/>
      <c r="EMN312" s="239"/>
      <c r="EMO312" s="239"/>
      <c r="EMP312" s="239"/>
      <c r="EMQ312" s="233"/>
      <c r="EMR312" s="235"/>
      <c r="EMS312" s="233"/>
      <c r="EMT312" s="234"/>
      <c r="EMU312" s="234"/>
      <c r="EMV312" s="242"/>
      <c r="EMW312" s="234"/>
      <c r="EMX312" s="234"/>
      <c r="EMY312" s="234"/>
      <c r="EMZ312" s="236"/>
      <c r="ENA312" s="244"/>
      <c r="ENB312" s="239"/>
      <c r="ENC312" s="240"/>
      <c r="END312" s="241"/>
      <c r="ENE312" s="239"/>
      <c r="ENF312" s="239"/>
      <c r="ENG312" s="239"/>
      <c r="ENH312" s="239"/>
      <c r="ENI312" s="239"/>
      <c r="ENJ312" s="239"/>
      <c r="ENK312" s="233"/>
      <c r="ENL312" s="235"/>
      <c r="ENM312" s="233"/>
      <c r="ENN312" s="234"/>
      <c r="ENO312" s="234"/>
      <c r="ENP312" s="242"/>
      <c r="ENQ312" s="234"/>
      <c r="ENR312" s="234"/>
      <c r="ENS312" s="234"/>
      <c r="ENT312" s="236"/>
      <c r="ENU312" s="244"/>
      <c r="ENV312" s="239"/>
      <c r="ENW312" s="240"/>
      <c r="ENX312" s="241"/>
      <c r="ENY312" s="239"/>
      <c r="ENZ312" s="239"/>
      <c r="EOA312" s="239"/>
      <c r="EOB312" s="239"/>
      <c r="EOC312" s="239"/>
      <c r="EOD312" s="239"/>
      <c r="EOE312" s="233"/>
      <c r="EOF312" s="235"/>
      <c r="EOG312" s="233"/>
      <c r="EOH312" s="234"/>
      <c r="EOI312" s="234"/>
      <c r="EOJ312" s="242"/>
      <c r="EOK312" s="234"/>
      <c r="EOL312" s="234"/>
      <c r="EOM312" s="234"/>
      <c r="EON312" s="236"/>
      <c r="EOO312" s="244"/>
      <c r="EOP312" s="239"/>
      <c r="EOQ312" s="240"/>
      <c r="EOR312" s="241"/>
      <c r="EOS312" s="239"/>
      <c r="EOT312" s="239"/>
      <c r="EOU312" s="239"/>
      <c r="EOV312" s="239"/>
      <c r="EOW312" s="239"/>
      <c r="EOX312" s="239"/>
      <c r="EOY312" s="233"/>
      <c r="EOZ312" s="235"/>
      <c r="EPA312" s="233"/>
      <c r="EPB312" s="234"/>
      <c r="EPC312" s="234"/>
      <c r="EPD312" s="242"/>
      <c r="EPE312" s="234"/>
      <c r="EPF312" s="234"/>
      <c r="EPG312" s="234"/>
      <c r="EPH312" s="236"/>
      <c r="EPI312" s="244"/>
      <c r="EPJ312" s="239"/>
      <c r="EPK312" s="240"/>
      <c r="EPL312" s="241"/>
      <c r="EPM312" s="239"/>
      <c r="EPN312" s="239"/>
      <c r="EPO312" s="239"/>
      <c r="EPP312" s="239"/>
      <c r="EPQ312" s="239"/>
      <c r="EPR312" s="239"/>
      <c r="EPS312" s="233"/>
      <c r="EPT312" s="235"/>
      <c r="EPU312" s="233"/>
      <c r="EPV312" s="234"/>
      <c r="EPW312" s="234"/>
      <c r="EPX312" s="242"/>
      <c r="EPY312" s="234"/>
      <c r="EPZ312" s="234"/>
      <c r="EQA312" s="234"/>
      <c r="EQB312" s="236"/>
      <c r="EQC312" s="244"/>
      <c r="EQD312" s="239"/>
      <c r="EQE312" s="240"/>
      <c r="EQF312" s="241"/>
      <c r="EQG312" s="239"/>
      <c r="EQH312" s="239"/>
      <c r="EQI312" s="239"/>
      <c r="EQJ312" s="239"/>
      <c r="EQK312" s="239"/>
      <c r="EQL312" s="239"/>
      <c r="EQM312" s="233"/>
      <c r="EQN312" s="235"/>
      <c r="EQO312" s="233"/>
      <c r="EQP312" s="234"/>
      <c r="EQQ312" s="234"/>
      <c r="EQR312" s="242"/>
      <c r="EQS312" s="234"/>
      <c r="EQT312" s="234"/>
      <c r="EQU312" s="234"/>
      <c r="EQV312" s="236"/>
      <c r="EQW312" s="244"/>
      <c r="EQX312" s="239"/>
      <c r="EQY312" s="240"/>
      <c r="EQZ312" s="241"/>
      <c r="ERA312" s="239"/>
      <c r="ERB312" s="239"/>
      <c r="ERC312" s="239"/>
      <c r="ERD312" s="239"/>
      <c r="ERE312" s="239"/>
      <c r="ERF312" s="239"/>
      <c r="ERG312" s="233"/>
      <c r="ERH312" s="235"/>
      <c r="ERI312" s="233"/>
      <c r="ERJ312" s="234"/>
      <c r="ERK312" s="234"/>
      <c r="ERL312" s="242"/>
      <c r="ERM312" s="234"/>
      <c r="ERN312" s="234"/>
      <c r="ERO312" s="234"/>
      <c r="ERP312" s="236"/>
      <c r="ERQ312" s="244"/>
      <c r="ERR312" s="239"/>
      <c r="ERS312" s="240"/>
      <c r="ERT312" s="241"/>
      <c r="ERU312" s="239"/>
      <c r="ERV312" s="239"/>
      <c r="ERW312" s="239"/>
      <c r="ERX312" s="239"/>
      <c r="ERY312" s="239"/>
      <c r="ERZ312" s="239"/>
      <c r="ESA312" s="233"/>
      <c r="ESB312" s="235"/>
      <c r="ESC312" s="233"/>
      <c r="ESD312" s="234"/>
      <c r="ESE312" s="234"/>
      <c r="ESF312" s="242"/>
      <c r="ESG312" s="234"/>
      <c r="ESH312" s="234"/>
      <c r="ESI312" s="234"/>
      <c r="ESJ312" s="236"/>
      <c r="ESK312" s="244"/>
      <c r="ESL312" s="239"/>
      <c r="ESM312" s="240"/>
      <c r="ESN312" s="241"/>
      <c r="ESO312" s="239"/>
      <c r="ESP312" s="239"/>
      <c r="ESQ312" s="239"/>
      <c r="ESR312" s="239"/>
      <c r="ESS312" s="239"/>
      <c r="EST312" s="239"/>
      <c r="ESU312" s="233"/>
      <c r="ESV312" s="235"/>
      <c r="ESW312" s="233"/>
      <c r="ESX312" s="234"/>
      <c r="ESY312" s="234"/>
      <c r="ESZ312" s="242"/>
      <c r="ETA312" s="234"/>
      <c r="ETB312" s="234"/>
      <c r="ETC312" s="234"/>
      <c r="ETD312" s="236"/>
      <c r="ETE312" s="244"/>
      <c r="ETF312" s="239"/>
      <c r="ETG312" s="240"/>
      <c r="ETH312" s="241"/>
      <c r="ETI312" s="239"/>
      <c r="ETJ312" s="239"/>
      <c r="ETK312" s="239"/>
      <c r="ETL312" s="239"/>
      <c r="ETM312" s="239"/>
      <c r="ETN312" s="239"/>
      <c r="ETO312" s="233"/>
      <c r="ETP312" s="235"/>
      <c r="ETQ312" s="233"/>
      <c r="ETR312" s="234"/>
      <c r="ETS312" s="234"/>
      <c r="ETT312" s="242"/>
      <c r="ETU312" s="234"/>
      <c r="ETV312" s="234"/>
      <c r="ETW312" s="234"/>
      <c r="ETX312" s="236"/>
      <c r="ETY312" s="244"/>
      <c r="ETZ312" s="239"/>
      <c r="EUA312" s="240"/>
      <c r="EUB312" s="241"/>
      <c r="EUC312" s="239"/>
      <c r="EUD312" s="239"/>
      <c r="EUE312" s="239"/>
      <c r="EUF312" s="239"/>
      <c r="EUG312" s="239"/>
      <c r="EUH312" s="239"/>
      <c r="EUI312" s="233"/>
      <c r="EUJ312" s="235"/>
      <c r="EUK312" s="233"/>
      <c r="EUL312" s="234"/>
      <c r="EUM312" s="234"/>
      <c r="EUN312" s="242"/>
      <c r="EUO312" s="234"/>
      <c r="EUP312" s="234"/>
      <c r="EUQ312" s="234"/>
      <c r="EUR312" s="236"/>
      <c r="EUS312" s="244"/>
      <c r="EUT312" s="239"/>
      <c r="EUU312" s="240"/>
      <c r="EUV312" s="241"/>
      <c r="EUW312" s="239"/>
      <c r="EUX312" s="239"/>
      <c r="EUY312" s="239"/>
      <c r="EUZ312" s="239"/>
      <c r="EVA312" s="239"/>
      <c r="EVB312" s="239"/>
      <c r="EVC312" s="233"/>
      <c r="EVD312" s="235"/>
      <c r="EVE312" s="233"/>
      <c r="EVF312" s="234"/>
      <c r="EVG312" s="234"/>
      <c r="EVH312" s="242"/>
      <c r="EVI312" s="234"/>
      <c r="EVJ312" s="234"/>
      <c r="EVK312" s="234"/>
      <c r="EVL312" s="236"/>
      <c r="EVM312" s="244"/>
      <c r="EVN312" s="239"/>
      <c r="EVO312" s="240"/>
      <c r="EVP312" s="241"/>
      <c r="EVQ312" s="239"/>
      <c r="EVR312" s="239"/>
      <c r="EVS312" s="239"/>
      <c r="EVT312" s="239"/>
      <c r="EVU312" s="239"/>
      <c r="EVV312" s="239"/>
      <c r="EVW312" s="233"/>
      <c r="EVX312" s="235"/>
      <c r="EVY312" s="233"/>
      <c r="EVZ312" s="234"/>
      <c r="EWA312" s="234"/>
      <c r="EWB312" s="242"/>
      <c r="EWC312" s="234"/>
      <c r="EWD312" s="234"/>
      <c r="EWE312" s="234"/>
      <c r="EWF312" s="236"/>
      <c r="EWG312" s="244"/>
      <c r="EWH312" s="239"/>
      <c r="EWI312" s="240"/>
      <c r="EWJ312" s="241"/>
      <c r="EWK312" s="239"/>
      <c r="EWL312" s="239"/>
      <c r="EWM312" s="239"/>
      <c r="EWN312" s="239"/>
      <c r="EWO312" s="239"/>
      <c r="EWP312" s="239"/>
      <c r="EWQ312" s="233"/>
      <c r="EWR312" s="235"/>
      <c r="EWS312" s="233"/>
      <c r="EWT312" s="234"/>
      <c r="EWU312" s="234"/>
      <c r="EWV312" s="242"/>
      <c r="EWW312" s="234"/>
      <c r="EWX312" s="234"/>
      <c r="EWY312" s="234"/>
      <c r="EWZ312" s="236"/>
      <c r="EXA312" s="244"/>
      <c r="EXB312" s="239"/>
      <c r="EXC312" s="240"/>
      <c r="EXD312" s="241"/>
      <c r="EXE312" s="239"/>
      <c r="EXF312" s="239"/>
      <c r="EXG312" s="239"/>
      <c r="EXH312" s="239"/>
      <c r="EXI312" s="239"/>
      <c r="EXJ312" s="239"/>
      <c r="EXK312" s="233"/>
      <c r="EXL312" s="235"/>
      <c r="EXM312" s="233"/>
      <c r="EXN312" s="234"/>
      <c r="EXO312" s="234"/>
      <c r="EXP312" s="242"/>
      <c r="EXQ312" s="234"/>
      <c r="EXR312" s="234"/>
      <c r="EXS312" s="234"/>
      <c r="EXT312" s="236"/>
      <c r="EXU312" s="244"/>
      <c r="EXV312" s="239"/>
      <c r="EXW312" s="240"/>
      <c r="EXX312" s="241"/>
      <c r="EXY312" s="239"/>
      <c r="EXZ312" s="239"/>
      <c r="EYA312" s="239"/>
      <c r="EYB312" s="239"/>
      <c r="EYC312" s="239"/>
      <c r="EYD312" s="239"/>
      <c r="EYE312" s="233"/>
      <c r="EYF312" s="235"/>
      <c r="EYG312" s="233"/>
      <c r="EYH312" s="234"/>
      <c r="EYI312" s="234"/>
      <c r="EYJ312" s="242"/>
      <c r="EYK312" s="234"/>
      <c r="EYL312" s="234"/>
      <c r="EYM312" s="234"/>
      <c r="EYN312" s="236"/>
      <c r="EYO312" s="244"/>
      <c r="EYP312" s="239"/>
      <c r="EYQ312" s="240"/>
      <c r="EYR312" s="241"/>
      <c r="EYS312" s="239"/>
      <c r="EYT312" s="239"/>
      <c r="EYU312" s="239"/>
      <c r="EYV312" s="239"/>
      <c r="EYW312" s="239"/>
      <c r="EYX312" s="239"/>
      <c r="EYY312" s="233"/>
      <c r="EYZ312" s="235"/>
      <c r="EZA312" s="233"/>
      <c r="EZB312" s="234"/>
      <c r="EZC312" s="234"/>
      <c r="EZD312" s="242"/>
      <c r="EZE312" s="234"/>
      <c r="EZF312" s="234"/>
      <c r="EZG312" s="234"/>
      <c r="EZH312" s="236"/>
      <c r="EZI312" s="244"/>
      <c r="EZJ312" s="239"/>
      <c r="EZK312" s="240"/>
      <c r="EZL312" s="241"/>
      <c r="EZM312" s="239"/>
      <c r="EZN312" s="239"/>
      <c r="EZO312" s="239"/>
      <c r="EZP312" s="239"/>
      <c r="EZQ312" s="239"/>
      <c r="EZR312" s="239"/>
      <c r="EZS312" s="233"/>
      <c r="EZT312" s="235"/>
      <c r="EZU312" s="233"/>
      <c r="EZV312" s="234"/>
      <c r="EZW312" s="234"/>
      <c r="EZX312" s="242"/>
      <c r="EZY312" s="234"/>
      <c r="EZZ312" s="234"/>
      <c r="FAA312" s="234"/>
      <c r="FAB312" s="236"/>
      <c r="FAC312" s="244"/>
      <c r="FAD312" s="239"/>
      <c r="FAE312" s="240"/>
      <c r="FAF312" s="241"/>
      <c r="FAG312" s="239"/>
      <c r="FAH312" s="239"/>
      <c r="FAI312" s="239"/>
      <c r="FAJ312" s="239"/>
      <c r="FAK312" s="239"/>
      <c r="FAL312" s="239"/>
      <c r="FAM312" s="233"/>
      <c r="FAN312" s="235"/>
      <c r="FAO312" s="233"/>
      <c r="FAP312" s="234"/>
      <c r="FAQ312" s="234"/>
      <c r="FAR312" s="242"/>
      <c r="FAS312" s="234"/>
      <c r="FAT312" s="234"/>
      <c r="FAU312" s="234"/>
      <c r="FAV312" s="236"/>
      <c r="FAW312" s="244"/>
      <c r="FAX312" s="239"/>
      <c r="FAY312" s="240"/>
      <c r="FAZ312" s="241"/>
      <c r="FBA312" s="239"/>
      <c r="FBB312" s="239"/>
      <c r="FBC312" s="239"/>
      <c r="FBD312" s="239"/>
      <c r="FBE312" s="239"/>
      <c r="FBF312" s="239"/>
      <c r="FBG312" s="233"/>
      <c r="FBH312" s="235"/>
      <c r="FBI312" s="233"/>
      <c r="FBJ312" s="234"/>
      <c r="FBK312" s="234"/>
      <c r="FBL312" s="242"/>
      <c r="FBM312" s="234"/>
      <c r="FBN312" s="234"/>
      <c r="FBO312" s="234"/>
      <c r="FBP312" s="236"/>
      <c r="FBQ312" s="244"/>
      <c r="FBR312" s="239"/>
      <c r="FBS312" s="240"/>
      <c r="FBT312" s="241"/>
      <c r="FBU312" s="239"/>
      <c r="FBV312" s="239"/>
      <c r="FBW312" s="239"/>
      <c r="FBX312" s="239"/>
      <c r="FBY312" s="239"/>
      <c r="FBZ312" s="239"/>
      <c r="FCA312" s="233"/>
      <c r="FCB312" s="235"/>
      <c r="FCC312" s="233"/>
      <c r="FCD312" s="234"/>
      <c r="FCE312" s="234"/>
      <c r="FCF312" s="242"/>
      <c r="FCG312" s="234"/>
      <c r="FCH312" s="234"/>
      <c r="FCI312" s="234"/>
      <c r="FCJ312" s="236"/>
      <c r="FCK312" s="244"/>
      <c r="FCL312" s="239"/>
      <c r="FCM312" s="240"/>
      <c r="FCN312" s="241"/>
      <c r="FCO312" s="239"/>
      <c r="FCP312" s="239"/>
      <c r="FCQ312" s="239"/>
      <c r="FCR312" s="239"/>
      <c r="FCS312" s="239"/>
      <c r="FCT312" s="239"/>
      <c r="FCU312" s="233"/>
      <c r="FCV312" s="235"/>
      <c r="FCW312" s="233"/>
      <c r="FCX312" s="234"/>
      <c r="FCY312" s="234"/>
      <c r="FCZ312" s="242"/>
      <c r="FDA312" s="234"/>
      <c r="FDB312" s="234"/>
      <c r="FDC312" s="234"/>
      <c r="FDD312" s="236"/>
      <c r="FDE312" s="244"/>
      <c r="FDF312" s="239"/>
      <c r="FDG312" s="240"/>
      <c r="FDH312" s="241"/>
      <c r="FDI312" s="239"/>
      <c r="FDJ312" s="239"/>
      <c r="FDK312" s="239"/>
      <c r="FDL312" s="239"/>
      <c r="FDM312" s="239"/>
      <c r="FDN312" s="239"/>
      <c r="FDO312" s="233"/>
      <c r="FDP312" s="235"/>
      <c r="FDQ312" s="233"/>
      <c r="FDR312" s="234"/>
      <c r="FDS312" s="234"/>
      <c r="FDT312" s="242"/>
      <c r="FDU312" s="234"/>
      <c r="FDV312" s="234"/>
      <c r="FDW312" s="234"/>
      <c r="FDX312" s="236"/>
      <c r="FDY312" s="244"/>
      <c r="FDZ312" s="239"/>
      <c r="FEA312" s="240"/>
      <c r="FEB312" s="241"/>
      <c r="FEC312" s="239"/>
      <c r="FED312" s="239"/>
      <c r="FEE312" s="239"/>
      <c r="FEF312" s="239"/>
      <c r="FEG312" s="239"/>
      <c r="FEH312" s="239"/>
      <c r="FEI312" s="233"/>
      <c r="FEJ312" s="235"/>
      <c r="FEK312" s="233"/>
      <c r="FEL312" s="234"/>
      <c r="FEM312" s="234"/>
      <c r="FEN312" s="242"/>
      <c r="FEO312" s="234"/>
      <c r="FEP312" s="234"/>
      <c r="FEQ312" s="234"/>
      <c r="FER312" s="236"/>
      <c r="FES312" s="244"/>
      <c r="FET312" s="239"/>
      <c r="FEU312" s="240"/>
      <c r="FEV312" s="241"/>
      <c r="FEW312" s="239"/>
      <c r="FEX312" s="239"/>
      <c r="FEY312" s="239"/>
      <c r="FEZ312" s="239"/>
      <c r="FFA312" s="239"/>
      <c r="FFB312" s="239"/>
      <c r="FFC312" s="233"/>
      <c r="FFD312" s="235"/>
      <c r="FFE312" s="233"/>
      <c r="FFF312" s="234"/>
      <c r="FFG312" s="234"/>
      <c r="FFH312" s="242"/>
      <c r="FFI312" s="234"/>
      <c r="FFJ312" s="234"/>
      <c r="FFK312" s="234"/>
      <c r="FFL312" s="236"/>
      <c r="FFM312" s="244"/>
      <c r="FFN312" s="239"/>
      <c r="FFO312" s="240"/>
      <c r="FFP312" s="241"/>
      <c r="FFQ312" s="239"/>
      <c r="FFR312" s="239"/>
      <c r="FFS312" s="239"/>
      <c r="FFT312" s="239"/>
      <c r="FFU312" s="239"/>
      <c r="FFV312" s="239"/>
      <c r="FFW312" s="233"/>
      <c r="FFX312" s="235"/>
      <c r="FFY312" s="233"/>
      <c r="FFZ312" s="234"/>
      <c r="FGA312" s="234"/>
      <c r="FGB312" s="242"/>
      <c r="FGC312" s="234"/>
      <c r="FGD312" s="234"/>
      <c r="FGE312" s="234"/>
      <c r="FGF312" s="236"/>
      <c r="FGG312" s="244"/>
      <c r="FGH312" s="239"/>
      <c r="FGI312" s="240"/>
      <c r="FGJ312" s="241"/>
      <c r="FGK312" s="239"/>
      <c r="FGL312" s="239"/>
      <c r="FGM312" s="239"/>
      <c r="FGN312" s="239"/>
      <c r="FGO312" s="239"/>
      <c r="FGP312" s="239"/>
      <c r="FGQ312" s="233"/>
      <c r="FGR312" s="235"/>
      <c r="FGS312" s="233"/>
      <c r="FGT312" s="234"/>
      <c r="FGU312" s="234"/>
      <c r="FGV312" s="242"/>
      <c r="FGW312" s="234"/>
      <c r="FGX312" s="234"/>
      <c r="FGY312" s="234"/>
      <c r="FGZ312" s="236"/>
      <c r="FHA312" s="244"/>
      <c r="FHB312" s="239"/>
      <c r="FHC312" s="240"/>
      <c r="FHD312" s="241"/>
      <c r="FHE312" s="239"/>
      <c r="FHF312" s="239"/>
      <c r="FHG312" s="239"/>
      <c r="FHH312" s="239"/>
      <c r="FHI312" s="239"/>
      <c r="FHJ312" s="239"/>
      <c r="FHK312" s="233"/>
      <c r="FHL312" s="235"/>
      <c r="FHM312" s="233"/>
      <c r="FHN312" s="234"/>
      <c r="FHO312" s="234"/>
      <c r="FHP312" s="242"/>
      <c r="FHQ312" s="234"/>
      <c r="FHR312" s="234"/>
      <c r="FHS312" s="234"/>
      <c r="FHT312" s="236"/>
      <c r="FHU312" s="244"/>
      <c r="FHV312" s="239"/>
      <c r="FHW312" s="240"/>
      <c r="FHX312" s="241"/>
      <c r="FHY312" s="239"/>
      <c r="FHZ312" s="239"/>
      <c r="FIA312" s="239"/>
      <c r="FIB312" s="239"/>
      <c r="FIC312" s="239"/>
      <c r="FID312" s="239"/>
      <c r="FIE312" s="233"/>
      <c r="FIF312" s="235"/>
      <c r="FIG312" s="233"/>
      <c r="FIH312" s="234"/>
      <c r="FII312" s="234"/>
      <c r="FIJ312" s="242"/>
      <c r="FIK312" s="234"/>
      <c r="FIL312" s="234"/>
      <c r="FIM312" s="234"/>
      <c r="FIN312" s="236"/>
      <c r="FIO312" s="244"/>
      <c r="FIP312" s="239"/>
      <c r="FIQ312" s="240"/>
      <c r="FIR312" s="241"/>
      <c r="FIS312" s="239"/>
      <c r="FIT312" s="239"/>
      <c r="FIU312" s="239"/>
      <c r="FIV312" s="239"/>
      <c r="FIW312" s="239"/>
      <c r="FIX312" s="239"/>
      <c r="FIY312" s="233"/>
      <c r="FIZ312" s="235"/>
      <c r="FJA312" s="233"/>
      <c r="FJB312" s="234"/>
      <c r="FJC312" s="234"/>
      <c r="FJD312" s="242"/>
      <c r="FJE312" s="234"/>
      <c r="FJF312" s="234"/>
      <c r="FJG312" s="234"/>
      <c r="FJH312" s="236"/>
      <c r="FJI312" s="244"/>
      <c r="FJJ312" s="239"/>
      <c r="FJK312" s="240"/>
      <c r="FJL312" s="241"/>
      <c r="FJM312" s="239"/>
      <c r="FJN312" s="239"/>
      <c r="FJO312" s="239"/>
      <c r="FJP312" s="239"/>
      <c r="FJQ312" s="239"/>
      <c r="FJR312" s="239"/>
      <c r="FJS312" s="233"/>
      <c r="FJT312" s="235"/>
      <c r="FJU312" s="233"/>
      <c r="FJV312" s="234"/>
      <c r="FJW312" s="234"/>
      <c r="FJX312" s="242"/>
      <c r="FJY312" s="234"/>
      <c r="FJZ312" s="234"/>
      <c r="FKA312" s="234"/>
      <c r="FKB312" s="236"/>
      <c r="FKC312" s="244"/>
      <c r="FKD312" s="239"/>
      <c r="FKE312" s="240"/>
      <c r="FKF312" s="241"/>
      <c r="FKG312" s="239"/>
      <c r="FKH312" s="239"/>
      <c r="FKI312" s="239"/>
      <c r="FKJ312" s="239"/>
      <c r="FKK312" s="239"/>
      <c r="FKL312" s="239"/>
      <c r="FKM312" s="233"/>
      <c r="FKN312" s="235"/>
      <c r="FKO312" s="233"/>
      <c r="FKP312" s="234"/>
      <c r="FKQ312" s="234"/>
      <c r="FKR312" s="242"/>
      <c r="FKS312" s="234"/>
      <c r="FKT312" s="234"/>
      <c r="FKU312" s="234"/>
      <c r="FKV312" s="236"/>
      <c r="FKW312" s="244"/>
      <c r="FKX312" s="239"/>
      <c r="FKY312" s="240"/>
      <c r="FKZ312" s="241"/>
      <c r="FLA312" s="239"/>
      <c r="FLB312" s="239"/>
      <c r="FLC312" s="239"/>
      <c r="FLD312" s="239"/>
      <c r="FLE312" s="239"/>
      <c r="FLF312" s="239"/>
      <c r="FLG312" s="233"/>
      <c r="FLH312" s="235"/>
      <c r="FLI312" s="233"/>
      <c r="FLJ312" s="234"/>
      <c r="FLK312" s="234"/>
      <c r="FLL312" s="242"/>
      <c r="FLM312" s="234"/>
      <c r="FLN312" s="234"/>
      <c r="FLO312" s="234"/>
      <c r="FLP312" s="236"/>
      <c r="FLQ312" s="244"/>
      <c r="FLR312" s="239"/>
      <c r="FLS312" s="240"/>
      <c r="FLT312" s="241"/>
      <c r="FLU312" s="239"/>
      <c r="FLV312" s="239"/>
      <c r="FLW312" s="239"/>
      <c r="FLX312" s="239"/>
      <c r="FLY312" s="239"/>
      <c r="FLZ312" s="239"/>
      <c r="FMA312" s="233"/>
      <c r="FMB312" s="235"/>
      <c r="FMC312" s="233"/>
      <c r="FMD312" s="234"/>
      <c r="FME312" s="234"/>
      <c r="FMF312" s="242"/>
      <c r="FMG312" s="234"/>
      <c r="FMH312" s="234"/>
      <c r="FMI312" s="234"/>
      <c r="FMJ312" s="236"/>
      <c r="FMK312" s="244"/>
      <c r="FML312" s="239"/>
      <c r="FMM312" s="240"/>
      <c r="FMN312" s="241"/>
      <c r="FMO312" s="239"/>
      <c r="FMP312" s="239"/>
      <c r="FMQ312" s="239"/>
      <c r="FMR312" s="239"/>
      <c r="FMS312" s="239"/>
      <c r="FMT312" s="239"/>
      <c r="FMU312" s="233"/>
      <c r="FMV312" s="235"/>
      <c r="FMW312" s="233"/>
      <c r="FMX312" s="234"/>
      <c r="FMY312" s="234"/>
      <c r="FMZ312" s="242"/>
      <c r="FNA312" s="234"/>
      <c r="FNB312" s="234"/>
      <c r="FNC312" s="234"/>
      <c r="FND312" s="236"/>
      <c r="FNE312" s="244"/>
      <c r="FNF312" s="239"/>
      <c r="FNG312" s="240"/>
      <c r="FNH312" s="241"/>
      <c r="FNI312" s="239"/>
      <c r="FNJ312" s="239"/>
      <c r="FNK312" s="239"/>
      <c r="FNL312" s="239"/>
      <c r="FNM312" s="239"/>
      <c r="FNN312" s="239"/>
      <c r="FNO312" s="233"/>
      <c r="FNP312" s="235"/>
      <c r="FNQ312" s="233"/>
      <c r="FNR312" s="234"/>
      <c r="FNS312" s="234"/>
      <c r="FNT312" s="242"/>
      <c r="FNU312" s="234"/>
      <c r="FNV312" s="234"/>
      <c r="FNW312" s="234"/>
      <c r="FNX312" s="236"/>
      <c r="FNY312" s="244"/>
      <c r="FNZ312" s="239"/>
      <c r="FOA312" s="240"/>
      <c r="FOB312" s="241"/>
      <c r="FOC312" s="239"/>
      <c r="FOD312" s="239"/>
      <c r="FOE312" s="239"/>
      <c r="FOF312" s="239"/>
      <c r="FOG312" s="239"/>
      <c r="FOH312" s="239"/>
      <c r="FOI312" s="233"/>
      <c r="FOJ312" s="235"/>
      <c r="FOK312" s="233"/>
      <c r="FOL312" s="234"/>
      <c r="FOM312" s="234"/>
      <c r="FON312" s="242"/>
      <c r="FOO312" s="234"/>
      <c r="FOP312" s="234"/>
      <c r="FOQ312" s="234"/>
      <c r="FOR312" s="236"/>
      <c r="FOS312" s="244"/>
      <c r="FOT312" s="239"/>
      <c r="FOU312" s="240"/>
      <c r="FOV312" s="241"/>
      <c r="FOW312" s="239"/>
      <c r="FOX312" s="239"/>
      <c r="FOY312" s="239"/>
      <c r="FOZ312" s="239"/>
      <c r="FPA312" s="239"/>
      <c r="FPB312" s="239"/>
      <c r="FPC312" s="233"/>
      <c r="FPD312" s="235"/>
      <c r="FPE312" s="233"/>
      <c r="FPF312" s="234"/>
      <c r="FPG312" s="234"/>
      <c r="FPH312" s="242"/>
      <c r="FPI312" s="234"/>
      <c r="FPJ312" s="234"/>
      <c r="FPK312" s="234"/>
      <c r="FPL312" s="236"/>
      <c r="FPM312" s="244"/>
      <c r="FPN312" s="239"/>
      <c r="FPO312" s="240"/>
      <c r="FPP312" s="241"/>
      <c r="FPQ312" s="239"/>
      <c r="FPR312" s="239"/>
      <c r="FPS312" s="239"/>
      <c r="FPT312" s="239"/>
      <c r="FPU312" s="239"/>
      <c r="FPV312" s="239"/>
      <c r="FPW312" s="233"/>
      <c r="FPX312" s="235"/>
      <c r="FPY312" s="233"/>
      <c r="FPZ312" s="234"/>
      <c r="FQA312" s="234"/>
      <c r="FQB312" s="242"/>
      <c r="FQC312" s="234"/>
      <c r="FQD312" s="234"/>
      <c r="FQE312" s="234"/>
      <c r="FQF312" s="236"/>
      <c r="FQG312" s="244"/>
      <c r="FQH312" s="239"/>
      <c r="FQI312" s="240"/>
      <c r="FQJ312" s="241"/>
      <c r="FQK312" s="239"/>
      <c r="FQL312" s="239"/>
      <c r="FQM312" s="239"/>
      <c r="FQN312" s="239"/>
      <c r="FQO312" s="239"/>
      <c r="FQP312" s="239"/>
      <c r="FQQ312" s="233"/>
      <c r="FQR312" s="235"/>
      <c r="FQS312" s="233"/>
      <c r="FQT312" s="234"/>
      <c r="FQU312" s="234"/>
      <c r="FQV312" s="242"/>
      <c r="FQW312" s="234"/>
      <c r="FQX312" s="234"/>
      <c r="FQY312" s="234"/>
      <c r="FQZ312" s="236"/>
      <c r="FRA312" s="244"/>
      <c r="FRB312" s="239"/>
      <c r="FRC312" s="240"/>
      <c r="FRD312" s="241"/>
      <c r="FRE312" s="239"/>
      <c r="FRF312" s="239"/>
      <c r="FRG312" s="239"/>
      <c r="FRH312" s="239"/>
      <c r="FRI312" s="239"/>
      <c r="FRJ312" s="239"/>
      <c r="FRK312" s="233"/>
      <c r="FRL312" s="235"/>
      <c r="FRM312" s="233"/>
      <c r="FRN312" s="234"/>
      <c r="FRO312" s="234"/>
      <c r="FRP312" s="242"/>
      <c r="FRQ312" s="234"/>
      <c r="FRR312" s="234"/>
      <c r="FRS312" s="234"/>
      <c r="FRT312" s="236"/>
      <c r="FRU312" s="244"/>
      <c r="FRV312" s="239"/>
      <c r="FRW312" s="240"/>
      <c r="FRX312" s="241"/>
      <c r="FRY312" s="239"/>
      <c r="FRZ312" s="239"/>
      <c r="FSA312" s="239"/>
      <c r="FSB312" s="239"/>
      <c r="FSC312" s="239"/>
      <c r="FSD312" s="239"/>
      <c r="FSE312" s="233"/>
      <c r="FSF312" s="235"/>
      <c r="FSG312" s="233"/>
      <c r="FSH312" s="234"/>
      <c r="FSI312" s="234"/>
      <c r="FSJ312" s="242"/>
      <c r="FSK312" s="234"/>
      <c r="FSL312" s="234"/>
      <c r="FSM312" s="234"/>
      <c r="FSN312" s="236"/>
      <c r="FSO312" s="244"/>
      <c r="FSP312" s="239"/>
      <c r="FSQ312" s="240"/>
      <c r="FSR312" s="241"/>
      <c r="FSS312" s="239"/>
      <c r="FST312" s="239"/>
      <c r="FSU312" s="239"/>
      <c r="FSV312" s="239"/>
      <c r="FSW312" s="239"/>
      <c r="FSX312" s="239"/>
      <c r="FSY312" s="233"/>
      <c r="FSZ312" s="235"/>
      <c r="FTA312" s="233"/>
      <c r="FTB312" s="234"/>
      <c r="FTC312" s="234"/>
      <c r="FTD312" s="242"/>
      <c r="FTE312" s="234"/>
      <c r="FTF312" s="234"/>
      <c r="FTG312" s="234"/>
      <c r="FTH312" s="236"/>
      <c r="FTI312" s="244"/>
      <c r="FTJ312" s="239"/>
      <c r="FTK312" s="240"/>
      <c r="FTL312" s="241"/>
      <c r="FTM312" s="239"/>
      <c r="FTN312" s="239"/>
      <c r="FTO312" s="239"/>
      <c r="FTP312" s="239"/>
      <c r="FTQ312" s="239"/>
      <c r="FTR312" s="239"/>
      <c r="FTS312" s="233"/>
      <c r="FTT312" s="235"/>
      <c r="FTU312" s="233"/>
      <c r="FTV312" s="234"/>
      <c r="FTW312" s="234"/>
      <c r="FTX312" s="242"/>
      <c r="FTY312" s="234"/>
      <c r="FTZ312" s="234"/>
      <c r="FUA312" s="234"/>
      <c r="FUB312" s="236"/>
      <c r="FUC312" s="244"/>
      <c r="FUD312" s="239"/>
      <c r="FUE312" s="240"/>
      <c r="FUF312" s="241"/>
      <c r="FUG312" s="239"/>
      <c r="FUH312" s="239"/>
      <c r="FUI312" s="239"/>
      <c r="FUJ312" s="239"/>
      <c r="FUK312" s="239"/>
      <c r="FUL312" s="239"/>
      <c r="FUM312" s="233"/>
      <c r="FUN312" s="235"/>
      <c r="FUO312" s="233"/>
      <c r="FUP312" s="234"/>
      <c r="FUQ312" s="234"/>
      <c r="FUR312" s="242"/>
      <c r="FUS312" s="234"/>
      <c r="FUT312" s="234"/>
      <c r="FUU312" s="234"/>
      <c r="FUV312" s="236"/>
      <c r="FUW312" s="244"/>
      <c r="FUX312" s="239"/>
      <c r="FUY312" s="240"/>
      <c r="FUZ312" s="241"/>
      <c r="FVA312" s="239"/>
      <c r="FVB312" s="239"/>
      <c r="FVC312" s="239"/>
      <c r="FVD312" s="239"/>
      <c r="FVE312" s="239"/>
      <c r="FVF312" s="239"/>
      <c r="FVG312" s="233"/>
      <c r="FVH312" s="235"/>
      <c r="FVI312" s="233"/>
      <c r="FVJ312" s="234"/>
      <c r="FVK312" s="234"/>
      <c r="FVL312" s="242"/>
      <c r="FVM312" s="234"/>
      <c r="FVN312" s="234"/>
      <c r="FVO312" s="234"/>
      <c r="FVP312" s="236"/>
      <c r="FVQ312" s="244"/>
      <c r="FVR312" s="239"/>
      <c r="FVS312" s="240"/>
      <c r="FVT312" s="241"/>
      <c r="FVU312" s="239"/>
      <c r="FVV312" s="239"/>
      <c r="FVW312" s="239"/>
      <c r="FVX312" s="239"/>
      <c r="FVY312" s="239"/>
      <c r="FVZ312" s="239"/>
      <c r="FWA312" s="233"/>
      <c r="FWB312" s="235"/>
      <c r="FWC312" s="233"/>
      <c r="FWD312" s="234"/>
      <c r="FWE312" s="234"/>
      <c r="FWF312" s="242"/>
      <c r="FWG312" s="234"/>
      <c r="FWH312" s="234"/>
      <c r="FWI312" s="234"/>
      <c r="FWJ312" s="236"/>
      <c r="FWK312" s="244"/>
      <c r="FWL312" s="239"/>
      <c r="FWM312" s="240"/>
      <c r="FWN312" s="241"/>
      <c r="FWO312" s="239"/>
      <c r="FWP312" s="239"/>
      <c r="FWQ312" s="239"/>
      <c r="FWR312" s="239"/>
      <c r="FWS312" s="239"/>
      <c r="FWT312" s="239"/>
      <c r="FWU312" s="233"/>
      <c r="FWV312" s="235"/>
      <c r="FWW312" s="233"/>
      <c r="FWX312" s="234"/>
      <c r="FWY312" s="234"/>
      <c r="FWZ312" s="242"/>
      <c r="FXA312" s="234"/>
      <c r="FXB312" s="234"/>
      <c r="FXC312" s="234"/>
      <c r="FXD312" s="236"/>
      <c r="FXE312" s="244"/>
      <c r="FXF312" s="239"/>
      <c r="FXG312" s="240"/>
      <c r="FXH312" s="241"/>
      <c r="FXI312" s="239"/>
      <c r="FXJ312" s="239"/>
      <c r="FXK312" s="239"/>
      <c r="FXL312" s="239"/>
      <c r="FXM312" s="239"/>
      <c r="FXN312" s="239"/>
      <c r="FXO312" s="233"/>
      <c r="FXP312" s="235"/>
      <c r="FXQ312" s="233"/>
      <c r="FXR312" s="234"/>
      <c r="FXS312" s="234"/>
      <c r="FXT312" s="242"/>
      <c r="FXU312" s="234"/>
      <c r="FXV312" s="234"/>
      <c r="FXW312" s="234"/>
      <c r="FXX312" s="236"/>
      <c r="FXY312" s="244"/>
      <c r="FXZ312" s="239"/>
      <c r="FYA312" s="240"/>
      <c r="FYB312" s="241"/>
      <c r="FYC312" s="239"/>
      <c r="FYD312" s="239"/>
      <c r="FYE312" s="239"/>
      <c r="FYF312" s="239"/>
      <c r="FYG312" s="239"/>
      <c r="FYH312" s="239"/>
      <c r="FYI312" s="233"/>
      <c r="FYJ312" s="235"/>
      <c r="FYK312" s="233"/>
      <c r="FYL312" s="234"/>
      <c r="FYM312" s="234"/>
      <c r="FYN312" s="242"/>
      <c r="FYO312" s="234"/>
      <c r="FYP312" s="234"/>
      <c r="FYQ312" s="234"/>
      <c r="FYR312" s="236"/>
      <c r="FYS312" s="244"/>
      <c r="FYT312" s="239"/>
      <c r="FYU312" s="240"/>
      <c r="FYV312" s="241"/>
      <c r="FYW312" s="239"/>
      <c r="FYX312" s="239"/>
      <c r="FYY312" s="239"/>
      <c r="FYZ312" s="239"/>
      <c r="FZA312" s="239"/>
      <c r="FZB312" s="239"/>
      <c r="FZC312" s="233"/>
      <c r="FZD312" s="235"/>
      <c r="FZE312" s="233"/>
      <c r="FZF312" s="234"/>
      <c r="FZG312" s="234"/>
      <c r="FZH312" s="242"/>
      <c r="FZI312" s="234"/>
      <c r="FZJ312" s="234"/>
      <c r="FZK312" s="234"/>
      <c r="FZL312" s="236"/>
      <c r="FZM312" s="244"/>
      <c r="FZN312" s="239"/>
      <c r="FZO312" s="240"/>
      <c r="FZP312" s="241"/>
      <c r="FZQ312" s="239"/>
      <c r="FZR312" s="239"/>
      <c r="FZS312" s="239"/>
      <c r="FZT312" s="239"/>
      <c r="FZU312" s="239"/>
      <c r="FZV312" s="239"/>
      <c r="FZW312" s="233"/>
      <c r="FZX312" s="235"/>
      <c r="FZY312" s="233"/>
      <c r="FZZ312" s="234"/>
      <c r="GAA312" s="234"/>
      <c r="GAB312" s="242"/>
      <c r="GAC312" s="234"/>
      <c r="GAD312" s="234"/>
      <c r="GAE312" s="234"/>
      <c r="GAF312" s="236"/>
      <c r="GAG312" s="244"/>
      <c r="GAH312" s="239"/>
      <c r="GAI312" s="240"/>
      <c r="GAJ312" s="241"/>
      <c r="GAK312" s="239"/>
      <c r="GAL312" s="239"/>
      <c r="GAM312" s="239"/>
      <c r="GAN312" s="239"/>
      <c r="GAO312" s="239"/>
      <c r="GAP312" s="239"/>
      <c r="GAQ312" s="233"/>
      <c r="GAR312" s="235"/>
      <c r="GAS312" s="233"/>
      <c r="GAT312" s="234"/>
      <c r="GAU312" s="234"/>
      <c r="GAV312" s="242"/>
      <c r="GAW312" s="234"/>
      <c r="GAX312" s="234"/>
      <c r="GAY312" s="234"/>
      <c r="GAZ312" s="236"/>
      <c r="GBA312" s="244"/>
      <c r="GBB312" s="239"/>
      <c r="GBC312" s="240"/>
      <c r="GBD312" s="241"/>
      <c r="GBE312" s="239"/>
      <c r="GBF312" s="239"/>
      <c r="GBG312" s="239"/>
      <c r="GBH312" s="239"/>
      <c r="GBI312" s="239"/>
      <c r="GBJ312" s="239"/>
      <c r="GBK312" s="233"/>
      <c r="GBL312" s="235"/>
      <c r="GBM312" s="233"/>
      <c r="GBN312" s="234"/>
      <c r="GBO312" s="234"/>
      <c r="GBP312" s="242"/>
      <c r="GBQ312" s="234"/>
      <c r="GBR312" s="234"/>
      <c r="GBS312" s="234"/>
      <c r="GBT312" s="236"/>
      <c r="GBU312" s="244"/>
      <c r="GBV312" s="239"/>
      <c r="GBW312" s="240"/>
      <c r="GBX312" s="241"/>
      <c r="GBY312" s="239"/>
      <c r="GBZ312" s="239"/>
      <c r="GCA312" s="239"/>
      <c r="GCB312" s="239"/>
      <c r="GCC312" s="239"/>
      <c r="GCD312" s="239"/>
      <c r="GCE312" s="233"/>
      <c r="GCF312" s="235"/>
      <c r="GCG312" s="233"/>
      <c r="GCH312" s="234"/>
      <c r="GCI312" s="234"/>
      <c r="GCJ312" s="242"/>
      <c r="GCK312" s="234"/>
      <c r="GCL312" s="234"/>
      <c r="GCM312" s="234"/>
      <c r="GCN312" s="236"/>
      <c r="GCO312" s="244"/>
      <c r="GCP312" s="239"/>
      <c r="GCQ312" s="240"/>
      <c r="GCR312" s="241"/>
      <c r="GCS312" s="239"/>
      <c r="GCT312" s="239"/>
      <c r="GCU312" s="239"/>
      <c r="GCV312" s="239"/>
      <c r="GCW312" s="239"/>
      <c r="GCX312" s="239"/>
      <c r="GCY312" s="233"/>
      <c r="GCZ312" s="235"/>
      <c r="GDA312" s="233"/>
      <c r="GDB312" s="234"/>
      <c r="GDC312" s="234"/>
      <c r="GDD312" s="242"/>
      <c r="GDE312" s="234"/>
      <c r="GDF312" s="234"/>
      <c r="GDG312" s="234"/>
      <c r="GDH312" s="236"/>
      <c r="GDI312" s="244"/>
      <c r="GDJ312" s="239"/>
      <c r="GDK312" s="240"/>
      <c r="GDL312" s="241"/>
      <c r="GDM312" s="239"/>
      <c r="GDN312" s="239"/>
      <c r="GDO312" s="239"/>
      <c r="GDP312" s="239"/>
      <c r="GDQ312" s="239"/>
      <c r="GDR312" s="239"/>
      <c r="GDS312" s="233"/>
      <c r="GDT312" s="235"/>
      <c r="GDU312" s="233"/>
      <c r="GDV312" s="234"/>
      <c r="GDW312" s="234"/>
      <c r="GDX312" s="242"/>
      <c r="GDY312" s="234"/>
      <c r="GDZ312" s="234"/>
      <c r="GEA312" s="234"/>
      <c r="GEB312" s="236"/>
      <c r="GEC312" s="244"/>
      <c r="GED312" s="239"/>
      <c r="GEE312" s="240"/>
      <c r="GEF312" s="241"/>
      <c r="GEG312" s="239"/>
      <c r="GEH312" s="239"/>
      <c r="GEI312" s="239"/>
      <c r="GEJ312" s="239"/>
      <c r="GEK312" s="239"/>
      <c r="GEL312" s="239"/>
      <c r="GEM312" s="233"/>
      <c r="GEN312" s="235"/>
      <c r="GEO312" s="233"/>
      <c r="GEP312" s="234"/>
      <c r="GEQ312" s="234"/>
      <c r="GER312" s="242"/>
      <c r="GES312" s="234"/>
      <c r="GET312" s="234"/>
      <c r="GEU312" s="234"/>
      <c r="GEV312" s="236"/>
      <c r="GEW312" s="244"/>
      <c r="GEX312" s="239"/>
      <c r="GEY312" s="240"/>
      <c r="GEZ312" s="241"/>
      <c r="GFA312" s="239"/>
      <c r="GFB312" s="239"/>
      <c r="GFC312" s="239"/>
      <c r="GFD312" s="239"/>
      <c r="GFE312" s="239"/>
      <c r="GFF312" s="239"/>
      <c r="GFG312" s="233"/>
      <c r="GFH312" s="235"/>
      <c r="GFI312" s="233"/>
      <c r="GFJ312" s="234"/>
      <c r="GFK312" s="234"/>
      <c r="GFL312" s="242"/>
      <c r="GFM312" s="234"/>
      <c r="GFN312" s="234"/>
      <c r="GFO312" s="234"/>
      <c r="GFP312" s="236"/>
      <c r="GFQ312" s="244"/>
      <c r="GFR312" s="239"/>
      <c r="GFS312" s="240"/>
      <c r="GFT312" s="241"/>
      <c r="GFU312" s="239"/>
      <c r="GFV312" s="239"/>
      <c r="GFW312" s="239"/>
      <c r="GFX312" s="239"/>
      <c r="GFY312" s="239"/>
      <c r="GFZ312" s="239"/>
      <c r="GGA312" s="233"/>
      <c r="GGB312" s="235"/>
      <c r="GGC312" s="233"/>
      <c r="GGD312" s="234"/>
      <c r="GGE312" s="234"/>
      <c r="GGF312" s="242"/>
      <c r="GGG312" s="234"/>
      <c r="GGH312" s="234"/>
      <c r="GGI312" s="234"/>
      <c r="GGJ312" s="236"/>
      <c r="GGK312" s="244"/>
      <c r="GGL312" s="239"/>
      <c r="GGM312" s="240"/>
      <c r="GGN312" s="241"/>
      <c r="GGO312" s="239"/>
      <c r="GGP312" s="239"/>
      <c r="GGQ312" s="239"/>
      <c r="GGR312" s="239"/>
      <c r="GGS312" s="239"/>
      <c r="GGT312" s="239"/>
      <c r="GGU312" s="233"/>
      <c r="GGV312" s="235"/>
      <c r="GGW312" s="233"/>
      <c r="GGX312" s="234"/>
      <c r="GGY312" s="234"/>
      <c r="GGZ312" s="242"/>
      <c r="GHA312" s="234"/>
      <c r="GHB312" s="234"/>
      <c r="GHC312" s="234"/>
      <c r="GHD312" s="236"/>
      <c r="GHE312" s="244"/>
      <c r="GHF312" s="239"/>
      <c r="GHG312" s="240"/>
      <c r="GHH312" s="241"/>
      <c r="GHI312" s="239"/>
      <c r="GHJ312" s="239"/>
      <c r="GHK312" s="239"/>
      <c r="GHL312" s="239"/>
      <c r="GHM312" s="239"/>
      <c r="GHN312" s="239"/>
      <c r="GHO312" s="233"/>
      <c r="GHP312" s="235"/>
      <c r="GHQ312" s="233"/>
      <c r="GHR312" s="234"/>
      <c r="GHS312" s="234"/>
      <c r="GHT312" s="242"/>
      <c r="GHU312" s="234"/>
      <c r="GHV312" s="234"/>
      <c r="GHW312" s="234"/>
      <c r="GHX312" s="236"/>
      <c r="GHY312" s="244"/>
      <c r="GHZ312" s="239"/>
      <c r="GIA312" s="240"/>
      <c r="GIB312" s="241"/>
      <c r="GIC312" s="239"/>
      <c r="GID312" s="239"/>
      <c r="GIE312" s="239"/>
      <c r="GIF312" s="239"/>
      <c r="GIG312" s="239"/>
      <c r="GIH312" s="239"/>
      <c r="GII312" s="233"/>
      <c r="GIJ312" s="235"/>
      <c r="GIK312" s="233"/>
      <c r="GIL312" s="234"/>
      <c r="GIM312" s="234"/>
      <c r="GIN312" s="242"/>
      <c r="GIO312" s="234"/>
      <c r="GIP312" s="234"/>
      <c r="GIQ312" s="234"/>
      <c r="GIR312" s="236"/>
      <c r="GIS312" s="244"/>
      <c r="GIT312" s="239"/>
      <c r="GIU312" s="240"/>
      <c r="GIV312" s="241"/>
      <c r="GIW312" s="239"/>
      <c r="GIX312" s="239"/>
      <c r="GIY312" s="239"/>
      <c r="GIZ312" s="239"/>
      <c r="GJA312" s="239"/>
      <c r="GJB312" s="239"/>
      <c r="GJC312" s="233"/>
      <c r="GJD312" s="235"/>
      <c r="GJE312" s="233"/>
      <c r="GJF312" s="234"/>
      <c r="GJG312" s="234"/>
      <c r="GJH312" s="242"/>
      <c r="GJI312" s="234"/>
      <c r="GJJ312" s="234"/>
      <c r="GJK312" s="234"/>
      <c r="GJL312" s="236"/>
      <c r="GJM312" s="244"/>
      <c r="GJN312" s="239"/>
      <c r="GJO312" s="240"/>
      <c r="GJP312" s="241"/>
      <c r="GJQ312" s="239"/>
      <c r="GJR312" s="239"/>
      <c r="GJS312" s="239"/>
      <c r="GJT312" s="239"/>
      <c r="GJU312" s="239"/>
      <c r="GJV312" s="239"/>
      <c r="GJW312" s="233"/>
      <c r="GJX312" s="235"/>
      <c r="GJY312" s="233"/>
      <c r="GJZ312" s="234"/>
      <c r="GKA312" s="234"/>
      <c r="GKB312" s="242"/>
      <c r="GKC312" s="234"/>
      <c r="GKD312" s="234"/>
      <c r="GKE312" s="234"/>
      <c r="GKF312" s="236"/>
      <c r="GKG312" s="244"/>
      <c r="GKH312" s="239"/>
      <c r="GKI312" s="240"/>
      <c r="GKJ312" s="241"/>
      <c r="GKK312" s="239"/>
      <c r="GKL312" s="239"/>
      <c r="GKM312" s="239"/>
      <c r="GKN312" s="239"/>
      <c r="GKO312" s="239"/>
      <c r="GKP312" s="239"/>
      <c r="GKQ312" s="233"/>
      <c r="GKR312" s="235"/>
      <c r="GKS312" s="233"/>
      <c r="GKT312" s="234"/>
      <c r="GKU312" s="234"/>
      <c r="GKV312" s="242"/>
      <c r="GKW312" s="234"/>
      <c r="GKX312" s="234"/>
      <c r="GKY312" s="234"/>
      <c r="GKZ312" s="236"/>
      <c r="GLA312" s="244"/>
      <c r="GLB312" s="239"/>
      <c r="GLC312" s="240"/>
      <c r="GLD312" s="241"/>
      <c r="GLE312" s="239"/>
      <c r="GLF312" s="239"/>
      <c r="GLG312" s="239"/>
      <c r="GLH312" s="239"/>
      <c r="GLI312" s="239"/>
      <c r="GLJ312" s="239"/>
      <c r="GLK312" s="233"/>
      <c r="GLL312" s="235"/>
      <c r="GLM312" s="233"/>
      <c r="GLN312" s="234"/>
      <c r="GLO312" s="234"/>
      <c r="GLP312" s="242"/>
      <c r="GLQ312" s="234"/>
      <c r="GLR312" s="234"/>
      <c r="GLS312" s="234"/>
      <c r="GLT312" s="236"/>
      <c r="GLU312" s="244"/>
      <c r="GLV312" s="239"/>
      <c r="GLW312" s="240"/>
      <c r="GLX312" s="241"/>
      <c r="GLY312" s="239"/>
      <c r="GLZ312" s="239"/>
      <c r="GMA312" s="239"/>
      <c r="GMB312" s="239"/>
      <c r="GMC312" s="239"/>
      <c r="GMD312" s="239"/>
      <c r="GME312" s="233"/>
      <c r="GMF312" s="235"/>
      <c r="GMG312" s="233"/>
      <c r="GMH312" s="234"/>
      <c r="GMI312" s="234"/>
      <c r="GMJ312" s="242"/>
      <c r="GMK312" s="234"/>
      <c r="GML312" s="234"/>
      <c r="GMM312" s="234"/>
      <c r="GMN312" s="236"/>
      <c r="GMO312" s="244"/>
      <c r="GMP312" s="239"/>
      <c r="GMQ312" s="240"/>
      <c r="GMR312" s="241"/>
      <c r="GMS312" s="239"/>
      <c r="GMT312" s="239"/>
      <c r="GMU312" s="239"/>
      <c r="GMV312" s="239"/>
      <c r="GMW312" s="239"/>
      <c r="GMX312" s="239"/>
      <c r="GMY312" s="233"/>
      <c r="GMZ312" s="235"/>
      <c r="GNA312" s="233"/>
      <c r="GNB312" s="234"/>
      <c r="GNC312" s="234"/>
      <c r="GND312" s="242"/>
      <c r="GNE312" s="234"/>
      <c r="GNF312" s="234"/>
      <c r="GNG312" s="234"/>
      <c r="GNH312" s="236"/>
      <c r="GNI312" s="244"/>
      <c r="GNJ312" s="239"/>
      <c r="GNK312" s="240"/>
      <c r="GNL312" s="241"/>
      <c r="GNM312" s="239"/>
      <c r="GNN312" s="239"/>
      <c r="GNO312" s="239"/>
      <c r="GNP312" s="239"/>
      <c r="GNQ312" s="239"/>
      <c r="GNR312" s="239"/>
      <c r="GNS312" s="233"/>
      <c r="GNT312" s="235"/>
      <c r="GNU312" s="233"/>
      <c r="GNV312" s="234"/>
      <c r="GNW312" s="234"/>
      <c r="GNX312" s="242"/>
      <c r="GNY312" s="234"/>
      <c r="GNZ312" s="234"/>
      <c r="GOA312" s="234"/>
      <c r="GOB312" s="236"/>
      <c r="GOC312" s="244"/>
      <c r="GOD312" s="239"/>
      <c r="GOE312" s="240"/>
      <c r="GOF312" s="241"/>
      <c r="GOG312" s="239"/>
      <c r="GOH312" s="239"/>
      <c r="GOI312" s="239"/>
      <c r="GOJ312" s="239"/>
      <c r="GOK312" s="239"/>
      <c r="GOL312" s="239"/>
      <c r="GOM312" s="233"/>
      <c r="GON312" s="235"/>
      <c r="GOO312" s="233"/>
      <c r="GOP312" s="234"/>
      <c r="GOQ312" s="234"/>
      <c r="GOR312" s="242"/>
      <c r="GOS312" s="234"/>
      <c r="GOT312" s="234"/>
      <c r="GOU312" s="234"/>
      <c r="GOV312" s="236"/>
      <c r="GOW312" s="244"/>
      <c r="GOX312" s="239"/>
      <c r="GOY312" s="240"/>
      <c r="GOZ312" s="241"/>
      <c r="GPA312" s="239"/>
      <c r="GPB312" s="239"/>
      <c r="GPC312" s="239"/>
      <c r="GPD312" s="239"/>
      <c r="GPE312" s="239"/>
      <c r="GPF312" s="239"/>
      <c r="GPG312" s="233"/>
      <c r="GPH312" s="235"/>
      <c r="GPI312" s="233"/>
      <c r="GPJ312" s="234"/>
      <c r="GPK312" s="234"/>
      <c r="GPL312" s="242"/>
      <c r="GPM312" s="234"/>
      <c r="GPN312" s="234"/>
      <c r="GPO312" s="234"/>
      <c r="GPP312" s="236"/>
      <c r="GPQ312" s="244"/>
      <c r="GPR312" s="239"/>
      <c r="GPS312" s="240"/>
      <c r="GPT312" s="241"/>
      <c r="GPU312" s="239"/>
      <c r="GPV312" s="239"/>
      <c r="GPW312" s="239"/>
      <c r="GPX312" s="239"/>
      <c r="GPY312" s="239"/>
      <c r="GPZ312" s="239"/>
      <c r="GQA312" s="233"/>
      <c r="GQB312" s="235"/>
      <c r="GQC312" s="233"/>
      <c r="GQD312" s="234"/>
      <c r="GQE312" s="234"/>
      <c r="GQF312" s="242"/>
      <c r="GQG312" s="234"/>
      <c r="GQH312" s="234"/>
      <c r="GQI312" s="234"/>
      <c r="GQJ312" s="236"/>
      <c r="GQK312" s="244"/>
      <c r="GQL312" s="239"/>
      <c r="GQM312" s="240"/>
      <c r="GQN312" s="241"/>
      <c r="GQO312" s="239"/>
      <c r="GQP312" s="239"/>
      <c r="GQQ312" s="239"/>
      <c r="GQR312" s="239"/>
      <c r="GQS312" s="239"/>
      <c r="GQT312" s="239"/>
      <c r="GQU312" s="233"/>
      <c r="GQV312" s="235"/>
      <c r="GQW312" s="233"/>
      <c r="GQX312" s="234"/>
      <c r="GQY312" s="234"/>
      <c r="GQZ312" s="242"/>
      <c r="GRA312" s="234"/>
      <c r="GRB312" s="234"/>
      <c r="GRC312" s="234"/>
      <c r="GRD312" s="236"/>
      <c r="GRE312" s="244"/>
      <c r="GRF312" s="239"/>
      <c r="GRG312" s="240"/>
      <c r="GRH312" s="241"/>
      <c r="GRI312" s="239"/>
      <c r="GRJ312" s="239"/>
      <c r="GRK312" s="239"/>
      <c r="GRL312" s="239"/>
      <c r="GRM312" s="239"/>
      <c r="GRN312" s="239"/>
      <c r="GRO312" s="233"/>
      <c r="GRP312" s="235"/>
      <c r="GRQ312" s="233"/>
      <c r="GRR312" s="234"/>
      <c r="GRS312" s="234"/>
      <c r="GRT312" s="242"/>
      <c r="GRU312" s="234"/>
      <c r="GRV312" s="234"/>
      <c r="GRW312" s="234"/>
      <c r="GRX312" s="236"/>
      <c r="GRY312" s="244"/>
      <c r="GRZ312" s="239"/>
      <c r="GSA312" s="240"/>
      <c r="GSB312" s="241"/>
      <c r="GSC312" s="239"/>
      <c r="GSD312" s="239"/>
      <c r="GSE312" s="239"/>
      <c r="GSF312" s="239"/>
      <c r="GSG312" s="239"/>
      <c r="GSH312" s="239"/>
      <c r="GSI312" s="233"/>
      <c r="GSJ312" s="235"/>
      <c r="GSK312" s="233"/>
      <c r="GSL312" s="234"/>
      <c r="GSM312" s="234"/>
      <c r="GSN312" s="242"/>
      <c r="GSO312" s="234"/>
      <c r="GSP312" s="234"/>
      <c r="GSQ312" s="234"/>
      <c r="GSR312" s="236"/>
      <c r="GSS312" s="244"/>
      <c r="GST312" s="239"/>
      <c r="GSU312" s="240"/>
      <c r="GSV312" s="241"/>
      <c r="GSW312" s="239"/>
      <c r="GSX312" s="239"/>
      <c r="GSY312" s="239"/>
      <c r="GSZ312" s="239"/>
      <c r="GTA312" s="239"/>
      <c r="GTB312" s="239"/>
      <c r="GTC312" s="233"/>
      <c r="GTD312" s="235"/>
      <c r="GTE312" s="233"/>
      <c r="GTF312" s="234"/>
      <c r="GTG312" s="234"/>
      <c r="GTH312" s="242"/>
      <c r="GTI312" s="234"/>
      <c r="GTJ312" s="234"/>
      <c r="GTK312" s="234"/>
      <c r="GTL312" s="236"/>
      <c r="GTM312" s="244"/>
      <c r="GTN312" s="239"/>
      <c r="GTO312" s="240"/>
      <c r="GTP312" s="241"/>
      <c r="GTQ312" s="239"/>
      <c r="GTR312" s="239"/>
      <c r="GTS312" s="239"/>
      <c r="GTT312" s="239"/>
      <c r="GTU312" s="239"/>
      <c r="GTV312" s="239"/>
      <c r="GTW312" s="233"/>
      <c r="GTX312" s="235"/>
      <c r="GTY312" s="233"/>
      <c r="GTZ312" s="234"/>
      <c r="GUA312" s="234"/>
      <c r="GUB312" s="242"/>
      <c r="GUC312" s="234"/>
      <c r="GUD312" s="234"/>
      <c r="GUE312" s="234"/>
      <c r="GUF312" s="236"/>
      <c r="GUG312" s="244"/>
      <c r="GUH312" s="239"/>
      <c r="GUI312" s="240"/>
      <c r="GUJ312" s="241"/>
      <c r="GUK312" s="239"/>
      <c r="GUL312" s="239"/>
      <c r="GUM312" s="239"/>
      <c r="GUN312" s="239"/>
      <c r="GUO312" s="239"/>
      <c r="GUP312" s="239"/>
      <c r="GUQ312" s="233"/>
      <c r="GUR312" s="235"/>
      <c r="GUS312" s="233"/>
      <c r="GUT312" s="234"/>
      <c r="GUU312" s="234"/>
      <c r="GUV312" s="242"/>
      <c r="GUW312" s="234"/>
      <c r="GUX312" s="234"/>
      <c r="GUY312" s="234"/>
      <c r="GUZ312" s="236"/>
      <c r="GVA312" s="244"/>
      <c r="GVB312" s="239"/>
      <c r="GVC312" s="240"/>
      <c r="GVD312" s="241"/>
      <c r="GVE312" s="239"/>
      <c r="GVF312" s="239"/>
      <c r="GVG312" s="239"/>
      <c r="GVH312" s="239"/>
      <c r="GVI312" s="239"/>
      <c r="GVJ312" s="239"/>
      <c r="GVK312" s="233"/>
      <c r="GVL312" s="235"/>
      <c r="GVM312" s="233"/>
      <c r="GVN312" s="234"/>
      <c r="GVO312" s="234"/>
      <c r="GVP312" s="242"/>
      <c r="GVQ312" s="234"/>
      <c r="GVR312" s="234"/>
      <c r="GVS312" s="234"/>
      <c r="GVT312" s="236"/>
      <c r="GVU312" s="244"/>
      <c r="GVV312" s="239"/>
      <c r="GVW312" s="240"/>
      <c r="GVX312" s="241"/>
      <c r="GVY312" s="239"/>
      <c r="GVZ312" s="239"/>
      <c r="GWA312" s="239"/>
      <c r="GWB312" s="239"/>
      <c r="GWC312" s="239"/>
      <c r="GWD312" s="239"/>
      <c r="GWE312" s="233"/>
      <c r="GWF312" s="235"/>
      <c r="GWG312" s="233"/>
      <c r="GWH312" s="234"/>
      <c r="GWI312" s="234"/>
      <c r="GWJ312" s="242"/>
      <c r="GWK312" s="234"/>
      <c r="GWL312" s="234"/>
      <c r="GWM312" s="234"/>
      <c r="GWN312" s="236"/>
      <c r="GWO312" s="244"/>
      <c r="GWP312" s="239"/>
      <c r="GWQ312" s="240"/>
      <c r="GWR312" s="241"/>
      <c r="GWS312" s="239"/>
      <c r="GWT312" s="239"/>
      <c r="GWU312" s="239"/>
      <c r="GWV312" s="239"/>
      <c r="GWW312" s="239"/>
      <c r="GWX312" s="239"/>
      <c r="GWY312" s="233"/>
      <c r="GWZ312" s="235"/>
      <c r="GXA312" s="233"/>
      <c r="GXB312" s="234"/>
      <c r="GXC312" s="234"/>
      <c r="GXD312" s="242"/>
      <c r="GXE312" s="234"/>
      <c r="GXF312" s="234"/>
      <c r="GXG312" s="234"/>
      <c r="GXH312" s="236"/>
      <c r="GXI312" s="244"/>
      <c r="GXJ312" s="239"/>
      <c r="GXK312" s="240"/>
      <c r="GXL312" s="241"/>
      <c r="GXM312" s="239"/>
      <c r="GXN312" s="239"/>
      <c r="GXO312" s="239"/>
      <c r="GXP312" s="239"/>
      <c r="GXQ312" s="239"/>
      <c r="GXR312" s="239"/>
      <c r="GXS312" s="233"/>
      <c r="GXT312" s="235"/>
      <c r="GXU312" s="233"/>
      <c r="GXV312" s="234"/>
      <c r="GXW312" s="234"/>
      <c r="GXX312" s="242"/>
      <c r="GXY312" s="234"/>
      <c r="GXZ312" s="234"/>
      <c r="GYA312" s="234"/>
      <c r="GYB312" s="236"/>
      <c r="GYC312" s="244"/>
      <c r="GYD312" s="239"/>
      <c r="GYE312" s="240"/>
      <c r="GYF312" s="241"/>
      <c r="GYG312" s="239"/>
      <c r="GYH312" s="239"/>
      <c r="GYI312" s="239"/>
      <c r="GYJ312" s="239"/>
      <c r="GYK312" s="239"/>
      <c r="GYL312" s="239"/>
      <c r="GYM312" s="233"/>
      <c r="GYN312" s="235"/>
      <c r="GYO312" s="233"/>
      <c r="GYP312" s="234"/>
      <c r="GYQ312" s="234"/>
      <c r="GYR312" s="242"/>
      <c r="GYS312" s="234"/>
      <c r="GYT312" s="234"/>
      <c r="GYU312" s="234"/>
      <c r="GYV312" s="236"/>
      <c r="GYW312" s="244"/>
      <c r="GYX312" s="239"/>
      <c r="GYY312" s="240"/>
      <c r="GYZ312" s="241"/>
      <c r="GZA312" s="239"/>
      <c r="GZB312" s="239"/>
      <c r="GZC312" s="239"/>
      <c r="GZD312" s="239"/>
      <c r="GZE312" s="239"/>
      <c r="GZF312" s="239"/>
      <c r="GZG312" s="233"/>
      <c r="GZH312" s="235"/>
      <c r="GZI312" s="233"/>
      <c r="GZJ312" s="234"/>
      <c r="GZK312" s="234"/>
      <c r="GZL312" s="242"/>
      <c r="GZM312" s="234"/>
      <c r="GZN312" s="234"/>
      <c r="GZO312" s="234"/>
      <c r="GZP312" s="236"/>
      <c r="GZQ312" s="244"/>
      <c r="GZR312" s="239"/>
      <c r="GZS312" s="240"/>
      <c r="GZT312" s="241"/>
      <c r="GZU312" s="239"/>
      <c r="GZV312" s="239"/>
      <c r="GZW312" s="239"/>
      <c r="GZX312" s="239"/>
      <c r="GZY312" s="239"/>
      <c r="GZZ312" s="239"/>
      <c r="HAA312" s="233"/>
      <c r="HAB312" s="235"/>
      <c r="HAC312" s="233"/>
      <c r="HAD312" s="234"/>
      <c r="HAE312" s="234"/>
      <c r="HAF312" s="242"/>
      <c r="HAG312" s="234"/>
      <c r="HAH312" s="234"/>
      <c r="HAI312" s="234"/>
      <c r="HAJ312" s="236"/>
      <c r="HAK312" s="244"/>
      <c r="HAL312" s="239"/>
      <c r="HAM312" s="240"/>
      <c r="HAN312" s="241"/>
      <c r="HAO312" s="239"/>
      <c r="HAP312" s="239"/>
      <c r="HAQ312" s="239"/>
      <c r="HAR312" s="239"/>
      <c r="HAS312" s="239"/>
      <c r="HAT312" s="239"/>
      <c r="HAU312" s="233"/>
      <c r="HAV312" s="235"/>
      <c r="HAW312" s="233"/>
      <c r="HAX312" s="234"/>
      <c r="HAY312" s="234"/>
      <c r="HAZ312" s="242"/>
      <c r="HBA312" s="234"/>
      <c r="HBB312" s="234"/>
      <c r="HBC312" s="234"/>
      <c r="HBD312" s="236"/>
      <c r="HBE312" s="244"/>
      <c r="HBF312" s="239"/>
      <c r="HBG312" s="240"/>
      <c r="HBH312" s="241"/>
      <c r="HBI312" s="239"/>
      <c r="HBJ312" s="239"/>
      <c r="HBK312" s="239"/>
      <c r="HBL312" s="239"/>
      <c r="HBM312" s="239"/>
      <c r="HBN312" s="239"/>
      <c r="HBO312" s="233"/>
      <c r="HBP312" s="235"/>
      <c r="HBQ312" s="233"/>
      <c r="HBR312" s="234"/>
      <c r="HBS312" s="234"/>
      <c r="HBT312" s="242"/>
      <c r="HBU312" s="234"/>
      <c r="HBV312" s="234"/>
      <c r="HBW312" s="234"/>
      <c r="HBX312" s="236"/>
      <c r="HBY312" s="244"/>
      <c r="HBZ312" s="239"/>
      <c r="HCA312" s="240"/>
      <c r="HCB312" s="241"/>
      <c r="HCC312" s="239"/>
      <c r="HCD312" s="239"/>
      <c r="HCE312" s="239"/>
      <c r="HCF312" s="239"/>
      <c r="HCG312" s="239"/>
      <c r="HCH312" s="239"/>
      <c r="HCI312" s="233"/>
      <c r="HCJ312" s="235"/>
      <c r="HCK312" s="233"/>
      <c r="HCL312" s="234"/>
      <c r="HCM312" s="234"/>
      <c r="HCN312" s="242"/>
      <c r="HCO312" s="234"/>
      <c r="HCP312" s="234"/>
      <c r="HCQ312" s="234"/>
      <c r="HCR312" s="236"/>
      <c r="HCS312" s="244"/>
      <c r="HCT312" s="239"/>
      <c r="HCU312" s="240"/>
      <c r="HCV312" s="241"/>
      <c r="HCW312" s="239"/>
      <c r="HCX312" s="239"/>
      <c r="HCY312" s="239"/>
      <c r="HCZ312" s="239"/>
      <c r="HDA312" s="239"/>
      <c r="HDB312" s="239"/>
      <c r="HDC312" s="233"/>
      <c r="HDD312" s="235"/>
      <c r="HDE312" s="233"/>
      <c r="HDF312" s="234"/>
      <c r="HDG312" s="234"/>
      <c r="HDH312" s="242"/>
      <c r="HDI312" s="234"/>
      <c r="HDJ312" s="234"/>
      <c r="HDK312" s="234"/>
      <c r="HDL312" s="236"/>
      <c r="HDM312" s="244"/>
      <c r="HDN312" s="239"/>
      <c r="HDO312" s="240"/>
      <c r="HDP312" s="241"/>
      <c r="HDQ312" s="239"/>
      <c r="HDR312" s="239"/>
      <c r="HDS312" s="239"/>
      <c r="HDT312" s="239"/>
      <c r="HDU312" s="239"/>
      <c r="HDV312" s="239"/>
      <c r="HDW312" s="233"/>
      <c r="HDX312" s="235"/>
      <c r="HDY312" s="233"/>
      <c r="HDZ312" s="234"/>
      <c r="HEA312" s="234"/>
      <c r="HEB312" s="242"/>
      <c r="HEC312" s="234"/>
      <c r="HED312" s="234"/>
      <c r="HEE312" s="234"/>
      <c r="HEF312" s="236"/>
      <c r="HEG312" s="244"/>
      <c r="HEH312" s="239"/>
      <c r="HEI312" s="240"/>
      <c r="HEJ312" s="241"/>
      <c r="HEK312" s="239"/>
      <c r="HEL312" s="239"/>
      <c r="HEM312" s="239"/>
      <c r="HEN312" s="239"/>
      <c r="HEO312" s="239"/>
      <c r="HEP312" s="239"/>
      <c r="HEQ312" s="233"/>
      <c r="HER312" s="235"/>
      <c r="HES312" s="233"/>
      <c r="HET312" s="234"/>
      <c r="HEU312" s="234"/>
      <c r="HEV312" s="242"/>
      <c r="HEW312" s="234"/>
      <c r="HEX312" s="234"/>
      <c r="HEY312" s="234"/>
      <c r="HEZ312" s="236"/>
      <c r="HFA312" s="244"/>
      <c r="HFB312" s="239"/>
      <c r="HFC312" s="240"/>
      <c r="HFD312" s="241"/>
      <c r="HFE312" s="239"/>
      <c r="HFF312" s="239"/>
      <c r="HFG312" s="239"/>
      <c r="HFH312" s="239"/>
      <c r="HFI312" s="239"/>
      <c r="HFJ312" s="239"/>
      <c r="HFK312" s="233"/>
      <c r="HFL312" s="235"/>
      <c r="HFM312" s="233"/>
      <c r="HFN312" s="234"/>
      <c r="HFO312" s="234"/>
      <c r="HFP312" s="242"/>
      <c r="HFQ312" s="234"/>
      <c r="HFR312" s="234"/>
      <c r="HFS312" s="234"/>
      <c r="HFT312" s="236"/>
      <c r="HFU312" s="244"/>
      <c r="HFV312" s="239"/>
      <c r="HFW312" s="240"/>
      <c r="HFX312" s="241"/>
      <c r="HFY312" s="239"/>
      <c r="HFZ312" s="239"/>
      <c r="HGA312" s="239"/>
      <c r="HGB312" s="239"/>
      <c r="HGC312" s="239"/>
      <c r="HGD312" s="239"/>
      <c r="HGE312" s="233"/>
      <c r="HGF312" s="235"/>
      <c r="HGG312" s="233"/>
      <c r="HGH312" s="234"/>
      <c r="HGI312" s="234"/>
      <c r="HGJ312" s="242"/>
      <c r="HGK312" s="234"/>
      <c r="HGL312" s="234"/>
      <c r="HGM312" s="234"/>
      <c r="HGN312" s="236"/>
      <c r="HGO312" s="244"/>
      <c r="HGP312" s="239"/>
      <c r="HGQ312" s="240"/>
      <c r="HGR312" s="241"/>
      <c r="HGS312" s="239"/>
      <c r="HGT312" s="239"/>
      <c r="HGU312" s="239"/>
      <c r="HGV312" s="239"/>
      <c r="HGW312" s="239"/>
      <c r="HGX312" s="239"/>
      <c r="HGY312" s="233"/>
      <c r="HGZ312" s="235"/>
      <c r="HHA312" s="233"/>
      <c r="HHB312" s="234"/>
      <c r="HHC312" s="234"/>
      <c r="HHD312" s="242"/>
      <c r="HHE312" s="234"/>
      <c r="HHF312" s="234"/>
      <c r="HHG312" s="234"/>
      <c r="HHH312" s="236"/>
      <c r="HHI312" s="244"/>
      <c r="HHJ312" s="239"/>
      <c r="HHK312" s="240"/>
      <c r="HHL312" s="241"/>
      <c r="HHM312" s="239"/>
      <c r="HHN312" s="239"/>
      <c r="HHO312" s="239"/>
      <c r="HHP312" s="239"/>
      <c r="HHQ312" s="239"/>
      <c r="HHR312" s="239"/>
      <c r="HHS312" s="233"/>
      <c r="HHT312" s="235"/>
      <c r="HHU312" s="233"/>
      <c r="HHV312" s="234"/>
      <c r="HHW312" s="234"/>
      <c r="HHX312" s="242"/>
      <c r="HHY312" s="234"/>
      <c r="HHZ312" s="234"/>
      <c r="HIA312" s="234"/>
      <c r="HIB312" s="236"/>
      <c r="HIC312" s="244"/>
      <c r="HID312" s="239"/>
      <c r="HIE312" s="240"/>
      <c r="HIF312" s="241"/>
      <c r="HIG312" s="239"/>
      <c r="HIH312" s="239"/>
      <c r="HII312" s="239"/>
      <c r="HIJ312" s="239"/>
      <c r="HIK312" s="239"/>
      <c r="HIL312" s="239"/>
      <c r="HIM312" s="233"/>
      <c r="HIN312" s="235"/>
      <c r="HIO312" s="233"/>
      <c r="HIP312" s="234"/>
      <c r="HIQ312" s="234"/>
      <c r="HIR312" s="242"/>
      <c r="HIS312" s="234"/>
      <c r="HIT312" s="234"/>
      <c r="HIU312" s="234"/>
      <c r="HIV312" s="236"/>
      <c r="HIW312" s="244"/>
      <c r="HIX312" s="239"/>
      <c r="HIY312" s="240"/>
      <c r="HIZ312" s="241"/>
      <c r="HJA312" s="239"/>
      <c r="HJB312" s="239"/>
      <c r="HJC312" s="239"/>
      <c r="HJD312" s="239"/>
      <c r="HJE312" s="239"/>
      <c r="HJF312" s="239"/>
      <c r="HJG312" s="233"/>
      <c r="HJH312" s="235"/>
      <c r="HJI312" s="233"/>
      <c r="HJJ312" s="234"/>
      <c r="HJK312" s="234"/>
      <c r="HJL312" s="242"/>
      <c r="HJM312" s="234"/>
      <c r="HJN312" s="234"/>
      <c r="HJO312" s="234"/>
      <c r="HJP312" s="236"/>
      <c r="HJQ312" s="244"/>
      <c r="HJR312" s="239"/>
      <c r="HJS312" s="240"/>
      <c r="HJT312" s="241"/>
      <c r="HJU312" s="239"/>
      <c r="HJV312" s="239"/>
      <c r="HJW312" s="239"/>
      <c r="HJX312" s="239"/>
      <c r="HJY312" s="239"/>
      <c r="HJZ312" s="239"/>
      <c r="HKA312" s="233"/>
      <c r="HKB312" s="235"/>
      <c r="HKC312" s="233"/>
      <c r="HKD312" s="234"/>
      <c r="HKE312" s="234"/>
      <c r="HKF312" s="242"/>
      <c r="HKG312" s="234"/>
      <c r="HKH312" s="234"/>
      <c r="HKI312" s="234"/>
      <c r="HKJ312" s="236"/>
      <c r="HKK312" s="244"/>
      <c r="HKL312" s="239"/>
      <c r="HKM312" s="240"/>
      <c r="HKN312" s="241"/>
      <c r="HKO312" s="239"/>
      <c r="HKP312" s="239"/>
      <c r="HKQ312" s="239"/>
      <c r="HKR312" s="239"/>
      <c r="HKS312" s="239"/>
      <c r="HKT312" s="239"/>
      <c r="HKU312" s="233"/>
      <c r="HKV312" s="235"/>
      <c r="HKW312" s="233"/>
      <c r="HKX312" s="234"/>
      <c r="HKY312" s="234"/>
      <c r="HKZ312" s="242"/>
      <c r="HLA312" s="234"/>
      <c r="HLB312" s="234"/>
      <c r="HLC312" s="234"/>
      <c r="HLD312" s="236"/>
      <c r="HLE312" s="244"/>
      <c r="HLF312" s="239"/>
      <c r="HLG312" s="240"/>
      <c r="HLH312" s="241"/>
      <c r="HLI312" s="239"/>
      <c r="HLJ312" s="239"/>
      <c r="HLK312" s="239"/>
      <c r="HLL312" s="239"/>
      <c r="HLM312" s="239"/>
      <c r="HLN312" s="239"/>
      <c r="HLO312" s="233"/>
      <c r="HLP312" s="235"/>
      <c r="HLQ312" s="233"/>
      <c r="HLR312" s="234"/>
      <c r="HLS312" s="234"/>
      <c r="HLT312" s="242"/>
      <c r="HLU312" s="234"/>
      <c r="HLV312" s="234"/>
      <c r="HLW312" s="234"/>
      <c r="HLX312" s="236"/>
      <c r="HLY312" s="244"/>
      <c r="HLZ312" s="239"/>
      <c r="HMA312" s="240"/>
      <c r="HMB312" s="241"/>
      <c r="HMC312" s="239"/>
      <c r="HMD312" s="239"/>
      <c r="HME312" s="239"/>
      <c r="HMF312" s="239"/>
      <c r="HMG312" s="239"/>
      <c r="HMH312" s="239"/>
      <c r="HMI312" s="233"/>
      <c r="HMJ312" s="235"/>
      <c r="HMK312" s="233"/>
      <c r="HML312" s="234"/>
      <c r="HMM312" s="234"/>
      <c r="HMN312" s="242"/>
      <c r="HMO312" s="234"/>
      <c r="HMP312" s="234"/>
      <c r="HMQ312" s="234"/>
      <c r="HMR312" s="236"/>
      <c r="HMS312" s="244"/>
      <c r="HMT312" s="239"/>
      <c r="HMU312" s="240"/>
      <c r="HMV312" s="241"/>
      <c r="HMW312" s="239"/>
      <c r="HMX312" s="239"/>
      <c r="HMY312" s="239"/>
      <c r="HMZ312" s="239"/>
      <c r="HNA312" s="239"/>
      <c r="HNB312" s="239"/>
      <c r="HNC312" s="233"/>
      <c r="HND312" s="235"/>
      <c r="HNE312" s="233"/>
      <c r="HNF312" s="234"/>
      <c r="HNG312" s="234"/>
      <c r="HNH312" s="242"/>
      <c r="HNI312" s="234"/>
      <c r="HNJ312" s="234"/>
      <c r="HNK312" s="234"/>
      <c r="HNL312" s="236"/>
      <c r="HNM312" s="244"/>
      <c r="HNN312" s="239"/>
      <c r="HNO312" s="240"/>
      <c r="HNP312" s="241"/>
      <c r="HNQ312" s="239"/>
      <c r="HNR312" s="239"/>
      <c r="HNS312" s="239"/>
      <c r="HNT312" s="239"/>
      <c r="HNU312" s="239"/>
      <c r="HNV312" s="239"/>
      <c r="HNW312" s="233"/>
      <c r="HNX312" s="235"/>
      <c r="HNY312" s="233"/>
      <c r="HNZ312" s="234"/>
      <c r="HOA312" s="234"/>
      <c r="HOB312" s="242"/>
      <c r="HOC312" s="234"/>
      <c r="HOD312" s="234"/>
      <c r="HOE312" s="234"/>
      <c r="HOF312" s="236"/>
      <c r="HOG312" s="244"/>
      <c r="HOH312" s="239"/>
      <c r="HOI312" s="240"/>
      <c r="HOJ312" s="241"/>
      <c r="HOK312" s="239"/>
      <c r="HOL312" s="239"/>
      <c r="HOM312" s="239"/>
      <c r="HON312" s="239"/>
      <c r="HOO312" s="239"/>
      <c r="HOP312" s="239"/>
      <c r="HOQ312" s="233"/>
      <c r="HOR312" s="235"/>
      <c r="HOS312" s="233"/>
      <c r="HOT312" s="234"/>
      <c r="HOU312" s="234"/>
      <c r="HOV312" s="242"/>
      <c r="HOW312" s="234"/>
      <c r="HOX312" s="234"/>
      <c r="HOY312" s="234"/>
      <c r="HOZ312" s="236"/>
      <c r="HPA312" s="244"/>
      <c r="HPB312" s="239"/>
      <c r="HPC312" s="240"/>
      <c r="HPD312" s="241"/>
      <c r="HPE312" s="239"/>
      <c r="HPF312" s="239"/>
      <c r="HPG312" s="239"/>
      <c r="HPH312" s="239"/>
      <c r="HPI312" s="239"/>
      <c r="HPJ312" s="239"/>
      <c r="HPK312" s="233"/>
      <c r="HPL312" s="235"/>
      <c r="HPM312" s="233"/>
      <c r="HPN312" s="234"/>
      <c r="HPO312" s="234"/>
      <c r="HPP312" s="242"/>
      <c r="HPQ312" s="234"/>
      <c r="HPR312" s="234"/>
      <c r="HPS312" s="234"/>
      <c r="HPT312" s="236"/>
      <c r="HPU312" s="244"/>
      <c r="HPV312" s="239"/>
      <c r="HPW312" s="240"/>
      <c r="HPX312" s="241"/>
      <c r="HPY312" s="239"/>
      <c r="HPZ312" s="239"/>
      <c r="HQA312" s="239"/>
      <c r="HQB312" s="239"/>
      <c r="HQC312" s="239"/>
      <c r="HQD312" s="239"/>
      <c r="HQE312" s="233"/>
      <c r="HQF312" s="235"/>
      <c r="HQG312" s="233"/>
      <c r="HQH312" s="234"/>
      <c r="HQI312" s="234"/>
      <c r="HQJ312" s="242"/>
      <c r="HQK312" s="234"/>
      <c r="HQL312" s="234"/>
      <c r="HQM312" s="234"/>
      <c r="HQN312" s="236"/>
      <c r="HQO312" s="244"/>
      <c r="HQP312" s="239"/>
      <c r="HQQ312" s="240"/>
      <c r="HQR312" s="241"/>
      <c r="HQS312" s="239"/>
      <c r="HQT312" s="239"/>
      <c r="HQU312" s="239"/>
      <c r="HQV312" s="239"/>
      <c r="HQW312" s="239"/>
      <c r="HQX312" s="239"/>
      <c r="HQY312" s="233"/>
      <c r="HQZ312" s="235"/>
      <c r="HRA312" s="233"/>
      <c r="HRB312" s="234"/>
      <c r="HRC312" s="234"/>
      <c r="HRD312" s="242"/>
      <c r="HRE312" s="234"/>
      <c r="HRF312" s="234"/>
      <c r="HRG312" s="234"/>
      <c r="HRH312" s="236"/>
      <c r="HRI312" s="244"/>
      <c r="HRJ312" s="239"/>
      <c r="HRK312" s="240"/>
      <c r="HRL312" s="241"/>
      <c r="HRM312" s="239"/>
      <c r="HRN312" s="239"/>
      <c r="HRO312" s="239"/>
      <c r="HRP312" s="239"/>
      <c r="HRQ312" s="239"/>
      <c r="HRR312" s="239"/>
      <c r="HRS312" s="233"/>
      <c r="HRT312" s="235"/>
      <c r="HRU312" s="233"/>
      <c r="HRV312" s="234"/>
      <c r="HRW312" s="234"/>
      <c r="HRX312" s="242"/>
      <c r="HRY312" s="234"/>
      <c r="HRZ312" s="234"/>
      <c r="HSA312" s="234"/>
      <c r="HSB312" s="236"/>
      <c r="HSC312" s="244"/>
      <c r="HSD312" s="239"/>
      <c r="HSE312" s="240"/>
      <c r="HSF312" s="241"/>
      <c r="HSG312" s="239"/>
      <c r="HSH312" s="239"/>
      <c r="HSI312" s="239"/>
      <c r="HSJ312" s="239"/>
      <c r="HSK312" s="239"/>
      <c r="HSL312" s="239"/>
      <c r="HSM312" s="233"/>
      <c r="HSN312" s="235"/>
      <c r="HSO312" s="233"/>
      <c r="HSP312" s="234"/>
      <c r="HSQ312" s="234"/>
      <c r="HSR312" s="242"/>
      <c r="HSS312" s="234"/>
      <c r="HST312" s="234"/>
      <c r="HSU312" s="234"/>
      <c r="HSV312" s="236"/>
      <c r="HSW312" s="244"/>
      <c r="HSX312" s="239"/>
      <c r="HSY312" s="240"/>
      <c r="HSZ312" s="241"/>
      <c r="HTA312" s="239"/>
      <c r="HTB312" s="239"/>
      <c r="HTC312" s="239"/>
      <c r="HTD312" s="239"/>
      <c r="HTE312" s="239"/>
      <c r="HTF312" s="239"/>
      <c r="HTG312" s="233"/>
      <c r="HTH312" s="235"/>
      <c r="HTI312" s="233"/>
      <c r="HTJ312" s="234"/>
      <c r="HTK312" s="234"/>
      <c r="HTL312" s="242"/>
      <c r="HTM312" s="234"/>
      <c r="HTN312" s="234"/>
      <c r="HTO312" s="234"/>
      <c r="HTP312" s="236"/>
      <c r="HTQ312" s="244"/>
      <c r="HTR312" s="239"/>
      <c r="HTS312" s="240"/>
      <c r="HTT312" s="241"/>
      <c r="HTU312" s="239"/>
      <c r="HTV312" s="239"/>
      <c r="HTW312" s="239"/>
      <c r="HTX312" s="239"/>
      <c r="HTY312" s="239"/>
      <c r="HTZ312" s="239"/>
      <c r="HUA312" s="233"/>
      <c r="HUB312" s="235"/>
      <c r="HUC312" s="233"/>
      <c r="HUD312" s="234"/>
      <c r="HUE312" s="234"/>
      <c r="HUF312" s="242"/>
      <c r="HUG312" s="234"/>
      <c r="HUH312" s="234"/>
      <c r="HUI312" s="234"/>
      <c r="HUJ312" s="236"/>
      <c r="HUK312" s="244"/>
      <c r="HUL312" s="239"/>
      <c r="HUM312" s="240"/>
      <c r="HUN312" s="241"/>
      <c r="HUO312" s="239"/>
      <c r="HUP312" s="239"/>
      <c r="HUQ312" s="239"/>
      <c r="HUR312" s="239"/>
      <c r="HUS312" s="239"/>
      <c r="HUT312" s="239"/>
      <c r="HUU312" s="233"/>
      <c r="HUV312" s="235"/>
      <c r="HUW312" s="233"/>
      <c r="HUX312" s="234"/>
      <c r="HUY312" s="234"/>
      <c r="HUZ312" s="242"/>
      <c r="HVA312" s="234"/>
      <c r="HVB312" s="234"/>
      <c r="HVC312" s="234"/>
      <c r="HVD312" s="236"/>
      <c r="HVE312" s="244"/>
      <c r="HVF312" s="239"/>
      <c r="HVG312" s="240"/>
      <c r="HVH312" s="241"/>
      <c r="HVI312" s="239"/>
      <c r="HVJ312" s="239"/>
      <c r="HVK312" s="239"/>
      <c r="HVL312" s="239"/>
      <c r="HVM312" s="239"/>
      <c r="HVN312" s="239"/>
      <c r="HVO312" s="233"/>
      <c r="HVP312" s="235"/>
      <c r="HVQ312" s="233"/>
      <c r="HVR312" s="234"/>
      <c r="HVS312" s="234"/>
      <c r="HVT312" s="242"/>
      <c r="HVU312" s="234"/>
      <c r="HVV312" s="234"/>
      <c r="HVW312" s="234"/>
      <c r="HVX312" s="236"/>
      <c r="HVY312" s="244"/>
      <c r="HVZ312" s="239"/>
      <c r="HWA312" s="240"/>
      <c r="HWB312" s="241"/>
      <c r="HWC312" s="239"/>
      <c r="HWD312" s="239"/>
      <c r="HWE312" s="239"/>
      <c r="HWF312" s="239"/>
      <c r="HWG312" s="239"/>
      <c r="HWH312" s="239"/>
      <c r="HWI312" s="233"/>
      <c r="HWJ312" s="235"/>
      <c r="HWK312" s="233"/>
      <c r="HWL312" s="234"/>
      <c r="HWM312" s="234"/>
      <c r="HWN312" s="242"/>
      <c r="HWO312" s="234"/>
      <c r="HWP312" s="234"/>
      <c r="HWQ312" s="234"/>
      <c r="HWR312" s="236"/>
      <c r="HWS312" s="244"/>
      <c r="HWT312" s="239"/>
      <c r="HWU312" s="240"/>
      <c r="HWV312" s="241"/>
      <c r="HWW312" s="239"/>
      <c r="HWX312" s="239"/>
      <c r="HWY312" s="239"/>
      <c r="HWZ312" s="239"/>
      <c r="HXA312" s="239"/>
      <c r="HXB312" s="239"/>
      <c r="HXC312" s="233"/>
      <c r="HXD312" s="235"/>
      <c r="HXE312" s="233"/>
      <c r="HXF312" s="234"/>
      <c r="HXG312" s="234"/>
      <c r="HXH312" s="242"/>
      <c r="HXI312" s="234"/>
      <c r="HXJ312" s="234"/>
      <c r="HXK312" s="234"/>
      <c r="HXL312" s="236"/>
      <c r="HXM312" s="244"/>
      <c r="HXN312" s="239"/>
      <c r="HXO312" s="240"/>
      <c r="HXP312" s="241"/>
      <c r="HXQ312" s="239"/>
      <c r="HXR312" s="239"/>
      <c r="HXS312" s="239"/>
      <c r="HXT312" s="239"/>
      <c r="HXU312" s="239"/>
      <c r="HXV312" s="239"/>
      <c r="HXW312" s="233"/>
      <c r="HXX312" s="235"/>
      <c r="HXY312" s="233"/>
      <c r="HXZ312" s="234"/>
      <c r="HYA312" s="234"/>
      <c r="HYB312" s="242"/>
      <c r="HYC312" s="234"/>
      <c r="HYD312" s="234"/>
      <c r="HYE312" s="234"/>
      <c r="HYF312" s="236"/>
      <c r="HYG312" s="244"/>
      <c r="HYH312" s="239"/>
      <c r="HYI312" s="240"/>
      <c r="HYJ312" s="241"/>
      <c r="HYK312" s="239"/>
      <c r="HYL312" s="239"/>
      <c r="HYM312" s="239"/>
      <c r="HYN312" s="239"/>
      <c r="HYO312" s="239"/>
      <c r="HYP312" s="239"/>
      <c r="HYQ312" s="233"/>
      <c r="HYR312" s="235"/>
      <c r="HYS312" s="233"/>
      <c r="HYT312" s="234"/>
      <c r="HYU312" s="234"/>
      <c r="HYV312" s="242"/>
      <c r="HYW312" s="234"/>
      <c r="HYX312" s="234"/>
      <c r="HYY312" s="234"/>
      <c r="HYZ312" s="236"/>
      <c r="HZA312" s="244"/>
      <c r="HZB312" s="239"/>
      <c r="HZC312" s="240"/>
      <c r="HZD312" s="241"/>
      <c r="HZE312" s="239"/>
      <c r="HZF312" s="239"/>
      <c r="HZG312" s="239"/>
      <c r="HZH312" s="239"/>
      <c r="HZI312" s="239"/>
      <c r="HZJ312" s="239"/>
      <c r="HZK312" s="233"/>
      <c r="HZL312" s="235"/>
      <c r="HZM312" s="233"/>
      <c r="HZN312" s="234"/>
      <c r="HZO312" s="234"/>
      <c r="HZP312" s="242"/>
      <c r="HZQ312" s="234"/>
      <c r="HZR312" s="234"/>
      <c r="HZS312" s="234"/>
      <c r="HZT312" s="236"/>
      <c r="HZU312" s="244"/>
      <c r="HZV312" s="239"/>
      <c r="HZW312" s="240"/>
      <c r="HZX312" s="241"/>
      <c r="HZY312" s="239"/>
      <c r="HZZ312" s="239"/>
      <c r="IAA312" s="239"/>
      <c r="IAB312" s="239"/>
      <c r="IAC312" s="239"/>
      <c r="IAD312" s="239"/>
      <c r="IAE312" s="233"/>
      <c r="IAF312" s="235"/>
      <c r="IAG312" s="233"/>
      <c r="IAH312" s="234"/>
      <c r="IAI312" s="234"/>
      <c r="IAJ312" s="242"/>
      <c r="IAK312" s="234"/>
      <c r="IAL312" s="234"/>
      <c r="IAM312" s="234"/>
      <c r="IAN312" s="236"/>
      <c r="IAO312" s="244"/>
      <c r="IAP312" s="239"/>
      <c r="IAQ312" s="240"/>
      <c r="IAR312" s="241"/>
      <c r="IAS312" s="239"/>
      <c r="IAT312" s="239"/>
      <c r="IAU312" s="239"/>
      <c r="IAV312" s="239"/>
      <c r="IAW312" s="239"/>
      <c r="IAX312" s="239"/>
      <c r="IAY312" s="233"/>
      <c r="IAZ312" s="235"/>
      <c r="IBA312" s="233"/>
      <c r="IBB312" s="234"/>
      <c r="IBC312" s="234"/>
      <c r="IBD312" s="242"/>
      <c r="IBE312" s="234"/>
      <c r="IBF312" s="234"/>
      <c r="IBG312" s="234"/>
      <c r="IBH312" s="236"/>
      <c r="IBI312" s="244"/>
      <c r="IBJ312" s="239"/>
      <c r="IBK312" s="240"/>
      <c r="IBL312" s="241"/>
      <c r="IBM312" s="239"/>
      <c r="IBN312" s="239"/>
      <c r="IBO312" s="239"/>
      <c r="IBP312" s="239"/>
      <c r="IBQ312" s="239"/>
      <c r="IBR312" s="239"/>
      <c r="IBS312" s="233"/>
      <c r="IBT312" s="235"/>
      <c r="IBU312" s="233"/>
      <c r="IBV312" s="234"/>
      <c r="IBW312" s="234"/>
      <c r="IBX312" s="242"/>
      <c r="IBY312" s="234"/>
      <c r="IBZ312" s="234"/>
      <c r="ICA312" s="234"/>
      <c r="ICB312" s="236"/>
      <c r="ICC312" s="244"/>
      <c r="ICD312" s="239"/>
      <c r="ICE312" s="240"/>
      <c r="ICF312" s="241"/>
      <c r="ICG312" s="239"/>
      <c r="ICH312" s="239"/>
      <c r="ICI312" s="239"/>
      <c r="ICJ312" s="239"/>
      <c r="ICK312" s="239"/>
      <c r="ICL312" s="239"/>
      <c r="ICM312" s="233"/>
      <c r="ICN312" s="235"/>
      <c r="ICO312" s="233"/>
      <c r="ICP312" s="234"/>
      <c r="ICQ312" s="234"/>
      <c r="ICR312" s="242"/>
      <c r="ICS312" s="234"/>
      <c r="ICT312" s="234"/>
      <c r="ICU312" s="234"/>
      <c r="ICV312" s="236"/>
      <c r="ICW312" s="244"/>
      <c r="ICX312" s="239"/>
      <c r="ICY312" s="240"/>
      <c r="ICZ312" s="241"/>
      <c r="IDA312" s="239"/>
      <c r="IDB312" s="239"/>
      <c r="IDC312" s="239"/>
      <c r="IDD312" s="239"/>
      <c r="IDE312" s="239"/>
      <c r="IDF312" s="239"/>
      <c r="IDG312" s="233"/>
      <c r="IDH312" s="235"/>
      <c r="IDI312" s="233"/>
      <c r="IDJ312" s="234"/>
      <c r="IDK312" s="234"/>
      <c r="IDL312" s="242"/>
      <c r="IDM312" s="234"/>
      <c r="IDN312" s="234"/>
      <c r="IDO312" s="234"/>
      <c r="IDP312" s="236"/>
      <c r="IDQ312" s="244"/>
      <c r="IDR312" s="239"/>
      <c r="IDS312" s="240"/>
      <c r="IDT312" s="241"/>
      <c r="IDU312" s="239"/>
      <c r="IDV312" s="239"/>
      <c r="IDW312" s="239"/>
      <c r="IDX312" s="239"/>
      <c r="IDY312" s="239"/>
      <c r="IDZ312" s="239"/>
      <c r="IEA312" s="233"/>
      <c r="IEB312" s="235"/>
      <c r="IEC312" s="233"/>
      <c r="IED312" s="234"/>
      <c r="IEE312" s="234"/>
      <c r="IEF312" s="242"/>
      <c r="IEG312" s="234"/>
      <c r="IEH312" s="234"/>
      <c r="IEI312" s="234"/>
      <c r="IEJ312" s="236"/>
      <c r="IEK312" s="244"/>
      <c r="IEL312" s="239"/>
      <c r="IEM312" s="240"/>
      <c r="IEN312" s="241"/>
      <c r="IEO312" s="239"/>
      <c r="IEP312" s="239"/>
      <c r="IEQ312" s="239"/>
      <c r="IER312" s="239"/>
      <c r="IES312" s="239"/>
      <c r="IET312" s="239"/>
      <c r="IEU312" s="233"/>
      <c r="IEV312" s="235"/>
      <c r="IEW312" s="233"/>
      <c r="IEX312" s="234"/>
      <c r="IEY312" s="234"/>
      <c r="IEZ312" s="242"/>
      <c r="IFA312" s="234"/>
      <c r="IFB312" s="234"/>
      <c r="IFC312" s="234"/>
      <c r="IFD312" s="236"/>
      <c r="IFE312" s="244"/>
      <c r="IFF312" s="239"/>
      <c r="IFG312" s="240"/>
      <c r="IFH312" s="241"/>
      <c r="IFI312" s="239"/>
      <c r="IFJ312" s="239"/>
      <c r="IFK312" s="239"/>
      <c r="IFL312" s="239"/>
      <c r="IFM312" s="239"/>
      <c r="IFN312" s="239"/>
      <c r="IFO312" s="233"/>
      <c r="IFP312" s="235"/>
      <c r="IFQ312" s="233"/>
      <c r="IFR312" s="234"/>
      <c r="IFS312" s="234"/>
      <c r="IFT312" s="242"/>
      <c r="IFU312" s="234"/>
      <c r="IFV312" s="234"/>
      <c r="IFW312" s="234"/>
      <c r="IFX312" s="236"/>
      <c r="IFY312" s="244"/>
      <c r="IFZ312" s="239"/>
      <c r="IGA312" s="240"/>
      <c r="IGB312" s="241"/>
      <c r="IGC312" s="239"/>
      <c r="IGD312" s="239"/>
      <c r="IGE312" s="239"/>
      <c r="IGF312" s="239"/>
      <c r="IGG312" s="239"/>
      <c r="IGH312" s="239"/>
      <c r="IGI312" s="233"/>
      <c r="IGJ312" s="235"/>
      <c r="IGK312" s="233"/>
      <c r="IGL312" s="234"/>
      <c r="IGM312" s="234"/>
      <c r="IGN312" s="242"/>
      <c r="IGO312" s="234"/>
      <c r="IGP312" s="234"/>
      <c r="IGQ312" s="234"/>
      <c r="IGR312" s="236"/>
      <c r="IGS312" s="244"/>
      <c r="IGT312" s="239"/>
      <c r="IGU312" s="240"/>
      <c r="IGV312" s="241"/>
      <c r="IGW312" s="239"/>
      <c r="IGX312" s="239"/>
      <c r="IGY312" s="239"/>
      <c r="IGZ312" s="239"/>
      <c r="IHA312" s="239"/>
      <c r="IHB312" s="239"/>
      <c r="IHC312" s="233"/>
      <c r="IHD312" s="235"/>
      <c r="IHE312" s="233"/>
      <c r="IHF312" s="234"/>
      <c r="IHG312" s="234"/>
      <c r="IHH312" s="242"/>
      <c r="IHI312" s="234"/>
      <c r="IHJ312" s="234"/>
      <c r="IHK312" s="234"/>
      <c r="IHL312" s="236"/>
      <c r="IHM312" s="244"/>
      <c r="IHN312" s="239"/>
      <c r="IHO312" s="240"/>
      <c r="IHP312" s="241"/>
      <c r="IHQ312" s="239"/>
      <c r="IHR312" s="239"/>
      <c r="IHS312" s="239"/>
      <c r="IHT312" s="239"/>
      <c r="IHU312" s="239"/>
      <c r="IHV312" s="239"/>
      <c r="IHW312" s="233"/>
      <c r="IHX312" s="235"/>
      <c r="IHY312" s="233"/>
      <c r="IHZ312" s="234"/>
      <c r="IIA312" s="234"/>
      <c r="IIB312" s="242"/>
      <c r="IIC312" s="234"/>
      <c r="IID312" s="234"/>
      <c r="IIE312" s="234"/>
      <c r="IIF312" s="236"/>
      <c r="IIG312" s="244"/>
      <c r="IIH312" s="239"/>
      <c r="III312" s="240"/>
      <c r="IIJ312" s="241"/>
      <c r="IIK312" s="239"/>
      <c r="IIL312" s="239"/>
      <c r="IIM312" s="239"/>
      <c r="IIN312" s="239"/>
      <c r="IIO312" s="239"/>
      <c r="IIP312" s="239"/>
      <c r="IIQ312" s="233"/>
      <c r="IIR312" s="235"/>
      <c r="IIS312" s="233"/>
      <c r="IIT312" s="234"/>
      <c r="IIU312" s="234"/>
      <c r="IIV312" s="242"/>
      <c r="IIW312" s="234"/>
      <c r="IIX312" s="234"/>
      <c r="IIY312" s="234"/>
      <c r="IIZ312" s="236"/>
      <c r="IJA312" s="244"/>
      <c r="IJB312" s="239"/>
      <c r="IJC312" s="240"/>
      <c r="IJD312" s="241"/>
      <c r="IJE312" s="239"/>
      <c r="IJF312" s="239"/>
      <c r="IJG312" s="239"/>
      <c r="IJH312" s="239"/>
      <c r="IJI312" s="239"/>
      <c r="IJJ312" s="239"/>
      <c r="IJK312" s="233"/>
      <c r="IJL312" s="235"/>
      <c r="IJM312" s="233"/>
      <c r="IJN312" s="234"/>
      <c r="IJO312" s="234"/>
      <c r="IJP312" s="242"/>
      <c r="IJQ312" s="234"/>
      <c r="IJR312" s="234"/>
      <c r="IJS312" s="234"/>
      <c r="IJT312" s="236"/>
      <c r="IJU312" s="244"/>
      <c r="IJV312" s="239"/>
      <c r="IJW312" s="240"/>
      <c r="IJX312" s="241"/>
      <c r="IJY312" s="239"/>
      <c r="IJZ312" s="239"/>
      <c r="IKA312" s="239"/>
      <c r="IKB312" s="239"/>
      <c r="IKC312" s="239"/>
      <c r="IKD312" s="239"/>
      <c r="IKE312" s="233"/>
      <c r="IKF312" s="235"/>
      <c r="IKG312" s="233"/>
      <c r="IKH312" s="234"/>
      <c r="IKI312" s="234"/>
      <c r="IKJ312" s="242"/>
      <c r="IKK312" s="234"/>
      <c r="IKL312" s="234"/>
      <c r="IKM312" s="234"/>
      <c r="IKN312" s="236"/>
      <c r="IKO312" s="244"/>
      <c r="IKP312" s="239"/>
      <c r="IKQ312" s="240"/>
      <c r="IKR312" s="241"/>
      <c r="IKS312" s="239"/>
      <c r="IKT312" s="239"/>
      <c r="IKU312" s="239"/>
      <c r="IKV312" s="239"/>
      <c r="IKW312" s="239"/>
      <c r="IKX312" s="239"/>
      <c r="IKY312" s="233"/>
      <c r="IKZ312" s="235"/>
      <c r="ILA312" s="233"/>
      <c r="ILB312" s="234"/>
      <c r="ILC312" s="234"/>
      <c r="ILD312" s="242"/>
      <c r="ILE312" s="234"/>
      <c r="ILF312" s="234"/>
      <c r="ILG312" s="234"/>
      <c r="ILH312" s="236"/>
      <c r="ILI312" s="244"/>
      <c r="ILJ312" s="239"/>
      <c r="ILK312" s="240"/>
      <c r="ILL312" s="241"/>
      <c r="ILM312" s="239"/>
      <c r="ILN312" s="239"/>
      <c r="ILO312" s="239"/>
      <c r="ILP312" s="239"/>
      <c r="ILQ312" s="239"/>
      <c r="ILR312" s="239"/>
      <c r="ILS312" s="233"/>
      <c r="ILT312" s="235"/>
      <c r="ILU312" s="233"/>
      <c r="ILV312" s="234"/>
      <c r="ILW312" s="234"/>
      <c r="ILX312" s="242"/>
      <c r="ILY312" s="234"/>
      <c r="ILZ312" s="234"/>
      <c r="IMA312" s="234"/>
      <c r="IMB312" s="236"/>
      <c r="IMC312" s="244"/>
      <c r="IMD312" s="239"/>
      <c r="IME312" s="240"/>
      <c r="IMF312" s="241"/>
      <c r="IMG312" s="239"/>
      <c r="IMH312" s="239"/>
      <c r="IMI312" s="239"/>
      <c r="IMJ312" s="239"/>
      <c r="IMK312" s="239"/>
      <c r="IML312" s="239"/>
      <c r="IMM312" s="233"/>
      <c r="IMN312" s="235"/>
      <c r="IMO312" s="233"/>
      <c r="IMP312" s="234"/>
      <c r="IMQ312" s="234"/>
      <c r="IMR312" s="242"/>
      <c r="IMS312" s="234"/>
      <c r="IMT312" s="234"/>
      <c r="IMU312" s="234"/>
      <c r="IMV312" s="236"/>
      <c r="IMW312" s="244"/>
      <c r="IMX312" s="239"/>
      <c r="IMY312" s="240"/>
      <c r="IMZ312" s="241"/>
      <c r="INA312" s="239"/>
      <c r="INB312" s="239"/>
      <c r="INC312" s="239"/>
      <c r="IND312" s="239"/>
      <c r="INE312" s="239"/>
      <c r="INF312" s="239"/>
      <c r="ING312" s="233"/>
      <c r="INH312" s="235"/>
      <c r="INI312" s="233"/>
      <c r="INJ312" s="234"/>
      <c r="INK312" s="234"/>
      <c r="INL312" s="242"/>
      <c r="INM312" s="234"/>
      <c r="INN312" s="234"/>
      <c r="INO312" s="234"/>
      <c r="INP312" s="236"/>
      <c r="INQ312" s="244"/>
      <c r="INR312" s="239"/>
      <c r="INS312" s="240"/>
      <c r="INT312" s="241"/>
      <c r="INU312" s="239"/>
      <c r="INV312" s="239"/>
      <c r="INW312" s="239"/>
      <c r="INX312" s="239"/>
      <c r="INY312" s="239"/>
      <c r="INZ312" s="239"/>
      <c r="IOA312" s="233"/>
      <c r="IOB312" s="235"/>
      <c r="IOC312" s="233"/>
      <c r="IOD312" s="234"/>
      <c r="IOE312" s="234"/>
      <c r="IOF312" s="242"/>
      <c r="IOG312" s="234"/>
      <c r="IOH312" s="234"/>
      <c r="IOI312" s="234"/>
      <c r="IOJ312" s="236"/>
      <c r="IOK312" s="244"/>
      <c r="IOL312" s="239"/>
      <c r="IOM312" s="240"/>
      <c r="ION312" s="241"/>
      <c r="IOO312" s="239"/>
      <c r="IOP312" s="239"/>
      <c r="IOQ312" s="239"/>
      <c r="IOR312" s="239"/>
      <c r="IOS312" s="239"/>
      <c r="IOT312" s="239"/>
      <c r="IOU312" s="233"/>
      <c r="IOV312" s="235"/>
      <c r="IOW312" s="233"/>
      <c r="IOX312" s="234"/>
      <c r="IOY312" s="234"/>
      <c r="IOZ312" s="242"/>
      <c r="IPA312" s="234"/>
      <c r="IPB312" s="234"/>
      <c r="IPC312" s="234"/>
      <c r="IPD312" s="236"/>
      <c r="IPE312" s="244"/>
      <c r="IPF312" s="239"/>
      <c r="IPG312" s="240"/>
      <c r="IPH312" s="241"/>
      <c r="IPI312" s="239"/>
      <c r="IPJ312" s="239"/>
      <c r="IPK312" s="239"/>
      <c r="IPL312" s="239"/>
      <c r="IPM312" s="239"/>
      <c r="IPN312" s="239"/>
      <c r="IPO312" s="233"/>
      <c r="IPP312" s="235"/>
      <c r="IPQ312" s="233"/>
      <c r="IPR312" s="234"/>
      <c r="IPS312" s="234"/>
      <c r="IPT312" s="242"/>
      <c r="IPU312" s="234"/>
      <c r="IPV312" s="234"/>
      <c r="IPW312" s="234"/>
      <c r="IPX312" s="236"/>
      <c r="IPY312" s="244"/>
      <c r="IPZ312" s="239"/>
      <c r="IQA312" s="240"/>
      <c r="IQB312" s="241"/>
      <c r="IQC312" s="239"/>
      <c r="IQD312" s="239"/>
      <c r="IQE312" s="239"/>
      <c r="IQF312" s="239"/>
      <c r="IQG312" s="239"/>
      <c r="IQH312" s="239"/>
      <c r="IQI312" s="233"/>
      <c r="IQJ312" s="235"/>
      <c r="IQK312" s="233"/>
      <c r="IQL312" s="234"/>
      <c r="IQM312" s="234"/>
      <c r="IQN312" s="242"/>
      <c r="IQO312" s="234"/>
      <c r="IQP312" s="234"/>
      <c r="IQQ312" s="234"/>
      <c r="IQR312" s="236"/>
      <c r="IQS312" s="244"/>
      <c r="IQT312" s="239"/>
      <c r="IQU312" s="240"/>
      <c r="IQV312" s="241"/>
      <c r="IQW312" s="239"/>
      <c r="IQX312" s="239"/>
      <c r="IQY312" s="239"/>
      <c r="IQZ312" s="239"/>
      <c r="IRA312" s="239"/>
      <c r="IRB312" s="239"/>
      <c r="IRC312" s="233"/>
      <c r="IRD312" s="235"/>
      <c r="IRE312" s="233"/>
      <c r="IRF312" s="234"/>
      <c r="IRG312" s="234"/>
      <c r="IRH312" s="242"/>
      <c r="IRI312" s="234"/>
      <c r="IRJ312" s="234"/>
      <c r="IRK312" s="234"/>
      <c r="IRL312" s="236"/>
      <c r="IRM312" s="244"/>
      <c r="IRN312" s="239"/>
      <c r="IRO312" s="240"/>
      <c r="IRP312" s="241"/>
      <c r="IRQ312" s="239"/>
      <c r="IRR312" s="239"/>
      <c r="IRS312" s="239"/>
      <c r="IRT312" s="239"/>
      <c r="IRU312" s="239"/>
      <c r="IRV312" s="239"/>
      <c r="IRW312" s="233"/>
      <c r="IRX312" s="235"/>
      <c r="IRY312" s="233"/>
      <c r="IRZ312" s="234"/>
      <c r="ISA312" s="234"/>
      <c r="ISB312" s="242"/>
      <c r="ISC312" s="234"/>
      <c r="ISD312" s="234"/>
      <c r="ISE312" s="234"/>
      <c r="ISF312" s="236"/>
      <c r="ISG312" s="244"/>
      <c r="ISH312" s="239"/>
      <c r="ISI312" s="240"/>
      <c r="ISJ312" s="241"/>
      <c r="ISK312" s="239"/>
      <c r="ISL312" s="239"/>
      <c r="ISM312" s="239"/>
      <c r="ISN312" s="239"/>
      <c r="ISO312" s="239"/>
      <c r="ISP312" s="239"/>
      <c r="ISQ312" s="233"/>
      <c r="ISR312" s="235"/>
      <c r="ISS312" s="233"/>
      <c r="IST312" s="234"/>
      <c r="ISU312" s="234"/>
      <c r="ISV312" s="242"/>
      <c r="ISW312" s="234"/>
      <c r="ISX312" s="234"/>
      <c r="ISY312" s="234"/>
      <c r="ISZ312" s="236"/>
      <c r="ITA312" s="244"/>
      <c r="ITB312" s="239"/>
      <c r="ITC312" s="240"/>
      <c r="ITD312" s="241"/>
      <c r="ITE312" s="239"/>
      <c r="ITF312" s="239"/>
      <c r="ITG312" s="239"/>
      <c r="ITH312" s="239"/>
      <c r="ITI312" s="239"/>
      <c r="ITJ312" s="239"/>
      <c r="ITK312" s="233"/>
      <c r="ITL312" s="235"/>
      <c r="ITM312" s="233"/>
      <c r="ITN312" s="234"/>
      <c r="ITO312" s="234"/>
      <c r="ITP312" s="242"/>
      <c r="ITQ312" s="234"/>
      <c r="ITR312" s="234"/>
      <c r="ITS312" s="234"/>
      <c r="ITT312" s="236"/>
      <c r="ITU312" s="244"/>
      <c r="ITV312" s="239"/>
      <c r="ITW312" s="240"/>
      <c r="ITX312" s="241"/>
      <c r="ITY312" s="239"/>
      <c r="ITZ312" s="239"/>
      <c r="IUA312" s="239"/>
      <c r="IUB312" s="239"/>
      <c r="IUC312" s="239"/>
      <c r="IUD312" s="239"/>
      <c r="IUE312" s="233"/>
      <c r="IUF312" s="235"/>
      <c r="IUG312" s="233"/>
      <c r="IUH312" s="234"/>
      <c r="IUI312" s="234"/>
      <c r="IUJ312" s="242"/>
      <c r="IUK312" s="234"/>
      <c r="IUL312" s="234"/>
      <c r="IUM312" s="234"/>
      <c r="IUN312" s="236"/>
      <c r="IUO312" s="244"/>
      <c r="IUP312" s="239"/>
      <c r="IUQ312" s="240"/>
      <c r="IUR312" s="241"/>
      <c r="IUS312" s="239"/>
      <c r="IUT312" s="239"/>
      <c r="IUU312" s="239"/>
      <c r="IUV312" s="239"/>
      <c r="IUW312" s="239"/>
      <c r="IUX312" s="239"/>
      <c r="IUY312" s="233"/>
      <c r="IUZ312" s="235"/>
      <c r="IVA312" s="233"/>
      <c r="IVB312" s="234"/>
      <c r="IVC312" s="234"/>
      <c r="IVD312" s="242"/>
      <c r="IVE312" s="234"/>
      <c r="IVF312" s="234"/>
      <c r="IVG312" s="234"/>
      <c r="IVH312" s="236"/>
      <c r="IVI312" s="244"/>
      <c r="IVJ312" s="239"/>
      <c r="IVK312" s="240"/>
      <c r="IVL312" s="241"/>
      <c r="IVM312" s="239"/>
      <c r="IVN312" s="239"/>
      <c r="IVO312" s="239"/>
      <c r="IVP312" s="239"/>
      <c r="IVQ312" s="239"/>
      <c r="IVR312" s="239"/>
      <c r="IVS312" s="233"/>
      <c r="IVT312" s="235"/>
      <c r="IVU312" s="233"/>
      <c r="IVV312" s="234"/>
      <c r="IVW312" s="234"/>
      <c r="IVX312" s="242"/>
      <c r="IVY312" s="234"/>
      <c r="IVZ312" s="234"/>
      <c r="IWA312" s="234"/>
      <c r="IWB312" s="236"/>
      <c r="IWC312" s="244"/>
      <c r="IWD312" s="239"/>
      <c r="IWE312" s="240"/>
      <c r="IWF312" s="241"/>
      <c r="IWG312" s="239"/>
      <c r="IWH312" s="239"/>
      <c r="IWI312" s="239"/>
      <c r="IWJ312" s="239"/>
      <c r="IWK312" s="239"/>
      <c r="IWL312" s="239"/>
      <c r="IWM312" s="233"/>
      <c r="IWN312" s="235"/>
      <c r="IWO312" s="233"/>
      <c r="IWP312" s="234"/>
      <c r="IWQ312" s="234"/>
      <c r="IWR312" s="242"/>
      <c r="IWS312" s="234"/>
      <c r="IWT312" s="234"/>
      <c r="IWU312" s="234"/>
      <c r="IWV312" s="236"/>
      <c r="IWW312" s="244"/>
      <c r="IWX312" s="239"/>
      <c r="IWY312" s="240"/>
      <c r="IWZ312" s="241"/>
      <c r="IXA312" s="239"/>
      <c r="IXB312" s="239"/>
      <c r="IXC312" s="239"/>
      <c r="IXD312" s="239"/>
      <c r="IXE312" s="239"/>
      <c r="IXF312" s="239"/>
      <c r="IXG312" s="233"/>
      <c r="IXH312" s="235"/>
      <c r="IXI312" s="233"/>
      <c r="IXJ312" s="234"/>
      <c r="IXK312" s="234"/>
      <c r="IXL312" s="242"/>
      <c r="IXM312" s="234"/>
      <c r="IXN312" s="234"/>
      <c r="IXO312" s="234"/>
      <c r="IXP312" s="236"/>
      <c r="IXQ312" s="244"/>
      <c r="IXR312" s="239"/>
      <c r="IXS312" s="240"/>
      <c r="IXT312" s="241"/>
      <c r="IXU312" s="239"/>
      <c r="IXV312" s="239"/>
      <c r="IXW312" s="239"/>
      <c r="IXX312" s="239"/>
      <c r="IXY312" s="239"/>
      <c r="IXZ312" s="239"/>
      <c r="IYA312" s="233"/>
      <c r="IYB312" s="235"/>
      <c r="IYC312" s="233"/>
      <c r="IYD312" s="234"/>
      <c r="IYE312" s="234"/>
      <c r="IYF312" s="242"/>
      <c r="IYG312" s="234"/>
      <c r="IYH312" s="234"/>
      <c r="IYI312" s="234"/>
      <c r="IYJ312" s="236"/>
      <c r="IYK312" s="244"/>
      <c r="IYL312" s="239"/>
      <c r="IYM312" s="240"/>
      <c r="IYN312" s="241"/>
      <c r="IYO312" s="239"/>
      <c r="IYP312" s="239"/>
      <c r="IYQ312" s="239"/>
      <c r="IYR312" s="239"/>
      <c r="IYS312" s="239"/>
      <c r="IYT312" s="239"/>
      <c r="IYU312" s="233"/>
      <c r="IYV312" s="235"/>
      <c r="IYW312" s="233"/>
      <c r="IYX312" s="234"/>
      <c r="IYY312" s="234"/>
      <c r="IYZ312" s="242"/>
      <c r="IZA312" s="234"/>
      <c r="IZB312" s="234"/>
      <c r="IZC312" s="234"/>
      <c r="IZD312" s="236"/>
      <c r="IZE312" s="244"/>
      <c r="IZF312" s="239"/>
      <c r="IZG312" s="240"/>
      <c r="IZH312" s="241"/>
      <c r="IZI312" s="239"/>
      <c r="IZJ312" s="239"/>
      <c r="IZK312" s="239"/>
      <c r="IZL312" s="239"/>
      <c r="IZM312" s="239"/>
      <c r="IZN312" s="239"/>
      <c r="IZO312" s="233"/>
      <c r="IZP312" s="235"/>
      <c r="IZQ312" s="233"/>
      <c r="IZR312" s="234"/>
      <c r="IZS312" s="234"/>
      <c r="IZT312" s="242"/>
      <c r="IZU312" s="234"/>
      <c r="IZV312" s="234"/>
      <c r="IZW312" s="234"/>
      <c r="IZX312" s="236"/>
      <c r="IZY312" s="244"/>
      <c r="IZZ312" s="239"/>
      <c r="JAA312" s="240"/>
      <c r="JAB312" s="241"/>
      <c r="JAC312" s="239"/>
      <c r="JAD312" s="239"/>
      <c r="JAE312" s="239"/>
      <c r="JAF312" s="239"/>
      <c r="JAG312" s="239"/>
      <c r="JAH312" s="239"/>
      <c r="JAI312" s="233"/>
      <c r="JAJ312" s="235"/>
      <c r="JAK312" s="233"/>
      <c r="JAL312" s="234"/>
      <c r="JAM312" s="234"/>
      <c r="JAN312" s="242"/>
      <c r="JAO312" s="234"/>
      <c r="JAP312" s="234"/>
      <c r="JAQ312" s="234"/>
      <c r="JAR312" s="236"/>
      <c r="JAS312" s="244"/>
      <c r="JAT312" s="239"/>
      <c r="JAU312" s="240"/>
      <c r="JAV312" s="241"/>
      <c r="JAW312" s="239"/>
      <c r="JAX312" s="239"/>
      <c r="JAY312" s="239"/>
      <c r="JAZ312" s="239"/>
      <c r="JBA312" s="239"/>
      <c r="JBB312" s="239"/>
      <c r="JBC312" s="233"/>
      <c r="JBD312" s="235"/>
      <c r="JBE312" s="233"/>
      <c r="JBF312" s="234"/>
      <c r="JBG312" s="234"/>
      <c r="JBH312" s="242"/>
      <c r="JBI312" s="234"/>
      <c r="JBJ312" s="234"/>
      <c r="JBK312" s="234"/>
      <c r="JBL312" s="236"/>
      <c r="JBM312" s="244"/>
      <c r="JBN312" s="239"/>
      <c r="JBO312" s="240"/>
      <c r="JBP312" s="241"/>
      <c r="JBQ312" s="239"/>
      <c r="JBR312" s="239"/>
      <c r="JBS312" s="239"/>
      <c r="JBT312" s="239"/>
      <c r="JBU312" s="239"/>
      <c r="JBV312" s="239"/>
      <c r="JBW312" s="233"/>
      <c r="JBX312" s="235"/>
      <c r="JBY312" s="233"/>
      <c r="JBZ312" s="234"/>
      <c r="JCA312" s="234"/>
      <c r="JCB312" s="242"/>
      <c r="JCC312" s="234"/>
      <c r="JCD312" s="234"/>
      <c r="JCE312" s="234"/>
      <c r="JCF312" s="236"/>
      <c r="JCG312" s="244"/>
      <c r="JCH312" s="239"/>
      <c r="JCI312" s="240"/>
      <c r="JCJ312" s="241"/>
      <c r="JCK312" s="239"/>
      <c r="JCL312" s="239"/>
      <c r="JCM312" s="239"/>
      <c r="JCN312" s="239"/>
      <c r="JCO312" s="239"/>
      <c r="JCP312" s="239"/>
      <c r="JCQ312" s="233"/>
      <c r="JCR312" s="235"/>
      <c r="JCS312" s="233"/>
      <c r="JCT312" s="234"/>
      <c r="JCU312" s="234"/>
      <c r="JCV312" s="242"/>
      <c r="JCW312" s="234"/>
      <c r="JCX312" s="234"/>
      <c r="JCY312" s="234"/>
      <c r="JCZ312" s="236"/>
      <c r="JDA312" s="244"/>
      <c r="JDB312" s="239"/>
      <c r="JDC312" s="240"/>
      <c r="JDD312" s="241"/>
      <c r="JDE312" s="239"/>
      <c r="JDF312" s="239"/>
      <c r="JDG312" s="239"/>
      <c r="JDH312" s="239"/>
      <c r="JDI312" s="239"/>
      <c r="JDJ312" s="239"/>
      <c r="JDK312" s="233"/>
      <c r="JDL312" s="235"/>
      <c r="JDM312" s="233"/>
      <c r="JDN312" s="234"/>
      <c r="JDO312" s="234"/>
      <c r="JDP312" s="242"/>
      <c r="JDQ312" s="234"/>
      <c r="JDR312" s="234"/>
      <c r="JDS312" s="234"/>
      <c r="JDT312" s="236"/>
      <c r="JDU312" s="244"/>
      <c r="JDV312" s="239"/>
      <c r="JDW312" s="240"/>
      <c r="JDX312" s="241"/>
      <c r="JDY312" s="239"/>
      <c r="JDZ312" s="239"/>
      <c r="JEA312" s="239"/>
      <c r="JEB312" s="239"/>
      <c r="JEC312" s="239"/>
      <c r="JED312" s="239"/>
      <c r="JEE312" s="233"/>
      <c r="JEF312" s="235"/>
      <c r="JEG312" s="233"/>
      <c r="JEH312" s="234"/>
      <c r="JEI312" s="234"/>
      <c r="JEJ312" s="242"/>
      <c r="JEK312" s="234"/>
      <c r="JEL312" s="234"/>
      <c r="JEM312" s="234"/>
      <c r="JEN312" s="236"/>
      <c r="JEO312" s="244"/>
      <c r="JEP312" s="239"/>
      <c r="JEQ312" s="240"/>
      <c r="JER312" s="241"/>
      <c r="JES312" s="239"/>
      <c r="JET312" s="239"/>
      <c r="JEU312" s="239"/>
      <c r="JEV312" s="239"/>
      <c r="JEW312" s="239"/>
      <c r="JEX312" s="239"/>
      <c r="JEY312" s="233"/>
      <c r="JEZ312" s="235"/>
      <c r="JFA312" s="233"/>
      <c r="JFB312" s="234"/>
      <c r="JFC312" s="234"/>
      <c r="JFD312" s="242"/>
      <c r="JFE312" s="234"/>
      <c r="JFF312" s="234"/>
      <c r="JFG312" s="234"/>
      <c r="JFH312" s="236"/>
      <c r="JFI312" s="244"/>
      <c r="JFJ312" s="239"/>
      <c r="JFK312" s="240"/>
      <c r="JFL312" s="241"/>
      <c r="JFM312" s="239"/>
      <c r="JFN312" s="239"/>
      <c r="JFO312" s="239"/>
      <c r="JFP312" s="239"/>
      <c r="JFQ312" s="239"/>
      <c r="JFR312" s="239"/>
      <c r="JFS312" s="233"/>
      <c r="JFT312" s="235"/>
      <c r="JFU312" s="233"/>
      <c r="JFV312" s="234"/>
      <c r="JFW312" s="234"/>
      <c r="JFX312" s="242"/>
      <c r="JFY312" s="234"/>
      <c r="JFZ312" s="234"/>
      <c r="JGA312" s="234"/>
      <c r="JGB312" s="236"/>
      <c r="JGC312" s="244"/>
      <c r="JGD312" s="239"/>
      <c r="JGE312" s="240"/>
      <c r="JGF312" s="241"/>
      <c r="JGG312" s="239"/>
      <c r="JGH312" s="239"/>
      <c r="JGI312" s="239"/>
      <c r="JGJ312" s="239"/>
      <c r="JGK312" s="239"/>
      <c r="JGL312" s="239"/>
      <c r="JGM312" s="233"/>
      <c r="JGN312" s="235"/>
      <c r="JGO312" s="233"/>
      <c r="JGP312" s="234"/>
      <c r="JGQ312" s="234"/>
      <c r="JGR312" s="242"/>
      <c r="JGS312" s="234"/>
      <c r="JGT312" s="234"/>
      <c r="JGU312" s="234"/>
      <c r="JGV312" s="236"/>
      <c r="JGW312" s="244"/>
      <c r="JGX312" s="239"/>
      <c r="JGY312" s="240"/>
      <c r="JGZ312" s="241"/>
      <c r="JHA312" s="239"/>
      <c r="JHB312" s="239"/>
      <c r="JHC312" s="239"/>
      <c r="JHD312" s="239"/>
      <c r="JHE312" s="239"/>
      <c r="JHF312" s="239"/>
      <c r="JHG312" s="233"/>
      <c r="JHH312" s="235"/>
      <c r="JHI312" s="233"/>
      <c r="JHJ312" s="234"/>
      <c r="JHK312" s="234"/>
      <c r="JHL312" s="242"/>
      <c r="JHM312" s="234"/>
      <c r="JHN312" s="234"/>
      <c r="JHO312" s="234"/>
      <c r="JHP312" s="236"/>
      <c r="JHQ312" s="244"/>
      <c r="JHR312" s="239"/>
      <c r="JHS312" s="240"/>
      <c r="JHT312" s="241"/>
      <c r="JHU312" s="239"/>
      <c r="JHV312" s="239"/>
      <c r="JHW312" s="239"/>
      <c r="JHX312" s="239"/>
      <c r="JHY312" s="239"/>
      <c r="JHZ312" s="239"/>
      <c r="JIA312" s="233"/>
      <c r="JIB312" s="235"/>
      <c r="JIC312" s="233"/>
      <c r="JID312" s="234"/>
      <c r="JIE312" s="234"/>
      <c r="JIF312" s="242"/>
      <c r="JIG312" s="234"/>
      <c r="JIH312" s="234"/>
      <c r="JII312" s="234"/>
      <c r="JIJ312" s="236"/>
      <c r="JIK312" s="244"/>
      <c r="JIL312" s="239"/>
      <c r="JIM312" s="240"/>
      <c r="JIN312" s="241"/>
      <c r="JIO312" s="239"/>
      <c r="JIP312" s="239"/>
      <c r="JIQ312" s="239"/>
      <c r="JIR312" s="239"/>
      <c r="JIS312" s="239"/>
      <c r="JIT312" s="239"/>
      <c r="JIU312" s="233"/>
      <c r="JIV312" s="235"/>
      <c r="JIW312" s="233"/>
      <c r="JIX312" s="234"/>
      <c r="JIY312" s="234"/>
      <c r="JIZ312" s="242"/>
      <c r="JJA312" s="234"/>
      <c r="JJB312" s="234"/>
      <c r="JJC312" s="234"/>
      <c r="JJD312" s="236"/>
      <c r="JJE312" s="244"/>
      <c r="JJF312" s="239"/>
      <c r="JJG312" s="240"/>
      <c r="JJH312" s="241"/>
      <c r="JJI312" s="239"/>
      <c r="JJJ312" s="239"/>
      <c r="JJK312" s="239"/>
      <c r="JJL312" s="239"/>
      <c r="JJM312" s="239"/>
      <c r="JJN312" s="239"/>
      <c r="JJO312" s="233"/>
      <c r="JJP312" s="235"/>
      <c r="JJQ312" s="233"/>
      <c r="JJR312" s="234"/>
      <c r="JJS312" s="234"/>
      <c r="JJT312" s="242"/>
      <c r="JJU312" s="234"/>
      <c r="JJV312" s="234"/>
      <c r="JJW312" s="234"/>
      <c r="JJX312" s="236"/>
      <c r="JJY312" s="244"/>
      <c r="JJZ312" s="239"/>
      <c r="JKA312" s="240"/>
      <c r="JKB312" s="241"/>
      <c r="JKC312" s="239"/>
      <c r="JKD312" s="239"/>
      <c r="JKE312" s="239"/>
      <c r="JKF312" s="239"/>
      <c r="JKG312" s="239"/>
      <c r="JKH312" s="239"/>
      <c r="JKI312" s="233"/>
      <c r="JKJ312" s="235"/>
      <c r="JKK312" s="233"/>
      <c r="JKL312" s="234"/>
      <c r="JKM312" s="234"/>
      <c r="JKN312" s="242"/>
      <c r="JKO312" s="234"/>
      <c r="JKP312" s="234"/>
      <c r="JKQ312" s="234"/>
      <c r="JKR312" s="236"/>
      <c r="JKS312" s="244"/>
      <c r="JKT312" s="239"/>
      <c r="JKU312" s="240"/>
      <c r="JKV312" s="241"/>
      <c r="JKW312" s="239"/>
      <c r="JKX312" s="239"/>
      <c r="JKY312" s="239"/>
      <c r="JKZ312" s="239"/>
      <c r="JLA312" s="239"/>
      <c r="JLB312" s="239"/>
      <c r="JLC312" s="233"/>
      <c r="JLD312" s="235"/>
      <c r="JLE312" s="233"/>
      <c r="JLF312" s="234"/>
      <c r="JLG312" s="234"/>
      <c r="JLH312" s="242"/>
      <c r="JLI312" s="234"/>
      <c r="JLJ312" s="234"/>
      <c r="JLK312" s="234"/>
      <c r="JLL312" s="236"/>
      <c r="JLM312" s="244"/>
      <c r="JLN312" s="239"/>
      <c r="JLO312" s="240"/>
      <c r="JLP312" s="241"/>
      <c r="JLQ312" s="239"/>
      <c r="JLR312" s="239"/>
      <c r="JLS312" s="239"/>
      <c r="JLT312" s="239"/>
      <c r="JLU312" s="239"/>
      <c r="JLV312" s="239"/>
      <c r="JLW312" s="233"/>
      <c r="JLX312" s="235"/>
      <c r="JLY312" s="233"/>
      <c r="JLZ312" s="234"/>
      <c r="JMA312" s="234"/>
      <c r="JMB312" s="242"/>
      <c r="JMC312" s="234"/>
      <c r="JMD312" s="234"/>
      <c r="JME312" s="234"/>
      <c r="JMF312" s="236"/>
      <c r="JMG312" s="244"/>
      <c r="JMH312" s="239"/>
      <c r="JMI312" s="240"/>
      <c r="JMJ312" s="241"/>
      <c r="JMK312" s="239"/>
      <c r="JML312" s="239"/>
      <c r="JMM312" s="239"/>
      <c r="JMN312" s="239"/>
      <c r="JMO312" s="239"/>
      <c r="JMP312" s="239"/>
      <c r="JMQ312" s="233"/>
      <c r="JMR312" s="235"/>
      <c r="JMS312" s="233"/>
      <c r="JMT312" s="234"/>
      <c r="JMU312" s="234"/>
      <c r="JMV312" s="242"/>
      <c r="JMW312" s="234"/>
      <c r="JMX312" s="234"/>
      <c r="JMY312" s="234"/>
      <c r="JMZ312" s="236"/>
      <c r="JNA312" s="244"/>
      <c r="JNB312" s="239"/>
      <c r="JNC312" s="240"/>
      <c r="JND312" s="241"/>
      <c r="JNE312" s="239"/>
      <c r="JNF312" s="239"/>
      <c r="JNG312" s="239"/>
      <c r="JNH312" s="239"/>
      <c r="JNI312" s="239"/>
      <c r="JNJ312" s="239"/>
      <c r="JNK312" s="233"/>
      <c r="JNL312" s="235"/>
      <c r="JNM312" s="233"/>
      <c r="JNN312" s="234"/>
      <c r="JNO312" s="234"/>
      <c r="JNP312" s="242"/>
      <c r="JNQ312" s="234"/>
      <c r="JNR312" s="234"/>
      <c r="JNS312" s="234"/>
      <c r="JNT312" s="236"/>
      <c r="JNU312" s="244"/>
      <c r="JNV312" s="239"/>
      <c r="JNW312" s="240"/>
      <c r="JNX312" s="241"/>
      <c r="JNY312" s="239"/>
      <c r="JNZ312" s="239"/>
      <c r="JOA312" s="239"/>
      <c r="JOB312" s="239"/>
      <c r="JOC312" s="239"/>
      <c r="JOD312" s="239"/>
      <c r="JOE312" s="233"/>
      <c r="JOF312" s="235"/>
      <c r="JOG312" s="233"/>
      <c r="JOH312" s="234"/>
      <c r="JOI312" s="234"/>
      <c r="JOJ312" s="242"/>
      <c r="JOK312" s="234"/>
      <c r="JOL312" s="234"/>
      <c r="JOM312" s="234"/>
      <c r="JON312" s="236"/>
      <c r="JOO312" s="244"/>
      <c r="JOP312" s="239"/>
      <c r="JOQ312" s="240"/>
      <c r="JOR312" s="241"/>
      <c r="JOS312" s="239"/>
      <c r="JOT312" s="239"/>
      <c r="JOU312" s="239"/>
      <c r="JOV312" s="239"/>
      <c r="JOW312" s="239"/>
      <c r="JOX312" s="239"/>
      <c r="JOY312" s="233"/>
      <c r="JOZ312" s="235"/>
      <c r="JPA312" s="233"/>
      <c r="JPB312" s="234"/>
      <c r="JPC312" s="234"/>
      <c r="JPD312" s="242"/>
      <c r="JPE312" s="234"/>
      <c r="JPF312" s="234"/>
      <c r="JPG312" s="234"/>
      <c r="JPH312" s="236"/>
      <c r="JPI312" s="244"/>
      <c r="JPJ312" s="239"/>
      <c r="JPK312" s="240"/>
      <c r="JPL312" s="241"/>
      <c r="JPM312" s="239"/>
      <c r="JPN312" s="239"/>
      <c r="JPO312" s="239"/>
      <c r="JPP312" s="239"/>
      <c r="JPQ312" s="239"/>
      <c r="JPR312" s="239"/>
      <c r="JPS312" s="233"/>
      <c r="JPT312" s="235"/>
      <c r="JPU312" s="233"/>
      <c r="JPV312" s="234"/>
      <c r="JPW312" s="234"/>
      <c r="JPX312" s="242"/>
      <c r="JPY312" s="234"/>
      <c r="JPZ312" s="234"/>
      <c r="JQA312" s="234"/>
      <c r="JQB312" s="236"/>
      <c r="JQC312" s="244"/>
      <c r="JQD312" s="239"/>
      <c r="JQE312" s="240"/>
      <c r="JQF312" s="241"/>
      <c r="JQG312" s="239"/>
      <c r="JQH312" s="239"/>
      <c r="JQI312" s="239"/>
      <c r="JQJ312" s="239"/>
      <c r="JQK312" s="239"/>
      <c r="JQL312" s="239"/>
      <c r="JQM312" s="233"/>
      <c r="JQN312" s="235"/>
      <c r="JQO312" s="233"/>
      <c r="JQP312" s="234"/>
      <c r="JQQ312" s="234"/>
      <c r="JQR312" s="242"/>
      <c r="JQS312" s="234"/>
      <c r="JQT312" s="234"/>
      <c r="JQU312" s="234"/>
      <c r="JQV312" s="236"/>
      <c r="JQW312" s="244"/>
      <c r="JQX312" s="239"/>
      <c r="JQY312" s="240"/>
      <c r="JQZ312" s="241"/>
      <c r="JRA312" s="239"/>
      <c r="JRB312" s="239"/>
      <c r="JRC312" s="239"/>
      <c r="JRD312" s="239"/>
      <c r="JRE312" s="239"/>
      <c r="JRF312" s="239"/>
      <c r="JRG312" s="233"/>
      <c r="JRH312" s="235"/>
      <c r="JRI312" s="233"/>
      <c r="JRJ312" s="234"/>
      <c r="JRK312" s="234"/>
      <c r="JRL312" s="242"/>
      <c r="JRM312" s="234"/>
      <c r="JRN312" s="234"/>
      <c r="JRO312" s="234"/>
      <c r="JRP312" s="236"/>
      <c r="JRQ312" s="244"/>
      <c r="JRR312" s="239"/>
      <c r="JRS312" s="240"/>
      <c r="JRT312" s="241"/>
      <c r="JRU312" s="239"/>
      <c r="JRV312" s="239"/>
      <c r="JRW312" s="239"/>
      <c r="JRX312" s="239"/>
      <c r="JRY312" s="239"/>
      <c r="JRZ312" s="239"/>
      <c r="JSA312" s="233"/>
      <c r="JSB312" s="235"/>
      <c r="JSC312" s="233"/>
      <c r="JSD312" s="234"/>
      <c r="JSE312" s="234"/>
      <c r="JSF312" s="242"/>
      <c r="JSG312" s="234"/>
      <c r="JSH312" s="234"/>
      <c r="JSI312" s="234"/>
      <c r="JSJ312" s="236"/>
      <c r="JSK312" s="244"/>
      <c r="JSL312" s="239"/>
      <c r="JSM312" s="240"/>
      <c r="JSN312" s="241"/>
      <c r="JSO312" s="239"/>
      <c r="JSP312" s="239"/>
      <c r="JSQ312" s="239"/>
      <c r="JSR312" s="239"/>
      <c r="JSS312" s="239"/>
      <c r="JST312" s="239"/>
      <c r="JSU312" s="233"/>
      <c r="JSV312" s="235"/>
      <c r="JSW312" s="233"/>
      <c r="JSX312" s="234"/>
      <c r="JSY312" s="234"/>
      <c r="JSZ312" s="242"/>
      <c r="JTA312" s="234"/>
      <c r="JTB312" s="234"/>
      <c r="JTC312" s="234"/>
      <c r="JTD312" s="236"/>
      <c r="JTE312" s="244"/>
      <c r="JTF312" s="239"/>
      <c r="JTG312" s="240"/>
      <c r="JTH312" s="241"/>
      <c r="JTI312" s="239"/>
      <c r="JTJ312" s="239"/>
      <c r="JTK312" s="239"/>
      <c r="JTL312" s="239"/>
      <c r="JTM312" s="239"/>
      <c r="JTN312" s="239"/>
      <c r="JTO312" s="233"/>
      <c r="JTP312" s="235"/>
      <c r="JTQ312" s="233"/>
      <c r="JTR312" s="234"/>
      <c r="JTS312" s="234"/>
      <c r="JTT312" s="242"/>
      <c r="JTU312" s="234"/>
      <c r="JTV312" s="234"/>
      <c r="JTW312" s="234"/>
      <c r="JTX312" s="236"/>
      <c r="JTY312" s="244"/>
      <c r="JTZ312" s="239"/>
      <c r="JUA312" s="240"/>
      <c r="JUB312" s="241"/>
      <c r="JUC312" s="239"/>
      <c r="JUD312" s="239"/>
      <c r="JUE312" s="239"/>
      <c r="JUF312" s="239"/>
      <c r="JUG312" s="239"/>
      <c r="JUH312" s="239"/>
      <c r="JUI312" s="233"/>
      <c r="JUJ312" s="235"/>
      <c r="JUK312" s="233"/>
      <c r="JUL312" s="234"/>
      <c r="JUM312" s="234"/>
      <c r="JUN312" s="242"/>
      <c r="JUO312" s="234"/>
      <c r="JUP312" s="234"/>
      <c r="JUQ312" s="234"/>
      <c r="JUR312" s="236"/>
      <c r="JUS312" s="244"/>
      <c r="JUT312" s="239"/>
      <c r="JUU312" s="240"/>
      <c r="JUV312" s="241"/>
      <c r="JUW312" s="239"/>
      <c r="JUX312" s="239"/>
      <c r="JUY312" s="239"/>
      <c r="JUZ312" s="239"/>
      <c r="JVA312" s="239"/>
      <c r="JVB312" s="239"/>
      <c r="JVC312" s="233"/>
      <c r="JVD312" s="235"/>
      <c r="JVE312" s="233"/>
      <c r="JVF312" s="234"/>
      <c r="JVG312" s="234"/>
      <c r="JVH312" s="242"/>
      <c r="JVI312" s="234"/>
      <c r="JVJ312" s="234"/>
      <c r="JVK312" s="234"/>
      <c r="JVL312" s="236"/>
      <c r="JVM312" s="244"/>
      <c r="JVN312" s="239"/>
      <c r="JVO312" s="240"/>
      <c r="JVP312" s="241"/>
      <c r="JVQ312" s="239"/>
      <c r="JVR312" s="239"/>
      <c r="JVS312" s="239"/>
      <c r="JVT312" s="239"/>
      <c r="JVU312" s="239"/>
      <c r="JVV312" s="239"/>
      <c r="JVW312" s="233"/>
      <c r="JVX312" s="235"/>
      <c r="JVY312" s="233"/>
      <c r="JVZ312" s="234"/>
      <c r="JWA312" s="234"/>
      <c r="JWB312" s="242"/>
      <c r="JWC312" s="234"/>
      <c r="JWD312" s="234"/>
      <c r="JWE312" s="234"/>
      <c r="JWF312" s="236"/>
      <c r="JWG312" s="244"/>
      <c r="JWH312" s="239"/>
      <c r="JWI312" s="240"/>
      <c r="JWJ312" s="241"/>
      <c r="JWK312" s="239"/>
      <c r="JWL312" s="239"/>
      <c r="JWM312" s="239"/>
      <c r="JWN312" s="239"/>
      <c r="JWO312" s="239"/>
      <c r="JWP312" s="239"/>
      <c r="JWQ312" s="233"/>
      <c r="JWR312" s="235"/>
      <c r="JWS312" s="233"/>
      <c r="JWT312" s="234"/>
      <c r="JWU312" s="234"/>
      <c r="JWV312" s="242"/>
      <c r="JWW312" s="234"/>
      <c r="JWX312" s="234"/>
      <c r="JWY312" s="234"/>
      <c r="JWZ312" s="236"/>
      <c r="JXA312" s="244"/>
      <c r="JXB312" s="239"/>
      <c r="JXC312" s="240"/>
      <c r="JXD312" s="241"/>
      <c r="JXE312" s="239"/>
      <c r="JXF312" s="239"/>
      <c r="JXG312" s="239"/>
      <c r="JXH312" s="239"/>
      <c r="JXI312" s="239"/>
      <c r="JXJ312" s="239"/>
      <c r="JXK312" s="233"/>
      <c r="JXL312" s="235"/>
      <c r="JXM312" s="233"/>
      <c r="JXN312" s="234"/>
      <c r="JXO312" s="234"/>
      <c r="JXP312" s="242"/>
      <c r="JXQ312" s="234"/>
      <c r="JXR312" s="234"/>
      <c r="JXS312" s="234"/>
      <c r="JXT312" s="236"/>
      <c r="JXU312" s="244"/>
      <c r="JXV312" s="239"/>
      <c r="JXW312" s="240"/>
      <c r="JXX312" s="241"/>
      <c r="JXY312" s="239"/>
      <c r="JXZ312" s="239"/>
      <c r="JYA312" s="239"/>
      <c r="JYB312" s="239"/>
      <c r="JYC312" s="239"/>
      <c r="JYD312" s="239"/>
      <c r="JYE312" s="233"/>
      <c r="JYF312" s="235"/>
      <c r="JYG312" s="233"/>
      <c r="JYH312" s="234"/>
      <c r="JYI312" s="234"/>
      <c r="JYJ312" s="242"/>
      <c r="JYK312" s="234"/>
      <c r="JYL312" s="234"/>
      <c r="JYM312" s="234"/>
      <c r="JYN312" s="236"/>
      <c r="JYO312" s="244"/>
      <c r="JYP312" s="239"/>
      <c r="JYQ312" s="240"/>
      <c r="JYR312" s="241"/>
      <c r="JYS312" s="239"/>
      <c r="JYT312" s="239"/>
      <c r="JYU312" s="239"/>
      <c r="JYV312" s="239"/>
      <c r="JYW312" s="239"/>
      <c r="JYX312" s="239"/>
      <c r="JYY312" s="233"/>
      <c r="JYZ312" s="235"/>
      <c r="JZA312" s="233"/>
      <c r="JZB312" s="234"/>
      <c r="JZC312" s="234"/>
      <c r="JZD312" s="242"/>
      <c r="JZE312" s="234"/>
      <c r="JZF312" s="234"/>
      <c r="JZG312" s="234"/>
      <c r="JZH312" s="236"/>
      <c r="JZI312" s="244"/>
      <c r="JZJ312" s="239"/>
      <c r="JZK312" s="240"/>
      <c r="JZL312" s="241"/>
      <c r="JZM312" s="239"/>
      <c r="JZN312" s="239"/>
      <c r="JZO312" s="239"/>
      <c r="JZP312" s="239"/>
      <c r="JZQ312" s="239"/>
      <c r="JZR312" s="239"/>
      <c r="JZS312" s="233"/>
      <c r="JZT312" s="235"/>
      <c r="JZU312" s="233"/>
      <c r="JZV312" s="234"/>
      <c r="JZW312" s="234"/>
      <c r="JZX312" s="242"/>
      <c r="JZY312" s="234"/>
      <c r="JZZ312" s="234"/>
      <c r="KAA312" s="234"/>
      <c r="KAB312" s="236"/>
      <c r="KAC312" s="244"/>
      <c r="KAD312" s="239"/>
      <c r="KAE312" s="240"/>
      <c r="KAF312" s="241"/>
      <c r="KAG312" s="239"/>
      <c r="KAH312" s="239"/>
      <c r="KAI312" s="239"/>
      <c r="KAJ312" s="239"/>
      <c r="KAK312" s="239"/>
      <c r="KAL312" s="239"/>
      <c r="KAM312" s="233"/>
      <c r="KAN312" s="235"/>
      <c r="KAO312" s="233"/>
      <c r="KAP312" s="234"/>
      <c r="KAQ312" s="234"/>
      <c r="KAR312" s="242"/>
      <c r="KAS312" s="234"/>
      <c r="KAT312" s="234"/>
      <c r="KAU312" s="234"/>
      <c r="KAV312" s="236"/>
      <c r="KAW312" s="244"/>
      <c r="KAX312" s="239"/>
      <c r="KAY312" s="240"/>
      <c r="KAZ312" s="241"/>
      <c r="KBA312" s="239"/>
      <c r="KBB312" s="239"/>
      <c r="KBC312" s="239"/>
      <c r="KBD312" s="239"/>
      <c r="KBE312" s="239"/>
      <c r="KBF312" s="239"/>
      <c r="KBG312" s="233"/>
      <c r="KBH312" s="235"/>
      <c r="KBI312" s="233"/>
      <c r="KBJ312" s="234"/>
      <c r="KBK312" s="234"/>
      <c r="KBL312" s="242"/>
      <c r="KBM312" s="234"/>
      <c r="KBN312" s="234"/>
      <c r="KBO312" s="234"/>
      <c r="KBP312" s="236"/>
      <c r="KBQ312" s="244"/>
      <c r="KBR312" s="239"/>
      <c r="KBS312" s="240"/>
      <c r="KBT312" s="241"/>
      <c r="KBU312" s="239"/>
      <c r="KBV312" s="239"/>
      <c r="KBW312" s="239"/>
      <c r="KBX312" s="239"/>
      <c r="KBY312" s="239"/>
      <c r="KBZ312" s="239"/>
      <c r="KCA312" s="233"/>
      <c r="KCB312" s="235"/>
      <c r="KCC312" s="233"/>
      <c r="KCD312" s="234"/>
      <c r="KCE312" s="234"/>
      <c r="KCF312" s="242"/>
      <c r="KCG312" s="234"/>
      <c r="KCH312" s="234"/>
      <c r="KCI312" s="234"/>
      <c r="KCJ312" s="236"/>
      <c r="KCK312" s="244"/>
      <c r="KCL312" s="239"/>
      <c r="KCM312" s="240"/>
      <c r="KCN312" s="241"/>
      <c r="KCO312" s="239"/>
      <c r="KCP312" s="239"/>
      <c r="KCQ312" s="239"/>
      <c r="KCR312" s="239"/>
      <c r="KCS312" s="239"/>
      <c r="KCT312" s="239"/>
      <c r="KCU312" s="233"/>
      <c r="KCV312" s="235"/>
      <c r="KCW312" s="233"/>
      <c r="KCX312" s="234"/>
      <c r="KCY312" s="234"/>
      <c r="KCZ312" s="242"/>
      <c r="KDA312" s="234"/>
      <c r="KDB312" s="234"/>
      <c r="KDC312" s="234"/>
      <c r="KDD312" s="236"/>
      <c r="KDE312" s="244"/>
      <c r="KDF312" s="239"/>
      <c r="KDG312" s="240"/>
      <c r="KDH312" s="241"/>
      <c r="KDI312" s="239"/>
      <c r="KDJ312" s="239"/>
      <c r="KDK312" s="239"/>
      <c r="KDL312" s="239"/>
      <c r="KDM312" s="239"/>
      <c r="KDN312" s="239"/>
      <c r="KDO312" s="233"/>
      <c r="KDP312" s="235"/>
      <c r="KDQ312" s="233"/>
      <c r="KDR312" s="234"/>
      <c r="KDS312" s="234"/>
      <c r="KDT312" s="242"/>
      <c r="KDU312" s="234"/>
      <c r="KDV312" s="234"/>
      <c r="KDW312" s="234"/>
      <c r="KDX312" s="236"/>
      <c r="KDY312" s="244"/>
      <c r="KDZ312" s="239"/>
      <c r="KEA312" s="240"/>
      <c r="KEB312" s="241"/>
      <c r="KEC312" s="239"/>
      <c r="KED312" s="239"/>
      <c r="KEE312" s="239"/>
      <c r="KEF312" s="239"/>
      <c r="KEG312" s="239"/>
      <c r="KEH312" s="239"/>
      <c r="KEI312" s="233"/>
      <c r="KEJ312" s="235"/>
      <c r="KEK312" s="233"/>
      <c r="KEL312" s="234"/>
      <c r="KEM312" s="234"/>
      <c r="KEN312" s="242"/>
      <c r="KEO312" s="234"/>
      <c r="KEP312" s="234"/>
      <c r="KEQ312" s="234"/>
      <c r="KER312" s="236"/>
      <c r="KES312" s="244"/>
      <c r="KET312" s="239"/>
      <c r="KEU312" s="240"/>
      <c r="KEV312" s="241"/>
      <c r="KEW312" s="239"/>
      <c r="KEX312" s="239"/>
      <c r="KEY312" s="239"/>
      <c r="KEZ312" s="239"/>
      <c r="KFA312" s="239"/>
      <c r="KFB312" s="239"/>
      <c r="KFC312" s="233"/>
      <c r="KFD312" s="235"/>
      <c r="KFE312" s="233"/>
      <c r="KFF312" s="234"/>
      <c r="KFG312" s="234"/>
      <c r="KFH312" s="242"/>
      <c r="KFI312" s="234"/>
      <c r="KFJ312" s="234"/>
      <c r="KFK312" s="234"/>
      <c r="KFL312" s="236"/>
      <c r="KFM312" s="244"/>
      <c r="KFN312" s="239"/>
      <c r="KFO312" s="240"/>
      <c r="KFP312" s="241"/>
      <c r="KFQ312" s="239"/>
      <c r="KFR312" s="239"/>
      <c r="KFS312" s="239"/>
      <c r="KFT312" s="239"/>
      <c r="KFU312" s="239"/>
      <c r="KFV312" s="239"/>
      <c r="KFW312" s="233"/>
      <c r="KFX312" s="235"/>
      <c r="KFY312" s="233"/>
      <c r="KFZ312" s="234"/>
      <c r="KGA312" s="234"/>
      <c r="KGB312" s="242"/>
      <c r="KGC312" s="234"/>
      <c r="KGD312" s="234"/>
      <c r="KGE312" s="234"/>
      <c r="KGF312" s="236"/>
      <c r="KGG312" s="244"/>
      <c r="KGH312" s="239"/>
      <c r="KGI312" s="240"/>
      <c r="KGJ312" s="241"/>
      <c r="KGK312" s="239"/>
      <c r="KGL312" s="239"/>
      <c r="KGM312" s="239"/>
      <c r="KGN312" s="239"/>
      <c r="KGO312" s="239"/>
      <c r="KGP312" s="239"/>
      <c r="KGQ312" s="233"/>
      <c r="KGR312" s="235"/>
      <c r="KGS312" s="233"/>
      <c r="KGT312" s="234"/>
      <c r="KGU312" s="234"/>
      <c r="KGV312" s="242"/>
      <c r="KGW312" s="234"/>
      <c r="KGX312" s="234"/>
      <c r="KGY312" s="234"/>
      <c r="KGZ312" s="236"/>
      <c r="KHA312" s="244"/>
      <c r="KHB312" s="239"/>
      <c r="KHC312" s="240"/>
      <c r="KHD312" s="241"/>
      <c r="KHE312" s="239"/>
      <c r="KHF312" s="239"/>
      <c r="KHG312" s="239"/>
      <c r="KHH312" s="239"/>
      <c r="KHI312" s="239"/>
      <c r="KHJ312" s="239"/>
      <c r="KHK312" s="233"/>
      <c r="KHL312" s="235"/>
      <c r="KHM312" s="233"/>
      <c r="KHN312" s="234"/>
      <c r="KHO312" s="234"/>
      <c r="KHP312" s="242"/>
      <c r="KHQ312" s="234"/>
      <c r="KHR312" s="234"/>
      <c r="KHS312" s="234"/>
      <c r="KHT312" s="236"/>
      <c r="KHU312" s="244"/>
      <c r="KHV312" s="239"/>
      <c r="KHW312" s="240"/>
      <c r="KHX312" s="241"/>
      <c r="KHY312" s="239"/>
      <c r="KHZ312" s="239"/>
      <c r="KIA312" s="239"/>
      <c r="KIB312" s="239"/>
      <c r="KIC312" s="239"/>
      <c r="KID312" s="239"/>
      <c r="KIE312" s="233"/>
      <c r="KIF312" s="235"/>
      <c r="KIG312" s="233"/>
      <c r="KIH312" s="234"/>
      <c r="KII312" s="234"/>
      <c r="KIJ312" s="242"/>
      <c r="KIK312" s="234"/>
      <c r="KIL312" s="234"/>
      <c r="KIM312" s="234"/>
      <c r="KIN312" s="236"/>
      <c r="KIO312" s="244"/>
      <c r="KIP312" s="239"/>
      <c r="KIQ312" s="240"/>
      <c r="KIR312" s="241"/>
      <c r="KIS312" s="239"/>
      <c r="KIT312" s="239"/>
      <c r="KIU312" s="239"/>
      <c r="KIV312" s="239"/>
      <c r="KIW312" s="239"/>
      <c r="KIX312" s="239"/>
      <c r="KIY312" s="233"/>
      <c r="KIZ312" s="235"/>
      <c r="KJA312" s="233"/>
      <c r="KJB312" s="234"/>
      <c r="KJC312" s="234"/>
      <c r="KJD312" s="242"/>
      <c r="KJE312" s="234"/>
      <c r="KJF312" s="234"/>
      <c r="KJG312" s="234"/>
      <c r="KJH312" s="236"/>
      <c r="KJI312" s="244"/>
      <c r="KJJ312" s="239"/>
      <c r="KJK312" s="240"/>
      <c r="KJL312" s="241"/>
      <c r="KJM312" s="239"/>
      <c r="KJN312" s="239"/>
      <c r="KJO312" s="239"/>
      <c r="KJP312" s="239"/>
      <c r="KJQ312" s="239"/>
      <c r="KJR312" s="239"/>
      <c r="KJS312" s="233"/>
      <c r="KJT312" s="235"/>
      <c r="KJU312" s="233"/>
      <c r="KJV312" s="234"/>
      <c r="KJW312" s="234"/>
      <c r="KJX312" s="242"/>
      <c r="KJY312" s="234"/>
      <c r="KJZ312" s="234"/>
      <c r="KKA312" s="234"/>
      <c r="KKB312" s="236"/>
      <c r="KKC312" s="244"/>
      <c r="KKD312" s="239"/>
      <c r="KKE312" s="240"/>
      <c r="KKF312" s="241"/>
      <c r="KKG312" s="239"/>
      <c r="KKH312" s="239"/>
      <c r="KKI312" s="239"/>
      <c r="KKJ312" s="239"/>
      <c r="KKK312" s="239"/>
      <c r="KKL312" s="239"/>
      <c r="KKM312" s="233"/>
      <c r="KKN312" s="235"/>
      <c r="KKO312" s="233"/>
      <c r="KKP312" s="234"/>
      <c r="KKQ312" s="234"/>
      <c r="KKR312" s="242"/>
      <c r="KKS312" s="234"/>
      <c r="KKT312" s="234"/>
      <c r="KKU312" s="234"/>
      <c r="KKV312" s="236"/>
      <c r="KKW312" s="244"/>
      <c r="KKX312" s="239"/>
      <c r="KKY312" s="240"/>
      <c r="KKZ312" s="241"/>
      <c r="KLA312" s="239"/>
      <c r="KLB312" s="239"/>
      <c r="KLC312" s="239"/>
      <c r="KLD312" s="239"/>
      <c r="KLE312" s="239"/>
      <c r="KLF312" s="239"/>
      <c r="KLG312" s="233"/>
      <c r="KLH312" s="235"/>
      <c r="KLI312" s="233"/>
      <c r="KLJ312" s="234"/>
      <c r="KLK312" s="234"/>
      <c r="KLL312" s="242"/>
      <c r="KLM312" s="234"/>
      <c r="KLN312" s="234"/>
      <c r="KLO312" s="234"/>
      <c r="KLP312" s="236"/>
      <c r="KLQ312" s="244"/>
      <c r="KLR312" s="239"/>
      <c r="KLS312" s="240"/>
      <c r="KLT312" s="241"/>
      <c r="KLU312" s="239"/>
      <c r="KLV312" s="239"/>
      <c r="KLW312" s="239"/>
      <c r="KLX312" s="239"/>
      <c r="KLY312" s="239"/>
      <c r="KLZ312" s="239"/>
      <c r="KMA312" s="233"/>
      <c r="KMB312" s="235"/>
      <c r="KMC312" s="233"/>
      <c r="KMD312" s="234"/>
      <c r="KME312" s="234"/>
      <c r="KMF312" s="242"/>
      <c r="KMG312" s="234"/>
      <c r="KMH312" s="234"/>
      <c r="KMI312" s="234"/>
      <c r="KMJ312" s="236"/>
      <c r="KMK312" s="244"/>
      <c r="KML312" s="239"/>
      <c r="KMM312" s="240"/>
      <c r="KMN312" s="241"/>
      <c r="KMO312" s="239"/>
      <c r="KMP312" s="239"/>
      <c r="KMQ312" s="239"/>
      <c r="KMR312" s="239"/>
      <c r="KMS312" s="239"/>
      <c r="KMT312" s="239"/>
      <c r="KMU312" s="233"/>
      <c r="KMV312" s="235"/>
      <c r="KMW312" s="233"/>
      <c r="KMX312" s="234"/>
      <c r="KMY312" s="234"/>
      <c r="KMZ312" s="242"/>
      <c r="KNA312" s="234"/>
      <c r="KNB312" s="234"/>
      <c r="KNC312" s="234"/>
      <c r="KND312" s="236"/>
      <c r="KNE312" s="244"/>
      <c r="KNF312" s="239"/>
      <c r="KNG312" s="240"/>
      <c r="KNH312" s="241"/>
      <c r="KNI312" s="239"/>
      <c r="KNJ312" s="239"/>
      <c r="KNK312" s="239"/>
      <c r="KNL312" s="239"/>
      <c r="KNM312" s="239"/>
      <c r="KNN312" s="239"/>
      <c r="KNO312" s="233"/>
      <c r="KNP312" s="235"/>
      <c r="KNQ312" s="233"/>
      <c r="KNR312" s="234"/>
      <c r="KNS312" s="234"/>
      <c r="KNT312" s="242"/>
      <c r="KNU312" s="234"/>
      <c r="KNV312" s="234"/>
      <c r="KNW312" s="234"/>
      <c r="KNX312" s="236"/>
      <c r="KNY312" s="244"/>
      <c r="KNZ312" s="239"/>
      <c r="KOA312" s="240"/>
      <c r="KOB312" s="241"/>
      <c r="KOC312" s="239"/>
      <c r="KOD312" s="239"/>
      <c r="KOE312" s="239"/>
      <c r="KOF312" s="239"/>
      <c r="KOG312" s="239"/>
      <c r="KOH312" s="239"/>
      <c r="KOI312" s="233"/>
      <c r="KOJ312" s="235"/>
      <c r="KOK312" s="233"/>
      <c r="KOL312" s="234"/>
      <c r="KOM312" s="234"/>
      <c r="KON312" s="242"/>
      <c r="KOO312" s="234"/>
      <c r="KOP312" s="234"/>
      <c r="KOQ312" s="234"/>
      <c r="KOR312" s="236"/>
      <c r="KOS312" s="244"/>
      <c r="KOT312" s="239"/>
      <c r="KOU312" s="240"/>
      <c r="KOV312" s="241"/>
      <c r="KOW312" s="239"/>
      <c r="KOX312" s="239"/>
      <c r="KOY312" s="239"/>
      <c r="KOZ312" s="239"/>
      <c r="KPA312" s="239"/>
      <c r="KPB312" s="239"/>
      <c r="KPC312" s="233"/>
      <c r="KPD312" s="235"/>
      <c r="KPE312" s="233"/>
      <c r="KPF312" s="234"/>
      <c r="KPG312" s="234"/>
      <c r="KPH312" s="242"/>
      <c r="KPI312" s="234"/>
      <c r="KPJ312" s="234"/>
      <c r="KPK312" s="234"/>
      <c r="KPL312" s="236"/>
      <c r="KPM312" s="244"/>
      <c r="KPN312" s="239"/>
      <c r="KPO312" s="240"/>
      <c r="KPP312" s="241"/>
      <c r="KPQ312" s="239"/>
      <c r="KPR312" s="239"/>
      <c r="KPS312" s="239"/>
      <c r="KPT312" s="239"/>
      <c r="KPU312" s="239"/>
      <c r="KPV312" s="239"/>
      <c r="KPW312" s="233"/>
      <c r="KPX312" s="235"/>
      <c r="KPY312" s="233"/>
      <c r="KPZ312" s="234"/>
      <c r="KQA312" s="234"/>
      <c r="KQB312" s="242"/>
      <c r="KQC312" s="234"/>
      <c r="KQD312" s="234"/>
      <c r="KQE312" s="234"/>
      <c r="KQF312" s="236"/>
      <c r="KQG312" s="244"/>
      <c r="KQH312" s="239"/>
      <c r="KQI312" s="240"/>
      <c r="KQJ312" s="241"/>
      <c r="KQK312" s="239"/>
      <c r="KQL312" s="239"/>
      <c r="KQM312" s="239"/>
      <c r="KQN312" s="239"/>
      <c r="KQO312" s="239"/>
      <c r="KQP312" s="239"/>
      <c r="KQQ312" s="233"/>
      <c r="KQR312" s="235"/>
      <c r="KQS312" s="233"/>
      <c r="KQT312" s="234"/>
      <c r="KQU312" s="234"/>
      <c r="KQV312" s="242"/>
      <c r="KQW312" s="234"/>
      <c r="KQX312" s="234"/>
      <c r="KQY312" s="234"/>
      <c r="KQZ312" s="236"/>
      <c r="KRA312" s="244"/>
      <c r="KRB312" s="239"/>
      <c r="KRC312" s="240"/>
      <c r="KRD312" s="241"/>
      <c r="KRE312" s="239"/>
      <c r="KRF312" s="239"/>
      <c r="KRG312" s="239"/>
      <c r="KRH312" s="239"/>
      <c r="KRI312" s="239"/>
      <c r="KRJ312" s="239"/>
      <c r="KRK312" s="233"/>
      <c r="KRL312" s="235"/>
      <c r="KRM312" s="233"/>
      <c r="KRN312" s="234"/>
      <c r="KRO312" s="234"/>
      <c r="KRP312" s="242"/>
      <c r="KRQ312" s="234"/>
      <c r="KRR312" s="234"/>
      <c r="KRS312" s="234"/>
      <c r="KRT312" s="236"/>
      <c r="KRU312" s="244"/>
      <c r="KRV312" s="239"/>
      <c r="KRW312" s="240"/>
      <c r="KRX312" s="241"/>
      <c r="KRY312" s="239"/>
      <c r="KRZ312" s="239"/>
      <c r="KSA312" s="239"/>
      <c r="KSB312" s="239"/>
      <c r="KSC312" s="239"/>
      <c r="KSD312" s="239"/>
      <c r="KSE312" s="233"/>
      <c r="KSF312" s="235"/>
      <c r="KSG312" s="233"/>
      <c r="KSH312" s="234"/>
      <c r="KSI312" s="234"/>
      <c r="KSJ312" s="242"/>
      <c r="KSK312" s="234"/>
      <c r="KSL312" s="234"/>
      <c r="KSM312" s="234"/>
      <c r="KSN312" s="236"/>
      <c r="KSO312" s="244"/>
      <c r="KSP312" s="239"/>
      <c r="KSQ312" s="240"/>
      <c r="KSR312" s="241"/>
      <c r="KSS312" s="239"/>
      <c r="KST312" s="239"/>
      <c r="KSU312" s="239"/>
      <c r="KSV312" s="239"/>
      <c r="KSW312" s="239"/>
      <c r="KSX312" s="239"/>
      <c r="KSY312" s="233"/>
      <c r="KSZ312" s="235"/>
      <c r="KTA312" s="233"/>
      <c r="KTB312" s="234"/>
      <c r="KTC312" s="234"/>
      <c r="KTD312" s="242"/>
      <c r="KTE312" s="234"/>
      <c r="KTF312" s="234"/>
      <c r="KTG312" s="234"/>
      <c r="KTH312" s="236"/>
      <c r="KTI312" s="244"/>
      <c r="KTJ312" s="239"/>
      <c r="KTK312" s="240"/>
      <c r="KTL312" s="241"/>
      <c r="KTM312" s="239"/>
      <c r="KTN312" s="239"/>
      <c r="KTO312" s="239"/>
      <c r="KTP312" s="239"/>
      <c r="KTQ312" s="239"/>
      <c r="KTR312" s="239"/>
      <c r="KTS312" s="233"/>
      <c r="KTT312" s="235"/>
      <c r="KTU312" s="233"/>
      <c r="KTV312" s="234"/>
      <c r="KTW312" s="234"/>
      <c r="KTX312" s="242"/>
      <c r="KTY312" s="234"/>
      <c r="KTZ312" s="234"/>
      <c r="KUA312" s="234"/>
      <c r="KUB312" s="236"/>
      <c r="KUC312" s="244"/>
      <c r="KUD312" s="239"/>
      <c r="KUE312" s="240"/>
      <c r="KUF312" s="241"/>
      <c r="KUG312" s="239"/>
      <c r="KUH312" s="239"/>
      <c r="KUI312" s="239"/>
      <c r="KUJ312" s="239"/>
      <c r="KUK312" s="239"/>
      <c r="KUL312" s="239"/>
      <c r="KUM312" s="233"/>
      <c r="KUN312" s="235"/>
      <c r="KUO312" s="233"/>
      <c r="KUP312" s="234"/>
      <c r="KUQ312" s="234"/>
      <c r="KUR312" s="242"/>
      <c r="KUS312" s="234"/>
      <c r="KUT312" s="234"/>
      <c r="KUU312" s="234"/>
      <c r="KUV312" s="236"/>
      <c r="KUW312" s="244"/>
      <c r="KUX312" s="239"/>
      <c r="KUY312" s="240"/>
      <c r="KUZ312" s="241"/>
      <c r="KVA312" s="239"/>
      <c r="KVB312" s="239"/>
      <c r="KVC312" s="239"/>
      <c r="KVD312" s="239"/>
      <c r="KVE312" s="239"/>
      <c r="KVF312" s="239"/>
      <c r="KVG312" s="233"/>
      <c r="KVH312" s="235"/>
      <c r="KVI312" s="233"/>
      <c r="KVJ312" s="234"/>
      <c r="KVK312" s="234"/>
      <c r="KVL312" s="242"/>
      <c r="KVM312" s="234"/>
      <c r="KVN312" s="234"/>
      <c r="KVO312" s="234"/>
      <c r="KVP312" s="236"/>
      <c r="KVQ312" s="244"/>
      <c r="KVR312" s="239"/>
      <c r="KVS312" s="240"/>
      <c r="KVT312" s="241"/>
      <c r="KVU312" s="239"/>
      <c r="KVV312" s="239"/>
      <c r="KVW312" s="239"/>
      <c r="KVX312" s="239"/>
      <c r="KVY312" s="239"/>
      <c r="KVZ312" s="239"/>
      <c r="KWA312" s="233"/>
      <c r="KWB312" s="235"/>
      <c r="KWC312" s="233"/>
      <c r="KWD312" s="234"/>
      <c r="KWE312" s="234"/>
      <c r="KWF312" s="242"/>
      <c r="KWG312" s="234"/>
      <c r="KWH312" s="234"/>
      <c r="KWI312" s="234"/>
      <c r="KWJ312" s="236"/>
      <c r="KWK312" s="244"/>
      <c r="KWL312" s="239"/>
      <c r="KWM312" s="240"/>
      <c r="KWN312" s="241"/>
      <c r="KWO312" s="239"/>
      <c r="KWP312" s="239"/>
      <c r="KWQ312" s="239"/>
      <c r="KWR312" s="239"/>
      <c r="KWS312" s="239"/>
      <c r="KWT312" s="239"/>
      <c r="KWU312" s="233"/>
      <c r="KWV312" s="235"/>
      <c r="KWW312" s="233"/>
      <c r="KWX312" s="234"/>
      <c r="KWY312" s="234"/>
      <c r="KWZ312" s="242"/>
      <c r="KXA312" s="234"/>
      <c r="KXB312" s="234"/>
      <c r="KXC312" s="234"/>
      <c r="KXD312" s="236"/>
      <c r="KXE312" s="244"/>
      <c r="KXF312" s="239"/>
      <c r="KXG312" s="240"/>
      <c r="KXH312" s="241"/>
      <c r="KXI312" s="239"/>
      <c r="KXJ312" s="239"/>
      <c r="KXK312" s="239"/>
      <c r="KXL312" s="239"/>
      <c r="KXM312" s="239"/>
      <c r="KXN312" s="239"/>
      <c r="KXO312" s="233"/>
      <c r="KXP312" s="235"/>
      <c r="KXQ312" s="233"/>
      <c r="KXR312" s="234"/>
      <c r="KXS312" s="234"/>
      <c r="KXT312" s="242"/>
      <c r="KXU312" s="234"/>
      <c r="KXV312" s="234"/>
      <c r="KXW312" s="234"/>
      <c r="KXX312" s="236"/>
      <c r="KXY312" s="244"/>
      <c r="KXZ312" s="239"/>
      <c r="KYA312" s="240"/>
      <c r="KYB312" s="241"/>
      <c r="KYC312" s="239"/>
      <c r="KYD312" s="239"/>
      <c r="KYE312" s="239"/>
      <c r="KYF312" s="239"/>
      <c r="KYG312" s="239"/>
      <c r="KYH312" s="239"/>
      <c r="KYI312" s="233"/>
      <c r="KYJ312" s="235"/>
      <c r="KYK312" s="233"/>
      <c r="KYL312" s="234"/>
      <c r="KYM312" s="234"/>
      <c r="KYN312" s="242"/>
      <c r="KYO312" s="234"/>
      <c r="KYP312" s="234"/>
      <c r="KYQ312" s="234"/>
      <c r="KYR312" s="236"/>
      <c r="KYS312" s="244"/>
      <c r="KYT312" s="239"/>
      <c r="KYU312" s="240"/>
      <c r="KYV312" s="241"/>
      <c r="KYW312" s="239"/>
      <c r="KYX312" s="239"/>
      <c r="KYY312" s="239"/>
      <c r="KYZ312" s="239"/>
      <c r="KZA312" s="239"/>
      <c r="KZB312" s="239"/>
      <c r="KZC312" s="233"/>
      <c r="KZD312" s="235"/>
      <c r="KZE312" s="233"/>
      <c r="KZF312" s="234"/>
      <c r="KZG312" s="234"/>
      <c r="KZH312" s="242"/>
      <c r="KZI312" s="234"/>
      <c r="KZJ312" s="234"/>
      <c r="KZK312" s="234"/>
      <c r="KZL312" s="236"/>
      <c r="KZM312" s="244"/>
      <c r="KZN312" s="239"/>
      <c r="KZO312" s="240"/>
      <c r="KZP312" s="241"/>
      <c r="KZQ312" s="239"/>
      <c r="KZR312" s="239"/>
      <c r="KZS312" s="239"/>
      <c r="KZT312" s="239"/>
      <c r="KZU312" s="239"/>
      <c r="KZV312" s="239"/>
      <c r="KZW312" s="233"/>
      <c r="KZX312" s="235"/>
      <c r="KZY312" s="233"/>
      <c r="KZZ312" s="234"/>
      <c r="LAA312" s="234"/>
      <c r="LAB312" s="242"/>
      <c r="LAC312" s="234"/>
      <c r="LAD312" s="234"/>
      <c r="LAE312" s="234"/>
      <c r="LAF312" s="236"/>
      <c r="LAG312" s="244"/>
      <c r="LAH312" s="239"/>
      <c r="LAI312" s="240"/>
      <c r="LAJ312" s="241"/>
      <c r="LAK312" s="239"/>
      <c r="LAL312" s="239"/>
      <c r="LAM312" s="239"/>
      <c r="LAN312" s="239"/>
      <c r="LAO312" s="239"/>
      <c r="LAP312" s="239"/>
      <c r="LAQ312" s="233"/>
      <c r="LAR312" s="235"/>
      <c r="LAS312" s="233"/>
      <c r="LAT312" s="234"/>
      <c r="LAU312" s="234"/>
      <c r="LAV312" s="242"/>
      <c r="LAW312" s="234"/>
      <c r="LAX312" s="234"/>
      <c r="LAY312" s="234"/>
      <c r="LAZ312" s="236"/>
      <c r="LBA312" s="244"/>
      <c r="LBB312" s="239"/>
      <c r="LBC312" s="240"/>
      <c r="LBD312" s="241"/>
      <c r="LBE312" s="239"/>
      <c r="LBF312" s="239"/>
      <c r="LBG312" s="239"/>
      <c r="LBH312" s="239"/>
      <c r="LBI312" s="239"/>
      <c r="LBJ312" s="239"/>
      <c r="LBK312" s="233"/>
      <c r="LBL312" s="235"/>
      <c r="LBM312" s="233"/>
      <c r="LBN312" s="234"/>
      <c r="LBO312" s="234"/>
      <c r="LBP312" s="242"/>
      <c r="LBQ312" s="234"/>
      <c r="LBR312" s="234"/>
      <c r="LBS312" s="234"/>
      <c r="LBT312" s="236"/>
      <c r="LBU312" s="244"/>
      <c r="LBV312" s="239"/>
      <c r="LBW312" s="240"/>
      <c r="LBX312" s="241"/>
      <c r="LBY312" s="239"/>
      <c r="LBZ312" s="239"/>
      <c r="LCA312" s="239"/>
      <c r="LCB312" s="239"/>
      <c r="LCC312" s="239"/>
      <c r="LCD312" s="239"/>
      <c r="LCE312" s="233"/>
      <c r="LCF312" s="235"/>
      <c r="LCG312" s="233"/>
      <c r="LCH312" s="234"/>
      <c r="LCI312" s="234"/>
      <c r="LCJ312" s="242"/>
      <c r="LCK312" s="234"/>
      <c r="LCL312" s="234"/>
      <c r="LCM312" s="234"/>
      <c r="LCN312" s="236"/>
      <c r="LCO312" s="244"/>
      <c r="LCP312" s="239"/>
      <c r="LCQ312" s="240"/>
      <c r="LCR312" s="241"/>
      <c r="LCS312" s="239"/>
      <c r="LCT312" s="239"/>
      <c r="LCU312" s="239"/>
      <c r="LCV312" s="239"/>
      <c r="LCW312" s="239"/>
      <c r="LCX312" s="239"/>
      <c r="LCY312" s="233"/>
      <c r="LCZ312" s="235"/>
      <c r="LDA312" s="233"/>
      <c r="LDB312" s="234"/>
      <c r="LDC312" s="234"/>
      <c r="LDD312" s="242"/>
      <c r="LDE312" s="234"/>
      <c r="LDF312" s="234"/>
      <c r="LDG312" s="234"/>
      <c r="LDH312" s="236"/>
      <c r="LDI312" s="244"/>
      <c r="LDJ312" s="239"/>
      <c r="LDK312" s="240"/>
      <c r="LDL312" s="241"/>
      <c r="LDM312" s="239"/>
      <c r="LDN312" s="239"/>
      <c r="LDO312" s="239"/>
      <c r="LDP312" s="239"/>
      <c r="LDQ312" s="239"/>
      <c r="LDR312" s="239"/>
      <c r="LDS312" s="233"/>
      <c r="LDT312" s="235"/>
      <c r="LDU312" s="233"/>
      <c r="LDV312" s="234"/>
      <c r="LDW312" s="234"/>
      <c r="LDX312" s="242"/>
      <c r="LDY312" s="234"/>
      <c r="LDZ312" s="234"/>
      <c r="LEA312" s="234"/>
      <c r="LEB312" s="236"/>
      <c r="LEC312" s="244"/>
      <c r="LED312" s="239"/>
      <c r="LEE312" s="240"/>
      <c r="LEF312" s="241"/>
      <c r="LEG312" s="239"/>
      <c r="LEH312" s="239"/>
      <c r="LEI312" s="239"/>
      <c r="LEJ312" s="239"/>
      <c r="LEK312" s="239"/>
      <c r="LEL312" s="239"/>
      <c r="LEM312" s="233"/>
      <c r="LEN312" s="235"/>
      <c r="LEO312" s="233"/>
      <c r="LEP312" s="234"/>
      <c r="LEQ312" s="234"/>
      <c r="LER312" s="242"/>
      <c r="LES312" s="234"/>
      <c r="LET312" s="234"/>
      <c r="LEU312" s="234"/>
      <c r="LEV312" s="236"/>
      <c r="LEW312" s="244"/>
      <c r="LEX312" s="239"/>
      <c r="LEY312" s="240"/>
      <c r="LEZ312" s="241"/>
      <c r="LFA312" s="239"/>
      <c r="LFB312" s="239"/>
      <c r="LFC312" s="239"/>
      <c r="LFD312" s="239"/>
      <c r="LFE312" s="239"/>
      <c r="LFF312" s="239"/>
      <c r="LFG312" s="233"/>
      <c r="LFH312" s="235"/>
      <c r="LFI312" s="233"/>
      <c r="LFJ312" s="234"/>
      <c r="LFK312" s="234"/>
      <c r="LFL312" s="242"/>
      <c r="LFM312" s="234"/>
      <c r="LFN312" s="234"/>
      <c r="LFO312" s="234"/>
      <c r="LFP312" s="236"/>
      <c r="LFQ312" s="244"/>
      <c r="LFR312" s="239"/>
      <c r="LFS312" s="240"/>
      <c r="LFT312" s="241"/>
      <c r="LFU312" s="239"/>
      <c r="LFV312" s="239"/>
      <c r="LFW312" s="239"/>
      <c r="LFX312" s="239"/>
      <c r="LFY312" s="239"/>
      <c r="LFZ312" s="239"/>
      <c r="LGA312" s="233"/>
      <c r="LGB312" s="235"/>
      <c r="LGC312" s="233"/>
      <c r="LGD312" s="234"/>
      <c r="LGE312" s="234"/>
      <c r="LGF312" s="242"/>
      <c r="LGG312" s="234"/>
      <c r="LGH312" s="234"/>
      <c r="LGI312" s="234"/>
      <c r="LGJ312" s="236"/>
      <c r="LGK312" s="244"/>
      <c r="LGL312" s="239"/>
      <c r="LGM312" s="240"/>
      <c r="LGN312" s="241"/>
      <c r="LGO312" s="239"/>
      <c r="LGP312" s="239"/>
      <c r="LGQ312" s="239"/>
      <c r="LGR312" s="239"/>
      <c r="LGS312" s="239"/>
      <c r="LGT312" s="239"/>
      <c r="LGU312" s="233"/>
      <c r="LGV312" s="235"/>
      <c r="LGW312" s="233"/>
      <c r="LGX312" s="234"/>
      <c r="LGY312" s="234"/>
      <c r="LGZ312" s="242"/>
      <c r="LHA312" s="234"/>
      <c r="LHB312" s="234"/>
      <c r="LHC312" s="234"/>
      <c r="LHD312" s="236"/>
      <c r="LHE312" s="244"/>
      <c r="LHF312" s="239"/>
      <c r="LHG312" s="240"/>
      <c r="LHH312" s="241"/>
      <c r="LHI312" s="239"/>
      <c r="LHJ312" s="239"/>
      <c r="LHK312" s="239"/>
      <c r="LHL312" s="239"/>
      <c r="LHM312" s="239"/>
      <c r="LHN312" s="239"/>
      <c r="LHO312" s="233"/>
      <c r="LHP312" s="235"/>
      <c r="LHQ312" s="233"/>
      <c r="LHR312" s="234"/>
      <c r="LHS312" s="234"/>
      <c r="LHT312" s="242"/>
      <c r="LHU312" s="234"/>
      <c r="LHV312" s="234"/>
      <c r="LHW312" s="234"/>
      <c r="LHX312" s="236"/>
      <c r="LHY312" s="244"/>
      <c r="LHZ312" s="239"/>
      <c r="LIA312" s="240"/>
      <c r="LIB312" s="241"/>
      <c r="LIC312" s="239"/>
      <c r="LID312" s="239"/>
      <c r="LIE312" s="239"/>
      <c r="LIF312" s="239"/>
      <c r="LIG312" s="239"/>
      <c r="LIH312" s="239"/>
      <c r="LII312" s="233"/>
      <c r="LIJ312" s="235"/>
      <c r="LIK312" s="233"/>
      <c r="LIL312" s="234"/>
      <c r="LIM312" s="234"/>
      <c r="LIN312" s="242"/>
      <c r="LIO312" s="234"/>
      <c r="LIP312" s="234"/>
      <c r="LIQ312" s="234"/>
      <c r="LIR312" s="236"/>
      <c r="LIS312" s="244"/>
      <c r="LIT312" s="239"/>
      <c r="LIU312" s="240"/>
      <c r="LIV312" s="241"/>
      <c r="LIW312" s="239"/>
      <c r="LIX312" s="239"/>
      <c r="LIY312" s="239"/>
      <c r="LIZ312" s="239"/>
      <c r="LJA312" s="239"/>
      <c r="LJB312" s="239"/>
      <c r="LJC312" s="233"/>
      <c r="LJD312" s="235"/>
      <c r="LJE312" s="233"/>
      <c r="LJF312" s="234"/>
      <c r="LJG312" s="234"/>
      <c r="LJH312" s="242"/>
      <c r="LJI312" s="234"/>
      <c r="LJJ312" s="234"/>
      <c r="LJK312" s="234"/>
      <c r="LJL312" s="236"/>
      <c r="LJM312" s="244"/>
      <c r="LJN312" s="239"/>
      <c r="LJO312" s="240"/>
      <c r="LJP312" s="241"/>
      <c r="LJQ312" s="239"/>
      <c r="LJR312" s="239"/>
      <c r="LJS312" s="239"/>
      <c r="LJT312" s="239"/>
      <c r="LJU312" s="239"/>
      <c r="LJV312" s="239"/>
      <c r="LJW312" s="233"/>
      <c r="LJX312" s="235"/>
      <c r="LJY312" s="233"/>
      <c r="LJZ312" s="234"/>
      <c r="LKA312" s="234"/>
      <c r="LKB312" s="242"/>
      <c r="LKC312" s="234"/>
      <c r="LKD312" s="234"/>
      <c r="LKE312" s="234"/>
      <c r="LKF312" s="236"/>
      <c r="LKG312" s="244"/>
      <c r="LKH312" s="239"/>
      <c r="LKI312" s="240"/>
      <c r="LKJ312" s="241"/>
      <c r="LKK312" s="239"/>
      <c r="LKL312" s="239"/>
      <c r="LKM312" s="239"/>
      <c r="LKN312" s="239"/>
      <c r="LKO312" s="239"/>
      <c r="LKP312" s="239"/>
      <c r="LKQ312" s="233"/>
      <c r="LKR312" s="235"/>
      <c r="LKS312" s="233"/>
      <c r="LKT312" s="234"/>
      <c r="LKU312" s="234"/>
      <c r="LKV312" s="242"/>
      <c r="LKW312" s="234"/>
      <c r="LKX312" s="234"/>
      <c r="LKY312" s="234"/>
      <c r="LKZ312" s="236"/>
      <c r="LLA312" s="244"/>
      <c r="LLB312" s="239"/>
      <c r="LLC312" s="240"/>
      <c r="LLD312" s="241"/>
      <c r="LLE312" s="239"/>
      <c r="LLF312" s="239"/>
      <c r="LLG312" s="239"/>
      <c r="LLH312" s="239"/>
      <c r="LLI312" s="239"/>
      <c r="LLJ312" s="239"/>
      <c r="LLK312" s="233"/>
      <c r="LLL312" s="235"/>
      <c r="LLM312" s="233"/>
      <c r="LLN312" s="234"/>
      <c r="LLO312" s="234"/>
      <c r="LLP312" s="242"/>
      <c r="LLQ312" s="234"/>
      <c r="LLR312" s="234"/>
      <c r="LLS312" s="234"/>
      <c r="LLT312" s="236"/>
      <c r="LLU312" s="244"/>
      <c r="LLV312" s="239"/>
      <c r="LLW312" s="240"/>
      <c r="LLX312" s="241"/>
      <c r="LLY312" s="239"/>
      <c r="LLZ312" s="239"/>
      <c r="LMA312" s="239"/>
      <c r="LMB312" s="239"/>
      <c r="LMC312" s="239"/>
      <c r="LMD312" s="239"/>
      <c r="LME312" s="233"/>
      <c r="LMF312" s="235"/>
      <c r="LMG312" s="233"/>
      <c r="LMH312" s="234"/>
      <c r="LMI312" s="234"/>
      <c r="LMJ312" s="242"/>
      <c r="LMK312" s="234"/>
      <c r="LML312" s="234"/>
      <c r="LMM312" s="234"/>
      <c r="LMN312" s="236"/>
      <c r="LMO312" s="244"/>
      <c r="LMP312" s="239"/>
      <c r="LMQ312" s="240"/>
      <c r="LMR312" s="241"/>
      <c r="LMS312" s="239"/>
      <c r="LMT312" s="239"/>
      <c r="LMU312" s="239"/>
      <c r="LMV312" s="239"/>
      <c r="LMW312" s="239"/>
      <c r="LMX312" s="239"/>
      <c r="LMY312" s="233"/>
      <c r="LMZ312" s="235"/>
      <c r="LNA312" s="233"/>
      <c r="LNB312" s="234"/>
      <c r="LNC312" s="234"/>
      <c r="LND312" s="242"/>
      <c r="LNE312" s="234"/>
      <c r="LNF312" s="234"/>
      <c r="LNG312" s="234"/>
      <c r="LNH312" s="236"/>
      <c r="LNI312" s="244"/>
      <c r="LNJ312" s="239"/>
      <c r="LNK312" s="240"/>
      <c r="LNL312" s="241"/>
      <c r="LNM312" s="239"/>
      <c r="LNN312" s="239"/>
      <c r="LNO312" s="239"/>
      <c r="LNP312" s="239"/>
      <c r="LNQ312" s="239"/>
      <c r="LNR312" s="239"/>
      <c r="LNS312" s="233"/>
      <c r="LNT312" s="235"/>
      <c r="LNU312" s="233"/>
      <c r="LNV312" s="234"/>
      <c r="LNW312" s="234"/>
      <c r="LNX312" s="242"/>
      <c r="LNY312" s="234"/>
      <c r="LNZ312" s="234"/>
      <c r="LOA312" s="234"/>
      <c r="LOB312" s="236"/>
      <c r="LOC312" s="244"/>
      <c r="LOD312" s="239"/>
      <c r="LOE312" s="240"/>
      <c r="LOF312" s="241"/>
      <c r="LOG312" s="239"/>
      <c r="LOH312" s="239"/>
      <c r="LOI312" s="239"/>
      <c r="LOJ312" s="239"/>
      <c r="LOK312" s="239"/>
      <c r="LOL312" s="239"/>
      <c r="LOM312" s="233"/>
      <c r="LON312" s="235"/>
      <c r="LOO312" s="233"/>
      <c r="LOP312" s="234"/>
      <c r="LOQ312" s="234"/>
      <c r="LOR312" s="242"/>
      <c r="LOS312" s="234"/>
      <c r="LOT312" s="234"/>
      <c r="LOU312" s="234"/>
      <c r="LOV312" s="236"/>
      <c r="LOW312" s="244"/>
      <c r="LOX312" s="239"/>
      <c r="LOY312" s="240"/>
      <c r="LOZ312" s="241"/>
      <c r="LPA312" s="239"/>
      <c r="LPB312" s="239"/>
      <c r="LPC312" s="239"/>
      <c r="LPD312" s="239"/>
      <c r="LPE312" s="239"/>
      <c r="LPF312" s="239"/>
      <c r="LPG312" s="233"/>
      <c r="LPH312" s="235"/>
      <c r="LPI312" s="233"/>
      <c r="LPJ312" s="234"/>
      <c r="LPK312" s="234"/>
      <c r="LPL312" s="242"/>
      <c r="LPM312" s="234"/>
      <c r="LPN312" s="234"/>
      <c r="LPO312" s="234"/>
      <c r="LPP312" s="236"/>
      <c r="LPQ312" s="244"/>
      <c r="LPR312" s="239"/>
      <c r="LPS312" s="240"/>
      <c r="LPT312" s="241"/>
      <c r="LPU312" s="239"/>
      <c r="LPV312" s="239"/>
      <c r="LPW312" s="239"/>
      <c r="LPX312" s="239"/>
      <c r="LPY312" s="239"/>
      <c r="LPZ312" s="239"/>
      <c r="LQA312" s="233"/>
      <c r="LQB312" s="235"/>
      <c r="LQC312" s="233"/>
      <c r="LQD312" s="234"/>
      <c r="LQE312" s="234"/>
      <c r="LQF312" s="242"/>
      <c r="LQG312" s="234"/>
      <c r="LQH312" s="234"/>
      <c r="LQI312" s="234"/>
      <c r="LQJ312" s="236"/>
      <c r="LQK312" s="244"/>
      <c r="LQL312" s="239"/>
      <c r="LQM312" s="240"/>
      <c r="LQN312" s="241"/>
      <c r="LQO312" s="239"/>
      <c r="LQP312" s="239"/>
      <c r="LQQ312" s="239"/>
      <c r="LQR312" s="239"/>
      <c r="LQS312" s="239"/>
      <c r="LQT312" s="239"/>
      <c r="LQU312" s="233"/>
      <c r="LQV312" s="235"/>
      <c r="LQW312" s="233"/>
      <c r="LQX312" s="234"/>
      <c r="LQY312" s="234"/>
      <c r="LQZ312" s="242"/>
      <c r="LRA312" s="234"/>
      <c r="LRB312" s="234"/>
      <c r="LRC312" s="234"/>
      <c r="LRD312" s="236"/>
      <c r="LRE312" s="244"/>
      <c r="LRF312" s="239"/>
      <c r="LRG312" s="240"/>
      <c r="LRH312" s="241"/>
      <c r="LRI312" s="239"/>
      <c r="LRJ312" s="239"/>
      <c r="LRK312" s="239"/>
      <c r="LRL312" s="239"/>
      <c r="LRM312" s="239"/>
      <c r="LRN312" s="239"/>
      <c r="LRO312" s="233"/>
      <c r="LRP312" s="235"/>
      <c r="LRQ312" s="233"/>
      <c r="LRR312" s="234"/>
      <c r="LRS312" s="234"/>
      <c r="LRT312" s="242"/>
      <c r="LRU312" s="234"/>
      <c r="LRV312" s="234"/>
      <c r="LRW312" s="234"/>
      <c r="LRX312" s="236"/>
      <c r="LRY312" s="244"/>
      <c r="LRZ312" s="239"/>
      <c r="LSA312" s="240"/>
      <c r="LSB312" s="241"/>
      <c r="LSC312" s="239"/>
      <c r="LSD312" s="239"/>
      <c r="LSE312" s="239"/>
      <c r="LSF312" s="239"/>
      <c r="LSG312" s="239"/>
      <c r="LSH312" s="239"/>
      <c r="LSI312" s="233"/>
      <c r="LSJ312" s="235"/>
      <c r="LSK312" s="233"/>
      <c r="LSL312" s="234"/>
      <c r="LSM312" s="234"/>
      <c r="LSN312" s="242"/>
      <c r="LSO312" s="234"/>
      <c r="LSP312" s="234"/>
      <c r="LSQ312" s="234"/>
      <c r="LSR312" s="236"/>
      <c r="LSS312" s="244"/>
      <c r="LST312" s="239"/>
      <c r="LSU312" s="240"/>
      <c r="LSV312" s="241"/>
      <c r="LSW312" s="239"/>
      <c r="LSX312" s="239"/>
      <c r="LSY312" s="239"/>
      <c r="LSZ312" s="239"/>
      <c r="LTA312" s="239"/>
      <c r="LTB312" s="239"/>
      <c r="LTC312" s="233"/>
      <c r="LTD312" s="235"/>
      <c r="LTE312" s="233"/>
      <c r="LTF312" s="234"/>
      <c r="LTG312" s="234"/>
      <c r="LTH312" s="242"/>
      <c r="LTI312" s="234"/>
      <c r="LTJ312" s="234"/>
      <c r="LTK312" s="234"/>
      <c r="LTL312" s="236"/>
      <c r="LTM312" s="244"/>
      <c r="LTN312" s="239"/>
      <c r="LTO312" s="240"/>
      <c r="LTP312" s="241"/>
      <c r="LTQ312" s="239"/>
      <c r="LTR312" s="239"/>
      <c r="LTS312" s="239"/>
      <c r="LTT312" s="239"/>
      <c r="LTU312" s="239"/>
      <c r="LTV312" s="239"/>
      <c r="LTW312" s="233"/>
      <c r="LTX312" s="235"/>
      <c r="LTY312" s="233"/>
      <c r="LTZ312" s="234"/>
      <c r="LUA312" s="234"/>
      <c r="LUB312" s="242"/>
      <c r="LUC312" s="234"/>
      <c r="LUD312" s="234"/>
      <c r="LUE312" s="234"/>
      <c r="LUF312" s="236"/>
      <c r="LUG312" s="244"/>
      <c r="LUH312" s="239"/>
      <c r="LUI312" s="240"/>
      <c r="LUJ312" s="241"/>
      <c r="LUK312" s="239"/>
      <c r="LUL312" s="239"/>
      <c r="LUM312" s="239"/>
      <c r="LUN312" s="239"/>
      <c r="LUO312" s="239"/>
      <c r="LUP312" s="239"/>
      <c r="LUQ312" s="233"/>
      <c r="LUR312" s="235"/>
      <c r="LUS312" s="233"/>
      <c r="LUT312" s="234"/>
      <c r="LUU312" s="234"/>
      <c r="LUV312" s="242"/>
      <c r="LUW312" s="234"/>
      <c r="LUX312" s="234"/>
      <c r="LUY312" s="234"/>
      <c r="LUZ312" s="236"/>
      <c r="LVA312" s="244"/>
      <c r="LVB312" s="239"/>
      <c r="LVC312" s="240"/>
      <c r="LVD312" s="241"/>
      <c r="LVE312" s="239"/>
      <c r="LVF312" s="239"/>
      <c r="LVG312" s="239"/>
      <c r="LVH312" s="239"/>
      <c r="LVI312" s="239"/>
      <c r="LVJ312" s="239"/>
      <c r="LVK312" s="233"/>
      <c r="LVL312" s="235"/>
      <c r="LVM312" s="233"/>
      <c r="LVN312" s="234"/>
      <c r="LVO312" s="234"/>
      <c r="LVP312" s="242"/>
      <c r="LVQ312" s="234"/>
      <c r="LVR312" s="234"/>
      <c r="LVS312" s="234"/>
      <c r="LVT312" s="236"/>
      <c r="LVU312" s="244"/>
      <c r="LVV312" s="239"/>
      <c r="LVW312" s="240"/>
      <c r="LVX312" s="241"/>
      <c r="LVY312" s="239"/>
      <c r="LVZ312" s="239"/>
      <c r="LWA312" s="239"/>
      <c r="LWB312" s="239"/>
      <c r="LWC312" s="239"/>
      <c r="LWD312" s="239"/>
      <c r="LWE312" s="233"/>
      <c r="LWF312" s="235"/>
      <c r="LWG312" s="233"/>
      <c r="LWH312" s="234"/>
      <c r="LWI312" s="234"/>
      <c r="LWJ312" s="242"/>
      <c r="LWK312" s="234"/>
      <c r="LWL312" s="234"/>
      <c r="LWM312" s="234"/>
      <c r="LWN312" s="236"/>
      <c r="LWO312" s="244"/>
      <c r="LWP312" s="239"/>
      <c r="LWQ312" s="240"/>
      <c r="LWR312" s="241"/>
      <c r="LWS312" s="239"/>
      <c r="LWT312" s="239"/>
      <c r="LWU312" s="239"/>
      <c r="LWV312" s="239"/>
      <c r="LWW312" s="239"/>
      <c r="LWX312" s="239"/>
      <c r="LWY312" s="233"/>
      <c r="LWZ312" s="235"/>
      <c r="LXA312" s="233"/>
      <c r="LXB312" s="234"/>
      <c r="LXC312" s="234"/>
      <c r="LXD312" s="242"/>
      <c r="LXE312" s="234"/>
      <c r="LXF312" s="234"/>
      <c r="LXG312" s="234"/>
      <c r="LXH312" s="236"/>
      <c r="LXI312" s="244"/>
      <c r="LXJ312" s="239"/>
      <c r="LXK312" s="240"/>
      <c r="LXL312" s="241"/>
      <c r="LXM312" s="239"/>
      <c r="LXN312" s="239"/>
      <c r="LXO312" s="239"/>
      <c r="LXP312" s="239"/>
      <c r="LXQ312" s="239"/>
      <c r="LXR312" s="239"/>
      <c r="LXS312" s="233"/>
      <c r="LXT312" s="235"/>
      <c r="LXU312" s="233"/>
      <c r="LXV312" s="234"/>
      <c r="LXW312" s="234"/>
      <c r="LXX312" s="242"/>
      <c r="LXY312" s="234"/>
      <c r="LXZ312" s="234"/>
      <c r="LYA312" s="234"/>
      <c r="LYB312" s="236"/>
      <c r="LYC312" s="244"/>
      <c r="LYD312" s="239"/>
      <c r="LYE312" s="240"/>
      <c r="LYF312" s="241"/>
      <c r="LYG312" s="239"/>
      <c r="LYH312" s="239"/>
      <c r="LYI312" s="239"/>
      <c r="LYJ312" s="239"/>
      <c r="LYK312" s="239"/>
      <c r="LYL312" s="239"/>
      <c r="LYM312" s="233"/>
      <c r="LYN312" s="235"/>
      <c r="LYO312" s="233"/>
      <c r="LYP312" s="234"/>
      <c r="LYQ312" s="234"/>
      <c r="LYR312" s="242"/>
      <c r="LYS312" s="234"/>
      <c r="LYT312" s="234"/>
      <c r="LYU312" s="234"/>
      <c r="LYV312" s="236"/>
      <c r="LYW312" s="244"/>
      <c r="LYX312" s="239"/>
      <c r="LYY312" s="240"/>
      <c r="LYZ312" s="241"/>
      <c r="LZA312" s="239"/>
      <c r="LZB312" s="239"/>
      <c r="LZC312" s="239"/>
      <c r="LZD312" s="239"/>
      <c r="LZE312" s="239"/>
      <c r="LZF312" s="239"/>
      <c r="LZG312" s="233"/>
      <c r="LZH312" s="235"/>
      <c r="LZI312" s="233"/>
      <c r="LZJ312" s="234"/>
      <c r="LZK312" s="234"/>
      <c r="LZL312" s="242"/>
      <c r="LZM312" s="234"/>
      <c r="LZN312" s="234"/>
      <c r="LZO312" s="234"/>
      <c r="LZP312" s="236"/>
      <c r="LZQ312" s="244"/>
      <c r="LZR312" s="239"/>
      <c r="LZS312" s="240"/>
      <c r="LZT312" s="241"/>
      <c r="LZU312" s="239"/>
      <c r="LZV312" s="239"/>
      <c r="LZW312" s="239"/>
      <c r="LZX312" s="239"/>
      <c r="LZY312" s="239"/>
      <c r="LZZ312" s="239"/>
      <c r="MAA312" s="233"/>
      <c r="MAB312" s="235"/>
      <c r="MAC312" s="233"/>
      <c r="MAD312" s="234"/>
      <c r="MAE312" s="234"/>
      <c r="MAF312" s="242"/>
      <c r="MAG312" s="234"/>
      <c r="MAH312" s="234"/>
      <c r="MAI312" s="234"/>
      <c r="MAJ312" s="236"/>
      <c r="MAK312" s="244"/>
      <c r="MAL312" s="239"/>
      <c r="MAM312" s="240"/>
      <c r="MAN312" s="241"/>
      <c r="MAO312" s="239"/>
      <c r="MAP312" s="239"/>
      <c r="MAQ312" s="239"/>
      <c r="MAR312" s="239"/>
      <c r="MAS312" s="239"/>
      <c r="MAT312" s="239"/>
      <c r="MAU312" s="233"/>
      <c r="MAV312" s="235"/>
      <c r="MAW312" s="233"/>
      <c r="MAX312" s="234"/>
      <c r="MAY312" s="234"/>
      <c r="MAZ312" s="242"/>
      <c r="MBA312" s="234"/>
      <c r="MBB312" s="234"/>
      <c r="MBC312" s="234"/>
      <c r="MBD312" s="236"/>
      <c r="MBE312" s="244"/>
      <c r="MBF312" s="239"/>
      <c r="MBG312" s="240"/>
      <c r="MBH312" s="241"/>
      <c r="MBI312" s="239"/>
      <c r="MBJ312" s="239"/>
      <c r="MBK312" s="239"/>
      <c r="MBL312" s="239"/>
      <c r="MBM312" s="239"/>
      <c r="MBN312" s="239"/>
      <c r="MBO312" s="233"/>
      <c r="MBP312" s="235"/>
      <c r="MBQ312" s="233"/>
      <c r="MBR312" s="234"/>
      <c r="MBS312" s="234"/>
      <c r="MBT312" s="242"/>
      <c r="MBU312" s="234"/>
      <c r="MBV312" s="234"/>
      <c r="MBW312" s="234"/>
      <c r="MBX312" s="236"/>
      <c r="MBY312" s="244"/>
      <c r="MBZ312" s="239"/>
      <c r="MCA312" s="240"/>
      <c r="MCB312" s="241"/>
      <c r="MCC312" s="239"/>
      <c r="MCD312" s="239"/>
      <c r="MCE312" s="239"/>
      <c r="MCF312" s="239"/>
      <c r="MCG312" s="239"/>
      <c r="MCH312" s="239"/>
      <c r="MCI312" s="233"/>
      <c r="MCJ312" s="235"/>
      <c r="MCK312" s="233"/>
      <c r="MCL312" s="234"/>
      <c r="MCM312" s="234"/>
      <c r="MCN312" s="242"/>
      <c r="MCO312" s="234"/>
      <c r="MCP312" s="234"/>
      <c r="MCQ312" s="234"/>
      <c r="MCR312" s="236"/>
      <c r="MCS312" s="244"/>
      <c r="MCT312" s="239"/>
      <c r="MCU312" s="240"/>
      <c r="MCV312" s="241"/>
      <c r="MCW312" s="239"/>
      <c r="MCX312" s="239"/>
      <c r="MCY312" s="239"/>
      <c r="MCZ312" s="239"/>
      <c r="MDA312" s="239"/>
      <c r="MDB312" s="239"/>
      <c r="MDC312" s="233"/>
      <c r="MDD312" s="235"/>
      <c r="MDE312" s="233"/>
      <c r="MDF312" s="234"/>
      <c r="MDG312" s="234"/>
      <c r="MDH312" s="242"/>
      <c r="MDI312" s="234"/>
      <c r="MDJ312" s="234"/>
      <c r="MDK312" s="234"/>
      <c r="MDL312" s="236"/>
      <c r="MDM312" s="244"/>
      <c r="MDN312" s="239"/>
      <c r="MDO312" s="240"/>
      <c r="MDP312" s="241"/>
      <c r="MDQ312" s="239"/>
      <c r="MDR312" s="239"/>
      <c r="MDS312" s="239"/>
      <c r="MDT312" s="239"/>
      <c r="MDU312" s="239"/>
      <c r="MDV312" s="239"/>
      <c r="MDW312" s="233"/>
      <c r="MDX312" s="235"/>
      <c r="MDY312" s="233"/>
      <c r="MDZ312" s="234"/>
      <c r="MEA312" s="234"/>
      <c r="MEB312" s="242"/>
      <c r="MEC312" s="234"/>
      <c r="MED312" s="234"/>
      <c r="MEE312" s="234"/>
      <c r="MEF312" s="236"/>
      <c r="MEG312" s="244"/>
      <c r="MEH312" s="239"/>
      <c r="MEI312" s="240"/>
      <c r="MEJ312" s="241"/>
      <c r="MEK312" s="239"/>
      <c r="MEL312" s="239"/>
      <c r="MEM312" s="239"/>
      <c r="MEN312" s="239"/>
      <c r="MEO312" s="239"/>
      <c r="MEP312" s="239"/>
      <c r="MEQ312" s="233"/>
      <c r="MER312" s="235"/>
      <c r="MES312" s="233"/>
      <c r="MET312" s="234"/>
      <c r="MEU312" s="234"/>
      <c r="MEV312" s="242"/>
      <c r="MEW312" s="234"/>
      <c r="MEX312" s="234"/>
      <c r="MEY312" s="234"/>
      <c r="MEZ312" s="236"/>
      <c r="MFA312" s="244"/>
      <c r="MFB312" s="239"/>
      <c r="MFC312" s="240"/>
      <c r="MFD312" s="241"/>
      <c r="MFE312" s="239"/>
      <c r="MFF312" s="239"/>
      <c r="MFG312" s="239"/>
      <c r="MFH312" s="239"/>
      <c r="MFI312" s="239"/>
      <c r="MFJ312" s="239"/>
      <c r="MFK312" s="233"/>
      <c r="MFL312" s="235"/>
      <c r="MFM312" s="233"/>
      <c r="MFN312" s="234"/>
      <c r="MFO312" s="234"/>
      <c r="MFP312" s="242"/>
      <c r="MFQ312" s="234"/>
      <c r="MFR312" s="234"/>
      <c r="MFS312" s="234"/>
      <c r="MFT312" s="236"/>
      <c r="MFU312" s="244"/>
      <c r="MFV312" s="239"/>
      <c r="MFW312" s="240"/>
      <c r="MFX312" s="241"/>
      <c r="MFY312" s="239"/>
      <c r="MFZ312" s="239"/>
      <c r="MGA312" s="239"/>
      <c r="MGB312" s="239"/>
      <c r="MGC312" s="239"/>
      <c r="MGD312" s="239"/>
      <c r="MGE312" s="233"/>
      <c r="MGF312" s="235"/>
      <c r="MGG312" s="233"/>
      <c r="MGH312" s="234"/>
      <c r="MGI312" s="234"/>
      <c r="MGJ312" s="242"/>
      <c r="MGK312" s="234"/>
      <c r="MGL312" s="234"/>
      <c r="MGM312" s="234"/>
      <c r="MGN312" s="236"/>
      <c r="MGO312" s="244"/>
      <c r="MGP312" s="239"/>
      <c r="MGQ312" s="240"/>
      <c r="MGR312" s="241"/>
      <c r="MGS312" s="239"/>
      <c r="MGT312" s="239"/>
      <c r="MGU312" s="239"/>
      <c r="MGV312" s="239"/>
      <c r="MGW312" s="239"/>
      <c r="MGX312" s="239"/>
      <c r="MGY312" s="233"/>
      <c r="MGZ312" s="235"/>
      <c r="MHA312" s="233"/>
      <c r="MHB312" s="234"/>
      <c r="MHC312" s="234"/>
      <c r="MHD312" s="242"/>
      <c r="MHE312" s="234"/>
      <c r="MHF312" s="234"/>
      <c r="MHG312" s="234"/>
      <c r="MHH312" s="236"/>
      <c r="MHI312" s="244"/>
      <c r="MHJ312" s="239"/>
      <c r="MHK312" s="240"/>
      <c r="MHL312" s="241"/>
      <c r="MHM312" s="239"/>
      <c r="MHN312" s="239"/>
      <c r="MHO312" s="239"/>
      <c r="MHP312" s="239"/>
      <c r="MHQ312" s="239"/>
      <c r="MHR312" s="239"/>
      <c r="MHS312" s="233"/>
      <c r="MHT312" s="235"/>
      <c r="MHU312" s="233"/>
      <c r="MHV312" s="234"/>
      <c r="MHW312" s="234"/>
      <c r="MHX312" s="242"/>
      <c r="MHY312" s="234"/>
      <c r="MHZ312" s="234"/>
      <c r="MIA312" s="234"/>
      <c r="MIB312" s="236"/>
      <c r="MIC312" s="244"/>
      <c r="MID312" s="239"/>
      <c r="MIE312" s="240"/>
      <c r="MIF312" s="241"/>
      <c r="MIG312" s="239"/>
      <c r="MIH312" s="239"/>
      <c r="MII312" s="239"/>
      <c r="MIJ312" s="239"/>
      <c r="MIK312" s="239"/>
      <c r="MIL312" s="239"/>
      <c r="MIM312" s="233"/>
      <c r="MIN312" s="235"/>
      <c r="MIO312" s="233"/>
      <c r="MIP312" s="234"/>
      <c r="MIQ312" s="234"/>
      <c r="MIR312" s="242"/>
      <c r="MIS312" s="234"/>
      <c r="MIT312" s="234"/>
      <c r="MIU312" s="234"/>
      <c r="MIV312" s="236"/>
      <c r="MIW312" s="244"/>
      <c r="MIX312" s="239"/>
      <c r="MIY312" s="240"/>
      <c r="MIZ312" s="241"/>
      <c r="MJA312" s="239"/>
      <c r="MJB312" s="239"/>
      <c r="MJC312" s="239"/>
      <c r="MJD312" s="239"/>
      <c r="MJE312" s="239"/>
      <c r="MJF312" s="239"/>
      <c r="MJG312" s="233"/>
      <c r="MJH312" s="235"/>
      <c r="MJI312" s="233"/>
      <c r="MJJ312" s="234"/>
      <c r="MJK312" s="234"/>
      <c r="MJL312" s="242"/>
      <c r="MJM312" s="234"/>
      <c r="MJN312" s="234"/>
      <c r="MJO312" s="234"/>
      <c r="MJP312" s="236"/>
      <c r="MJQ312" s="244"/>
      <c r="MJR312" s="239"/>
      <c r="MJS312" s="240"/>
      <c r="MJT312" s="241"/>
      <c r="MJU312" s="239"/>
      <c r="MJV312" s="239"/>
      <c r="MJW312" s="239"/>
      <c r="MJX312" s="239"/>
      <c r="MJY312" s="239"/>
      <c r="MJZ312" s="239"/>
      <c r="MKA312" s="233"/>
      <c r="MKB312" s="235"/>
      <c r="MKC312" s="233"/>
      <c r="MKD312" s="234"/>
      <c r="MKE312" s="234"/>
      <c r="MKF312" s="242"/>
      <c r="MKG312" s="234"/>
      <c r="MKH312" s="234"/>
      <c r="MKI312" s="234"/>
      <c r="MKJ312" s="236"/>
      <c r="MKK312" s="244"/>
      <c r="MKL312" s="239"/>
      <c r="MKM312" s="240"/>
      <c r="MKN312" s="241"/>
      <c r="MKO312" s="239"/>
      <c r="MKP312" s="239"/>
      <c r="MKQ312" s="239"/>
      <c r="MKR312" s="239"/>
      <c r="MKS312" s="239"/>
      <c r="MKT312" s="239"/>
      <c r="MKU312" s="233"/>
      <c r="MKV312" s="235"/>
      <c r="MKW312" s="233"/>
      <c r="MKX312" s="234"/>
      <c r="MKY312" s="234"/>
      <c r="MKZ312" s="242"/>
      <c r="MLA312" s="234"/>
      <c r="MLB312" s="234"/>
      <c r="MLC312" s="234"/>
      <c r="MLD312" s="236"/>
      <c r="MLE312" s="244"/>
      <c r="MLF312" s="239"/>
      <c r="MLG312" s="240"/>
      <c r="MLH312" s="241"/>
      <c r="MLI312" s="239"/>
      <c r="MLJ312" s="239"/>
      <c r="MLK312" s="239"/>
      <c r="MLL312" s="239"/>
      <c r="MLM312" s="239"/>
      <c r="MLN312" s="239"/>
      <c r="MLO312" s="233"/>
      <c r="MLP312" s="235"/>
      <c r="MLQ312" s="233"/>
      <c r="MLR312" s="234"/>
      <c r="MLS312" s="234"/>
      <c r="MLT312" s="242"/>
      <c r="MLU312" s="234"/>
      <c r="MLV312" s="234"/>
      <c r="MLW312" s="234"/>
      <c r="MLX312" s="236"/>
      <c r="MLY312" s="244"/>
      <c r="MLZ312" s="239"/>
      <c r="MMA312" s="240"/>
      <c r="MMB312" s="241"/>
      <c r="MMC312" s="239"/>
      <c r="MMD312" s="239"/>
      <c r="MME312" s="239"/>
      <c r="MMF312" s="239"/>
      <c r="MMG312" s="239"/>
      <c r="MMH312" s="239"/>
      <c r="MMI312" s="233"/>
      <c r="MMJ312" s="235"/>
      <c r="MMK312" s="233"/>
      <c r="MML312" s="234"/>
      <c r="MMM312" s="234"/>
      <c r="MMN312" s="242"/>
      <c r="MMO312" s="234"/>
      <c r="MMP312" s="234"/>
      <c r="MMQ312" s="234"/>
      <c r="MMR312" s="236"/>
      <c r="MMS312" s="244"/>
      <c r="MMT312" s="239"/>
      <c r="MMU312" s="240"/>
      <c r="MMV312" s="241"/>
      <c r="MMW312" s="239"/>
      <c r="MMX312" s="239"/>
      <c r="MMY312" s="239"/>
      <c r="MMZ312" s="239"/>
      <c r="MNA312" s="239"/>
      <c r="MNB312" s="239"/>
      <c r="MNC312" s="233"/>
      <c r="MND312" s="235"/>
      <c r="MNE312" s="233"/>
      <c r="MNF312" s="234"/>
      <c r="MNG312" s="234"/>
      <c r="MNH312" s="242"/>
      <c r="MNI312" s="234"/>
      <c r="MNJ312" s="234"/>
      <c r="MNK312" s="234"/>
      <c r="MNL312" s="236"/>
      <c r="MNM312" s="244"/>
      <c r="MNN312" s="239"/>
      <c r="MNO312" s="240"/>
      <c r="MNP312" s="241"/>
      <c r="MNQ312" s="239"/>
      <c r="MNR312" s="239"/>
      <c r="MNS312" s="239"/>
      <c r="MNT312" s="239"/>
      <c r="MNU312" s="239"/>
      <c r="MNV312" s="239"/>
      <c r="MNW312" s="233"/>
      <c r="MNX312" s="235"/>
      <c r="MNY312" s="233"/>
      <c r="MNZ312" s="234"/>
      <c r="MOA312" s="234"/>
      <c r="MOB312" s="242"/>
      <c r="MOC312" s="234"/>
      <c r="MOD312" s="234"/>
      <c r="MOE312" s="234"/>
      <c r="MOF312" s="236"/>
      <c r="MOG312" s="244"/>
      <c r="MOH312" s="239"/>
      <c r="MOI312" s="240"/>
      <c r="MOJ312" s="241"/>
      <c r="MOK312" s="239"/>
      <c r="MOL312" s="239"/>
      <c r="MOM312" s="239"/>
      <c r="MON312" s="239"/>
      <c r="MOO312" s="239"/>
      <c r="MOP312" s="239"/>
      <c r="MOQ312" s="233"/>
      <c r="MOR312" s="235"/>
      <c r="MOS312" s="233"/>
      <c r="MOT312" s="234"/>
      <c r="MOU312" s="234"/>
      <c r="MOV312" s="242"/>
      <c r="MOW312" s="234"/>
      <c r="MOX312" s="234"/>
      <c r="MOY312" s="234"/>
      <c r="MOZ312" s="236"/>
      <c r="MPA312" s="244"/>
      <c r="MPB312" s="239"/>
      <c r="MPC312" s="240"/>
      <c r="MPD312" s="241"/>
      <c r="MPE312" s="239"/>
      <c r="MPF312" s="239"/>
      <c r="MPG312" s="239"/>
      <c r="MPH312" s="239"/>
      <c r="MPI312" s="239"/>
      <c r="MPJ312" s="239"/>
      <c r="MPK312" s="233"/>
      <c r="MPL312" s="235"/>
      <c r="MPM312" s="233"/>
      <c r="MPN312" s="234"/>
      <c r="MPO312" s="234"/>
      <c r="MPP312" s="242"/>
      <c r="MPQ312" s="234"/>
      <c r="MPR312" s="234"/>
      <c r="MPS312" s="234"/>
      <c r="MPT312" s="236"/>
      <c r="MPU312" s="244"/>
      <c r="MPV312" s="239"/>
      <c r="MPW312" s="240"/>
      <c r="MPX312" s="241"/>
      <c r="MPY312" s="239"/>
      <c r="MPZ312" s="239"/>
      <c r="MQA312" s="239"/>
      <c r="MQB312" s="239"/>
      <c r="MQC312" s="239"/>
      <c r="MQD312" s="239"/>
      <c r="MQE312" s="233"/>
      <c r="MQF312" s="235"/>
      <c r="MQG312" s="233"/>
      <c r="MQH312" s="234"/>
      <c r="MQI312" s="234"/>
      <c r="MQJ312" s="242"/>
      <c r="MQK312" s="234"/>
      <c r="MQL312" s="234"/>
      <c r="MQM312" s="234"/>
      <c r="MQN312" s="236"/>
      <c r="MQO312" s="244"/>
      <c r="MQP312" s="239"/>
      <c r="MQQ312" s="240"/>
      <c r="MQR312" s="241"/>
      <c r="MQS312" s="239"/>
      <c r="MQT312" s="239"/>
      <c r="MQU312" s="239"/>
      <c r="MQV312" s="239"/>
      <c r="MQW312" s="239"/>
      <c r="MQX312" s="239"/>
      <c r="MQY312" s="233"/>
      <c r="MQZ312" s="235"/>
      <c r="MRA312" s="233"/>
      <c r="MRB312" s="234"/>
      <c r="MRC312" s="234"/>
      <c r="MRD312" s="242"/>
      <c r="MRE312" s="234"/>
      <c r="MRF312" s="234"/>
      <c r="MRG312" s="234"/>
      <c r="MRH312" s="236"/>
      <c r="MRI312" s="244"/>
      <c r="MRJ312" s="239"/>
      <c r="MRK312" s="240"/>
      <c r="MRL312" s="241"/>
      <c r="MRM312" s="239"/>
      <c r="MRN312" s="239"/>
      <c r="MRO312" s="239"/>
      <c r="MRP312" s="239"/>
      <c r="MRQ312" s="239"/>
      <c r="MRR312" s="239"/>
      <c r="MRS312" s="233"/>
      <c r="MRT312" s="235"/>
      <c r="MRU312" s="233"/>
      <c r="MRV312" s="234"/>
      <c r="MRW312" s="234"/>
      <c r="MRX312" s="242"/>
      <c r="MRY312" s="234"/>
      <c r="MRZ312" s="234"/>
      <c r="MSA312" s="234"/>
      <c r="MSB312" s="236"/>
      <c r="MSC312" s="244"/>
      <c r="MSD312" s="239"/>
      <c r="MSE312" s="240"/>
      <c r="MSF312" s="241"/>
      <c r="MSG312" s="239"/>
      <c r="MSH312" s="239"/>
      <c r="MSI312" s="239"/>
      <c r="MSJ312" s="239"/>
      <c r="MSK312" s="239"/>
      <c r="MSL312" s="239"/>
      <c r="MSM312" s="233"/>
      <c r="MSN312" s="235"/>
      <c r="MSO312" s="233"/>
      <c r="MSP312" s="234"/>
      <c r="MSQ312" s="234"/>
      <c r="MSR312" s="242"/>
      <c r="MSS312" s="234"/>
      <c r="MST312" s="234"/>
      <c r="MSU312" s="234"/>
      <c r="MSV312" s="236"/>
      <c r="MSW312" s="244"/>
      <c r="MSX312" s="239"/>
      <c r="MSY312" s="240"/>
      <c r="MSZ312" s="241"/>
      <c r="MTA312" s="239"/>
      <c r="MTB312" s="239"/>
      <c r="MTC312" s="239"/>
      <c r="MTD312" s="239"/>
      <c r="MTE312" s="239"/>
      <c r="MTF312" s="239"/>
      <c r="MTG312" s="233"/>
      <c r="MTH312" s="235"/>
      <c r="MTI312" s="233"/>
      <c r="MTJ312" s="234"/>
      <c r="MTK312" s="234"/>
      <c r="MTL312" s="242"/>
      <c r="MTM312" s="234"/>
      <c r="MTN312" s="234"/>
      <c r="MTO312" s="234"/>
      <c r="MTP312" s="236"/>
      <c r="MTQ312" s="244"/>
      <c r="MTR312" s="239"/>
      <c r="MTS312" s="240"/>
      <c r="MTT312" s="241"/>
      <c r="MTU312" s="239"/>
      <c r="MTV312" s="239"/>
      <c r="MTW312" s="239"/>
      <c r="MTX312" s="239"/>
      <c r="MTY312" s="239"/>
      <c r="MTZ312" s="239"/>
      <c r="MUA312" s="233"/>
      <c r="MUB312" s="235"/>
      <c r="MUC312" s="233"/>
      <c r="MUD312" s="234"/>
      <c r="MUE312" s="234"/>
      <c r="MUF312" s="242"/>
      <c r="MUG312" s="234"/>
      <c r="MUH312" s="234"/>
      <c r="MUI312" s="234"/>
      <c r="MUJ312" s="236"/>
      <c r="MUK312" s="244"/>
      <c r="MUL312" s="239"/>
      <c r="MUM312" s="240"/>
      <c r="MUN312" s="241"/>
      <c r="MUO312" s="239"/>
      <c r="MUP312" s="239"/>
      <c r="MUQ312" s="239"/>
      <c r="MUR312" s="239"/>
      <c r="MUS312" s="239"/>
      <c r="MUT312" s="239"/>
      <c r="MUU312" s="233"/>
      <c r="MUV312" s="235"/>
      <c r="MUW312" s="233"/>
      <c r="MUX312" s="234"/>
      <c r="MUY312" s="234"/>
      <c r="MUZ312" s="242"/>
      <c r="MVA312" s="234"/>
      <c r="MVB312" s="234"/>
      <c r="MVC312" s="234"/>
      <c r="MVD312" s="236"/>
      <c r="MVE312" s="244"/>
      <c r="MVF312" s="239"/>
      <c r="MVG312" s="240"/>
      <c r="MVH312" s="241"/>
      <c r="MVI312" s="239"/>
      <c r="MVJ312" s="239"/>
      <c r="MVK312" s="239"/>
      <c r="MVL312" s="239"/>
      <c r="MVM312" s="239"/>
      <c r="MVN312" s="239"/>
      <c r="MVO312" s="233"/>
      <c r="MVP312" s="235"/>
      <c r="MVQ312" s="233"/>
      <c r="MVR312" s="234"/>
      <c r="MVS312" s="234"/>
      <c r="MVT312" s="242"/>
      <c r="MVU312" s="234"/>
      <c r="MVV312" s="234"/>
      <c r="MVW312" s="234"/>
      <c r="MVX312" s="236"/>
      <c r="MVY312" s="244"/>
      <c r="MVZ312" s="239"/>
      <c r="MWA312" s="240"/>
      <c r="MWB312" s="241"/>
      <c r="MWC312" s="239"/>
      <c r="MWD312" s="239"/>
      <c r="MWE312" s="239"/>
      <c r="MWF312" s="239"/>
      <c r="MWG312" s="239"/>
      <c r="MWH312" s="239"/>
      <c r="MWI312" s="233"/>
      <c r="MWJ312" s="235"/>
      <c r="MWK312" s="233"/>
      <c r="MWL312" s="234"/>
      <c r="MWM312" s="234"/>
      <c r="MWN312" s="242"/>
      <c r="MWO312" s="234"/>
      <c r="MWP312" s="234"/>
      <c r="MWQ312" s="234"/>
      <c r="MWR312" s="236"/>
      <c r="MWS312" s="244"/>
      <c r="MWT312" s="239"/>
      <c r="MWU312" s="240"/>
      <c r="MWV312" s="241"/>
      <c r="MWW312" s="239"/>
      <c r="MWX312" s="239"/>
      <c r="MWY312" s="239"/>
      <c r="MWZ312" s="239"/>
      <c r="MXA312" s="239"/>
      <c r="MXB312" s="239"/>
      <c r="MXC312" s="233"/>
      <c r="MXD312" s="235"/>
      <c r="MXE312" s="233"/>
      <c r="MXF312" s="234"/>
      <c r="MXG312" s="234"/>
      <c r="MXH312" s="242"/>
      <c r="MXI312" s="234"/>
      <c r="MXJ312" s="234"/>
      <c r="MXK312" s="234"/>
      <c r="MXL312" s="236"/>
      <c r="MXM312" s="244"/>
      <c r="MXN312" s="239"/>
      <c r="MXO312" s="240"/>
      <c r="MXP312" s="241"/>
      <c r="MXQ312" s="239"/>
      <c r="MXR312" s="239"/>
      <c r="MXS312" s="239"/>
      <c r="MXT312" s="239"/>
      <c r="MXU312" s="239"/>
      <c r="MXV312" s="239"/>
      <c r="MXW312" s="233"/>
      <c r="MXX312" s="235"/>
      <c r="MXY312" s="233"/>
      <c r="MXZ312" s="234"/>
      <c r="MYA312" s="234"/>
      <c r="MYB312" s="242"/>
      <c r="MYC312" s="234"/>
      <c r="MYD312" s="234"/>
      <c r="MYE312" s="234"/>
      <c r="MYF312" s="236"/>
      <c r="MYG312" s="244"/>
      <c r="MYH312" s="239"/>
      <c r="MYI312" s="240"/>
      <c r="MYJ312" s="241"/>
      <c r="MYK312" s="239"/>
      <c r="MYL312" s="239"/>
      <c r="MYM312" s="239"/>
      <c r="MYN312" s="239"/>
      <c r="MYO312" s="239"/>
      <c r="MYP312" s="239"/>
      <c r="MYQ312" s="233"/>
      <c r="MYR312" s="235"/>
      <c r="MYS312" s="233"/>
      <c r="MYT312" s="234"/>
      <c r="MYU312" s="234"/>
      <c r="MYV312" s="242"/>
      <c r="MYW312" s="234"/>
      <c r="MYX312" s="234"/>
      <c r="MYY312" s="234"/>
      <c r="MYZ312" s="236"/>
      <c r="MZA312" s="244"/>
      <c r="MZB312" s="239"/>
      <c r="MZC312" s="240"/>
      <c r="MZD312" s="241"/>
      <c r="MZE312" s="239"/>
      <c r="MZF312" s="239"/>
      <c r="MZG312" s="239"/>
      <c r="MZH312" s="239"/>
      <c r="MZI312" s="239"/>
      <c r="MZJ312" s="239"/>
      <c r="MZK312" s="233"/>
      <c r="MZL312" s="235"/>
      <c r="MZM312" s="233"/>
      <c r="MZN312" s="234"/>
      <c r="MZO312" s="234"/>
      <c r="MZP312" s="242"/>
      <c r="MZQ312" s="234"/>
      <c r="MZR312" s="234"/>
      <c r="MZS312" s="234"/>
      <c r="MZT312" s="236"/>
      <c r="MZU312" s="244"/>
      <c r="MZV312" s="239"/>
      <c r="MZW312" s="240"/>
      <c r="MZX312" s="241"/>
      <c r="MZY312" s="239"/>
      <c r="MZZ312" s="239"/>
      <c r="NAA312" s="239"/>
      <c r="NAB312" s="239"/>
      <c r="NAC312" s="239"/>
      <c r="NAD312" s="239"/>
      <c r="NAE312" s="233"/>
      <c r="NAF312" s="235"/>
      <c r="NAG312" s="233"/>
      <c r="NAH312" s="234"/>
      <c r="NAI312" s="234"/>
      <c r="NAJ312" s="242"/>
      <c r="NAK312" s="234"/>
      <c r="NAL312" s="234"/>
      <c r="NAM312" s="234"/>
      <c r="NAN312" s="236"/>
      <c r="NAO312" s="244"/>
      <c r="NAP312" s="239"/>
      <c r="NAQ312" s="240"/>
      <c r="NAR312" s="241"/>
      <c r="NAS312" s="239"/>
      <c r="NAT312" s="239"/>
      <c r="NAU312" s="239"/>
      <c r="NAV312" s="239"/>
      <c r="NAW312" s="239"/>
      <c r="NAX312" s="239"/>
      <c r="NAY312" s="233"/>
      <c r="NAZ312" s="235"/>
      <c r="NBA312" s="233"/>
      <c r="NBB312" s="234"/>
      <c r="NBC312" s="234"/>
      <c r="NBD312" s="242"/>
      <c r="NBE312" s="234"/>
      <c r="NBF312" s="234"/>
      <c r="NBG312" s="234"/>
      <c r="NBH312" s="236"/>
      <c r="NBI312" s="244"/>
      <c r="NBJ312" s="239"/>
      <c r="NBK312" s="240"/>
      <c r="NBL312" s="241"/>
      <c r="NBM312" s="239"/>
      <c r="NBN312" s="239"/>
      <c r="NBO312" s="239"/>
      <c r="NBP312" s="239"/>
      <c r="NBQ312" s="239"/>
      <c r="NBR312" s="239"/>
      <c r="NBS312" s="233"/>
      <c r="NBT312" s="235"/>
      <c r="NBU312" s="233"/>
      <c r="NBV312" s="234"/>
      <c r="NBW312" s="234"/>
      <c r="NBX312" s="242"/>
      <c r="NBY312" s="234"/>
      <c r="NBZ312" s="234"/>
      <c r="NCA312" s="234"/>
      <c r="NCB312" s="236"/>
      <c r="NCC312" s="244"/>
      <c r="NCD312" s="239"/>
      <c r="NCE312" s="240"/>
      <c r="NCF312" s="241"/>
      <c r="NCG312" s="239"/>
      <c r="NCH312" s="239"/>
      <c r="NCI312" s="239"/>
      <c r="NCJ312" s="239"/>
      <c r="NCK312" s="239"/>
      <c r="NCL312" s="239"/>
      <c r="NCM312" s="233"/>
      <c r="NCN312" s="235"/>
      <c r="NCO312" s="233"/>
      <c r="NCP312" s="234"/>
      <c r="NCQ312" s="234"/>
      <c r="NCR312" s="242"/>
      <c r="NCS312" s="234"/>
      <c r="NCT312" s="234"/>
      <c r="NCU312" s="234"/>
      <c r="NCV312" s="236"/>
      <c r="NCW312" s="244"/>
      <c r="NCX312" s="239"/>
      <c r="NCY312" s="240"/>
      <c r="NCZ312" s="241"/>
      <c r="NDA312" s="239"/>
      <c r="NDB312" s="239"/>
      <c r="NDC312" s="239"/>
      <c r="NDD312" s="239"/>
      <c r="NDE312" s="239"/>
      <c r="NDF312" s="239"/>
      <c r="NDG312" s="233"/>
      <c r="NDH312" s="235"/>
      <c r="NDI312" s="233"/>
      <c r="NDJ312" s="234"/>
      <c r="NDK312" s="234"/>
      <c r="NDL312" s="242"/>
      <c r="NDM312" s="234"/>
      <c r="NDN312" s="234"/>
      <c r="NDO312" s="234"/>
      <c r="NDP312" s="236"/>
      <c r="NDQ312" s="244"/>
      <c r="NDR312" s="239"/>
      <c r="NDS312" s="240"/>
      <c r="NDT312" s="241"/>
      <c r="NDU312" s="239"/>
      <c r="NDV312" s="239"/>
      <c r="NDW312" s="239"/>
      <c r="NDX312" s="239"/>
      <c r="NDY312" s="239"/>
      <c r="NDZ312" s="239"/>
      <c r="NEA312" s="233"/>
      <c r="NEB312" s="235"/>
      <c r="NEC312" s="233"/>
      <c r="NED312" s="234"/>
      <c r="NEE312" s="234"/>
      <c r="NEF312" s="242"/>
      <c r="NEG312" s="234"/>
      <c r="NEH312" s="234"/>
      <c r="NEI312" s="234"/>
      <c r="NEJ312" s="236"/>
      <c r="NEK312" s="244"/>
      <c r="NEL312" s="239"/>
      <c r="NEM312" s="240"/>
      <c r="NEN312" s="241"/>
      <c r="NEO312" s="239"/>
      <c r="NEP312" s="239"/>
      <c r="NEQ312" s="239"/>
      <c r="NER312" s="239"/>
      <c r="NES312" s="239"/>
      <c r="NET312" s="239"/>
      <c r="NEU312" s="233"/>
      <c r="NEV312" s="235"/>
      <c r="NEW312" s="233"/>
      <c r="NEX312" s="234"/>
      <c r="NEY312" s="234"/>
      <c r="NEZ312" s="242"/>
      <c r="NFA312" s="234"/>
      <c r="NFB312" s="234"/>
      <c r="NFC312" s="234"/>
      <c r="NFD312" s="236"/>
      <c r="NFE312" s="244"/>
      <c r="NFF312" s="239"/>
      <c r="NFG312" s="240"/>
      <c r="NFH312" s="241"/>
      <c r="NFI312" s="239"/>
      <c r="NFJ312" s="239"/>
      <c r="NFK312" s="239"/>
      <c r="NFL312" s="239"/>
      <c r="NFM312" s="239"/>
      <c r="NFN312" s="239"/>
      <c r="NFO312" s="233"/>
      <c r="NFP312" s="235"/>
      <c r="NFQ312" s="233"/>
      <c r="NFR312" s="234"/>
      <c r="NFS312" s="234"/>
      <c r="NFT312" s="242"/>
      <c r="NFU312" s="234"/>
      <c r="NFV312" s="234"/>
      <c r="NFW312" s="234"/>
      <c r="NFX312" s="236"/>
      <c r="NFY312" s="244"/>
      <c r="NFZ312" s="239"/>
      <c r="NGA312" s="240"/>
      <c r="NGB312" s="241"/>
      <c r="NGC312" s="239"/>
      <c r="NGD312" s="239"/>
      <c r="NGE312" s="239"/>
      <c r="NGF312" s="239"/>
      <c r="NGG312" s="239"/>
      <c r="NGH312" s="239"/>
      <c r="NGI312" s="233"/>
      <c r="NGJ312" s="235"/>
      <c r="NGK312" s="233"/>
      <c r="NGL312" s="234"/>
      <c r="NGM312" s="234"/>
      <c r="NGN312" s="242"/>
      <c r="NGO312" s="234"/>
      <c r="NGP312" s="234"/>
      <c r="NGQ312" s="234"/>
      <c r="NGR312" s="236"/>
      <c r="NGS312" s="244"/>
      <c r="NGT312" s="239"/>
      <c r="NGU312" s="240"/>
      <c r="NGV312" s="241"/>
      <c r="NGW312" s="239"/>
      <c r="NGX312" s="239"/>
      <c r="NGY312" s="239"/>
      <c r="NGZ312" s="239"/>
      <c r="NHA312" s="239"/>
      <c r="NHB312" s="239"/>
      <c r="NHC312" s="233"/>
      <c r="NHD312" s="235"/>
      <c r="NHE312" s="233"/>
      <c r="NHF312" s="234"/>
      <c r="NHG312" s="234"/>
      <c r="NHH312" s="242"/>
      <c r="NHI312" s="234"/>
      <c r="NHJ312" s="234"/>
      <c r="NHK312" s="234"/>
      <c r="NHL312" s="236"/>
      <c r="NHM312" s="244"/>
      <c r="NHN312" s="239"/>
      <c r="NHO312" s="240"/>
      <c r="NHP312" s="241"/>
      <c r="NHQ312" s="239"/>
      <c r="NHR312" s="239"/>
      <c r="NHS312" s="239"/>
      <c r="NHT312" s="239"/>
      <c r="NHU312" s="239"/>
      <c r="NHV312" s="239"/>
      <c r="NHW312" s="233"/>
      <c r="NHX312" s="235"/>
      <c r="NHY312" s="233"/>
      <c r="NHZ312" s="234"/>
      <c r="NIA312" s="234"/>
      <c r="NIB312" s="242"/>
      <c r="NIC312" s="234"/>
      <c r="NID312" s="234"/>
      <c r="NIE312" s="234"/>
      <c r="NIF312" s="236"/>
      <c r="NIG312" s="244"/>
      <c r="NIH312" s="239"/>
      <c r="NII312" s="240"/>
      <c r="NIJ312" s="241"/>
      <c r="NIK312" s="239"/>
      <c r="NIL312" s="239"/>
      <c r="NIM312" s="239"/>
      <c r="NIN312" s="239"/>
      <c r="NIO312" s="239"/>
      <c r="NIP312" s="239"/>
      <c r="NIQ312" s="233"/>
      <c r="NIR312" s="235"/>
      <c r="NIS312" s="233"/>
      <c r="NIT312" s="234"/>
      <c r="NIU312" s="234"/>
      <c r="NIV312" s="242"/>
      <c r="NIW312" s="234"/>
      <c r="NIX312" s="234"/>
      <c r="NIY312" s="234"/>
      <c r="NIZ312" s="236"/>
      <c r="NJA312" s="244"/>
      <c r="NJB312" s="239"/>
      <c r="NJC312" s="240"/>
      <c r="NJD312" s="241"/>
      <c r="NJE312" s="239"/>
      <c r="NJF312" s="239"/>
      <c r="NJG312" s="239"/>
      <c r="NJH312" s="239"/>
      <c r="NJI312" s="239"/>
      <c r="NJJ312" s="239"/>
      <c r="NJK312" s="233"/>
      <c r="NJL312" s="235"/>
      <c r="NJM312" s="233"/>
      <c r="NJN312" s="234"/>
      <c r="NJO312" s="234"/>
      <c r="NJP312" s="242"/>
      <c r="NJQ312" s="234"/>
      <c r="NJR312" s="234"/>
      <c r="NJS312" s="234"/>
      <c r="NJT312" s="236"/>
      <c r="NJU312" s="244"/>
      <c r="NJV312" s="239"/>
      <c r="NJW312" s="240"/>
      <c r="NJX312" s="241"/>
      <c r="NJY312" s="239"/>
      <c r="NJZ312" s="239"/>
      <c r="NKA312" s="239"/>
      <c r="NKB312" s="239"/>
      <c r="NKC312" s="239"/>
      <c r="NKD312" s="239"/>
      <c r="NKE312" s="233"/>
      <c r="NKF312" s="235"/>
      <c r="NKG312" s="233"/>
      <c r="NKH312" s="234"/>
      <c r="NKI312" s="234"/>
      <c r="NKJ312" s="242"/>
      <c r="NKK312" s="234"/>
      <c r="NKL312" s="234"/>
      <c r="NKM312" s="234"/>
      <c r="NKN312" s="236"/>
      <c r="NKO312" s="244"/>
      <c r="NKP312" s="239"/>
      <c r="NKQ312" s="240"/>
      <c r="NKR312" s="241"/>
      <c r="NKS312" s="239"/>
      <c r="NKT312" s="239"/>
      <c r="NKU312" s="239"/>
      <c r="NKV312" s="239"/>
      <c r="NKW312" s="239"/>
      <c r="NKX312" s="239"/>
      <c r="NKY312" s="233"/>
      <c r="NKZ312" s="235"/>
      <c r="NLA312" s="233"/>
      <c r="NLB312" s="234"/>
      <c r="NLC312" s="234"/>
      <c r="NLD312" s="242"/>
      <c r="NLE312" s="234"/>
      <c r="NLF312" s="234"/>
      <c r="NLG312" s="234"/>
      <c r="NLH312" s="236"/>
      <c r="NLI312" s="244"/>
      <c r="NLJ312" s="239"/>
      <c r="NLK312" s="240"/>
      <c r="NLL312" s="241"/>
      <c r="NLM312" s="239"/>
      <c r="NLN312" s="239"/>
      <c r="NLO312" s="239"/>
      <c r="NLP312" s="239"/>
      <c r="NLQ312" s="239"/>
      <c r="NLR312" s="239"/>
      <c r="NLS312" s="233"/>
      <c r="NLT312" s="235"/>
      <c r="NLU312" s="233"/>
      <c r="NLV312" s="234"/>
      <c r="NLW312" s="234"/>
      <c r="NLX312" s="242"/>
      <c r="NLY312" s="234"/>
      <c r="NLZ312" s="234"/>
      <c r="NMA312" s="234"/>
      <c r="NMB312" s="236"/>
      <c r="NMC312" s="244"/>
      <c r="NMD312" s="239"/>
      <c r="NME312" s="240"/>
      <c r="NMF312" s="241"/>
      <c r="NMG312" s="239"/>
      <c r="NMH312" s="239"/>
      <c r="NMI312" s="239"/>
      <c r="NMJ312" s="239"/>
      <c r="NMK312" s="239"/>
      <c r="NML312" s="239"/>
      <c r="NMM312" s="233"/>
      <c r="NMN312" s="235"/>
      <c r="NMO312" s="233"/>
      <c r="NMP312" s="234"/>
      <c r="NMQ312" s="234"/>
      <c r="NMR312" s="242"/>
      <c r="NMS312" s="234"/>
      <c r="NMT312" s="234"/>
      <c r="NMU312" s="234"/>
      <c r="NMV312" s="236"/>
      <c r="NMW312" s="244"/>
      <c r="NMX312" s="239"/>
      <c r="NMY312" s="240"/>
      <c r="NMZ312" s="241"/>
      <c r="NNA312" s="239"/>
      <c r="NNB312" s="239"/>
      <c r="NNC312" s="239"/>
      <c r="NND312" s="239"/>
      <c r="NNE312" s="239"/>
      <c r="NNF312" s="239"/>
      <c r="NNG312" s="233"/>
      <c r="NNH312" s="235"/>
      <c r="NNI312" s="233"/>
      <c r="NNJ312" s="234"/>
      <c r="NNK312" s="234"/>
      <c r="NNL312" s="242"/>
      <c r="NNM312" s="234"/>
      <c r="NNN312" s="234"/>
      <c r="NNO312" s="234"/>
      <c r="NNP312" s="236"/>
      <c r="NNQ312" s="244"/>
      <c r="NNR312" s="239"/>
      <c r="NNS312" s="240"/>
      <c r="NNT312" s="241"/>
      <c r="NNU312" s="239"/>
      <c r="NNV312" s="239"/>
      <c r="NNW312" s="239"/>
      <c r="NNX312" s="239"/>
      <c r="NNY312" s="239"/>
      <c r="NNZ312" s="239"/>
      <c r="NOA312" s="233"/>
      <c r="NOB312" s="235"/>
      <c r="NOC312" s="233"/>
      <c r="NOD312" s="234"/>
      <c r="NOE312" s="234"/>
      <c r="NOF312" s="242"/>
      <c r="NOG312" s="234"/>
      <c r="NOH312" s="234"/>
      <c r="NOI312" s="234"/>
      <c r="NOJ312" s="236"/>
      <c r="NOK312" s="244"/>
      <c r="NOL312" s="239"/>
      <c r="NOM312" s="240"/>
      <c r="NON312" s="241"/>
      <c r="NOO312" s="239"/>
      <c r="NOP312" s="239"/>
      <c r="NOQ312" s="239"/>
      <c r="NOR312" s="239"/>
      <c r="NOS312" s="239"/>
      <c r="NOT312" s="239"/>
      <c r="NOU312" s="233"/>
      <c r="NOV312" s="235"/>
      <c r="NOW312" s="233"/>
      <c r="NOX312" s="234"/>
      <c r="NOY312" s="234"/>
      <c r="NOZ312" s="242"/>
      <c r="NPA312" s="234"/>
      <c r="NPB312" s="234"/>
      <c r="NPC312" s="234"/>
      <c r="NPD312" s="236"/>
      <c r="NPE312" s="244"/>
      <c r="NPF312" s="239"/>
      <c r="NPG312" s="240"/>
      <c r="NPH312" s="241"/>
      <c r="NPI312" s="239"/>
      <c r="NPJ312" s="239"/>
      <c r="NPK312" s="239"/>
      <c r="NPL312" s="239"/>
      <c r="NPM312" s="239"/>
      <c r="NPN312" s="239"/>
      <c r="NPO312" s="233"/>
      <c r="NPP312" s="235"/>
      <c r="NPQ312" s="233"/>
      <c r="NPR312" s="234"/>
      <c r="NPS312" s="234"/>
      <c r="NPT312" s="242"/>
      <c r="NPU312" s="234"/>
      <c r="NPV312" s="234"/>
      <c r="NPW312" s="234"/>
      <c r="NPX312" s="236"/>
      <c r="NPY312" s="244"/>
      <c r="NPZ312" s="239"/>
      <c r="NQA312" s="240"/>
      <c r="NQB312" s="241"/>
      <c r="NQC312" s="239"/>
      <c r="NQD312" s="239"/>
      <c r="NQE312" s="239"/>
      <c r="NQF312" s="239"/>
      <c r="NQG312" s="239"/>
      <c r="NQH312" s="239"/>
      <c r="NQI312" s="233"/>
      <c r="NQJ312" s="235"/>
      <c r="NQK312" s="233"/>
      <c r="NQL312" s="234"/>
      <c r="NQM312" s="234"/>
      <c r="NQN312" s="242"/>
      <c r="NQO312" s="234"/>
      <c r="NQP312" s="234"/>
      <c r="NQQ312" s="234"/>
      <c r="NQR312" s="236"/>
      <c r="NQS312" s="244"/>
      <c r="NQT312" s="239"/>
      <c r="NQU312" s="240"/>
      <c r="NQV312" s="241"/>
      <c r="NQW312" s="239"/>
      <c r="NQX312" s="239"/>
      <c r="NQY312" s="239"/>
      <c r="NQZ312" s="239"/>
      <c r="NRA312" s="239"/>
      <c r="NRB312" s="239"/>
      <c r="NRC312" s="233"/>
      <c r="NRD312" s="235"/>
      <c r="NRE312" s="233"/>
      <c r="NRF312" s="234"/>
      <c r="NRG312" s="234"/>
      <c r="NRH312" s="242"/>
      <c r="NRI312" s="234"/>
      <c r="NRJ312" s="234"/>
      <c r="NRK312" s="234"/>
      <c r="NRL312" s="236"/>
      <c r="NRM312" s="244"/>
      <c r="NRN312" s="239"/>
      <c r="NRO312" s="240"/>
      <c r="NRP312" s="241"/>
      <c r="NRQ312" s="239"/>
      <c r="NRR312" s="239"/>
      <c r="NRS312" s="239"/>
      <c r="NRT312" s="239"/>
      <c r="NRU312" s="239"/>
      <c r="NRV312" s="239"/>
      <c r="NRW312" s="233"/>
      <c r="NRX312" s="235"/>
      <c r="NRY312" s="233"/>
      <c r="NRZ312" s="234"/>
      <c r="NSA312" s="234"/>
      <c r="NSB312" s="242"/>
      <c r="NSC312" s="234"/>
      <c r="NSD312" s="234"/>
      <c r="NSE312" s="234"/>
      <c r="NSF312" s="236"/>
      <c r="NSG312" s="244"/>
      <c r="NSH312" s="239"/>
      <c r="NSI312" s="240"/>
      <c r="NSJ312" s="241"/>
      <c r="NSK312" s="239"/>
      <c r="NSL312" s="239"/>
      <c r="NSM312" s="239"/>
      <c r="NSN312" s="239"/>
      <c r="NSO312" s="239"/>
      <c r="NSP312" s="239"/>
      <c r="NSQ312" s="233"/>
      <c r="NSR312" s="235"/>
      <c r="NSS312" s="233"/>
      <c r="NST312" s="234"/>
      <c r="NSU312" s="234"/>
      <c r="NSV312" s="242"/>
      <c r="NSW312" s="234"/>
      <c r="NSX312" s="234"/>
      <c r="NSY312" s="234"/>
      <c r="NSZ312" s="236"/>
      <c r="NTA312" s="244"/>
      <c r="NTB312" s="239"/>
      <c r="NTC312" s="240"/>
      <c r="NTD312" s="241"/>
      <c r="NTE312" s="239"/>
      <c r="NTF312" s="239"/>
      <c r="NTG312" s="239"/>
      <c r="NTH312" s="239"/>
      <c r="NTI312" s="239"/>
      <c r="NTJ312" s="239"/>
      <c r="NTK312" s="233"/>
      <c r="NTL312" s="235"/>
      <c r="NTM312" s="233"/>
      <c r="NTN312" s="234"/>
      <c r="NTO312" s="234"/>
      <c r="NTP312" s="242"/>
      <c r="NTQ312" s="234"/>
      <c r="NTR312" s="234"/>
      <c r="NTS312" s="234"/>
      <c r="NTT312" s="236"/>
      <c r="NTU312" s="244"/>
      <c r="NTV312" s="239"/>
      <c r="NTW312" s="240"/>
      <c r="NTX312" s="241"/>
      <c r="NTY312" s="239"/>
      <c r="NTZ312" s="239"/>
      <c r="NUA312" s="239"/>
      <c r="NUB312" s="239"/>
      <c r="NUC312" s="239"/>
      <c r="NUD312" s="239"/>
      <c r="NUE312" s="233"/>
      <c r="NUF312" s="235"/>
      <c r="NUG312" s="233"/>
      <c r="NUH312" s="234"/>
      <c r="NUI312" s="234"/>
      <c r="NUJ312" s="242"/>
      <c r="NUK312" s="234"/>
      <c r="NUL312" s="234"/>
      <c r="NUM312" s="234"/>
      <c r="NUN312" s="236"/>
      <c r="NUO312" s="244"/>
      <c r="NUP312" s="239"/>
      <c r="NUQ312" s="240"/>
      <c r="NUR312" s="241"/>
      <c r="NUS312" s="239"/>
      <c r="NUT312" s="239"/>
      <c r="NUU312" s="239"/>
      <c r="NUV312" s="239"/>
      <c r="NUW312" s="239"/>
      <c r="NUX312" s="239"/>
      <c r="NUY312" s="233"/>
      <c r="NUZ312" s="235"/>
      <c r="NVA312" s="233"/>
      <c r="NVB312" s="234"/>
      <c r="NVC312" s="234"/>
      <c r="NVD312" s="242"/>
      <c r="NVE312" s="234"/>
      <c r="NVF312" s="234"/>
      <c r="NVG312" s="234"/>
      <c r="NVH312" s="236"/>
      <c r="NVI312" s="244"/>
      <c r="NVJ312" s="239"/>
      <c r="NVK312" s="240"/>
      <c r="NVL312" s="241"/>
      <c r="NVM312" s="239"/>
      <c r="NVN312" s="239"/>
      <c r="NVO312" s="239"/>
      <c r="NVP312" s="239"/>
      <c r="NVQ312" s="239"/>
      <c r="NVR312" s="239"/>
      <c r="NVS312" s="233"/>
      <c r="NVT312" s="235"/>
      <c r="NVU312" s="233"/>
      <c r="NVV312" s="234"/>
      <c r="NVW312" s="234"/>
      <c r="NVX312" s="242"/>
      <c r="NVY312" s="234"/>
      <c r="NVZ312" s="234"/>
      <c r="NWA312" s="234"/>
      <c r="NWB312" s="236"/>
      <c r="NWC312" s="244"/>
      <c r="NWD312" s="239"/>
      <c r="NWE312" s="240"/>
      <c r="NWF312" s="241"/>
      <c r="NWG312" s="239"/>
      <c r="NWH312" s="239"/>
      <c r="NWI312" s="239"/>
      <c r="NWJ312" s="239"/>
      <c r="NWK312" s="239"/>
      <c r="NWL312" s="239"/>
      <c r="NWM312" s="233"/>
      <c r="NWN312" s="235"/>
      <c r="NWO312" s="233"/>
      <c r="NWP312" s="234"/>
      <c r="NWQ312" s="234"/>
      <c r="NWR312" s="242"/>
      <c r="NWS312" s="234"/>
      <c r="NWT312" s="234"/>
      <c r="NWU312" s="234"/>
      <c r="NWV312" s="236"/>
      <c r="NWW312" s="244"/>
      <c r="NWX312" s="239"/>
      <c r="NWY312" s="240"/>
      <c r="NWZ312" s="241"/>
      <c r="NXA312" s="239"/>
      <c r="NXB312" s="239"/>
      <c r="NXC312" s="239"/>
      <c r="NXD312" s="239"/>
      <c r="NXE312" s="239"/>
      <c r="NXF312" s="239"/>
      <c r="NXG312" s="233"/>
      <c r="NXH312" s="235"/>
      <c r="NXI312" s="233"/>
      <c r="NXJ312" s="234"/>
      <c r="NXK312" s="234"/>
      <c r="NXL312" s="242"/>
      <c r="NXM312" s="234"/>
      <c r="NXN312" s="234"/>
      <c r="NXO312" s="234"/>
      <c r="NXP312" s="236"/>
      <c r="NXQ312" s="244"/>
      <c r="NXR312" s="239"/>
      <c r="NXS312" s="240"/>
      <c r="NXT312" s="241"/>
      <c r="NXU312" s="239"/>
      <c r="NXV312" s="239"/>
      <c r="NXW312" s="239"/>
      <c r="NXX312" s="239"/>
      <c r="NXY312" s="239"/>
      <c r="NXZ312" s="239"/>
      <c r="NYA312" s="233"/>
      <c r="NYB312" s="235"/>
      <c r="NYC312" s="233"/>
      <c r="NYD312" s="234"/>
      <c r="NYE312" s="234"/>
      <c r="NYF312" s="242"/>
      <c r="NYG312" s="234"/>
      <c r="NYH312" s="234"/>
      <c r="NYI312" s="234"/>
      <c r="NYJ312" s="236"/>
      <c r="NYK312" s="244"/>
      <c r="NYL312" s="239"/>
      <c r="NYM312" s="240"/>
      <c r="NYN312" s="241"/>
      <c r="NYO312" s="239"/>
      <c r="NYP312" s="239"/>
      <c r="NYQ312" s="239"/>
      <c r="NYR312" s="239"/>
      <c r="NYS312" s="239"/>
      <c r="NYT312" s="239"/>
      <c r="NYU312" s="233"/>
      <c r="NYV312" s="235"/>
      <c r="NYW312" s="233"/>
      <c r="NYX312" s="234"/>
      <c r="NYY312" s="234"/>
      <c r="NYZ312" s="242"/>
      <c r="NZA312" s="234"/>
      <c r="NZB312" s="234"/>
      <c r="NZC312" s="234"/>
      <c r="NZD312" s="236"/>
      <c r="NZE312" s="244"/>
      <c r="NZF312" s="239"/>
      <c r="NZG312" s="240"/>
      <c r="NZH312" s="241"/>
      <c r="NZI312" s="239"/>
      <c r="NZJ312" s="239"/>
      <c r="NZK312" s="239"/>
      <c r="NZL312" s="239"/>
      <c r="NZM312" s="239"/>
      <c r="NZN312" s="239"/>
      <c r="NZO312" s="233"/>
      <c r="NZP312" s="235"/>
      <c r="NZQ312" s="233"/>
      <c r="NZR312" s="234"/>
      <c r="NZS312" s="234"/>
      <c r="NZT312" s="242"/>
      <c r="NZU312" s="234"/>
      <c r="NZV312" s="234"/>
      <c r="NZW312" s="234"/>
      <c r="NZX312" s="236"/>
      <c r="NZY312" s="244"/>
      <c r="NZZ312" s="239"/>
      <c r="OAA312" s="240"/>
      <c r="OAB312" s="241"/>
      <c r="OAC312" s="239"/>
      <c r="OAD312" s="239"/>
      <c r="OAE312" s="239"/>
      <c r="OAF312" s="239"/>
      <c r="OAG312" s="239"/>
      <c r="OAH312" s="239"/>
      <c r="OAI312" s="233"/>
      <c r="OAJ312" s="235"/>
      <c r="OAK312" s="233"/>
      <c r="OAL312" s="234"/>
      <c r="OAM312" s="234"/>
      <c r="OAN312" s="242"/>
      <c r="OAO312" s="234"/>
      <c r="OAP312" s="234"/>
      <c r="OAQ312" s="234"/>
      <c r="OAR312" s="236"/>
      <c r="OAS312" s="244"/>
      <c r="OAT312" s="239"/>
      <c r="OAU312" s="240"/>
      <c r="OAV312" s="241"/>
      <c r="OAW312" s="239"/>
      <c r="OAX312" s="239"/>
      <c r="OAY312" s="239"/>
      <c r="OAZ312" s="239"/>
      <c r="OBA312" s="239"/>
      <c r="OBB312" s="239"/>
      <c r="OBC312" s="233"/>
      <c r="OBD312" s="235"/>
      <c r="OBE312" s="233"/>
      <c r="OBF312" s="234"/>
      <c r="OBG312" s="234"/>
      <c r="OBH312" s="242"/>
      <c r="OBI312" s="234"/>
      <c r="OBJ312" s="234"/>
      <c r="OBK312" s="234"/>
      <c r="OBL312" s="236"/>
      <c r="OBM312" s="244"/>
      <c r="OBN312" s="239"/>
      <c r="OBO312" s="240"/>
      <c r="OBP312" s="241"/>
      <c r="OBQ312" s="239"/>
      <c r="OBR312" s="239"/>
      <c r="OBS312" s="239"/>
      <c r="OBT312" s="239"/>
      <c r="OBU312" s="239"/>
      <c r="OBV312" s="239"/>
      <c r="OBW312" s="233"/>
      <c r="OBX312" s="235"/>
      <c r="OBY312" s="233"/>
      <c r="OBZ312" s="234"/>
      <c r="OCA312" s="234"/>
      <c r="OCB312" s="242"/>
      <c r="OCC312" s="234"/>
      <c r="OCD312" s="234"/>
      <c r="OCE312" s="234"/>
      <c r="OCF312" s="236"/>
      <c r="OCG312" s="244"/>
      <c r="OCH312" s="239"/>
      <c r="OCI312" s="240"/>
      <c r="OCJ312" s="241"/>
      <c r="OCK312" s="239"/>
      <c r="OCL312" s="239"/>
      <c r="OCM312" s="239"/>
      <c r="OCN312" s="239"/>
      <c r="OCO312" s="239"/>
      <c r="OCP312" s="239"/>
      <c r="OCQ312" s="233"/>
      <c r="OCR312" s="235"/>
      <c r="OCS312" s="233"/>
      <c r="OCT312" s="234"/>
      <c r="OCU312" s="234"/>
      <c r="OCV312" s="242"/>
      <c r="OCW312" s="234"/>
      <c r="OCX312" s="234"/>
      <c r="OCY312" s="234"/>
      <c r="OCZ312" s="236"/>
      <c r="ODA312" s="244"/>
      <c r="ODB312" s="239"/>
      <c r="ODC312" s="240"/>
      <c r="ODD312" s="241"/>
      <c r="ODE312" s="239"/>
      <c r="ODF312" s="239"/>
      <c r="ODG312" s="239"/>
      <c r="ODH312" s="239"/>
      <c r="ODI312" s="239"/>
      <c r="ODJ312" s="239"/>
      <c r="ODK312" s="233"/>
      <c r="ODL312" s="235"/>
      <c r="ODM312" s="233"/>
      <c r="ODN312" s="234"/>
      <c r="ODO312" s="234"/>
      <c r="ODP312" s="242"/>
      <c r="ODQ312" s="234"/>
      <c r="ODR312" s="234"/>
      <c r="ODS312" s="234"/>
      <c r="ODT312" s="236"/>
      <c r="ODU312" s="244"/>
      <c r="ODV312" s="239"/>
      <c r="ODW312" s="240"/>
      <c r="ODX312" s="241"/>
      <c r="ODY312" s="239"/>
      <c r="ODZ312" s="239"/>
      <c r="OEA312" s="239"/>
      <c r="OEB312" s="239"/>
      <c r="OEC312" s="239"/>
      <c r="OED312" s="239"/>
      <c r="OEE312" s="233"/>
      <c r="OEF312" s="235"/>
      <c r="OEG312" s="233"/>
      <c r="OEH312" s="234"/>
      <c r="OEI312" s="234"/>
      <c r="OEJ312" s="242"/>
      <c r="OEK312" s="234"/>
      <c r="OEL312" s="234"/>
      <c r="OEM312" s="234"/>
      <c r="OEN312" s="236"/>
      <c r="OEO312" s="244"/>
      <c r="OEP312" s="239"/>
      <c r="OEQ312" s="240"/>
      <c r="OER312" s="241"/>
      <c r="OES312" s="239"/>
      <c r="OET312" s="239"/>
      <c r="OEU312" s="239"/>
      <c r="OEV312" s="239"/>
      <c r="OEW312" s="239"/>
      <c r="OEX312" s="239"/>
      <c r="OEY312" s="233"/>
      <c r="OEZ312" s="235"/>
      <c r="OFA312" s="233"/>
      <c r="OFB312" s="234"/>
      <c r="OFC312" s="234"/>
      <c r="OFD312" s="242"/>
      <c r="OFE312" s="234"/>
      <c r="OFF312" s="234"/>
      <c r="OFG312" s="234"/>
      <c r="OFH312" s="236"/>
      <c r="OFI312" s="244"/>
      <c r="OFJ312" s="239"/>
      <c r="OFK312" s="240"/>
      <c r="OFL312" s="241"/>
      <c r="OFM312" s="239"/>
      <c r="OFN312" s="239"/>
      <c r="OFO312" s="239"/>
      <c r="OFP312" s="239"/>
      <c r="OFQ312" s="239"/>
      <c r="OFR312" s="239"/>
      <c r="OFS312" s="233"/>
      <c r="OFT312" s="235"/>
      <c r="OFU312" s="233"/>
      <c r="OFV312" s="234"/>
      <c r="OFW312" s="234"/>
      <c r="OFX312" s="242"/>
      <c r="OFY312" s="234"/>
      <c r="OFZ312" s="234"/>
      <c r="OGA312" s="234"/>
      <c r="OGB312" s="236"/>
      <c r="OGC312" s="244"/>
      <c r="OGD312" s="239"/>
      <c r="OGE312" s="240"/>
      <c r="OGF312" s="241"/>
      <c r="OGG312" s="239"/>
      <c r="OGH312" s="239"/>
      <c r="OGI312" s="239"/>
      <c r="OGJ312" s="239"/>
      <c r="OGK312" s="239"/>
      <c r="OGL312" s="239"/>
      <c r="OGM312" s="233"/>
      <c r="OGN312" s="235"/>
      <c r="OGO312" s="233"/>
      <c r="OGP312" s="234"/>
      <c r="OGQ312" s="234"/>
      <c r="OGR312" s="242"/>
      <c r="OGS312" s="234"/>
      <c r="OGT312" s="234"/>
      <c r="OGU312" s="234"/>
      <c r="OGV312" s="236"/>
      <c r="OGW312" s="244"/>
      <c r="OGX312" s="239"/>
      <c r="OGY312" s="240"/>
      <c r="OGZ312" s="241"/>
      <c r="OHA312" s="239"/>
      <c r="OHB312" s="239"/>
      <c r="OHC312" s="239"/>
      <c r="OHD312" s="239"/>
      <c r="OHE312" s="239"/>
      <c r="OHF312" s="239"/>
      <c r="OHG312" s="233"/>
      <c r="OHH312" s="235"/>
      <c r="OHI312" s="233"/>
      <c r="OHJ312" s="234"/>
      <c r="OHK312" s="234"/>
      <c r="OHL312" s="242"/>
      <c r="OHM312" s="234"/>
      <c r="OHN312" s="234"/>
      <c r="OHO312" s="234"/>
      <c r="OHP312" s="236"/>
      <c r="OHQ312" s="244"/>
      <c r="OHR312" s="239"/>
      <c r="OHS312" s="240"/>
      <c r="OHT312" s="241"/>
      <c r="OHU312" s="239"/>
      <c r="OHV312" s="239"/>
      <c r="OHW312" s="239"/>
      <c r="OHX312" s="239"/>
      <c r="OHY312" s="239"/>
      <c r="OHZ312" s="239"/>
      <c r="OIA312" s="233"/>
      <c r="OIB312" s="235"/>
      <c r="OIC312" s="233"/>
      <c r="OID312" s="234"/>
      <c r="OIE312" s="234"/>
      <c r="OIF312" s="242"/>
      <c r="OIG312" s="234"/>
      <c r="OIH312" s="234"/>
      <c r="OII312" s="234"/>
      <c r="OIJ312" s="236"/>
      <c r="OIK312" s="244"/>
      <c r="OIL312" s="239"/>
      <c r="OIM312" s="240"/>
      <c r="OIN312" s="241"/>
      <c r="OIO312" s="239"/>
      <c r="OIP312" s="239"/>
      <c r="OIQ312" s="239"/>
      <c r="OIR312" s="239"/>
      <c r="OIS312" s="239"/>
      <c r="OIT312" s="239"/>
      <c r="OIU312" s="233"/>
      <c r="OIV312" s="235"/>
      <c r="OIW312" s="233"/>
      <c r="OIX312" s="234"/>
      <c r="OIY312" s="234"/>
      <c r="OIZ312" s="242"/>
      <c r="OJA312" s="234"/>
      <c r="OJB312" s="234"/>
      <c r="OJC312" s="234"/>
      <c r="OJD312" s="236"/>
      <c r="OJE312" s="244"/>
      <c r="OJF312" s="239"/>
      <c r="OJG312" s="240"/>
      <c r="OJH312" s="241"/>
      <c r="OJI312" s="239"/>
      <c r="OJJ312" s="239"/>
      <c r="OJK312" s="239"/>
      <c r="OJL312" s="239"/>
      <c r="OJM312" s="239"/>
      <c r="OJN312" s="239"/>
      <c r="OJO312" s="233"/>
      <c r="OJP312" s="235"/>
      <c r="OJQ312" s="233"/>
      <c r="OJR312" s="234"/>
      <c r="OJS312" s="234"/>
      <c r="OJT312" s="242"/>
      <c r="OJU312" s="234"/>
      <c r="OJV312" s="234"/>
      <c r="OJW312" s="234"/>
      <c r="OJX312" s="236"/>
      <c r="OJY312" s="244"/>
      <c r="OJZ312" s="239"/>
      <c r="OKA312" s="240"/>
      <c r="OKB312" s="241"/>
      <c r="OKC312" s="239"/>
      <c r="OKD312" s="239"/>
      <c r="OKE312" s="239"/>
      <c r="OKF312" s="239"/>
      <c r="OKG312" s="239"/>
      <c r="OKH312" s="239"/>
      <c r="OKI312" s="233"/>
      <c r="OKJ312" s="235"/>
      <c r="OKK312" s="233"/>
      <c r="OKL312" s="234"/>
      <c r="OKM312" s="234"/>
      <c r="OKN312" s="242"/>
      <c r="OKO312" s="234"/>
      <c r="OKP312" s="234"/>
      <c r="OKQ312" s="234"/>
      <c r="OKR312" s="236"/>
      <c r="OKS312" s="244"/>
      <c r="OKT312" s="239"/>
      <c r="OKU312" s="240"/>
      <c r="OKV312" s="241"/>
      <c r="OKW312" s="239"/>
      <c r="OKX312" s="239"/>
      <c r="OKY312" s="239"/>
      <c r="OKZ312" s="239"/>
      <c r="OLA312" s="239"/>
      <c r="OLB312" s="239"/>
      <c r="OLC312" s="233"/>
      <c r="OLD312" s="235"/>
      <c r="OLE312" s="233"/>
      <c r="OLF312" s="234"/>
      <c r="OLG312" s="234"/>
      <c r="OLH312" s="242"/>
      <c r="OLI312" s="234"/>
      <c r="OLJ312" s="234"/>
      <c r="OLK312" s="234"/>
      <c r="OLL312" s="236"/>
      <c r="OLM312" s="244"/>
      <c r="OLN312" s="239"/>
      <c r="OLO312" s="240"/>
      <c r="OLP312" s="241"/>
      <c r="OLQ312" s="239"/>
      <c r="OLR312" s="239"/>
      <c r="OLS312" s="239"/>
      <c r="OLT312" s="239"/>
      <c r="OLU312" s="239"/>
      <c r="OLV312" s="239"/>
      <c r="OLW312" s="233"/>
      <c r="OLX312" s="235"/>
      <c r="OLY312" s="233"/>
      <c r="OLZ312" s="234"/>
      <c r="OMA312" s="234"/>
      <c r="OMB312" s="242"/>
      <c r="OMC312" s="234"/>
      <c r="OMD312" s="234"/>
      <c r="OME312" s="234"/>
      <c r="OMF312" s="236"/>
      <c r="OMG312" s="244"/>
      <c r="OMH312" s="239"/>
      <c r="OMI312" s="240"/>
      <c r="OMJ312" s="241"/>
      <c r="OMK312" s="239"/>
      <c r="OML312" s="239"/>
      <c r="OMM312" s="239"/>
      <c r="OMN312" s="239"/>
      <c r="OMO312" s="239"/>
      <c r="OMP312" s="239"/>
      <c r="OMQ312" s="233"/>
      <c r="OMR312" s="235"/>
      <c r="OMS312" s="233"/>
      <c r="OMT312" s="234"/>
      <c r="OMU312" s="234"/>
      <c r="OMV312" s="242"/>
      <c r="OMW312" s="234"/>
      <c r="OMX312" s="234"/>
      <c r="OMY312" s="234"/>
      <c r="OMZ312" s="236"/>
      <c r="ONA312" s="244"/>
      <c r="ONB312" s="239"/>
      <c r="ONC312" s="240"/>
      <c r="OND312" s="241"/>
      <c r="ONE312" s="239"/>
      <c r="ONF312" s="239"/>
      <c r="ONG312" s="239"/>
      <c r="ONH312" s="239"/>
      <c r="ONI312" s="239"/>
      <c r="ONJ312" s="239"/>
      <c r="ONK312" s="233"/>
      <c r="ONL312" s="235"/>
      <c r="ONM312" s="233"/>
      <c r="ONN312" s="234"/>
      <c r="ONO312" s="234"/>
      <c r="ONP312" s="242"/>
      <c r="ONQ312" s="234"/>
      <c r="ONR312" s="234"/>
      <c r="ONS312" s="234"/>
      <c r="ONT312" s="236"/>
      <c r="ONU312" s="244"/>
      <c r="ONV312" s="239"/>
      <c r="ONW312" s="240"/>
      <c r="ONX312" s="241"/>
      <c r="ONY312" s="239"/>
      <c r="ONZ312" s="239"/>
      <c r="OOA312" s="239"/>
      <c r="OOB312" s="239"/>
      <c r="OOC312" s="239"/>
      <c r="OOD312" s="239"/>
      <c r="OOE312" s="233"/>
      <c r="OOF312" s="235"/>
      <c r="OOG312" s="233"/>
      <c r="OOH312" s="234"/>
      <c r="OOI312" s="234"/>
      <c r="OOJ312" s="242"/>
      <c r="OOK312" s="234"/>
      <c r="OOL312" s="234"/>
      <c r="OOM312" s="234"/>
      <c r="OON312" s="236"/>
      <c r="OOO312" s="244"/>
      <c r="OOP312" s="239"/>
      <c r="OOQ312" s="240"/>
      <c r="OOR312" s="241"/>
      <c r="OOS312" s="239"/>
      <c r="OOT312" s="239"/>
      <c r="OOU312" s="239"/>
      <c r="OOV312" s="239"/>
      <c r="OOW312" s="239"/>
      <c r="OOX312" s="239"/>
      <c r="OOY312" s="233"/>
      <c r="OOZ312" s="235"/>
      <c r="OPA312" s="233"/>
      <c r="OPB312" s="234"/>
      <c r="OPC312" s="234"/>
      <c r="OPD312" s="242"/>
      <c r="OPE312" s="234"/>
      <c r="OPF312" s="234"/>
      <c r="OPG312" s="234"/>
      <c r="OPH312" s="236"/>
      <c r="OPI312" s="244"/>
      <c r="OPJ312" s="239"/>
      <c r="OPK312" s="240"/>
      <c r="OPL312" s="241"/>
      <c r="OPM312" s="239"/>
      <c r="OPN312" s="239"/>
      <c r="OPO312" s="239"/>
      <c r="OPP312" s="239"/>
      <c r="OPQ312" s="239"/>
      <c r="OPR312" s="239"/>
      <c r="OPS312" s="233"/>
      <c r="OPT312" s="235"/>
      <c r="OPU312" s="233"/>
      <c r="OPV312" s="234"/>
      <c r="OPW312" s="234"/>
      <c r="OPX312" s="242"/>
      <c r="OPY312" s="234"/>
      <c r="OPZ312" s="234"/>
      <c r="OQA312" s="234"/>
      <c r="OQB312" s="236"/>
      <c r="OQC312" s="244"/>
      <c r="OQD312" s="239"/>
      <c r="OQE312" s="240"/>
      <c r="OQF312" s="241"/>
      <c r="OQG312" s="239"/>
      <c r="OQH312" s="239"/>
      <c r="OQI312" s="239"/>
      <c r="OQJ312" s="239"/>
      <c r="OQK312" s="239"/>
      <c r="OQL312" s="239"/>
      <c r="OQM312" s="233"/>
      <c r="OQN312" s="235"/>
      <c r="OQO312" s="233"/>
      <c r="OQP312" s="234"/>
      <c r="OQQ312" s="234"/>
      <c r="OQR312" s="242"/>
      <c r="OQS312" s="234"/>
      <c r="OQT312" s="234"/>
      <c r="OQU312" s="234"/>
      <c r="OQV312" s="236"/>
      <c r="OQW312" s="244"/>
      <c r="OQX312" s="239"/>
      <c r="OQY312" s="240"/>
      <c r="OQZ312" s="241"/>
      <c r="ORA312" s="239"/>
      <c r="ORB312" s="239"/>
      <c r="ORC312" s="239"/>
      <c r="ORD312" s="239"/>
      <c r="ORE312" s="239"/>
      <c r="ORF312" s="239"/>
      <c r="ORG312" s="233"/>
      <c r="ORH312" s="235"/>
      <c r="ORI312" s="233"/>
      <c r="ORJ312" s="234"/>
      <c r="ORK312" s="234"/>
      <c r="ORL312" s="242"/>
      <c r="ORM312" s="234"/>
      <c r="ORN312" s="234"/>
      <c r="ORO312" s="234"/>
      <c r="ORP312" s="236"/>
      <c r="ORQ312" s="244"/>
      <c r="ORR312" s="239"/>
      <c r="ORS312" s="240"/>
      <c r="ORT312" s="241"/>
      <c r="ORU312" s="239"/>
      <c r="ORV312" s="239"/>
      <c r="ORW312" s="239"/>
      <c r="ORX312" s="239"/>
      <c r="ORY312" s="239"/>
      <c r="ORZ312" s="239"/>
      <c r="OSA312" s="233"/>
      <c r="OSB312" s="235"/>
      <c r="OSC312" s="233"/>
      <c r="OSD312" s="234"/>
      <c r="OSE312" s="234"/>
      <c r="OSF312" s="242"/>
      <c r="OSG312" s="234"/>
      <c r="OSH312" s="234"/>
      <c r="OSI312" s="234"/>
      <c r="OSJ312" s="236"/>
      <c r="OSK312" s="244"/>
      <c r="OSL312" s="239"/>
      <c r="OSM312" s="240"/>
      <c r="OSN312" s="241"/>
      <c r="OSO312" s="239"/>
      <c r="OSP312" s="239"/>
      <c r="OSQ312" s="239"/>
      <c r="OSR312" s="239"/>
      <c r="OSS312" s="239"/>
      <c r="OST312" s="239"/>
      <c r="OSU312" s="233"/>
      <c r="OSV312" s="235"/>
      <c r="OSW312" s="233"/>
      <c r="OSX312" s="234"/>
      <c r="OSY312" s="234"/>
      <c r="OSZ312" s="242"/>
      <c r="OTA312" s="234"/>
      <c r="OTB312" s="234"/>
      <c r="OTC312" s="234"/>
      <c r="OTD312" s="236"/>
      <c r="OTE312" s="244"/>
      <c r="OTF312" s="239"/>
      <c r="OTG312" s="240"/>
      <c r="OTH312" s="241"/>
      <c r="OTI312" s="239"/>
      <c r="OTJ312" s="239"/>
      <c r="OTK312" s="239"/>
      <c r="OTL312" s="239"/>
      <c r="OTM312" s="239"/>
      <c r="OTN312" s="239"/>
      <c r="OTO312" s="233"/>
      <c r="OTP312" s="235"/>
      <c r="OTQ312" s="233"/>
      <c r="OTR312" s="234"/>
      <c r="OTS312" s="234"/>
      <c r="OTT312" s="242"/>
      <c r="OTU312" s="234"/>
      <c r="OTV312" s="234"/>
      <c r="OTW312" s="234"/>
      <c r="OTX312" s="236"/>
      <c r="OTY312" s="244"/>
      <c r="OTZ312" s="239"/>
      <c r="OUA312" s="240"/>
      <c r="OUB312" s="241"/>
      <c r="OUC312" s="239"/>
      <c r="OUD312" s="239"/>
      <c r="OUE312" s="239"/>
      <c r="OUF312" s="239"/>
      <c r="OUG312" s="239"/>
      <c r="OUH312" s="239"/>
      <c r="OUI312" s="233"/>
      <c r="OUJ312" s="235"/>
      <c r="OUK312" s="233"/>
      <c r="OUL312" s="234"/>
      <c r="OUM312" s="234"/>
      <c r="OUN312" s="242"/>
      <c r="OUO312" s="234"/>
      <c r="OUP312" s="234"/>
      <c r="OUQ312" s="234"/>
      <c r="OUR312" s="236"/>
      <c r="OUS312" s="244"/>
      <c r="OUT312" s="239"/>
      <c r="OUU312" s="240"/>
      <c r="OUV312" s="241"/>
      <c r="OUW312" s="239"/>
      <c r="OUX312" s="239"/>
      <c r="OUY312" s="239"/>
      <c r="OUZ312" s="239"/>
      <c r="OVA312" s="239"/>
      <c r="OVB312" s="239"/>
      <c r="OVC312" s="233"/>
      <c r="OVD312" s="235"/>
      <c r="OVE312" s="233"/>
      <c r="OVF312" s="234"/>
      <c r="OVG312" s="234"/>
      <c r="OVH312" s="242"/>
      <c r="OVI312" s="234"/>
      <c r="OVJ312" s="234"/>
      <c r="OVK312" s="234"/>
      <c r="OVL312" s="236"/>
      <c r="OVM312" s="244"/>
      <c r="OVN312" s="239"/>
      <c r="OVO312" s="240"/>
      <c r="OVP312" s="241"/>
      <c r="OVQ312" s="239"/>
      <c r="OVR312" s="239"/>
      <c r="OVS312" s="239"/>
      <c r="OVT312" s="239"/>
      <c r="OVU312" s="239"/>
      <c r="OVV312" s="239"/>
      <c r="OVW312" s="233"/>
      <c r="OVX312" s="235"/>
      <c r="OVY312" s="233"/>
      <c r="OVZ312" s="234"/>
      <c r="OWA312" s="234"/>
      <c r="OWB312" s="242"/>
      <c r="OWC312" s="234"/>
      <c r="OWD312" s="234"/>
      <c r="OWE312" s="234"/>
      <c r="OWF312" s="236"/>
      <c r="OWG312" s="244"/>
      <c r="OWH312" s="239"/>
      <c r="OWI312" s="240"/>
      <c r="OWJ312" s="241"/>
      <c r="OWK312" s="239"/>
      <c r="OWL312" s="239"/>
      <c r="OWM312" s="239"/>
      <c r="OWN312" s="239"/>
      <c r="OWO312" s="239"/>
      <c r="OWP312" s="239"/>
      <c r="OWQ312" s="233"/>
      <c r="OWR312" s="235"/>
      <c r="OWS312" s="233"/>
      <c r="OWT312" s="234"/>
      <c r="OWU312" s="234"/>
      <c r="OWV312" s="242"/>
      <c r="OWW312" s="234"/>
      <c r="OWX312" s="234"/>
      <c r="OWY312" s="234"/>
      <c r="OWZ312" s="236"/>
      <c r="OXA312" s="244"/>
      <c r="OXB312" s="239"/>
      <c r="OXC312" s="240"/>
      <c r="OXD312" s="241"/>
      <c r="OXE312" s="239"/>
      <c r="OXF312" s="239"/>
      <c r="OXG312" s="239"/>
      <c r="OXH312" s="239"/>
      <c r="OXI312" s="239"/>
      <c r="OXJ312" s="239"/>
      <c r="OXK312" s="233"/>
      <c r="OXL312" s="235"/>
      <c r="OXM312" s="233"/>
      <c r="OXN312" s="234"/>
      <c r="OXO312" s="234"/>
      <c r="OXP312" s="242"/>
      <c r="OXQ312" s="234"/>
      <c r="OXR312" s="234"/>
      <c r="OXS312" s="234"/>
      <c r="OXT312" s="236"/>
      <c r="OXU312" s="244"/>
      <c r="OXV312" s="239"/>
      <c r="OXW312" s="240"/>
      <c r="OXX312" s="241"/>
      <c r="OXY312" s="239"/>
      <c r="OXZ312" s="239"/>
      <c r="OYA312" s="239"/>
      <c r="OYB312" s="239"/>
      <c r="OYC312" s="239"/>
      <c r="OYD312" s="239"/>
      <c r="OYE312" s="233"/>
      <c r="OYF312" s="235"/>
      <c r="OYG312" s="233"/>
      <c r="OYH312" s="234"/>
      <c r="OYI312" s="234"/>
      <c r="OYJ312" s="242"/>
      <c r="OYK312" s="234"/>
      <c r="OYL312" s="234"/>
      <c r="OYM312" s="234"/>
      <c r="OYN312" s="236"/>
      <c r="OYO312" s="244"/>
      <c r="OYP312" s="239"/>
      <c r="OYQ312" s="240"/>
      <c r="OYR312" s="241"/>
      <c r="OYS312" s="239"/>
      <c r="OYT312" s="239"/>
      <c r="OYU312" s="239"/>
      <c r="OYV312" s="239"/>
      <c r="OYW312" s="239"/>
      <c r="OYX312" s="239"/>
      <c r="OYY312" s="233"/>
      <c r="OYZ312" s="235"/>
      <c r="OZA312" s="233"/>
      <c r="OZB312" s="234"/>
      <c r="OZC312" s="234"/>
      <c r="OZD312" s="242"/>
      <c r="OZE312" s="234"/>
      <c r="OZF312" s="234"/>
      <c r="OZG312" s="234"/>
      <c r="OZH312" s="236"/>
      <c r="OZI312" s="244"/>
      <c r="OZJ312" s="239"/>
      <c r="OZK312" s="240"/>
      <c r="OZL312" s="241"/>
      <c r="OZM312" s="239"/>
      <c r="OZN312" s="239"/>
      <c r="OZO312" s="239"/>
      <c r="OZP312" s="239"/>
      <c r="OZQ312" s="239"/>
      <c r="OZR312" s="239"/>
      <c r="OZS312" s="233"/>
      <c r="OZT312" s="235"/>
      <c r="OZU312" s="233"/>
      <c r="OZV312" s="234"/>
      <c r="OZW312" s="234"/>
      <c r="OZX312" s="242"/>
      <c r="OZY312" s="234"/>
      <c r="OZZ312" s="234"/>
      <c r="PAA312" s="234"/>
      <c r="PAB312" s="236"/>
      <c r="PAC312" s="244"/>
      <c r="PAD312" s="239"/>
      <c r="PAE312" s="240"/>
      <c r="PAF312" s="241"/>
      <c r="PAG312" s="239"/>
      <c r="PAH312" s="239"/>
      <c r="PAI312" s="239"/>
      <c r="PAJ312" s="239"/>
      <c r="PAK312" s="239"/>
      <c r="PAL312" s="239"/>
      <c r="PAM312" s="233"/>
      <c r="PAN312" s="235"/>
      <c r="PAO312" s="233"/>
      <c r="PAP312" s="234"/>
      <c r="PAQ312" s="234"/>
      <c r="PAR312" s="242"/>
      <c r="PAS312" s="234"/>
      <c r="PAT312" s="234"/>
      <c r="PAU312" s="234"/>
      <c r="PAV312" s="236"/>
      <c r="PAW312" s="244"/>
      <c r="PAX312" s="239"/>
      <c r="PAY312" s="240"/>
      <c r="PAZ312" s="241"/>
      <c r="PBA312" s="239"/>
      <c r="PBB312" s="239"/>
      <c r="PBC312" s="239"/>
      <c r="PBD312" s="239"/>
      <c r="PBE312" s="239"/>
      <c r="PBF312" s="239"/>
      <c r="PBG312" s="233"/>
      <c r="PBH312" s="235"/>
      <c r="PBI312" s="233"/>
      <c r="PBJ312" s="234"/>
      <c r="PBK312" s="234"/>
      <c r="PBL312" s="242"/>
      <c r="PBM312" s="234"/>
      <c r="PBN312" s="234"/>
      <c r="PBO312" s="234"/>
      <c r="PBP312" s="236"/>
      <c r="PBQ312" s="244"/>
      <c r="PBR312" s="239"/>
      <c r="PBS312" s="240"/>
      <c r="PBT312" s="241"/>
      <c r="PBU312" s="239"/>
      <c r="PBV312" s="239"/>
      <c r="PBW312" s="239"/>
      <c r="PBX312" s="239"/>
      <c r="PBY312" s="239"/>
      <c r="PBZ312" s="239"/>
      <c r="PCA312" s="233"/>
      <c r="PCB312" s="235"/>
      <c r="PCC312" s="233"/>
      <c r="PCD312" s="234"/>
      <c r="PCE312" s="234"/>
      <c r="PCF312" s="242"/>
      <c r="PCG312" s="234"/>
      <c r="PCH312" s="234"/>
      <c r="PCI312" s="234"/>
      <c r="PCJ312" s="236"/>
      <c r="PCK312" s="244"/>
      <c r="PCL312" s="239"/>
      <c r="PCM312" s="240"/>
      <c r="PCN312" s="241"/>
      <c r="PCO312" s="239"/>
      <c r="PCP312" s="239"/>
      <c r="PCQ312" s="239"/>
      <c r="PCR312" s="239"/>
      <c r="PCS312" s="239"/>
      <c r="PCT312" s="239"/>
      <c r="PCU312" s="233"/>
      <c r="PCV312" s="235"/>
      <c r="PCW312" s="233"/>
      <c r="PCX312" s="234"/>
      <c r="PCY312" s="234"/>
      <c r="PCZ312" s="242"/>
      <c r="PDA312" s="234"/>
      <c r="PDB312" s="234"/>
      <c r="PDC312" s="234"/>
      <c r="PDD312" s="236"/>
      <c r="PDE312" s="244"/>
      <c r="PDF312" s="239"/>
      <c r="PDG312" s="240"/>
      <c r="PDH312" s="241"/>
      <c r="PDI312" s="239"/>
      <c r="PDJ312" s="239"/>
      <c r="PDK312" s="239"/>
      <c r="PDL312" s="239"/>
      <c r="PDM312" s="239"/>
      <c r="PDN312" s="239"/>
      <c r="PDO312" s="233"/>
      <c r="PDP312" s="235"/>
      <c r="PDQ312" s="233"/>
      <c r="PDR312" s="234"/>
      <c r="PDS312" s="234"/>
      <c r="PDT312" s="242"/>
      <c r="PDU312" s="234"/>
      <c r="PDV312" s="234"/>
      <c r="PDW312" s="234"/>
      <c r="PDX312" s="236"/>
      <c r="PDY312" s="244"/>
      <c r="PDZ312" s="239"/>
      <c r="PEA312" s="240"/>
      <c r="PEB312" s="241"/>
      <c r="PEC312" s="239"/>
      <c r="PED312" s="239"/>
      <c r="PEE312" s="239"/>
      <c r="PEF312" s="239"/>
      <c r="PEG312" s="239"/>
      <c r="PEH312" s="239"/>
      <c r="PEI312" s="233"/>
      <c r="PEJ312" s="235"/>
      <c r="PEK312" s="233"/>
      <c r="PEL312" s="234"/>
      <c r="PEM312" s="234"/>
      <c r="PEN312" s="242"/>
      <c r="PEO312" s="234"/>
      <c r="PEP312" s="234"/>
      <c r="PEQ312" s="234"/>
      <c r="PER312" s="236"/>
      <c r="PES312" s="244"/>
      <c r="PET312" s="239"/>
      <c r="PEU312" s="240"/>
      <c r="PEV312" s="241"/>
      <c r="PEW312" s="239"/>
      <c r="PEX312" s="239"/>
      <c r="PEY312" s="239"/>
      <c r="PEZ312" s="239"/>
      <c r="PFA312" s="239"/>
      <c r="PFB312" s="239"/>
      <c r="PFC312" s="233"/>
      <c r="PFD312" s="235"/>
      <c r="PFE312" s="233"/>
      <c r="PFF312" s="234"/>
      <c r="PFG312" s="234"/>
      <c r="PFH312" s="242"/>
      <c r="PFI312" s="234"/>
      <c r="PFJ312" s="234"/>
      <c r="PFK312" s="234"/>
      <c r="PFL312" s="236"/>
      <c r="PFM312" s="244"/>
      <c r="PFN312" s="239"/>
      <c r="PFO312" s="240"/>
      <c r="PFP312" s="241"/>
      <c r="PFQ312" s="239"/>
      <c r="PFR312" s="239"/>
      <c r="PFS312" s="239"/>
      <c r="PFT312" s="239"/>
      <c r="PFU312" s="239"/>
      <c r="PFV312" s="239"/>
      <c r="PFW312" s="233"/>
      <c r="PFX312" s="235"/>
      <c r="PFY312" s="233"/>
      <c r="PFZ312" s="234"/>
      <c r="PGA312" s="234"/>
      <c r="PGB312" s="242"/>
      <c r="PGC312" s="234"/>
      <c r="PGD312" s="234"/>
      <c r="PGE312" s="234"/>
      <c r="PGF312" s="236"/>
      <c r="PGG312" s="244"/>
      <c r="PGH312" s="239"/>
      <c r="PGI312" s="240"/>
      <c r="PGJ312" s="241"/>
      <c r="PGK312" s="239"/>
      <c r="PGL312" s="239"/>
      <c r="PGM312" s="239"/>
      <c r="PGN312" s="239"/>
      <c r="PGO312" s="239"/>
      <c r="PGP312" s="239"/>
      <c r="PGQ312" s="233"/>
      <c r="PGR312" s="235"/>
      <c r="PGS312" s="233"/>
      <c r="PGT312" s="234"/>
      <c r="PGU312" s="234"/>
      <c r="PGV312" s="242"/>
      <c r="PGW312" s="234"/>
      <c r="PGX312" s="234"/>
      <c r="PGY312" s="234"/>
      <c r="PGZ312" s="236"/>
      <c r="PHA312" s="244"/>
      <c r="PHB312" s="239"/>
      <c r="PHC312" s="240"/>
      <c r="PHD312" s="241"/>
      <c r="PHE312" s="239"/>
      <c r="PHF312" s="239"/>
      <c r="PHG312" s="239"/>
      <c r="PHH312" s="239"/>
      <c r="PHI312" s="239"/>
      <c r="PHJ312" s="239"/>
      <c r="PHK312" s="233"/>
      <c r="PHL312" s="235"/>
      <c r="PHM312" s="233"/>
      <c r="PHN312" s="234"/>
      <c r="PHO312" s="234"/>
      <c r="PHP312" s="242"/>
      <c r="PHQ312" s="234"/>
      <c r="PHR312" s="234"/>
      <c r="PHS312" s="234"/>
      <c r="PHT312" s="236"/>
      <c r="PHU312" s="244"/>
      <c r="PHV312" s="239"/>
      <c r="PHW312" s="240"/>
      <c r="PHX312" s="241"/>
      <c r="PHY312" s="239"/>
      <c r="PHZ312" s="239"/>
      <c r="PIA312" s="239"/>
      <c r="PIB312" s="239"/>
      <c r="PIC312" s="239"/>
      <c r="PID312" s="239"/>
      <c r="PIE312" s="233"/>
      <c r="PIF312" s="235"/>
      <c r="PIG312" s="233"/>
      <c r="PIH312" s="234"/>
      <c r="PII312" s="234"/>
      <c r="PIJ312" s="242"/>
      <c r="PIK312" s="234"/>
      <c r="PIL312" s="234"/>
      <c r="PIM312" s="234"/>
      <c r="PIN312" s="236"/>
      <c r="PIO312" s="244"/>
      <c r="PIP312" s="239"/>
      <c r="PIQ312" s="240"/>
      <c r="PIR312" s="241"/>
      <c r="PIS312" s="239"/>
      <c r="PIT312" s="239"/>
      <c r="PIU312" s="239"/>
      <c r="PIV312" s="239"/>
      <c r="PIW312" s="239"/>
      <c r="PIX312" s="239"/>
      <c r="PIY312" s="233"/>
      <c r="PIZ312" s="235"/>
      <c r="PJA312" s="233"/>
      <c r="PJB312" s="234"/>
      <c r="PJC312" s="234"/>
      <c r="PJD312" s="242"/>
      <c r="PJE312" s="234"/>
      <c r="PJF312" s="234"/>
      <c r="PJG312" s="234"/>
      <c r="PJH312" s="236"/>
      <c r="PJI312" s="244"/>
      <c r="PJJ312" s="239"/>
      <c r="PJK312" s="240"/>
      <c r="PJL312" s="241"/>
      <c r="PJM312" s="239"/>
      <c r="PJN312" s="239"/>
      <c r="PJO312" s="239"/>
      <c r="PJP312" s="239"/>
      <c r="PJQ312" s="239"/>
      <c r="PJR312" s="239"/>
      <c r="PJS312" s="233"/>
      <c r="PJT312" s="235"/>
      <c r="PJU312" s="233"/>
      <c r="PJV312" s="234"/>
      <c r="PJW312" s="234"/>
      <c r="PJX312" s="242"/>
      <c r="PJY312" s="234"/>
      <c r="PJZ312" s="234"/>
      <c r="PKA312" s="234"/>
      <c r="PKB312" s="236"/>
      <c r="PKC312" s="244"/>
      <c r="PKD312" s="239"/>
      <c r="PKE312" s="240"/>
      <c r="PKF312" s="241"/>
      <c r="PKG312" s="239"/>
      <c r="PKH312" s="239"/>
      <c r="PKI312" s="239"/>
      <c r="PKJ312" s="239"/>
      <c r="PKK312" s="239"/>
      <c r="PKL312" s="239"/>
      <c r="PKM312" s="233"/>
      <c r="PKN312" s="235"/>
      <c r="PKO312" s="233"/>
      <c r="PKP312" s="234"/>
      <c r="PKQ312" s="234"/>
      <c r="PKR312" s="242"/>
      <c r="PKS312" s="234"/>
      <c r="PKT312" s="234"/>
      <c r="PKU312" s="234"/>
      <c r="PKV312" s="236"/>
      <c r="PKW312" s="244"/>
      <c r="PKX312" s="239"/>
      <c r="PKY312" s="240"/>
      <c r="PKZ312" s="241"/>
      <c r="PLA312" s="239"/>
      <c r="PLB312" s="239"/>
      <c r="PLC312" s="239"/>
      <c r="PLD312" s="239"/>
      <c r="PLE312" s="239"/>
      <c r="PLF312" s="239"/>
      <c r="PLG312" s="233"/>
      <c r="PLH312" s="235"/>
      <c r="PLI312" s="233"/>
      <c r="PLJ312" s="234"/>
      <c r="PLK312" s="234"/>
      <c r="PLL312" s="242"/>
      <c r="PLM312" s="234"/>
      <c r="PLN312" s="234"/>
      <c r="PLO312" s="234"/>
      <c r="PLP312" s="236"/>
      <c r="PLQ312" s="244"/>
      <c r="PLR312" s="239"/>
      <c r="PLS312" s="240"/>
      <c r="PLT312" s="241"/>
      <c r="PLU312" s="239"/>
      <c r="PLV312" s="239"/>
      <c r="PLW312" s="239"/>
      <c r="PLX312" s="239"/>
      <c r="PLY312" s="239"/>
      <c r="PLZ312" s="239"/>
      <c r="PMA312" s="233"/>
      <c r="PMB312" s="235"/>
      <c r="PMC312" s="233"/>
      <c r="PMD312" s="234"/>
      <c r="PME312" s="234"/>
      <c r="PMF312" s="242"/>
      <c r="PMG312" s="234"/>
      <c r="PMH312" s="234"/>
      <c r="PMI312" s="234"/>
      <c r="PMJ312" s="236"/>
      <c r="PMK312" s="244"/>
      <c r="PML312" s="239"/>
      <c r="PMM312" s="240"/>
      <c r="PMN312" s="241"/>
      <c r="PMO312" s="239"/>
      <c r="PMP312" s="239"/>
      <c r="PMQ312" s="239"/>
      <c r="PMR312" s="239"/>
      <c r="PMS312" s="239"/>
      <c r="PMT312" s="239"/>
      <c r="PMU312" s="233"/>
      <c r="PMV312" s="235"/>
      <c r="PMW312" s="233"/>
      <c r="PMX312" s="234"/>
      <c r="PMY312" s="234"/>
      <c r="PMZ312" s="242"/>
      <c r="PNA312" s="234"/>
      <c r="PNB312" s="234"/>
      <c r="PNC312" s="234"/>
      <c r="PND312" s="236"/>
      <c r="PNE312" s="244"/>
      <c r="PNF312" s="239"/>
      <c r="PNG312" s="240"/>
      <c r="PNH312" s="241"/>
      <c r="PNI312" s="239"/>
      <c r="PNJ312" s="239"/>
      <c r="PNK312" s="239"/>
      <c r="PNL312" s="239"/>
      <c r="PNM312" s="239"/>
      <c r="PNN312" s="239"/>
      <c r="PNO312" s="233"/>
      <c r="PNP312" s="235"/>
      <c r="PNQ312" s="233"/>
      <c r="PNR312" s="234"/>
      <c r="PNS312" s="234"/>
      <c r="PNT312" s="242"/>
      <c r="PNU312" s="234"/>
      <c r="PNV312" s="234"/>
      <c r="PNW312" s="234"/>
      <c r="PNX312" s="236"/>
      <c r="PNY312" s="244"/>
      <c r="PNZ312" s="239"/>
      <c r="POA312" s="240"/>
      <c r="POB312" s="241"/>
      <c r="POC312" s="239"/>
      <c r="POD312" s="239"/>
      <c r="POE312" s="239"/>
      <c r="POF312" s="239"/>
      <c r="POG312" s="239"/>
      <c r="POH312" s="239"/>
      <c r="POI312" s="233"/>
      <c r="POJ312" s="235"/>
      <c r="POK312" s="233"/>
      <c r="POL312" s="234"/>
      <c r="POM312" s="234"/>
      <c r="PON312" s="242"/>
      <c r="POO312" s="234"/>
      <c r="POP312" s="234"/>
      <c r="POQ312" s="234"/>
      <c r="POR312" s="236"/>
      <c r="POS312" s="244"/>
      <c r="POT312" s="239"/>
      <c r="POU312" s="240"/>
      <c r="POV312" s="241"/>
      <c r="POW312" s="239"/>
      <c r="POX312" s="239"/>
      <c r="POY312" s="239"/>
      <c r="POZ312" s="239"/>
      <c r="PPA312" s="239"/>
      <c r="PPB312" s="239"/>
      <c r="PPC312" s="233"/>
      <c r="PPD312" s="235"/>
      <c r="PPE312" s="233"/>
      <c r="PPF312" s="234"/>
      <c r="PPG312" s="234"/>
      <c r="PPH312" s="242"/>
      <c r="PPI312" s="234"/>
      <c r="PPJ312" s="234"/>
      <c r="PPK312" s="234"/>
      <c r="PPL312" s="236"/>
      <c r="PPM312" s="244"/>
      <c r="PPN312" s="239"/>
      <c r="PPO312" s="240"/>
      <c r="PPP312" s="241"/>
      <c r="PPQ312" s="239"/>
      <c r="PPR312" s="239"/>
      <c r="PPS312" s="239"/>
      <c r="PPT312" s="239"/>
      <c r="PPU312" s="239"/>
      <c r="PPV312" s="239"/>
      <c r="PPW312" s="233"/>
      <c r="PPX312" s="235"/>
      <c r="PPY312" s="233"/>
      <c r="PPZ312" s="234"/>
      <c r="PQA312" s="234"/>
      <c r="PQB312" s="242"/>
      <c r="PQC312" s="234"/>
      <c r="PQD312" s="234"/>
      <c r="PQE312" s="234"/>
      <c r="PQF312" s="236"/>
      <c r="PQG312" s="244"/>
      <c r="PQH312" s="239"/>
      <c r="PQI312" s="240"/>
      <c r="PQJ312" s="241"/>
      <c r="PQK312" s="239"/>
      <c r="PQL312" s="239"/>
      <c r="PQM312" s="239"/>
      <c r="PQN312" s="239"/>
      <c r="PQO312" s="239"/>
      <c r="PQP312" s="239"/>
      <c r="PQQ312" s="233"/>
      <c r="PQR312" s="235"/>
      <c r="PQS312" s="233"/>
      <c r="PQT312" s="234"/>
      <c r="PQU312" s="234"/>
      <c r="PQV312" s="242"/>
      <c r="PQW312" s="234"/>
      <c r="PQX312" s="234"/>
      <c r="PQY312" s="234"/>
      <c r="PQZ312" s="236"/>
      <c r="PRA312" s="244"/>
      <c r="PRB312" s="239"/>
      <c r="PRC312" s="240"/>
      <c r="PRD312" s="241"/>
      <c r="PRE312" s="239"/>
      <c r="PRF312" s="239"/>
      <c r="PRG312" s="239"/>
      <c r="PRH312" s="239"/>
      <c r="PRI312" s="239"/>
      <c r="PRJ312" s="239"/>
      <c r="PRK312" s="233"/>
      <c r="PRL312" s="235"/>
      <c r="PRM312" s="233"/>
      <c r="PRN312" s="234"/>
      <c r="PRO312" s="234"/>
      <c r="PRP312" s="242"/>
      <c r="PRQ312" s="234"/>
      <c r="PRR312" s="234"/>
      <c r="PRS312" s="234"/>
      <c r="PRT312" s="236"/>
      <c r="PRU312" s="244"/>
      <c r="PRV312" s="239"/>
      <c r="PRW312" s="240"/>
      <c r="PRX312" s="241"/>
      <c r="PRY312" s="239"/>
      <c r="PRZ312" s="239"/>
      <c r="PSA312" s="239"/>
      <c r="PSB312" s="239"/>
      <c r="PSC312" s="239"/>
      <c r="PSD312" s="239"/>
      <c r="PSE312" s="233"/>
      <c r="PSF312" s="235"/>
      <c r="PSG312" s="233"/>
      <c r="PSH312" s="234"/>
      <c r="PSI312" s="234"/>
      <c r="PSJ312" s="242"/>
      <c r="PSK312" s="234"/>
      <c r="PSL312" s="234"/>
      <c r="PSM312" s="234"/>
      <c r="PSN312" s="236"/>
      <c r="PSO312" s="244"/>
      <c r="PSP312" s="239"/>
      <c r="PSQ312" s="240"/>
      <c r="PSR312" s="241"/>
      <c r="PSS312" s="239"/>
      <c r="PST312" s="239"/>
      <c r="PSU312" s="239"/>
      <c r="PSV312" s="239"/>
      <c r="PSW312" s="239"/>
      <c r="PSX312" s="239"/>
      <c r="PSY312" s="233"/>
      <c r="PSZ312" s="235"/>
      <c r="PTA312" s="233"/>
      <c r="PTB312" s="234"/>
      <c r="PTC312" s="234"/>
      <c r="PTD312" s="242"/>
      <c r="PTE312" s="234"/>
      <c r="PTF312" s="234"/>
      <c r="PTG312" s="234"/>
      <c r="PTH312" s="236"/>
      <c r="PTI312" s="244"/>
      <c r="PTJ312" s="239"/>
      <c r="PTK312" s="240"/>
      <c r="PTL312" s="241"/>
      <c r="PTM312" s="239"/>
      <c r="PTN312" s="239"/>
      <c r="PTO312" s="239"/>
      <c r="PTP312" s="239"/>
      <c r="PTQ312" s="239"/>
      <c r="PTR312" s="239"/>
      <c r="PTS312" s="233"/>
      <c r="PTT312" s="235"/>
      <c r="PTU312" s="233"/>
      <c r="PTV312" s="234"/>
      <c r="PTW312" s="234"/>
      <c r="PTX312" s="242"/>
      <c r="PTY312" s="234"/>
      <c r="PTZ312" s="234"/>
      <c r="PUA312" s="234"/>
      <c r="PUB312" s="236"/>
      <c r="PUC312" s="244"/>
      <c r="PUD312" s="239"/>
      <c r="PUE312" s="240"/>
      <c r="PUF312" s="241"/>
      <c r="PUG312" s="239"/>
      <c r="PUH312" s="239"/>
      <c r="PUI312" s="239"/>
      <c r="PUJ312" s="239"/>
      <c r="PUK312" s="239"/>
      <c r="PUL312" s="239"/>
      <c r="PUM312" s="233"/>
      <c r="PUN312" s="235"/>
      <c r="PUO312" s="233"/>
      <c r="PUP312" s="234"/>
      <c r="PUQ312" s="234"/>
      <c r="PUR312" s="242"/>
      <c r="PUS312" s="234"/>
      <c r="PUT312" s="234"/>
      <c r="PUU312" s="234"/>
      <c r="PUV312" s="236"/>
      <c r="PUW312" s="244"/>
      <c r="PUX312" s="239"/>
      <c r="PUY312" s="240"/>
      <c r="PUZ312" s="241"/>
      <c r="PVA312" s="239"/>
      <c r="PVB312" s="239"/>
      <c r="PVC312" s="239"/>
      <c r="PVD312" s="239"/>
      <c r="PVE312" s="239"/>
      <c r="PVF312" s="239"/>
      <c r="PVG312" s="233"/>
      <c r="PVH312" s="235"/>
      <c r="PVI312" s="233"/>
      <c r="PVJ312" s="234"/>
      <c r="PVK312" s="234"/>
      <c r="PVL312" s="242"/>
      <c r="PVM312" s="234"/>
      <c r="PVN312" s="234"/>
      <c r="PVO312" s="234"/>
      <c r="PVP312" s="236"/>
      <c r="PVQ312" s="244"/>
      <c r="PVR312" s="239"/>
      <c r="PVS312" s="240"/>
      <c r="PVT312" s="241"/>
      <c r="PVU312" s="239"/>
      <c r="PVV312" s="239"/>
      <c r="PVW312" s="239"/>
      <c r="PVX312" s="239"/>
      <c r="PVY312" s="239"/>
      <c r="PVZ312" s="239"/>
      <c r="PWA312" s="233"/>
      <c r="PWB312" s="235"/>
      <c r="PWC312" s="233"/>
      <c r="PWD312" s="234"/>
      <c r="PWE312" s="234"/>
      <c r="PWF312" s="242"/>
      <c r="PWG312" s="234"/>
      <c r="PWH312" s="234"/>
      <c r="PWI312" s="234"/>
      <c r="PWJ312" s="236"/>
      <c r="PWK312" s="244"/>
      <c r="PWL312" s="239"/>
      <c r="PWM312" s="240"/>
      <c r="PWN312" s="241"/>
      <c r="PWO312" s="239"/>
      <c r="PWP312" s="239"/>
      <c r="PWQ312" s="239"/>
      <c r="PWR312" s="239"/>
      <c r="PWS312" s="239"/>
      <c r="PWT312" s="239"/>
      <c r="PWU312" s="233"/>
      <c r="PWV312" s="235"/>
      <c r="PWW312" s="233"/>
      <c r="PWX312" s="234"/>
      <c r="PWY312" s="234"/>
      <c r="PWZ312" s="242"/>
      <c r="PXA312" s="234"/>
      <c r="PXB312" s="234"/>
      <c r="PXC312" s="234"/>
      <c r="PXD312" s="236"/>
      <c r="PXE312" s="244"/>
      <c r="PXF312" s="239"/>
      <c r="PXG312" s="240"/>
      <c r="PXH312" s="241"/>
      <c r="PXI312" s="239"/>
      <c r="PXJ312" s="239"/>
      <c r="PXK312" s="239"/>
      <c r="PXL312" s="239"/>
      <c r="PXM312" s="239"/>
      <c r="PXN312" s="239"/>
      <c r="PXO312" s="233"/>
      <c r="PXP312" s="235"/>
      <c r="PXQ312" s="233"/>
      <c r="PXR312" s="234"/>
      <c r="PXS312" s="234"/>
      <c r="PXT312" s="242"/>
      <c r="PXU312" s="234"/>
      <c r="PXV312" s="234"/>
      <c r="PXW312" s="234"/>
      <c r="PXX312" s="236"/>
      <c r="PXY312" s="244"/>
      <c r="PXZ312" s="239"/>
      <c r="PYA312" s="240"/>
      <c r="PYB312" s="241"/>
      <c r="PYC312" s="239"/>
      <c r="PYD312" s="239"/>
      <c r="PYE312" s="239"/>
      <c r="PYF312" s="239"/>
      <c r="PYG312" s="239"/>
      <c r="PYH312" s="239"/>
      <c r="PYI312" s="233"/>
      <c r="PYJ312" s="235"/>
      <c r="PYK312" s="233"/>
      <c r="PYL312" s="234"/>
      <c r="PYM312" s="234"/>
      <c r="PYN312" s="242"/>
      <c r="PYO312" s="234"/>
      <c r="PYP312" s="234"/>
      <c r="PYQ312" s="234"/>
      <c r="PYR312" s="236"/>
      <c r="PYS312" s="244"/>
      <c r="PYT312" s="239"/>
      <c r="PYU312" s="240"/>
      <c r="PYV312" s="241"/>
      <c r="PYW312" s="239"/>
      <c r="PYX312" s="239"/>
      <c r="PYY312" s="239"/>
      <c r="PYZ312" s="239"/>
      <c r="PZA312" s="239"/>
      <c r="PZB312" s="239"/>
      <c r="PZC312" s="233"/>
      <c r="PZD312" s="235"/>
      <c r="PZE312" s="233"/>
      <c r="PZF312" s="234"/>
      <c r="PZG312" s="234"/>
      <c r="PZH312" s="242"/>
      <c r="PZI312" s="234"/>
      <c r="PZJ312" s="234"/>
      <c r="PZK312" s="234"/>
      <c r="PZL312" s="236"/>
      <c r="PZM312" s="244"/>
      <c r="PZN312" s="239"/>
      <c r="PZO312" s="240"/>
      <c r="PZP312" s="241"/>
      <c r="PZQ312" s="239"/>
      <c r="PZR312" s="239"/>
      <c r="PZS312" s="239"/>
      <c r="PZT312" s="239"/>
      <c r="PZU312" s="239"/>
      <c r="PZV312" s="239"/>
      <c r="PZW312" s="233"/>
      <c r="PZX312" s="235"/>
      <c r="PZY312" s="233"/>
      <c r="PZZ312" s="234"/>
      <c r="QAA312" s="234"/>
      <c r="QAB312" s="242"/>
      <c r="QAC312" s="234"/>
      <c r="QAD312" s="234"/>
      <c r="QAE312" s="234"/>
      <c r="QAF312" s="236"/>
      <c r="QAG312" s="244"/>
      <c r="QAH312" s="239"/>
      <c r="QAI312" s="240"/>
      <c r="QAJ312" s="241"/>
      <c r="QAK312" s="239"/>
      <c r="QAL312" s="239"/>
      <c r="QAM312" s="239"/>
      <c r="QAN312" s="239"/>
      <c r="QAO312" s="239"/>
      <c r="QAP312" s="239"/>
      <c r="QAQ312" s="233"/>
      <c r="QAR312" s="235"/>
      <c r="QAS312" s="233"/>
      <c r="QAT312" s="234"/>
      <c r="QAU312" s="234"/>
      <c r="QAV312" s="242"/>
      <c r="QAW312" s="234"/>
      <c r="QAX312" s="234"/>
      <c r="QAY312" s="234"/>
      <c r="QAZ312" s="236"/>
      <c r="QBA312" s="244"/>
      <c r="QBB312" s="239"/>
      <c r="QBC312" s="240"/>
      <c r="QBD312" s="241"/>
      <c r="QBE312" s="239"/>
      <c r="QBF312" s="239"/>
      <c r="QBG312" s="239"/>
      <c r="QBH312" s="239"/>
      <c r="QBI312" s="239"/>
      <c r="QBJ312" s="239"/>
      <c r="QBK312" s="233"/>
      <c r="QBL312" s="235"/>
      <c r="QBM312" s="233"/>
      <c r="QBN312" s="234"/>
      <c r="QBO312" s="234"/>
      <c r="QBP312" s="242"/>
      <c r="QBQ312" s="234"/>
      <c r="QBR312" s="234"/>
      <c r="QBS312" s="234"/>
      <c r="QBT312" s="236"/>
      <c r="QBU312" s="244"/>
      <c r="QBV312" s="239"/>
      <c r="QBW312" s="240"/>
      <c r="QBX312" s="241"/>
      <c r="QBY312" s="239"/>
      <c r="QBZ312" s="239"/>
      <c r="QCA312" s="239"/>
      <c r="QCB312" s="239"/>
      <c r="QCC312" s="239"/>
      <c r="QCD312" s="239"/>
      <c r="QCE312" s="233"/>
      <c r="QCF312" s="235"/>
      <c r="QCG312" s="233"/>
      <c r="QCH312" s="234"/>
      <c r="QCI312" s="234"/>
      <c r="QCJ312" s="242"/>
      <c r="QCK312" s="234"/>
      <c r="QCL312" s="234"/>
      <c r="QCM312" s="234"/>
      <c r="QCN312" s="236"/>
      <c r="QCO312" s="244"/>
      <c r="QCP312" s="239"/>
      <c r="QCQ312" s="240"/>
      <c r="QCR312" s="241"/>
      <c r="QCS312" s="239"/>
      <c r="QCT312" s="239"/>
      <c r="QCU312" s="239"/>
      <c r="QCV312" s="239"/>
      <c r="QCW312" s="239"/>
      <c r="QCX312" s="239"/>
      <c r="QCY312" s="233"/>
      <c r="QCZ312" s="235"/>
      <c r="QDA312" s="233"/>
      <c r="QDB312" s="234"/>
      <c r="QDC312" s="234"/>
      <c r="QDD312" s="242"/>
      <c r="QDE312" s="234"/>
      <c r="QDF312" s="234"/>
      <c r="QDG312" s="234"/>
      <c r="QDH312" s="236"/>
      <c r="QDI312" s="244"/>
      <c r="QDJ312" s="239"/>
      <c r="QDK312" s="240"/>
      <c r="QDL312" s="241"/>
      <c r="QDM312" s="239"/>
      <c r="QDN312" s="239"/>
      <c r="QDO312" s="239"/>
      <c r="QDP312" s="239"/>
      <c r="QDQ312" s="239"/>
      <c r="QDR312" s="239"/>
      <c r="QDS312" s="233"/>
      <c r="QDT312" s="235"/>
      <c r="QDU312" s="233"/>
      <c r="QDV312" s="234"/>
      <c r="QDW312" s="234"/>
      <c r="QDX312" s="242"/>
      <c r="QDY312" s="234"/>
      <c r="QDZ312" s="234"/>
      <c r="QEA312" s="234"/>
      <c r="QEB312" s="236"/>
      <c r="QEC312" s="244"/>
      <c r="QED312" s="239"/>
      <c r="QEE312" s="240"/>
      <c r="QEF312" s="241"/>
      <c r="QEG312" s="239"/>
      <c r="QEH312" s="239"/>
      <c r="QEI312" s="239"/>
      <c r="QEJ312" s="239"/>
      <c r="QEK312" s="239"/>
      <c r="QEL312" s="239"/>
      <c r="QEM312" s="233"/>
      <c r="QEN312" s="235"/>
      <c r="QEO312" s="233"/>
      <c r="QEP312" s="234"/>
      <c r="QEQ312" s="234"/>
      <c r="QER312" s="242"/>
      <c r="QES312" s="234"/>
      <c r="QET312" s="234"/>
      <c r="QEU312" s="234"/>
      <c r="QEV312" s="236"/>
      <c r="QEW312" s="244"/>
      <c r="QEX312" s="239"/>
      <c r="QEY312" s="240"/>
      <c r="QEZ312" s="241"/>
      <c r="QFA312" s="239"/>
      <c r="QFB312" s="239"/>
      <c r="QFC312" s="239"/>
      <c r="QFD312" s="239"/>
      <c r="QFE312" s="239"/>
      <c r="QFF312" s="239"/>
      <c r="QFG312" s="233"/>
      <c r="QFH312" s="235"/>
      <c r="QFI312" s="233"/>
      <c r="QFJ312" s="234"/>
      <c r="QFK312" s="234"/>
      <c r="QFL312" s="242"/>
      <c r="QFM312" s="234"/>
      <c r="QFN312" s="234"/>
      <c r="QFO312" s="234"/>
      <c r="QFP312" s="236"/>
      <c r="QFQ312" s="244"/>
      <c r="QFR312" s="239"/>
      <c r="QFS312" s="240"/>
      <c r="QFT312" s="241"/>
      <c r="QFU312" s="239"/>
      <c r="QFV312" s="239"/>
      <c r="QFW312" s="239"/>
      <c r="QFX312" s="239"/>
      <c r="QFY312" s="239"/>
      <c r="QFZ312" s="239"/>
      <c r="QGA312" s="233"/>
      <c r="QGB312" s="235"/>
      <c r="QGC312" s="233"/>
      <c r="QGD312" s="234"/>
      <c r="QGE312" s="234"/>
      <c r="QGF312" s="242"/>
      <c r="QGG312" s="234"/>
      <c r="QGH312" s="234"/>
      <c r="QGI312" s="234"/>
      <c r="QGJ312" s="236"/>
      <c r="QGK312" s="244"/>
      <c r="QGL312" s="239"/>
      <c r="QGM312" s="240"/>
      <c r="QGN312" s="241"/>
      <c r="QGO312" s="239"/>
      <c r="QGP312" s="239"/>
      <c r="QGQ312" s="239"/>
      <c r="QGR312" s="239"/>
      <c r="QGS312" s="239"/>
      <c r="QGT312" s="239"/>
      <c r="QGU312" s="233"/>
      <c r="QGV312" s="235"/>
      <c r="QGW312" s="233"/>
      <c r="QGX312" s="234"/>
      <c r="QGY312" s="234"/>
      <c r="QGZ312" s="242"/>
      <c r="QHA312" s="234"/>
      <c r="QHB312" s="234"/>
      <c r="QHC312" s="234"/>
      <c r="QHD312" s="236"/>
      <c r="QHE312" s="244"/>
      <c r="QHF312" s="239"/>
      <c r="QHG312" s="240"/>
      <c r="QHH312" s="241"/>
      <c r="QHI312" s="239"/>
      <c r="QHJ312" s="239"/>
      <c r="QHK312" s="239"/>
      <c r="QHL312" s="239"/>
      <c r="QHM312" s="239"/>
      <c r="QHN312" s="239"/>
      <c r="QHO312" s="233"/>
      <c r="QHP312" s="235"/>
      <c r="QHQ312" s="233"/>
      <c r="QHR312" s="234"/>
      <c r="QHS312" s="234"/>
      <c r="QHT312" s="242"/>
      <c r="QHU312" s="234"/>
      <c r="QHV312" s="234"/>
      <c r="QHW312" s="234"/>
      <c r="QHX312" s="236"/>
      <c r="QHY312" s="244"/>
      <c r="QHZ312" s="239"/>
      <c r="QIA312" s="240"/>
      <c r="QIB312" s="241"/>
      <c r="QIC312" s="239"/>
      <c r="QID312" s="239"/>
      <c r="QIE312" s="239"/>
      <c r="QIF312" s="239"/>
      <c r="QIG312" s="239"/>
      <c r="QIH312" s="239"/>
      <c r="QII312" s="233"/>
      <c r="QIJ312" s="235"/>
      <c r="QIK312" s="233"/>
      <c r="QIL312" s="234"/>
      <c r="QIM312" s="234"/>
      <c r="QIN312" s="242"/>
      <c r="QIO312" s="234"/>
      <c r="QIP312" s="234"/>
      <c r="QIQ312" s="234"/>
      <c r="QIR312" s="236"/>
      <c r="QIS312" s="244"/>
      <c r="QIT312" s="239"/>
      <c r="QIU312" s="240"/>
      <c r="QIV312" s="241"/>
      <c r="QIW312" s="239"/>
      <c r="QIX312" s="239"/>
      <c r="QIY312" s="239"/>
      <c r="QIZ312" s="239"/>
      <c r="QJA312" s="239"/>
      <c r="QJB312" s="239"/>
      <c r="QJC312" s="233"/>
      <c r="QJD312" s="235"/>
      <c r="QJE312" s="233"/>
      <c r="QJF312" s="234"/>
      <c r="QJG312" s="234"/>
      <c r="QJH312" s="242"/>
      <c r="QJI312" s="234"/>
      <c r="QJJ312" s="234"/>
      <c r="QJK312" s="234"/>
      <c r="QJL312" s="236"/>
      <c r="QJM312" s="244"/>
      <c r="QJN312" s="239"/>
      <c r="QJO312" s="240"/>
      <c r="QJP312" s="241"/>
      <c r="QJQ312" s="239"/>
      <c r="QJR312" s="239"/>
      <c r="QJS312" s="239"/>
      <c r="QJT312" s="239"/>
      <c r="QJU312" s="239"/>
      <c r="QJV312" s="239"/>
      <c r="QJW312" s="233"/>
      <c r="QJX312" s="235"/>
      <c r="QJY312" s="233"/>
      <c r="QJZ312" s="234"/>
      <c r="QKA312" s="234"/>
      <c r="QKB312" s="242"/>
      <c r="QKC312" s="234"/>
      <c r="QKD312" s="234"/>
      <c r="QKE312" s="234"/>
      <c r="QKF312" s="236"/>
      <c r="QKG312" s="244"/>
      <c r="QKH312" s="239"/>
      <c r="QKI312" s="240"/>
      <c r="QKJ312" s="241"/>
      <c r="QKK312" s="239"/>
      <c r="QKL312" s="239"/>
      <c r="QKM312" s="239"/>
      <c r="QKN312" s="239"/>
      <c r="QKO312" s="239"/>
      <c r="QKP312" s="239"/>
      <c r="QKQ312" s="233"/>
      <c r="QKR312" s="235"/>
      <c r="QKS312" s="233"/>
      <c r="QKT312" s="234"/>
      <c r="QKU312" s="234"/>
      <c r="QKV312" s="242"/>
      <c r="QKW312" s="234"/>
      <c r="QKX312" s="234"/>
      <c r="QKY312" s="234"/>
      <c r="QKZ312" s="236"/>
      <c r="QLA312" s="244"/>
      <c r="QLB312" s="239"/>
      <c r="QLC312" s="240"/>
      <c r="QLD312" s="241"/>
      <c r="QLE312" s="239"/>
      <c r="QLF312" s="239"/>
      <c r="QLG312" s="239"/>
      <c r="QLH312" s="239"/>
      <c r="QLI312" s="239"/>
      <c r="QLJ312" s="239"/>
      <c r="QLK312" s="233"/>
      <c r="QLL312" s="235"/>
      <c r="QLM312" s="233"/>
      <c r="QLN312" s="234"/>
      <c r="QLO312" s="234"/>
      <c r="QLP312" s="242"/>
      <c r="QLQ312" s="234"/>
      <c r="QLR312" s="234"/>
      <c r="QLS312" s="234"/>
      <c r="QLT312" s="236"/>
      <c r="QLU312" s="244"/>
      <c r="QLV312" s="239"/>
      <c r="QLW312" s="240"/>
      <c r="QLX312" s="241"/>
      <c r="QLY312" s="239"/>
      <c r="QLZ312" s="239"/>
      <c r="QMA312" s="239"/>
      <c r="QMB312" s="239"/>
      <c r="QMC312" s="239"/>
      <c r="QMD312" s="239"/>
      <c r="QME312" s="233"/>
      <c r="QMF312" s="235"/>
      <c r="QMG312" s="233"/>
      <c r="QMH312" s="234"/>
      <c r="QMI312" s="234"/>
      <c r="QMJ312" s="242"/>
      <c r="QMK312" s="234"/>
      <c r="QML312" s="234"/>
      <c r="QMM312" s="234"/>
      <c r="QMN312" s="236"/>
      <c r="QMO312" s="244"/>
      <c r="QMP312" s="239"/>
      <c r="QMQ312" s="240"/>
      <c r="QMR312" s="241"/>
      <c r="QMS312" s="239"/>
      <c r="QMT312" s="239"/>
      <c r="QMU312" s="239"/>
      <c r="QMV312" s="239"/>
      <c r="QMW312" s="239"/>
      <c r="QMX312" s="239"/>
      <c r="QMY312" s="233"/>
      <c r="QMZ312" s="235"/>
      <c r="QNA312" s="233"/>
      <c r="QNB312" s="234"/>
      <c r="QNC312" s="234"/>
      <c r="QND312" s="242"/>
      <c r="QNE312" s="234"/>
      <c r="QNF312" s="234"/>
      <c r="QNG312" s="234"/>
      <c r="QNH312" s="236"/>
      <c r="QNI312" s="244"/>
      <c r="QNJ312" s="239"/>
      <c r="QNK312" s="240"/>
      <c r="QNL312" s="241"/>
      <c r="QNM312" s="239"/>
      <c r="QNN312" s="239"/>
      <c r="QNO312" s="239"/>
      <c r="QNP312" s="239"/>
      <c r="QNQ312" s="239"/>
      <c r="QNR312" s="239"/>
      <c r="QNS312" s="233"/>
      <c r="QNT312" s="235"/>
      <c r="QNU312" s="233"/>
      <c r="QNV312" s="234"/>
      <c r="QNW312" s="234"/>
      <c r="QNX312" s="242"/>
      <c r="QNY312" s="234"/>
      <c r="QNZ312" s="234"/>
      <c r="QOA312" s="234"/>
      <c r="QOB312" s="236"/>
      <c r="QOC312" s="244"/>
      <c r="QOD312" s="239"/>
      <c r="QOE312" s="240"/>
      <c r="QOF312" s="241"/>
      <c r="QOG312" s="239"/>
      <c r="QOH312" s="239"/>
      <c r="QOI312" s="239"/>
      <c r="QOJ312" s="239"/>
      <c r="QOK312" s="239"/>
      <c r="QOL312" s="239"/>
      <c r="QOM312" s="233"/>
      <c r="QON312" s="235"/>
      <c r="QOO312" s="233"/>
      <c r="QOP312" s="234"/>
      <c r="QOQ312" s="234"/>
      <c r="QOR312" s="242"/>
      <c r="QOS312" s="234"/>
      <c r="QOT312" s="234"/>
      <c r="QOU312" s="234"/>
      <c r="QOV312" s="236"/>
      <c r="QOW312" s="244"/>
      <c r="QOX312" s="239"/>
      <c r="QOY312" s="240"/>
      <c r="QOZ312" s="241"/>
      <c r="QPA312" s="239"/>
      <c r="QPB312" s="239"/>
      <c r="QPC312" s="239"/>
      <c r="QPD312" s="239"/>
      <c r="QPE312" s="239"/>
      <c r="QPF312" s="239"/>
      <c r="QPG312" s="233"/>
      <c r="QPH312" s="235"/>
      <c r="QPI312" s="233"/>
      <c r="QPJ312" s="234"/>
      <c r="QPK312" s="234"/>
      <c r="QPL312" s="242"/>
      <c r="QPM312" s="234"/>
      <c r="QPN312" s="234"/>
      <c r="QPO312" s="234"/>
      <c r="QPP312" s="236"/>
      <c r="QPQ312" s="244"/>
      <c r="QPR312" s="239"/>
      <c r="QPS312" s="240"/>
      <c r="QPT312" s="241"/>
      <c r="QPU312" s="239"/>
      <c r="QPV312" s="239"/>
      <c r="QPW312" s="239"/>
      <c r="QPX312" s="239"/>
      <c r="QPY312" s="239"/>
      <c r="QPZ312" s="239"/>
      <c r="QQA312" s="233"/>
      <c r="QQB312" s="235"/>
      <c r="QQC312" s="233"/>
      <c r="QQD312" s="234"/>
      <c r="QQE312" s="234"/>
      <c r="QQF312" s="242"/>
      <c r="QQG312" s="234"/>
      <c r="QQH312" s="234"/>
      <c r="QQI312" s="234"/>
      <c r="QQJ312" s="236"/>
      <c r="QQK312" s="244"/>
      <c r="QQL312" s="239"/>
      <c r="QQM312" s="240"/>
      <c r="QQN312" s="241"/>
      <c r="QQO312" s="239"/>
      <c r="QQP312" s="239"/>
      <c r="QQQ312" s="239"/>
      <c r="QQR312" s="239"/>
      <c r="QQS312" s="239"/>
      <c r="QQT312" s="239"/>
      <c r="QQU312" s="233"/>
      <c r="QQV312" s="235"/>
      <c r="QQW312" s="233"/>
      <c r="QQX312" s="234"/>
      <c r="QQY312" s="234"/>
      <c r="QQZ312" s="242"/>
      <c r="QRA312" s="234"/>
      <c r="QRB312" s="234"/>
      <c r="QRC312" s="234"/>
      <c r="QRD312" s="236"/>
      <c r="QRE312" s="244"/>
      <c r="QRF312" s="239"/>
      <c r="QRG312" s="240"/>
      <c r="QRH312" s="241"/>
      <c r="QRI312" s="239"/>
      <c r="QRJ312" s="239"/>
      <c r="QRK312" s="239"/>
      <c r="QRL312" s="239"/>
      <c r="QRM312" s="239"/>
      <c r="QRN312" s="239"/>
      <c r="QRO312" s="233"/>
      <c r="QRP312" s="235"/>
      <c r="QRQ312" s="233"/>
      <c r="QRR312" s="234"/>
      <c r="QRS312" s="234"/>
      <c r="QRT312" s="242"/>
      <c r="QRU312" s="234"/>
      <c r="QRV312" s="234"/>
      <c r="QRW312" s="234"/>
      <c r="QRX312" s="236"/>
      <c r="QRY312" s="244"/>
      <c r="QRZ312" s="239"/>
      <c r="QSA312" s="240"/>
      <c r="QSB312" s="241"/>
      <c r="QSC312" s="239"/>
      <c r="QSD312" s="239"/>
      <c r="QSE312" s="239"/>
      <c r="QSF312" s="239"/>
      <c r="QSG312" s="239"/>
      <c r="QSH312" s="239"/>
      <c r="QSI312" s="233"/>
      <c r="QSJ312" s="235"/>
      <c r="QSK312" s="233"/>
      <c r="QSL312" s="234"/>
      <c r="QSM312" s="234"/>
      <c r="QSN312" s="242"/>
      <c r="QSO312" s="234"/>
      <c r="QSP312" s="234"/>
      <c r="QSQ312" s="234"/>
      <c r="QSR312" s="236"/>
      <c r="QSS312" s="244"/>
      <c r="QST312" s="239"/>
      <c r="QSU312" s="240"/>
      <c r="QSV312" s="241"/>
      <c r="QSW312" s="239"/>
      <c r="QSX312" s="239"/>
      <c r="QSY312" s="239"/>
      <c r="QSZ312" s="239"/>
      <c r="QTA312" s="239"/>
      <c r="QTB312" s="239"/>
      <c r="QTC312" s="233"/>
      <c r="QTD312" s="235"/>
      <c r="QTE312" s="233"/>
      <c r="QTF312" s="234"/>
      <c r="QTG312" s="234"/>
      <c r="QTH312" s="242"/>
      <c r="QTI312" s="234"/>
      <c r="QTJ312" s="234"/>
      <c r="QTK312" s="234"/>
      <c r="QTL312" s="236"/>
      <c r="QTM312" s="244"/>
      <c r="QTN312" s="239"/>
      <c r="QTO312" s="240"/>
      <c r="QTP312" s="241"/>
      <c r="QTQ312" s="239"/>
      <c r="QTR312" s="239"/>
      <c r="QTS312" s="239"/>
      <c r="QTT312" s="239"/>
      <c r="QTU312" s="239"/>
      <c r="QTV312" s="239"/>
      <c r="QTW312" s="233"/>
      <c r="QTX312" s="235"/>
      <c r="QTY312" s="233"/>
      <c r="QTZ312" s="234"/>
      <c r="QUA312" s="234"/>
      <c r="QUB312" s="242"/>
      <c r="QUC312" s="234"/>
      <c r="QUD312" s="234"/>
      <c r="QUE312" s="234"/>
      <c r="QUF312" s="236"/>
      <c r="QUG312" s="244"/>
      <c r="QUH312" s="239"/>
      <c r="QUI312" s="240"/>
      <c r="QUJ312" s="241"/>
      <c r="QUK312" s="239"/>
      <c r="QUL312" s="239"/>
      <c r="QUM312" s="239"/>
      <c r="QUN312" s="239"/>
      <c r="QUO312" s="239"/>
      <c r="QUP312" s="239"/>
      <c r="QUQ312" s="233"/>
      <c r="QUR312" s="235"/>
      <c r="QUS312" s="233"/>
      <c r="QUT312" s="234"/>
      <c r="QUU312" s="234"/>
      <c r="QUV312" s="242"/>
      <c r="QUW312" s="234"/>
      <c r="QUX312" s="234"/>
      <c r="QUY312" s="234"/>
      <c r="QUZ312" s="236"/>
      <c r="QVA312" s="244"/>
      <c r="QVB312" s="239"/>
      <c r="QVC312" s="240"/>
      <c r="QVD312" s="241"/>
      <c r="QVE312" s="239"/>
      <c r="QVF312" s="239"/>
      <c r="QVG312" s="239"/>
      <c r="QVH312" s="239"/>
      <c r="QVI312" s="239"/>
      <c r="QVJ312" s="239"/>
      <c r="QVK312" s="233"/>
      <c r="QVL312" s="235"/>
      <c r="QVM312" s="233"/>
      <c r="QVN312" s="234"/>
      <c r="QVO312" s="234"/>
      <c r="QVP312" s="242"/>
      <c r="QVQ312" s="234"/>
      <c r="QVR312" s="234"/>
      <c r="QVS312" s="234"/>
      <c r="QVT312" s="236"/>
      <c r="QVU312" s="244"/>
      <c r="QVV312" s="239"/>
      <c r="QVW312" s="240"/>
      <c r="QVX312" s="241"/>
      <c r="QVY312" s="239"/>
      <c r="QVZ312" s="239"/>
      <c r="QWA312" s="239"/>
      <c r="QWB312" s="239"/>
      <c r="QWC312" s="239"/>
      <c r="QWD312" s="239"/>
      <c r="QWE312" s="233"/>
      <c r="QWF312" s="235"/>
      <c r="QWG312" s="233"/>
      <c r="QWH312" s="234"/>
      <c r="QWI312" s="234"/>
      <c r="QWJ312" s="242"/>
      <c r="QWK312" s="234"/>
      <c r="QWL312" s="234"/>
      <c r="QWM312" s="234"/>
      <c r="QWN312" s="236"/>
      <c r="QWO312" s="244"/>
      <c r="QWP312" s="239"/>
      <c r="QWQ312" s="240"/>
      <c r="QWR312" s="241"/>
      <c r="QWS312" s="239"/>
      <c r="QWT312" s="239"/>
      <c r="QWU312" s="239"/>
      <c r="QWV312" s="239"/>
      <c r="QWW312" s="239"/>
      <c r="QWX312" s="239"/>
      <c r="QWY312" s="233"/>
      <c r="QWZ312" s="235"/>
      <c r="QXA312" s="233"/>
      <c r="QXB312" s="234"/>
      <c r="QXC312" s="234"/>
      <c r="QXD312" s="242"/>
      <c r="QXE312" s="234"/>
      <c r="QXF312" s="234"/>
      <c r="QXG312" s="234"/>
      <c r="QXH312" s="236"/>
      <c r="QXI312" s="244"/>
      <c r="QXJ312" s="239"/>
      <c r="QXK312" s="240"/>
      <c r="QXL312" s="241"/>
      <c r="QXM312" s="239"/>
      <c r="QXN312" s="239"/>
      <c r="QXO312" s="239"/>
      <c r="QXP312" s="239"/>
      <c r="QXQ312" s="239"/>
      <c r="QXR312" s="239"/>
      <c r="QXS312" s="233"/>
      <c r="QXT312" s="235"/>
      <c r="QXU312" s="233"/>
      <c r="QXV312" s="234"/>
      <c r="QXW312" s="234"/>
      <c r="QXX312" s="242"/>
      <c r="QXY312" s="234"/>
      <c r="QXZ312" s="234"/>
      <c r="QYA312" s="234"/>
      <c r="QYB312" s="236"/>
      <c r="QYC312" s="244"/>
      <c r="QYD312" s="239"/>
      <c r="QYE312" s="240"/>
      <c r="QYF312" s="241"/>
      <c r="QYG312" s="239"/>
      <c r="QYH312" s="239"/>
      <c r="QYI312" s="239"/>
      <c r="QYJ312" s="239"/>
      <c r="QYK312" s="239"/>
      <c r="QYL312" s="239"/>
      <c r="QYM312" s="233"/>
      <c r="QYN312" s="235"/>
      <c r="QYO312" s="233"/>
      <c r="QYP312" s="234"/>
      <c r="QYQ312" s="234"/>
      <c r="QYR312" s="242"/>
      <c r="QYS312" s="234"/>
      <c r="QYT312" s="234"/>
      <c r="QYU312" s="234"/>
      <c r="QYV312" s="236"/>
      <c r="QYW312" s="244"/>
      <c r="QYX312" s="239"/>
      <c r="QYY312" s="240"/>
      <c r="QYZ312" s="241"/>
      <c r="QZA312" s="239"/>
      <c r="QZB312" s="239"/>
      <c r="QZC312" s="239"/>
      <c r="QZD312" s="239"/>
      <c r="QZE312" s="239"/>
      <c r="QZF312" s="239"/>
      <c r="QZG312" s="233"/>
      <c r="QZH312" s="235"/>
      <c r="QZI312" s="233"/>
      <c r="QZJ312" s="234"/>
      <c r="QZK312" s="234"/>
      <c r="QZL312" s="242"/>
      <c r="QZM312" s="234"/>
      <c r="QZN312" s="234"/>
      <c r="QZO312" s="234"/>
      <c r="QZP312" s="236"/>
      <c r="QZQ312" s="244"/>
      <c r="QZR312" s="239"/>
      <c r="QZS312" s="240"/>
      <c r="QZT312" s="241"/>
      <c r="QZU312" s="239"/>
      <c r="QZV312" s="239"/>
      <c r="QZW312" s="239"/>
      <c r="QZX312" s="239"/>
      <c r="QZY312" s="239"/>
      <c r="QZZ312" s="239"/>
      <c r="RAA312" s="233"/>
      <c r="RAB312" s="235"/>
      <c r="RAC312" s="233"/>
      <c r="RAD312" s="234"/>
      <c r="RAE312" s="234"/>
      <c r="RAF312" s="242"/>
      <c r="RAG312" s="234"/>
      <c r="RAH312" s="234"/>
      <c r="RAI312" s="234"/>
      <c r="RAJ312" s="236"/>
      <c r="RAK312" s="244"/>
      <c r="RAL312" s="239"/>
      <c r="RAM312" s="240"/>
      <c r="RAN312" s="241"/>
      <c r="RAO312" s="239"/>
      <c r="RAP312" s="239"/>
      <c r="RAQ312" s="239"/>
      <c r="RAR312" s="239"/>
      <c r="RAS312" s="239"/>
      <c r="RAT312" s="239"/>
      <c r="RAU312" s="233"/>
      <c r="RAV312" s="235"/>
      <c r="RAW312" s="233"/>
      <c r="RAX312" s="234"/>
      <c r="RAY312" s="234"/>
      <c r="RAZ312" s="242"/>
      <c r="RBA312" s="234"/>
      <c r="RBB312" s="234"/>
      <c r="RBC312" s="234"/>
      <c r="RBD312" s="236"/>
      <c r="RBE312" s="244"/>
      <c r="RBF312" s="239"/>
      <c r="RBG312" s="240"/>
      <c r="RBH312" s="241"/>
      <c r="RBI312" s="239"/>
      <c r="RBJ312" s="239"/>
      <c r="RBK312" s="239"/>
      <c r="RBL312" s="239"/>
      <c r="RBM312" s="239"/>
      <c r="RBN312" s="239"/>
      <c r="RBO312" s="233"/>
      <c r="RBP312" s="235"/>
      <c r="RBQ312" s="233"/>
      <c r="RBR312" s="234"/>
      <c r="RBS312" s="234"/>
      <c r="RBT312" s="242"/>
      <c r="RBU312" s="234"/>
      <c r="RBV312" s="234"/>
      <c r="RBW312" s="234"/>
      <c r="RBX312" s="236"/>
      <c r="RBY312" s="244"/>
      <c r="RBZ312" s="239"/>
      <c r="RCA312" s="240"/>
      <c r="RCB312" s="241"/>
      <c r="RCC312" s="239"/>
      <c r="RCD312" s="239"/>
      <c r="RCE312" s="239"/>
      <c r="RCF312" s="239"/>
      <c r="RCG312" s="239"/>
      <c r="RCH312" s="239"/>
      <c r="RCI312" s="233"/>
      <c r="RCJ312" s="235"/>
      <c r="RCK312" s="233"/>
      <c r="RCL312" s="234"/>
      <c r="RCM312" s="234"/>
      <c r="RCN312" s="242"/>
      <c r="RCO312" s="234"/>
      <c r="RCP312" s="234"/>
      <c r="RCQ312" s="234"/>
      <c r="RCR312" s="236"/>
      <c r="RCS312" s="244"/>
      <c r="RCT312" s="239"/>
      <c r="RCU312" s="240"/>
      <c r="RCV312" s="241"/>
      <c r="RCW312" s="239"/>
      <c r="RCX312" s="239"/>
      <c r="RCY312" s="239"/>
      <c r="RCZ312" s="239"/>
      <c r="RDA312" s="239"/>
      <c r="RDB312" s="239"/>
      <c r="RDC312" s="233"/>
      <c r="RDD312" s="235"/>
      <c r="RDE312" s="233"/>
      <c r="RDF312" s="234"/>
      <c r="RDG312" s="234"/>
      <c r="RDH312" s="242"/>
      <c r="RDI312" s="234"/>
      <c r="RDJ312" s="234"/>
      <c r="RDK312" s="234"/>
      <c r="RDL312" s="236"/>
      <c r="RDM312" s="244"/>
      <c r="RDN312" s="239"/>
      <c r="RDO312" s="240"/>
      <c r="RDP312" s="241"/>
      <c r="RDQ312" s="239"/>
      <c r="RDR312" s="239"/>
      <c r="RDS312" s="239"/>
      <c r="RDT312" s="239"/>
      <c r="RDU312" s="239"/>
      <c r="RDV312" s="239"/>
      <c r="RDW312" s="233"/>
      <c r="RDX312" s="235"/>
      <c r="RDY312" s="233"/>
      <c r="RDZ312" s="234"/>
      <c r="REA312" s="234"/>
      <c r="REB312" s="242"/>
      <c r="REC312" s="234"/>
      <c r="RED312" s="234"/>
      <c r="REE312" s="234"/>
      <c r="REF312" s="236"/>
      <c r="REG312" s="244"/>
      <c r="REH312" s="239"/>
      <c r="REI312" s="240"/>
      <c r="REJ312" s="241"/>
      <c r="REK312" s="239"/>
      <c r="REL312" s="239"/>
      <c r="REM312" s="239"/>
      <c r="REN312" s="239"/>
      <c r="REO312" s="239"/>
      <c r="REP312" s="239"/>
      <c r="REQ312" s="233"/>
      <c r="RER312" s="235"/>
      <c r="RES312" s="233"/>
      <c r="RET312" s="234"/>
      <c r="REU312" s="234"/>
      <c r="REV312" s="242"/>
      <c r="REW312" s="234"/>
      <c r="REX312" s="234"/>
      <c r="REY312" s="234"/>
      <c r="REZ312" s="236"/>
      <c r="RFA312" s="244"/>
      <c r="RFB312" s="239"/>
      <c r="RFC312" s="240"/>
      <c r="RFD312" s="241"/>
      <c r="RFE312" s="239"/>
      <c r="RFF312" s="239"/>
      <c r="RFG312" s="239"/>
      <c r="RFH312" s="239"/>
      <c r="RFI312" s="239"/>
      <c r="RFJ312" s="239"/>
      <c r="RFK312" s="233"/>
      <c r="RFL312" s="235"/>
      <c r="RFM312" s="233"/>
      <c r="RFN312" s="234"/>
      <c r="RFO312" s="234"/>
      <c r="RFP312" s="242"/>
      <c r="RFQ312" s="234"/>
      <c r="RFR312" s="234"/>
      <c r="RFS312" s="234"/>
      <c r="RFT312" s="236"/>
      <c r="RFU312" s="244"/>
      <c r="RFV312" s="239"/>
      <c r="RFW312" s="240"/>
      <c r="RFX312" s="241"/>
      <c r="RFY312" s="239"/>
      <c r="RFZ312" s="239"/>
      <c r="RGA312" s="239"/>
      <c r="RGB312" s="239"/>
      <c r="RGC312" s="239"/>
      <c r="RGD312" s="239"/>
      <c r="RGE312" s="233"/>
      <c r="RGF312" s="235"/>
      <c r="RGG312" s="233"/>
      <c r="RGH312" s="234"/>
      <c r="RGI312" s="234"/>
      <c r="RGJ312" s="242"/>
      <c r="RGK312" s="234"/>
      <c r="RGL312" s="234"/>
      <c r="RGM312" s="234"/>
      <c r="RGN312" s="236"/>
      <c r="RGO312" s="244"/>
      <c r="RGP312" s="239"/>
      <c r="RGQ312" s="240"/>
      <c r="RGR312" s="241"/>
      <c r="RGS312" s="239"/>
      <c r="RGT312" s="239"/>
      <c r="RGU312" s="239"/>
      <c r="RGV312" s="239"/>
      <c r="RGW312" s="239"/>
      <c r="RGX312" s="239"/>
      <c r="RGY312" s="233"/>
      <c r="RGZ312" s="235"/>
      <c r="RHA312" s="233"/>
      <c r="RHB312" s="234"/>
      <c r="RHC312" s="234"/>
      <c r="RHD312" s="242"/>
      <c r="RHE312" s="234"/>
      <c r="RHF312" s="234"/>
      <c r="RHG312" s="234"/>
      <c r="RHH312" s="236"/>
      <c r="RHI312" s="244"/>
      <c r="RHJ312" s="239"/>
      <c r="RHK312" s="240"/>
      <c r="RHL312" s="241"/>
      <c r="RHM312" s="239"/>
      <c r="RHN312" s="239"/>
      <c r="RHO312" s="239"/>
      <c r="RHP312" s="239"/>
      <c r="RHQ312" s="239"/>
      <c r="RHR312" s="239"/>
      <c r="RHS312" s="233"/>
      <c r="RHT312" s="235"/>
      <c r="RHU312" s="233"/>
      <c r="RHV312" s="234"/>
      <c r="RHW312" s="234"/>
      <c r="RHX312" s="242"/>
      <c r="RHY312" s="234"/>
      <c r="RHZ312" s="234"/>
      <c r="RIA312" s="234"/>
      <c r="RIB312" s="236"/>
      <c r="RIC312" s="244"/>
      <c r="RID312" s="239"/>
      <c r="RIE312" s="240"/>
      <c r="RIF312" s="241"/>
      <c r="RIG312" s="239"/>
      <c r="RIH312" s="239"/>
      <c r="RII312" s="239"/>
      <c r="RIJ312" s="239"/>
      <c r="RIK312" s="239"/>
      <c r="RIL312" s="239"/>
      <c r="RIM312" s="233"/>
      <c r="RIN312" s="235"/>
      <c r="RIO312" s="233"/>
      <c r="RIP312" s="234"/>
      <c r="RIQ312" s="234"/>
      <c r="RIR312" s="242"/>
      <c r="RIS312" s="234"/>
      <c r="RIT312" s="234"/>
      <c r="RIU312" s="234"/>
      <c r="RIV312" s="236"/>
      <c r="RIW312" s="244"/>
      <c r="RIX312" s="239"/>
      <c r="RIY312" s="240"/>
      <c r="RIZ312" s="241"/>
      <c r="RJA312" s="239"/>
      <c r="RJB312" s="239"/>
      <c r="RJC312" s="239"/>
      <c r="RJD312" s="239"/>
      <c r="RJE312" s="239"/>
      <c r="RJF312" s="239"/>
      <c r="RJG312" s="233"/>
      <c r="RJH312" s="235"/>
      <c r="RJI312" s="233"/>
      <c r="RJJ312" s="234"/>
      <c r="RJK312" s="234"/>
      <c r="RJL312" s="242"/>
      <c r="RJM312" s="234"/>
      <c r="RJN312" s="234"/>
      <c r="RJO312" s="234"/>
      <c r="RJP312" s="236"/>
      <c r="RJQ312" s="244"/>
      <c r="RJR312" s="239"/>
      <c r="RJS312" s="240"/>
      <c r="RJT312" s="241"/>
      <c r="RJU312" s="239"/>
      <c r="RJV312" s="239"/>
      <c r="RJW312" s="239"/>
      <c r="RJX312" s="239"/>
      <c r="RJY312" s="239"/>
      <c r="RJZ312" s="239"/>
      <c r="RKA312" s="233"/>
      <c r="RKB312" s="235"/>
      <c r="RKC312" s="233"/>
      <c r="RKD312" s="234"/>
      <c r="RKE312" s="234"/>
      <c r="RKF312" s="242"/>
      <c r="RKG312" s="234"/>
      <c r="RKH312" s="234"/>
      <c r="RKI312" s="234"/>
      <c r="RKJ312" s="236"/>
      <c r="RKK312" s="244"/>
      <c r="RKL312" s="239"/>
      <c r="RKM312" s="240"/>
      <c r="RKN312" s="241"/>
      <c r="RKO312" s="239"/>
      <c r="RKP312" s="239"/>
      <c r="RKQ312" s="239"/>
      <c r="RKR312" s="239"/>
      <c r="RKS312" s="239"/>
      <c r="RKT312" s="239"/>
      <c r="RKU312" s="233"/>
      <c r="RKV312" s="235"/>
      <c r="RKW312" s="233"/>
      <c r="RKX312" s="234"/>
      <c r="RKY312" s="234"/>
      <c r="RKZ312" s="242"/>
      <c r="RLA312" s="234"/>
      <c r="RLB312" s="234"/>
      <c r="RLC312" s="234"/>
      <c r="RLD312" s="236"/>
      <c r="RLE312" s="244"/>
      <c r="RLF312" s="239"/>
      <c r="RLG312" s="240"/>
      <c r="RLH312" s="241"/>
      <c r="RLI312" s="239"/>
      <c r="RLJ312" s="239"/>
      <c r="RLK312" s="239"/>
      <c r="RLL312" s="239"/>
      <c r="RLM312" s="239"/>
      <c r="RLN312" s="239"/>
      <c r="RLO312" s="233"/>
      <c r="RLP312" s="235"/>
      <c r="RLQ312" s="233"/>
      <c r="RLR312" s="234"/>
      <c r="RLS312" s="234"/>
      <c r="RLT312" s="242"/>
      <c r="RLU312" s="234"/>
      <c r="RLV312" s="234"/>
      <c r="RLW312" s="234"/>
      <c r="RLX312" s="236"/>
      <c r="RLY312" s="244"/>
      <c r="RLZ312" s="239"/>
      <c r="RMA312" s="240"/>
      <c r="RMB312" s="241"/>
      <c r="RMC312" s="239"/>
      <c r="RMD312" s="239"/>
      <c r="RME312" s="239"/>
      <c r="RMF312" s="239"/>
      <c r="RMG312" s="239"/>
      <c r="RMH312" s="239"/>
      <c r="RMI312" s="233"/>
      <c r="RMJ312" s="235"/>
      <c r="RMK312" s="233"/>
      <c r="RML312" s="234"/>
      <c r="RMM312" s="234"/>
      <c r="RMN312" s="242"/>
      <c r="RMO312" s="234"/>
      <c r="RMP312" s="234"/>
      <c r="RMQ312" s="234"/>
      <c r="RMR312" s="236"/>
      <c r="RMS312" s="244"/>
      <c r="RMT312" s="239"/>
      <c r="RMU312" s="240"/>
      <c r="RMV312" s="241"/>
      <c r="RMW312" s="239"/>
      <c r="RMX312" s="239"/>
      <c r="RMY312" s="239"/>
      <c r="RMZ312" s="239"/>
      <c r="RNA312" s="239"/>
      <c r="RNB312" s="239"/>
      <c r="RNC312" s="233"/>
      <c r="RND312" s="235"/>
      <c r="RNE312" s="233"/>
      <c r="RNF312" s="234"/>
      <c r="RNG312" s="234"/>
      <c r="RNH312" s="242"/>
      <c r="RNI312" s="234"/>
      <c r="RNJ312" s="234"/>
      <c r="RNK312" s="234"/>
      <c r="RNL312" s="236"/>
      <c r="RNM312" s="244"/>
      <c r="RNN312" s="239"/>
      <c r="RNO312" s="240"/>
      <c r="RNP312" s="241"/>
      <c r="RNQ312" s="239"/>
      <c r="RNR312" s="239"/>
      <c r="RNS312" s="239"/>
      <c r="RNT312" s="239"/>
      <c r="RNU312" s="239"/>
      <c r="RNV312" s="239"/>
      <c r="RNW312" s="233"/>
      <c r="RNX312" s="235"/>
      <c r="RNY312" s="233"/>
      <c r="RNZ312" s="234"/>
      <c r="ROA312" s="234"/>
      <c r="ROB312" s="242"/>
      <c r="ROC312" s="234"/>
      <c r="ROD312" s="234"/>
      <c r="ROE312" s="234"/>
      <c r="ROF312" s="236"/>
      <c r="ROG312" s="244"/>
      <c r="ROH312" s="239"/>
      <c r="ROI312" s="240"/>
      <c r="ROJ312" s="241"/>
      <c r="ROK312" s="239"/>
      <c r="ROL312" s="239"/>
      <c r="ROM312" s="239"/>
      <c r="RON312" s="239"/>
      <c r="ROO312" s="239"/>
      <c r="ROP312" s="239"/>
      <c r="ROQ312" s="233"/>
      <c r="ROR312" s="235"/>
      <c r="ROS312" s="233"/>
      <c r="ROT312" s="234"/>
      <c r="ROU312" s="234"/>
      <c r="ROV312" s="242"/>
      <c r="ROW312" s="234"/>
      <c r="ROX312" s="234"/>
      <c r="ROY312" s="234"/>
      <c r="ROZ312" s="236"/>
      <c r="RPA312" s="244"/>
      <c r="RPB312" s="239"/>
      <c r="RPC312" s="240"/>
      <c r="RPD312" s="241"/>
      <c r="RPE312" s="239"/>
      <c r="RPF312" s="239"/>
      <c r="RPG312" s="239"/>
      <c r="RPH312" s="239"/>
      <c r="RPI312" s="239"/>
      <c r="RPJ312" s="239"/>
      <c r="RPK312" s="233"/>
      <c r="RPL312" s="235"/>
      <c r="RPM312" s="233"/>
      <c r="RPN312" s="234"/>
      <c r="RPO312" s="234"/>
      <c r="RPP312" s="242"/>
      <c r="RPQ312" s="234"/>
      <c r="RPR312" s="234"/>
      <c r="RPS312" s="234"/>
      <c r="RPT312" s="236"/>
      <c r="RPU312" s="244"/>
      <c r="RPV312" s="239"/>
      <c r="RPW312" s="240"/>
      <c r="RPX312" s="241"/>
      <c r="RPY312" s="239"/>
      <c r="RPZ312" s="239"/>
      <c r="RQA312" s="239"/>
      <c r="RQB312" s="239"/>
      <c r="RQC312" s="239"/>
      <c r="RQD312" s="239"/>
      <c r="RQE312" s="233"/>
      <c r="RQF312" s="235"/>
      <c r="RQG312" s="233"/>
      <c r="RQH312" s="234"/>
      <c r="RQI312" s="234"/>
      <c r="RQJ312" s="242"/>
      <c r="RQK312" s="234"/>
      <c r="RQL312" s="234"/>
      <c r="RQM312" s="234"/>
      <c r="RQN312" s="236"/>
      <c r="RQO312" s="244"/>
      <c r="RQP312" s="239"/>
      <c r="RQQ312" s="240"/>
      <c r="RQR312" s="241"/>
      <c r="RQS312" s="239"/>
      <c r="RQT312" s="239"/>
      <c r="RQU312" s="239"/>
      <c r="RQV312" s="239"/>
      <c r="RQW312" s="239"/>
      <c r="RQX312" s="239"/>
      <c r="RQY312" s="233"/>
      <c r="RQZ312" s="235"/>
      <c r="RRA312" s="233"/>
      <c r="RRB312" s="234"/>
      <c r="RRC312" s="234"/>
      <c r="RRD312" s="242"/>
      <c r="RRE312" s="234"/>
      <c r="RRF312" s="234"/>
      <c r="RRG312" s="234"/>
      <c r="RRH312" s="236"/>
      <c r="RRI312" s="244"/>
      <c r="RRJ312" s="239"/>
      <c r="RRK312" s="240"/>
      <c r="RRL312" s="241"/>
      <c r="RRM312" s="239"/>
      <c r="RRN312" s="239"/>
      <c r="RRO312" s="239"/>
      <c r="RRP312" s="239"/>
      <c r="RRQ312" s="239"/>
      <c r="RRR312" s="239"/>
      <c r="RRS312" s="233"/>
      <c r="RRT312" s="235"/>
      <c r="RRU312" s="233"/>
      <c r="RRV312" s="234"/>
      <c r="RRW312" s="234"/>
      <c r="RRX312" s="242"/>
      <c r="RRY312" s="234"/>
      <c r="RRZ312" s="234"/>
      <c r="RSA312" s="234"/>
      <c r="RSB312" s="236"/>
      <c r="RSC312" s="244"/>
      <c r="RSD312" s="239"/>
      <c r="RSE312" s="240"/>
      <c r="RSF312" s="241"/>
      <c r="RSG312" s="239"/>
      <c r="RSH312" s="239"/>
      <c r="RSI312" s="239"/>
      <c r="RSJ312" s="239"/>
      <c r="RSK312" s="239"/>
      <c r="RSL312" s="239"/>
      <c r="RSM312" s="233"/>
      <c r="RSN312" s="235"/>
      <c r="RSO312" s="233"/>
      <c r="RSP312" s="234"/>
      <c r="RSQ312" s="234"/>
      <c r="RSR312" s="242"/>
      <c r="RSS312" s="234"/>
      <c r="RST312" s="234"/>
      <c r="RSU312" s="234"/>
      <c r="RSV312" s="236"/>
      <c r="RSW312" s="244"/>
      <c r="RSX312" s="239"/>
      <c r="RSY312" s="240"/>
      <c r="RSZ312" s="241"/>
      <c r="RTA312" s="239"/>
      <c r="RTB312" s="239"/>
      <c r="RTC312" s="239"/>
      <c r="RTD312" s="239"/>
      <c r="RTE312" s="239"/>
      <c r="RTF312" s="239"/>
      <c r="RTG312" s="233"/>
      <c r="RTH312" s="235"/>
      <c r="RTI312" s="233"/>
      <c r="RTJ312" s="234"/>
      <c r="RTK312" s="234"/>
      <c r="RTL312" s="242"/>
      <c r="RTM312" s="234"/>
      <c r="RTN312" s="234"/>
      <c r="RTO312" s="234"/>
      <c r="RTP312" s="236"/>
      <c r="RTQ312" s="244"/>
      <c r="RTR312" s="239"/>
      <c r="RTS312" s="240"/>
      <c r="RTT312" s="241"/>
      <c r="RTU312" s="239"/>
      <c r="RTV312" s="239"/>
      <c r="RTW312" s="239"/>
      <c r="RTX312" s="239"/>
      <c r="RTY312" s="239"/>
      <c r="RTZ312" s="239"/>
      <c r="RUA312" s="233"/>
      <c r="RUB312" s="235"/>
      <c r="RUC312" s="233"/>
      <c r="RUD312" s="234"/>
      <c r="RUE312" s="234"/>
      <c r="RUF312" s="242"/>
      <c r="RUG312" s="234"/>
      <c r="RUH312" s="234"/>
      <c r="RUI312" s="234"/>
      <c r="RUJ312" s="236"/>
      <c r="RUK312" s="244"/>
      <c r="RUL312" s="239"/>
      <c r="RUM312" s="240"/>
      <c r="RUN312" s="241"/>
      <c r="RUO312" s="239"/>
      <c r="RUP312" s="239"/>
      <c r="RUQ312" s="239"/>
      <c r="RUR312" s="239"/>
      <c r="RUS312" s="239"/>
      <c r="RUT312" s="239"/>
      <c r="RUU312" s="233"/>
      <c r="RUV312" s="235"/>
      <c r="RUW312" s="233"/>
      <c r="RUX312" s="234"/>
      <c r="RUY312" s="234"/>
      <c r="RUZ312" s="242"/>
      <c r="RVA312" s="234"/>
      <c r="RVB312" s="234"/>
      <c r="RVC312" s="234"/>
      <c r="RVD312" s="236"/>
      <c r="RVE312" s="244"/>
      <c r="RVF312" s="239"/>
      <c r="RVG312" s="240"/>
      <c r="RVH312" s="241"/>
      <c r="RVI312" s="239"/>
      <c r="RVJ312" s="239"/>
      <c r="RVK312" s="239"/>
      <c r="RVL312" s="239"/>
      <c r="RVM312" s="239"/>
      <c r="RVN312" s="239"/>
      <c r="RVO312" s="233"/>
      <c r="RVP312" s="235"/>
      <c r="RVQ312" s="233"/>
      <c r="RVR312" s="234"/>
      <c r="RVS312" s="234"/>
      <c r="RVT312" s="242"/>
      <c r="RVU312" s="234"/>
      <c r="RVV312" s="234"/>
      <c r="RVW312" s="234"/>
      <c r="RVX312" s="236"/>
      <c r="RVY312" s="244"/>
      <c r="RVZ312" s="239"/>
      <c r="RWA312" s="240"/>
      <c r="RWB312" s="241"/>
      <c r="RWC312" s="239"/>
      <c r="RWD312" s="239"/>
      <c r="RWE312" s="239"/>
      <c r="RWF312" s="239"/>
      <c r="RWG312" s="239"/>
      <c r="RWH312" s="239"/>
      <c r="RWI312" s="233"/>
      <c r="RWJ312" s="235"/>
      <c r="RWK312" s="233"/>
      <c r="RWL312" s="234"/>
      <c r="RWM312" s="234"/>
      <c r="RWN312" s="242"/>
      <c r="RWO312" s="234"/>
      <c r="RWP312" s="234"/>
      <c r="RWQ312" s="234"/>
      <c r="RWR312" s="236"/>
      <c r="RWS312" s="244"/>
      <c r="RWT312" s="239"/>
      <c r="RWU312" s="240"/>
      <c r="RWV312" s="241"/>
      <c r="RWW312" s="239"/>
      <c r="RWX312" s="239"/>
      <c r="RWY312" s="239"/>
      <c r="RWZ312" s="239"/>
      <c r="RXA312" s="239"/>
      <c r="RXB312" s="239"/>
      <c r="RXC312" s="233"/>
      <c r="RXD312" s="235"/>
      <c r="RXE312" s="233"/>
      <c r="RXF312" s="234"/>
      <c r="RXG312" s="234"/>
      <c r="RXH312" s="242"/>
      <c r="RXI312" s="234"/>
      <c r="RXJ312" s="234"/>
      <c r="RXK312" s="234"/>
      <c r="RXL312" s="236"/>
      <c r="RXM312" s="244"/>
      <c r="RXN312" s="239"/>
      <c r="RXO312" s="240"/>
      <c r="RXP312" s="241"/>
      <c r="RXQ312" s="239"/>
      <c r="RXR312" s="239"/>
      <c r="RXS312" s="239"/>
      <c r="RXT312" s="239"/>
      <c r="RXU312" s="239"/>
      <c r="RXV312" s="239"/>
      <c r="RXW312" s="233"/>
      <c r="RXX312" s="235"/>
      <c r="RXY312" s="233"/>
      <c r="RXZ312" s="234"/>
      <c r="RYA312" s="234"/>
      <c r="RYB312" s="242"/>
      <c r="RYC312" s="234"/>
      <c r="RYD312" s="234"/>
      <c r="RYE312" s="234"/>
      <c r="RYF312" s="236"/>
      <c r="RYG312" s="244"/>
      <c r="RYH312" s="239"/>
      <c r="RYI312" s="240"/>
      <c r="RYJ312" s="241"/>
      <c r="RYK312" s="239"/>
      <c r="RYL312" s="239"/>
      <c r="RYM312" s="239"/>
      <c r="RYN312" s="239"/>
      <c r="RYO312" s="239"/>
      <c r="RYP312" s="239"/>
      <c r="RYQ312" s="233"/>
      <c r="RYR312" s="235"/>
      <c r="RYS312" s="233"/>
      <c r="RYT312" s="234"/>
      <c r="RYU312" s="234"/>
      <c r="RYV312" s="242"/>
      <c r="RYW312" s="234"/>
      <c r="RYX312" s="234"/>
      <c r="RYY312" s="234"/>
      <c r="RYZ312" s="236"/>
      <c r="RZA312" s="244"/>
      <c r="RZB312" s="239"/>
      <c r="RZC312" s="240"/>
      <c r="RZD312" s="241"/>
      <c r="RZE312" s="239"/>
      <c r="RZF312" s="239"/>
      <c r="RZG312" s="239"/>
      <c r="RZH312" s="239"/>
      <c r="RZI312" s="239"/>
      <c r="RZJ312" s="239"/>
      <c r="RZK312" s="233"/>
      <c r="RZL312" s="235"/>
      <c r="RZM312" s="233"/>
      <c r="RZN312" s="234"/>
      <c r="RZO312" s="234"/>
      <c r="RZP312" s="242"/>
      <c r="RZQ312" s="234"/>
      <c r="RZR312" s="234"/>
      <c r="RZS312" s="234"/>
      <c r="RZT312" s="236"/>
      <c r="RZU312" s="244"/>
      <c r="RZV312" s="239"/>
      <c r="RZW312" s="240"/>
      <c r="RZX312" s="241"/>
      <c r="RZY312" s="239"/>
      <c r="RZZ312" s="239"/>
      <c r="SAA312" s="239"/>
      <c r="SAB312" s="239"/>
      <c r="SAC312" s="239"/>
      <c r="SAD312" s="239"/>
      <c r="SAE312" s="233"/>
      <c r="SAF312" s="235"/>
      <c r="SAG312" s="233"/>
      <c r="SAH312" s="234"/>
      <c r="SAI312" s="234"/>
      <c r="SAJ312" s="242"/>
      <c r="SAK312" s="234"/>
      <c r="SAL312" s="234"/>
      <c r="SAM312" s="234"/>
      <c r="SAN312" s="236"/>
      <c r="SAO312" s="244"/>
      <c r="SAP312" s="239"/>
      <c r="SAQ312" s="240"/>
      <c r="SAR312" s="241"/>
      <c r="SAS312" s="239"/>
      <c r="SAT312" s="239"/>
      <c r="SAU312" s="239"/>
      <c r="SAV312" s="239"/>
      <c r="SAW312" s="239"/>
      <c r="SAX312" s="239"/>
      <c r="SAY312" s="233"/>
      <c r="SAZ312" s="235"/>
      <c r="SBA312" s="233"/>
      <c r="SBB312" s="234"/>
      <c r="SBC312" s="234"/>
      <c r="SBD312" s="242"/>
      <c r="SBE312" s="234"/>
      <c r="SBF312" s="234"/>
      <c r="SBG312" s="234"/>
      <c r="SBH312" s="236"/>
      <c r="SBI312" s="244"/>
      <c r="SBJ312" s="239"/>
      <c r="SBK312" s="240"/>
      <c r="SBL312" s="241"/>
      <c r="SBM312" s="239"/>
      <c r="SBN312" s="239"/>
      <c r="SBO312" s="239"/>
      <c r="SBP312" s="239"/>
      <c r="SBQ312" s="239"/>
      <c r="SBR312" s="239"/>
      <c r="SBS312" s="233"/>
      <c r="SBT312" s="235"/>
      <c r="SBU312" s="233"/>
      <c r="SBV312" s="234"/>
      <c r="SBW312" s="234"/>
      <c r="SBX312" s="242"/>
      <c r="SBY312" s="234"/>
      <c r="SBZ312" s="234"/>
      <c r="SCA312" s="234"/>
      <c r="SCB312" s="236"/>
      <c r="SCC312" s="244"/>
      <c r="SCD312" s="239"/>
      <c r="SCE312" s="240"/>
      <c r="SCF312" s="241"/>
      <c r="SCG312" s="239"/>
      <c r="SCH312" s="239"/>
      <c r="SCI312" s="239"/>
      <c r="SCJ312" s="239"/>
      <c r="SCK312" s="239"/>
      <c r="SCL312" s="239"/>
      <c r="SCM312" s="233"/>
      <c r="SCN312" s="235"/>
      <c r="SCO312" s="233"/>
      <c r="SCP312" s="234"/>
      <c r="SCQ312" s="234"/>
      <c r="SCR312" s="242"/>
      <c r="SCS312" s="234"/>
      <c r="SCT312" s="234"/>
      <c r="SCU312" s="234"/>
      <c r="SCV312" s="236"/>
      <c r="SCW312" s="244"/>
      <c r="SCX312" s="239"/>
      <c r="SCY312" s="240"/>
      <c r="SCZ312" s="241"/>
      <c r="SDA312" s="239"/>
      <c r="SDB312" s="239"/>
      <c r="SDC312" s="239"/>
      <c r="SDD312" s="239"/>
      <c r="SDE312" s="239"/>
      <c r="SDF312" s="239"/>
      <c r="SDG312" s="233"/>
      <c r="SDH312" s="235"/>
      <c r="SDI312" s="233"/>
      <c r="SDJ312" s="234"/>
      <c r="SDK312" s="234"/>
      <c r="SDL312" s="242"/>
      <c r="SDM312" s="234"/>
      <c r="SDN312" s="234"/>
      <c r="SDO312" s="234"/>
      <c r="SDP312" s="236"/>
      <c r="SDQ312" s="244"/>
      <c r="SDR312" s="239"/>
      <c r="SDS312" s="240"/>
      <c r="SDT312" s="241"/>
      <c r="SDU312" s="239"/>
      <c r="SDV312" s="239"/>
      <c r="SDW312" s="239"/>
      <c r="SDX312" s="239"/>
      <c r="SDY312" s="239"/>
      <c r="SDZ312" s="239"/>
      <c r="SEA312" s="233"/>
      <c r="SEB312" s="235"/>
      <c r="SEC312" s="233"/>
      <c r="SED312" s="234"/>
      <c r="SEE312" s="234"/>
      <c r="SEF312" s="242"/>
      <c r="SEG312" s="234"/>
      <c r="SEH312" s="234"/>
      <c r="SEI312" s="234"/>
      <c r="SEJ312" s="236"/>
      <c r="SEK312" s="244"/>
      <c r="SEL312" s="239"/>
      <c r="SEM312" s="240"/>
      <c r="SEN312" s="241"/>
      <c r="SEO312" s="239"/>
      <c r="SEP312" s="239"/>
      <c r="SEQ312" s="239"/>
      <c r="SER312" s="239"/>
      <c r="SES312" s="239"/>
      <c r="SET312" s="239"/>
      <c r="SEU312" s="233"/>
      <c r="SEV312" s="235"/>
      <c r="SEW312" s="233"/>
      <c r="SEX312" s="234"/>
      <c r="SEY312" s="234"/>
      <c r="SEZ312" s="242"/>
      <c r="SFA312" s="234"/>
      <c r="SFB312" s="234"/>
      <c r="SFC312" s="234"/>
      <c r="SFD312" s="236"/>
      <c r="SFE312" s="244"/>
      <c r="SFF312" s="239"/>
      <c r="SFG312" s="240"/>
      <c r="SFH312" s="241"/>
      <c r="SFI312" s="239"/>
      <c r="SFJ312" s="239"/>
      <c r="SFK312" s="239"/>
      <c r="SFL312" s="239"/>
      <c r="SFM312" s="239"/>
      <c r="SFN312" s="239"/>
      <c r="SFO312" s="233"/>
      <c r="SFP312" s="235"/>
      <c r="SFQ312" s="233"/>
      <c r="SFR312" s="234"/>
      <c r="SFS312" s="234"/>
      <c r="SFT312" s="242"/>
      <c r="SFU312" s="234"/>
      <c r="SFV312" s="234"/>
      <c r="SFW312" s="234"/>
      <c r="SFX312" s="236"/>
      <c r="SFY312" s="244"/>
      <c r="SFZ312" s="239"/>
      <c r="SGA312" s="240"/>
      <c r="SGB312" s="241"/>
      <c r="SGC312" s="239"/>
      <c r="SGD312" s="239"/>
      <c r="SGE312" s="239"/>
      <c r="SGF312" s="239"/>
      <c r="SGG312" s="239"/>
      <c r="SGH312" s="239"/>
      <c r="SGI312" s="233"/>
      <c r="SGJ312" s="235"/>
      <c r="SGK312" s="233"/>
      <c r="SGL312" s="234"/>
      <c r="SGM312" s="234"/>
      <c r="SGN312" s="242"/>
      <c r="SGO312" s="234"/>
      <c r="SGP312" s="234"/>
      <c r="SGQ312" s="234"/>
      <c r="SGR312" s="236"/>
      <c r="SGS312" s="244"/>
      <c r="SGT312" s="239"/>
      <c r="SGU312" s="240"/>
      <c r="SGV312" s="241"/>
      <c r="SGW312" s="239"/>
      <c r="SGX312" s="239"/>
      <c r="SGY312" s="239"/>
      <c r="SGZ312" s="239"/>
      <c r="SHA312" s="239"/>
      <c r="SHB312" s="239"/>
      <c r="SHC312" s="233"/>
      <c r="SHD312" s="235"/>
      <c r="SHE312" s="233"/>
      <c r="SHF312" s="234"/>
      <c r="SHG312" s="234"/>
      <c r="SHH312" s="242"/>
      <c r="SHI312" s="234"/>
      <c r="SHJ312" s="234"/>
      <c r="SHK312" s="234"/>
      <c r="SHL312" s="236"/>
      <c r="SHM312" s="244"/>
      <c r="SHN312" s="239"/>
      <c r="SHO312" s="240"/>
      <c r="SHP312" s="241"/>
      <c r="SHQ312" s="239"/>
      <c r="SHR312" s="239"/>
      <c r="SHS312" s="239"/>
      <c r="SHT312" s="239"/>
      <c r="SHU312" s="239"/>
      <c r="SHV312" s="239"/>
      <c r="SHW312" s="233"/>
      <c r="SHX312" s="235"/>
      <c r="SHY312" s="233"/>
      <c r="SHZ312" s="234"/>
      <c r="SIA312" s="234"/>
      <c r="SIB312" s="242"/>
      <c r="SIC312" s="234"/>
      <c r="SID312" s="234"/>
      <c r="SIE312" s="234"/>
      <c r="SIF312" s="236"/>
      <c r="SIG312" s="244"/>
      <c r="SIH312" s="239"/>
      <c r="SII312" s="240"/>
      <c r="SIJ312" s="241"/>
      <c r="SIK312" s="239"/>
      <c r="SIL312" s="239"/>
      <c r="SIM312" s="239"/>
      <c r="SIN312" s="239"/>
      <c r="SIO312" s="239"/>
      <c r="SIP312" s="239"/>
      <c r="SIQ312" s="233"/>
      <c r="SIR312" s="235"/>
      <c r="SIS312" s="233"/>
      <c r="SIT312" s="234"/>
      <c r="SIU312" s="234"/>
      <c r="SIV312" s="242"/>
      <c r="SIW312" s="234"/>
      <c r="SIX312" s="234"/>
      <c r="SIY312" s="234"/>
      <c r="SIZ312" s="236"/>
      <c r="SJA312" s="244"/>
      <c r="SJB312" s="239"/>
      <c r="SJC312" s="240"/>
      <c r="SJD312" s="241"/>
      <c r="SJE312" s="239"/>
      <c r="SJF312" s="239"/>
      <c r="SJG312" s="239"/>
      <c r="SJH312" s="239"/>
      <c r="SJI312" s="239"/>
      <c r="SJJ312" s="239"/>
      <c r="SJK312" s="233"/>
      <c r="SJL312" s="235"/>
      <c r="SJM312" s="233"/>
      <c r="SJN312" s="234"/>
      <c r="SJO312" s="234"/>
      <c r="SJP312" s="242"/>
      <c r="SJQ312" s="234"/>
      <c r="SJR312" s="234"/>
      <c r="SJS312" s="234"/>
      <c r="SJT312" s="236"/>
      <c r="SJU312" s="244"/>
      <c r="SJV312" s="239"/>
      <c r="SJW312" s="240"/>
      <c r="SJX312" s="241"/>
      <c r="SJY312" s="239"/>
      <c r="SJZ312" s="239"/>
      <c r="SKA312" s="239"/>
      <c r="SKB312" s="239"/>
      <c r="SKC312" s="239"/>
      <c r="SKD312" s="239"/>
      <c r="SKE312" s="233"/>
      <c r="SKF312" s="235"/>
      <c r="SKG312" s="233"/>
      <c r="SKH312" s="234"/>
      <c r="SKI312" s="234"/>
      <c r="SKJ312" s="242"/>
      <c r="SKK312" s="234"/>
      <c r="SKL312" s="234"/>
      <c r="SKM312" s="234"/>
      <c r="SKN312" s="236"/>
      <c r="SKO312" s="244"/>
      <c r="SKP312" s="239"/>
      <c r="SKQ312" s="240"/>
      <c r="SKR312" s="241"/>
      <c r="SKS312" s="239"/>
      <c r="SKT312" s="239"/>
      <c r="SKU312" s="239"/>
      <c r="SKV312" s="239"/>
      <c r="SKW312" s="239"/>
      <c r="SKX312" s="239"/>
      <c r="SKY312" s="233"/>
      <c r="SKZ312" s="235"/>
      <c r="SLA312" s="233"/>
      <c r="SLB312" s="234"/>
      <c r="SLC312" s="234"/>
      <c r="SLD312" s="242"/>
      <c r="SLE312" s="234"/>
      <c r="SLF312" s="234"/>
      <c r="SLG312" s="234"/>
      <c r="SLH312" s="236"/>
      <c r="SLI312" s="244"/>
      <c r="SLJ312" s="239"/>
      <c r="SLK312" s="240"/>
      <c r="SLL312" s="241"/>
      <c r="SLM312" s="239"/>
      <c r="SLN312" s="239"/>
      <c r="SLO312" s="239"/>
      <c r="SLP312" s="239"/>
      <c r="SLQ312" s="239"/>
      <c r="SLR312" s="239"/>
      <c r="SLS312" s="233"/>
      <c r="SLT312" s="235"/>
      <c r="SLU312" s="233"/>
      <c r="SLV312" s="234"/>
      <c r="SLW312" s="234"/>
      <c r="SLX312" s="242"/>
      <c r="SLY312" s="234"/>
      <c r="SLZ312" s="234"/>
      <c r="SMA312" s="234"/>
      <c r="SMB312" s="236"/>
      <c r="SMC312" s="244"/>
      <c r="SMD312" s="239"/>
      <c r="SME312" s="240"/>
      <c r="SMF312" s="241"/>
      <c r="SMG312" s="239"/>
      <c r="SMH312" s="239"/>
      <c r="SMI312" s="239"/>
      <c r="SMJ312" s="239"/>
      <c r="SMK312" s="239"/>
      <c r="SML312" s="239"/>
      <c r="SMM312" s="233"/>
      <c r="SMN312" s="235"/>
      <c r="SMO312" s="233"/>
      <c r="SMP312" s="234"/>
      <c r="SMQ312" s="234"/>
      <c r="SMR312" s="242"/>
      <c r="SMS312" s="234"/>
      <c r="SMT312" s="234"/>
      <c r="SMU312" s="234"/>
      <c r="SMV312" s="236"/>
      <c r="SMW312" s="244"/>
      <c r="SMX312" s="239"/>
      <c r="SMY312" s="240"/>
      <c r="SMZ312" s="241"/>
      <c r="SNA312" s="239"/>
      <c r="SNB312" s="239"/>
      <c r="SNC312" s="239"/>
      <c r="SND312" s="239"/>
      <c r="SNE312" s="239"/>
      <c r="SNF312" s="239"/>
      <c r="SNG312" s="233"/>
      <c r="SNH312" s="235"/>
      <c r="SNI312" s="233"/>
      <c r="SNJ312" s="234"/>
      <c r="SNK312" s="234"/>
      <c r="SNL312" s="242"/>
      <c r="SNM312" s="234"/>
      <c r="SNN312" s="234"/>
      <c r="SNO312" s="234"/>
      <c r="SNP312" s="236"/>
      <c r="SNQ312" s="244"/>
      <c r="SNR312" s="239"/>
      <c r="SNS312" s="240"/>
      <c r="SNT312" s="241"/>
      <c r="SNU312" s="239"/>
      <c r="SNV312" s="239"/>
      <c r="SNW312" s="239"/>
      <c r="SNX312" s="239"/>
      <c r="SNY312" s="239"/>
      <c r="SNZ312" s="239"/>
      <c r="SOA312" s="233"/>
      <c r="SOB312" s="235"/>
      <c r="SOC312" s="233"/>
      <c r="SOD312" s="234"/>
      <c r="SOE312" s="234"/>
      <c r="SOF312" s="242"/>
      <c r="SOG312" s="234"/>
      <c r="SOH312" s="234"/>
      <c r="SOI312" s="234"/>
      <c r="SOJ312" s="236"/>
      <c r="SOK312" s="244"/>
      <c r="SOL312" s="239"/>
      <c r="SOM312" s="240"/>
      <c r="SON312" s="241"/>
      <c r="SOO312" s="239"/>
      <c r="SOP312" s="239"/>
      <c r="SOQ312" s="239"/>
      <c r="SOR312" s="239"/>
      <c r="SOS312" s="239"/>
      <c r="SOT312" s="239"/>
      <c r="SOU312" s="233"/>
      <c r="SOV312" s="235"/>
      <c r="SOW312" s="233"/>
      <c r="SOX312" s="234"/>
      <c r="SOY312" s="234"/>
      <c r="SOZ312" s="242"/>
      <c r="SPA312" s="234"/>
      <c r="SPB312" s="234"/>
      <c r="SPC312" s="234"/>
      <c r="SPD312" s="236"/>
      <c r="SPE312" s="244"/>
      <c r="SPF312" s="239"/>
      <c r="SPG312" s="240"/>
      <c r="SPH312" s="241"/>
      <c r="SPI312" s="239"/>
      <c r="SPJ312" s="239"/>
      <c r="SPK312" s="239"/>
      <c r="SPL312" s="239"/>
      <c r="SPM312" s="239"/>
      <c r="SPN312" s="239"/>
      <c r="SPO312" s="233"/>
      <c r="SPP312" s="235"/>
      <c r="SPQ312" s="233"/>
      <c r="SPR312" s="234"/>
      <c r="SPS312" s="234"/>
      <c r="SPT312" s="242"/>
      <c r="SPU312" s="234"/>
      <c r="SPV312" s="234"/>
      <c r="SPW312" s="234"/>
      <c r="SPX312" s="236"/>
      <c r="SPY312" s="244"/>
      <c r="SPZ312" s="239"/>
      <c r="SQA312" s="240"/>
      <c r="SQB312" s="241"/>
      <c r="SQC312" s="239"/>
      <c r="SQD312" s="239"/>
      <c r="SQE312" s="239"/>
      <c r="SQF312" s="239"/>
      <c r="SQG312" s="239"/>
      <c r="SQH312" s="239"/>
      <c r="SQI312" s="233"/>
      <c r="SQJ312" s="235"/>
      <c r="SQK312" s="233"/>
      <c r="SQL312" s="234"/>
      <c r="SQM312" s="234"/>
      <c r="SQN312" s="242"/>
      <c r="SQO312" s="234"/>
      <c r="SQP312" s="234"/>
      <c r="SQQ312" s="234"/>
      <c r="SQR312" s="236"/>
      <c r="SQS312" s="244"/>
      <c r="SQT312" s="239"/>
      <c r="SQU312" s="240"/>
      <c r="SQV312" s="241"/>
      <c r="SQW312" s="239"/>
      <c r="SQX312" s="239"/>
      <c r="SQY312" s="239"/>
      <c r="SQZ312" s="239"/>
      <c r="SRA312" s="239"/>
      <c r="SRB312" s="239"/>
      <c r="SRC312" s="233"/>
      <c r="SRD312" s="235"/>
      <c r="SRE312" s="233"/>
      <c r="SRF312" s="234"/>
      <c r="SRG312" s="234"/>
      <c r="SRH312" s="242"/>
      <c r="SRI312" s="234"/>
      <c r="SRJ312" s="234"/>
      <c r="SRK312" s="234"/>
      <c r="SRL312" s="236"/>
      <c r="SRM312" s="244"/>
      <c r="SRN312" s="239"/>
      <c r="SRO312" s="240"/>
      <c r="SRP312" s="241"/>
      <c r="SRQ312" s="239"/>
      <c r="SRR312" s="239"/>
      <c r="SRS312" s="239"/>
      <c r="SRT312" s="239"/>
      <c r="SRU312" s="239"/>
      <c r="SRV312" s="239"/>
      <c r="SRW312" s="233"/>
      <c r="SRX312" s="235"/>
      <c r="SRY312" s="233"/>
      <c r="SRZ312" s="234"/>
      <c r="SSA312" s="234"/>
      <c r="SSB312" s="242"/>
      <c r="SSC312" s="234"/>
      <c r="SSD312" s="234"/>
      <c r="SSE312" s="234"/>
      <c r="SSF312" s="236"/>
      <c r="SSG312" s="244"/>
      <c r="SSH312" s="239"/>
      <c r="SSI312" s="240"/>
      <c r="SSJ312" s="241"/>
      <c r="SSK312" s="239"/>
      <c r="SSL312" s="239"/>
      <c r="SSM312" s="239"/>
      <c r="SSN312" s="239"/>
      <c r="SSO312" s="239"/>
      <c r="SSP312" s="239"/>
      <c r="SSQ312" s="233"/>
      <c r="SSR312" s="235"/>
      <c r="SSS312" s="233"/>
      <c r="SST312" s="234"/>
      <c r="SSU312" s="234"/>
      <c r="SSV312" s="242"/>
      <c r="SSW312" s="234"/>
      <c r="SSX312" s="234"/>
      <c r="SSY312" s="234"/>
      <c r="SSZ312" s="236"/>
      <c r="STA312" s="244"/>
      <c r="STB312" s="239"/>
      <c r="STC312" s="240"/>
      <c r="STD312" s="241"/>
      <c r="STE312" s="239"/>
      <c r="STF312" s="239"/>
      <c r="STG312" s="239"/>
      <c r="STH312" s="239"/>
      <c r="STI312" s="239"/>
      <c r="STJ312" s="239"/>
      <c r="STK312" s="233"/>
      <c r="STL312" s="235"/>
      <c r="STM312" s="233"/>
      <c r="STN312" s="234"/>
      <c r="STO312" s="234"/>
      <c r="STP312" s="242"/>
      <c r="STQ312" s="234"/>
      <c r="STR312" s="234"/>
      <c r="STS312" s="234"/>
      <c r="STT312" s="236"/>
      <c r="STU312" s="244"/>
      <c r="STV312" s="239"/>
      <c r="STW312" s="240"/>
      <c r="STX312" s="241"/>
      <c r="STY312" s="239"/>
      <c r="STZ312" s="239"/>
      <c r="SUA312" s="239"/>
      <c r="SUB312" s="239"/>
      <c r="SUC312" s="239"/>
      <c r="SUD312" s="239"/>
      <c r="SUE312" s="233"/>
      <c r="SUF312" s="235"/>
      <c r="SUG312" s="233"/>
      <c r="SUH312" s="234"/>
      <c r="SUI312" s="234"/>
      <c r="SUJ312" s="242"/>
      <c r="SUK312" s="234"/>
      <c r="SUL312" s="234"/>
      <c r="SUM312" s="234"/>
      <c r="SUN312" s="236"/>
      <c r="SUO312" s="244"/>
      <c r="SUP312" s="239"/>
      <c r="SUQ312" s="240"/>
      <c r="SUR312" s="241"/>
      <c r="SUS312" s="239"/>
      <c r="SUT312" s="239"/>
      <c r="SUU312" s="239"/>
      <c r="SUV312" s="239"/>
      <c r="SUW312" s="239"/>
      <c r="SUX312" s="239"/>
      <c r="SUY312" s="233"/>
      <c r="SUZ312" s="235"/>
      <c r="SVA312" s="233"/>
      <c r="SVB312" s="234"/>
      <c r="SVC312" s="234"/>
      <c r="SVD312" s="242"/>
      <c r="SVE312" s="234"/>
      <c r="SVF312" s="234"/>
      <c r="SVG312" s="234"/>
      <c r="SVH312" s="236"/>
      <c r="SVI312" s="244"/>
      <c r="SVJ312" s="239"/>
      <c r="SVK312" s="240"/>
      <c r="SVL312" s="241"/>
      <c r="SVM312" s="239"/>
      <c r="SVN312" s="239"/>
      <c r="SVO312" s="239"/>
      <c r="SVP312" s="239"/>
      <c r="SVQ312" s="239"/>
      <c r="SVR312" s="239"/>
      <c r="SVS312" s="233"/>
      <c r="SVT312" s="235"/>
      <c r="SVU312" s="233"/>
      <c r="SVV312" s="234"/>
      <c r="SVW312" s="234"/>
      <c r="SVX312" s="242"/>
      <c r="SVY312" s="234"/>
      <c r="SVZ312" s="234"/>
      <c r="SWA312" s="234"/>
      <c r="SWB312" s="236"/>
      <c r="SWC312" s="244"/>
      <c r="SWD312" s="239"/>
      <c r="SWE312" s="240"/>
      <c r="SWF312" s="241"/>
      <c r="SWG312" s="239"/>
      <c r="SWH312" s="239"/>
      <c r="SWI312" s="239"/>
      <c r="SWJ312" s="239"/>
      <c r="SWK312" s="239"/>
      <c r="SWL312" s="239"/>
      <c r="SWM312" s="233"/>
      <c r="SWN312" s="235"/>
      <c r="SWO312" s="233"/>
      <c r="SWP312" s="234"/>
      <c r="SWQ312" s="234"/>
      <c r="SWR312" s="242"/>
      <c r="SWS312" s="234"/>
      <c r="SWT312" s="234"/>
      <c r="SWU312" s="234"/>
      <c r="SWV312" s="236"/>
      <c r="SWW312" s="244"/>
      <c r="SWX312" s="239"/>
      <c r="SWY312" s="240"/>
      <c r="SWZ312" s="241"/>
      <c r="SXA312" s="239"/>
      <c r="SXB312" s="239"/>
      <c r="SXC312" s="239"/>
      <c r="SXD312" s="239"/>
      <c r="SXE312" s="239"/>
      <c r="SXF312" s="239"/>
      <c r="SXG312" s="233"/>
      <c r="SXH312" s="235"/>
      <c r="SXI312" s="233"/>
      <c r="SXJ312" s="234"/>
      <c r="SXK312" s="234"/>
      <c r="SXL312" s="242"/>
      <c r="SXM312" s="234"/>
      <c r="SXN312" s="234"/>
      <c r="SXO312" s="234"/>
      <c r="SXP312" s="236"/>
      <c r="SXQ312" s="244"/>
      <c r="SXR312" s="239"/>
      <c r="SXS312" s="240"/>
      <c r="SXT312" s="241"/>
      <c r="SXU312" s="239"/>
      <c r="SXV312" s="239"/>
      <c r="SXW312" s="239"/>
      <c r="SXX312" s="239"/>
      <c r="SXY312" s="239"/>
      <c r="SXZ312" s="239"/>
      <c r="SYA312" s="233"/>
      <c r="SYB312" s="235"/>
      <c r="SYC312" s="233"/>
      <c r="SYD312" s="234"/>
      <c r="SYE312" s="234"/>
      <c r="SYF312" s="242"/>
      <c r="SYG312" s="234"/>
      <c r="SYH312" s="234"/>
      <c r="SYI312" s="234"/>
      <c r="SYJ312" s="236"/>
      <c r="SYK312" s="244"/>
      <c r="SYL312" s="239"/>
      <c r="SYM312" s="240"/>
      <c r="SYN312" s="241"/>
      <c r="SYO312" s="239"/>
      <c r="SYP312" s="239"/>
      <c r="SYQ312" s="239"/>
      <c r="SYR312" s="239"/>
      <c r="SYS312" s="239"/>
      <c r="SYT312" s="239"/>
      <c r="SYU312" s="233"/>
      <c r="SYV312" s="235"/>
      <c r="SYW312" s="233"/>
      <c r="SYX312" s="234"/>
      <c r="SYY312" s="234"/>
      <c r="SYZ312" s="242"/>
      <c r="SZA312" s="234"/>
      <c r="SZB312" s="234"/>
      <c r="SZC312" s="234"/>
      <c r="SZD312" s="236"/>
      <c r="SZE312" s="244"/>
      <c r="SZF312" s="239"/>
      <c r="SZG312" s="240"/>
      <c r="SZH312" s="241"/>
      <c r="SZI312" s="239"/>
      <c r="SZJ312" s="239"/>
      <c r="SZK312" s="239"/>
      <c r="SZL312" s="239"/>
      <c r="SZM312" s="239"/>
      <c r="SZN312" s="239"/>
      <c r="SZO312" s="233"/>
      <c r="SZP312" s="235"/>
      <c r="SZQ312" s="233"/>
      <c r="SZR312" s="234"/>
      <c r="SZS312" s="234"/>
      <c r="SZT312" s="242"/>
      <c r="SZU312" s="234"/>
      <c r="SZV312" s="234"/>
      <c r="SZW312" s="234"/>
      <c r="SZX312" s="236"/>
      <c r="SZY312" s="244"/>
      <c r="SZZ312" s="239"/>
      <c r="TAA312" s="240"/>
      <c r="TAB312" s="241"/>
      <c r="TAC312" s="239"/>
      <c r="TAD312" s="239"/>
      <c r="TAE312" s="239"/>
      <c r="TAF312" s="239"/>
      <c r="TAG312" s="239"/>
      <c r="TAH312" s="239"/>
      <c r="TAI312" s="233"/>
      <c r="TAJ312" s="235"/>
      <c r="TAK312" s="233"/>
      <c r="TAL312" s="234"/>
      <c r="TAM312" s="234"/>
      <c r="TAN312" s="242"/>
      <c r="TAO312" s="234"/>
      <c r="TAP312" s="234"/>
      <c r="TAQ312" s="234"/>
      <c r="TAR312" s="236"/>
      <c r="TAS312" s="244"/>
      <c r="TAT312" s="239"/>
      <c r="TAU312" s="240"/>
      <c r="TAV312" s="241"/>
      <c r="TAW312" s="239"/>
      <c r="TAX312" s="239"/>
      <c r="TAY312" s="239"/>
      <c r="TAZ312" s="239"/>
      <c r="TBA312" s="239"/>
      <c r="TBB312" s="239"/>
      <c r="TBC312" s="233"/>
      <c r="TBD312" s="235"/>
      <c r="TBE312" s="233"/>
      <c r="TBF312" s="234"/>
      <c r="TBG312" s="234"/>
      <c r="TBH312" s="242"/>
      <c r="TBI312" s="234"/>
      <c r="TBJ312" s="234"/>
      <c r="TBK312" s="234"/>
      <c r="TBL312" s="236"/>
      <c r="TBM312" s="244"/>
      <c r="TBN312" s="239"/>
      <c r="TBO312" s="240"/>
      <c r="TBP312" s="241"/>
      <c r="TBQ312" s="239"/>
      <c r="TBR312" s="239"/>
      <c r="TBS312" s="239"/>
      <c r="TBT312" s="239"/>
      <c r="TBU312" s="239"/>
      <c r="TBV312" s="239"/>
      <c r="TBW312" s="233"/>
      <c r="TBX312" s="235"/>
      <c r="TBY312" s="233"/>
      <c r="TBZ312" s="234"/>
      <c r="TCA312" s="234"/>
      <c r="TCB312" s="242"/>
      <c r="TCC312" s="234"/>
      <c r="TCD312" s="234"/>
      <c r="TCE312" s="234"/>
      <c r="TCF312" s="236"/>
      <c r="TCG312" s="244"/>
      <c r="TCH312" s="239"/>
      <c r="TCI312" s="240"/>
      <c r="TCJ312" s="241"/>
      <c r="TCK312" s="239"/>
      <c r="TCL312" s="239"/>
      <c r="TCM312" s="239"/>
      <c r="TCN312" s="239"/>
      <c r="TCO312" s="239"/>
      <c r="TCP312" s="239"/>
      <c r="TCQ312" s="233"/>
      <c r="TCR312" s="235"/>
      <c r="TCS312" s="233"/>
      <c r="TCT312" s="234"/>
      <c r="TCU312" s="234"/>
      <c r="TCV312" s="242"/>
      <c r="TCW312" s="234"/>
      <c r="TCX312" s="234"/>
      <c r="TCY312" s="234"/>
      <c r="TCZ312" s="236"/>
      <c r="TDA312" s="244"/>
      <c r="TDB312" s="239"/>
      <c r="TDC312" s="240"/>
      <c r="TDD312" s="241"/>
      <c r="TDE312" s="239"/>
      <c r="TDF312" s="239"/>
      <c r="TDG312" s="239"/>
      <c r="TDH312" s="239"/>
      <c r="TDI312" s="239"/>
      <c r="TDJ312" s="239"/>
      <c r="TDK312" s="233"/>
      <c r="TDL312" s="235"/>
      <c r="TDM312" s="233"/>
      <c r="TDN312" s="234"/>
      <c r="TDO312" s="234"/>
      <c r="TDP312" s="242"/>
      <c r="TDQ312" s="234"/>
      <c r="TDR312" s="234"/>
      <c r="TDS312" s="234"/>
      <c r="TDT312" s="236"/>
      <c r="TDU312" s="244"/>
      <c r="TDV312" s="239"/>
      <c r="TDW312" s="240"/>
      <c r="TDX312" s="241"/>
      <c r="TDY312" s="239"/>
      <c r="TDZ312" s="239"/>
      <c r="TEA312" s="239"/>
      <c r="TEB312" s="239"/>
      <c r="TEC312" s="239"/>
      <c r="TED312" s="239"/>
      <c r="TEE312" s="233"/>
      <c r="TEF312" s="235"/>
      <c r="TEG312" s="233"/>
      <c r="TEH312" s="234"/>
      <c r="TEI312" s="234"/>
      <c r="TEJ312" s="242"/>
      <c r="TEK312" s="234"/>
      <c r="TEL312" s="234"/>
      <c r="TEM312" s="234"/>
      <c r="TEN312" s="236"/>
      <c r="TEO312" s="244"/>
      <c r="TEP312" s="239"/>
      <c r="TEQ312" s="240"/>
      <c r="TER312" s="241"/>
      <c r="TES312" s="239"/>
      <c r="TET312" s="239"/>
      <c r="TEU312" s="239"/>
      <c r="TEV312" s="239"/>
      <c r="TEW312" s="239"/>
      <c r="TEX312" s="239"/>
      <c r="TEY312" s="233"/>
      <c r="TEZ312" s="235"/>
      <c r="TFA312" s="233"/>
      <c r="TFB312" s="234"/>
      <c r="TFC312" s="234"/>
      <c r="TFD312" s="242"/>
      <c r="TFE312" s="234"/>
      <c r="TFF312" s="234"/>
      <c r="TFG312" s="234"/>
      <c r="TFH312" s="236"/>
      <c r="TFI312" s="244"/>
      <c r="TFJ312" s="239"/>
      <c r="TFK312" s="240"/>
      <c r="TFL312" s="241"/>
      <c r="TFM312" s="239"/>
      <c r="TFN312" s="239"/>
      <c r="TFO312" s="239"/>
      <c r="TFP312" s="239"/>
      <c r="TFQ312" s="239"/>
      <c r="TFR312" s="239"/>
      <c r="TFS312" s="233"/>
      <c r="TFT312" s="235"/>
      <c r="TFU312" s="233"/>
      <c r="TFV312" s="234"/>
      <c r="TFW312" s="234"/>
      <c r="TFX312" s="242"/>
      <c r="TFY312" s="234"/>
      <c r="TFZ312" s="234"/>
      <c r="TGA312" s="234"/>
      <c r="TGB312" s="236"/>
      <c r="TGC312" s="244"/>
      <c r="TGD312" s="239"/>
      <c r="TGE312" s="240"/>
      <c r="TGF312" s="241"/>
      <c r="TGG312" s="239"/>
      <c r="TGH312" s="239"/>
      <c r="TGI312" s="239"/>
      <c r="TGJ312" s="239"/>
      <c r="TGK312" s="239"/>
      <c r="TGL312" s="239"/>
      <c r="TGM312" s="233"/>
      <c r="TGN312" s="235"/>
      <c r="TGO312" s="233"/>
      <c r="TGP312" s="234"/>
      <c r="TGQ312" s="234"/>
      <c r="TGR312" s="242"/>
      <c r="TGS312" s="234"/>
      <c r="TGT312" s="234"/>
      <c r="TGU312" s="234"/>
      <c r="TGV312" s="236"/>
      <c r="TGW312" s="244"/>
      <c r="TGX312" s="239"/>
      <c r="TGY312" s="240"/>
      <c r="TGZ312" s="241"/>
      <c r="THA312" s="239"/>
      <c r="THB312" s="239"/>
      <c r="THC312" s="239"/>
      <c r="THD312" s="239"/>
      <c r="THE312" s="239"/>
      <c r="THF312" s="239"/>
      <c r="THG312" s="233"/>
      <c r="THH312" s="235"/>
      <c r="THI312" s="233"/>
      <c r="THJ312" s="234"/>
      <c r="THK312" s="234"/>
      <c r="THL312" s="242"/>
      <c r="THM312" s="234"/>
      <c r="THN312" s="234"/>
      <c r="THO312" s="234"/>
      <c r="THP312" s="236"/>
      <c r="THQ312" s="244"/>
      <c r="THR312" s="239"/>
      <c r="THS312" s="240"/>
      <c r="THT312" s="241"/>
      <c r="THU312" s="239"/>
      <c r="THV312" s="239"/>
      <c r="THW312" s="239"/>
      <c r="THX312" s="239"/>
      <c r="THY312" s="239"/>
      <c r="THZ312" s="239"/>
      <c r="TIA312" s="233"/>
      <c r="TIB312" s="235"/>
      <c r="TIC312" s="233"/>
      <c r="TID312" s="234"/>
      <c r="TIE312" s="234"/>
      <c r="TIF312" s="242"/>
      <c r="TIG312" s="234"/>
      <c r="TIH312" s="234"/>
      <c r="TII312" s="234"/>
      <c r="TIJ312" s="236"/>
      <c r="TIK312" s="244"/>
      <c r="TIL312" s="239"/>
      <c r="TIM312" s="240"/>
      <c r="TIN312" s="241"/>
      <c r="TIO312" s="239"/>
      <c r="TIP312" s="239"/>
      <c r="TIQ312" s="239"/>
      <c r="TIR312" s="239"/>
      <c r="TIS312" s="239"/>
      <c r="TIT312" s="239"/>
      <c r="TIU312" s="233"/>
      <c r="TIV312" s="235"/>
      <c r="TIW312" s="233"/>
      <c r="TIX312" s="234"/>
      <c r="TIY312" s="234"/>
      <c r="TIZ312" s="242"/>
      <c r="TJA312" s="234"/>
      <c r="TJB312" s="234"/>
      <c r="TJC312" s="234"/>
      <c r="TJD312" s="236"/>
      <c r="TJE312" s="244"/>
      <c r="TJF312" s="239"/>
      <c r="TJG312" s="240"/>
      <c r="TJH312" s="241"/>
      <c r="TJI312" s="239"/>
      <c r="TJJ312" s="239"/>
      <c r="TJK312" s="239"/>
      <c r="TJL312" s="239"/>
      <c r="TJM312" s="239"/>
      <c r="TJN312" s="239"/>
      <c r="TJO312" s="233"/>
      <c r="TJP312" s="235"/>
      <c r="TJQ312" s="233"/>
      <c r="TJR312" s="234"/>
      <c r="TJS312" s="234"/>
      <c r="TJT312" s="242"/>
      <c r="TJU312" s="234"/>
      <c r="TJV312" s="234"/>
      <c r="TJW312" s="234"/>
      <c r="TJX312" s="236"/>
      <c r="TJY312" s="244"/>
      <c r="TJZ312" s="239"/>
      <c r="TKA312" s="240"/>
      <c r="TKB312" s="241"/>
      <c r="TKC312" s="239"/>
      <c r="TKD312" s="239"/>
      <c r="TKE312" s="239"/>
      <c r="TKF312" s="239"/>
      <c r="TKG312" s="239"/>
      <c r="TKH312" s="239"/>
      <c r="TKI312" s="233"/>
      <c r="TKJ312" s="235"/>
      <c r="TKK312" s="233"/>
      <c r="TKL312" s="234"/>
      <c r="TKM312" s="234"/>
      <c r="TKN312" s="242"/>
      <c r="TKO312" s="234"/>
      <c r="TKP312" s="234"/>
      <c r="TKQ312" s="234"/>
      <c r="TKR312" s="236"/>
      <c r="TKS312" s="244"/>
      <c r="TKT312" s="239"/>
      <c r="TKU312" s="240"/>
      <c r="TKV312" s="241"/>
      <c r="TKW312" s="239"/>
      <c r="TKX312" s="239"/>
      <c r="TKY312" s="239"/>
      <c r="TKZ312" s="239"/>
      <c r="TLA312" s="239"/>
      <c r="TLB312" s="239"/>
      <c r="TLC312" s="233"/>
      <c r="TLD312" s="235"/>
      <c r="TLE312" s="233"/>
      <c r="TLF312" s="234"/>
      <c r="TLG312" s="234"/>
      <c r="TLH312" s="242"/>
      <c r="TLI312" s="234"/>
      <c r="TLJ312" s="234"/>
      <c r="TLK312" s="234"/>
      <c r="TLL312" s="236"/>
      <c r="TLM312" s="244"/>
      <c r="TLN312" s="239"/>
      <c r="TLO312" s="240"/>
      <c r="TLP312" s="241"/>
      <c r="TLQ312" s="239"/>
      <c r="TLR312" s="239"/>
      <c r="TLS312" s="239"/>
      <c r="TLT312" s="239"/>
      <c r="TLU312" s="239"/>
      <c r="TLV312" s="239"/>
      <c r="TLW312" s="233"/>
      <c r="TLX312" s="235"/>
      <c r="TLY312" s="233"/>
      <c r="TLZ312" s="234"/>
      <c r="TMA312" s="234"/>
      <c r="TMB312" s="242"/>
      <c r="TMC312" s="234"/>
      <c r="TMD312" s="234"/>
      <c r="TME312" s="234"/>
      <c r="TMF312" s="236"/>
      <c r="TMG312" s="244"/>
      <c r="TMH312" s="239"/>
      <c r="TMI312" s="240"/>
      <c r="TMJ312" s="241"/>
      <c r="TMK312" s="239"/>
      <c r="TML312" s="239"/>
      <c r="TMM312" s="239"/>
      <c r="TMN312" s="239"/>
      <c r="TMO312" s="239"/>
      <c r="TMP312" s="239"/>
      <c r="TMQ312" s="233"/>
      <c r="TMR312" s="235"/>
      <c r="TMS312" s="233"/>
      <c r="TMT312" s="234"/>
      <c r="TMU312" s="234"/>
      <c r="TMV312" s="242"/>
      <c r="TMW312" s="234"/>
      <c r="TMX312" s="234"/>
      <c r="TMY312" s="234"/>
      <c r="TMZ312" s="236"/>
      <c r="TNA312" s="244"/>
      <c r="TNB312" s="239"/>
      <c r="TNC312" s="240"/>
      <c r="TND312" s="241"/>
      <c r="TNE312" s="239"/>
      <c r="TNF312" s="239"/>
      <c r="TNG312" s="239"/>
      <c r="TNH312" s="239"/>
      <c r="TNI312" s="239"/>
      <c r="TNJ312" s="239"/>
      <c r="TNK312" s="233"/>
      <c r="TNL312" s="235"/>
      <c r="TNM312" s="233"/>
      <c r="TNN312" s="234"/>
      <c r="TNO312" s="234"/>
      <c r="TNP312" s="242"/>
      <c r="TNQ312" s="234"/>
      <c r="TNR312" s="234"/>
      <c r="TNS312" s="234"/>
      <c r="TNT312" s="236"/>
      <c r="TNU312" s="244"/>
      <c r="TNV312" s="239"/>
      <c r="TNW312" s="240"/>
      <c r="TNX312" s="241"/>
      <c r="TNY312" s="239"/>
      <c r="TNZ312" s="239"/>
      <c r="TOA312" s="239"/>
      <c r="TOB312" s="239"/>
      <c r="TOC312" s="239"/>
      <c r="TOD312" s="239"/>
      <c r="TOE312" s="233"/>
      <c r="TOF312" s="235"/>
      <c r="TOG312" s="233"/>
      <c r="TOH312" s="234"/>
      <c r="TOI312" s="234"/>
      <c r="TOJ312" s="242"/>
      <c r="TOK312" s="234"/>
      <c r="TOL312" s="234"/>
      <c r="TOM312" s="234"/>
      <c r="TON312" s="236"/>
      <c r="TOO312" s="244"/>
      <c r="TOP312" s="239"/>
      <c r="TOQ312" s="240"/>
      <c r="TOR312" s="241"/>
      <c r="TOS312" s="239"/>
      <c r="TOT312" s="239"/>
      <c r="TOU312" s="239"/>
      <c r="TOV312" s="239"/>
      <c r="TOW312" s="239"/>
      <c r="TOX312" s="239"/>
      <c r="TOY312" s="233"/>
      <c r="TOZ312" s="235"/>
      <c r="TPA312" s="233"/>
      <c r="TPB312" s="234"/>
      <c r="TPC312" s="234"/>
      <c r="TPD312" s="242"/>
      <c r="TPE312" s="234"/>
      <c r="TPF312" s="234"/>
      <c r="TPG312" s="234"/>
      <c r="TPH312" s="236"/>
      <c r="TPI312" s="244"/>
      <c r="TPJ312" s="239"/>
      <c r="TPK312" s="240"/>
      <c r="TPL312" s="241"/>
      <c r="TPM312" s="239"/>
      <c r="TPN312" s="239"/>
      <c r="TPO312" s="239"/>
      <c r="TPP312" s="239"/>
      <c r="TPQ312" s="239"/>
      <c r="TPR312" s="239"/>
      <c r="TPS312" s="233"/>
      <c r="TPT312" s="235"/>
      <c r="TPU312" s="233"/>
      <c r="TPV312" s="234"/>
      <c r="TPW312" s="234"/>
      <c r="TPX312" s="242"/>
      <c r="TPY312" s="234"/>
      <c r="TPZ312" s="234"/>
      <c r="TQA312" s="234"/>
      <c r="TQB312" s="236"/>
      <c r="TQC312" s="244"/>
      <c r="TQD312" s="239"/>
      <c r="TQE312" s="240"/>
      <c r="TQF312" s="241"/>
      <c r="TQG312" s="239"/>
      <c r="TQH312" s="239"/>
      <c r="TQI312" s="239"/>
      <c r="TQJ312" s="239"/>
      <c r="TQK312" s="239"/>
      <c r="TQL312" s="239"/>
      <c r="TQM312" s="233"/>
      <c r="TQN312" s="235"/>
      <c r="TQO312" s="233"/>
      <c r="TQP312" s="234"/>
      <c r="TQQ312" s="234"/>
      <c r="TQR312" s="242"/>
      <c r="TQS312" s="234"/>
      <c r="TQT312" s="234"/>
      <c r="TQU312" s="234"/>
      <c r="TQV312" s="236"/>
      <c r="TQW312" s="244"/>
      <c r="TQX312" s="239"/>
      <c r="TQY312" s="240"/>
      <c r="TQZ312" s="241"/>
      <c r="TRA312" s="239"/>
      <c r="TRB312" s="239"/>
      <c r="TRC312" s="239"/>
      <c r="TRD312" s="239"/>
      <c r="TRE312" s="239"/>
      <c r="TRF312" s="239"/>
      <c r="TRG312" s="233"/>
      <c r="TRH312" s="235"/>
      <c r="TRI312" s="233"/>
      <c r="TRJ312" s="234"/>
      <c r="TRK312" s="234"/>
      <c r="TRL312" s="242"/>
      <c r="TRM312" s="234"/>
      <c r="TRN312" s="234"/>
      <c r="TRO312" s="234"/>
      <c r="TRP312" s="236"/>
      <c r="TRQ312" s="244"/>
      <c r="TRR312" s="239"/>
      <c r="TRS312" s="240"/>
      <c r="TRT312" s="241"/>
      <c r="TRU312" s="239"/>
      <c r="TRV312" s="239"/>
      <c r="TRW312" s="239"/>
      <c r="TRX312" s="239"/>
      <c r="TRY312" s="239"/>
      <c r="TRZ312" s="239"/>
      <c r="TSA312" s="233"/>
      <c r="TSB312" s="235"/>
      <c r="TSC312" s="233"/>
      <c r="TSD312" s="234"/>
      <c r="TSE312" s="234"/>
      <c r="TSF312" s="242"/>
      <c r="TSG312" s="234"/>
      <c r="TSH312" s="234"/>
      <c r="TSI312" s="234"/>
      <c r="TSJ312" s="236"/>
      <c r="TSK312" s="244"/>
      <c r="TSL312" s="239"/>
      <c r="TSM312" s="240"/>
      <c r="TSN312" s="241"/>
      <c r="TSO312" s="239"/>
      <c r="TSP312" s="239"/>
      <c r="TSQ312" s="239"/>
      <c r="TSR312" s="239"/>
      <c r="TSS312" s="239"/>
      <c r="TST312" s="239"/>
      <c r="TSU312" s="233"/>
      <c r="TSV312" s="235"/>
      <c r="TSW312" s="233"/>
      <c r="TSX312" s="234"/>
      <c r="TSY312" s="234"/>
      <c r="TSZ312" s="242"/>
      <c r="TTA312" s="234"/>
      <c r="TTB312" s="234"/>
      <c r="TTC312" s="234"/>
      <c r="TTD312" s="236"/>
      <c r="TTE312" s="244"/>
      <c r="TTF312" s="239"/>
      <c r="TTG312" s="240"/>
      <c r="TTH312" s="241"/>
      <c r="TTI312" s="239"/>
      <c r="TTJ312" s="239"/>
      <c r="TTK312" s="239"/>
      <c r="TTL312" s="239"/>
      <c r="TTM312" s="239"/>
      <c r="TTN312" s="239"/>
      <c r="TTO312" s="233"/>
      <c r="TTP312" s="235"/>
      <c r="TTQ312" s="233"/>
      <c r="TTR312" s="234"/>
      <c r="TTS312" s="234"/>
      <c r="TTT312" s="242"/>
      <c r="TTU312" s="234"/>
      <c r="TTV312" s="234"/>
      <c r="TTW312" s="234"/>
      <c r="TTX312" s="236"/>
      <c r="TTY312" s="244"/>
      <c r="TTZ312" s="239"/>
      <c r="TUA312" s="240"/>
      <c r="TUB312" s="241"/>
      <c r="TUC312" s="239"/>
      <c r="TUD312" s="239"/>
      <c r="TUE312" s="239"/>
      <c r="TUF312" s="239"/>
      <c r="TUG312" s="239"/>
      <c r="TUH312" s="239"/>
      <c r="TUI312" s="233"/>
      <c r="TUJ312" s="235"/>
      <c r="TUK312" s="233"/>
      <c r="TUL312" s="234"/>
      <c r="TUM312" s="234"/>
      <c r="TUN312" s="242"/>
      <c r="TUO312" s="234"/>
      <c r="TUP312" s="234"/>
      <c r="TUQ312" s="234"/>
      <c r="TUR312" s="236"/>
      <c r="TUS312" s="244"/>
      <c r="TUT312" s="239"/>
      <c r="TUU312" s="240"/>
      <c r="TUV312" s="241"/>
      <c r="TUW312" s="239"/>
      <c r="TUX312" s="239"/>
      <c r="TUY312" s="239"/>
      <c r="TUZ312" s="239"/>
      <c r="TVA312" s="239"/>
      <c r="TVB312" s="239"/>
      <c r="TVC312" s="233"/>
      <c r="TVD312" s="235"/>
      <c r="TVE312" s="233"/>
      <c r="TVF312" s="234"/>
      <c r="TVG312" s="234"/>
      <c r="TVH312" s="242"/>
      <c r="TVI312" s="234"/>
      <c r="TVJ312" s="234"/>
      <c r="TVK312" s="234"/>
      <c r="TVL312" s="236"/>
      <c r="TVM312" s="244"/>
      <c r="TVN312" s="239"/>
      <c r="TVO312" s="240"/>
      <c r="TVP312" s="241"/>
      <c r="TVQ312" s="239"/>
      <c r="TVR312" s="239"/>
      <c r="TVS312" s="239"/>
      <c r="TVT312" s="239"/>
      <c r="TVU312" s="239"/>
      <c r="TVV312" s="239"/>
      <c r="TVW312" s="233"/>
      <c r="TVX312" s="235"/>
      <c r="TVY312" s="233"/>
      <c r="TVZ312" s="234"/>
      <c r="TWA312" s="234"/>
      <c r="TWB312" s="242"/>
      <c r="TWC312" s="234"/>
      <c r="TWD312" s="234"/>
      <c r="TWE312" s="234"/>
      <c r="TWF312" s="236"/>
      <c r="TWG312" s="244"/>
      <c r="TWH312" s="239"/>
      <c r="TWI312" s="240"/>
      <c r="TWJ312" s="241"/>
      <c r="TWK312" s="239"/>
      <c r="TWL312" s="239"/>
      <c r="TWM312" s="239"/>
      <c r="TWN312" s="239"/>
      <c r="TWO312" s="239"/>
      <c r="TWP312" s="239"/>
      <c r="TWQ312" s="233"/>
      <c r="TWR312" s="235"/>
      <c r="TWS312" s="233"/>
      <c r="TWT312" s="234"/>
      <c r="TWU312" s="234"/>
      <c r="TWV312" s="242"/>
      <c r="TWW312" s="234"/>
      <c r="TWX312" s="234"/>
      <c r="TWY312" s="234"/>
      <c r="TWZ312" s="236"/>
      <c r="TXA312" s="244"/>
      <c r="TXB312" s="239"/>
      <c r="TXC312" s="240"/>
      <c r="TXD312" s="241"/>
      <c r="TXE312" s="239"/>
      <c r="TXF312" s="239"/>
      <c r="TXG312" s="239"/>
      <c r="TXH312" s="239"/>
      <c r="TXI312" s="239"/>
      <c r="TXJ312" s="239"/>
      <c r="TXK312" s="233"/>
      <c r="TXL312" s="235"/>
      <c r="TXM312" s="233"/>
      <c r="TXN312" s="234"/>
      <c r="TXO312" s="234"/>
      <c r="TXP312" s="242"/>
      <c r="TXQ312" s="234"/>
      <c r="TXR312" s="234"/>
      <c r="TXS312" s="234"/>
      <c r="TXT312" s="236"/>
      <c r="TXU312" s="244"/>
      <c r="TXV312" s="239"/>
      <c r="TXW312" s="240"/>
      <c r="TXX312" s="241"/>
      <c r="TXY312" s="239"/>
      <c r="TXZ312" s="239"/>
      <c r="TYA312" s="239"/>
      <c r="TYB312" s="239"/>
      <c r="TYC312" s="239"/>
      <c r="TYD312" s="239"/>
      <c r="TYE312" s="233"/>
      <c r="TYF312" s="235"/>
      <c r="TYG312" s="233"/>
      <c r="TYH312" s="234"/>
      <c r="TYI312" s="234"/>
      <c r="TYJ312" s="242"/>
      <c r="TYK312" s="234"/>
      <c r="TYL312" s="234"/>
      <c r="TYM312" s="234"/>
      <c r="TYN312" s="236"/>
      <c r="TYO312" s="244"/>
      <c r="TYP312" s="239"/>
      <c r="TYQ312" s="240"/>
      <c r="TYR312" s="241"/>
      <c r="TYS312" s="239"/>
      <c r="TYT312" s="239"/>
      <c r="TYU312" s="239"/>
      <c r="TYV312" s="239"/>
      <c r="TYW312" s="239"/>
      <c r="TYX312" s="239"/>
      <c r="TYY312" s="233"/>
      <c r="TYZ312" s="235"/>
      <c r="TZA312" s="233"/>
      <c r="TZB312" s="234"/>
      <c r="TZC312" s="234"/>
      <c r="TZD312" s="242"/>
      <c r="TZE312" s="234"/>
      <c r="TZF312" s="234"/>
      <c r="TZG312" s="234"/>
      <c r="TZH312" s="236"/>
      <c r="TZI312" s="244"/>
      <c r="TZJ312" s="239"/>
      <c r="TZK312" s="240"/>
      <c r="TZL312" s="241"/>
      <c r="TZM312" s="239"/>
      <c r="TZN312" s="239"/>
      <c r="TZO312" s="239"/>
      <c r="TZP312" s="239"/>
      <c r="TZQ312" s="239"/>
      <c r="TZR312" s="239"/>
      <c r="TZS312" s="233"/>
      <c r="TZT312" s="235"/>
      <c r="TZU312" s="233"/>
      <c r="TZV312" s="234"/>
      <c r="TZW312" s="234"/>
      <c r="TZX312" s="242"/>
      <c r="TZY312" s="234"/>
      <c r="TZZ312" s="234"/>
      <c r="UAA312" s="234"/>
      <c r="UAB312" s="236"/>
      <c r="UAC312" s="244"/>
      <c r="UAD312" s="239"/>
      <c r="UAE312" s="240"/>
      <c r="UAF312" s="241"/>
      <c r="UAG312" s="239"/>
      <c r="UAH312" s="239"/>
      <c r="UAI312" s="239"/>
      <c r="UAJ312" s="239"/>
      <c r="UAK312" s="239"/>
      <c r="UAL312" s="239"/>
      <c r="UAM312" s="233"/>
      <c r="UAN312" s="235"/>
      <c r="UAO312" s="233"/>
      <c r="UAP312" s="234"/>
      <c r="UAQ312" s="234"/>
      <c r="UAR312" s="242"/>
      <c r="UAS312" s="234"/>
      <c r="UAT312" s="234"/>
      <c r="UAU312" s="234"/>
      <c r="UAV312" s="236"/>
      <c r="UAW312" s="244"/>
      <c r="UAX312" s="239"/>
      <c r="UAY312" s="240"/>
      <c r="UAZ312" s="241"/>
      <c r="UBA312" s="239"/>
      <c r="UBB312" s="239"/>
      <c r="UBC312" s="239"/>
      <c r="UBD312" s="239"/>
      <c r="UBE312" s="239"/>
      <c r="UBF312" s="239"/>
      <c r="UBG312" s="233"/>
      <c r="UBH312" s="235"/>
      <c r="UBI312" s="233"/>
      <c r="UBJ312" s="234"/>
      <c r="UBK312" s="234"/>
      <c r="UBL312" s="242"/>
      <c r="UBM312" s="234"/>
      <c r="UBN312" s="234"/>
      <c r="UBO312" s="234"/>
      <c r="UBP312" s="236"/>
      <c r="UBQ312" s="244"/>
      <c r="UBR312" s="239"/>
      <c r="UBS312" s="240"/>
      <c r="UBT312" s="241"/>
      <c r="UBU312" s="239"/>
      <c r="UBV312" s="239"/>
      <c r="UBW312" s="239"/>
      <c r="UBX312" s="239"/>
      <c r="UBY312" s="239"/>
      <c r="UBZ312" s="239"/>
      <c r="UCA312" s="233"/>
      <c r="UCB312" s="235"/>
      <c r="UCC312" s="233"/>
      <c r="UCD312" s="234"/>
      <c r="UCE312" s="234"/>
      <c r="UCF312" s="242"/>
      <c r="UCG312" s="234"/>
      <c r="UCH312" s="234"/>
      <c r="UCI312" s="234"/>
      <c r="UCJ312" s="236"/>
      <c r="UCK312" s="244"/>
      <c r="UCL312" s="239"/>
      <c r="UCM312" s="240"/>
      <c r="UCN312" s="241"/>
      <c r="UCO312" s="239"/>
      <c r="UCP312" s="239"/>
      <c r="UCQ312" s="239"/>
      <c r="UCR312" s="239"/>
      <c r="UCS312" s="239"/>
      <c r="UCT312" s="239"/>
      <c r="UCU312" s="233"/>
      <c r="UCV312" s="235"/>
      <c r="UCW312" s="233"/>
      <c r="UCX312" s="234"/>
      <c r="UCY312" s="234"/>
      <c r="UCZ312" s="242"/>
      <c r="UDA312" s="234"/>
      <c r="UDB312" s="234"/>
      <c r="UDC312" s="234"/>
      <c r="UDD312" s="236"/>
      <c r="UDE312" s="244"/>
      <c r="UDF312" s="239"/>
      <c r="UDG312" s="240"/>
      <c r="UDH312" s="241"/>
      <c r="UDI312" s="239"/>
      <c r="UDJ312" s="239"/>
      <c r="UDK312" s="239"/>
      <c r="UDL312" s="239"/>
      <c r="UDM312" s="239"/>
      <c r="UDN312" s="239"/>
      <c r="UDO312" s="233"/>
      <c r="UDP312" s="235"/>
      <c r="UDQ312" s="233"/>
      <c r="UDR312" s="234"/>
      <c r="UDS312" s="234"/>
      <c r="UDT312" s="242"/>
      <c r="UDU312" s="234"/>
      <c r="UDV312" s="234"/>
      <c r="UDW312" s="234"/>
      <c r="UDX312" s="236"/>
      <c r="UDY312" s="244"/>
      <c r="UDZ312" s="239"/>
      <c r="UEA312" s="240"/>
      <c r="UEB312" s="241"/>
      <c r="UEC312" s="239"/>
      <c r="UED312" s="239"/>
      <c r="UEE312" s="239"/>
      <c r="UEF312" s="239"/>
      <c r="UEG312" s="239"/>
      <c r="UEH312" s="239"/>
      <c r="UEI312" s="233"/>
      <c r="UEJ312" s="235"/>
      <c r="UEK312" s="233"/>
      <c r="UEL312" s="234"/>
      <c r="UEM312" s="234"/>
      <c r="UEN312" s="242"/>
      <c r="UEO312" s="234"/>
      <c r="UEP312" s="234"/>
      <c r="UEQ312" s="234"/>
      <c r="UER312" s="236"/>
      <c r="UES312" s="244"/>
      <c r="UET312" s="239"/>
      <c r="UEU312" s="240"/>
      <c r="UEV312" s="241"/>
      <c r="UEW312" s="239"/>
      <c r="UEX312" s="239"/>
      <c r="UEY312" s="239"/>
      <c r="UEZ312" s="239"/>
      <c r="UFA312" s="239"/>
      <c r="UFB312" s="239"/>
      <c r="UFC312" s="233"/>
      <c r="UFD312" s="235"/>
      <c r="UFE312" s="233"/>
      <c r="UFF312" s="234"/>
      <c r="UFG312" s="234"/>
      <c r="UFH312" s="242"/>
      <c r="UFI312" s="234"/>
      <c r="UFJ312" s="234"/>
      <c r="UFK312" s="234"/>
      <c r="UFL312" s="236"/>
      <c r="UFM312" s="244"/>
      <c r="UFN312" s="239"/>
      <c r="UFO312" s="240"/>
      <c r="UFP312" s="241"/>
      <c r="UFQ312" s="239"/>
      <c r="UFR312" s="239"/>
      <c r="UFS312" s="239"/>
      <c r="UFT312" s="239"/>
      <c r="UFU312" s="239"/>
      <c r="UFV312" s="239"/>
      <c r="UFW312" s="233"/>
      <c r="UFX312" s="235"/>
      <c r="UFY312" s="233"/>
      <c r="UFZ312" s="234"/>
      <c r="UGA312" s="234"/>
      <c r="UGB312" s="242"/>
      <c r="UGC312" s="234"/>
      <c r="UGD312" s="234"/>
      <c r="UGE312" s="234"/>
      <c r="UGF312" s="236"/>
      <c r="UGG312" s="244"/>
      <c r="UGH312" s="239"/>
      <c r="UGI312" s="240"/>
      <c r="UGJ312" s="241"/>
      <c r="UGK312" s="239"/>
      <c r="UGL312" s="239"/>
      <c r="UGM312" s="239"/>
      <c r="UGN312" s="239"/>
      <c r="UGO312" s="239"/>
      <c r="UGP312" s="239"/>
      <c r="UGQ312" s="233"/>
      <c r="UGR312" s="235"/>
      <c r="UGS312" s="233"/>
      <c r="UGT312" s="234"/>
      <c r="UGU312" s="234"/>
      <c r="UGV312" s="242"/>
      <c r="UGW312" s="234"/>
      <c r="UGX312" s="234"/>
      <c r="UGY312" s="234"/>
      <c r="UGZ312" s="236"/>
      <c r="UHA312" s="244"/>
      <c r="UHB312" s="239"/>
      <c r="UHC312" s="240"/>
      <c r="UHD312" s="241"/>
      <c r="UHE312" s="239"/>
      <c r="UHF312" s="239"/>
      <c r="UHG312" s="239"/>
      <c r="UHH312" s="239"/>
      <c r="UHI312" s="239"/>
      <c r="UHJ312" s="239"/>
      <c r="UHK312" s="233"/>
      <c r="UHL312" s="235"/>
      <c r="UHM312" s="233"/>
      <c r="UHN312" s="234"/>
      <c r="UHO312" s="234"/>
      <c r="UHP312" s="242"/>
      <c r="UHQ312" s="234"/>
      <c r="UHR312" s="234"/>
      <c r="UHS312" s="234"/>
      <c r="UHT312" s="236"/>
      <c r="UHU312" s="244"/>
      <c r="UHV312" s="239"/>
      <c r="UHW312" s="240"/>
      <c r="UHX312" s="241"/>
      <c r="UHY312" s="239"/>
      <c r="UHZ312" s="239"/>
      <c r="UIA312" s="239"/>
      <c r="UIB312" s="239"/>
      <c r="UIC312" s="239"/>
      <c r="UID312" s="239"/>
      <c r="UIE312" s="233"/>
      <c r="UIF312" s="235"/>
      <c r="UIG312" s="233"/>
      <c r="UIH312" s="234"/>
      <c r="UII312" s="234"/>
      <c r="UIJ312" s="242"/>
      <c r="UIK312" s="234"/>
      <c r="UIL312" s="234"/>
      <c r="UIM312" s="234"/>
      <c r="UIN312" s="236"/>
      <c r="UIO312" s="244"/>
      <c r="UIP312" s="239"/>
      <c r="UIQ312" s="240"/>
      <c r="UIR312" s="241"/>
      <c r="UIS312" s="239"/>
      <c r="UIT312" s="239"/>
      <c r="UIU312" s="239"/>
      <c r="UIV312" s="239"/>
      <c r="UIW312" s="239"/>
      <c r="UIX312" s="239"/>
      <c r="UIY312" s="233"/>
      <c r="UIZ312" s="235"/>
      <c r="UJA312" s="233"/>
      <c r="UJB312" s="234"/>
      <c r="UJC312" s="234"/>
      <c r="UJD312" s="242"/>
      <c r="UJE312" s="234"/>
      <c r="UJF312" s="234"/>
      <c r="UJG312" s="234"/>
      <c r="UJH312" s="236"/>
      <c r="UJI312" s="244"/>
      <c r="UJJ312" s="239"/>
      <c r="UJK312" s="240"/>
      <c r="UJL312" s="241"/>
      <c r="UJM312" s="239"/>
      <c r="UJN312" s="239"/>
      <c r="UJO312" s="239"/>
      <c r="UJP312" s="239"/>
      <c r="UJQ312" s="239"/>
      <c r="UJR312" s="239"/>
      <c r="UJS312" s="233"/>
      <c r="UJT312" s="235"/>
      <c r="UJU312" s="233"/>
      <c r="UJV312" s="234"/>
      <c r="UJW312" s="234"/>
      <c r="UJX312" s="242"/>
      <c r="UJY312" s="234"/>
      <c r="UJZ312" s="234"/>
      <c r="UKA312" s="234"/>
      <c r="UKB312" s="236"/>
      <c r="UKC312" s="244"/>
      <c r="UKD312" s="239"/>
      <c r="UKE312" s="240"/>
      <c r="UKF312" s="241"/>
      <c r="UKG312" s="239"/>
      <c r="UKH312" s="239"/>
      <c r="UKI312" s="239"/>
      <c r="UKJ312" s="239"/>
      <c r="UKK312" s="239"/>
      <c r="UKL312" s="239"/>
      <c r="UKM312" s="233"/>
      <c r="UKN312" s="235"/>
      <c r="UKO312" s="233"/>
      <c r="UKP312" s="234"/>
      <c r="UKQ312" s="234"/>
      <c r="UKR312" s="242"/>
      <c r="UKS312" s="234"/>
      <c r="UKT312" s="234"/>
      <c r="UKU312" s="234"/>
      <c r="UKV312" s="236"/>
      <c r="UKW312" s="244"/>
      <c r="UKX312" s="239"/>
      <c r="UKY312" s="240"/>
      <c r="UKZ312" s="241"/>
      <c r="ULA312" s="239"/>
      <c r="ULB312" s="239"/>
      <c r="ULC312" s="239"/>
      <c r="ULD312" s="239"/>
      <c r="ULE312" s="239"/>
      <c r="ULF312" s="239"/>
      <c r="ULG312" s="233"/>
      <c r="ULH312" s="235"/>
      <c r="ULI312" s="233"/>
      <c r="ULJ312" s="234"/>
      <c r="ULK312" s="234"/>
      <c r="ULL312" s="242"/>
      <c r="ULM312" s="234"/>
      <c r="ULN312" s="234"/>
      <c r="ULO312" s="234"/>
      <c r="ULP312" s="236"/>
      <c r="ULQ312" s="244"/>
      <c r="ULR312" s="239"/>
      <c r="ULS312" s="240"/>
      <c r="ULT312" s="241"/>
      <c r="ULU312" s="239"/>
      <c r="ULV312" s="239"/>
      <c r="ULW312" s="239"/>
      <c r="ULX312" s="239"/>
      <c r="ULY312" s="239"/>
      <c r="ULZ312" s="239"/>
      <c r="UMA312" s="233"/>
      <c r="UMB312" s="235"/>
      <c r="UMC312" s="233"/>
      <c r="UMD312" s="234"/>
      <c r="UME312" s="234"/>
      <c r="UMF312" s="242"/>
      <c r="UMG312" s="234"/>
      <c r="UMH312" s="234"/>
      <c r="UMI312" s="234"/>
      <c r="UMJ312" s="236"/>
      <c r="UMK312" s="244"/>
      <c r="UML312" s="239"/>
      <c r="UMM312" s="240"/>
      <c r="UMN312" s="241"/>
      <c r="UMO312" s="239"/>
      <c r="UMP312" s="239"/>
      <c r="UMQ312" s="239"/>
      <c r="UMR312" s="239"/>
      <c r="UMS312" s="239"/>
      <c r="UMT312" s="239"/>
      <c r="UMU312" s="233"/>
      <c r="UMV312" s="235"/>
      <c r="UMW312" s="233"/>
      <c r="UMX312" s="234"/>
      <c r="UMY312" s="234"/>
      <c r="UMZ312" s="242"/>
      <c r="UNA312" s="234"/>
      <c r="UNB312" s="234"/>
      <c r="UNC312" s="234"/>
      <c r="UND312" s="236"/>
      <c r="UNE312" s="244"/>
      <c r="UNF312" s="239"/>
      <c r="UNG312" s="240"/>
      <c r="UNH312" s="241"/>
      <c r="UNI312" s="239"/>
      <c r="UNJ312" s="239"/>
      <c r="UNK312" s="239"/>
      <c r="UNL312" s="239"/>
      <c r="UNM312" s="239"/>
      <c r="UNN312" s="239"/>
      <c r="UNO312" s="233"/>
      <c r="UNP312" s="235"/>
      <c r="UNQ312" s="233"/>
      <c r="UNR312" s="234"/>
      <c r="UNS312" s="234"/>
      <c r="UNT312" s="242"/>
      <c r="UNU312" s="234"/>
      <c r="UNV312" s="234"/>
      <c r="UNW312" s="234"/>
      <c r="UNX312" s="236"/>
      <c r="UNY312" s="244"/>
      <c r="UNZ312" s="239"/>
      <c r="UOA312" s="240"/>
      <c r="UOB312" s="241"/>
      <c r="UOC312" s="239"/>
      <c r="UOD312" s="239"/>
      <c r="UOE312" s="239"/>
      <c r="UOF312" s="239"/>
      <c r="UOG312" s="239"/>
      <c r="UOH312" s="239"/>
      <c r="UOI312" s="233"/>
      <c r="UOJ312" s="235"/>
      <c r="UOK312" s="233"/>
      <c r="UOL312" s="234"/>
      <c r="UOM312" s="234"/>
      <c r="UON312" s="242"/>
      <c r="UOO312" s="234"/>
      <c r="UOP312" s="234"/>
      <c r="UOQ312" s="234"/>
      <c r="UOR312" s="236"/>
      <c r="UOS312" s="244"/>
      <c r="UOT312" s="239"/>
      <c r="UOU312" s="240"/>
      <c r="UOV312" s="241"/>
      <c r="UOW312" s="239"/>
      <c r="UOX312" s="239"/>
      <c r="UOY312" s="239"/>
      <c r="UOZ312" s="239"/>
      <c r="UPA312" s="239"/>
      <c r="UPB312" s="239"/>
      <c r="UPC312" s="233"/>
      <c r="UPD312" s="235"/>
      <c r="UPE312" s="233"/>
      <c r="UPF312" s="234"/>
      <c r="UPG312" s="234"/>
      <c r="UPH312" s="242"/>
      <c r="UPI312" s="234"/>
      <c r="UPJ312" s="234"/>
      <c r="UPK312" s="234"/>
      <c r="UPL312" s="236"/>
      <c r="UPM312" s="244"/>
      <c r="UPN312" s="239"/>
      <c r="UPO312" s="240"/>
      <c r="UPP312" s="241"/>
      <c r="UPQ312" s="239"/>
      <c r="UPR312" s="239"/>
      <c r="UPS312" s="239"/>
      <c r="UPT312" s="239"/>
      <c r="UPU312" s="239"/>
      <c r="UPV312" s="239"/>
      <c r="UPW312" s="233"/>
      <c r="UPX312" s="235"/>
      <c r="UPY312" s="233"/>
      <c r="UPZ312" s="234"/>
      <c r="UQA312" s="234"/>
      <c r="UQB312" s="242"/>
      <c r="UQC312" s="234"/>
      <c r="UQD312" s="234"/>
      <c r="UQE312" s="234"/>
      <c r="UQF312" s="236"/>
      <c r="UQG312" s="244"/>
      <c r="UQH312" s="239"/>
      <c r="UQI312" s="240"/>
      <c r="UQJ312" s="241"/>
      <c r="UQK312" s="239"/>
      <c r="UQL312" s="239"/>
      <c r="UQM312" s="239"/>
      <c r="UQN312" s="239"/>
      <c r="UQO312" s="239"/>
      <c r="UQP312" s="239"/>
      <c r="UQQ312" s="233"/>
      <c r="UQR312" s="235"/>
      <c r="UQS312" s="233"/>
      <c r="UQT312" s="234"/>
      <c r="UQU312" s="234"/>
      <c r="UQV312" s="242"/>
      <c r="UQW312" s="234"/>
      <c r="UQX312" s="234"/>
      <c r="UQY312" s="234"/>
      <c r="UQZ312" s="236"/>
      <c r="URA312" s="244"/>
      <c r="URB312" s="239"/>
      <c r="URC312" s="240"/>
      <c r="URD312" s="241"/>
      <c r="URE312" s="239"/>
      <c r="URF312" s="239"/>
      <c r="URG312" s="239"/>
      <c r="URH312" s="239"/>
      <c r="URI312" s="239"/>
      <c r="URJ312" s="239"/>
      <c r="URK312" s="233"/>
      <c r="URL312" s="235"/>
      <c r="URM312" s="233"/>
      <c r="URN312" s="234"/>
      <c r="URO312" s="234"/>
      <c r="URP312" s="242"/>
      <c r="URQ312" s="234"/>
      <c r="URR312" s="234"/>
      <c r="URS312" s="234"/>
      <c r="URT312" s="236"/>
      <c r="URU312" s="244"/>
      <c r="URV312" s="239"/>
      <c r="URW312" s="240"/>
      <c r="URX312" s="241"/>
      <c r="URY312" s="239"/>
      <c r="URZ312" s="239"/>
      <c r="USA312" s="239"/>
      <c r="USB312" s="239"/>
      <c r="USC312" s="239"/>
      <c r="USD312" s="239"/>
      <c r="USE312" s="233"/>
      <c r="USF312" s="235"/>
      <c r="USG312" s="233"/>
      <c r="USH312" s="234"/>
      <c r="USI312" s="234"/>
      <c r="USJ312" s="242"/>
      <c r="USK312" s="234"/>
      <c r="USL312" s="234"/>
      <c r="USM312" s="234"/>
      <c r="USN312" s="236"/>
      <c r="USO312" s="244"/>
      <c r="USP312" s="239"/>
      <c r="USQ312" s="240"/>
      <c r="USR312" s="241"/>
      <c r="USS312" s="239"/>
      <c r="UST312" s="239"/>
      <c r="USU312" s="239"/>
      <c r="USV312" s="239"/>
      <c r="USW312" s="239"/>
      <c r="USX312" s="239"/>
      <c r="USY312" s="233"/>
      <c r="USZ312" s="235"/>
      <c r="UTA312" s="233"/>
      <c r="UTB312" s="234"/>
      <c r="UTC312" s="234"/>
      <c r="UTD312" s="242"/>
      <c r="UTE312" s="234"/>
      <c r="UTF312" s="234"/>
      <c r="UTG312" s="234"/>
      <c r="UTH312" s="236"/>
      <c r="UTI312" s="244"/>
      <c r="UTJ312" s="239"/>
      <c r="UTK312" s="240"/>
      <c r="UTL312" s="241"/>
      <c r="UTM312" s="239"/>
      <c r="UTN312" s="239"/>
      <c r="UTO312" s="239"/>
      <c r="UTP312" s="239"/>
      <c r="UTQ312" s="239"/>
      <c r="UTR312" s="239"/>
      <c r="UTS312" s="233"/>
      <c r="UTT312" s="235"/>
      <c r="UTU312" s="233"/>
      <c r="UTV312" s="234"/>
      <c r="UTW312" s="234"/>
      <c r="UTX312" s="242"/>
      <c r="UTY312" s="234"/>
      <c r="UTZ312" s="234"/>
      <c r="UUA312" s="234"/>
      <c r="UUB312" s="236"/>
      <c r="UUC312" s="244"/>
      <c r="UUD312" s="239"/>
      <c r="UUE312" s="240"/>
      <c r="UUF312" s="241"/>
      <c r="UUG312" s="239"/>
      <c r="UUH312" s="239"/>
      <c r="UUI312" s="239"/>
      <c r="UUJ312" s="239"/>
      <c r="UUK312" s="239"/>
      <c r="UUL312" s="239"/>
      <c r="UUM312" s="233"/>
      <c r="UUN312" s="235"/>
      <c r="UUO312" s="233"/>
      <c r="UUP312" s="234"/>
      <c r="UUQ312" s="234"/>
      <c r="UUR312" s="242"/>
      <c r="UUS312" s="234"/>
      <c r="UUT312" s="234"/>
      <c r="UUU312" s="234"/>
      <c r="UUV312" s="236"/>
      <c r="UUW312" s="244"/>
      <c r="UUX312" s="239"/>
      <c r="UUY312" s="240"/>
      <c r="UUZ312" s="241"/>
      <c r="UVA312" s="239"/>
      <c r="UVB312" s="239"/>
      <c r="UVC312" s="239"/>
      <c r="UVD312" s="239"/>
      <c r="UVE312" s="239"/>
      <c r="UVF312" s="239"/>
      <c r="UVG312" s="233"/>
      <c r="UVH312" s="235"/>
      <c r="UVI312" s="233"/>
      <c r="UVJ312" s="234"/>
      <c r="UVK312" s="234"/>
      <c r="UVL312" s="242"/>
      <c r="UVM312" s="234"/>
      <c r="UVN312" s="234"/>
      <c r="UVO312" s="234"/>
      <c r="UVP312" s="236"/>
      <c r="UVQ312" s="244"/>
      <c r="UVR312" s="239"/>
      <c r="UVS312" s="240"/>
      <c r="UVT312" s="241"/>
      <c r="UVU312" s="239"/>
      <c r="UVV312" s="239"/>
      <c r="UVW312" s="239"/>
      <c r="UVX312" s="239"/>
      <c r="UVY312" s="239"/>
      <c r="UVZ312" s="239"/>
      <c r="UWA312" s="233"/>
      <c r="UWB312" s="235"/>
      <c r="UWC312" s="233"/>
      <c r="UWD312" s="234"/>
      <c r="UWE312" s="234"/>
      <c r="UWF312" s="242"/>
      <c r="UWG312" s="234"/>
      <c r="UWH312" s="234"/>
      <c r="UWI312" s="234"/>
      <c r="UWJ312" s="236"/>
      <c r="UWK312" s="244"/>
      <c r="UWL312" s="239"/>
      <c r="UWM312" s="240"/>
      <c r="UWN312" s="241"/>
      <c r="UWO312" s="239"/>
      <c r="UWP312" s="239"/>
      <c r="UWQ312" s="239"/>
      <c r="UWR312" s="239"/>
      <c r="UWS312" s="239"/>
      <c r="UWT312" s="239"/>
      <c r="UWU312" s="233"/>
      <c r="UWV312" s="235"/>
      <c r="UWW312" s="233"/>
      <c r="UWX312" s="234"/>
      <c r="UWY312" s="234"/>
      <c r="UWZ312" s="242"/>
      <c r="UXA312" s="234"/>
      <c r="UXB312" s="234"/>
      <c r="UXC312" s="234"/>
      <c r="UXD312" s="236"/>
      <c r="UXE312" s="244"/>
      <c r="UXF312" s="239"/>
      <c r="UXG312" s="240"/>
      <c r="UXH312" s="241"/>
      <c r="UXI312" s="239"/>
      <c r="UXJ312" s="239"/>
      <c r="UXK312" s="239"/>
      <c r="UXL312" s="239"/>
      <c r="UXM312" s="239"/>
      <c r="UXN312" s="239"/>
      <c r="UXO312" s="233"/>
      <c r="UXP312" s="235"/>
      <c r="UXQ312" s="233"/>
      <c r="UXR312" s="234"/>
      <c r="UXS312" s="234"/>
      <c r="UXT312" s="242"/>
      <c r="UXU312" s="234"/>
      <c r="UXV312" s="234"/>
      <c r="UXW312" s="234"/>
      <c r="UXX312" s="236"/>
      <c r="UXY312" s="244"/>
      <c r="UXZ312" s="239"/>
      <c r="UYA312" s="240"/>
      <c r="UYB312" s="241"/>
      <c r="UYC312" s="239"/>
      <c r="UYD312" s="239"/>
      <c r="UYE312" s="239"/>
      <c r="UYF312" s="239"/>
      <c r="UYG312" s="239"/>
      <c r="UYH312" s="239"/>
      <c r="UYI312" s="233"/>
      <c r="UYJ312" s="235"/>
      <c r="UYK312" s="233"/>
      <c r="UYL312" s="234"/>
      <c r="UYM312" s="234"/>
      <c r="UYN312" s="242"/>
      <c r="UYO312" s="234"/>
      <c r="UYP312" s="234"/>
      <c r="UYQ312" s="234"/>
      <c r="UYR312" s="236"/>
      <c r="UYS312" s="244"/>
      <c r="UYT312" s="239"/>
      <c r="UYU312" s="240"/>
      <c r="UYV312" s="241"/>
      <c r="UYW312" s="239"/>
      <c r="UYX312" s="239"/>
      <c r="UYY312" s="239"/>
      <c r="UYZ312" s="239"/>
      <c r="UZA312" s="239"/>
      <c r="UZB312" s="239"/>
      <c r="UZC312" s="233"/>
      <c r="UZD312" s="235"/>
      <c r="UZE312" s="233"/>
      <c r="UZF312" s="234"/>
      <c r="UZG312" s="234"/>
      <c r="UZH312" s="242"/>
      <c r="UZI312" s="234"/>
      <c r="UZJ312" s="234"/>
      <c r="UZK312" s="234"/>
      <c r="UZL312" s="236"/>
      <c r="UZM312" s="244"/>
      <c r="UZN312" s="239"/>
      <c r="UZO312" s="240"/>
      <c r="UZP312" s="241"/>
      <c r="UZQ312" s="239"/>
      <c r="UZR312" s="239"/>
      <c r="UZS312" s="239"/>
      <c r="UZT312" s="239"/>
      <c r="UZU312" s="239"/>
      <c r="UZV312" s="239"/>
      <c r="UZW312" s="233"/>
      <c r="UZX312" s="235"/>
      <c r="UZY312" s="233"/>
      <c r="UZZ312" s="234"/>
      <c r="VAA312" s="234"/>
      <c r="VAB312" s="242"/>
      <c r="VAC312" s="234"/>
      <c r="VAD312" s="234"/>
      <c r="VAE312" s="234"/>
      <c r="VAF312" s="236"/>
      <c r="VAG312" s="244"/>
      <c r="VAH312" s="239"/>
      <c r="VAI312" s="240"/>
      <c r="VAJ312" s="241"/>
      <c r="VAK312" s="239"/>
      <c r="VAL312" s="239"/>
      <c r="VAM312" s="239"/>
      <c r="VAN312" s="239"/>
      <c r="VAO312" s="239"/>
      <c r="VAP312" s="239"/>
      <c r="VAQ312" s="233"/>
      <c r="VAR312" s="235"/>
      <c r="VAS312" s="233"/>
      <c r="VAT312" s="234"/>
      <c r="VAU312" s="234"/>
      <c r="VAV312" s="242"/>
      <c r="VAW312" s="234"/>
      <c r="VAX312" s="234"/>
      <c r="VAY312" s="234"/>
      <c r="VAZ312" s="236"/>
      <c r="VBA312" s="244"/>
      <c r="VBB312" s="239"/>
      <c r="VBC312" s="240"/>
      <c r="VBD312" s="241"/>
      <c r="VBE312" s="239"/>
      <c r="VBF312" s="239"/>
      <c r="VBG312" s="239"/>
      <c r="VBH312" s="239"/>
      <c r="VBI312" s="239"/>
      <c r="VBJ312" s="239"/>
      <c r="VBK312" s="233"/>
      <c r="VBL312" s="235"/>
      <c r="VBM312" s="233"/>
      <c r="VBN312" s="234"/>
      <c r="VBO312" s="234"/>
      <c r="VBP312" s="242"/>
      <c r="VBQ312" s="234"/>
      <c r="VBR312" s="234"/>
      <c r="VBS312" s="234"/>
      <c r="VBT312" s="236"/>
      <c r="VBU312" s="244"/>
      <c r="VBV312" s="239"/>
      <c r="VBW312" s="240"/>
      <c r="VBX312" s="241"/>
      <c r="VBY312" s="239"/>
      <c r="VBZ312" s="239"/>
      <c r="VCA312" s="239"/>
      <c r="VCB312" s="239"/>
      <c r="VCC312" s="239"/>
      <c r="VCD312" s="239"/>
      <c r="VCE312" s="233"/>
      <c r="VCF312" s="235"/>
      <c r="VCG312" s="233"/>
      <c r="VCH312" s="234"/>
      <c r="VCI312" s="234"/>
      <c r="VCJ312" s="242"/>
      <c r="VCK312" s="234"/>
      <c r="VCL312" s="234"/>
      <c r="VCM312" s="234"/>
      <c r="VCN312" s="236"/>
      <c r="VCO312" s="244"/>
      <c r="VCP312" s="239"/>
      <c r="VCQ312" s="240"/>
      <c r="VCR312" s="241"/>
      <c r="VCS312" s="239"/>
      <c r="VCT312" s="239"/>
      <c r="VCU312" s="239"/>
      <c r="VCV312" s="239"/>
      <c r="VCW312" s="239"/>
      <c r="VCX312" s="239"/>
      <c r="VCY312" s="233"/>
      <c r="VCZ312" s="235"/>
      <c r="VDA312" s="233"/>
      <c r="VDB312" s="234"/>
      <c r="VDC312" s="234"/>
      <c r="VDD312" s="242"/>
      <c r="VDE312" s="234"/>
      <c r="VDF312" s="234"/>
      <c r="VDG312" s="234"/>
      <c r="VDH312" s="236"/>
      <c r="VDI312" s="244"/>
      <c r="VDJ312" s="239"/>
      <c r="VDK312" s="240"/>
      <c r="VDL312" s="241"/>
      <c r="VDM312" s="239"/>
      <c r="VDN312" s="239"/>
      <c r="VDO312" s="239"/>
      <c r="VDP312" s="239"/>
      <c r="VDQ312" s="239"/>
      <c r="VDR312" s="239"/>
      <c r="VDS312" s="233"/>
      <c r="VDT312" s="235"/>
      <c r="VDU312" s="233"/>
      <c r="VDV312" s="234"/>
      <c r="VDW312" s="234"/>
      <c r="VDX312" s="242"/>
      <c r="VDY312" s="234"/>
      <c r="VDZ312" s="234"/>
      <c r="VEA312" s="234"/>
      <c r="VEB312" s="236"/>
      <c r="VEC312" s="244"/>
      <c r="VED312" s="239"/>
      <c r="VEE312" s="240"/>
      <c r="VEF312" s="241"/>
      <c r="VEG312" s="239"/>
      <c r="VEH312" s="239"/>
      <c r="VEI312" s="239"/>
      <c r="VEJ312" s="239"/>
      <c r="VEK312" s="239"/>
      <c r="VEL312" s="239"/>
      <c r="VEM312" s="233"/>
      <c r="VEN312" s="235"/>
      <c r="VEO312" s="233"/>
      <c r="VEP312" s="234"/>
      <c r="VEQ312" s="234"/>
      <c r="VER312" s="242"/>
      <c r="VES312" s="234"/>
      <c r="VET312" s="234"/>
      <c r="VEU312" s="234"/>
      <c r="VEV312" s="236"/>
      <c r="VEW312" s="244"/>
      <c r="VEX312" s="239"/>
      <c r="VEY312" s="240"/>
      <c r="VEZ312" s="241"/>
      <c r="VFA312" s="239"/>
      <c r="VFB312" s="239"/>
      <c r="VFC312" s="239"/>
      <c r="VFD312" s="239"/>
      <c r="VFE312" s="239"/>
      <c r="VFF312" s="239"/>
      <c r="VFG312" s="233"/>
      <c r="VFH312" s="235"/>
      <c r="VFI312" s="233"/>
      <c r="VFJ312" s="234"/>
      <c r="VFK312" s="234"/>
      <c r="VFL312" s="242"/>
      <c r="VFM312" s="234"/>
      <c r="VFN312" s="234"/>
      <c r="VFO312" s="234"/>
      <c r="VFP312" s="236"/>
      <c r="VFQ312" s="244"/>
      <c r="VFR312" s="239"/>
      <c r="VFS312" s="240"/>
      <c r="VFT312" s="241"/>
      <c r="VFU312" s="239"/>
      <c r="VFV312" s="239"/>
      <c r="VFW312" s="239"/>
      <c r="VFX312" s="239"/>
      <c r="VFY312" s="239"/>
      <c r="VFZ312" s="239"/>
      <c r="VGA312" s="233"/>
      <c r="VGB312" s="235"/>
      <c r="VGC312" s="233"/>
      <c r="VGD312" s="234"/>
      <c r="VGE312" s="234"/>
      <c r="VGF312" s="242"/>
      <c r="VGG312" s="234"/>
      <c r="VGH312" s="234"/>
      <c r="VGI312" s="234"/>
      <c r="VGJ312" s="236"/>
      <c r="VGK312" s="244"/>
      <c r="VGL312" s="239"/>
      <c r="VGM312" s="240"/>
      <c r="VGN312" s="241"/>
      <c r="VGO312" s="239"/>
      <c r="VGP312" s="239"/>
      <c r="VGQ312" s="239"/>
      <c r="VGR312" s="239"/>
      <c r="VGS312" s="239"/>
      <c r="VGT312" s="239"/>
      <c r="VGU312" s="233"/>
      <c r="VGV312" s="235"/>
      <c r="VGW312" s="233"/>
      <c r="VGX312" s="234"/>
      <c r="VGY312" s="234"/>
      <c r="VGZ312" s="242"/>
      <c r="VHA312" s="234"/>
      <c r="VHB312" s="234"/>
      <c r="VHC312" s="234"/>
      <c r="VHD312" s="236"/>
      <c r="VHE312" s="244"/>
      <c r="VHF312" s="239"/>
      <c r="VHG312" s="240"/>
      <c r="VHH312" s="241"/>
      <c r="VHI312" s="239"/>
      <c r="VHJ312" s="239"/>
      <c r="VHK312" s="239"/>
      <c r="VHL312" s="239"/>
      <c r="VHM312" s="239"/>
      <c r="VHN312" s="239"/>
      <c r="VHO312" s="233"/>
      <c r="VHP312" s="235"/>
      <c r="VHQ312" s="233"/>
      <c r="VHR312" s="234"/>
      <c r="VHS312" s="234"/>
      <c r="VHT312" s="242"/>
      <c r="VHU312" s="234"/>
      <c r="VHV312" s="234"/>
      <c r="VHW312" s="234"/>
      <c r="VHX312" s="236"/>
      <c r="VHY312" s="244"/>
      <c r="VHZ312" s="239"/>
      <c r="VIA312" s="240"/>
      <c r="VIB312" s="241"/>
      <c r="VIC312" s="239"/>
      <c r="VID312" s="239"/>
      <c r="VIE312" s="239"/>
      <c r="VIF312" s="239"/>
      <c r="VIG312" s="239"/>
      <c r="VIH312" s="239"/>
      <c r="VII312" s="233"/>
      <c r="VIJ312" s="235"/>
      <c r="VIK312" s="233"/>
      <c r="VIL312" s="234"/>
      <c r="VIM312" s="234"/>
      <c r="VIN312" s="242"/>
      <c r="VIO312" s="234"/>
      <c r="VIP312" s="234"/>
      <c r="VIQ312" s="234"/>
      <c r="VIR312" s="236"/>
      <c r="VIS312" s="244"/>
      <c r="VIT312" s="239"/>
      <c r="VIU312" s="240"/>
      <c r="VIV312" s="241"/>
      <c r="VIW312" s="239"/>
      <c r="VIX312" s="239"/>
      <c r="VIY312" s="239"/>
      <c r="VIZ312" s="239"/>
      <c r="VJA312" s="239"/>
      <c r="VJB312" s="239"/>
      <c r="VJC312" s="233"/>
      <c r="VJD312" s="235"/>
      <c r="VJE312" s="233"/>
      <c r="VJF312" s="234"/>
      <c r="VJG312" s="234"/>
      <c r="VJH312" s="242"/>
      <c r="VJI312" s="234"/>
      <c r="VJJ312" s="234"/>
      <c r="VJK312" s="234"/>
      <c r="VJL312" s="236"/>
      <c r="VJM312" s="244"/>
      <c r="VJN312" s="239"/>
      <c r="VJO312" s="240"/>
      <c r="VJP312" s="241"/>
      <c r="VJQ312" s="239"/>
      <c r="VJR312" s="239"/>
      <c r="VJS312" s="239"/>
      <c r="VJT312" s="239"/>
      <c r="VJU312" s="239"/>
      <c r="VJV312" s="239"/>
      <c r="VJW312" s="233"/>
      <c r="VJX312" s="235"/>
      <c r="VJY312" s="233"/>
      <c r="VJZ312" s="234"/>
      <c r="VKA312" s="234"/>
      <c r="VKB312" s="242"/>
      <c r="VKC312" s="234"/>
      <c r="VKD312" s="234"/>
      <c r="VKE312" s="234"/>
      <c r="VKF312" s="236"/>
      <c r="VKG312" s="244"/>
      <c r="VKH312" s="239"/>
      <c r="VKI312" s="240"/>
      <c r="VKJ312" s="241"/>
      <c r="VKK312" s="239"/>
      <c r="VKL312" s="239"/>
      <c r="VKM312" s="239"/>
      <c r="VKN312" s="239"/>
      <c r="VKO312" s="239"/>
      <c r="VKP312" s="239"/>
      <c r="VKQ312" s="233"/>
      <c r="VKR312" s="235"/>
      <c r="VKS312" s="233"/>
      <c r="VKT312" s="234"/>
      <c r="VKU312" s="234"/>
      <c r="VKV312" s="242"/>
      <c r="VKW312" s="234"/>
      <c r="VKX312" s="234"/>
      <c r="VKY312" s="234"/>
      <c r="VKZ312" s="236"/>
      <c r="VLA312" s="244"/>
      <c r="VLB312" s="239"/>
      <c r="VLC312" s="240"/>
      <c r="VLD312" s="241"/>
      <c r="VLE312" s="239"/>
      <c r="VLF312" s="239"/>
      <c r="VLG312" s="239"/>
      <c r="VLH312" s="239"/>
      <c r="VLI312" s="239"/>
      <c r="VLJ312" s="239"/>
      <c r="VLK312" s="233"/>
      <c r="VLL312" s="235"/>
      <c r="VLM312" s="233"/>
      <c r="VLN312" s="234"/>
      <c r="VLO312" s="234"/>
      <c r="VLP312" s="242"/>
      <c r="VLQ312" s="234"/>
      <c r="VLR312" s="234"/>
      <c r="VLS312" s="234"/>
      <c r="VLT312" s="236"/>
      <c r="VLU312" s="244"/>
      <c r="VLV312" s="239"/>
      <c r="VLW312" s="240"/>
      <c r="VLX312" s="241"/>
      <c r="VLY312" s="239"/>
      <c r="VLZ312" s="239"/>
      <c r="VMA312" s="239"/>
      <c r="VMB312" s="239"/>
      <c r="VMC312" s="239"/>
      <c r="VMD312" s="239"/>
      <c r="VME312" s="233"/>
      <c r="VMF312" s="235"/>
      <c r="VMG312" s="233"/>
      <c r="VMH312" s="234"/>
      <c r="VMI312" s="234"/>
      <c r="VMJ312" s="242"/>
      <c r="VMK312" s="234"/>
      <c r="VML312" s="234"/>
      <c r="VMM312" s="234"/>
      <c r="VMN312" s="236"/>
      <c r="VMO312" s="244"/>
      <c r="VMP312" s="239"/>
      <c r="VMQ312" s="240"/>
      <c r="VMR312" s="241"/>
      <c r="VMS312" s="239"/>
      <c r="VMT312" s="239"/>
      <c r="VMU312" s="239"/>
      <c r="VMV312" s="239"/>
      <c r="VMW312" s="239"/>
      <c r="VMX312" s="239"/>
      <c r="VMY312" s="233"/>
      <c r="VMZ312" s="235"/>
      <c r="VNA312" s="233"/>
      <c r="VNB312" s="234"/>
      <c r="VNC312" s="234"/>
      <c r="VND312" s="242"/>
      <c r="VNE312" s="234"/>
      <c r="VNF312" s="234"/>
      <c r="VNG312" s="234"/>
      <c r="VNH312" s="236"/>
      <c r="VNI312" s="244"/>
      <c r="VNJ312" s="239"/>
      <c r="VNK312" s="240"/>
      <c r="VNL312" s="241"/>
      <c r="VNM312" s="239"/>
      <c r="VNN312" s="239"/>
      <c r="VNO312" s="239"/>
      <c r="VNP312" s="239"/>
      <c r="VNQ312" s="239"/>
      <c r="VNR312" s="239"/>
      <c r="VNS312" s="233"/>
      <c r="VNT312" s="235"/>
      <c r="VNU312" s="233"/>
      <c r="VNV312" s="234"/>
      <c r="VNW312" s="234"/>
      <c r="VNX312" s="242"/>
      <c r="VNY312" s="234"/>
      <c r="VNZ312" s="234"/>
      <c r="VOA312" s="234"/>
      <c r="VOB312" s="236"/>
      <c r="VOC312" s="244"/>
      <c r="VOD312" s="239"/>
      <c r="VOE312" s="240"/>
      <c r="VOF312" s="241"/>
      <c r="VOG312" s="239"/>
      <c r="VOH312" s="239"/>
      <c r="VOI312" s="239"/>
      <c r="VOJ312" s="239"/>
      <c r="VOK312" s="239"/>
      <c r="VOL312" s="239"/>
      <c r="VOM312" s="233"/>
      <c r="VON312" s="235"/>
      <c r="VOO312" s="233"/>
      <c r="VOP312" s="234"/>
      <c r="VOQ312" s="234"/>
      <c r="VOR312" s="242"/>
      <c r="VOS312" s="234"/>
      <c r="VOT312" s="234"/>
      <c r="VOU312" s="234"/>
      <c r="VOV312" s="236"/>
      <c r="VOW312" s="244"/>
      <c r="VOX312" s="239"/>
      <c r="VOY312" s="240"/>
      <c r="VOZ312" s="241"/>
      <c r="VPA312" s="239"/>
      <c r="VPB312" s="239"/>
      <c r="VPC312" s="239"/>
      <c r="VPD312" s="239"/>
      <c r="VPE312" s="239"/>
      <c r="VPF312" s="239"/>
      <c r="VPG312" s="233"/>
      <c r="VPH312" s="235"/>
      <c r="VPI312" s="233"/>
      <c r="VPJ312" s="234"/>
      <c r="VPK312" s="234"/>
      <c r="VPL312" s="242"/>
      <c r="VPM312" s="234"/>
      <c r="VPN312" s="234"/>
      <c r="VPO312" s="234"/>
      <c r="VPP312" s="236"/>
      <c r="VPQ312" s="244"/>
      <c r="VPR312" s="239"/>
      <c r="VPS312" s="240"/>
      <c r="VPT312" s="241"/>
      <c r="VPU312" s="239"/>
      <c r="VPV312" s="239"/>
      <c r="VPW312" s="239"/>
      <c r="VPX312" s="239"/>
      <c r="VPY312" s="239"/>
      <c r="VPZ312" s="239"/>
      <c r="VQA312" s="233"/>
      <c r="VQB312" s="235"/>
      <c r="VQC312" s="233"/>
      <c r="VQD312" s="234"/>
      <c r="VQE312" s="234"/>
      <c r="VQF312" s="242"/>
      <c r="VQG312" s="234"/>
      <c r="VQH312" s="234"/>
      <c r="VQI312" s="234"/>
      <c r="VQJ312" s="236"/>
      <c r="VQK312" s="244"/>
      <c r="VQL312" s="239"/>
      <c r="VQM312" s="240"/>
      <c r="VQN312" s="241"/>
      <c r="VQO312" s="239"/>
      <c r="VQP312" s="239"/>
      <c r="VQQ312" s="239"/>
      <c r="VQR312" s="239"/>
      <c r="VQS312" s="239"/>
      <c r="VQT312" s="239"/>
      <c r="VQU312" s="233"/>
      <c r="VQV312" s="235"/>
      <c r="VQW312" s="233"/>
      <c r="VQX312" s="234"/>
      <c r="VQY312" s="234"/>
      <c r="VQZ312" s="242"/>
      <c r="VRA312" s="234"/>
      <c r="VRB312" s="234"/>
      <c r="VRC312" s="234"/>
      <c r="VRD312" s="236"/>
      <c r="VRE312" s="244"/>
      <c r="VRF312" s="239"/>
      <c r="VRG312" s="240"/>
      <c r="VRH312" s="241"/>
      <c r="VRI312" s="239"/>
      <c r="VRJ312" s="239"/>
      <c r="VRK312" s="239"/>
      <c r="VRL312" s="239"/>
      <c r="VRM312" s="239"/>
      <c r="VRN312" s="239"/>
      <c r="VRO312" s="233"/>
      <c r="VRP312" s="235"/>
      <c r="VRQ312" s="233"/>
      <c r="VRR312" s="234"/>
      <c r="VRS312" s="234"/>
      <c r="VRT312" s="242"/>
      <c r="VRU312" s="234"/>
      <c r="VRV312" s="234"/>
      <c r="VRW312" s="234"/>
      <c r="VRX312" s="236"/>
      <c r="VRY312" s="244"/>
      <c r="VRZ312" s="239"/>
      <c r="VSA312" s="240"/>
      <c r="VSB312" s="241"/>
      <c r="VSC312" s="239"/>
      <c r="VSD312" s="239"/>
      <c r="VSE312" s="239"/>
      <c r="VSF312" s="239"/>
      <c r="VSG312" s="239"/>
      <c r="VSH312" s="239"/>
      <c r="VSI312" s="233"/>
      <c r="VSJ312" s="235"/>
      <c r="VSK312" s="233"/>
      <c r="VSL312" s="234"/>
      <c r="VSM312" s="234"/>
      <c r="VSN312" s="242"/>
      <c r="VSO312" s="234"/>
      <c r="VSP312" s="234"/>
      <c r="VSQ312" s="234"/>
      <c r="VSR312" s="236"/>
      <c r="VSS312" s="244"/>
      <c r="VST312" s="239"/>
      <c r="VSU312" s="240"/>
      <c r="VSV312" s="241"/>
      <c r="VSW312" s="239"/>
      <c r="VSX312" s="239"/>
      <c r="VSY312" s="239"/>
      <c r="VSZ312" s="239"/>
      <c r="VTA312" s="239"/>
      <c r="VTB312" s="239"/>
      <c r="VTC312" s="233"/>
      <c r="VTD312" s="235"/>
      <c r="VTE312" s="233"/>
      <c r="VTF312" s="234"/>
      <c r="VTG312" s="234"/>
      <c r="VTH312" s="242"/>
      <c r="VTI312" s="234"/>
      <c r="VTJ312" s="234"/>
      <c r="VTK312" s="234"/>
      <c r="VTL312" s="236"/>
      <c r="VTM312" s="244"/>
      <c r="VTN312" s="239"/>
      <c r="VTO312" s="240"/>
      <c r="VTP312" s="241"/>
      <c r="VTQ312" s="239"/>
      <c r="VTR312" s="239"/>
      <c r="VTS312" s="239"/>
      <c r="VTT312" s="239"/>
      <c r="VTU312" s="239"/>
      <c r="VTV312" s="239"/>
      <c r="VTW312" s="233"/>
      <c r="VTX312" s="235"/>
      <c r="VTY312" s="233"/>
      <c r="VTZ312" s="234"/>
      <c r="VUA312" s="234"/>
      <c r="VUB312" s="242"/>
      <c r="VUC312" s="234"/>
      <c r="VUD312" s="234"/>
      <c r="VUE312" s="234"/>
      <c r="VUF312" s="236"/>
      <c r="VUG312" s="244"/>
      <c r="VUH312" s="239"/>
      <c r="VUI312" s="240"/>
      <c r="VUJ312" s="241"/>
      <c r="VUK312" s="239"/>
      <c r="VUL312" s="239"/>
      <c r="VUM312" s="239"/>
      <c r="VUN312" s="239"/>
      <c r="VUO312" s="239"/>
      <c r="VUP312" s="239"/>
      <c r="VUQ312" s="233"/>
      <c r="VUR312" s="235"/>
      <c r="VUS312" s="233"/>
      <c r="VUT312" s="234"/>
      <c r="VUU312" s="234"/>
      <c r="VUV312" s="242"/>
      <c r="VUW312" s="234"/>
      <c r="VUX312" s="234"/>
      <c r="VUY312" s="234"/>
      <c r="VUZ312" s="236"/>
      <c r="VVA312" s="244"/>
      <c r="VVB312" s="239"/>
      <c r="VVC312" s="240"/>
      <c r="VVD312" s="241"/>
      <c r="VVE312" s="239"/>
      <c r="VVF312" s="239"/>
      <c r="VVG312" s="239"/>
      <c r="VVH312" s="239"/>
      <c r="VVI312" s="239"/>
      <c r="VVJ312" s="239"/>
      <c r="VVK312" s="233"/>
      <c r="VVL312" s="235"/>
      <c r="VVM312" s="233"/>
      <c r="VVN312" s="234"/>
      <c r="VVO312" s="234"/>
      <c r="VVP312" s="242"/>
      <c r="VVQ312" s="234"/>
      <c r="VVR312" s="234"/>
      <c r="VVS312" s="234"/>
      <c r="VVT312" s="236"/>
      <c r="VVU312" s="244"/>
      <c r="VVV312" s="239"/>
      <c r="VVW312" s="240"/>
      <c r="VVX312" s="241"/>
      <c r="VVY312" s="239"/>
      <c r="VVZ312" s="239"/>
      <c r="VWA312" s="239"/>
      <c r="VWB312" s="239"/>
      <c r="VWC312" s="239"/>
      <c r="VWD312" s="239"/>
      <c r="VWE312" s="233"/>
      <c r="VWF312" s="235"/>
      <c r="VWG312" s="233"/>
      <c r="VWH312" s="234"/>
      <c r="VWI312" s="234"/>
      <c r="VWJ312" s="242"/>
      <c r="VWK312" s="234"/>
      <c r="VWL312" s="234"/>
      <c r="VWM312" s="234"/>
      <c r="VWN312" s="236"/>
      <c r="VWO312" s="244"/>
      <c r="VWP312" s="239"/>
      <c r="VWQ312" s="240"/>
      <c r="VWR312" s="241"/>
      <c r="VWS312" s="239"/>
      <c r="VWT312" s="239"/>
      <c r="VWU312" s="239"/>
      <c r="VWV312" s="239"/>
      <c r="VWW312" s="239"/>
      <c r="VWX312" s="239"/>
      <c r="VWY312" s="233"/>
      <c r="VWZ312" s="235"/>
      <c r="VXA312" s="233"/>
      <c r="VXB312" s="234"/>
      <c r="VXC312" s="234"/>
      <c r="VXD312" s="242"/>
      <c r="VXE312" s="234"/>
      <c r="VXF312" s="234"/>
      <c r="VXG312" s="234"/>
      <c r="VXH312" s="236"/>
      <c r="VXI312" s="244"/>
      <c r="VXJ312" s="239"/>
      <c r="VXK312" s="240"/>
      <c r="VXL312" s="241"/>
      <c r="VXM312" s="239"/>
      <c r="VXN312" s="239"/>
      <c r="VXO312" s="239"/>
      <c r="VXP312" s="239"/>
      <c r="VXQ312" s="239"/>
      <c r="VXR312" s="239"/>
      <c r="VXS312" s="233"/>
      <c r="VXT312" s="235"/>
      <c r="VXU312" s="233"/>
      <c r="VXV312" s="234"/>
      <c r="VXW312" s="234"/>
      <c r="VXX312" s="242"/>
      <c r="VXY312" s="234"/>
      <c r="VXZ312" s="234"/>
      <c r="VYA312" s="234"/>
      <c r="VYB312" s="236"/>
      <c r="VYC312" s="244"/>
      <c r="VYD312" s="239"/>
      <c r="VYE312" s="240"/>
      <c r="VYF312" s="241"/>
      <c r="VYG312" s="239"/>
      <c r="VYH312" s="239"/>
      <c r="VYI312" s="239"/>
      <c r="VYJ312" s="239"/>
      <c r="VYK312" s="239"/>
      <c r="VYL312" s="239"/>
      <c r="VYM312" s="233"/>
      <c r="VYN312" s="235"/>
      <c r="VYO312" s="233"/>
      <c r="VYP312" s="234"/>
      <c r="VYQ312" s="234"/>
      <c r="VYR312" s="242"/>
      <c r="VYS312" s="234"/>
      <c r="VYT312" s="234"/>
      <c r="VYU312" s="234"/>
      <c r="VYV312" s="236"/>
      <c r="VYW312" s="244"/>
      <c r="VYX312" s="239"/>
      <c r="VYY312" s="240"/>
      <c r="VYZ312" s="241"/>
      <c r="VZA312" s="239"/>
      <c r="VZB312" s="239"/>
      <c r="VZC312" s="239"/>
      <c r="VZD312" s="239"/>
      <c r="VZE312" s="239"/>
      <c r="VZF312" s="239"/>
      <c r="VZG312" s="233"/>
      <c r="VZH312" s="235"/>
      <c r="VZI312" s="233"/>
      <c r="VZJ312" s="234"/>
      <c r="VZK312" s="234"/>
      <c r="VZL312" s="242"/>
      <c r="VZM312" s="234"/>
      <c r="VZN312" s="234"/>
      <c r="VZO312" s="234"/>
      <c r="VZP312" s="236"/>
      <c r="VZQ312" s="244"/>
      <c r="VZR312" s="239"/>
      <c r="VZS312" s="240"/>
      <c r="VZT312" s="241"/>
      <c r="VZU312" s="239"/>
      <c r="VZV312" s="239"/>
      <c r="VZW312" s="239"/>
      <c r="VZX312" s="239"/>
      <c r="VZY312" s="239"/>
      <c r="VZZ312" s="239"/>
      <c r="WAA312" s="233"/>
      <c r="WAB312" s="235"/>
      <c r="WAC312" s="233"/>
      <c r="WAD312" s="234"/>
      <c r="WAE312" s="234"/>
      <c r="WAF312" s="242"/>
      <c r="WAG312" s="234"/>
      <c r="WAH312" s="234"/>
      <c r="WAI312" s="234"/>
      <c r="WAJ312" s="236"/>
      <c r="WAK312" s="244"/>
      <c r="WAL312" s="239"/>
      <c r="WAM312" s="240"/>
      <c r="WAN312" s="241"/>
      <c r="WAO312" s="239"/>
      <c r="WAP312" s="239"/>
      <c r="WAQ312" s="239"/>
      <c r="WAR312" s="239"/>
      <c r="WAS312" s="239"/>
      <c r="WAT312" s="239"/>
      <c r="WAU312" s="233"/>
      <c r="WAV312" s="235"/>
      <c r="WAW312" s="233"/>
      <c r="WAX312" s="234"/>
      <c r="WAY312" s="234"/>
      <c r="WAZ312" s="242"/>
      <c r="WBA312" s="234"/>
      <c r="WBB312" s="234"/>
      <c r="WBC312" s="234"/>
      <c r="WBD312" s="236"/>
      <c r="WBE312" s="244"/>
      <c r="WBF312" s="239"/>
      <c r="WBG312" s="240"/>
      <c r="WBH312" s="241"/>
      <c r="WBI312" s="239"/>
      <c r="WBJ312" s="239"/>
      <c r="WBK312" s="239"/>
      <c r="WBL312" s="239"/>
      <c r="WBM312" s="239"/>
      <c r="WBN312" s="239"/>
      <c r="WBO312" s="233"/>
      <c r="WBP312" s="235"/>
      <c r="WBQ312" s="233"/>
      <c r="WBR312" s="234"/>
      <c r="WBS312" s="234"/>
      <c r="WBT312" s="242"/>
      <c r="WBU312" s="234"/>
      <c r="WBV312" s="234"/>
      <c r="WBW312" s="234"/>
      <c r="WBX312" s="236"/>
      <c r="WBY312" s="244"/>
      <c r="WBZ312" s="239"/>
      <c r="WCA312" s="240"/>
      <c r="WCB312" s="241"/>
      <c r="WCC312" s="239"/>
      <c r="WCD312" s="239"/>
      <c r="WCE312" s="239"/>
      <c r="WCF312" s="239"/>
      <c r="WCG312" s="239"/>
      <c r="WCH312" s="239"/>
      <c r="WCI312" s="233"/>
      <c r="WCJ312" s="235"/>
      <c r="WCK312" s="233"/>
      <c r="WCL312" s="234"/>
      <c r="WCM312" s="234"/>
      <c r="WCN312" s="242"/>
      <c r="WCO312" s="234"/>
      <c r="WCP312" s="234"/>
      <c r="WCQ312" s="234"/>
      <c r="WCR312" s="236"/>
      <c r="WCS312" s="244"/>
      <c r="WCT312" s="239"/>
      <c r="WCU312" s="240"/>
      <c r="WCV312" s="241"/>
      <c r="WCW312" s="239"/>
      <c r="WCX312" s="239"/>
      <c r="WCY312" s="239"/>
      <c r="WCZ312" s="239"/>
      <c r="WDA312" s="239"/>
      <c r="WDB312" s="239"/>
      <c r="WDC312" s="233"/>
      <c r="WDD312" s="235"/>
      <c r="WDE312" s="233"/>
      <c r="WDF312" s="234"/>
      <c r="WDG312" s="234"/>
      <c r="WDH312" s="242"/>
      <c r="WDI312" s="234"/>
      <c r="WDJ312" s="234"/>
      <c r="WDK312" s="234"/>
      <c r="WDL312" s="236"/>
      <c r="WDM312" s="244"/>
      <c r="WDN312" s="239"/>
      <c r="WDO312" s="240"/>
      <c r="WDP312" s="241"/>
      <c r="WDQ312" s="239"/>
      <c r="WDR312" s="239"/>
      <c r="WDS312" s="239"/>
      <c r="WDT312" s="239"/>
      <c r="WDU312" s="239"/>
      <c r="WDV312" s="239"/>
      <c r="WDW312" s="233"/>
      <c r="WDX312" s="235"/>
      <c r="WDY312" s="233"/>
      <c r="WDZ312" s="234"/>
      <c r="WEA312" s="234"/>
      <c r="WEB312" s="242"/>
      <c r="WEC312" s="234"/>
      <c r="WED312" s="234"/>
      <c r="WEE312" s="234"/>
      <c r="WEF312" s="236"/>
      <c r="WEG312" s="244"/>
      <c r="WEH312" s="239"/>
      <c r="WEI312" s="240"/>
      <c r="WEJ312" s="241"/>
      <c r="WEK312" s="239"/>
      <c r="WEL312" s="239"/>
      <c r="WEM312" s="239"/>
      <c r="WEN312" s="239"/>
      <c r="WEO312" s="239"/>
      <c r="WEP312" s="239"/>
      <c r="WEQ312" s="233"/>
      <c r="WER312" s="235"/>
      <c r="WES312" s="233"/>
      <c r="WET312" s="234"/>
      <c r="WEU312" s="234"/>
      <c r="WEV312" s="242"/>
      <c r="WEW312" s="234"/>
      <c r="WEX312" s="234"/>
      <c r="WEY312" s="234"/>
      <c r="WEZ312" s="236"/>
      <c r="WFA312" s="244"/>
      <c r="WFB312" s="239"/>
      <c r="WFC312" s="240"/>
      <c r="WFD312" s="241"/>
      <c r="WFE312" s="239"/>
      <c r="WFF312" s="239"/>
      <c r="WFG312" s="239"/>
      <c r="WFH312" s="239"/>
      <c r="WFI312" s="239"/>
      <c r="WFJ312" s="239"/>
      <c r="WFK312" s="233"/>
      <c r="WFL312" s="235"/>
      <c r="WFM312" s="233"/>
      <c r="WFN312" s="234"/>
      <c r="WFO312" s="234"/>
      <c r="WFP312" s="242"/>
      <c r="WFQ312" s="234"/>
      <c r="WFR312" s="234"/>
      <c r="WFS312" s="234"/>
      <c r="WFT312" s="236"/>
      <c r="WFU312" s="244"/>
      <c r="WFV312" s="239"/>
      <c r="WFW312" s="240"/>
      <c r="WFX312" s="241"/>
      <c r="WFY312" s="239"/>
      <c r="WFZ312" s="239"/>
      <c r="WGA312" s="239"/>
      <c r="WGB312" s="239"/>
      <c r="WGC312" s="239"/>
      <c r="WGD312" s="239"/>
      <c r="WGE312" s="233"/>
      <c r="WGF312" s="235"/>
      <c r="WGG312" s="233"/>
      <c r="WGH312" s="234"/>
      <c r="WGI312" s="234"/>
      <c r="WGJ312" s="242"/>
      <c r="WGK312" s="234"/>
      <c r="WGL312" s="234"/>
      <c r="WGM312" s="234"/>
      <c r="WGN312" s="236"/>
      <c r="WGO312" s="244"/>
      <c r="WGP312" s="239"/>
      <c r="WGQ312" s="240"/>
      <c r="WGR312" s="241"/>
      <c r="WGS312" s="239"/>
      <c r="WGT312" s="239"/>
      <c r="WGU312" s="239"/>
      <c r="WGV312" s="239"/>
      <c r="WGW312" s="239"/>
      <c r="WGX312" s="239"/>
      <c r="WGY312" s="233"/>
      <c r="WGZ312" s="235"/>
      <c r="WHA312" s="233"/>
      <c r="WHB312" s="234"/>
      <c r="WHC312" s="234"/>
      <c r="WHD312" s="242"/>
      <c r="WHE312" s="234"/>
      <c r="WHF312" s="234"/>
      <c r="WHG312" s="234"/>
      <c r="WHH312" s="236"/>
      <c r="WHI312" s="244"/>
      <c r="WHJ312" s="239"/>
      <c r="WHK312" s="240"/>
      <c r="WHL312" s="241"/>
      <c r="WHM312" s="239"/>
      <c r="WHN312" s="239"/>
      <c r="WHO312" s="239"/>
      <c r="WHP312" s="239"/>
      <c r="WHQ312" s="239"/>
      <c r="WHR312" s="239"/>
      <c r="WHS312" s="233"/>
      <c r="WHT312" s="235"/>
      <c r="WHU312" s="233"/>
      <c r="WHV312" s="234"/>
      <c r="WHW312" s="234"/>
      <c r="WHX312" s="242"/>
      <c r="WHY312" s="234"/>
      <c r="WHZ312" s="234"/>
      <c r="WIA312" s="234"/>
      <c r="WIB312" s="236"/>
      <c r="WIC312" s="244"/>
      <c r="WID312" s="239"/>
      <c r="WIE312" s="240"/>
      <c r="WIF312" s="241"/>
      <c r="WIG312" s="239"/>
      <c r="WIH312" s="239"/>
      <c r="WII312" s="239"/>
      <c r="WIJ312" s="239"/>
      <c r="WIK312" s="239"/>
      <c r="WIL312" s="239"/>
      <c r="WIM312" s="233"/>
      <c r="WIN312" s="235"/>
      <c r="WIO312" s="233"/>
      <c r="WIP312" s="234"/>
      <c r="WIQ312" s="234"/>
      <c r="WIR312" s="242"/>
      <c r="WIS312" s="234"/>
      <c r="WIT312" s="234"/>
      <c r="WIU312" s="234"/>
      <c r="WIV312" s="236"/>
      <c r="WIW312" s="244"/>
      <c r="WIX312" s="239"/>
      <c r="WIY312" s="240"/>
      <c r="WIZ312" s="241"/>
      <c r="WJA312" s="239"/>
      <c r="WJB312" s="239"/>
      <c r="WJC312" s="239"/>
      <c r="WJD312" s="239"/>
      <c r="WJE312" s="239"/>
      <c r="WJF312" s="239"/>
      <c r="WJG312" s="233"/>
      <c r="WJH312" s="235"/>
      <c r="WJI312" s="233"/>
      <c r="WJJ312" s="234"/>
      <c r="WJK312" s="234"/>
      <c r="WJL312" s="242"/>
      <c r="WJM312" s="234"/>
      <c r="WJN312" s="234"/>
      <c r="WJO312" s="234"/>
      <c r="WJP312" s="236"/>
      <c r="WJQ312" s="244"/>
      <c r="WJR312" s="239"/>
      <c r="WJS312" s="240"/>
      <c r="WJT312" s="241"/>
      <c r="WJU312" s="239"/>
      <c r="WJV312" s="239"/>
      <c r="WJW312" s="239"/>
      <c r="WJX312" s="239"/>
      <c r="WJY312" s="239"/>
      <c r="WJZ312" s="239"/>
      <c r="WKA312" s="233"/>
      <c r="WKB312" s="235"/>
      <c r="WKC312" s="233"/>
      <c r="WKD312" s="234"/>
      <c r="WKE312" s="234"/>
      <c r="WKF312" s="242"/>
      <c r="WKG312" s="234"/>
      <c r="WKH312" s="234"/>
      <c r="WKI312" s="234"/>
      <c r="WKJ312" s="236"/>
      <c r="WKK312" s="244"/>
      <c r="WKL312" s="239"/>
      <c r="WKM312" s="240"/>
      <c r="WKN312" s="241"/>
      <c r="WKO312" s="239"/>
      <c r="WKP312" s="239"/>
      <c r="WKQ312" s="239"/>
      <c r="WKR312" s="239"/>
      <c r="WKS312" s="239"/>
      <c r="WKT312" s="239"/>
      <c r="WKU312" s="233"/>
      <c r="WKV312" s="235"/>
      <c r="WKW312" s="233"/>
      <c r="WKX312" s="234"/>
      <c r="WKY312" s="234"/>
      <c r="WKZ312" s="242"/>
      <c r="WLA312" s="234"/>
      <c r="WLB312" s="234"/>
      <c r="WLC312" s="234"/>
      <c r="WLD312" s="236"/>
      <c r="WLE312" s="244"/>
      <c r="WLF312" s="239"/>
      <c r="WLG312" s="240"/>
      <c r="WLH312" s="241"/>
      <c r="WLI312" s="239"/>
      <c r="WLJ312" s="239"/>
      <c r="WLK312" s="239"/>
      <c r="WLL312" s="239"/>
      <c r="WLM312" s="239"/>
      <c r="WLN312" s="239"/>
      <c r="WLO312" s="233"/>
      <c r="WLP312" s="235"/>
      <c r="WLQ312" s="233"/>
      <c r="WLR312" s="234"/>
      <c r="WLS312" s="234"/>
      <c r="WLT312" s="242"/>
      <c r="WLU312" s="234"/>
      <c r="WLV312" s="234"/>
      <c r="WLW312" s="234"/>
      <c r="WLX312" s="236"/>
      <c r="WLY312" s="244"/>
      <c r="WLZ312" s="239"/>
      <c r="WMA312" s="240"/>
      <c r="WMB312" s="241"/>
      <c r="WMC312" s="239"/>
      <c r="WMD312" s="239"/>
      <c r="WME312" s="239"/>
      <c r="WMF312" s="239"/>
      <c r="WMG312" s="239"/>
      <c r="WMH312" s="239"/>
      <c r="WMI312" s="233"/>
      <c r="WMJ312" s="235"/>
      <c r="WMK312" s="233"/>
      <c r="WML312" s="234"/>
      <c r="WMM312" s="234"/>
      <c r="WMN312" s="242"/>
      <c r="WMO312" s="234"/>
      <c r="WMP312" s="234"/>
      <c r="WMQ312" s="234"/>
      <c r="WMR312" s="236"/>
      <c r="WMS312" s="244"/>
      <c r="WMT312" s="239"/>
      <c r="WMU312" s="240"/>
      <c r="WMV312" s="241"/>
      <c r="WMW312" s="239"/>
      <c r="WMX312" s="239"/>
      <c r="WMY312" s="239"/>
      <c r="WMZ312" s="239"/>
      <c r="WNA312" s="239"/>
      <c r="WNB312" s="239"/>
      <c r="WNC312" s="233"/>
      <c r="WND312" s="235"/>
      <c r="WNE312" s="233"/>
      <c r="WNF312" s="234"/>
      <c r="WNG312" s="234"/>
      <c r="WNH312" s="242"/>
      <c r="WNI312" s="234"/>
      <c r="WNJ312" s="234"/>
      <c r="WNK312" s="234"/>
      <c r="WNL312" s="236"/>
      <c r="WNM312" s="244"/>
      <c r="WNN312" s="239"/>
      <c r="WNO312" s="240"/>
      <c r="WNP312" s="241"/>
      <c r="WNQ312" s="239"/>
      <c r="WNR312" s="239"/>
      <c r="WNS312" s="239"/>
      <c r="WNT312" s="239"/>
      <c r="WNU312" s="239"/>
      <c r="WNV312" s="239"/>
      <c r="WNW312" s="233"/>
      <c r="WNX312" s="235"/>
      <c r="WNY312" s="233"/>
      <c r="WNZ312" s="234"/>
      <c r="WOA312" s="234"/>
      <c r="WOB312" s="242"/>
      <c r="WOC312" s="234"/>
      <c r="WOD312" s="234"/>
      <c r="WOE312" s="234"/>
      <c r="WOF312" s="236"/>
      <c r="WOG312" s="244"/>
      <c r="WOH312" s="239"/>
      <c r="WOI312" s="240"/>
      <c r="WOJ312" s="241"/>
      <c r="WOK312" s="239"/>
      <c r="WOL312" s="239"/>
      <c r="WOM312" s="239"/>
      <c r="WON312" s="239"/>
      <c r="WOO312" s="239"/>
      <c r="WOP312" s="239"/>
      <c r="WOQ312" s="233"/>
      <c r="WOR312" s="235"/>
      <c r="WOS312" s="233"/>
      <c r="WOT312" s="234"/>
      <c r="WOU312" s="234"/>
      <c r="WOV312" s="242"/>
      <c r="WOW312" s="234"/>
      <c r="WOX312" s="234"/>
      <c r="WOY312" s="234"/>
      <c r="WOZ312" s="236"/>
      <c r="WPA312" s="244"/>
      <c r="WPB312" s="239"/>
      <c r="WPC312" s="240"/>
      <c r="WPD312" s="241"/>
      <c r="WPE312" s="239"/>
      <c r="WPF312" s="239"/>
      <c r="WPG312" s="239"/>
      <c r="WPH312" s="239"/>
      <c r="WPI312" s="239"/>
      <c r="WPJ312" s="239"/>
      <c r="WPK312" s="233"/>
      <c r="WPL312" s="235"/>
      <c r="WPM312" s="233"/>
      <c r="WPN312" s="234"/>
      <c r="WPO312" s="234"/>
      <c r="WPP312" s="242"/>
      <c r="WPQ312" s="234"/>
      <c r="WPR312" s="234"/>
      <c r="WPS312" s="234"/>
      <c r="WPT312" s="236"/>
      <c r="WPU312" s="244"/>
      <c r="WPV312" s="239"/>
      <c r="WPW312" s="240"/>
      <c r="WPX312" s="241"/>
      <c r="WPY312" s="239"/>
      <c r="WPZ312" s="239"/>
      <c r="WQA312" s="239"/>
      <c r="WQB312" s="239"/>
      <c r="WQC312" s="239"/>
      <c r="WQD312" s="239"/>
      <c r="WQE312" s="233"/>
      <c r="WQF312" s="235"/>
      <c r="WQG312" s="233"/>
      <c r="WQH312" s="234"/>
      <c r="WQI312" s="234"/>
      <c r="WQJ312" s="242"/>
      <c r="WQK312" s="234"/>
      <c r="WQL312" s="234"/>
      <c r="WQM312" s="234"/>
      <c r="WQN312" s="236"/>
      <c r="WQO312" s="244"/>
      <c r="WQP312" s="239"/>
      <c r="WQQ312" s="240"/>
      <c r="WQR312" s="241"/>
      <c r="WQS312" s="239"/>
      <c r="WQT312" s="239"/>
      <c r="WQU312" s="239"/>
      <c r="WQV312" s="239"/>
      <c r="WQW312" s="239"/>
      <c r="WQX312" s="239"/>
      <c r="WQY312" s="233"/>
      <c r="WQZ312" s="235"/>
      <c r="WRA312" s="233"/>
      <c r="WRB312" s="234"/>
      <c r="WRC312" s="234"/>
      <c r="WRD312" s="242"/>
      <c r="WRE312" s="234"/>
      <c r="WRF312" s="234"/>
      <c r="WRG312" s="234"/>
      <c r="WRH312" s="236"/>
      <c r="WRI312" s="244"/>
      <c r="WRJ312" s="239"/>
      <c r="WRK312" s="240"/>
      <c r="WRL312" s="241"/>
      <c r="WRM312" s="239"/>
      <c r="WRN312" s="239"/>
      <c r="WRO312" s="239"/>
      <c r="WRP312" s="239"/>
      <c r="WRQ312" s="239"/>
      <c r="WRR312" s="239"/>
      <c r="WRS312" s="233"/>
      <c r="WRT312" s="235"/>
      <c r="WRU312" s="233"/>
      <c r="WRV312" s="234"/>
      <c r="WRW312" s="234"/>
      <c r="WRX312" s="242"/>
      <c r="WRY312" s="234"/>
      <c r="WRZ312" s="234"/>
      <c r="WSA312" s="234"/>
      <c r="WSB312" s="236"/>
      <c r="WSC312" s="244"/>
      <c r="WSD312" s="239"/>
      <c r="WSE312" s="240"/>
      <c r="WSF312" s="241"/>
      <c r="WSG312" s="239"/>
      <c r="WSH312" s="239"/>
      <c r="WSI312" s="239"/>
      <c r="WSJ312" s="239"/>
      <c r="WSK312" s="239"/>
      <c r="WSL312" s="239"/>
      <c r="WSM312" s="233"/>
      <c r="WSN312" s="235"/>
      <c r="WSO312" s="233"/>
      <c r="WSP312" s="234"/>
      <c r="WSQ312" s="234"/>
      <c r="WSR312" s="242"/>
      <c r="WSS312" s="234"/>
      <c r="WST312" s="234"/>
      <c r="WSU312" s="234"/>
      <c r="WSV312" s="236"/>
      <c r="WSW312" s="244"/>
      <c r="WSX312" s="239"/>
      <c r="WSY312" s="240"/>
      <c r="WSZ312" s="241"/>
      <c r="WTA312" s="239"/>
      <c r="WTB312" s="239"/>
      <c r="WTC312" s="239"/>
      <c r="WTD312" s="239"/>
      <c r="WTE312" s="239"/>
      <c r="WTF312" s="239"/>
      <c r="WTG312" s="233"/>
      <c r="WTH312" s="235"/>
      <c r="WTI312" s="233"/>
      <c r="WTJ312" s="234"/>
      <c r="WTK312" s="234"/>
      <c r="WTL312" s="242"/>
      <c r="WTM312" s="234"/>
      <c r="WTN312" s="234"/>
      <c r="WTO312" s="234"/>
      <c r="WTP312" s="236"/>
      <c r="WTQ312" s="244"/>
      <c r="WTR312" s="239"/>
      <c r="WTS312" s="240"/>
      <c r="WTT312" s="241"/>
      <c r="WTU312" s="239"/>
      <c r="WTV312" s="239"/>
      <c r="WTW312" s="239"/>
      <c r="WTX312" s="239"/>
      <c r="WTY312" s="239"/>
      <c r="WTZ312" s="239"/>
      <c r="WUA312" s="233"/>
      <c r="WUB312" s="235"/>
      <c r="WUC312" s="233"/>
      <c r="WUD312" s="234"/>
      <c r="WUE312" s="234"/>
      <c r="WUF312" s="242"/>
      <c r="WUG312" s="234"/>
      <c r="WUH312" s="234"/>
      <c r="WUI312" s="234"/>
      <c r="WUJ312" s="236"/>
      <c r="WUK312" s="244"/>
      <c r="WUL312" s="239"/>
      <c r="WUM312" s="240"/>
      <c r="WUN312" s="241"/>
      <c r="WUO312" s="239"/>
      <c r="WUP312" s="239"/>
      <c r="WUQ312" s="239"/>
      <c r="WUR312" s="239"/>
      <c r="WUS312" s="239"/>
      <c r="WUT312" s="239"/>
      <c r="WUU312" s="233"/>
      <c r="WUV312" s="235"/>
      <c r="WUW312" s="233"/>
      <c r="WUX312" s="234"/>
      <c r="WUY312" s="234"/>
      <c r="WUZ312" s="242"/>
      <c r="WVA312" s="234"/>
      <c r="WVB312" s="234"/>
      <c r="WVC312" s="234"/>
      <c r="WVD312" s="236"/>
      <c r="WVE312" s="244"/>
      <c r="WVF312" s="239"/>
      <c r="WVG312" s="240"/>
      <c r="WVH312" s="241"/>
      <c r="WVI312" s="239"/>
      <c r="WVJ312" s="239"/>
      <c r="WVK312" s="239"/>
      <c r="WVL312" s="239"/>
      <c r="WVM312" s="239"/>
      <c r="WVN312" s="239"/>
      <c r="WVO312" s="233"/>
      <c r="WVP312" s="235"/>
      <c r="WVQ312" s="233"/>
      <c r="WVR312" s="234"/>
      <c r="WVS312" s="234"/>
      <c r="WVT312" s="242"/>
      <c r="WVU312" s="234"/>
      <c r="WVV312" s="234"/>
      <c r="WVW312" s="234"/>
      <c r="WVX312" s="236"/>
      <c r="WVY312" s="244"/>
      <c r="WVZ312" s="239"/>
      <c r="WWA312" s="240"/>
      <c r="WWB312" s="241"/>
      <c r="WWC312" s="239"/>
      <c r="WWD312" s="239"/>
      <c r="WWE312" s="239"/>
      <c r="WWF312" s="239"/>
      <c r="WWG312" s="239"/>
      <c r="WWH312" s="239"/>
      <c r="WWI312" s="233"/>
      <c r="WWJ312" s="235"/>
      <c r="WWK312" s="233"/>
      <c r="WWL312" s="234"/>
      <c r="WWM312" s="234"/>
      <c r="WWN312" s="242"/>
      <c r="WWO312" s="234"/>
      <c r="WWP312" s="234"/>
      <c r="WWQ312" s="234"/>
      <c r="WWR312" s="236"/>
      <c r="WWS312" s="244"/>
      <c r="WWT312" s="239"/>
      <c r="WWU312" s="240"/>
      <c r="WWV312" s="241"/>
      <c r="WWW312" s="239"/>
      <c r="WWX312" s="239"/>
      <c r="WWY312" s="239"/>
      <c r="WWZ312" s="239"/>
      <c r="WXA312" s="239"/>
      <c r="WXB312" s="239"/>
      <c r="WXC312" s="233"/>
      <c r="WXD312" s="235"/>
      <c r="WXE312" s="233"/>
      <c r="WXF312" s="234"/>
      <c r="WXG312" s="234"/>
      <c r="WXH312" s="242"/>
      <c r="WXI312" s="234"/>
      <c r="WXJ312" s="234"/>
      <c r="WXK312" s="234"/>
      <c r="WXL312" s="236"/>
      <c r="WXM312" s="244"/>
      <c r="WXN312" s="239"/>
      <c r="WXO312" s="240"/>
      <c r="WXP312" s="241"/>
      <c r="WXQ312" s="239"/>
      <c r="WXR312" s="239"/>
      <c r="WXS312" s="239"/>
      <c r="WXT312" s="239"/>
      <c r="WXU312" s="239"/>
      <c r="WXV312" s="239"/>
      <c r="WXW312" s="233"/>
      <c r="WXX312" s="235"/>
      <c r="WXY312" s="233"/>
      <c r="WXZ312" s="234"/>
      <c r="WYA312" s="234"/>
      <c r="WYB312" s="242"/>
      <c r="WYC312" s="234"/>
      <c r="WYD312" s="234"/>
      <c r="WYE312" s="234"/>
      <c r="WYF312" s="236"/>
      <c r="WYG312" s="244"/>
      <c r="WYH312" s="239"/>
      <c r="WYI312" s="240"/>
      <c r="WYJ312" s="241"/>
      <c r="WYK312" s="239"/>
      <c r="WYL312" s="239"/>
      <c r="WYM312" s="239"/>
      <c r="WYN312" s="239"/>
      <c r="WYO312" s="239"/>
      <c r="WYP312" s="239"/>
      <c r="WYQ312" s="233"/>
      <c r="WYR312" s="235"/>
      <c r="WYS312" s="233"/>
      <c r="WYT312" s="234"/>
      <c r="WYU312" s="234"/>
      <c r="WYV312" s="242"/>
      <c r="WYW312" s="234"/>
      <c r="WYX312" s="234"/>
      <c r="WYY312" s="234"/>
      <c r="WYZ312" s="236"/>
      <c r="WZA312" s="244"/>
      <c r="WZB312" s="239"/>
      <c r="WZC312" s="240"/>
      <c r="WZD312" s="241"/>
      <c r="WZE312" s="239"/>
      <c r="WZF312" s="239"/>
      <c r="WZG312" s="239"/>
      <c r="WZH312" s="239"/>
      <c r="WZI312" s="239"/>
      <c r="WZJ312" s="239"/>
      <c r="WZK312" s="233"/>
      <c r="WZL312" s="235"/>
      <c r="WZM312" s="233"/>
      <c r="WZN312" s="234"/>
      <c r="WZO312" s="234"/>
      <c r="WZP312" s="242"/>
      <c r="WZQ312" s="234"/>
      <c r="WZR312" s="234"/>
      <c r="WZS312" s="234"/>
      <c r="WZT312" s="236"/>
      <c r="WZU312" s="244"/>
      <c r="WZV312" s="239"/>
      <c r="WZW312" s="240"/>
      <c r="WZX312" s="241"/>
      <c r="WZY312" s="239"/>
      <c r="WZZ312" s="239"/>
      <c r="XAA312" s="239"/>
      <c r="XAB312" s="239"/>
      <c r="XAC312" s="239"/>
      <c r="XAD312" s="239"/>
      <c r="XAE312" s="233"/>
      <c r="XAF312" s="235"/>
      <c r="XAG312" s="233"/>
      <c r="XAH312" s="234"/>
      <c r="XAI312" s="234"/>
      <c r="XAJ312" s="242"/>
      <c r="XAK312" s="234"/>
      <c r="XAL312" s="234"/>
      <c r="XAM312" s="234"/>
      <c r="XAN312" s="236"/>
      <c r="XAO312" s="244"/>
      <c r="XAP312" s="239"/>
      <c r="XAQ312" s="240"/>
      <c r="XAR312" s="241"/>
      <c r="XAS312" s="239"/>
      <c r="XAT312" s="239"/>
      <c r="XAU312" s="239"/>
      <c r="XAV312" s="239"/>
      <c r="XAW312" s="239"/>
      <c r="XAX312" s="239"/>
      <c r="XAY312" s="233"/>
      <c r="XAZ312" s="235"/>
      <c r="XBA312" s="233"/>
      <c r="XBB312" s="234"/>
      <c r="XBC312" s="234"/>
      <c r="XBD312" s="242"/>
      <c r="XBE312" s="234"/>
      <c r="XBF312" s="234"/>
      <c r="XBG312" s="234"/>
      <c r="XBH312" s="236"/>
      <c r="XBI312" s="244"/>
      <c r="XBJ312" s="239"/>
      <c r="XBK312" s="240"/>
      <c r="XBL312" s="241"/>
      <c r="XBM312" s="239"/>
      <c r="XBN312" s="239"/>
      <c r="XBO312" s="239"/>
      <c r="XBP312" s="239"/>
      <c r="XBQ312" s="239"/>
      <c r="XBR312" s="239"/>
      <c r="XBS312" s="233"/>
      <c r="XBT312" s="235"/>
      <c r="XBU312" s="233"/>
      <c r="XBV312" s="234"/>
      <c r="XBW312" s="234"/>
      <c r="XBX312" s="242"/>
      <c r="XBY312" s="234"/>
      <c r="XBZ312" s="234"/>
      <c r="XCA312" s="234"/>
      <c r="XCB312" s="236"/>
      <c r="XCC312" s="244"/>
      <c r="XCD312" s="239"/>
      <c r="XCE312" s="240"/>
      <c r="XCF312" s="241"/>
      <c r="XCG312" s="239"/>
      <c r="XCH312" s="239"/>
      <c r="XCI312" s="239"/>
      <c r="XCJ312" s="239"/>
      <c r="XCK312" s="239"/>
      <c r="XCL312" s="239"/>
      <c r="XCM312" s="233"/>
      <c r="XCN312" s="235"/>
      <c r="XCO312" s="233"/>
      <c r="XCP312" s="234"/>
      <c r="XCQ312" s="234"/>
      <c r="XCR312" s="242"/>
      <c r="XCS312" s="234"/>
      <c r="XCT312" s="234"/>
      <c r="XCU312" s="234"/>
      <c r="XCV312" s="236"/>
      <c r="XCW312" s="244"/>
      <c r="XCX312" s="239"/>
      <c r="XCY312" s="240"/>
      <c r="XCZ312" s="241"/>
      <c r="XDA312" s="239"/>
      <c r="XDB312" s="239"/>
      <c r="XDC312" s="239"/>
      <c r="XDD312" s="239"/>
      <c r="XDE312" s="239"/>
      <c r="XDF312" s="239"/>
      <c r="XDG312" s="233"/>
      <c r="XDH312" s="235"/>
      <c r="XDI312" s="233"/>
      <c r="XDJ312" s="234"/>
      <c r="XDK312" s="234"/>
      <c r="XDL312" s="242"/>
      <c r="XDM312" s="234"/>
      <c r="XDN312" s="234"/>
      <c r="XDO312" s="234"/>
      <c r="XDP312" s="236"/>
      <c r="XDQ312" s="244"/>
      <c r="XDR312" s="239"/>
      <c r="XDS312" s="240"/>
      <c r="XDT312" s="241"/>
      <c r="XDU312" s="239"/>
      <c r="XDV312" s="239"/>
      <c r="XDW312" s="239"/>
      <c r="XDX312" s="239"/>
      <c r="XDY312" s="239"/>
      <c r="XDZ312" s="239"/>
      <c r="XEA312" s="233"/>
      <c r="XEB312" s="235"/>
      <c r="XEC312" s="233"/>
      <c r="XED312" s="234"/>
      <c r="XEE312" s="234"/>
      <c r="XEF312" s="242"/>
      <c r="XEG312" s="234"/>
      <c r="XEH312" s="234"/>
      <c r="XEI312" s="234"/>
      <c r="XEJ312" s="236"/>
      <c r="XEK312" s="244"/>
      <c r="XEL312" s="239"/>
      <c r="XEM312" s="240"/>
    </row>
    <row r="313" spans="1:16367" ht="63.75" hidden="1">
      <c r="A313" s="239" t="s">
        <v>1375</v>
      </c>
      <c r="B313" s="240">
        <v>1256</v>
      </c>
      <c r="C313" s="241">
        <v>58354</v>
      </c>
      <c r="D313" s="239" t="s">
        <v>3818</v>
      </c>
      <c r="E313" s="239" t="s">
        <v>462</v>
      </c>
      <c r="F313" s="239" t="s">
        <v>463</v>
      </c>
      <c r="G313" s="239" t="s">
        <v>965</v>
      </c>
      <c r="H313" s="239" t="s">
        <v>48</v>
      </c>
      <c r="I313" s="239" t="s">
        <v>399</v>
      </c>
      <c r="J313" s="233"/>
      <c r="K313" s="235">
        <v>45896</v>
      </c>
      <c r="L313" s="233">
        <v>1.1000000000000001</v>
      </c>
      <c r="M313" s="234" t="s">
        <v>965</v>
      </c>
      <c r="N313" s="234">
        <v>39570</v>
      </c>
      <c r="O313" s="234">
        <v>16130</v>
      </c>
      <c r="P313" s="242">
        <v>12</v>
      </c>
      <c r="Q313" s="234">
        <v>23440</v>
      </c>
      <c r="R313" s="234">
        <v>20627.2</v>
      </c>
      <c r="S313" s="234" t="s">
        <v>1491</v>
      </c>
      <c r="T313" s="236">
        <v>45897</v>
      </c>
    </row>
    <row r="314" spans="1:16367" ht="63.75" hidden="1">
      <c r="A314" s="239" t="s">
        <v>1376</v>
      </c>
      <c r="B314" s="240">
        <v>1258</v>
      </c>
      <c r="C314" s="241">
        <v>58368</v>
      </c>
      <c r="D314" s="239" t="s">
        <v>3818</v>
      </c>
      <c r="E314" s="239" t="s">
        <v>858</v>
      </c>
      <c r="F314" s="239" t="s">
        <v>859</v>
      </c>
      <c r="G314" s="239" t="s">
        <v>965</v>
      </c>
      <c r="H314" s="239" t="s">
        <v>48</v>
      </c>
      <c r="I314" s="239" t="s">
        <v>399</v>
      </c>
      <c r="J314" s="233"/>
      <c r="K314" s="235">
        <v>45896</v>
      </c>
      <c r="L314" s="233">
        <v>1.1000000000000001</v>
      </c>
      <c r="M314" s="234" t="s">
        <v>965</v>
      </c>
      <c r="N314" s="234">
        <v>36840</v>
      </c>
      <c r="O314" s="234">
        <v>14740</v>
      </c>
      <c r="P314" s="242">
        <v>9</v>
      </c>
      <c r="Q314" s="234">
        <v>22100</v>
      </c>
      <c r="R314" s="234">
        <v>20111</v>
      </c>
      <c r="S314" s="234" t="s">
        <v>1492</v>
      </c>
      <c r="T314" s="236">
        <v>45897</v>
      </c>
    </row>
    <row r="315" spans="1:16367" ht="63.75" hidden="1">
      <c r="A315" s="239" t="s">
        <v>1377</v>
      </c>
      <c r="B315" s="240">
        <v>1259</v>
      </c>
      <c r="C315" s="241">
        <v>58370</v>
      </c>
      <c r="D315" s="239" t="s">
        <v>3818</v>
      </c>
      <c r="E315" s="239" t="s">
        <v>472</v>
      </c>
      <c r="F315" s="239" t="s">
        <v>473</v>
      </c>
      <c r="G315" s="239" t="s">
        <v>965</v>
      </c>
      <c r="H315" s="239" t="s">
        <v>48</v>
      </c>
      <c r="I315" s="239" t="s">
        <v>399</v>
      </c>
      <c r="J315" s="233"/>
      <c r="K315" s="235">
        <v>45896</v>
      </c>
      <c r="L315" s="233">
        <v>1.2</v>
      </c>
      <c r="M315" s="234" t="s">
        <v>965</v>
      </c>
      <c r="N315" s="234">
        <v>40480</v>
      </c>
      <c r="O315" s="234">
        <v>16670</v>
      </c>
      <c r="P315" s="242">
        <v>5</v>
      </c>
      <c r="Q315" s="234">
        <v>23810</v>
      </c>
      <c r="R315" s="234">
        <v>22619.5</v>
      </c>
      <c r="S315" s="234" t="s">
        <v>1493</v>
      </c>
      <c r="T315" s="236">
        <v>45897</v>
      </c>
    </row>
    <row r="316" spans="1:16367" ht="63.75" hidden="1">
      <c r="A316" s="239" t="s">
        <v>1378</v>
      </c>
      <c r="B316" s="240">
        <v>1260</v>
      </c>
      <c r="C316" s="241">
        <v>58373</v>
      </c>
      <c r="D316" s="239" t="s">
        <v>3818</v>
      </c>
      <c r="E316" s="239" t="s">
        <v>475</v>
      </c>
      <c r="F316" s="239" t="s">
        <v>476</v>
      </c>
      <c r="G316" s="239" t="s">
        <v>965</v>
      </c>
      <c r="H316" s="239" t="s">
        <v>48</v>
      </c>
      <c r="I316" s="239" t="s">
        <v>399</v>
      </c>
      <c r="J316" s="233"/>
      <c r="K316" s="235">
        <v>45896</v>
      </c>
      <c r="L316" s="233">
        <v>1.1000000000000001</v>
      </c>
      <c r="M316" s="234" t="s">
        <v>965</v>
      </c>
      <c r="N316" s="234">
        <v>39730</v>
      </c>
      <c r="O316" s="234">
        <v>16540</v>
      </c>
      <c r="P316" s="242">
        <v>9</v>
      </c>
      <c r="Q316" s="234">
        <v>23190</v>
      </c>
      <c r="R316" s="234">
        <v>21102.9</v>
      </c>
      <c r="S316" s="234" t="s">
        <v>1494</v>
      </c>
      <c r="T316" s="236">
        <v>45897</v>
      </c>
    </row>
    <row r="317" spans="1:16367" ht="63.75" hidden="1">
      <c r="A317" s="239" t="s">
        <v>1379</v>
      </c>
      <c r="B317" s="240">
        <v>1262</v>
      </c>
      <c r="C317" s="241">
        <v>58380</v>
      </c>
      <c r="D317" s="239" t="s">
        <v>3818</v>
      </c>
      <c r="E317" s="239" t="s">
        <v>403</v>
      </c>
      <c r="F317" s="239" t="s">
        <v>404</v>
      </c>
      <c r="G317" s="239" t="s">
        <v>965</v>
      </c>
      <c r="H317" s="239" t="s">
        <v>48</v>
      </c>
      <c r="I317" s="239" t="s">
        <v>399</v>
      </c>
      <c r="J317" s="233"/>
      <c r="K317" s="235">
        <v>45896</v>
      </c>
      <c r="L317" s="233">
        <v>1.1000000000000001</v>
      </c>
      <c r="M317" s="234" t="s">
        <v>965</v>
      </c>
      <c r="N317" s="234">
        <v>37960</v>
      </c>
      <c r="O317" s="234">
        <v>14480</v>
      </c>
      <c r="P317" s="242">
        <v>17</v>
      </c>
      <c r="Q317" s="234">
        <v>23480</v>
      </c>
      <c r="R317" s="234">
        <v>19488.400000000001</v>
      </c>
      <c r="S317" s="234" t="s">
        <v>1495</v>
      </c>
      <c r="T317" s="236">
        <v>45897</v>
      </c>
    </row>
    <row r="318" spans="1:16367" ht="63.75" hidden="1">
      <c r="A318" s="239" t="s">
        <v>1380</v>
      </c>
      <c r="B318" s="240">
        <v>1263</v>
      </c>
      <c r="C318" s="241">
        <v>58382</v>
      </c>
      <c r="D318" s="239" t="s">
        <v>3818</v>
      </c>
      <c r="E318" s="239" t="s">
        <v>406</v>
      </c>
      <c r="F318" s="239" t="s">
        <v>407</v>
      </c>
      <c r="G318" s="239" t="s">
        <v>965</v>
      </c>
      <c r="H318" s="239" t="s">
        <v>48</v>
      </c>
      <c r="I318" s="239" t="s">
        <v>399</v>
      </c>
      <c r="J318" s="233"/>
      <c r="K318" s="235">
        <v>45896</v>
      </c>
      <c r="L318" s="233">
        <v>1.1000000000000001</v>
      </c>
      <c r="M318" s="234" t="s">
        <v>965</v>
      </c>
      <c r="N318" s="234">
        <v>38440</v>
      </c>
      <c r="O318" s="234">
        <v>15070</v>
      </c>
      <c r="P318" s="242">
        <v>8</v>
      </c>
      <c r="Q318" s="234">
        <v>23370</v>
      </c>
      <c r="R318" s="234">
        <v>21500.400000000001</v>
      </c>
      <c r="S318" s="234" t="s">
        <v>1496</v>
      </c>
      <c r="T318" s="236">
        <v>45897</v>
      </c>
    </row>
    <row r="319" spans="1:16367" ht="63.75" hidden="1">
      <c r="A319" s="239" t="s">
        <v>1381</v>
      </c>
      <c r="B319" s="240">
        <v>1267</v>
      </c>
      <c r="C319" s="241">
        <v>58389</v>
      </c>
      <c r="D319" s="239" t="s">
        <v>3818</v>
      </c>
      <c r="E319" s="239" t="s">
        <v>442</v>
      </c>
      <c r="F319" s="239" t="s">
        <v>443</v>
      </c>
      <c r="G319" s="239" t="s">
        <v>965</v>
      </c>
      <c r="H319" s="239" t="s">
        <v>48</v>
      </c>
      <c r="I319" s="239" t="s">
        <v>399</v>
      </c>
      <c r="J319" s="233"/>
      <c r="K319" s="235">
        <v>45896</v>
      </c>
      <c r="L319" s="233">
        <v>1</v>
      </c>
      <c r="M319" s="234" t="s">
        <v>965</v>
      </c>
      <c r="N319" s="234">
        <v>34920</v>
      </c>
      <c r="O319" s="234">
        <v>14470</v>
      </c>
      <c r="P319" s="242">
        <v>11</v>
      </c>
      <c r="Q319" s="234">
        <v>20450</v>
      </c>
      <c r="R319" s="234">
        <v>18200.5</v>
      </c>
      <c r="S319" s="234" t="s">
        <v>1497</v>
      </c>
      <c r="T319" s="236">
        <v>45897</v>
      </c>
    </row>
    <row r="320" spans="1:16367" ht="63.75" hidden="1">
      <c r="A320" s="239" t="s">
        <v>1382</v>
      </c>
      <c r="B320" s="240">
        <v>1268</v>
      </c>
      <c r="C320" s="241">
        <v>58391</v>
      </c>
      <c r="D320" s="239" t="s">
        <v>3818</v>
      </c>
      <c r="E320" s="239" t="s">
        <v>780</v>
      </c>
      <c r="F320" s="239" t="s">
        <v>781</v>
      </c>
      <c r="G320" s="239" t="s">
        <v>965</v>
      </c>
      <c r="H320" s="239" t="s">
        <v>48</v>
      </c>
      <c r="I320" s="239" t="s">
        <v>399</v>
      </c>
      <c r="J320" s="233"/>
      <c r="K320" s="235">
        <v>45896</v>
      </c>
      <c r="L320" s="233">
        <v>1</v>
      </c>
      <c r="M320" s="234" t="s">
        <v>965</v>
      </c>
      <c r="N320" s="234">
        <v>36340</v>
      </c>
      <c r="O320" s="234">
        <v>14830</v>
      </c>
      <c r="P320" s="242">
        <v>10</v>
      </c>
      <c r="Q320" s="234">
        <v>21510</v>
      </c>
      <c r="R320" s="234">
        <v>19359</v>
      </c>
      <c r="S320" s="234" t="s">
        <v>1498</v>
      </c>
      <c r="T320" s="236">
        <v>45897</v>
      </c>
    </row>
    <row r="321" spans="1:20" ht="63.75" hidden="1">
      <c r="A321" s="239" t="s">
        <v>1383</v>
      </c>
      <c r="B321" s="240">
        <v>1266</v>
      </c>
      <c r="C321" s="241">
        <v>58397</v>
      </c>
      <c r="D321" s="239" t="s">
        <v>3818</v>
      </c>
      <c r="E321" s="239" t="s">
        <v>377</v>
      </c>
      <c r="F321" s="239" t="s">
        <v>378</v>
      </c>
      <c r="G321" s="239" t="s">
        <v>965</v>
      </c>
      <c r="H321" s="239" t="s">
        <v>48</v>
      </c>
      <c r="I321" s="239" t="s">
        <v>399</v>
      </c>
      <c r="J321" s="233"/>
      <c r="K321" s="235">
        <v>45896</v>
      </c>
      <c r="L321" s="233">
        <v>1.2</v>
      </c>
      <c r="M321" s="234" t="s">
        <v>965</v>
      </c>
      <c r="N321" s="234">
        <v>40560</v>
      </c>
      <c r="O321" s="234">
        <v>15180</v>
      </c>
      <c r="P321" s="242">
        <v>6</v>
      </c>
      <c r="Q321" s="234">
        <v>25380</v>
      </c>
      <c r="R321" s="234">
        <v>23857.200000000001</v>
      </c>
      <c r="S321" s="234" t="s">
        <v>1499</v>
      </c>
      <c r="T321" s="236">
        <v>45897</v>
      </c>
    </row>
    <row r="322" spans="1:20" ht="63.75" hidden="1">
      <c r="A322" s="239" t="s">
        <v>1384</v>
      </c>
      <c r="B322" s="240">
        <v>1284</v>
      </c>
      <c r="C322" s="241">
        <v>58407</v>
      </c>
      <c r="D322" s="239" t="s">
        <v>3818</v>
      </c>
      <c r="E322" s="239" t="s">
        <v>392</v>
      </c>
      <c r="F322" s="239" t="s">
        <v>393</v>
      </c>
      <c r="G322" s="239" t="s">
        <v>965</v>
      </c>
      <c r="H322" s="239" t="s">
        <v>48</v>
      </c>
      <c r="I322" s="239" t="s">
        <v>399</v>
      </c>
      <c r="J322" s="233"/>
      <c r="K322" s="235">
        <v>45896</v>
      </c>
      <c r="L322" s="233">
        <v>1.1000000000000001</v>
      </c>
      <c r="M322" s="234" t="s">
        <v>965</v>
      </c>
      <c r="N322" s="234">
        <v>46980</v>
      </c>
      <c r="O322" s="234">
        <v>24070</v>
      </c>
      <c r="P322" s="242">
        <v>11</v>
      </c>
      <c r="Q322" s="234">
        <v>22910</v>
      </c>
      <c r="R322" s="234">
        <v>20389.900000000001</v>
      </c>
      <c r="S322" s="234" t="s">
        <v>1500</v>
      </c>
      <c r="T322" s="236">
        <v>45897</v>
      </c>
    </row>
    <row r="323" spans="1:20" ht="63.75" hidden="1">
      <c r="A323" s="239" t="s">
        <v>1385</v>
      </c>
      <c r="B323" s="240">
        <v>1286</v>
      </c>
      <c r="C323" s="241">
        <v>58413</v>
      </c>
      <c r="D323" s="239" t="s">
        <v>3818</v>
      </c>
      <c r="E323" s="239" t="s">
        <v>413</v>
      </c>
      <c r="F323" s="239" t="s">
        <v>414</v>
      </c>
      <c r="G323" s="239" t="s">
        <v>965</v>
      </c>
      <c r="H323" s="239" t="s">
        <v>48</v>
      </c>
      <c r="I323" s="239" t="s">
        <v>399</v>
      </c>
      <c r="J323" s="233"/>
      <c r="K323" s="235">
        <v>45896</v>
      </c>
      <c r="L323" s="233">
        <v>1.2</v>
      </c>
      <c r="M323" s="234" t="s">
        <v>965</v>
      </c>
      <c r="N323" s="234">
        <v>39230</v>
      </c>
      <c r="O323" s="234">
        <v>14950</v>
      </c>
      <c r="P323" s="242">
        <v>12</v>
      </c>
      <c r="Q323" s="234">
        <v>24280</v>
      </c>
      <c r="R323" s="234">
        <v>21366.400000000001</v>
      </c>
      <c r="S323" s="234" t="s">
        <v>1501</v>
      </c>
      <c r="T323" s="236">
        <v>45897</v>
      </c>
    </row>
    <row r="324" spans="1:20" ht="63.75" hidden="1">
      <c r="A324" s="239" t="s">
        <v>1389</v>
      </c>
      <c r="B324" s="240">
        <v>1288</v>
      </c>
      <c r="C324" s="241">
        <v>58411</v>
      </c>
      <c r="D324" s="239" t="s">
        <v>3818</v>
      </c>
      <c r="E324" s="239" t="s">
        <v>429</v>
      </c>
      <c r="F324" s="239" t="s">
        <v>430</v>
      </c>
      <c r="G324" s="239" t="s">
        <v>965</v>
      </c>
      <c r="H324" s="239" t="s">
        <v>48</v>
      </c>
      <c r="I324" s="239" t="s">
        <v>399</v>
      </c>
      <c r="J324" s="233"/>
      <c r="K324" s="235">
        <v>45897</v>
      </c>
      <c r="L324" s="233">
        <v>2</v>
      </c>
      <c r="M324" s="234" t="s">
        <v>965</v>
      </c>
      <c r="N324" s="234">
        <v>37910</v>
      </c>
      <c r="O324" s="234">
        <v>14200</v>
      </c>
      <c r="P324" s="242">
        <v>8</v>
      </c>
      <c r="Q324" s="234">
        <v>23710</v>
      </c>
      <c r="R324" s="234">
        <v>21813.200000000001</v>
      </c>
      <c r="S324" s="234" t="s">
        <v>1505</v>
      </c>
      <c r="T324" s="236">
        <v>45897</v>
      </c>
    </row>
    <row r="325" spans="1:20" ht="63.75" hidden="1">
      <c r="A325" s="239" t="s">
        <v>1391</v>
      </c>
      <c r="B325" s="240">
        <v>1289</v>
      </c>
      <c r="C325" s="241">
        <v>58416</v>
      </c>
      <c r="D325" s="239" t="s">
        <v>3818</v>
      </c>
      <c r="E325" s="239" t="s">
        <v>791</v>
      </c>
      <c r="F325" s="239" t="s">
        <v>792</v>
      </c>
      <c r="G325" s="239" t="s">
        <v>965</v>
      </c>
      <c r="H325" s="239" t="s">
        <v>48</v>
      </c>
      <c r="I325" s="239" t="s">
        <v>399</v>
      </c>
      <c r="J325" s="233"/>
      <c r="K325" s="235">
        <v>45897</v>
      </c>
      <c r="L325" s="233">
        <v>2.2000000000000002</v>
      </c>
      <c r="M325" s="234" t="s">
        <v>965</v>
      </c>
      <c r="N325" s="234">
        <v>40490</v>
      </c>
      <c r="O325" s="234">
        <v>14970</v>
      </c>
      <c r="P325" s="242">
        <v>15</v>
      </c>
      <c r="Q325" s="234">
        <v>25520</v>
      </c>
      <c r="R325" s="234">
        <v>21692</v>
      </c>
      <c r="S325" s="234" t="s">
        <v>1507</v>
      </c>
      <c r="T325" s="236">
        <v>45897</v>
      </c>
    </row>
    <row r="326" spans="1:20" ht="63.75" hidden="1">
      <c r="A326" s="239" t="s">
        <v>1393</v>
      </c>
      <c r="B326" s="240">
        <v>1291</v>
      </c>
      <c r="C326" s="241">
        <v>58418</v>
      </c>
      <c r="D326" s="239" t="s">
        <v>3818</v>
      </c>
      <c r="E326" s="239" t="s">
        <v>382</v>
      </c>
      <c r="F326" s="239" t="s">
        <v>383</v>
      </c>
      <c r="G326" s="239" t="s">
        <v>965</v>
      </c>
      <c r="H326" s="239" t="s">
        <v>48</v>
      </c>
      <c r="I326" s="239" t="s">
        <v>399</v>
      </c>
      <c r="J326" s="233"/>
      <c r="K326" s="235">
        <v>45897</v>
      </c>
      <c r="L326" s="233">
        <v>2</v>
      </c>
      <c r="M326" s="234" t="s">
        <v>965</v>
      </c>
      <c r="N326" s="234">
        <v>38590</v>
      </c>
      <c r="O326" s="234">
        <v>14560</v>
      </c>
      <c r="P326" s="242">
        <v>13</v>
      </c>
      <c r="Q326" s="234">
        <v>24030</v>
      </c>
      <c r="R326" s="234">
        <v>20906.099999999999</v>
      </c>
      <c r="S326" s="234" t="s">
        <v>1509</v>
      </c>
      <c r="T326" s="236">
        <v>45897</v>
      </c>
    </row>
    <row r="327" spans="1:20" ht="63.75" hidden="1">
      <c r="A327" s="239" t="s">
        <v>1395</v>
      </c>
      <c r="B327" s="240">
        <v>1292</v>
      </c>
      <c r="C327" s="241">
        <v>58420</v>
      </c>
      <c r="D327" s="239" t="s">
        <v>3818</v>
      </c>
      <c r="E327" s="239" t="s">
        <v>447</v>
      </c>
      <c r="F327" s="239" t="s">
        <v>448</v>
      </c>
      <c r="G327" s="239" t="s">
        <v>965</v>
      </c>
      <c r="H327" s="239" t="s">
        <v>48</v>
      </c>
      <c r="I327" s="239" t="s">
        <v>399</v>
      </c>
      <c r="J327" s="233"/>
      <c r="K327" s="235">
        <v>45897</v>
      </c>
      <c r="L327" s="233">
        <v>2.2999999999999998</v>
      </c>
      <c r="M327" s="234" t="s">
        <v>965</v>
      </c>
      <c r="N327" s="234">
        <v>46960</v>
      </c>
      <c r="O327" s="234">
        <v>19350</v>
      </c>
      <c r="P327" s="242">
        <v>6</v>
      </c>
      <c r="Q327" s="234">
        <v>27610</v>
      </c>
      <c r="R327" s="234">
        <v>25953.4</v>
      </c>
      <c r="S327" s="234" t="s">
        <v>1511</v>
      </c>
      <c r="T327" s="236">
        <v>45897</v>
      </c>
    </row>
    <row r="328" spans="1:20" ht="63.75" hidden="1">
      <c r="A328" s="239" t="s">
        <v>1386</v>
      </c>
      <c r="B328" s="240">
        <v>1293</v>
      </c>
      <c r="C328" s="241">
        <v>58432</v>
      </c>
      <c r="D328" s="239" t="s">
        <v>3818</v>
      </c>
      <c r="E328" s="239" t="s">
        <v>380</v>
      </c>
      <c r="F328" s="239" t="s">
        <v>381</v>
      </c>
      <c r="G328" s="239" t="s">
        <v>965</v>
      </c>
      <c r="H328" s="239" t="s">
        <v>48</v>
      </c>
      <c r="I328" s="239" t="s">
        <v>399</v>
      </c>
      <c r="J328" s="233"/>
      <c r="K328" s="235">
        <v>45897</v>
      </c>
      <c r="L328" s="233">
        <v>2</v>
      </c>
      <c r="M328" s="234" t="s">
        <v>965</v>
      </c>
      <c r="N328" s="234">
        <v>39220</v>
      </c>
      <c r="O328" s="234">
        <v>15040</v>
      </c>
      <c r="P328" s="242">
        <v>6</v>
      </c>
      <c r="Q328" s="234">
        <v>24180</v>
      </c>
      <c r="R328" s="234">
        <v>22729.200000000001</v>
      </c>
      <c r="S328" s="234" t="s">
        <v>1502</v>
      </c>
      <c r="T328" s="236">
        <v>45897</v>
      </c>
    </row>
    <row r="329" spans="1:20" ht="63.75" hidden="1">
      <c r="A329" s="239" t="s">
        <v>1387</v>
      </c>
      <c r="B329" s="240">
        <v>1294</v>
      </c>
      <c r="C329" s="241">
        <v>58427</v>
      </c>
      <c r="D329" s="239" t="s">
        <v>3818</v>
      </c>
      <c r="E329" s="239" t="s">
        <v>439</v>
      </c>
      <c r="F329" s="239" t="s">
        <v>440</v>
      </c>
      <c r="G329" s="239" t="s">
        <v>965</v>
      </c>
      <c r="H329" s="239" t="s">
        <v>48</v>
      </c>
      <c r="I329" s="239" t="s">
        <v>399</v>
      </c>
      <c r="J329" s="233"/>
      <c r="K329" s="235">
        <v>45897</v>
      </c>
      <c r="L329" s="233">
        <v>2</v>
      </c>
      <c r="M329" s="234" t="s">
        <v>965</v>
      </c>
      <c r="N329" s="234">
        <v>39160</v>
      </c>
      <c r="O329" s="234">
        <v>14970</v>
      </c>
      <c r="P329" s="242">
        <v>7</v>
      </c>
      <c r="Q329" s="234">
        <v>24190</v>
      </c>
      <c r="R329" s="234">
        <v>22496.7</v>
      </c>
      <c r="S329" s="234" t="s">
        <v>1503</v>
      </c>
      <c r="T329" s="236">
        <v>45897</v>
      </c>
    </row>
    <row r="330" spans="1:20" ht="63.75" hidden="1">
      <c r="A330" s="239" t="s">
        <v>1388</v>
      </c>
      <c r="B330" s="240">
        <v>1295</v>
      </c>
      <c r="C330" s="241">
        <v>58437</v>
      </c>
      <c r="D330" s="239" t="s">
        <v>3818</v>
      </c>
      <c r="E330" s="239" t="s">
        <v>783</v>
      </c>
      <c r="F330" s="239" t="s">
        <v>784</v>
      </c>
      <c r="G330" s="239" t="s">
        <v>965</v>
      </c>
      <c r="H330" s="239" t="s">
        <v>48</v>
      </c>
      <c r="I330" s="239" t="s">
        <v>399</v>
      </c>
      <c r="J330" s="233"/>
      <c r="K330" s="235">
        <v>45897</v>
      </c>
      <c r="L330" s="233">
        <v>2.2000000000000002</v>
      </c>
      <c r="M330" s="234" t="s">
        <v>965</v>
      </c>
      <c r="N330" s="234">
        <v>40960</v>
      </c>
      <c r="O330" s="234">
        <v>14620</v>
      </c>
      <c r="P330" s="242">
        <v>7</v>
      </c>
      <c r="Q330" s="234">
        <v>26340</v>
      </c>
      <c r="R330" s="234">
        <v>24496.2</v>
      </c>
      <c r="S330" s="234" t="s">
        <v>1504</v>
      </c>
      <c r="T330" s="236">
        <v>45897</v>
      </c>
    </row>
    <row r="331" spans="1:20" ht="63.75" hidden="1">
      <c r="A331" s="239" t="s">
        <v>1390</v>
      </c>
      <c r="B331" s="240">
        <v>1296</v>
      </c>
      <c r="C331" s="241">
        <v>58425</v>
      </c>
      <c r="D331" s="239" t="s">
        <v>3818</v>
      </c>
      <c r="E331" s="239" t="s">
        <v>841</v>
      </c>
      <c r="F331" s="239" t="s">
        <v>845</v>
      </c>
      <c r="G331" s="239" t="s">
        <v>965</v>
      </c>
      <c r="H331" s="239" t="s">
        <v>48</v>
      </c>
      <c r="I331" s="239" t="s">
        <v>399</v>
      </c>
      <c r="J331" s="233"/>
      <c r="K331" s="235">
        <v>45897</v>
      </c>
      <c r="L331" s="233">
        <v>2.2000000000000002</v>
      </c>
      <c r="M331" s="234" t="s">
        <v>965</v>
      </c>
      <c r="N331" s="234">
        <v>41180</v>
      </c>
      <c r="O331" s="234">
        <v>15670</v>
      </c>
      <c r="P331" s="242">
        <v>9</v>
      </c>
      <c r="Q331" s="234">
        <v>25510</v>
      </c>
      <c r="R331" s="234">
        <v>23214.1</v>
      </c>
      <c r="S331" s="234" t="s">
        <v>1506</v>
      </c>
      <c r="T331" s="236">
        <v>45897</v>
      </c>
    </row>
    <row r="332" spans="1:20" ht="63.75" hidden="1">
      <c r="A332" s="239" t="s">
        <v>1392</v>
      </c>
      <c r="B332" s="240">
        <v>1297</v>
      </c>
      <c r="C332" s="241">
        <v>58440</v>
      </c>
      <c r="D332" s="239" t="s">
        <v>3818</v>
      </c>
      <c r="E332" s="239" t="s">
        <v>432</v>
      </c>
      <c r="F332" s="239" t="s">
        <v>433</v>
      </c>
      <c r="G332" s="239" t="s">
        <v>965</v>
      </c>
      <c r="H332" s="239" t="s">
        <v>48</v>
      </c>
      <c r="I332" s="239" t="s">
        <v>399</v>
      </c>
      <c r="J332" s="233"/>
      <c r="K332" s="235">
        <v>45897</v>
      </c>
      <c r="L332" s="233">
        <v>2.2000000000000002</v>
      </c>
      <c r="M332" s="234" t="s">
        <v>965</v>
      </c>
      <c r="N332" s="234">
        <v>39780</v>
      </c>
      <c r="O332" s="234">
        <v>15580</v>
      </c>
      <c r="P332" s="242">
        <v>6</v>
      </c>
      <c r="Q332" s="234">
        <v>24200</v>
      </c>
      <c r="R332" s="234">
        <v>22748</v>
      </c>
      <c r="S332" s="234" t="s">
        <v>1508</v>
      </c>
      <c r="T332" s="236">
        <v>45897</v>
      </c>
    </row>
    <row r="333" spans="1:20" ht="63.75" hidden="1">
      <c r="A333" s="239" t="s">
        <v>1394</v>
      </c>
      <c r="B333" s="240">
        <v>1298</v>
      </c>
      <c r="C333" s="241">
        <v>58448</v>
      </c>
      <c r="D333" s="239" t="s">
        <v>3818</v>
      </c>
      <c r="E333" s="239" t="s">
        <v>794</v>
      </c>
      <c r="F333" s="239" t="s">
        <v>795</v>
      </c>
      <c r="G333" s="239" t="s">
        <v>965</v>
      </c>
      <c r="H333" s="239" t="s">
        <v>48</v>
      </c>
      <c r="I333" s="239" t="s">
        <v>399</v>
      </c>
      <c r="J333" s="233"/>
      <c r="K333" s="235">
        <v>45897</v>
      </c>
      <c r="L333" s="233">
        <v>2.2999999999999998</v>
      </c>
      <c r="M333" s="234" t="s">
        <v>965</v>
      </c>
      <c r="N333" s="234">
        <v>42440</v>
      </c>
      <c r="O333" s="234">
        <v>16120</v>
      </c>
      <c r="P333" s="242">
        <v>6</v>
      </c>
      <c r="Q333" s="234">
        <v>26320</v>
      </c>
      <c r="R333" s="234">
        <v>24740.799999999999</v>
      </c>
      <c r="S333" s="234" t="s">
        <v>1510</v>
      </c>
      <c r="T333" s="236">
        <v>45897</v>
      </c>
    </row>
    <row r="334" spans="1:20" ht="63.75" hidden="1">
      <c r="A334" s="239" t="s">
        <v>1396</v>
      </c>
      <c r="B334" s="240">
        <v>1300</v>
      </c>
      <c r="C334" s="241">
        <v>58445</v>
      </c>
      <c r="D334" s="239" t="s">
        <v>3818</v>
      </c>
      <c r="E334" s="239" t="s">
        <v>1397</v>
      </c>
      <c r="F334" s="239" t="s">
        <v>1398</v>
      </c>
      <c r="G334" s="239" t="s">
        <v>964</v>
      </c>
      <c r="H334" s="239" t="s">
        <v>777</v>
      </c>
      <c r="I334" s="239" t="s">
        <v>399</v>
      </c>
      <c r="J334" s="233"/>
      <c r="K334" s="235">
        <v>45897</v>
      </c>
      <c r="L334" s="233">
        <v>1.4</v>
      </c>
      <c r="M334" s="234" t="s">
        <v>964</v>
      </c>
      <c r="N334" s="234">
        <v>43980</v>
      </c>
      <c r="O334" s="234">
        <v>17080</v>
      </c>
      <c r="P334" s="242">
        <v>13</v>
      </c>
      <c r="Q334" s="234">
        <v>26900</v>
      </c>
      <c r="R334" s="234">
        <v>23403</v>
      </c>
      <c r="S334" s="234" t="s">
        <v>1512</v>
      </c>
      <c r="T334" s="236">
        <v>45898</v>
      </c>
    </row>
    <row r="335" spans="1:20" ht="63.75" hidden="1">
      <c r="A335" s="239" t="s">
        <v>1399</v>
      </c>
      <c r="B335" s="240">
        <v>1302</v>
      </c>
      <c r="C335" s="241">
        <v>58450</v>
      </c>
      <c r="D335" s="239" t="s">
        <v>3818</v>
      </c>
      <c r="E335" s="239" t="s">
        <v>1400</v>
      </c>
      <c r="F335" s="239" t="s">
        <v>1401</v>
      </c>
      <c r="G335" s="239" t="s">
        <v>964</v>
      </c>
      <c r="H335" s="239" t="s">
        <v>777</v>
      </c>
      <c r="I335" s="239" t="s">
        <v>399</v>
      </c>
      <c r="J335" s="233"/>
      <c r="K335" s="235">
        <v>45897</v>
      </c>
      <c r="L335" s="233">
        <v>1.1000000000000001</v>
      </c>
      <c r="M335" s="234" t="s">
        <v>964</v>
      </c>
      <c r="N335" s="234">
        <v>35120</v>
      </c>
      <c r="O335" s="234">
        <v>14740</v>
      </c>
      <c r="P335" s="242">
        <v>8</v>
      </c>
      <c r="Q335" s="234">
        <v>20380</v>
      </c>
      <c r="R335" s="234">
        <v>18749.599999999999</v>
      </c>
      <c r="S335" s="234" t="s">
        <v>1513</v>
      </c>
      <c r="T335" s="236">
        <v>45898</v>
      </c>
    </row>
    <row r="336" spans="1:20" ht="63.75" hidden="1">
      <c r="A336" s="239" t="s">
        <v>1402</v>
      </c>
      <c r="B336" s="240">
        <v>1303</v>
      </c>
      <c r="C336" s="241">
        <v>58452</v>
      </c>
      <c r="D336" s="239" t="s">
        <v>3818</v>
      </c>
      <c r="E336" s="239" t="s">
        <v>1403</v>
      </c>
      <c r="F336" s="239" t="s">
        <v>1404</v>
      </c>
      <c r="G336" s="239" t="s">
        <v>964</v>
      </c>
      <c r="H336" s="239" t="s">
        <v>777</v>
      </c>
      <c r="I336" s="239" t="s">
        <v>399</v>
      </c>
      <c r="J336" s="233"/>
      <c r="K336" s="235">
        <v>45897</v>
      </c>
      <c r="L336" s="233">
        <v>1.2</v>
      </c>
      <c r="M336" s="234" t="s">
        <v>964</v>
      </c>
      <c r="N336" s="234">
        <v>37730</v>
      </c>
      <c r="O336" s="234">
        <v>14970</v>
      </c>
      <c r="P336" s="242">
        <v>6</v>
      </c>
      <c r="Q336" s="234">
        <v>22760</v>
      </c>
      <c r="R336" s="234">
        <v>21394.400000000001</v>
      </c>
      <c r="S336" s="234" t="s">
        <v>1514</v>
      </c>
      <c r="T336" s="236">
        <v>45898</v>
      </c>
    </row>
    <row r="337" spans="1:16367" ht="63.75" hidden="1">
      <c r="A337" s="239" t="s">
        <v>1405</v>
      </c>
      <c r="B337" s="240">
        <v>1304</v>
      </c>
      <c r="C337" s="241">
        <v>58523</v>
      </c>
      <c r="D337" s="239" t="s">
        <v>3818</v>
      </c>
      <c r="E337" s="239" t="s">
        <v>384</v>
      </c>
      <c r="F337" s="239" t="s">
        <v>385</v>
      </c>
      <c r="G337" s="239" t="s">
        <v>964</v>
      </c>
      <c r="H337" s="239" t="s">
        <v>777</v>
      </c>
      <c r="I337" s="239" t="s">
        <v>399</v>
      </c>
      <c r="J337" s="233"/>
      <c r="K337" s="235">
        <v>45897</v>
      </c>
      <c r="L337" s="233">
        <v>1.2</v>
      </c>
      <c r="M337" s="234" t="s">
        <v>964</v>
      </c>
      <c r="N337" s="234">
        <v>36380</v>
      </c>
      <c r="O337" s="234">
        <v>13920</v>
      </c>
      <c r="P337" s="242">
        <v>7</v>
      </c>
      <c r="Q337" s="234">
        <v>22460</v>
      </c>
      <c r="R337" s="234">
        <v>20887.8</v>
      </c>
      <c r="S337" s="234" t="s">
        <v>1515</v>
      </c>
      <c r="T337" s="236">
        <v>45898</v>
      </c>
    </row>
    <row r="338" spans="1:16367" ht="63.75" hidden="1">
      <c r="A338" s="239" t="s">
        <v>1406</v>
      </c>
      <c r="B338" s="240">
        <v>1305</v>
      </c>
      <c r="C338" s="241">
        <v>58492</v>
      </c>
      <c r="D338" s="239" t="s">
        <v>3818</v>
      </c>
      <c r="E338" s="239" t="s">
        <v>388</v>
      </c>
      <c r="F338" s="239" t="s">
        <v>389</v>
      </c>
      <c r="G338" s="239" t="s">
        <v>964</v>
      </c>
      <c r="H338" s="239" t="s">
        <v>777</v>
      </c>
      <c r="I338" s="239" t="s">
        <v>399</v>
      </c>
      <c r="J338" s="233"/>
      <c r="K338" s="235">
        <v>45897</v>
      </c>
      <c r="L338" s="233">
        <v>1.3</v>
      </c>
      <c r="M338" s="234" t="s">
        <v>964</v>
      </c>
      <c r="N338" s="234">
        <v>45120</v>
      </c>
      <c r="O338" s="234">
        <v>20860</v>
      </c>
      <c r="P338" s="242">
        <v>8</v>
      </c>
      <c r="Q338" s="234">
        <v>24260</v>
      </c>
      <c r="R338" s="234">
        <v>22319.200000000001</v>
      </c>
      <c r="S338" s="234" t="s">
        <v>1516</v>
      </c>
      <c r="T338" s="236">
        <v>45898</v>
      </c>
    </row>
    <row r="339" spans="1:16367" ht="63.75" hidden="1">
      <c r="A339" s="239" t="s">
        <v>1407</v>
      </c>
      <c r="B339" s="240">
        <v>1306</v>
      </c>
      <c r="C339" s="241">
        <v>58462</v>
      </c>
      <c r="D339" s="239" t="s">
        <v>3818</v>
      </c>
      <c r="E339" s="239" t="s">
        <v>786</v>
      </c>
      <c r="F339" s="239" t="s">
        <v>787</v>
      </c>
      <c r="G339" s="239" t="s">
        <v>964</v>
      </c>
      <c r="H339" s="239" t="s">
        <v>777</v>
      </c>
      <c r="I339" s="239" t="s">
        <v>399</v>
      </c>
      <c r="J339" s="233"/>
      <c r="K339" s="235">
        <v>45897</v>
      </c>
      <c r="L339" s="233">
        <v>1.2</v>
      </c>
      <c r="M339" s="234" t="s">
        <v>964</v>
      </c>
      <c r="N339" s="234">
        <v>35850</v>
      </c>
      <c r="O339" s="234">
        <v>13980</v>
      </c>
      <c r="P339" s="242">
        <v>8</v>
      </c>
      <c r="Q339" s="234">
        <v>21870</v>
      </c>
      <c r="R339" s="234">
        <v>20120.400000000001</v>
      </c>
      <c r="S339" s="234" t="s">
        <v>1517</v>
      </c>
      <c r="T339" s="236">
        <v>45898</v>
      </c>
    </row>
    <row r="340" spans="1:16367" ht="63.75" hidden="1">
      <c r="A340" s="239" t="s">
        <v>1408</v>
      </c>
      <c r="B340" s="240">
        <v>1307</v>
      </c>
      <c r="C340" s="241">
        <v>58525</v>
      </c>
      <c r="D340" s="239" t="s">
        <v>3818</v>
      </c>
      <c r="E340" s="239" t="s">
        <v>410</v>
      </c>
      <c r="F340" s="239" t="s">
        <v>411</v>
      </c>
      <c r="G340" s="239" t="s">
        <v>964</v>
      </c>
      <c r="H340" s="239" t="s">
        <v>777</v>
      </c>
      <c r="I340" s="239" t="s">
        <v>399</v>
      </c>
      <c r="J340" s="233"/>
      <c r="K340" s="235">
        <v>45897</v>
      </c>
      <c r="L340" s="233">
        <v>1.2</v>
      </c>
      <c r="M340" s="234" t="s">
        <v>964</v>
      </c>
      <c r="N340" s="234">
        <v>37740</v>
      </c>
      <c r="O340" s="234">
        <v>15030</v>
      </c>
      <c r="P340" s="242">
        <v>4</v>
      </c>
      <c r="Q340" s="234">
        <v>22710</v>
      </c>
      <c r="R340" s="234">
        <v>21801.599999999999</v>
      </c>
      <c r="S340" s="234" t="s">
        <v>1518</v>
      </c>
      <c r="T340" s="236">
        <v>45898</v>
      </c>
    </row>
    <row r="341" spans="1:16367" ht="63.75" hidden="1">
      <c r="A341" s="239" t="s">
        <v>1411</v>
      </c>
      <c r="B341" s="240">
        <v>1311</v>
      </c>
      <c r="C341" s="241">
        <v>58535</v>
      </c>
      <c r="D341" s="239" t="s">
        <v>3818</v>
      </c>
      <c r="E341" s="239" t="s">
        <v>453</v>
      </c>
      <c r="F341" s="239" t="s">
        <v>454</v>
      </c>
      <c r="G341" s="239" t="s">
        <v>964</v>
      </c>
      <c r="H341" s="239" t="s">
        <v>777</v>
      </c>
      <c r="I341" s="239" t="s">
        <v>399</v>
      </c>
      <c r="J341" s="233"/>
      <c r="K341" s="235">
        <v>45897</v>
      </c>
      <c r="L341" s="233">
        <v>1.2</v>
      </c>
      <c r="M341" s="234" t="s">
        <v>964</v>
      </c>
      <c r="N341" s="234">
        <v>47000</v>
      </c>
      <c r="O341" s="234">
        <v>24160</v>
      </c>
      <c r="P341" s="242">
        <v>6</v>
      </c>
      <c r="Q341" s="234">
        <v>22840</v>
      </c>
      <c r="R341" s="234">
        <v>21469.599999999999</v>
      </c>
      <c r="S341" s="234" t="s">
        <v>1519</v>
      </c>
      <c r="T341" s="236">
        <v>45898</v>
      </c>
      <c r="U341" s="234"/>
      <c r="V341" s="234"/>
      <c r="W341" s="234"/>
      <c r="X341" s="236"/>
      <c r="Y341" s="244"/>
      <c r="Z341" s="239"/>
      <c r="AA341" s="240"/>
      <c r="AB341" s="241"/>
      <c r="AC341" s="239"/>
      <c r="AD341" s="239"/>
      <c r="AE341" s="239"/>
      <c r="AF341" s="239"/>
      <c r="AG341" s="239"/>
      <c r="AH341" s="239"/>
      <c r="AI341" s="233"/>
      <c r="AJ341" s="235"/>
      <c r="AK341" s="233"/>
      <c r="AL341" s="234"/>
      <c r="AM341" s="234"/>
      <c r="AN341" s="242"/>
      <c r="AO341" s="234"/>
      <c r="AP341" s="234"/>
      <c r="AQ341" s="234"/>
      <c r="AR341" s="236"/>
      <c r="AS341" s="244"/>
      <c r="AT341" s="239"/>
      <c r="AU341" s="240"/>
      <c r="AV341" s="241"/>
      <c r="AW341" s="239"/>
      <c r="AX341" s="239"/>
      <c r="AY341" s="239"/>
      <c r="AZ341" s="239"/>
      <c r="BA341" s="239"/>
      <c r="BB341" s="239"/>
      <c r="BC341" s="233"/>
      <c r="BD341" s="235"/>
      <c r="BE341" s="233"/>
      <c r="BF341" s="234"/>
      <c r="BG341" s="234"/>
      <c r="BH341" s="242"/>
      <c r="BI341" s="234"/>
      <c r="BJ341" s="234"/>
      <c r="BK341" s="234"/>
      <c r="BL341" s="236"/>
      <c r="BM341" s="244"/>
      <c r="BN341" s="239"/>
      <c r="BO341" s="240"/>
      <c r="BP341" s="241"/>
      <c r="BQ341" s="239"/>
      <c r="BR341" s="239"/>
      <c r="BS341" s="239"/>
      <c r="BT341" s="239"/>
      <c r="BU341" s="239"/>
      <c r="BV341" s="239"/>
      <c r="BW341" s="233"/>
      <c r="BX341" s="235"/>
      <c r="BY341" s="233"/>
      <c r="BZ341" s="234"/>
      <c r="CA341" s="234"/>
      <c r="CB341" s="242"/>
      <c r="CC341" s="234"/>
      <c r="CD341" s="234"/>
      <c r="CE341" s="234"/>
      <c r="CF341" s="236"/>
      <c r="CG341" s="244"/>
      <c r="CH341" s="239"/>
      <c r="CI341" s="240"/>
      <c r="CJ341" s="241"/>
      <c r="CK341" s="239"/>
      <c r="CL341" s="239"/>
      <c r="CM341" s="239"/>
      <c r="CN341" s="239"/>
      <c r="CO341" s="239"/>
      <c r="CP341" s="239"/>
      <c r="CQ341" s="233"/>
      <c r="CR341" s="235"/>
      <c r="CS341" s="233"/>
      <c r="CT341" s="234"/>
      <c r="CU341" s="234"/>
      <c r="CV341" s="242"/>
      <c r="CW341" s="234"/>
      <c r="CX341" s="234"/>
      <c r="CY341" s="234"/>
      <c r="CZ341" s="236"/>
      <c r="DA341" s="244"/>
      <c r="DB341" s="239"/>
      <c r="DC341" s="240"/>
      <c r="DD341" s="241"/>
      <c r="DE341" s="239"/>
      <c r="DF341" s="239"/>
      <c r="DG341" s="239"/>
      <c r="DH341" s="239"/>
      <c r="DI341" s="239"/>
      <c r="DJ341" s="239"/>
      <c r="DK341" s="233"/>
      <c r="DL341" s="235"/>
      <c r="DM341" s="233"/>
      <c r="DN341" s="234"/>
      <c r="DO341" s="234"/>
      <c r="DP341" s="242"/>
      <c r="DQ341" s="234"/>
      <c r="DR341" s="234"/>
      <c r="DS341" s="234"/>
      <c r="DT341" s="236"/>
      <c r="DU341" s="244"/>
      <c r="DV341" s="239"/>
      <c r="DW341" s="240"/>
      <c r="DX341" s="241"/>
      <c r="DY341" s="239"/>
      <c r="DZ341" s="239"/>
      <c r="EA341" s="239"/>
      <c r="EB341" s="239"/>
      <c r="EC341" s="239"/>
      <c r="ED341" s="239"/>
      <c r="EE341" s="233"/>
      <c r="EF341" s="235"/>
      <c r="EG341" s="233"/>
      <c r="EH341" s="234"/>
      <c r="EI341" s="234"/>
      <c r="EJ341" s="242"/>
      <c r="EK341" s="234"/>
      <c r="EL341" s="234"/>
      <c r="EM341" s="234"/>
      <c r="EN341" s="236"/>
      <c r="EO341" s="244"/>
      <c r="EP341" s="239"/>
      <c r="EQ341" s="240"/>
      <c r="ER341" s="241"/>
      <c r="ES341" s="239"/>
      <c r="ET341" s="239"/>
      <c r="EU341" s="239"/>
      <c r="EV341" s="239"/>
      <c r="EW341" s="239"/>
      <c r="EX341" s="239"/>
      <c r="EY341" s="233"/>
      <c r="EZ341" s="235"/>
      <c r="FA341" s="233"/>
      <c r="FB341" s="234"/>
      <c r="FC341" s="234"/>
      <c r="FD341" s="242"/>
      <c r="FE341" s="234"/>
      <c r="FF341" s="234"/>
      <c r="FG341" s="234"/>
      <c r="FH341" s="236"/>
      <c r="FI341" s="244"/>
      <c r="FJ341" s="239"/>
      <c r="FK341" s="240"/>
      <c r="FL341" s="241"/>
      <c r="FM341" s="239"/>
      <c r="FN341" s="239"/>
      <c r="FO341" s="239"/>
      <c r="FP341" s="239"/>
      <c r="FQ341" s="239"/>
      <c r="FR341" s="239"/>
      <c r="FS341" s="233"/>
      <c r="FT341" s="235"/>
      <c r="FU341" s="233"/>
      <c r="FV341" s="234"/>
      <c r="FW341" s="234"/>
      <c r="FX341" s="242"/>
      <c r="FY341" s="234"/>
      <c r="FZ341" s="234"/>
      <c r="GA341" s="234"/>
      <c r="GB341" s="236"/>
      <c r="GC341" s="244"/>
      <c r="GD341" s="239"/>
      <c r="GE341" s="240"/>
      <c r="GF341" s="241"/>
      <c r="GG341" s="239"/>
      <c r="GH341" s="239"/>
      <c r="GI341" s="239"/>
      <c r="GJ341" s="239"/>
      <c r="GK341" s="239"/>
      <c r="GL341" s="239"/>
      <c r="GM341" s="233"/>
      <c r="GN341" s="235"/>
      <c r="GO341" s="233"/>
      <c r="GP341" s="234"/>
      <c r="GQ341" s="234"/>
      <c r="GR341" s="242"/>
      <c r="GS341" s="234"/>
      <c r="GT341" s="234"/>
      <c r="GU341" s="234"/>
      <c r="GV341" s="236"/>
      <c r="GW341" s="244"/>
      <c r="GX341" s="239"/>
      <c r="GY341" s="240"/>
      <c r="GZ341" s="241"/>
      <c r="HA341" s="239"/>
      <c r="HB341" s="239"/>
      <c r="HC341" s="239"/>
      <c r="HD341" s="239"/>
      <c r="HE341" s="239"/>
      <c r="HF341" s="239"/>
      <c r="HG341" s="233"/>
      <c r="HH341" s="235"/>
      <c r="HI341" s="233"/>
      <c r="HJ341" s="234"/>
      <c r="HK341" s="234"/>
      <c r="HL341" s="242"/>
      <c r="HM341" s="234"/>
      <c r="HN341" s="234"/>
      <c r="HO341" s="234"/>
      <c r="HP341" s="236"/>
      <c r="HQ341" s="244"/>
      <c r="HR341" s="239"/>
      <c r="HS341" s="240"/>
      <c r="HT341" s="241"/>
      <c r="HU341" s="239"/>
      <c r="HV341" s="239"/>
      <c r="HW341" s="239"/>
      <c r="HX341" s="239"/>
      <c r="HY341" s="239"/>
      <c r="HZ341" s="239"/>
      <c r="IA341" s="233"/>
      <c r="IB341" s="235"/>
      <c r="IC341" s="233"/>
      <c r="ID341" s="234"/>
      <c r="IE341" s="234"/>
      <c r="IF341" s="242"/>
      <c r="IG341" s="234"/>
      <c r="IH341" s="234"/>
      <c r="II341" s="234"/>
      <c r="IJ341" s="236"/>
      <c r="IK341" s="244"/>
      <c r="IL341" s="239"/>
      <c r="IM341" s="240"/>
      <c r="IN341" s="241"/>
      <c r="IO341" s="239"/>
      <c r="IP341" s="239"/>
      <c r="IQ341" s="239"/>
      <c r="IR341" s="239"/>
      <c r="IS341" s="239"/>
      <c r="IT341" s="239"/>
      <c r="IU341" s="233"/>
      <c r="IV341" s="235"/>
      <c r="IW341" s="233"/>
      <c r="IX341" s="234"/>
      <c r="IY341" s="234"/>
      <c r="IZ341" s="242"/>
      <c r="JA341" s="234"/>
      <c r="JB341" s="234"/>
      <c r="JC341" s="234"/>
      <c r="JD341" s="236"/>
      <c r="JE341" s="244"/>
      <c r="JF341" s="239"/>
      <c r="JG341" s="240"/>
      <c r="JH341" s="241"/>
      <c r="JI341" s="239"/>
      <c r="JJ341" s="239"/>
      <c r="JK341" s="239"/>
      <c r="JL341" s="239"/>
      <c r="JM341" s="239"/>
      <c r="JN341" s="239"/>
      <c r="JO341" s="233"/>
      <c r="JP341" s="235"/>
      <c r="JQ341" s="233"/>
      <c r="JR341" s="234"/>
      <c r="JS341" s="234"/>
      <c r="JT341" s="242"/>
      <c r="JU341" s="234"/>
      <c r="JV341" s="234"/>
      <c r="JW341" s="234"/>
      <c r="JX341" s="236"/>
      <c r="JY341" s="244"/>
      <c r="JZ341" s="239"/>
      <c r="KA341" s="240"/>
      <c r="KB341" s="241"/>
      <c r="KC341" s="239"/>
      <c r="KD341" s="239"/>
      <c r="KE341" s="239"/>
      <c r="KF341" s="239"/>
      <c r="KG341" s="239"/>
      <c r="KH341" s="239"/>
      <c r="KI341" s="233"/>
      <c r="KJ341" s="235"/>
      <c r="KK341" s="233"/>
      <c r="KL341" s="234"/>
      <c r="KM341" s="234"/>
      <c r="KN341" s="242"/>
      <c r="KO341" s="234"/>
      <c r="KP341" s="234"/>
      <c r="KQ341" s="234"/>
      <c r="KR341" s="236"/>
      <c r="KS341" s="244"/>
      <c r="KT341" s="239"/>
      <c r="KU341" s="240"/>
      <c r="KV341" s="241"/>
      <c r="KW341" s="239"/>
      <c r="KX341" s="239"/>
      <c r="KY341" s="239"/>
      <c r="KZ341" s="239"/>
      <c r="LA341" s="239"/>
      <c r="LB341" s="239"/>
      <c r="LC341" s="233"/>
      <c r="LD341" s="235"/>
      <c r="LE341" s="233"/>
      <c r="LF341" s="234"/>
      <c r="LG341" s="234"/>
      <c r="LH341" s="242"/>
      <c r="LI341" s="234"/>
      <c r="LJ341" s="234"/>
      <c r="LK341" s="234"/>
      <c r="LL341" s="236"/>
      <c r="LM341" s="244"/>
      <c r="LN341" s="239"/>
      <c r="LO341" s="240"/>
      <c r="LP341" s="241"/>
      <c r="LQ341" s="239"/>
      <c r="LR341" s="239"/>
      <c r="LS341" s="239"/>
      <c r="LT341" s="239"/>
      <c r="LU341" s="239"/>
      <c r="LV341" s="239"/>
      <c r="LW341" s="233"/>
      <c r="LX341" s="235"/>
      <c r="LY341" s="233"/>
      <c r="LZ341" s="234"/>
      <c r="MA341" s="234"/>
      <c r="MB341" s="242"/>
      <c r="MC341" s="234"/>
      <c r="MD341" s="234"/>
      <c r="ME341" s="234"/>
      <c r="MF341" s="236"/>
      <c r="MG341" s="244"/>
      <c r="MH341" s="239"/>
      <c r="MI341" s="240"/>
      <c r="MJ341" s="241"/>
      <c r="MK341" s="239"/>
      <c r="ML341" s="239"/>
      <c r="MM341" s="239"/>
      <c r="MN341" s="239"/>
      <c r="MO341" s="239"/>
      <c r="MP341" s="239"/>
      <c r="MQ341" s="233"/>
      <c r="MR341" s="235"/>
      <c r="MS341" s="233"/>
      <c r="MT341" s="234"/>
      <c r="MU341" s="234"/>
      <c r="MV341" s="242"/>
      <c r="MW341" s="234"/>
      <c r="MX341" s="234"/>
      <c r="MY341" s="234"/>
      <c r="MZ341" s="236"/>
      <c r="NA341" s="244"/>
      <c r="NB341" s="239"/>
      <c r="NC341" s="240"/>
      <c r="ND341" s="241"/>
      <c r="NE341" s="239"/>
      <c r="NF341" s="239"/>
      <c r="NG341" s="239"/>
      <c r="NH341" s="239"/>
      <c r="NI341" s="239"/>
      <c r="NJ341" s="239"/>
      <c r="NK341" s="233"/>
      <c r="NL341" s="235"/>
      <c r="NM341" s="233"/>
      <c r="NN341" s="234"/>
      <c r="NO341" s="234"/>
      <c r="NP341" s="242"/>
      <c r="NQ341" s="234"/>
      <c r="NR341" s="234"/>
      <c r="NS341" s="234"/>
      <c r="NT341" s="236"/>
      <c r="NU341" s="244"/>
      <c r="NV341" s="239"/>
      <c r="NW341" s="240"/>
      <c r="NX341" s="241"/>
      <c r="NY341" s="239"/>
      <c r="NZ341" s="239"/>
      <c r="OA341" s="239"/>
      <c r="OB341" s="239"/>
      <c r="OC341" s="239"/>
      <c r="OD341" s="239"/>
      <c r="OE341" s="233"/>
      <c r="OF341" s="235"/>
      <c r="OG341" s="233"/>
      <c r="OH341" s="234"/>
      <c r="OI341" s="234"/>
      <c r="OJ341" s="242"/>
      <c r="OK341" s="234"/>
      <c r="OL341" s="234"/>
      <c r="OM341" s="234"/>
      <c r="ON341" s="236"/>
      <c r="OO341" s="244"/>
      <c r="OP341" s="239"/>
      <c r="OQ341" s="240"/>
      <c r="OR341" s="241"/>
      <c r="OS341" s="239"/>
      <c r="OT341" s="239"/>
      <c r="OU341" s="239"/>
      <c r="OV341" s="239"/>
      <c r="OW341" s="239"/>
      <c r="OX341" s="239"/>
      <c r="OY341" s="233"/>
      <c r="OZ341" s="235"/>
      <c r="PA341" s="233"/>
      <c r="PB341" s="234"/>
      <c r="PC341" s="234"/>
      <c r="PD341" s="242"/>
      <c r="PE341" s="234"/>
      <c r="PF341" s="234"/>
      <c r="PG341" s="234"/>
      <c r="PH341" s="236"/>
      <c r="PI341" s="244"/>
      <c r="PJ341" s="239"/>
      <c r="PK341" s="240"/>
      <c r="PL341" s="241"/>
      <c r="PM341" s="239"/>
      <c r="PN341" s="239"/>
      <c r="PO341" s="239"/>
      <c r="PP341" s="239"/>
      <c r="PQ341" s="239"/>
      <c r="PR341" s="239"/>
      <c r="PS341" s="233"/>
      <c r="PT341" s="235"/>
      <c r="PU341" s="233"/>
      <c r="PV341" s="234"/>
      <c r="PW341" s="234"/>
      <c r="PX341" s="242"/>
      <c r="PY341" s="234"/>
      <c r="PZ341" s="234"/>
      <c r="QA341" s="234"/>
      <c r="QB341" s="236"/>
      <c r="QC341" s="244"/>
      <c r="QD341" s="239"/>
      <c r="QE341" s="240"/>
      <c r="QF341" s="241"/>
      <c r="QG341" s="239"/>
      <c r="QH341" s="239"/>
      <c r="QI341" s="239"/>
      <c r="QJ341" s="239"/>
      <c r="QK341" s="239"/>
      <c r="QL341" s="239"/>
      <c r="QM341" s="233"/>
      <c r="QN341" s="235"/>
      <c r="QO341" s="233"/>
      <c r="QP341" s="234"/>
      <c r="QQ341" s="234"/>
      <c r="QR341" s="242"/>
      <c r="QS341" s="234"/>
      <c r="QT341" s="234"/>
      <c r="QU341" s="234"/>
      <c r="QV341" s="236"/>
      <c r="QW341" s="244"/>
      <c r="QX341" s="239"/>
      <c r="QY341" s="240"/>
      <c r="QZ341" s="241"/>
      <c r="RA341" s="239"/>
      <c r="RB341" s="239"/>
      <c r="RC341" s="239"/>
      <c r="RD341" s="239"/>
      <c r="RE341" s="239"/>
      <c r="RF341" s="239"/>
      <c r="RG341" s="233"/>
      <c r="RH341" s="235"/>
      <c r="RI341" s="233"/>
      <c r="RJ341" s="234"/>
      <c r="RK341" s="234"/>
      <c r="RL341" s="242"/>
      <c r="RM341" s="234"/>
      <c r="RN341" s="234"/>
      <c r="RO341" s="234"/>
      <c r="RP341" s="236"/>
      <c r="RQ341" s="244"/>
      <c r="RR341" s="239"/>
      <c r="RS341" s="240"/>
      <c r="RT341" s="241"/>
      <c r="RU341" s="239"/>
      <c r="RV341" s="239"/>
      <c r="RW341" s="239"/>
      <c r="RX341" s="239"/>
      <c r="RY341" s="239"/>
      <c r="RZ341" s="239"/>
      <c r="SA341" s="233"/>
      <c r="SB341" s="235"/>
      <c r="SC341" s="233"/>
      <c r="SD341" s="234"/>
      <c r="SE341" s="234"/>
      <c r="SF341" s="242"/>
      <c r="SG341" s="234"/>
      <c r="SH341" s="234"/>
      <c r="SI341" s="234"/>
      <c r="SJ341" s="236"/>
      <c r="SK341" s="244"/>
      <c r="SL341" s="239"/>
      <c r="SM341" s="240"/>
      <c r="SN341" s="241"/>
      <c r="SO341" s="239"/>
      <c r="SP341" s="239"/>
      <c r="SQ341" s="239"/>
      <c r="SR341" s="239"/>
      <c r="SS341" s="239"/>
      <c r="ST341" s="239"/>
      <c r="SU341" s="233"/>
      <c r="SV341" s="235"/>
      <c r="SW341" s="233"/>
      <c r="SX341" s="234"/>
      <c r="SY341" s="234"/>
      <c r="SZ341" s="242"/>
      <c r="TA341" s="234"/>
      <c r="TB341" s="234"/>
      <c r="TC341" s="234"/>
      <c r="TD341" s="236"/>
      <c r="TE341" s="244"/>
      <c r="TF341" s="239"/>
      <c r="TG341" s="240"/>
      <c r="TH341" s="241"/>
      <c r="TI341" s="239"/>
      <c r="TJ341" s="239"/>
      <c r="TK341" s="239"/>
      <c r="TL341" s="239"/>
      <c r="TM341" s="239"/>
      <c r="TN341" s="239"/>
      <c r="TO341" s="233"/>
      <c r="TP341" s="235"/>
      <c r="TQ341" s="233"/>
      <c r="TR341" s="234"/>
      <c r="TS341" s="234"/>
      <c r="TT341" s="242"/>
      <c r="TU341" s="234"/>
      <c r="TV341" s="234"/>
      <c r="TW341" s="234"/>
      <c r="TX341" s="236"/>
      <c r="TY341" s="244"/>
      <c r="TZ341" s="239"/>
      <c r="UA341" s="240"/>
      <c r="UB341" s="241"/>
      <c r="UC341" s="239"/>
      <c r="UD341" s="239"/>
      <c r="UE341" s="239"/>
      <c r="UF341" s="239"/>
      <c r="UG341" s="239"/>
      <c r="UH341" s="239"/>
      <c r="UI341" s="233"/>
      <c r="UJ341" s="235"/>
      <c r="UK341" s="233"/>
      <c r="UL341" s="234"/>
      <c r="UM341" s="234"/>
      <c r="UN341" s="242"/>
      <c r="UO341" s="234"/>
      <c r="UP341" s="234"/>
      <c r="UQ341" s="234"/>
      <c r="UR341" s="236"/>
      <c r="US341" s="244"/>
      <c r="UT341" s="239"/>
      <c r="UU341" s="240"/>
      <c r="UV341" s="241"/>
      <c r="UW341" s="239"/>
      <c r="UX341" s="239"/>
      <c r="UY341" s="239"/>
      <c r="UZ341" s="239"/>
      <c r="VA341" s="239"/>
      <c r="VB341" s="239"/>
      <c r="VC341" s="233"/>
      <c r="VD341" s="235"/>
      <c r="VE341" s="233"/>
      <c r="VF341" s="234"/>
      <c r="VG341" s="234"/>
      <c r="VH341" s="242"/>
      <c r="VI341" s="234"/>
      <c r="VJ341" s="234"/>
      <c r="VK341" s="234"/>
      <c r="VL341" s="236"/>
      <c r="VM341" s="244"/>
      <c r="VN341" s="239"/>
      <c r="VO341" s="240"/>
      <c r="VP341" s="241"/>
      <c r="VQ341" s="239"/>
      <c r="VR341" s="239"/>
      <c r="VS341" s="239"/>
      <c r="VT341" s="239"/>
      <c r="VU341" s="239"/>
      <c r="VV341" s="239"/>
      <c r="VW341" s="233"/>
      <c r="VX341" s="235"/>
      <c r="VY341" s="233"/>
      <c r="VZ341" s="234"/>
      <c r="WA341" s="234"/>
      <c r="WB341" s="242"/>
      <c r="WC341" s="234"/>
      <c r="WD341" s="234"/>
      <c r="WE341" s="234"/>
      <c r="WF341" s="236"/>
      <c r="WG341" s="244"/>
      <c r="WH341" s="239"/>
      <c r="WI341" s="240"/>
      <c r="WJ341" s="241"/>
      <c r="WK341" s="239"/>
      <c r="WL341" s="239"/>
      <c r="WM341" s="239"/>
      <c r="WN341" s="239"/>
      <c r="WO341" s="239"/>
      <c r="WP341" s="239"/>
      <c r="WQ341" s="233"/>
      <c r="WR341" s="235"/>
      <c r="WS341" s="233"/>
      <c r="WT341" s="234"/>
      <c r="WU341" s="234"/>
      <c r="WV341" s="242"/>
      <c r="WW341" s="234"/>
      <c r="WX341" s="234"/>
      <c r="WY341" s="234"/>
      <c r="WZ341" s="236"/>
      <c r="XA341" s="244"/>
      <c r="XB341" s="239"/>
      <c r="XC341" s="240"/>
      <c r="XD341" s="241"/>
      <c r="XE341" s="239"/>
      <c r="XF341" s="239"/>
      <c r="XG341" s="239"/>
      <c r="XH341" s="239"/>
      <c r="XI341" s="239"/>
      <c r="XJ341" s="239"/>
      <c r="XK341" s="233"/>
      <c r="XL341" s="235"/>
      <c r="XM341" s="233"/>
      <c r="XN341" s="234"/>
      <c r="XO341" s="234"/>
      <c r="XP341" s="242"/>
      <c r="XQ341" s="234"/>
      <c r="XR341" s="234"/>
      <c r="XS341" s="234"/>
      <c r="XT341" s="236"/>
      <c r="XU341" s="244"/>
      <c r="XV341" s="239"/>
      <c r="XW341" s="240"/>
      <c r="XX341" s="241"/>
      <c r="XY341" s="239"/>
      <c r="XZ341" s="239"/>
      <c r="YA341" s="239"/>
      <c r="YB341" s="239"/>
      <c r="YC341" s="239"/>
      <c r="YD341" s="239"/>
      <c r="YE341" s="233"/>
      <c r="YF341" s="235"/>
      <c r="YG341" s="233"/>
      <c r="YH341" s="234"/>
      <c r="YI341" s="234"/>
      <c r="YJ341" s="242"/>
      <c r="YK341" s="234"/>
      <c r="YL341" s="234"/>
      <c r="YM341" s="234"/>
      <c r="YN341" s="236"/>
      <c r="YO341" s="244"/>
      <c r="YP341" s="239"/>
      <c r="YQ341" s="240"/>
      <c r="YR341" s="241"/>
      <c r="YS341" s="239"/>
      <c r="YT341" s="239"/>
      <c r="YU341" s="239"/>
      <c r="YV341" s="239"/>
      <c r="YW341" s="239"/>
      <c r="YX341" s="239"/>
      <c r="YY341" s="233"/>
      <c r="YZ341" s="235"/>
      <c r="ZA341" s="233"/>
      <c r="ZB341" s="234"/>
      <c r="ZC341" s="234"/>
      <c r="ZD341" s="242"/>
      <c r="ZE341" s="234"/>
      <c r="ZF341" s="234"/>
      <c r="ZG341" s="234"/>
      <c r="ZH341" s="236"/>
      <c r="ZI341" s="244"/>
      <c r="ZJ341" s="239"/>
      <c r="ZK341" s="240"/>
      <c r="ZL341" s="241"/>
      <c r="ZM341" s="239"/>
      <c r="ZN341" s="239"/>
      <c r="ZO341" s="239"/>
      <c r="ZP341" s="239"/>
      <c r="ZQ341" s="239"/>
      <c r="ZR341" s="239"/>
      <c r="ZS341" s="233"/>
      <c r="ZT341" s="235"/>
      <c r="ZU341" s="233"/>
      <c r="ZV341" s="234"/>
      <c r="ZW341" s="234"/>
      <c r="ZX341" s="242"/>
      <c r="ZY341" s="234"/>
      <c r="ZZ341" s="234"/>
      <c r="AAA341" s="234"/>
      <c r="AAB341" s="236"/>
      <c r="AAC341" s="244"/>
      <c r="AAD341" s="239"/>
      <c r="AAE341" s="240"/>
      <c r="AAF341" s="241"/>
      <c r="AAG341" s="239"/>
      <c r="AAH341" s="239"/>
      <c r="AAI341" s="239"/>
      <c r="AAJ341" s="239"/>
      <c r="AAK341" s="239"/>
      <c r="AAL341" s="239"/>
      <c r="AAM341" s="233"/>
      <c r="AAN341" s="235"/>
      <c r="AAO341" s="233"/>
      <c r="AAP341" s="234"/>
      <c r="AAQ341" s="234"/>
      <c r="AAR341" s="242"/>
      <c r="AAS341" s="234"/>
      <c r="AAT341" s="234"/>
      <c r="AAU341" s="234"/>
      <c r="AAV341" s="236"/>
      <c r="AAW341" s="244"/>
      <c r="AAX341" s="239"/>
      <c r="AAY341" s="240"/>
      <c r="AAZ341" s="241"/>
      <c r="ABA341" s="239"/>
      <c r="ABB341" s="239"/>
      <c r="ABC341" s="239"/>
      <c r="ABD341" s="239"/>
      <c r="ABE341" s="239"/>
      <c r="ABF341" s="239"/>
      <c r="ABG341" s="233"/>
      <c r="ABH341" s="235"/>
      <c r="ABI341" s="233"/>
      <c r="ABJ341" s="234"/>
      <c r="ABK341" s="234"/>
      <c r="ABL341" s="242"/>
      <c r="ABM341" s="234"/>
      <c r="ABN341" s="234"/>
      <c r="ABO341" s="234"/>
      <c r="ABP341" s="236"/>
      <c r="ABQ341" s="244"/>
      <c r="ABR341" s="239"/>
      <c r="ABS341" s="240"/>
      <c r="ABT341" s="241"/>
      <c r="ABU341" s="239"/>
      <c r="ABV341" s="239"/>
      <c r="ABW341" s="239"/>
      <c r="ABX341" s="239"/>
      <c r="ABY341" s="239"/>
      <c r="ABZ341" s="239"/>
      <c r="ACA341" s="233"/>
      <c r="ACB341" s="235"/>
      <c r="ACC341" s="233"/>
      <c r="ACD341" s="234"/>
      <c r="ACE341" s="234"/>
      <c r="ACF341" s="242"/>
      <c r="ACG341" s="234"/>
      <c r="ACH341" s="234"/>
      <c r="ACI341" s="234"/>
      <c r="ACJ341" s="236"/>
      <c r="ACK341" s="244"/>
      <c r="ACL341" s="239"/>
      <c r="ACM341" s="240"/>
      <c r="ACN341" s="241"/>
      <c r="ACO341" s="239"/>
      <c r="ACP341" s="239"/>
      <c r="ACQ341" s="239"/>
      <c r="ACR341" s="239"/>
      <c r="ACS341" s="239"/>
      <c r="ACT341" s="239"/>
      <c r="ACU341" s="233"/>
      <c r="ACV341" s="235"/>
      <c r="ACW341" s="233"/>
      <c r="ACX341" s="234"/>
      <c r="ACY341" s="234"/>
      <c r="ACZ341" s="242"/>
      <c r="ADA341" s="234"/>
      <c r="ADB341" s="234"/>
      <c r="ADC341" s="234"/>
      <c r="ADD341" s="236"/>
      <c r="ADE341" s="244"/>
      <c r="ADF341" s="239"/>
      <c r="ADG341" s="240"/>
      <c r="ADH341" s="241"/>
      <c r="ADI341" s="239"/>
      <c r="ADJ341" s="239"/>
      <c r="ADK341" s="239"/>
      <c r="ADL341" s="239"/>
      <c r="ADM341" s="239"/>
      <c r="ADN341" s="239"/>
      <c r="ADO341" s="233"/>
      <c r="ADP341" s="235"/>
      <c r="ADQ341" s="233"/>
      <c r="ADR341" s="234"/>
      <c r="ADS341" s="234"/>
      <c r="ADT341" s="242"/>
      <c r="ADU341" s="234"/>
      <c r="ADV341" s="234"/>
      <c r="ADW341" s="234"/>
      <c r="ADX341" s="236"/>
      <c r="ADY341" s="244"/>
      <c r="ADZ341" s="239"/>
      <c r="AEA341" s="240"/>
      <c r="AEB341" s="241"/>
      <c r="AEC341" s="239"/>
      <c r="AED341" s="239"/>
      <c r="AEE341" s="239"/>
      <c r="AEF341" s="239"/>
      <c r="AEG341" s="239"/>
      <c r="AEH341" s="239"/>
      <c r="AEI341" s="233"/>
      <c r="AEJ341" s="235"/>
      <c r="AEK341" s="233"/>
      <c r="AEL341" s="234"/>
      <c r="AEM341" s="234"/>
      <c r="AEN341" s="242"/>
      <c r="AEO341" s="234"/>
      <c r="AEP341" s="234"/>
      <c r="AEQ341" s="234"/>
      <c r="AER341" s="236"/>
      <c r="AES341" s="244"/>
      <c r="AET341" s="239"/>
      <c r="AEU341" s="240"/>
      <c r="AEV341" s="241"/>
      <c r="AEW341" s="239"/>
      <c r="AEX341" s="239"/>
      <c r="AEY341" s="239"/>
      <c r="AEZ341" s="239"/>
      <c r="AFA341" s="239"/>
      <c r="AFB341" s="239"/>
      <c r="AFC341" s="233"/>
      <c r="AFD341" s="235"/>
      <c r="AFE341" s="233"/>
      <c r="AFF341" s="234"/>
      <c r="AFG341" s="234"/>
      <c r="AFH341" s="242"/>
      <c r="AFI341" s="234"/>
      <c r="AFJ341" s="234"/>
      <c r="AFK341" s="234"/>
      <c r="AFL341" s="236"/>
      <c r="AFM341" s="244"/>
      <c r="AFN341" s="239"/>
      <c r="AFO341" s="240"/>
      <c r="AFP341" s="241"/>
      <c r="AFQ341" s="239"/>
      <c r="AFR341" s="239"/>
      <c r="AFS341" s="239"/>
      <c r="AFT341" s="239"/>
      <c r="AFU341" s="239"/>
      <c r="AFV341" s="239"/>
      <c r="AFW341" s="233"/>
      <c r="AFX341" s="235"/>
      <c r="AFY341" s="233"/>
      <c r="AFZ341" s="234"/>
      <c r="AGA341" s="234"/>
      <c r="AGB341" s="242"/>
      <c r="AGC341" s="234"/>
      <c r="AGD341" s="234"/>
      <c r="AGE341" s="234"/>
      <c r="AGF341" s="236"/>
      <c r="AGG341" s="244"/>
      <c r="AGH341" s="239"/>
      <c r="AGI341" s="240"/>
      <c r="AGJ341" s="241"/>
      <c r="AGK341" s="239"/>
      <c r="AGL341" s="239"/>
      <c r="AGM341" s="239"/>
      <c r="AGN341" s="239"/>
      <c r="AGO341" s="239"/>
      <c r="AGP341" s="239"/>
      <c r="AGQ341" s="233"/>
      <c r="AGR341" s="235"/>
      <c r="AGS341" s="233"/>
      <c r="AGT341" s="234"/>
      <c r="AGU341" s="234"/>
      <c r="AGV341" s="242"/>
      <c r="AGW341" s="234"/>
      <c r="AGX341" s="234"/>
      <c r="AGY341" s="234"/>
      <c r="AGZ341" s="236"/>
      <c r="AHA341" s="244"/>
      <c r="AHB341" s="239"/>
      <c r="AHC341" s="240"/>
      <c r="AHD341" s="241"/>
      <c r="AHE341" s="239"/>
      <c r="AHF341" s="239"/>
      <c r="AHG341" s="239"/>
      <c r="AHH341" s="239"/>
      <c r="AHI341" s="239"/>
      <c r="AHJ341" s="239"/>
      <c r="AHK341" s="233"/>
      <c r="AHL341" s="235"/>
      <c r="AHM341" s="233"/>
      <c r="AHN341" s="234"/>
      <c r="AHO341" s="234"/>
      <c r="AHP341" s="242"/>
      <c r="AHQ341" s="234"/>
      <c r="AHR341" s="234"/>
      <c r="AHS341" s="234"/>
      <c r="AHT341" s="236"/>
      <c r="AHU341" s="244"/>
      <c r="AHV341" s="239"/>
      <c r="AHW341" s="240"/>
      <c r="AHX341" s="241"/>
      <c r="AHY341" s="239"/>
      <c r="AHZ341" s="239"/>
      <c r="AIA341" s="239"/>
      <c r="AIB341" s="239"/>
      <c r="AIC341" s="239"/>
      <c r="AID341" s="239"/>
      <c r="AIE341" s="233"/>
      <c r="AIF341" s="235"/>
      <c r="AIG341" s="233"/>
      <c r="AIH341" s="234"/>
      <c r="AII341" s="234"/>
      <c r="AIJ341" s="242"/>
      <c r="AIK341" s="234"/>
      <c r="AIL341" s="234"/>
      <c r="AIM341" s="234"/>
      <c r="AIN341" s="236"/>
      <c r="AIO341" s="244"/>
      <c r="AIP341" s="239"/>
      <c r="AIQ341" s="240"/>
      <c r="AIR341" s="241"/>
      <c r="AIS341" s="239"/>
      <c r="AIT341" s="239"/>
      <c r="AIU341" s="239"/>
      <c r="AIV341" s="239"/>
      <c r="AIW341" s="239"/>
      <c r="AIX341" s="239"/>
      <c r="AIY341" s="233"/>
      <c r="AIZ341" s="235"/>
      <c r="AJA341" s="233"/>
      <c r="AJB341" s="234"/>
      <c r="AJC341" s="234"/>
      <c r="AJD341" s="242"/>
      <c r="AJE341" s="234"/>
      <c r="AJF341" s="234"/>
      <c r="AJG341" s="234"/>
      <c r="AJH341" s="236"/>
      <c r="AJI341" s="244"/>
      <c r="AJJ341" s="239"/>
      <c r="AJK341" s="240"/>
      <c r="AJL341" s="241"/>
      <c r="AJM341" s="239"/>
      <c r="AJN341" s="239"/>
      <c r="AJO341" s="239"/>
      <c r="AJP341" s="239"/>
      <c r="AJQ341" s="239"/>
      <c r="AJR341" s="239"/>
      <c r="AJS341" s="233"/>
      <c r="AJT341" s="235"/>
      <c r="AJU341" s="233"/>
      <c r="AJV341" s="234"/>
      <c r="AJW341" s="234"/>
      <c r="AJX341" s="242"/>
      <c r="AJY341" s="234"/>
      <c r="AJZ341" s="234"/>
      <c r="AKA341" s="234"/>
      <c r="AKB341" s="236"/>
      <c r="AKC341" s="244"/>
      <c r="AKD341" s="239"/>
      <c r="AKE341" s="240"/>
      <c r="AKF341" s="241"/>
      <c r="AKG341" s="239"/>
      <c r="AKH341" s="239"/>
      <c r="AKI341" s="239"/>
      <c r="AKJ341" s="239"/>
      <c r="AKK341" s="239"/>
      <c r="AKL341" s="239"/>
      <c r="AKM341" s="233"/>
      <c r="AKN341" s="235"/>
      <c r="AKO341" s="233"/>
      <c r="AKP341" s="234"/>
      <c r="AKQ341" s="234"/>
      <c r="AKR341" s="242"/>
      <c r="AKS341" s="234"/>
      <c r="AKT341" s="234"/>
      <c r="AKU341" s="234"/>
      <c r="AKV341" s="236"/>
      <c r="AKW341" s="244"/>
      <c r="AKX341" s="239"/>
      <c r="AKY341" s="240"/>
      <c r="AKZ341" s="241"/>
      <c r="ALA341" s="239"/>
      <c r="ALB341" s="239"/>
      <c r="ALC341" s="239"/>
      <c r="ALD341" s="239"/>
      <c r="ALE341" s="239"/>
      <c r="ALF341" s="239"/>
      <c r="ALG341" s="233"/>
      <c r="ALH341" s="235"/>
      <c r="ALI341" s="233"/>
      <c r="ALJ341" s="234"/>
      <c r="ALK341" s="234"/>
      <c r="ALL341" s="242"/>
      <c r="ALM341" s="234"/>
      <c r="ALN341" s="234"/>
      <c r="ALO341" s="234"/>
      <c r="ALP341" s="236"/>
      <c r="ALQ341" s="244"/>
      <c r="ALR341" s="239"/>
      <c r="ALS341" s="240"/>
      <c r="ALT341" s="241"/>
      <c r="ALU341" s="239"/>
      <c r="ALV341" s="239"/>
      <c r="ALW341" s="239"/>
      <c r="ALX341" s="239"/>
      <c r="ALY341" s="239"/>
      <c r="ALZ341" s="239"/>
      <c r="AMA341" s="233"/>
      <c r="AMB341" s="235"/>
      <c r="AMC341" s="233"/>
      <c r="AMD341" s="234"/>
      <c r="AME341" s="234"/>
      <c r="AMF341" s="242"/>
      <c r="AMG341" s="234"/>
      <c r="AMH341" s="234"/>
      <c r="AMI341" s="234"/>
      <c r="AMJ341" s="236"/>
      <c r="AMK341" s="244"/>
      <c r="AML341" s="239"/>
      <c r="AMM341" s="240"/>
      <c r="AMN341" s="241"/>
      <c r="AMO341" s="239"/>
      <c r="AMP341" s="239"/>
      <c r="AMQ341" s="239"/>
      <c r="AMR341" s="239"/>
      <c r="AMS341" s="239"/>
      <c r="AMT341" s="239"/>
      <c r="AMU341" s="233"/>
      <c r="AMV341" s="235"/>
      <c r="AMW341" s="233"/>
      <c r="AMX341" s="234"/>
      <c r="AMY341" s="234"/>
      <c r="AMZ341" s="242"/>
      <c r="ANA341" s="234"/>
      <c r="ANB341" s="234"/>
      <c r="ANC341" s="234"/>
      <c r="AND341" s="236"/>
      <c r="ANE341" s="244"/>
      <c r="ANF341" s="239"/>
      <c r="ANG341" s="240"/>
      <c r="ANH341" s="241"/>
      <c r="ANI341" s="239"/>
      <c r="ANJ341" s="239"/>
      <c r="ANK341" s="239"/>
      <c r="ANL341" s="239"/>
      <c r="ANM341" s="239"/>
      <c r="ANN341" s="239"/>
      <c r="ANO341" s="233"/>
      <c r="ANP341" s="235"/>
      <c r="ANQ341" s="233"/>
      <c r="ANR341" s="234"/>
      <c r="ANS341" s="234"/>
      <c r="ANT341" s="242"/>
      <c r="ANU341" s="234"/>
      <c r="ANV341" s="234"/>
      <c r="ANW341" s="234"/>
      <c r="ANX341" s="236"/>
      <c r="ANY341" s="244"/>
      <c r="ANZ341" s="239"/>
      <c r="AOA341" s="240"/>
      <c r="AOB341" s="241"/>
      <c r="AOC341" s="239"/>
      <c r="AOD341" s="239"/>
      <c r="AOE341" s="239"/>
      <c r="AOF341" s="239"/>
      <c r="AOG341" s="239"/>
      <c r="AOH341" s="239"/>
      <c r="AOI341" s="233"/>
      <c r="AOJ341" s="235"/>
      <c r="AOK341" s="233"/>
      <c r="AOL341" s="234"/>
      <c r="AOM341" s="234"/>
      <c r="AON341" s="242"/>
      <c r="AOO341" s="234"/>
      <c r="AOP341" s="234"/>
      <c r="AOQ341" s="234"/>
      <c r="AOR341" s="236"/>
      <c r="AOS341" s="244"/>
      <c r="AOT341" s="239"/>
      <c r="AOU341" s="240"/>
      <c r="AOV341" s="241"/>
      <c r="AOW341" s="239"/>
      <c r="AOX341" s="239"/>
      <c r="AOY341" s="239"/>
      <c r="AOZ341" s="239"/>
      <c r="APA341" s="239"/>
      <c r="APB341" s="239"/>
      <c r="APC341" s="233"/>
      <c r="APD341" s="235"/>
      <c r="APE341" s="233"/>
      <c r="APF341" s="234"/>
      <c r="APG341" s="234"/>
      <c r="APH341" s="242"/>
      <c r="API341" s="234"/>
      <c r="APJ341" s="234"/>
      <c r="APK341" s="234"/>
      <c r="APL341" s="236"/>
      <c r="APM341" s="244"/>
      <c r="APN341" s="239"/>
      <c r="APO341" s="240"/>
      <c r="APP341" s="241"/>
      <c r="APQ341" s="239"/>
      <c r="APR341" s="239"/>
      <c r="APS341" s="239"/>
      <c r="APT341" s="239"/>
      <c r="APU341" s="239"/>
      <c r="APV341" s="239"/>
      <c r="APW341" s="233"/>
      <c r="APX341" s="235"/>
      <c r="APY341" s="233"/>
      <c r="APZ341" s="234"/>
      <c r="AQA341" s="234"/>
      <c r="AQB341" s="242"/>
      <c r="AQC341" s="234"/>
      <c r="AQD341" s="234"/>
      <c r="AQE341" s="234"/>
      <c r="AQF341" s="236"/>
      <c r="AQG341" s="244"/>
      <c r="AQH341" s="239"/>
      <c r="AQI341" s="240"/>
      <c r="AQJ341" s="241"/>
      <c r="AQK341" s="239"/>
      <c r="AQL341" s="239"/>
      <c r="AQM341" s="239"/>
      <c r="AQN341" s="239"/>
      <c r="AQO341" s="239"/>
      <c r="AQP341" s="239"/>
      <c r="AQQ341" s="233"/>
      <c r="AQR341" s="235"/>
      <c r="AQS341" s="233"/>
      <c r="AQT341" s="234"/>
      <c r="AQU341" s="234"/>
      <c r="AQV341" s="242"/>
      <c r="AQW341" s="234"/>
      <c r="AQX341" s="234"/>
      <c r="AQY341" s="234"/>
      <c r="AQZ341" s="236"/>
      <c r="ARA341" s="244"/>
      <c r="ARB341" s="239"/>
      <c r="ARC341" s="240"/>
      <c r="ARD341" s="241"/>
      <c r="ARE341" s="239"/>
      <c r="ARF341" s="239"/>
      <c r="ARG341" s="239"/>
      <c r="ARH341" s="239"/>
      <c r="ARI341" s="239"/>
      <c r="ARJ341" s="239"/>
      <c r="ARK341" s="233"/>
      <c r="ARL341" s="235"/>
      <c r="ARM341" s="233"/>
      <c r="ARN341" s="234"/>
      <c r="ARO341" s="234"/>
      <c r="ARP341" s="242"/>
      <c r="ARQ341" s="234"/>
      <c r="ARR341" s="234"/>
      <c r="ARS341" s="234"/>
      <c r="ART341" s="236"/>
      <c r="ARU341" s="244"/>
      <c r="ARV341" s="239"/>
      <c r="ARW341" s="240"/>
      <c r="ARX341" s="241"/>
      <c r="ARY341" s="239"/>
      <c r="ARZ341" s="239"/>
      <c r="ASA341" s="239"/>
      <c r="ASB341" s="239"/>
      <c r="ASC341" s="239"/>
      <c r="ASD341" s="239"/>
      <c r="ASE341" s="233"/>
      <c r="ASF341" s="235"/>
      <c r="ASG341" s="233"/>
      <c r="ASH341" s="234"/>
      <c r="ASI341" s="234"/>
      <c r="ASJ341" s="242"/>
      <c r="ASK341" s="234"/>
      <c r="ASL341" s="234"/>
      <c r="ASM341" s="234"/>
      <c r="ASN341" s="236"/>
      <c r="ASO341" s="244"/>
      <c r="ASP341" s="239"/>
      <c r="ASQ341" s="240"/>
      <c r="ASR341" s="241"/>
      <c r="ASS341" s="239"/>
      <c r="AST341" s="239"/>
      <c r="ASU341" s="239"/>
      <c r="ASV341" s="239"/>
      <c r="ASW341" s="239"/>
      <c r="ASX341" s="239"/>
      <c r="ASY341" s="233"/>
      <c r="ASZ341" s="235"/>
      <c r="ATA341" s="233"/>
      <c r="ATB341" s="234"/>
      <c r="ATC341" s="234"/>
      <c r="ATD341" s="242"/>
      <c r="ATE341" s="234"/>
      <c r="ATF341" s="234"/>
      <c r="ATG341" s="234"/>
      <c r="ATH341" s="236"/>
      <c r="ATI341" s="244"/>
      <c r="ATJ341" s="239"/>
      <c r="ATK341" s="240"/>
      <c r="ATL341" s="241"/>
      <c r="ATM341" s="239"/>
      <c r="ATN341" s="239"/>
      <c r="ATO341" s="239"/>
      <c r="ATP341" s="239"/>
      <c r="ATQ341" s="239"/>
      <c r="ATR341" s="239"/>
      <c r="ATS341" s="233"/>
      <c r="ATT341" s="235"/>
      <c r="ATU341" s="233"/>
      <c r="ATV341" s="234"/>
      <c r="ATW341" s="234"/>
      <c r="ATX341" s="242"/>
      <c r="ATY341" s="234"/>
      <c r="ATZ341" s="234"/>
      <c r="AUA341" s="234"/>
      <c r="AUB341" s="236"/>
      <c r="AUC341" s="244"/>
      <c r="AUD341" s="239"/>
      <c r="AUE341" s="240"/>
      <c r="AUF341" s="241"/>
      <c r="AUG341" s="239"/>
      <c r="AUH341" s="239"/>
      <c r="AUI341" s="239"/>
      <c r="AUJ341" s="239"/>
      <c r="AUK341" s="239"/>
      <c r="AUL341" s="239"/>
      <c r="AUM341" s="233"/>
      <c r="AUN341" s="235"/>
      <c r="AUO341" s="233"/>
      <c r="AUP341" s="234"/>
      <c r="AUQ341" s="234"/>
      <c r="AUR341" s="242"/>
      <c r="AUS341" s="234"/>
      <c r="AUT341" s="234"/>
      <c r="AUU341" s="234"/>
      <c r="AUV341" s="236"/>
      <c r="AUW341" s="244"/>
      <c r="AUX341" s="239"/>
      <c r="AUY341" s="240"/>
      <c r="AUZ341" s="241"/>
      <c r="AVA341" s="239"/>
      <c r="AVB341" s="239"/>
      <c r="AVC341" s="239"/>
      <c r="AVD341" s="239"/>
      <c r="AVE341" s="239"/>
      <c r="AVF341" s="239"/>
      <c r="AVG341" s="233"/>
      <c r="AVH341" s="235"/>
      <c r="AVI341" s="233"/>
      <c r="AVJ341" s="234"/>
      <c r="AVK341" s="234"/>
      <c r="AVL341" s="242"/>
      <c r="AVM341" s="234"/>
      <c r="AVN341" s="234"/>
      <c r="AVO341" s="234"/>
      <c r="AVP341" s="236"/>
      <c r="AVQ341" s="244"/>
      <c r="AVR341" s="239"/>
      <c r="AVS341" s="240"/>
      <c r="AVT341" s="241"/>
      <c r="AVU341" s="239"/>
      <c r="AVV341" s="239"/>
      <c r="AVW341" s="239"/>
      <c r="AVX341" s="239"/>
      <c r="AVY341" s="239"/>
      <c r="AVZ341" s="239"/>
      <c r="AWA341" s="233"/>
      <c r="AWB341" s="235"/>
      <c r="AWC341" s="233"/>
      <c r="AWD341" s="234"/>
      <c r="AWE341" s="234"/>
      <c r="AWF341" s="242"/>
      <c r="AWG341" s="234"/>
      <c r="AWH341" s="234"/>
      <c r="AWI341" s="234"/>
      <c r="AWJ341" s="236"/>
      <c r="AWK341" s="244"/>
      <c r="AWL341" s="239"/>
      <c r="AWM341" s="240"/>
      <c r="AWN341" s="241"/>
      <c r="AWO341" s="239"/>
      <c r="AWP341" s="239"/>
      <c r="AWQ341" s="239"/>
      <c r="AWR341" s="239"/>
      <c r="AWS341" s="239"/>
      <c r="AWT341" s="239"/>
      <c r="AWU341" s="233"/>
      <c r="AWV341" s="235"/>
      <c r="AWW341" s="233"/>
      <c r="AWX341" s="234"/>
      <c r="AWY341" s="234"/>
      <c r="AWZ341" s="242"/>
      <c r="AXA341" s="234"/>
      <c r="AXB341" s="234"/>
      <c r="AXC341" s="234"/>
      <c r="AXD341" s="236"/>
      <c r="AXE341" s="244"/>
      <c r="AXF341" s="239"/>
      <c r="AXG341" s="240"/>
      <c r="AXH341" s="241"/>
      <c r="AXI341" s="239"/>
      <c r="AXJ341" s="239"/>
      <c r="AXK341" s="239"/>
      <c r="AXL341" s="239"/>
      <c r="AXM341" s="239"/>
      <c r="AXN341" s="239"/>
      <c r="AXO341" s="233"/>
      <c r="AXP341" s="235"/>
      <c r="AXQ341" s="233"/>
      <c r="AXR341" s="234"/>
      <c r="AXS341" s="234"/>
      <c r="AXT341" s="242"/>
      <c r="AXU341" s="234"/>
      <c r="AXV341" s="234"/>
      <c r="AXW341" s="234"/>
      <c r="AXX341" s="236"/>
      <c r="AXY341" s="244"/>
      <c r="AXZ341" s="239"/>
      <c r="AYA341" s="240"/>
      <c r="AYB341" s="241"/>
      <c r="AYC341" s="239"/>
      <c r="AYD341" s="239"/>
      <c r="AYE341" s="239"/>
      <c r="AYF341" s="239"/>
      <c r="AYG341" s="239"/>
      <c r="AYH341" s="239"/>
      <c r="AYI341" s="233"/>
      <c r="AYJ341" s="235"/>
      <c r="AYK341" s="233"/>
      <c r="AYL341" s="234"/>
      <c r="AYM341" s="234"/>
      <c r="AYN341" s="242"/>
      <c r="AYO341" s="234"/>
      <c r="AYP341" s="234"/>
      <c r="AYQ341" s="234"/>
      <c r="AYR341" s="236"/>
      <c r="AYS341" s="244"/>
      <c r="AYT341" s="239"/>
      <c r="AYU341" s="240"/>
      <c r="AYV341" s="241"/>
      <c r="AYW341" s="239"/>
      <c r="AYX341" s="239"/>
      <c r="AYY341" s="239"/>
      <c r="AYZ341" s="239"/>
      <c r="AZA341" s="239"/>
      <c r="AZB341" s="239"/>
      <c r="AZC341" s="233"/>
      <c r="AZD341" s="235"/>
      <c r="AZE341" s="233"/>
      <c r="AZF341" s="234"/>
      <c r="AZG341" s="234"/>
      <c r="AZH341" s="242"/>
      <c r="AZI341" s="234"/>
      <c r="AZJ341" s="234"/>
      <c r="AZK341" s="234"/>
      <c r="AZL341" s="236"/>
      <c r="AZM341" s="244"/>
      <c r="AZN341" s="239"/>
      <c r="AZO341" s="240"/>
      <c r="AZP341" s="241"/>
      <c r="AZQ341" s="239"/>
      <c r="AZR341" s="239"/>
      <c r="AZS341" s="239"/>
      <c r="AZT341" s="239"/>
      <c r="AZU341" s="239"/>
      <c r="AZV341" s="239"/>
      <c r="AZW341" s="233"/>
      <c r="AZX341" s="235"/>
      <c r="AZY341" s="233"/>
      <c r="AZZ341" s="234"/>
      <c r="BAA341" s="234"/>
      <c r="BAB341" s="242"/>
      <c r="BAC341" s="234"/>
      <c r="BAD341" s="234"/>
      <c r="BAE341" s="234"/>
      <c r="BAF341" s="236"/>
      <c r="BAG341" s="244"/>
      <c r="BAH341" s="239"/>
      <c r="BAI341" s="240"/>
      <c r="BAJ341" s="241"/>
      <c r="BAK341" s="239"/>
      <c r="BAL341" s="239"/>
      <c r="BAM341" s="239"/>
      <c r="BAN341" s="239"/>
      <c r="BAO341" s="239"/>
      <c r="BAP341" s="239"/>
      <c r="BAQ341" s="233"/>
      <c r="BAR341" s="235"/>
      <c r="BAS341" s="233"/>
      <c r="BAT341" s="234"/>
      <c r="BAU341" s="234"/>
      <c r="BAV341" s="242"/>
      <c r="BAW341" s="234"/>
      <c r="BAX341" s="234"/>
      <c r="BAY341" s="234"/>
      <c r="BAZ341" s="236"/>
      <c r="BBA341" s="244"/>
      <c r="BBB341" s="239"/>
      <c r="BBC341" s="240"/>
      <c r="BBD341" s="241"/>
      <c r="BBE341" s="239"/>
      <c r="BBF341" s="239"/>
      <c r="BBG341" s="239"/>
      <c r="BBH341" s="239"/>
      <c r="BBI341" s="239"/>
      <c r="BBJ341" s="239"/>
      <c r="BBK341" s="233"/>
      <c r="BBL341" s="235"/>
      <c r="BBM341" s="233"/>
      <c r="BBN341" s="234"/>
      <c r="BBO341" s="234"/>
      <c r="BBP341" s="242"/>
      <c r="BBQ341" s="234"/>
      <c r="BBR341" s="234"/>
      <c r="BBS341" s="234"/>
      <c r="BBT341" s="236"/>
      <c r="BBU341" s="244"/>
      <c r="BBV341" s="239"/>
      <c r="BBW341" s="240"/>
      <c r="BBX341" s="241"/>
      <c r="BBY341" s="239"/>
      <c r="BBZ341" s="239"/>
      <c r="BCA341" s="239"/>
      <c r="BCB341" s="239"/>
      <c r="BCC341" s="239"/>
      <c r="BCD341" s="239"/>
      <c r="BCE341" s="233"/>
      <c r="BCF341" s="235"/>
      <c r="BCG341" s="233"/>
      <c r="BCH341" s="234"/>
      <c r="BCI341" s="234"/>
      <c r="BCJ341" s="242"/>
      <c r="BCK341" s="234"/>
      <c r="BCL341" s="234"/>
      <c r="BCM341" s="234"/>
      <c r="BCN341" s="236"/>
      <c r="BCO341" s="244"/>
      <c r="BCP341" s="239"/>
      <c r="BCQ341" s="240"/>
      <c r="BCR341" s="241"/>
      <c r="BCS341" s="239"/>
      <c r="BCT341" s="239"/>
      <c r="BCU341" s="239"/>
      <c r="BCV341" s="239"/>
      <c r="BCW341" s="239"/>
      <c r="BCX341" s="239"/>
      <c r="BCY341" s="233"/>
      <c r="BCZ341" s="235"/>
      <c r="BDA341" s="233"/>
      <c r="BDB341" s="234"/>
      <c r="BDC341" s="234"/>
      <c r="BDD341" s="242"/>
      <c r="BDE341" s="234"/>
      <c r="BDF341" s="234"/>
      <c r="BDG341" s="234"/>
      <c r="BDH341" s="236"/>
      <c r="BDI341" s="244"/>
      <c r="BDJ341" s="239"/>
      <c r="BDK341" s="240"/>
      <c r="BDL341" s="241"/>
      <c r="BDM341" s="239"/>
      <c r="BDN341" s="239"/>
      <c r="BDO341" s="239"/>
      <c r="BDP341" s="239"/>
      <c r="BDQ341" s="239"/>
      <c r="BDR341" s="239"/>
      <c r="BDS341" s="233"/>
      <c r="BDT341" s="235"/>
      <c r="BDU341" s="233"/>
      <c r="BDV341" s="234"/>
      <c r="BDW341" s="234"/>
      <c r="BDX341" s="242"/>
      <c r="BDY341" s="234"/>
      <c r="BDZ341" s="234"/>
      <c r="BEA341" s="234"/>
      <c r="BEB341" s="236"/>
      <c r="BEC341" s="244"/>
      <c r="BED341" s="239"/>
      <c r="BEE341" s="240"/>
      <c r="BEF341" s="241"/>
      <c r="BEG341" s="239"/>
      <c r="BEH341" s="239"/>
      <c r="BEI341" s="239"/>
      <c r="BEJ341" s="239"/>
      <c r="BEK341" s="239"/>
      <c r="BEL341" s="239"/>
      <c r="BEM341" s="233"/>
      <c r="BEN341" s="235"/>
      <c r="BEO341" s="233"/>
      <c r="BEP341" s="234"/>
      <c r="BEQ341" s="234"/>
      <c r="BER341" s="242"/>
      <c r="BES341" s="234"/>
      <c r="BET341" s="234"/>
      <c r="BEU341" s="234"/>
      <c r="BEV341" s="236"/>
      <c r="BEW341" s="244"/>
      <c r="BEX341" s="239"/>
      <c r="BEY341" s="240"/>
      <c r="BEZ341" s="241"/>
      <c r="BFA341" s="239"/>
      <c r="BFB341" s="239"/>
      <c r="BFC341" s="239"/>
      <c r="BFD341" s="239"/>
      <c r="BFE341" s="239"/>
      <c r="BFF341" s="239"/>
      <c r="BFG341" s="233"/>
      <c r="BFH341" s="235"/>
      <c r="BFI341" s="233"/>
      <c r="BFJ341" s="234"/>
      <c r="BFK341" s="234"/>
      <c r="BFL341" s="242"/>
      <c r="BFM341" s="234"/>
      <c r="BFN341" s="234"/>
      <c r="BFO341" s="234"/>
      <c r="BFP341" s="236"/>
      <c r="BFQ341" s="244"/>
      <c r="BFR341" s="239"/>
      <c r="BFS341" s="240"/>
      <c r="BFT341" s="241"/>
      <c r="BFU341" s="239"/>
      <c r="BFV341" s="239"/>
      <c r="BFW341" s="239"/>
      <c r="BFX341" s="239"/>
      <c r="BFY341" s="239"/>
      <c r="BFZ341" s="239"/>
      <c r="BGA341" s="233"/>
      <c r="BGB341" s="235"/>
      <c r="BGC341" s="233"/>
      <c r="BGD341" s="234"/>
      <c r="BGE341" s="234"/>
      <c r="BGF341" s="242"/>
      <c r="BGG341" s="234"/>
      <c r="BGH341" s="234"/>
      <c r="BGI341" s="234"/>
      <c r="BGJ341" s="236"/>
      <c r="BGK341" s="244"/>
      <c r="BGL341" s="239"/>
      <c r="BGM341" s="240"/>
      <c r="BGN341" s="241"/>
      <c r="BGO341" s="239"/>
      <c r="BGP341" s="239"/>
      <c r="BGQ341" s="239"/>
      <c r="BGR341" s="239"/>
      <c r="BGS341" s="239"/>
      <c r="BGT341" s="239"/>
      <c r="BGU341" s="233"/>
      <c r="BGV341" s="235"/>
      <c r="BGW341" s="233"/>
      <c r="BGX341" s="234"/>
      <c r="BGY341" s="234"/>
      <c r="BGZ341" s="242"/>
      <c r="BHA341" s="234"/>
      <c r="BHB341" s="234"/>
      <c r="BHC341" s="234"/>
      <c r="BHD341" s="236"/>
      <c r="BHE341" s="244"/>
      <c r="BHF341" s="239"/>
      <c r="BHG341" s="240"/>
      <c r="BHH341" s="241"/>
      <c r="BHI341" s="239"/>
      <c r="BHJ341" s="239"/>
      <c r="BHK341" s="239"/>
      <c r="BHL341" s="239"/>
      <c r="BHM341" s="239"/>
      <c r="BHN341" s="239"/>
      <c r="BHO341" s="233"/>
      <c r="BHP341" s="235"/>
      <c r="BHQ341" s="233"/>
      <c r="BHR341" s="234"/>
      <c r="BHS341" s="234"/>
      <c r="BHT341" s="242"/>
      <c r="BHU341" s="234"/>
      <c r="BHV341" s="234"/>
      <c r="BHW341" s="234"/>
      <c r="BHX341" s="236"/>
      <c r="BHY341" s="244"/>
      <c r="BHZ341" s="239"/>
      <c r="BIA341" s="240"/>
      <c r="BIB341" s="241"/>
      <c r="BIC341" s="239"/>
      <c r="BID341" s="239"/>
      <c r="BIE341" s="239"/>
      <c r="BIF341" s="239"/>
      <c r="BIG341" s="239"/>
      <c r="BIH341" s="239"/>
      <c r="BII341" s="233"/>
      <c r="BIJ341" s="235"/>
      <c r="BIK341" s="233"/>
      <c r="BIL341" s="234"/>
      <c r="BIM341" s="234"/>
      <c r="BIN341" s="242"/>
      <c r="BIO341" s="234"/>
      <c r="BIP341" s="234"/>
      <c r="BIQ341" s="234"/>
      <c r="BIR341" s="236"/>
      <c r="BIS341" s="244"/>
      <c r="BIT341" s="239"/>
      <c r="BIU341" s="240"/>
      <c r="BIV341" s="241"/>
      <c r="BIW341" s="239"/>
      <c r="BIX341" s="239"/>
      <c r="BIY341" s="239"/>
      <c r="BIZ341" s="239"/>
      <c r="BJA341" s="239"/>
      <c r="BJB341" s="239"/>
      <c r="BJC341" s="233"/>
      <c r="BJD341" s="235"/>
      <c r="BJE341" s="233"/>
      <c r="BJF341" s="234"/>
      <c r="BJG341" s="234"/>
      <c r="BJH341" s="242"/>
      <c r="BJI341" s="234"/>
      <c r="BJJ341" s="234"/>
      <c r="BJK341" s="234"/>
      <c r="BJL341" s="236"/>
      <c r="BJM341" s="244"/>
      <c r="BJN341" s="239"/>
      <c r="BJO341" s="240"/>
      <c r="BJP341" s="241"/>
      <c r="BJQ341" s="239"/>
      <c r="BJR341" s="239"/>
      <c r="BJS341" s="239"/>
      <c r="BJT341" s="239"/>
      <c r="BJU341" s="239"/>
      <c r="BJV341" s="239"/>
      <c r="BJW341" s="233"/>
      <c r="BJX341" s="235"/>
      <c r="BJY341" s="233"/>
      <c r="BJZ341" s="234"/>
      <c r="BKA341" s="234"/>
      <c r="BKB341" s="242"/>
      <c r="BKC341" s="234"/>
      <c r="BKD341" s="234"/>
      <c r="BKE341" s="234"/>
      <c r="BKF341" s="236"/>
      <c r="BKG341" s="244"/>
      <c r="BKH341" s="239"/>
      <c r="BKI341" s="240"/>
      <c r="BKJ341" s="241"/>
      <c r="BKK341" s="239"/>
      <c r="BKL341" s="239"/>
      <c r="BKM341" s="239"/>
      <c r="BKN341" s="239"/>
      <c r="BKO341" s="239"/>
      <c r="BKP341" s="239"/>
      <c r="BKQ341" s="233"/>
      <c r="BKR341" s="235"/>
      <c r="BKS341" s="233"/>
      <c r="BKT341" s="234"/>
      <c r="BKU341" s="234"/>
      <c r="BKV341" s="242"/>
      <c r="BKW341" s="234"/>
      <c r="BKX341" s="234"/>
      <c r="BKY341" s="234"/>
      <c r="BKZ341" s="236"/>
      <c r="BLA341" s="244"/>
      <c r="BLB341" s="239"/>
      <c r="BLC341" s="240"/>
      <c r="BLD341" s="241"/>
      <c r="BLE341" s="239"/>
      <c r="BLF341" s="239"/>
      <c r="BLG341" s="239"/>
      <c r="BLH341" s="239"/>
      <c r="BLI341" s="239"/>
      <c r="BLJ341" s="239"/>
      <c r="BLK341" s="233"/>
      <c r="BLL341" s="235"/>
      <c r="BLM341" s="233"/>
      <c r="BLN341" s="234"/>
      <c r="BLO341" s="234"/>
      <c r="BLP341" s="242"/>
      <c r="BLQ341" s="234"/>
      <c r="BLR341" s="234"/>
      <c r="BLS341" s="234"/>
      <c r="BLT341" s="236"/>
      <c r="BLU341" s="244"/>
      <c r="BLV341" s="239"/>
      <c r="BLW341" s="240"/>
      <c r="BLX341" s="241"/>
      <c r="BLY341" s="239"/>
      <c r="BLZ341" s="239"/>
      <c r="BMA341" s="239"/>
      <c r="BMB341" s="239"/>
      <c r="BMC341" s="239"/>
      <c r="BMD341" s="239"/>
      <c r="BME341" s="233"/>
      <c r="BMF341" s="235"/>
      <c r="BMG341" s="233"/>
      <c r="BMH341" s="234"/>
      <c r="BMI341" s="234"/>
      <c r="BMJ341" s="242"/>
      <c r="BMK341" s="234"/>
      <c r="BML341" s="234"/>
      <c r="BMM341" s="234"/>
      <c r="BMN341" s="236"/>
      <c r="BMO341" s="244"/>
      <c r="BMP341" s="239"/>
      <c r="BMQ341" s="240"/>
      <c r="BMR341" s="241"/>
      <c r="BMS341" s="239"/>
      <c r="BMT341" s="239"/>
      <c r="BMU341" s="239"/>
      <c r="BMV341" s="239"/>
      <c r="BMW341" s="239"/>
      <c r="BMX341" s="239"/>
      <c r="BMY341" s="233"/>
      <c r="BMZ341" s="235"/>
      <c r="BNA341" s="233"/>
      <c r="BNB341" s="234"/>
      <c r="BNC341" s="234"/>
      <c r="BND341" s="242"/>
      <c r="BNE341" s="234"/>
      <c r="BNF341" s="234"/>
      <c r="BNG341" s="234"/>
      <c r="BNH341" s="236"/>
      <c r="BNI341" s="244"/>
      <c r="BNJ341" s="239"/>
      <c r="BNK341" s="240"/>
      <c r="BNL341" s="241"/>
      <c r="BNM341" s="239"/>
      <c r="BNN341" s="239"/>
      <c r="BNO341" s="239"/>
      <c r="BNP341" s="239"/>
      <c r="BNQ341" s="239"/>
      <c r="BNR341" s="239"/>
      <c r="BNS341" s="233"/>
      <c r="BNT341" s="235"/>
      <c r="BNU341" s="233"/>
      <c r="BNV341" s="234"/>
      <c r="BNW341" s="234"/>
      <c r="BNX341" s="242"/>
      <c r="BNY341" s="234"/>
      <c r="BNZ341" s="234"/>
      <c r="BOA341" s="234"/>
      <c r="BOB341" s="236"/>
      <c r="BOC341" s="244"/>
      <c r="BOD341" s="239"/>
      <c r="BOE341" s="240"/>
      <c r="BOF341" s="241"/>
      <c r="BOG341" s="239"/>
      <c r="BOH341" s="239"/>
      <c r="BOI341" s="239"/>
      <c r="BOJ341" s="239"/>
      <c r="BOK341" s="239"/>
      <c r="BOL341" s="239"/>
      <c r="BOM341" s="233"/>
      <c r="BON341" s="235"/>
      <c r="BOO341" s="233"/>
      <c r="BOP341" s="234"/>
      <c r="BOQ341" s="234"/>
      <c r="BOR341" s="242"/>
      <c r="BOS341" s="234"/>
      <c r="BOT341" s="234"/>
      <c r="BOU341" s="234"/>
      <c r="BOV341" s="236"/>
      <c r="BOW341" s="244"/>
      <c r="BOX341" s="239"/>
      <c r="BOY341" s="240"/>
      <c r="BOZ341" s="241"/>
      <c r="BPA341" s="239"/>
      <c r="BPB341" s="239"/>
      <c r="BPC341" s="239"/>
      <c r="BPD341" s="239"/>
      <c r="BPE341" s="239"/>
      <c r="BPF341" s="239"/>
      <c r="BPG341" s="233"/>
      <c r="BPH341" s="235"/>
      <c r="BPI341" s="233"/>
      <c r="BPJ341" s="234"/>
      <c r="BPK341" s="234"/>
      <c r="BPL341" s="242"/>
      <c r="BPM341" s="234"/>
      <c r="BPN341" s="234"/>
      <c r="BPO341" s="234"/>
      <c r="BPP341" s="236"/>
      <c r="BPQ341" s="244"/>
      <c r="BPR341" s="239"/>
      <c r="BPS341" s="240"/>
      <c r="BPT341" s="241"/>
      <c r="BPU341" s="239"/>
      <c r="BPV341" s="239"/>
      <c r="BPW341" s="239"/>
      <c r="BPX341" s="239"/>
      <c r="BPY341" s="239"/>
      <c r="BPZ341" s="239"/>
      <c r="BQA341" s="233"/>
      <c r="BQB341" s="235"/>
      <c r="BQC341" s="233"/>
      <c r="BQD341" s="234"/>
      <c r="BQE341" s="234"/>
      <c r="BQF341" s="242"/>
      <c r="BQG341" s="234"/>
      <c r="BQH341" s="234"/>
      <c r="BQI341" s="234"/>
      <c r="BQJ341" s="236"/>
      <c r="BQK341" s="244"/>
      <c r="BQL341" s="239"/>
      <c r="BQM341" s="240"/>
      <c r="BQN341" s="241"/>
      <c r="BQO341" s="239"/>
      <c r="BQP341" s="239"/>
      <c r="BQQ341" s="239"/>
      <c r="BQR341" s="239"/>
      <c r="BQS341" s="239"/>
      <c r="BQT341" s="239"/>
      <c r="BQU341" s="233"/>
      <c r="BQV341" s="235"/>
      <c r="BQW341" s="233"/>
      <c r="BQX341" s="234"/>
      <c r="BQY341" s="234"/>
      <c r="BQZ341" s="242"/>
      <c r="BRA341" s="234"/>
      <c r="BRB341" s="234"/>
      <c r="BRC341" s="234"/>
      <c r="BRD341" s="236"/>
      <c r="BRE341" s="244"/>
      <c r="BRF341" s="239"/>
      <c r="BRG341" s="240"/>
      <c r="BRH341" s="241"/>
      <c r="BRI341" s="239"/>
      <c r="BRJ341" s="239"/>
      <c r="BRK341" s="239"/>
      <c r="BRL341" s="239"/>
      <c r="BRM341" s="239"/>
      <c r="BRN341" s="239"/>
      <c r="BRO341" s="233"/>
      <c r="BRP341" s="235"/>
      <c r="BRQ341" s="233"/>
      <c r="BRR341" s="234"/>
      <c r="BRS341" s="234"/>
      <c r="BRT341" s="242"/>
      <c r="BRU341" s="234"/>
      <c r="BRV341" s="234"/>
      <c r="BRW341" s="234"/>
      <c r="BRX341" s="236"/>
      <c r="BRY341" s="244"/>
      <c r="BRZ341" s="239"/>
      <c r="BSA341" s="240"/>
      <c r="BSB341" s="241"/>
      <c r="BSC341" s="239"/>
      <c r="BSD341" s="239"/>
      <c r="BSE341" s="239"/>
      <c r="BSF341" s="239"/>
      <c r="BSG341" s="239"/>
      <c r="BSH341" s="239"/>
      <c r="BSI341" s="233"/>
      <c r="BSJ341" s="235"/>
      <c r="BSK341" s="233"/>
      <c r="BSL341" s="234"/>
      <c r="BSM341" s="234"/>
      <c r="BSN341" s="242"/>
      <c r="BSO341" s="234"/>
      <c r="BSP341" s="234"/>
      <c r="BSQ341" s="234"/>
      <c r="BSR341" s="236"/>
      <c r="BSS341" s="244"/>
      <c r="BST341" s="239"/>
      <c r="BSU341" s="240"/>
      <c r="BSV341" s="241"/>
      <c r="BSW341" s="239"/>
      <c r="BSX341" s="239"/>
      <c r="BSY341" s="239"/>
      <c r="BSZ341" s="239"/>
      <c r="BTA341" s="239"/>
      <c r="BTB341" s="239"/>
      <c r="BTC341" s="233"/>
      <c r="BTD341" s="235"/>
      <c r="BTE341" s="233"/>
      <c r="BTF341" s="234"/>
      <c r="BTG341" s="234"/>
      <c r="BTH341" s="242"/>
      <c r="BTI341" s="234"/>
      <c r="BTJ341" s="234"/>
      <c r="BTK341" s="234"/>
      <c r="BTL341" s="236"/>
      <c r="BTM341" s="244"/>
      <c r="BTN341" s="239"/>
      <c r="BTO341" s="240"/>
      <c r="BTP341" s="241"/>
      <c r="BTQ341" s="239"/>
      <c r="BTR341" s="239"/>
      <c r="BTS341" s="239"/>
      <c r="BTT341" s="239"/>
      <c r="BTU341" s="239"/>
      <c r="BTV341" s="239"/>
      <c r="BTW341" s="233"/>
      <c r="BTX341" s="235"/>
      <c r="BTY341" s="233"/>
      <c r="BTZ341" s="234"/>
      <c r="BUA341" s="234"/>
      <c r="BUB341" s="242"/>
      <c r="BUC341" s="234"/>
      <c r="BUD341" s="234"/>
      <c r="BUE341" s="234"/>
      <c r="BUF341" s="236"/>
      <c r="BUG341" s="244"/>
      <c r="BUH341" s="239"/>
      <c r="BUI341" s="240"/>
      <c r="BUJ341" s="241"/>
      <c r="BUK341" s="239"/>
      <c r="BUL341" s="239"/>
      <c r="BUM341" s="239"/>
      <c r="BUN341" s="239"/>
      <c r="BUO341" s="239"/>
      <c r="BUP341" s="239"/>
      <c r="BUQ341" s="233"/>
      <c r="BUR341" s="235"/>
      <c r="BUS341" s="233"/>
      <c r="BUT341" s="234"/>
      <c r="BUU341" s="234"/>
      <c r="BUV341" s="242"/>
      <c r="BUW341" s="234"/>
      <c r="BUX341" s="234"/>
      <c r="BUY341" s="234"/>
      <c r="BUZ341" s="236"/>
      <c r="BVA341" s="244"/>
      <c r="BVB341" s="239"/>
      <c r="BVC341" s="240"/>
      <c r="BVD341" s="241"/>
      <c r="BVE341" s="239"/>
      <c r="BVF341" s="239"/>
      <c r="BVG341" s="239"/>
      <c r="BVH341" s="239"/>
      <c r="BVI341" s="239"/>
      <c r="BVJ341" s="239"/>
      <c r="BVK341" s="233"/>
      <c r="BVL341" s="235"/>
      <c r="BVM341" s="233"/>
      <c r="BVN341" s="234"/>
      <c r="BVO341" s="234"/>
      <c r="BVP341" s="242"/>
      <c r="BVQ341" s="234"/>
      <c r="BVR341" s="234"/>
      <c r="BVS341" s="234"/>
      <c r="BVT341" s="236"/>
      <c r="BVU341" s="244"/>
      <c r="BVV341" s="239"/>
      <c r="BVW341" s="240"/>
      <c r="BVX341" s="241"/>
      <c r="BVY341" s="239"/>
      <c r="BVZ341" s="239"/>
      <c r="BWA341" s="239"/>
      <c r="BWB341" s="239"/>
      <c r="BWC341" s="239"/>
      <c r="BWD341" s="239"/>
      <c r="BWE341" s="233"/>
      <c r="BWF341" s="235"/>
      <c r="BWG341" s="233"/>
      <c r="BWH341" s="234"/>
      <c r="BWI341" s="234"/>
      <c r="BWJ341" s="242"/>
      <c r="BWK341" s="234"/>
      <c r="BWL341" s="234"/>
      <c r="BWM341" s="234"/>
      <c r="BWN341" s="236"/>
      <c r="BWO341" s="244"/>
      <c r="BWP341" s="239"/>
      <c r="BWQ341" s="240"/>
      <c r="BWR341" s="241"/>
      <c r="BWS341" s="239"/>
      <c r="BWT341" s="239"/>
      <c r="BWU341" s="239"/>
      <c r="BWV341" s="239"/>
      <c r="BWW341" s="239"/>
      <c r="BWX341" s="239"/>
      <c r="BWY341" s="233"/>
      <c r="BWZ341" s="235"/>
      <c r="BXA341" s="233"/>
      <c r="BXB341" s="234"/>
      <c r="BXC341" s="234"/>
      <c r="BXD341" s="242"/>
      <c r="BXE341" s="234"/>
      <c r="BXF341" s="234"/>
      <c r="BXG341" s="234"/>
      <c r="BXH341" s="236"/>
      <c r="BXI341" s="244"/>
      <c r="BXJ341" s="239"/>
      <c r="BXK341" s="240"/>
      <c r="BXL341" s="241"/>
      <c r="BXM341" s="239"/>
      <c r="BXN341" s="239"/>
      <c r="BXO341" s="239"/>
      <c r="BXP341" s="239"/>
      <c r="BXQ341" s="239"/>
      <c r="BXR341" s="239"/>
      <c r="BXS341" s="233"/>
      <c r="BXT341" s="235"/>
      <c r="BXU341" s="233"/>
      <c r="BXV341" s="234"/>
      <c r="BXW341" s="234"/>
      <c r="BXX341" s="242"/>
      <c r="BXY341" s="234"/>
      <c r="BXZ341" s="234"/>
      <c r="BYA341" s="234"/>
      <c r="BYB341" s="236"/>
      <c r="BYC341" s="244"/>
      <c r="BYD341" s="239"/>
      <c r="BYE341" s="240"/>
      <c r="BYF341" s="241"/>
      <c r="BYG341" s="239"/>
      <c r="BYH341" s="239"/>
      <c r="BYI341" s="239"/>
      <c r="BYJ341" s="239"/>
      <c r="BYK341" s="239"/>
      <c r="BYL341" s="239"/>
      <c r="BYM341" s="233"/>
      <c r="BYN341" s="235"/>
      <c r="BYO341" s="233"/>
      <c r="BYP341" s="234"/>
      <c r="BYQ341" s="234"/>
      <c r="BYR341" s="242"/>
      <c r="BYS341" s="234"/>
      <c r="BYT341" s="234"/>
      <c r="BYU341" s="234"/>
      <c r="BYV341" s="236"/>
      <c r="BYW341" s="244"/>
      <c r="BYX341" s="239"/>
      <c r="BYY341" s="240"/>
      <c r="BYZ341" s="241"/>
      <c r="BZA341" s="239"/>
      <c r="BZB341" s="239"/>
      <c r="BZC341" s="239"/>
      <c r="BZD341" s="239"/>
      <c r="BZE341" s="239"/>
      <c r="BZF341" s="239"/>
      <c r="BZG341" s="233"/>
      <c r="BZH341" s="235"/>
      <c r="BZI341" s="233"/>
      <c r="BZJ341" s="234"/>
      <c r="BZK341" s="234"/>
      <c r="BZL341" s="242"/>
      <c r="BZM341" s="234"/>
      <c r="BZN341" s="234"/>
      <c r="BZO341" s="234"/>
      <c r="BZP341" s="236"/>
      <c r="BZQ341" s="244"/>
      <c r="BZR341" s="239"/>
      <c r="BZS341" s="240"/>
      <c r="BZT341" s="241"/>
      <c r="BZU341" s="239"/>
      <c r="BZV341" s="239"/>
      <c r="BZW341" s="239"/>
      <c r="BZX341" s="239"/>
      <c r="BZY341" s="239"/>
      <c r="BZZ341" s="239"/>
      <c r="CAA341" s="233"/>
      <c r="CAB341" s="235"/>
      <c r="CAC341" s="233"/>
      <c r="CAD341" s="234"/>
      <c r="CAE341" s="234"/>
      <c r="CAF341" s="242"/>
      <c r="CAG341" s="234"/>
      <c r="CAH341" s="234"/>
      <c r="CAI341" s="234"/>
      <c r="CAJ341" s="236"/>
      <c r="CAK341" s="244"/>
      <c r="CAL341" s="239"/>
      <c r="CAM341" s="240"/>
      <c r="CAN341" s="241"/>
      <c r="CAO341" s="239"/>
      <c r="CAP341" s="239"/>
      <c r="CAQ341" s="239"/>
      <c r="CAR341" s="239"/>
      <c r="CAS341" s="239"/>
      <c r="CAT341" s="239"/>
      <c r="CAU341" s="233"/>
      <c r="CAV341" s="235"/>
      <c r="CAW341" s="233"/>
      <c r="CAX341" s="234"/>
      <c r="CAY341" s="234"/>
      <c r="CAZ341" s="242"/>
      <c r="CBA341" s="234"/>
      <c r="CBB341" s="234"/>
      <c r="CBC341" s="234"/>
      <c r="CBD341" s="236"/>
      <c r="CBE341" s="244"/>
      <c r="CBF341" s="239"/>
      <c r="CBG341" s="240"/>
      <c r="CBH341" s="241"/>
      <c r="CBI341" s="239"/>
      <c r="CBJ341" s="239"/>
      <c r="CBK341" s="239"/>
      <c r="CBL341" s="239"/>
      <c r="CBM341" s="239"/>
      <c r="CBN341" s="239"/>
      <c r="CBO341" s="233"/>
      <c r="CBP341" s="235"/>
      <c r="CBQ341" s="233"/>
      <c r="CBR341" s="234"/>
      <c r="CBS341" s="234"/>
      <c r="CBT341" s="242"/>
      <c r="CBU341" s="234"/>
      <c r="CBV341" s="234"/>
      <c r="CBW341" s="234"/>
      <c r="CBX341" s="236"/>
      <c r="CBY341" s="244"/>
      <c r="CBZ341" s="239"/>
      <c r="CCA341" s="240"/>
      <c r="CCB341" s="241"/>
      <c r="CCC341" s="239"/>
      <c r="CCD341" s="239"/>
      <c r="CCE341" s="239"/>
      <c r="CCF341" s="239"/>
      <c r="CCG341" s="239"/>
      <c r="CCH341" s="239"/>
      <c r="CCI341" s="233"/>
      <c r="CCJ341" s="235"/>
      <c r="CCK341" s="233"/>
      <c r="CCL341" s="234"/>
      <c r="CCM341" s="234"/>
      <c r="CCN341" s="242"/>
      <c r="CCO341" s="234"/>
      <c r="CCP341" s="234"/>
      <c r="CCQ341" s="234"/>
      <c r="CCR341" s="236"/>
      <c r="CCS341" s="244"/>
      <c r="CCT341" s="239"/>
      <c r="CCU341" s="240"/>
      <c r="CCV341" s="241"/>
      <c r="CCW341" s="239"/>
      <c r="CCX341" s="239"/>
      <c r="CCY341" s="239"/>
      <c r="CCZ341" s="239"/>
      <c r="CDA341" s="239"/>
      <c r="CDB341" s="239"/>
      <c r="CDC341" s="233"/>
      <c r="CDD341" s="235"/>
      <c r="CDE341" s="233"/>
      <c r="CDF341" s="234"/>
      <c r="CDG341" s="234"/>
      <c r="CDH341" s="242"/>
      <c r="CDI341" s="234"/>
      <c r="CDJ341" s="234"/>
      <c r="CDK341" s="234"/>
      <c r="CDL341" s="236"/>
      <c r="CDM341" s="244"/>
      <c r="CDN341" s="239"/>
      <c r="CDO341" s="240"/>
      <c r="CDP341" s="241"/>
      <c r="CDQ341" s="239"/>
      <c r="CDR341" s="239"/>
      <c r="CDS341" s="239"/>
      <c r="CDT341" s="239"/>
      <c r="CDU341" s="239"/>
      <c r="CDV341" s="239"/>
      <c r="CDW341" s="233"/>
      <c r="CDX341" s="235"/>
      <c r="CDY341" s="233"/>
      <c r="CDZ341" s="234"/>
      <c r="CEA341" s="234"/>
      <c r="CEB341" s="242"/>
      <c r="CEC341" s="234"/>
      <c r="CED341" s="234"/>
      <c r="CEE341" s="234"/>
      <c r="CEF341" s="236"/>
      <c r="CEG341" s="244"/>
      <c r="CEH341" s="239"/>
      <c r="CEI341" s="240"/>
      <c r="CEJ341" s="241"/>
      <c r="CEK341" s="239"/>
      <c r="CEL341" s="239"/>
      <c r="CEM341" s="239"/>
      <c r="CEN341" s="239"/>
      <c r="CEO341" s="239"/>
      <c r="CEP341" s="239"/>
      <c r="CEQ341" s="233"/>
      <c r="CER341" s="235"/>
      <c r="CES341" s="233"/>
      <c r="CET341" s="234"/>
      <c r="CEU341" s="234"/>
      <c r="CEV341" s="242"/>
      <c r="CEW341" s="234"/>
      <c r="CEX341" s="234"/>
      <c r="CEY341" s="234"/>
      <c r="CEZ341" s="236"/>
      <c r="CFA341" s="244"/>
      <c r="CFB341" s="239"/>
      <c r="CFC341" s="240"/>
      <c r="CFD341" s="241"/>
      <c r="CFE341" s="239"/>
      <c r="CFF341" s="239"/>
      <c r="CFG341" s="239"/>
      <c r="CFH341" s="239"/>
      <c r="CFI341" s="239"/>
      <c r="CFJ341" s="239"/>
      <c r="CFK341" s="233"/>
      <c r="CFL341" s="235"/>
      <c r="CFM341" s="233"/>
      <c r="CFN341" s="234"/>
      <c r="CFO341" s="234"/>
      <c r="CFP341" s="242"/>
      <c r="CFQ341" s="234"/>
      <c r="CFR341" s="234"/>
      <c r="CFS341" s="234"/>
      <c r="CFT341" s="236"/>
      <c r="CFU341" s="244"/>
      <c r="CFV341" s="239"/>
      <c r="CFW341" s="240"/>
      <c r="CFX341" s="241"/>
      <c r="CFY341" s="239"/>
      <c r="CFZ341" s="239"/>
      <c r="CGA341" s="239"/>
      <c r="CGB341" s="239"/>
      <c r="CGC341" s="239"/>
      <c r="CGD341" s="239"/>
      <c r="CGE341" s="233"/>
      <c r="CGF341" s="235"/>
      <c r="CGG341" s="233"/>
      <c r="CGH341" s="234"/>
      <c r="CGI341" s="234"/>
      <c r="CGJ341" s="242"/>
      <c r="CGK341" s="234"/>
      <c r="CGL341" s="234"/>
      <c r="CGM341" s="234"/>
      <c r="CGN341" s="236"/>
      <c r="CGO341" s="244"/>
      <c r="CGP341" s="239"/>
      <c r="CGQ341" s="240"/>
      <c r="CGR341" s="241"/>
      <c r="CGS341" s="239"/>
      <c r="CGT341" s="239"/>
      <c r="CGU341" s="239"/>
      <c r="CGV341" s="239"/>
      <c r="CGW341" s="239"/>
      <c r="CGX341" s="239"/>
      <c r="CGY341" s="233"/>
      <c r="CGZ341" s="235"/>
      <c r="CHA341" s="233"/>
      <c r="CHB341" s="234"/>
      <c r="CHC341" s="234"/>
      <c r="CHD341" s="242"/>
      <c r="CHE341" s="234"/>
      <c r="CHF341" s="234"/>
      <c r="CHG341" s="234"/>
      <c r="CHH341" s="236"/>
      <c r="CHI341" s="244"/>
      <c r="CHJ341" s="239"/>
      <c r="CHK341" s="240"/>
      <c r="CHL341" s="241"/>
      <c r="CHM341" s="239"/>
      <c r="CHN341" s="239"/>
      <c r="CHO341" s="239"/>
      <c r="CHP341" s="239"/>
      <c r="CHQ341" s="239"/>
      <c r="CHR341" s="239"/>
      <c r="CHS341" s="233"/>
      <c r="CHT341" s="235"/>
      <c r="CHU341" s="233"/>
      <c r="CHV341" s="234"/>
      <c r="CHW341" s="234"/>
      <c r="CHX341" s="242"/>
      <c r="CHY341" s="234"/>
      <c r="CHZ341" s="234"/>
      <c r="CIA341" s="234"/>
      <c r="CIB341" s="236"/>
      <c r="CIC341" s="244"/>
      <c r="CID341" s="239"/>
      <c r="CIE341" s="240"/>
      <c r="CIF341" s="241"/>
      <c r="CIG341" s="239"/>
      <c r="CIH341" s="239"/>
      <c r="CII341" s="239"/>
      <c r="CIJ341" s="239"/>
      <c r="CIK341" s="239"/>
      <c r="CIL341" s="239"/>
      <c r="CIM341" s="233"/>
      <c r="CIN341" s="235"/>
      <c r="CIO341" s="233"/>
      <c r="CIP341" s="234"/>
      <c r="CIQ341" s="234"/>
      <c r="CIR341" s="242"/>
      <c r="CIS341" s="234"/>
      <c r="CIT341" s="234"/>
      <c r="CIU341" s="234"/>
      <c r="CIV341" s="236"/>
      <c r="CIW341" s="244"/>
      <c r="CIX341" s="239"/>
      <c r="CIY341" s="240"/>
      <c r="CIZ341" s="241"/>
      <c r="CJA341" s="239"/>
      <c r="CJB341" s="239"/>
      <c r="CJC341" s="239"/>
      <c r="CJD341" s="239"/>
      <c r="CJE341" s="239"/>
      <c r="CJF341" s="239"/>
      <c r="CJG341" s="233"/>
      <c r="CJH341" s="235"/>
      <c r="CJI341" s="233"/>
      <c r="CJJ341" s="234"/>
      <c r="CJK341" s="234"/>
      <c r="CJL341" s="242"/>
      <c r="CJM341" s="234"/>
      <c r="CJN341" s="234"/>
      <c r="CJO341" s="234"/>
      <c r="CJP341" s="236"/>
      <c r="CJQ341" s="244"/>
      <c r="CJR341" s="239"/>
      <c r="CJS341" s="240"/>
      <c r="CJT341" s="241"/>
      <c r="CJU341" s="239"/>
      <c r="CJV341" s="239"/>
      <c r="CJW341" s="239"/>
      <c r="CJX341" s="239"/>
      <c r="CJY341" s="239"/>
      <c r="CJZ341" s="239"/>
      <c r="CKA341" s="233"/>
      <c r="CKB341" s="235"/>
      <c r="CKC341" s="233"/>
      <c r="CKD341" s="234"/>
      <c r="CKE341" s="234"/>
      <c r="CKF341" s="242"/>
      <c r="CKG341" s="234"/>
      <c r="CKH341" s="234"/>
      <c r="CKI341" s="234"/>
      <c r="CKJ341" s="236"/>
      <c r="CKK341" s="244"/>
      <c r="CKL341" s="239"/>
      <c r="CKM341" s="240"/>
      <c r="CKN341" s="241"/>
      <c r="CKO341" s="239"/>
      <c r="CKP341" s="239"/>
      <c r="CKQ341" s="239"/>
      <c r="CKR341" s="239"/>
      <c r="CKS341" s="239"/>
      <c r="CKT341" s="239"/>
      <c r="CKU341" s="233"/>
      <c r="CKV341" s="235"/>
      <c r="CKW341" s="233"/>
      <c r="CKX341" s="234"/>
      <c r="CKY341" s="234"/>
      <c r="CKZ341" s="242"/>
      <c r="CLA341" s="234"/>
      <c r="CLB341" s="234"/>
      <c r="CLC341" s="234"/>
      <c r="CLD341" s="236"/>
      <c r="CLE341" s="244"/>
      <c r="CLF341" s="239"/>
      <c r="CLG341" s="240"/>
      <c r="CLH341" s="241"/>
      <c r="CLI341" s="239"/>
      <c r="CLJ341" s="239"/>
      <c r="CLK341" s="239"/>
      <c r="CLL341" s="239"/>
      <c r="CLM341" s="239"/>
      <c r="CLN341" s="239"/>
      <c r="CLO341" s="233"/>
      <c r="CLP341" s="235"/>
      <c r="CLQ341" s="233"/>
      <c r="CLR341" s="234"/>
      <c r="CLS341" s="234"/>
      <c r="CLT341" s="242"/>
      <c r="CLU341" s="234"/>
      <c r="CLV341" s="234"/>
      <c r="CLW341" s="234"/>
      <c r="CLX341" s="236"/>
      <c r="CLY341" s="244"/>
      <c r="CLZ341" s="239"/>
      <c r="CMA341" s="240"/>
      <c r="CMB341" s="241"/>
      <c r="CMC341" s="239"/>
      <c r="CMD341" s="239"/>
      <c r="CME341" s="239"/>
      <c r="CMF341" s="239"/>
      <c r="CMG341" s="239"/>
      <c r="CMH341" s="239"/>
      <c r="CMI341" s="233"/>
      <c r="CMJ341" s="235"/>
      <c r="CMK341" s="233"/>
      <c r="CML341" s="234"/>
      <c r="CMM341" s="234"/>
      <c r="CMN341" s="242"/>
      <c r="CMO341" s="234"/>
      <c r="CMP341" s="234"/>
      <c r="CMQ341" s="234"/>
      <c r="CMR341" s="236"/>
      <c r="CMS341" s="244"/>
      <c r="CMT341" s="239"/>
      <c r="CMU341" s="240"/>
      <c r="CMV341" s="241"/>
      <c r="CMW341" s="239"/>
      <c r="CMX341" s="239"/>
      <c r="CMY341" s="239"/>
      <c r="CMZ341" s="239"/>
      <c r="CNA341" s="239"/>
      <c r="CNB341" s="239"/>
      <c r="CNC341" s="233"/>
      <c r="CND341" s="235"/>
      <c r="CNE341" s="233"/>
      <c r="CNF341" s="234"/>
      <c r="CNG341" s="234"/>
      <c r="CNH341" s="242"/>
      <c r="CNI341" s="234"/>
      <c r="CNJ341" s="234"/>
      <c r="CNK341" s="234"/>
      <c r="CNL341" s="236"/>
      <c r="CNM341" s="244"/>
      <c r="CNN341" s="239"/>
      <c r="CNO341" s="240"/>
      <c r="CNP341" s="241"/>
      <c r="CNQ341" s="239"/>
      <c r="CNR341" s="239"/>
      <c r="CNS341" s="239"/>
      <c r="CNT341" s="239"/>
      <c r="CNU341" s="239"/>
      <c r="CNV341" s="239"/>
      <c r="CNW341" s="233"/>
      <c r="CNX341" s="235"/>
      <c r="CNY341" s="233"/>
      <c r="CNZ341" s="234"/>
      <c r="COA341" s="234"/>
      <c r="COB341" s="242"/>
      <c r="COC341" s="234"/>
      <c r="COD341" s="234"/>
      <c r="COE341" s="234"/>
      <c r="COF341" s="236"/>
      <c r="COG341" s="244"/>
      <c r="COH341" s="239"/>
      <c r="COI341" s="240"/>
      <c r="COJ341" s="241"/>
      <c r="COK341" s="239"/>
      <c r="COL341" s="239"/>
      <c r="COM341" s="239"/>
      <c r="CON341" s="239"/>
      <c r="COO341" s="239"/>
      <c r="COP341" s="239"/>
      <c r="COQ341" s="233"/>
      <c r="COR341" s="235"/>
      <c r="COS341" s="233"/>
      <c r="COT341" s="234"/>
      <c r="COU341" s="234"/>
      <c r="COV341" s="242"/>
      <c r="COW341" s="234"/>
      <c r="COX341" s="234"/>
      <c r="COY341" s="234"/>
      <c r="COZ341" s="236"/>
      <c r="CPA341" s="244"/>
      <c r="CPB341" s="239"/>
      <c r="CPC341" s="240"/>
      <c r="CPD341" s="241"/>
      <c r="CPE341" s="239"/>
      <c r="CPF341" s="239"/>
      <c r="CPG341" s="239"/>
      <c r="CPH341" s="239"/>
      <c r="CPI341" s="239"/>
      <c r="CPJ341" s="239"/>
      <c r="CPK341" s="233"/>
      <c r="CPL341" s="235"/>
      <c r="CPM341" s="233"/>
      <c r="CPN341" s="234"/>
      <c r="CPO341" s="234"/>
      <c r="CPP341" s="242"/>
      <c r="CPQ341" s="234"/>
      <c r="CPR341" s="234"/>
      <c r="CPS341" s="234"/>
      <c r="CPT341" s="236"/>
      <c r="CPU341" s="244"/>
      <c r="CPV341" s="239"/>
      <c r="CPW341" s="240"/>
      <c r="CPX341" s="241"/>
      <c r="CPY341" s="239"/>
      <c r="CPZ341" s="239"/>
      <c r="CQA341" s="239"/>
      <c r="CQB341" s="239"/>
      <c r="CQC341" s="239"/>
      <c r="CQD341" s="239"/>
      <c r="CQE341" s="233"/>
      <c r="CQF341" s="235"/>
      <c r="CQG341" s="233"/>
      <c r="CQH341" s="234"/>
      <c r="CQI341" s="234"/>
      <c r="CQJ341" s="242"/>
      <c r="CQK341" s="234"/>
      <c r="CQL341" s="234"/>
      <c r="CQM341" s="234"/>
      <c r="CQN341" s="236"/>
      <c r="CQO341" s="244"/>
      <c r="CQP341" s="239"/>
      <c r="CQQ341" s="240"/>
      <c r="CQR341" s="241"/>
      <c r="CQS341" s="239"/>
      <c r="CQT341" s="239"/>
      <c r="CQU341" s="239"/>
      <c r="CQV341" s="239"/>
      <c r="CQW341" s="239"/>
      <c r="CQX341" s="239"/>
      <c r="CQY341" s="233"/>
      <c r="CQZ341" s="235"/>
      <c r="CRA341" s="233"/>
      <c r="CRB341" s="234"/>
      <c r="CRC341" s="234"/>
      <c r="CRD341" s="242"/>
      <c r="CRE341" s="234"/>
      <c r="CRF341" s="234"/>
      <c r="CRG341" s="234"/>
      <c r="CRH341" s="236"/>
      <c r="CRI341" s="244"/>
      <c r="CRJ341" s="239"/>
      <c r="CRK341" s="240"/>
      <c r="CRL341" s="241"/>
      <c r="CRM341" s="239"/>
      <c r="CRN341" s="239"/>
      <c r="CRO341" s="239"/>
      <c r="CRP341" s="239"/>
      <c r="CRQ341" s="239"/>
      <c r="CRR341" s="239"/>
      <c r="CRS341" s="233"/>
      <c r="CRT341" s="235"/>
      <c r="CRU341" s="233"/>
      <c r="CRV341" s="234"/>
      <c r="CRW341" s="234"/>
      <c r="CRX341" s="242"/>
      <c r="CRY341" s="234"/>
      <c r="CRZ341" s="234"/>
      <c r="CSA341" s="234"/>
      <c r="CSB341" s="236"/>
      <c r="CSC341" s="244"/>
      <c r="CSD341" s="239"/>
      <c r="CSE341" s="240"/>
      <c r="CSF341" s="241"/>
      <c r="CSG341" s="239"/>
      <c r="CSH341" s="239"/>
      <c r="CSI341" s="239"/>
      <c r="CSJ341" s="239"/>
      <c r="CSK341" s="239"/>
      <c r="CSL341" s="239"/>
      <c r="CSM341" s="233"/>
      <c r="CSN341" s="235"/>
      <c r="CSO341" s="233"/>
      <c r="CSP341" s="234"/>
      <c r="CSQ341" s="234"/>
      <c r="CSR341" s="242"/>
      <c r="CSS341" s="234"/>
      <c r="CST341" s="234"/>
      <c r="CSU341" s="234"/>
      <c r="CSV341" s="236"/>
      <c r="CSW341" s="244"/>
      <c r="CSX341" s="239"/>
      <c r="CSY341" s="240"/>
      <c r="CSZ341" s="241"/>
      <c r="CTA341" s="239"/>
      <c r="CTB341" s="239"/>
      <c r="CTC341" s="239"/>
      <c r="CTD341" s="239"/>
      <c r="CTE341" s="239"/>
      <c r="CTF341" s="239"/>
      <c r="CTG341" s="233"/>
      <c r="CTH341" s="235"/>
      <c r="CTI341" s="233"/>
      <c r="CTJ341" s="234"/>
      <c r="CTK341" s="234"/>
      <c r="CTL341" s="242"/>
      <c r="CTM341" s="234"/>
      <c r="CTN341" s="234"/>
      <c r="CTO341" s="234"/>
      <c r="CTP341" s="236"/>
      <c r="CTQ341" s="244"/>
      <c r="CTR341" s="239"/>
      <c r="CTS341" s="240"/>
      <c r="CTT341" s="241"/>
      <c r="CTU341" s="239"/>
      <c r="CTV341" s="239"/>
      <c r="CTW341" s="239"/>
      <c r="CTX341" s="239"/>
      <c r="CTY341" s="239"/>
      <c r="CTZ341" s="239"/>
      <c r="CUA341" s="233"/>
      <c r="CUB341" s="235"/>
      <c r="CUC341" s="233"/>
      <c r="CUD341" s="234"/>
      <c r="CUE341" s="234"/>
      <c r="CUF341" s="242"/>
      <c r="CUG341" s="234"/>
      <c r="CUH341" s="234"/>
      <c r="CUI341" s="234"/>
      <c r="CUJ341" s="236"/>
      <c r="CUK341" s="244"/>
      <c r="CUL341" s="239"/>
      <c r="CUM341" s="240"/>
      <c r="CUN341" s="241"/>
      <c r="CUO341" s="239"/>
      <c r="CUP341" s="239"/>
      <c r="CUQ341" s="239"/>
      <c r="CUR341" s="239"/>
      <c r="CUS341" s="239"/>
      <c r="CUT341" s="239"/>
      <c r="CUU341" s="233"/>
      <c r="CUV341" s="235"/>
      <c r="CUW341" s="233"/>
      <c r="CUX341" s="234"/>
      <c r="CUY341" s="234"/>
      <c r="CUZ341" s="242"/>
      <c r="CVA341" s="234"/>
      <c r="CVB341" s="234"/>
      <c r="CVC341" s="234"/>
      <c r="CVD341" s="236"/>
      <c r="CVE341" s="244"/>
      <c r="CVF341" s="239"/>
      <c r="CVG341" s="240"/>
      <c r="CVH341" s="241"/>
      <c r="CVI341" s="239"/>
      <c r="CVJ341" s="239"/>
      <c r="CVK341" s="239"/>
      <c r="CVL341" s="239"/>
      <c r="CVM341" s="239"/>
      <c r="CVN341" s="239"/>
      <c r="CVO341" s="233"/>
      <c r="CVP341" s="235"/>
      <c r="CVQ341" s="233"/>
      <c r="CVR341" s="234"/>
      <c r="CVS341" s="234"/>
      <c r="CVT341" s="242"/>
      <c r="CVU341" s="234"/>
      <c r="CVV341" s="234"/>
      <c r="CVW341" s="234"/>
      <c r="CVX341" s="236"/>
      <c r="CVY341" s="244"/>
      <c r="CVZ341" s="239"/>
      <c r="CWA341" s="240"/>
      <c r="CWB341" s="241"/>
      <c r="CWC341" s="239"/>
      <c r="CWD341" s="239"/>
      <c r="CWE341" s="239"/>
      <c r="CWF341" s="239"/>
      <c r="CWG341" s="239"/>
      <c r="CWH341" s="239"/>
      <c r="CWI341" s="233"/>
      <c r="CWJ341" s="235"/>
      <c r="CWK341" s="233"/>
      <c r="CWL341" s="234"/>
      <c r="CWM341" s="234"/>
      <c r="CWN341" s="242"/>
      <c r="CWO341" s="234"/>
      <c r="CWP341" s="234"/>
      <c r="CWQ341" s="234"/>
      <c r="CWR341" s="236"/>
      <c r="CWS341" s="244"/>
      <c r="CWT341" s="239"/>
      <c r="CWU341" s="240"/>
      <c r="CWV341" s="241"/>
      <c r="CWW341" s="239"/>
      <c r="CWX341" s="239"/>
      <c r="CWY341" s="239"/>
      <c r="CWZ341" s="239"/>
      <c r="CXA341" s="239"/>
      <c r="CXB341" s="239"/>
      <c r="CXC341" s="233"/>
      <c r="CXD341" s="235"/>
      <c r="CXE341" s="233"/>
      <c r="CXF341" s="234"/>
      <c r="CXG341" s="234"/>
      <c r="CXH341" s="242"/>
      <c r="CXI341" s="234"/>
      <c r="CXJ341" s="234"/>
      <c r="CXK341" s="234"/>
      <c r="CXL341" s="236"/>
      <c r="CXM341" s="244"/>
      <c r="CXN341" s="239"/>
      <c r="CXO341" s="240"/>
      <c r="CXP341" s="241"/>
      <c r="CXQ341" s="239"/>
      <c r="CXR341" s="239"/>
      <c r="CXS341" s="239"/>
      <c r="CXT341" s="239"/>
      <c r="CXU341" s="239"/>
      <c r="CXV341" s="239"/>
      <c r="CXW341" s="233"/>
      <c r="CXX341" s="235"/>
      <c r="CXY341" s="233"/>
      <c r="CXZ341" s="234"/>
      <c r="CYA341" s="234"/>
      <c r="CYB341" s="242"/>
      <c r="CYC341" s="234"/>
      <c r="CYD341" s="234"/>
      <c r="CYE341" s="234"/>
      <c r="CYF341" s="236"/>
      <c r="CYG341" s="244"/>
      <c r="CYH341" s="239"/>
      <c r="CYI341" s="240"/>
      <c r="CYJ341" s="241"/>
      <c r="CYK341" s="239"/>
      <c r="CYL341" s="239"/>
      <c r="CYM341" s="239"/>
      <c r="CYN341" s="239"/>
      <c r="CYO341" s="239"/>
      <c r="CYP341" s="239"/>
      <c r="CYQ341" s="233"/>
      <c r="CYR341" s="235"/>
      <c r="CYS341" s="233"/>
      <c r="CYT341" s="234"/>
      <c r="CYU341" s="234"/>
      <c r="CYV341" s="242"/>
      <c r="CYW341" s="234"/>
      <c r="CYX341" s="234"/>
      <c r="CYY341" s="234"/>
      <c r="CYZ341" s="236"/>
      <c r="CZA341" s="244"/>
      <c r="CZB341" s="239"/>
      <c r="CZC341" s="240"/>
      <c r="CZD341" s="241"/>
      <c r="CZE341" s="239"/>
      <c r="CZF341" s="239"/>
      <c r="CZG341" s="239"/>
      <c r="CZH341" s="239"/>
      <c r="CZI341" s="239"/>
      <c r="CZJ341" s="239"/>
      <c r="CZK341" s="233"/>
      <c r="CZL341" s="235"/>
      <c r="CZM341" s="233"/>
      <c r="CZN341" s="234"/>
      <c r="CZO341" s="234"/>
      <c r="CZP341" s="242"/>
      <c r="CZQ341" s="234"/>
      <c r="CZR341" s="234"/>
      <c r="CZS341" s="234"/>
      <c r="CZT341" s="236"/>
      <c r="CZU341" s="244"/>
      <c r="CZV341" s="239"/>
      <c r="CZW341" s="240"/>
      <c r="CZX341" s="241"/>
      <c r="CZY341" s="239"/>
      <c r="CZZ341" s="239"/>
      <c r="DAA341" s="239"/>
      <c r="DAB341" s="239"/>
      <c r="DAC341" s="239"/>
      <c r="DAD341" s="239"/>
      <c r="DAE341" s="233"/>
      <c r="DAF341" s="235"/>
      <c r="DAG341" s="233"/>
      <c r="DAH341" s="234"/>
      <c r="DAI341" s="234"/>
      <c r="DAJ341" s="242"/>
      <c r="DAK341" s="234"/>
      <c r="DAL341" s="234"/>
      <c r="DAM341" s="234"/>
      <c r="DAN341" s="236"/>
      <c r="DAO341" s="244"/>
      <c r="DAP341" s="239"/>
      <c r="DAQ341" s="240"/>
      <c r="DAR341" s="241"/>
      <c r="DAS341" s="239"/>
      <c r="DAT341" s="239"/>
      <c r="DAU341" s="239"/>
      <c r="DAV341" s="239"/>
      <c r="DAW341" s="239"/>
      <c r="DAX341" s="239"/>
      <c r="DAY341" s="233"/>
      <c r="DAZ341" s="235"/>
      <c r="DBA341" s="233"/>
      <c r="DBB341" s="234"/>
      <c r="DBC341" s="234"/>
      <c r="DBD341" s="242"/>
      <c r="DBE341" s="234"/>
      <c r="DBF341" s="234"/>
      <c r="DBG341" s="234"/>
      <c r="DBH341" s="236"/>
      <c r="DBI341" s="244"/>
      <c r="DBJ341" s="239"/>
      <c r="DBK341" s="240"/>
      <c r="DBL341" s="241"/>
      <c r="DBM341" s="239"/>
      <c r="DBN341" s="239"/>
      <c r="DBO341" s="239"/>
      <c r="DBP341" s="239"/>
      <c r="DBQ341" s="239"/>
      <c r="DBR341" s="239"/>
      <c r="DBS341" s="233"/>
      <c r="DBT341" s="235"/>
      <c r="DBU341" s="233"/>
      <c r="DBV341" s="234"/>
      <c r="DBW341" s="234"/>
      <c r="DBX341" s="242"/>
      <c r="DBY341" s="234"/>
      <c r="DBZ341" s="234"/>
      <c r="DCA341" s="234"/>
      <c r="DCB341" s="236"/>
      <c r="DCC341" s="244"/>
      <c r="DCD341" s="239"/>
      <c r="DCE341" s="240"/>
      <c r="DCF341" s="241"/>
      <c r="DCG341" s="239"/>
      <c r="DCH341" s="239"/>
      <c r="DCI341" s="239"/>
      <c r="DCJ341" s="239"/>
      <c r="DCK341" s="239"/>
      <c r="DCL341" s="239"/>
      <c r="DCM341" s="233"/>
      <c r="DCN341" s="235"/>
      <c r="DCO341" s="233"/>
      <c r="DCP341" s="234"/>
      <c r="DCQ341" s="234"/>
      <c r="DCR341" s="242"/>
      <c r="DCS341" s="234"/>
      <c r="DCT341" s="234"/>
      <c r="DCU341" s="234"/>
      <c r="DCV341" s="236"/>
      <c r="DCW341" s="244"/>
      <c r="DCX341" s="239"/>
      <c r="DCY341" s="240"/>
      <c r="DCZ341" s="241"/>
      <c r="DDA341" s="239"/>
      <c r="DDB341" s="239"/>
      <c r="DDC341" s="239"/>
      <c r="DDD341" s="239"/>
      <c r="DDE341" s="239"/>
      <c r="DDF341" s="239"/>
      <c r="DDG341" s="233"/>
      <c r="DDH341" s="235"/>
      <c r="DDI341" s="233"/>
      <c r="DDJ341" s="234"/>
      <c r="DDK341" s="234"/>
      <c r="DDL341" s="242"/>
      <c r="DDM341" s="234"/>
      <c r="DDN341" s="234"/>
      <c r="DDO341" s="234"/>
      <c r="DDP341" s="236"/>
      <c r="DDQ341" s="244"/>
      <c r="DDR341" s="239"/>
      <c r="DDS341" s="240"/>
      <c r="DDT341" s="241"/>
      <c r="DDU341" s="239"/>
      <c r="DDV341" s="239"/>
      <c r="DDW341" s="239"/>
      <c r="DDX341" s="239"/>
      <c r="DDY341" s="239"/>
      <c r="DDZ341" s="239"/>
      <c r="DEA341" s="233"/>
      <c r="DEB341" s="235"/>
      <c r="DEC341" s="233"/>
      <c r="DED341" s="234"/>
      <c r="DEE341" s="234"/>
      <c r="DEF341" s="242"/>
      <c r="DEG341" s="234"/>
      <c r="DEH341" s="234"/>
      <c r="DEI341" s="234"/>
      <c r="DEJ341" s="236"/>
      <c r="DEK341" s="244"/>
      <c r="DEL341" s="239"/>
      <c r="DEM341" s="240"/>
      <c r="DEN341" s="241"/>
      <c r="DEO341" s="239"/>
      <c r="DEP341" s="239"/>
      <c r="DEQ341" s="239"/>
      <c r="DER341" s="239"/>
      <c r="DES341" s="239"/>
      <c r="DET341" s="239"/>
      <c r="DEU341" s="233"/>
      <c r="DEV341" s="235"/>
      <c r="DEW341" s="233"/>
      <c r="DEX341" s="234"/>
      <c r="DEY341" s="234"/>
      <c r="DEZ341" s="242"/>
      <c r="DFA341" s="234"/>
      <c r="DFB341" s="234"/>
      <c r="DFC341" s="234"/>
      <c r="DFD341" s="236"/>
      <c r="DFE341" s="244"/>
      <c r="DFF341" s="239"/>
      <c r="DFG341" s="240"/>
      <c r="DFH341" s="241"/>
      <c r="DFI341" s="239"/>
      <c r="DFJ341" s="239"/>
      <c r="DFK341" s="239"/>
      <c r="DFL341" s="239"/>
      <c r="DFM341" s="239"/>
      <c r="DFN341" s="239"/>
      <c r="DFO341" s="233"/>
      <c r="DFP341" s="235"/>
      <c r="DFQ341" s="233"/>
      <c r="DFR341" s="234"/>
      <c r="DFS341" s="234"/>
      <c r="DFT341" s="242"/>
      <c r="DFU341" s="234"/>
      <c r="DFV341" s="234"/>
      <c r="DFW341" s="234"/>
      <c r="DFX341" s="236"/>
      <c r="DFY341" s="244"/>
      <c r="DFZ341" s="239"/>
      <c r="DGA341" s="240"/>
      <c r="DGB341" s="241"/>
      <c r="DGC341" s="239"/>
      <c r="DGD341" s="239"/>
      <c r="DGE341" s="239"/>
      <c r="DGF341" s="239"/>
      <c r="DGG341" s="239"/>
      <c r="DGH341" s="239"/>
      <c r="DGI341" s="233"/>
      <c r="DGJ341" s="235"/>
      <c r="DGK341" s="233"/>
      <c r="DGL341" s="234"/>
      <c r="DGM341" s="234"/>
      <c r="DGN341" s="242"/>
      <c r="DGO341" s="234"/>
      <c r="DGP341" s="234"/>
      <c r="DGQ341" s="234"/>
      <c r="DGR341" s="236"/>
      <c r="DGS341" s="244"/>
      <c r="DGT341" s="239"/>
      <c r="DGU341" s="240"/>
      <c r="DGV341" s="241"/>
      <c r="DGW341" s="239"/>
      <c r="DGX341" s="239"/>
      <c r="DGY341" s="239"/>
      <c r="DGZ341" s="239"/>
      <c r="DHA341" s="239"/>
      <c r="DHB341" s="239"/>
      <c r="DHC341" s="233"/>
      <c r="DHD341" s="235"/>
      <c r="DHE341" s="233"/>
      <c r="DHF341" s="234"/>
      <c r="DHG341" s="234"/>
      <c r="DHH341" s="242"/>
      <c r="DHI341" s="234"/>
      <c r="DHJ341" s="234"/>
      <c r="DHK341" s="234"/>
      <c r="DHL341" s="236"/>
      <c r="DHM341" s="244"/>
      <c r="DHN341" s="239"/>
      <c r="DHO341" s="240"/>
      <c r="DHP341" s="241"/>
      <c r="DHQ341" s="239"/>
      <c r="DHR341" s="239"/>
      <c r="DHS341" s="239"/>
      <c r="DHT341" s="239"/>
      <c r="DHU341" s="239"/>
      <c r="DHV341" s="239"/>
      <c r="DHW341" s="233"/>
      <c r="DHX341" s="235"/>
      <c r="DHY341" s="233"/>
      <c r="DHZ341" s="234"/>
      <c r="DIA341" s="234"/>
      <c r="DIB341" s="242"/>
      <c r="DIC341" s="234"/>
      <c r="DID341" s="234"/>
      <c r="DIE341" s="234"/>
      <c r="DIF341" s="236"/>
      <c r="DIG341" s="244"/>
      <c r="DIH341" s="239"/>
      <c r="DII341" s="240"/>
      <c r="DIJ341" s="241"/>
      <c r="DIK341" s="239"/>
      <c r="DIL341" s="239"/>
      <c r="DIM341" s="239"/>
      <c r="DIN341" s="239"/>
      <c r="DIO341" s="239"/>
      <c r="DIP341" s="239"/>
      <c r="DIQ341" s="233"/>
      <c r="DIR341" s="235"/>
      <c r="DIS341" s="233"/>
      <c r="DIT341" s="234"/>
      <c r="DIU341" s="234"/>
      <c r="DIV341" s="242"/>
      <c r="DIW341" s="234"/>
      <c r="DIX341" s="234"/>
      <c r="DIY341" s="234"/>
      <c r="DIZ341" s="236"/>
      <c r="DJA341" s="244"/>
      <c r="DJB341" s="239"/>
      <c r="DJC341" s="240"/>
      <c r="DJD341" s="241"/>
      <c r="DJE341" s="239"/>
      <c r="DJF341" s="239"/>
      <c r="DJG341" s="239"/>
      <c r="DJH341" s="239"/>
      <c r="DJI341" s="239"/>
      <c r="DJJ341" s="239"/>
      <c r="DJK341" s="233"/>
      <c r="DJL341" s="235"/>
      <c r="DJM341" s="233"/>
      <c r="DJN341" s="234"/>
      <c r="DJO341" s="234"/>
      <c r="DJP341" s="242"/>
      <c r="DJQ341" s="234"/>
      <c r="DJR341" s="234"/>
      <c r="DJS341" s="234"/>
      <c r="DJT341" s="236"/>
      <c r="DJU341" s="244"/>
      <c r="DJV341" s="239"/>
      <c r="DJW341" s="240"/>
      <c r="DJX341" s="241"/>
      <c r="DJY341" s="239"/>
      <c r="DJZ341" s="239"/>
      <c r="DKA341" s="239"/>
      <c r="DKB341" s="239"/>
      <c r="DKC341" s="239"/>
      <c r="DKD341" s="239"/>
      <c r="DKE341" s="233"/>
      <c r="DKF341" s="235"/>
      <c r="DKG341" s="233"/>
      <c r="DKH341" s="234"/>
      <c r="DKI341" s="234"/>
      <c r="DKJ341" s="242"/>
      <c r="DKK341" s="234"/>
      <c r="DKL341" s="234"/>
      <c r="DKM341" s="234"/>
      <c r="DKN341" s="236"/>
      <c r="DKO341" s="244"/>
      <c r="DKP341" s="239"/>
      <c r="DKQ341" s="240"/>
      <c r="DKR341" s="241"/>
      <c r="DKS341" s="239"/>
      <c r="DKT341" s="239"/>
      <c r="DKU341" s="239"/>
      <c r="DKV341" s="239"/>
      <c r="DKW341" s="239"/>
      <c r="DKX341" s="239"/>
      <c r="DKY341" s="233"/>
      <c r="DKZ341" s="235"/>
      <c r="DLA341" s="233"/>
      <c r="DLB341" s="234"/>
      <c r="DLC341" s="234"/>
      <c r="DLD341" s="242"/>
      <c r="DLE341" s="234"/>
      <c r="DLF341" s="234"/>
      <c r="DLG341" s="234"/>
      <c r="DLH341" s="236"/>
      <c r="DLI341" s="244"/>
      <c r="DLJ341" s="239"/>
      <c r="DLK341" s="240"/>
      <c r="DLL341" s="241"/>
      <c r="DLM341" s="239"/>
      <c r="DLN341" s="239"/>
      <c r="DLO341" s="239"/>
      <c r="DLP341" s="239"/>
      <c r="DLQ341" s="239"/>
      <c r="DLR341" s="239"/>
      <c r="DLS341" s="233"/>
      <c r="DLT341" s="235"/>
      <c r="DLU341" s="233"/>
      <c r="DLV341" s="234"/>
      <c r="DLW341" s="234"/>
      <c r="DLX341" s="242"/>
      <c r="DLY341" s="234"/>
      <c r="DLZ341" s="234"/>
      <c r="DMA341" s="234"/>
      <c r="DMB341" s="236"/>
      <c r="DMC341" s="244"/>
      <c r="DMD341" s="239"/>
      <c r="DME341" s="240"/>
      <c r="DMF341" s="241"/>
      <c r="DMG341" s="239"/>
      <c r="DMH341" s="239"/>
      <c r="DMI341" s="239"/>
      <c r="DMJ341" s="239"/>
      <c r="DMK341" s="239"/>
      <c r="DML341" s="239"/>
      <c r="DMM341" s="233"/>
      <c r="DMN341" s="235"/>
      <c r="DMO341" s="233"/>
      <c r="DMP341" s="234"/>
      <c r="DMQ341" s="234"/>
      <c r="DMR341" s="242"/>
      <c r="DMS341" s="234"/>
      <c r="DMT341" s="234"/>
      <c r="DMU341" s="234"/>
      <c r="DMV341" s="236"/>
      <c r="DMW341" s="244"/>
      <c r="DMX341" s="239"/>
      <c r="DMY341" s="240"/>
      <c r="DMZ341" s="241"/>
      <c r="DNA341" s="239"/>
      <c r="DNB341" s="239"/>
      <c r="DNC341" s="239"/>
      <c r="DND341" s="239"/>
      <c r="DNE341" s="239"/>
      <c r="DNF341" s="239"/>
      <c r="DNG341" s="233"/>
      <c r="DNH341" s="235"/>
      <c r="DNI341" s="233"/>
      <c r="DNJ341" s="234"/>
      <c r="DNK341" s="234"/>
      <c r="DNL341" s="242"/>
      <c r="DNM341" s="234"/>
      <c r="DNN341" s="234"/>
      <c r="DNO341" s="234"/>
      <c r="DNP341" s="236"/>
      <c r="DNQ341" s="244"/>
      <c r="DNR341" s="239"/>
      <c r="DNS341" s="240"/>
      <c r="DNT341" s="241"/>
      <c r="DNU341" s="239"/>
      <c r="DNV341" s="239"/>
      <c r="DNW341" s="239"/>
      <c r="DNX341" s="239"/>
      <c r="DNY341" s="239"/>
      <c r="DNZ341" s="239"/>
      <c r="DOA341" s="233"/>
      <c r="DOB341" s="235"/>
      <c r="DOC341" s="233"/>
      <c r="DOD341" s="234"/>
      <c r="DOE341" s="234"/>
      <c r="DOF341" s="242"/>
      <c r="DOG341" s="234"/>
      <c r="DOH341" s="234"/>
      <c r="DOI341" s="234"/>
      <c r="DOJ341" s="236"/>
      <c r="DOK341" s="244"/>
      <c r="DOL341" s="239"/>
      <c r="DOM341" s="240"/>
      <c r="DON341" s="241"/>
      <c r="DOO341" s="239"/>
      <c r="DOP341" s="239"/>
      <c r="DOQ341" s="239"/>
      <c r="DOR341" s="239"/>
      <c r="DOS341" s="239"/>
      <c r="DOT341" s="239"/>
      <c r="DOU341" s="233"/>
      <c r="DOV341" s="235"/>
      <c r="DOW341" s="233"/>
      <c r="DOX341" s="234"/>
      <c r="DOY341" s="234"/>
      <c r="DOZ341" s="242"/>
      <c r="DPA341" s="234"/>
      <c r="DPB341" s="234"/>
      <c r="DPC341" s="234"/>
      <c r="DPD341" s="236"/>
      <c r="DPE341" s="244"/>
      <c r="DPF341" s="239"/>
      <c r="DPG341" s="240"/>
      <c r="DPH341" s="241"/>
      <c r="DPI341" s="239"/>
      <c r="DPJ341" s="239"/>
      <c r="DPK341" s="239"/>
      <c r="DPL341" s="239"/>
      <c r="DPM341" s="239"/>
      <c r="DPN341" s="239"/>
      <c r="DPO341" s="233"/>
      <c r="DPP341" s="235"/>
      <c r="DPQ341" s="233"/>
      <c r="DPR341" s="234"/>
      <c r="DPS341" s="234"/>
      <c r="DPT341" s="242"/>
      <c r="DPU341" s="234"/>
      <c r="DPV341" s="234"/>
      <c r="DPW341" s="234"/>
      <c r="DPX341" s="236"/>
      <c r="DPY341" s="244"/>
      <c r="DPZ341" s="239"/>
      <c r="DQA341" s="240"/>
      <c r="DQB341" s="241"/>
      <c r="DQC341" s="239"/>
      <c r="DQD341" s="239"/>
      <c r="DQE341" s="239"/>
      <c r="DQF341" s="239"/>
      <c r="DQG341" s="239"/>
      <c r="DQH341" s="239"/>
      <c r="DQI341" s="233"/>
      <c r="DQJ341" s="235"/>
      <c r="DQK341" s="233"/>
      <c r="DQL341" s="234"/>
      <c r="DQM341" s="234"/>
      <c r="DQN341" s="242"/>
      <c r="DQO341" s="234"/>
      <c r="DQP341" s="234"/>
      <c r="DQQ341" s="234"/>
      <c r="DQR341" s="236"/>
      <c r="DQS341" s="244"/>
      <c r="DQT341" s="239"/>
      <c r="DQU341" s="240"/>
      <c r="DQV341" s="241"/>
      <c r="DQW341" s="239"/>
      <c r="DQX341" s="239"/>
      <c r="DQY341" s="239"/>
      <c r="DQZ341" s="239"/>
      <c r="DRA341" s="239"/>
      <c r="DRB341" s="239"/>
      <c r="DRC341" s="233"/>
      <c r="DRD341" s="235"/>
      <c r="DRE341" s="233"/>
      <c r="DRF341" s="234"/>
      <c r="DRG341" s="234"/>
      <c r="DRH341" s="242"/>
      <c r="DRI341" s="234"/>
      <c r="DRJ341" s="234"/>
      <c r="DRK341" s="234"/>
      <c r="DRL341" s="236"/>
      <c r="DRM341" s="244"/>
      <c r="DRN341" s="239"/>
      <c r="DRO341" s="240"/>
      <c r="DRP341" s="241"/>
      <c r="DRQ341" s="239"/>
      <c r="DRR341" s="239"/>
      <c r="DRS341" s="239"/>
      <c r="DRT341" s="239"/>
      <c r="DRU341" s="239"/>
      <c r="DRV341" s="239"/>
      <c r="DRW341" s="233"/>
      <c r="DRX341" s="235"/>
      <c r="DRY341" s="233"/>
      <c r="DRZ341" s="234"/>
      <c r="DSA341" s="234"/>
      <c r="DSB341" s="242"/>
      <c r="DSC341" s="234"/>
      <c r="DSD341" s="234"/>
      <c r="DSE341" s="234"/>
      <c r="DSF341" s="236"/>
      <c r="DSG341" s="244"/>
      <c r="DSH341" s="239"/>
      <c r="DSI341" s="240"/>
      <c r="DSJ341" s="241"/>
      <c r="DSK341" s="239"/>
      <c r="DSL341" s="239"/>
      <c r="DSM341" s="239"/>
      <c r="DSN341" s="239"/>
      <c r="DSO341" s="239"/>
      <c r="DSP341" s="239"/>
      <c r="DSQ341" s="233"/>
      <c r="DSR341" s="235"/>
      <c r="DSS341" s="233"/>
      <c r="DST341" s="234"/>
      <c r="DSU341" s="234"/>
      <c r="DSV341" s="242"/>
      <c r="DSW341" s="234"/>
      <c r="DSX341" s="234"/>
      <c r="DSY341" s="234"/>
      <c r="DSZ341" s="236"/>
      <c r="DTA341" s="244"/>
      <c r="DTB341" s="239"/>
      <c r="DTC341" s="240"/>
      <c r="DTD341" s="241"/>
      <c r="DTE341" s="239"/>
      <c r="DTF341" s="239"/>
      <c r="DTG341" s="239"/>
      <c r="DTH341" s="239"/>
      <c r="DTI341" s="239"/>
      <c r="DTJ341" s="239"/>
      <c r="DTK341" s="233"/>
      <c r="DTL341" s="235"/>
      <c r="DTM341" s="233"/>
      <c r="DTN341" s="234"/>
      <c r="DTO341" s="234"/>
      <c r="DTP341" s="242"/>
      <c r="DTQ341" s="234"/>
      <c r="DTR341" s="234"/>
      <c r="DTS341" s="234"/>
      <c r="DTT341" s="236"/>
      <c r="DTU341" s="244"/>
      <c r="DTV341" s="239"/>
      <c r="DTW341" s="240"/>
      <c r="DTX341" s="241"/>
      <c r="DTY341" s="239"/>
      <c r="DTZ341" s="239"/>
      <c r="DUA341" s="239"/>
      <c r="DUB341" s="239"/>
      <c r="DUC341" s="239"/>
      <c r="DUD341" s="239"/>
      <c r="DUE341" s="233"/>
      <c r="DUF341" s="235"/>
      <c r="DUG341" s="233"/>
      <c r="DUH341" s="234"/>
      <c r="DUI341" s="234"/>
      <c r="DUJ341" s="242"/>
      <c r="DUK341" s="234"/>
      <c r="DUL341" s="234"/>
      <c r="DUM341" s="234"/>
      <c r="DUN341" s="236"/>
      <c r="DUO341" s="244"/>
      <c r="DUP341" s="239"/>
      <c r="DUQ341" s="240"/>
      <c r="DUR341" s="241"/>
      <c r="DUS341" s="239"/>
      <c r="DUT341" s="239"/>
      <c r="DUU341" s="239"/>
      <c r="DUV341" s="239"/>
      <c r="DUW341" s="239"/>
      <c r="DUX341" s="239"/>
      <c r="DUY341" s="233"/>
      <c r="DUZ341" s="235"/>
      <c r="DVA341" s="233"/>
      <c r="DVB341" s="234"/>
      <c r="DVC341" s="234"/>
      <c r="DVD341" s="242"/>
      <c r="DVE341" s="234"/>
      <c r="DVF341" s="234"/>
      <c r="DVG341" s="234"/>
      <c r="DVH341" s="236"/>
      <c r="DVI341" s="244"/>
      <c r="DVJ341" s="239"/>
      <c r="DVK341" s="240"/>
      <c r="DVL341" s="241"/>
      <c r="DVM341" s="239"/>
      <c r="DVN341" s="239"/>
      <c r="DVO341" s="239"/>
      <c r="DVP341" s="239"/>
      <c r="DVQ341" s="239"/>
      <c r="DVR341" s="239"/>
      <c r="DVS341" s="233"/>
      <c r="DVT341" s="235"/>
      <c r="DVU341" s="233"/>
      <c r="DVV341" s="234"/>
      <c r="DVW341" s="234"/>
      <c r="DVX341" s="242"/>
      <c r="DVY341" s="234"/>
      <c r="DVZ341" s="234"/>
      <c r="DWA341" s="234"/>
      <c r="DWB341" s="236"/>
      <c r="DWC341" s="244"/>
      <c r="DWD341" s="239"/>
      <c r="DWE341" s="240"/>
      <c r="DWF341" s="241"/>
      <c r="DWG341" s="239"/>
      <c r="DWH341" s="239"/>
      <c r="DWI341" s="239"/>
      <c r="DWJ341" s="239"/>
      <c r="DWK341" s="239"/>
      <c r="DWL341" s="239"/>
      <c r="DWM341" s="233"/>
      <c r="DWN341" s="235"/>
      <c r="DWO341" s="233"/>
      <c r="DWP341" s="234"/>
      <c r="DWQ341" s="234"/>
      <c r="DWR341" s="242"/>
      <c r="DWS341" s="234"/>
      <c r="DWT341" s="234"/>
      <c r="DWU341" s="234"/>
      <c r="DWV341" s="236"/>
      <c r="DWW341" s="244"/>
      <c r="DWX341" s="239"/>
      <c r="DWY341" s="240"/>
      <c r="DWZ341" s="241"/>
      <c r="DXA341" s="239"/>
      <c r="DXB341" s="239"/>
      <c r="DXC341" s="239"/>
      <c r="DXD341" s="239"/>
      <c r="DXE341" s="239"/>
      <c r="DXF341" s="239"/>
      <c r="DXG341" s="233"/>
      <c r="DXH341" s="235"/>
      <c r="DXI341" s="233"/>
      <c r="DXJ341" s="234"/>
      <c r="DXK341" s="234"/>
      <c r="DXL341" s="242"/>
      <c r="DXM341" s="234"/>
      <c r="DXN341" s="234"/>
      <c r="DXO341" s="234"/>
      <c r="DXP341" s="236"/>
      <c r="DXQ341" s="244"/>
      <c r="DXR341" s="239"/>
      <c r="DXS341" s="240"/>
      <c r="DXT341" s="241"/>
      <c r="DXU341" s="239"/>
      <c r="DXV341" s="239"/>
      <c r="DXW341" s="239"/>
      <c r="DXX341" s="239"/>
      <c r="DXY341" s="239"/>
      <c r="DXZ341" s="239"/>
      <c r="DYA341" s="233"/>
      <c r="DYB341" s="235"/>
      <c r="DYC341" s="233"/>
      <c r="DYD341" s="234"/>
      <c r="DYE341" s="234"/>
      <c r="DYF341" s="242"/>
      <c r="DYG341" s="234"/>
      <c r="DYH341" s="234"/>
      <c r="DYI341" s="234"/>
      <c r="DYJ341" s="236"/>
      <c r="DYK341" s="244"/>
      <c r="DYL341" s="239"/>
      <c r="DYM341" s="240"/>
      <c r="DYN341" s="241"/>
      <c r="DYO341" s="239"/>
      <c r="DYP341" s="239"/>
      <c r="DYQ341" s="239"/>
      <c r="DYR341" s="239"/>
      <c r="DYS341" s="239"/>
      <c r="DYT341" s="239"/>
      <c r="DYU341" s="233"/>
      <c r="DYV341" s="235"/>
      <c r="DYW341" s="233"/>
      <c r="DYX341" s="234"/>
      <c r="DYY341" s="234"/>
      <c r="DYZ341" s="242"/>
      <c r="DZA341" s="234"/>
      <c r="DZB341" s="234"/>
      <c r="DZC341" s="234"/>
      <c r="DZD341" s="236"/>
      <c r="DZE341" s="244"/>
      <c r="DZF341" s="239"/>
      <c r="DZG341" s="240"/>
      <c r="DZH341" s="241"/>
      <c r="DZI341" s="239"/>
      <c r="DZJ341" s="239"/>
      <c r="DZK341" s="239"/>
      <c r="DZL341" s="239"/>
      <c r="DZM341" s="239"/>
      <c r="DZN341" s="239"/>
      <c r="DZO341" s="233"/>
      <c r="DZP341" s="235"/>
      <c r="DZQ341" s="233"/>
      <c r="DZR341" s="234"/>
      <c r="DZS341" s="234"/>
      <c r="DZT341" s="242"/>
      <c r="DZU341" s="234"/>
      <c r="DZV341" s="234"/>
      <c r="DZW341" s="234"/>
      <c r="DZX341" s="236"/>
      <c r="DZY341" s="244"/>
      <c r="DZZ341" s="239"/>
      <c r="EAA341" s="240"/>
      <c r="EAB341" s="241"/>
      <c r="EAC341" s="239"/>
      <c r="EAD341" s="239"/>
      <c r="EAE341" s="239"/>
      <c r="EAF341" s="239"/>
      <c r="EAG341" s="239"/>
      <c r="EAH341" s="239"/>
      <c r="EAI341" s="233"/>
      <c r="EAJ341" s="235"/>
      <c r="EAK341" s="233"/>
      <c r="EAL341" s="234"/>
      <c r="EAM341" s="234"/>
      <c r="EAN341" s="242"/>
      <c r="EAO341" s="234"/>
      <c r="EAP341" s="234"/>
      <c r="EAQ341" s="234"/>
      <c r="EAR341" s="236"/>
      <c r="EAS341" s="244"/>
      <c r="EAT341" s="239"/>
      <c r="EAU341" s="240"/>
      <c r="EAV341" s="241"/>
      <c r="EAW341" s="239"/>
      <c r="EAX341" s="239"/>
      <c r="EAY341" s="239"/>
      <c r="EAZ341" s="239"/>
      <c r="EBA341" s="239"/>
      <c r="EBB341" s="239"/>
      <c r="EBC341" s="233"/>
      <c r="EBD341" s="235"/>
      <c r="EBE341" s="233"/>
      <c r="EBF341" s="234"/>
      <c r="EBG341" s="234"/>
      <c r="EBH341" s="242"/>
      <c r="EBI341" s="234"/>
      <c r="EBJ341" s="234"/>
      <c r="EBK341" s="234"/>
      <c r="EBL341" s="236"/>
      <c r="EBM341" s="244"/>
      <c r="EBN341" s="239"/>
      <c r="EBO341" s="240"/>
      <c r="EBP341" s="241"/>
      <c r="EBQ341" s="239"/>
      <c r="EBR341" s="239"/>
      <c r="EBS341" s="239"/>
      <c r="EBT341" s="239"/>
      <c r="EBU341" s="239"/>
      <c r="EBV341" s="239"/>
      <c r="EBW341" s="233"/>
      <c r="EBX341" s="235"/>
      <c r="EBY341" s="233"/>
      <c r="EBZ341" s="234"/>
      <c r="ECA341" s="234"/>
      <c r="ECB341" s="242"/>
      <c r="ECC341" s="234"/>
      <c r="ECD341" s="234"/>
      <c r="ECE341" s="234"/>
      <c r="ECF341" s="236"/>
      <c r="ECG341" s="244"/>
      <c r="ECH341" s="239"/>
      <c r="ECI341" s="240"/>
      <c r="ECJ341" s="241"/>
      <c r="ECK341" s="239"/>
      <c r="ECL341" s="239"/>
      <c r="ECM341" s="239"/>
      <c r="ECN341" s="239"/>
      <c r="ECO341" s="239"/>
      <c r="ECP341" s="239"/>
      <c r="ECQ341" s="233"/>
      <c r="ECR341" s="235"/>
      <c r="ECS341" s="233"/>
      <c r="ECT341" s="234"/>
      <c r="ECU341" s="234"/>
      <c r="ECV341" s="242"/>
      <c r="ECW341" s="234"/>
      <c r="ECX341" s="234"/>
      <c r="ECY341" s="234"/>
      <c r="ECZ341" s="236"/>
      <c r="EDA341" s="244"/>
      <c r="EDB341" s="239"/>
      <c r="EDC341" s="240"/>
      <c r="EDD341" s="241"/>
      <c r="EDE341" s="239"/>
      <c r="EDF341" s="239"/>
      <c r="EDG341" s="239"/>
      <c r="EDH341" s="239"/>
      <c r="EDI341" s="239"/>
      <c r="EDJ341" s="239"/>
      <c r="EDK341" s="233"/>
      <c r="EDL341" s="235"/>
      <c r="EDM341" s="233"/>
      <c r="EDN341" s="234"/>
      <c r="EDO341" s="234"/>
      <c r="EDP341" s="242"/>
      <c r="EDQ341" s="234"/>
      <c r="EDR341" s="234"/>
      <c r="EDS341" s="234"/>
      <c r="EDT341" s="236"/>
      <c r="EDU341" s="244"/>
      <c r="EDV341" s="239"/>
      <c r="EDW341" s="240"/>
      <c r="EDX341" s="241"/>
      <c r="EDY341" s="239"/>
      <c r="EDZ341" s="239"/>
      <c r="EEA341" s="239"/>
      <c r="EEB341" s="239"/>
      <c r="EEC341" s="239"/>
      <c r="EED341" s="239"/>
      <c r="EEE341" s="233"/>
      <c r="EEF341" s="235"/>
      <c r="EEG341" s="233"/>
      <c r="EEH341" s="234"/>
      <c r="EEI341" s="234"/>
      <c r="EEJ341" s="242"/>
      <c r="EEK341" s="234"/>
      <c r="EEL341" s="234"/>
      <c r="EEM341" s="234"/>
      <c r="EEN341" s="236"/>
      <c r="EEO341" s="244"/>
      <c r="EEP341" s="239"/>
      <c r="EEQ341" s="240"/>
      <c r="EER341" s="241"/>
      <c r="EES341" s="239"/>
      <c r="EET341" s="239"/>
      <c r="EEU341" s="239"/>
      <c r="EEV341" s="239"/>
      <c r="EEW341" s="239"/>
      <c r="EEX341" s="239"/>
      <c r="EEY341" s="233"/>
      <c r="EEZ341" s="235"/>
      <c r="EFA341" s="233"/>
      <c r="EFB341" s="234"/>
      <c r="EFC341" s="234"/>
      <c r="EFD341" s="242"/>
      <c r="EFE341" s="234"/>
      <c r="EFF341" s="234"/>
      <c r="EFG341" s="234"/>
      <c r="EFH341" s="236"/>
      <c r="EFI341" s="244"/>
      <c r="EFJ341" s="239"/>
      <c r="EFK341" s="240"/>
      <c r="EFL341" s="241"/>
      <c r="EFM341" s="239"/>
      <c r="EFN341" s="239"/>
      <c r="EFO341" s="239"/>
      <c r="EFP341" s="239"/>
      <c r="EFQ341" s="239"/>
      <c r="EFR341" s="239"/>
      <c r="EFS341" s="233"/>
      <c r="EFT341" s="235"/>
      <c r="EFU341" s="233"/>
      <c r="EFV341" s="234"/>
      <c r="EFW341" s="234"/>
      <c r="EFX341" s="242"/>
      <c r="EFY341" s="234"/>
      <c r="EFZ341" s="234"/>
      <c r="EGA341" s="234"/>
      <c r="EGB341" s="236"/>
      <c r="EGC341" s="244"/>
      <c r="EGD341" s="239"/>
      <c r="EGE341" s="240"/>
      <c r="EGF341" s="241"/>
      <c r="EGG341" s="239"/>
      <c r="EGH341" s="239"/>
      <c r="EGI341" s="239"/>
      <c r="EGJ341" s="239"/>
      <c r="EGK341" s="239"/>
      <c r="EGL341" s="239"/>
      <c r="EGM341" s="233"/>
      <c r="EGN341" s="235"/>
      <c r="EGO341" s="233"/>
      <c r="EGP341" s="234"/>
      <c r="EGQ341" s="234"/>
      <c r="EGR341" s="242"/>
      <c r="EGS341" s="234"/>
      <c r="EGT341" s="234"/>
      <c r="EGU341" s="234"/>
      <c r="EGV341" s="236"/>
      <c r="EGW341" s="244"/>
      <c r="EGX341" s="239"/>
      <c r="EGY341" s="240"/>
      <c r="EGZ341" s="241"/>
      <c r="EHA341" s="239"/>
      <c r="EHB341" s="239"/>
      <c r="EHC341" s="239"/>
      <c r="EHD341" s="239"/>
      <c r="EHE341" s="239"/>
      <c r="EHF341" s="239"/>
      <c r="EHG341" s="233"/>
      <c r="EHH341" s="235"/>
      <c r="EHI341" s="233"/>
      <c r="EHJ341" s="234"/>
      <c r="EHK341" s="234"/>
      <c r="EHL341" s="242"/>
      <c r="EHM341" s="234"/>
      <c r="EHN341" s="234"/>
      <c r="EHO341" s="234"/>
      <c r="EHP341" s="236"/>
      <c r="EHQ341" s="244"/>
      <c r="EHR341" s="239"/>
      <c r="EHS341" s="240"/>
      <c r="EHT341" s="241"/>
      <c r="EHU341" s="239"/>
      <c r="EHV341" s="239"/>
      <c r="EHW341" s="239"/>
      <c r="EHX341" s="239"/>
      <c r="EHY341" s="239"/>
      <c r="EHZ341" s="239"/>
      <c r="EIA341" s="233"/>
      <c r="EIB341" s="235"/>
      <c r="EIC341" s="233"/>
      <c r="EID341" s="234"/>
      <c r="EIE341" s="234"/>
      <c r="EIF341" s="242"/>
      <c r="EIG341" s="234"/>
      <c r="EIH341" s="234"/>
      <c r="EII341" s="234"/>
      <c r="EIJ341" s="236"/>
      <c r="EIK341" s="244"/>
      <c r="EIL341" s="239"/>
      <c r="EIM341" s="240"/>
      <c r="EIN341" s="241"/>
      <c r="EIO341" s="239"/>
      <c r="EIP341" s="239"/>
      <c r="EIQ341" s="239"/>
      <c r="EIR341" s="239"/>
      <c r="EIS341" s="239"/>
      <c r="EIT341" s="239"/>
      <c r="EIU341" s="233"/>
      <c r="EIV341" s="235"/>
      <c r="EIW341" s="233"/>
      <c r="EIX341" s="234"/>
      <c r="EIY341" s="234"/>
      <c r="EIZ341" s="242"/>
      <c r="EJA341" s="234"/>
      <c r="EJB341" s="234"/>
      <c r="EJC341" s="234"/>
      <c r="EJD341" s="236"/>
      <c r="EJE341" s="244"/>
      <c r="EJF341" s="239"/>
      <c r="EJG341" s="240"/>
      <c r="EJH341" s="241"/>
      <c r="EJI341" s="239"/>
      <c r="EJJ341" s="239"/>
      <c r="EJK341" s="239"/>
      <c r="EJL341" s="239"/>
      <c r="EJM341" s="239"/>
      <c r="EJN341" s="239"/>
      <c r="EJO341" s="233"/>
      <c r="EJP341" s="235"/>
      <c r="EJQ341" s="233"/>
      <c r="EJR341" s="234"/>
      <c r="EJS341" s="234"/>
      <c r="EJT341" s="242"/>
      <c r="EJU341" s="234"/>
      <c r="EJV341" s="234"/>
      <c r="EJW341" s="234"/>
      <c r="EJX341" s="236"/>
      <c r="EJY341" s="244"/>
      <c r="EJZ341" s="239"/>
      <c r="EKA341" s="240"/>
      <c r="EKB341" s="241"/>
      <c r="EKC341" s="239"/>
      <c r="EKD341" s="239"/>
      <c r="EKE341" s="239"/>
      <c r="EKF341" s="239"/>
      <c r="EKG341" s="239"/>
      <c r="EKH341" s="239"/>
      <c r="EKI341" s="233"/>
      <c r="EKJ341" s="235"/>
      <c r="EKK341" s="233"/>
      <c r="EKL341" s="234"/>
      <c r="EKM341" s="234"/>
      <c r="EKN341" s="242"/>
      <c r="EKO341" s="234"/>
      <c r="EKP341" s="234"/>
      <c r="EKQ341" s="234"/>
      <c r="EKR341" s="236"/>
      <c r="EKS341" s="244"/>
      <c r="EKT341" s="239"/>
      <c r="EKU341" s="240"/>
      <c r="EKV341" s="241"/>
      <c r="EKW341" s="239"/>
      <c r="EKX341" s="239"/>
      <c r="EKY341" s="239"/>
      <c r="EKZ341" s="239"/>
      <c r="ELA341" s="239"/>
      <c r="ELB341" s="239"/>
      <c r="ELC341" s="233"/>
      <c r="ELD341" s="235"/>
      <c r="ELE341" s="233"/>
      <c r="ELF341" s="234"/>
      <c r="ELG341" s="234"/>
      <c r="ELH341" s="242"/>
      <c r="ELI341" s="234"/>
      <c r="ELJ341" s="234"/>
      <c r="ELK341" s="234"/>
      <c r="ELL341" s="236"/>
      <c r="ELM341" s="244"/>
      <c r="ELN341" s="239"/>
      <c r="ELO341" s="240"/>
      <c r="ELP341" s="241"/>
      <c r="ELQ341" s="239"/>
      <c r="ELR341" s="239"/>
      <c r="ELS341" s="239"/>
      <c r="ELT341" s="239"/>
      <c r="ELU341" s="239"/>
      <c r="ELV341" s="239"/>
      <c r="ELW341" s="233"/>
      <c r="ELX341" s="235"/>
      <c r="ELY341" s="233"/>
      <c r="ELZ341" s="234"/>
      <c r="EMA341" s="234"/>
      <c r="EMB341" s="242"/>
      <c r="EMC341" s="234"/>
      <c r="EMD341" s="234"/>
      <c r="EME341" s="234"/>
      <c r="EMF341" s="236"/>
      <c r="EMG341" s="244"/>
      <c r="EMH341" s="239"/>
      <c r="EMI341" s="240"/>
      <c r="EMJ341" s="241"/>
      <c r="EMK341" s="239"/>
      <c r="EML341" s="239"/>
      <c r="EMM341" s="239"/>
      <c r="EMN341" s="239"/>
      <c r="EMO341" s="239"/>
      <c r="EMP341" s="239"/>
      <c r="EMQ341" s="233"/>
      <c r="EMR341" s="235"/>
      <c r="EMS341" s="233"/>
      <c r="EMT341" s="234"/>
      <c r="EMU341" s="234"/>
      <c r="EMV341" s="242"/>
      <c r="EMW341" s="234"/>
      <c r="EMX341" s="234"/>
      <c r="EMY341" s="234"/>
      <c r="EMZ341" s="236"/>
      <c r="ENA341" s="244"/>
      <c r="ENB341" s="239"/>
      <c r="ENC341" s="240"/>
      <c r="END341" s="241"/>
      <c r="ENE341" s="239"/>
      <c r="ENF341" s="239"/>
      <c r="ENG341" s="239"/>
      <c r="ENH341" s="239"/>
      <c r="ENI341" s="239"/>
      <c r="ENJ341" s="239"/>
      <c r="ENK341" s="233"/>
      <c r="ENL341" s="235"/>
      <c r="ENM341" s="233"/>
      <c r="ENN341" s="234"/>
      <c r="ENO341" s="234"/>
      <c r="ENP341" s="242"/>
      <c r="ENQ341" s="234"/>
      <c r="ENR341" s="234"/>
      <c r="ENS341" s="234"/>
      <c r="ENT341" s="236"/>
      <c r="ENU341" s="244"/>
      <c r="ENV341" s="239"/>
      <c r="ENW341" s="240"/>
      <c r="ENX341" s="241"/>
      <c r="ENY341" s="239"/>
      <c r="ENZ341" s="239"/>
      <c r="EOA341" s="239"/>
      <c r="EOB341" s="239"/>
      <c r="EOC341" s="239"/>
      <c r="EOD341" s="239"/>
      <c r="EOE341" s="233"/>
      <c r="EOF341" s="235"/>
      <c r="EOG341" s="233"/>
      <c r="EOH341" s="234"/>
      <c r="EOI341" s="234"/>
      <c r="EOJ341" s="242"/>
      <c r="EOK341" s="234"/>
      <c r="EOL341" s="234"/>
      <c r="EOM341" s="234"/>
      <c r="EON341" s="236"/>
      <c r="EOO341" s="244"/>
      <c r="EOP341" s="239"/>
      <c r="EOQ341" s="240"/>
      <c r="EOR341" s="241"/>
      <c r="EOS341" s="239"/>
      <c r="EOT341" s="239"/>
      <c r="EOU341" s="239"/>
      <c r="EOV341" s="239"/>
      <c r="EOW341" s="239"/>
      <c r="EOX341" s="239"/>
      <c r="EOY341" s="233"/>
      <c r="EOZ341" s="235"/>
      <c r="EPA341" s="233"/>
      <c r="EPB341" s="234"/>
      <c r="EPC341" s="234"/>
      <c r="EPD341" s="242"/>
      <c r="EPE341" s="234"/>
      <c r="EPF341" s="234"/>
      <c r="EPG341" s="234"/>
      <c r="EPH341" s="236"/>
      <c r="EPI341" s="244"/>
      <c r="EPJ341" s="239"/>
      <c r="EPK341" s="240"/>
      <c r="EPL341" s="241"/>
      <c r="EPM341" s="239"/>
      <c r="EPN341" s="239"/>
      <c r="EPO341" s="239"/>
      <c r="EPP341" s="239"/>
      <c r="EPQ341" s="239"/>
      <c r="EPR341" s="239"/>
      <c r="EPS341" s="233"/>
      <c r="EPT341" s="235"/>
      <c r="EPU341" s="233"/>
      <c r="EPV341" s="234"/>
      <c r="EPW341" s="234"/>
      <c r="EPX341" s="242"/>
      <c r="EPY341" s="234"/>
      <c r="EPZ341" s="234"/>
      <c r="EQA341" s="234"/>
      <c r="EQB341" s="236"/>
      <c r="EQC341" s="244"/>
      <c r="EQD341" s="239"/>
      <c r="EQE341" s="240"/>
      <c r="EQF341" s="241"/>
      <c r="EQG341" s="239"/>
      <c r="EQH341" s="239"/>
      <c r="EQI341" s="239"/>
      <c r="EQJ341" s="239"/>
      <c r="EQK341" s="239"/>
      <c r="EQL341" s="239"/>
      <c r="EQM341" s="233"/>
      <c r="EQN341" s="235"/>
      <c r="EQO341" s="233"/>
      <c r="EQP341" s="234"/>
      <c r="EQQ341" s="234"/>
      <c r="EQR341" s="242"/>
      <c r="EQS341" s="234"/>
      <c r="EQT341" s="234"/>
      <c r="EQU341" s="234"/>
      <c r="EQV341" s="236"/>
      <c r="EQW341" s="244"/>
      <c r="EQX341" s="239"/>
      <c r="EQY341" s="240"/>
      <c r="EQZ341" s="241"/>
      <c r="ERA341" s="239"/>
      <c r="ERB341" s="239"/>
      <c r="ERC341" s="239"/>
      <c r="ERD341" s="239"/>
      <c r="ERE341" s="239"/>
      <c r="ERF341" s="239"/>
      <c r="ERG341" s="233"/>
      <c r="ERH341" s="235"/>
      <c r="ERI341" s="233"/>
      <c r="ERJ341" s="234"/>
      <c r="ERK341" s="234"/>
      <c r="ERL341" s="242"/>
      <c r="ERM341" s="234"/>
      <c r="ERN341" s="234"/>
      <c r="ERO341" s="234"/>
      <c r="ERP341" s="236"/>
      <c r="ERQ341" s="244"/>
      <c r="ERR341" s="239"/>
      <c r="ERS341" s="240"/>
      <c r="ERT341" s="241"/>
      <c r="ERU341" s="239"/>
      <c r="ERV341" s="239"/>
      <c r="ERW341" s="239"/>
      <c r="ERX341" s="239"/>
      <c r="ERY341" s="239"/>
      <c r="ERZ341" s="239"/>
      <c r="ESA341" s="233"/>
      <c r="ESB341" s="235"/>
      <c r="ESC341" s="233"/>
      <c r="ESD341" s="234"/>
      <c r="ESE341" s="234"/>
      <c r="ESF341" s="242"/>
      <c r="ESG341" s="234"/>
      <c r="ESH341" s="234"/>
      <c r="ESI341" s="234"/>
      <c r="ESJ341" s="236"/>
      <c r="ESK341" s="244"/>
      <c r="ESL341" s="239"/>
      <c r="ESM341" s="240"/>
      <c r="ESN341" s="241"/>
      <c r="ESO341" s="239"/>
      <c r="ESP341" s="239"/>
      <c r="ESQ341" s="239"/>
      <c r="ESR341" s="239"/>
      <c r="ESS341" s="239"/>
      <c r="EST341" s="239"/>
      <c r="ESU341" s="233"/>
      <c r="ESV341" s="235"/>
      <c r="ESW341" s="233"/>
      <c r="ESX341" s="234"/>
      <c r="ESY341" s="234"/>
      <c r="ESZ341" s="242"/>
      <c r="ETA341" s="234"/>
      <c r="ETB341" s="234"/>
      <c r="ETC341" s="234"/>
      <c r="ETD341" s="236"/>
      <c r="ETE341" s="244"/>
      <c r="ETF341" s="239"/>
      <c r="ETG341" s="240"/>
      <c r="ETH341" s="241"/>
      <c r="ETI341" s="239"/>
      <c r="ETJ341" s="239"/>
      <c r="ETK341" s="239"/>
      <c r="ETL341" s="239"/>
      <c r="ETM341" s="239"/>
      <c r="ETN341" s="239"/>
      <c r="ETO341" s="233"/>
      <c r="ETP341" s="235"/>
      <c r="ETQ341" s="233"/>
      <c r="ETR341" s="234"/>
      <c r="ETS341" s="234"/>
      <c r="ETT341" s="242"/>
      <c r="ETU341" s="234"/>
      <c r="ETV341" s="234"/>
      <c r="ETW341" s="234"/>
      <c r="ETX341" s="236"/>
      <c r="ETY341" s="244"/>
      <c r="ETZ341" s="239"/>
      <c r="EUA341" s="240"/>
      <c r="EUB341" s="241"/>
      <c r="EUC341" s="239"/>
      <c r="EUD341" s="239"/>
      <c r="EUE341" s="239"/>
      <c r="EUF341" s="239"/>
      <c r="EUG341" s="239"/>
      <c r="EUH341" s="239"/>
      <c r="EUI341" s="233"/>
      <c r="EUJ341" s="235"/>
      <c r="EUK341" s="233"/>
      <c r="EUL341" s="234"/>
      <c r="EUM341" s="234"/>
      <c r="EUN341" s="242"/>
      <c r="EUO341" s="234"/>
      <c r="EUP341" s="234"/>
      <c r="EUQ341" s="234"/>
      <c r="EUR341" s="236"/>
      <c r="EUS341" s="244"/>
      <c r="EUT341" s="239"/>
      <c r="EUU341" s="240"/>
      <c r="EUV341" s="241"/>
      <c r="EUW341" s="239"/>
      <c r="EUX341" s="239"/>
      <c r="EUY341" s="239"/>
      <c r="EUZ341" s="239"/>
      <c r="EVA341" s="239"/>
      <c r="EVB341" s="239"/>
      <c r="EVC341" s="233"/>
      <c r="EVD341" s="235"/>
      <c r="EVE341" s="233"/>
      <c r="EVF341" s="234"/>
      <c r="EVG341" s="234"/>
      <c r="EVH341" s="242"/>
      <c r="EVI341" s="234"/>
      <c r="EVJ341" s="234"/>
      <c r="EVK341" s="234"/>
      <c r="EVL341" s="236"/>
      <c r="EVM341" s="244"/>
      <c r="EVN341" s="239"/>
      <c r="EVO341" s="240"/>
      <c r="EVP341" s="241"/>
      <c r="EVQ341" s="239"/>
      <c r="EVR341" s="239"/>
      <c r="EVS341" s="239"/>
      <c r="EVT341" s="239"/>
      <c r="EVU341" s="239"/>
      <c r="EVV341" s="239"/>
      <c r="EVW341" s="233"/>
      <c r="EVX341" s="235"/>
      <c r="EVY341" s="233"/>
      <c r="EVZ341" s="234"/>
      <c r="EWA341" s="234"/>
      <c r="EWB341" s="242"/>
      <c r="EWC341" s="234"/>
      <c r="EWD341" s="234"/>
      <c r="EWE341" s="234"/>
      <c r="EWF341" s="236"/>
      <c r="EWG341" s="244"/>
      <c r="EWH341" s="239"/>
      <c r="EWI341" s="240"/>
      <c r="EWJ341" s="241"/>
      <c r="EWK341" s="239"/>
      <c r="EWL341" s="239"/>
      <c r="EWM341" s="239"/>
      <c r="EWN341" s="239"/>
      <c r="EWO341" s="239"/>
      <c r="EWP341" s="239"/>
      <c r="EWQ341" s="233"/>
      <c r="EWR341" s="235"/>
      <c r="EWS341" s="233"/>
      <c r="EWT341" s="234"/>
      <c r="EWU341" s="234"/>
      <c r="EWV341" s="242"/>
      <c r="EWW341" s="234"/>
      <c r="EWX341" s="234"/>
      <c r="EWY341" s="234"/>
      <c r="EWZ341" s="236"/>
      <c r="EXA341" s="244"/>
      <c r="EXB341" s="239"/>
      <c r="EXC341" s="240"/>
      <c r="EXD341" s="241"/>
      <c r="EXE341" s="239"/>
      <c r="EXF341" s="239"/>
      <c r="EXG341" s="239"/>
      <c r="EXH341" s="239"/>
      <c r="EXI341" s="239"/>
      <c r="EXJ341" s="239"/>
      <c r="EXK341" s="233"/>
      <c r="EXL341" s="235"/>
      <c r="EXM341" s="233"/>
      <c r="EXN341" s="234"/>
      <c r="EXO341" s="234"/>
      <c r="EXP341" s="242"/>
      <c r="EXQ341" s="234"/>
      <c r="EXR341" s="234"/>
      <c r="EXS341" s="234"/>
      <c r="EXT341" s="236"/>
      <c r="EXU341" s="244"/>
      <c r="EXV341" s="239"/>
      <c r="EXW341" s="240"/>
      <c r="EXX341" s="241"/>
      <c r="EXY341" s="239"/>
      <c r="EXZ341" s="239"/>
      <c r="EYA341" s="239"/>
      <c r="EYB341" s="239"/>
      <c r="EYC341" s="239"/>
      <c r="EYD341" s="239"/>
      <c r="EYE341" s="233"/>
      <c r="EYF341" s="235"/>
      <c r="EYG341" s="233"/>
      <c r="EYH341" s="234"/>
      <c r="EYI341" s="234"/>
      <c r="EYJ341" s="242"/>
      <c r="EYK341" s="234"/>
      <c r="EYL341" s="234"/>
      <c r="EYM341" s="234"/>
      <c r="EYN341" s="236"/>
      <c r="EYO341" s="244"/>
      <c r="EYP341" s="239"/>
      <c r="EYQ341" s="240"/>
      <c r="EYR341" s="241"/>
      <c r="EYS341" s="239"/>
      <c r="EYT341" s="239"/>
      <c r="EYU341" s="239"/>
      <c r="EYV341" s="239"/>
      <c r="EYW341" s="239"/>
      <c r="EYX341" s="239"/>
      <c r="EYY341" s="233"/>
      <c r="EYZ341" s="235"/>
      <c r="EZA341" s="233"/>
      <c r="EZB341" s="234"/>
      <c r="EZC341" s="234"/>
      <c r="EZD341" s="242"/>
      <c r="EZE341" s="234"/>
      <c r="EZF341" s="234"/>
      <c r="EZG341" s="234"/>
      <c r="EZH341" s="236"/>
      <c r="EZI341" s="244"/>
      <c r="EZJ341" s="239"/>
      <c r="EZK341" s="240"/>
      <c r="EZL341" s="241"/>
      <c r="EZM341" s="239"/>
      <c r="EZN341" s="239"/>
      <c r="EZO341" s="239"/>
      <c r="EZP341" s="239"/>
      <c r="EZQ341" s="239"/>
      <c r="EZR341" s="239"/>
      <c r="EZS341" s="233"/>
      <c r="EZT341" s="235"/>
      <c r="EZU341" s="233"/>
      <c r="EZV341" s="234"/>
      <c r="EZW341" s="234"/>
      <c r="EZX341" s="242"/>
      <c r="EZY341" s="234"/>
      <c r="EZZ341" s="234"/>
      <c r="FAA341" s="234"/>
      <c r="FAB341" s="236"/>
      <c r="FAC341" s="244"/>
      <c r="FAD341" s="239"/>
      <c r="FAE341" s="240"/>
      <c r="FAF341" s="241"/>
      <c r="FAG341" s="239"/>
      <c r="FAH341" s="239"/>
      <c r="FAI341" s="239"/>
      <c r="FAJ341" s="239"/>
      <c r="FAK341" s="239"/>
      <c r="FAL341" s="239"/>
      <c r="FAM341" s="233"/>
      <c r="FAN341" s="235"/>
      <c r="FAO341" s="233"/>
      <c r="FAP341" s="234"/>
      <c r="FAQ341" s="234"/>
      <c r="FAR341" s="242"/>
      <c r="FAS341" s="234"/>
      <c r="FAT341" s="234"/>
      <c r="FAU341" s="234"/>
      <c r="FAV341" s="236"/>
      <c r="FAW341" s="244"/>
      <c r="FAX341" s="239"/>
      <c r="FAY341" s="240"/>
      <c r="FAZ341" s="241"/>
      <c r="FBA341" s="239"/>
      <c r="FBB341" s="239"/>
      <c r="FBC341" s="239"/>
      <c r="FBD341" s="239"/>
      <c r="FBE341" s="239"/>
      <c r="FBF341" s="239"/>
      <c r="FBG341" s="233"/>
      <c r="FBH341" s="235"/>
      <c r="FBI341" s="233"/>
      <c r="FBJ341" s="234"/>
      <c r="FBK341" s="234"/>
      <c r="FBL341" s="242"/>
      <c r="FBM341" s="234"/>
      <c r="FBN341" s="234"/>
      <c r="FBO341" s="234"/>
      <c r="FBP341" s="236"/>
      <c r="FBQ341" s="244"/>
      <c r="FBR341" s="239"/>
      <c r="FBS341" s="240"/>
      <c r="FBT341" s="241"/>
      <c r="FBU341" s="239"/>
      <c r="FBV341" s="239"/>
      <c r="FBW341" s="239"/>
      <c r="FBX341" s="239"/>
      <c r="FBY341" s="239"/>
      <c r="FBZ341" s="239"/>
      <c r="FCA341" s="233"/>
      <c r="FCB341" s="235"/>
      <c r="FCC341" s="233"/>
      <c r="FCD341" s="234"/>
      <c r="FCE341" s="234"/>
      <c r="FCF341" s="242"/>
      <c r="FCG341" s="234"/>
      <c r="FCH341" s="234"/>
      <c r="FCI341" s="234"/>
      <c r="FCJ341" s="236"/>
      <c r="FCK341" s="244"/>
      <c r="FCL341" s="239"/>
      <c r="FCM341" s="240"/>
      <c r="FCN341" s="241"/>
      <c r="FCO341" s="239"/>
      <c r="FCP341" s="239"/>
      <c r="FCQ341" s="239"/>
      <c r="FCR341" s="239"/>
      <c r="FCS341" s="239"/>
      <c r="FCT341" s="239"/>
      <c r="FCU341" s="233"/>
      <c r="FCV341" s="235"/>
      <c r="FCW341" s="233"/>
      <c r="FCX341" s="234"/>
      <c r="FCY341" s="234"/>
      <c r="FCZ341" s="242"/>
      <c r="FDA341" s="234"/>
      <c r="FDB341" s="234"/>
      <c r="FDC341" s="234"/>
      <c r="FDD341" s="236"/>
      <c r="FDE341" s="244"/>
      <c r="FDF341" s="239"/>
      <c r="FDG341" s="240"/>
      <c r="FDH341" s="241"/>
      <c r="FDI341" s="239"/>
      <c r="FDJ341" s="239"/>
      <c r="FDK341" s="239"/>
      <c r="FDL341" s="239"/>
      <c r="FDM341" s="239"/>
      <c r="FDN341" s="239"/>
      <c r="FDO341" s="233"/>
      <c r="FDP341" s="235"/>
      <c r="FDQ341" s="233"/>
      <c r="FDR341" s="234"/>
      <c r="FDS341" s="234"/>
      <c r="FDT341" s="242"/>
      <c r="FDU341" s="234"/>
      <c r="FDV341" s="234"/>
      <c r="FDW341" s="234"/>
      <c r="FDX341" s="236"/>
      <c r="FDY341" s="244"/>
      <c r="FDZ341" s="239"/>
      <c r="FEA341" s="240"/>
      <c r="FEB341" s="241"/>
      <c r="FEC341" s="239"/>
      <c r="FED341" s="239"/>
      <c r="FEE341" s="239"/>
      <c r="FEF341" s="239"/>
      <c r="FEG341" s="239"/>
      <c r="FEH341" s="239"/>
      <c r="FEI341" s="233"/>
      <c r="FEJ341" s="235"/>
      <c r="FEK341" s="233"/>
      <c r="FEL341" s="234"/>
      <c r="FEM341" s="234"/>
      <c r="FEN341" s="242"/>
      <c r="FEO341" s="234"/>
      <c r="FEP341" s="234"/>
      <c r="FEQ341" s="234"/>
      <c r="FER341" s="236"/>
      <c r="FES341" s="244"/>
      <c r="FET341" s="239"/>
      <c r="FEU341" s="240"/>
      <c r="FEV341" s="241"/>
      <c r="FEW341" s="239"/>
      <c r="FEX341" s="239"/>
      <c r="FEY341" s="239"/>
      <c r="FEZ341" s="239"/>
      <c r="FFA341" s="239"/>
      <c r="FFB341" s="239"/>
      <c r="FFC341" s="233"/>
      <c r="FFD341" s="235"/>
      <c r="FFE341" s="233"/>
      <c r="FFF341" s="234"/>
      <c r="FFG341" s="234"/>
      <c r="FFH341" s="242"/>
      <c r="FFI341" s="234"/>
      <c r="FFJ341" s="234"/>
      <c r="FFK341" s="234"/>
      <c r="FFL341" s="236"/>
      <c r="FFM341" s="244"/>
      <c r="FFN341" s="239"/>
      <c r="FFO341" s="240"/>
      <c r="FFP341" s="241"/>
      <c r="FFQ341" s="239"/>
      <c r="FFR341" s="239"/>
      <c r="FFS341" s="239"/>
      <c r="FFT341" s="239"/>
      <c r="FFU341" s="239"/>
      <c r="FFV341" s="239"/>
      <c r="FFW341" s="233"/>
      <c r="FFX341" s="235"/>
      <c r="FFY341" s="233"/>
      <c r="FFZ341" s="234"/>
      <c r="FGA341" s="234"/>
      <c r="FGB341" s="242"/>
      <c r="FGC341" s="234"/>
      <c r="FGD341" s="234"/>
      <c r="FGE341" s="234"/>
      <c r="FGF341" s="236"/>
      <c r="FGG341" s="244"/>
      <c r="FGH341" s="239"/>
      <c r="FGI341" s="240"/>
      <c r="FGJ341" s="241"/>
      <c r="FGK341" s="239"/>
      <c r="FGL341" s="239"/>
      <c r="FGM341" s="239"/>
      <c r="FGN341" s="239"/>
      <c r="FGO341" s="239"/>
      <c r="FGP341" s="239"/>
      <c r="FGQ341" s="233"/>
      <c r="FGR341" s="235"/>
      <c r="FGS341" s="233"/>
      <c r="FGT341" s="234"/>
      <c r="FGU341" s="234"/>
      <c r="FGV341" s="242"/>
      <c r="FGW341" s="234"/>
      <c r="FGX341" s="234"/>
      <c r="FGY341" s="234"/>
      <c r="FGZ341" s="236"/>
      <c r="FHA341" s="244"/>
      <c r="FHB341" s="239"/>
      <c r="FHC341" s="240"/>
      <c r="FHD341" s="241"/>
      <c r="FHE341" s="239"/>
      <c r="FHF341" s="239"/>
      <c r="FHG341" s="239"/>
      <c r="FHH341" s="239"/>
      <c r="FHI341" s="239"/>
      <c r="FHJ341" s="239"/>
      <c r="FHK341" s="233"/>
      <c r="FHL341" s="235"/>
      <c r="FHM341" s="233"/>
      <c r="FHN341" s="234"/>
      <c r="FHO341" s="234"/>
      <c r="FHP341" s="242"/>
      <c r="FHQ341" s="234"/>
      <c r="FHR341" s="234"/>
      <c r="FHS341" s="234"/>
      <c r="FHT341" s="236"/>
      <c r="FHU341" s="244"/>
      <c r="FHV341" s="239"/>
      <c r="FHW341" s="240"/>
      <c r="FHX341" s="241"/>
      <c r="FHY341" s="239"/>
      <c r="FHZ341" s="239"/>
      <c r="FIA341" s="239"/>
      <c r="FIB341" s="239"/>
      <c r="FIC341" s="239"/>
      <c r="FID341" s="239"/>
      <c r="FIE341" s="233"/>
      <c r="FIF341" s="235"/>
      <c r="FIG341" s="233"/>
      <c r="FIH341" s="234"/>
      <c r="FII341" s="234"/>
      <c r="FIJ341" s="242"/>
      <c r="FIK341" s="234"/>
      <c r="FIL341" s="234"/>
      <c r="FIM341" s="234"/>
      <c r="FIN341" s="236"/>
      <c r="FIO341" s="244"/>
      <c r="FIP341" s="239"/>
      <c r="FIQ341" s="240"/>
      <c r="FIR341" s="241"/>
      <c r="FIS341" s="239"/>
      <c r="FIT341" s="239"/>
      <c r="FIU341" s="239"/>
      <c r="FIV341" s="239"/>
      <c r="FIW341" s="239"/>
      <c r="FIX341" s="239"/>
      <c r="FIY341" s="233"/>
      <c r="FIZ341" s="235"/>
      <c r="FJA341" s="233"/>
      <c r="FJB341" s="234"/>
      <c r="FJC341" s="234"/>
      <c r="FJD341" s="242"/>
      <c r="FJE341" s="234"/>
      <c r="FJF341" s="234"/>
      <c r="FJG341" s="234"/>
      <c r="FJH341" s="236"/>
      <c r="FJI341" s="244"/>
      <c r="FJJ341" s="239"/>
      <c r="FJK341" s="240"/>
      <c r="FJL341" s="241"/>
      <c r="FJM341" s="239"/>
      <c r="FJN341" s="239"/>
      <c r="FJO341" s="239"/>
      <c r="FJP341" s="239"/>
      <c r="FJQ341" s="239"/>
      <c r="FJR341" s="239"/>
      <c r="FJS341" s="233"/>
      <c r="FJT341" s="235"/>
      <c r="FJU341" s="233"/>
      <c r="FJV341" s="234"/>
      <c r="FJW341" s="234"/>
      <c r="FJX341" s="242"/>
      <c r="FJY341" s="234"/>
      <c r="FJZ341" s="234"/>
      <c r="FKA341" s="234"/>
      <c r="FKB341" s="236"/>
      <c r="FKC341" s="244"/>
      <c r="FKD341" s="239"/>
      <c r="FKE341" s="240"/>
      <c r="FKF341" s="241"/>
      <c r="FKG341" s="239"/>
      <c r="FKH341" s="239"/>
      <c r="FKI341" s="239"/>
      <c r="FKJ341" s="239"/>
      <c r="FKK341" s="239"/>
      <c r="FKL341" s="239"/>
      <c r="FKM341" s="233"/>
      <c r="FKN341" s="235"/>
      <c r="FKO341" s="233"/>
      <c r="FKP341" s="234"/>
      <c r="FKQ341" s="234"/>
      <c r="FKR341" s="242"/>
      <c r="FKS341" s="234"/>
      <c r="FKT341" s="234"/>
      <c r="FKU341" s="234"/>
      <c r="FKV341" s="236"/>
      <c r="FKW341" s="244"/>
      <c r="FKX341" s="239"/>
      <c r="FKY341" s="240"/>
      <c r="FKZ341" s="241"/>
      <c r="FLA341" s="239"/>
      <c r="FLB341" s="239"/>
      <c r="FLC341" s="239"/>
      <c r="FLD341" s="239"/>
      <c r="FLE341" s="239"/>
      <c r="FLF341" s="239"/>
      <c r="FLG341" s="233"/>
      <c r="FLH341" s="235"/>
      <c r="FLI341" s="233"/>
      <c r="FLJ341" s="234"/>
      <c r="FLK341" s="234"/>
      <c r="FLL341" s="242"/>
      <c r="FLM341" s="234"/>
      <c r="FLN341" s="234"/>
      <c r="FLO341" s="234"/>
      <c r="FLP341" s="236"/>
      <c r="FLQ341" s="244"/>
      <c r="FLR341" s="239"/>
      <c r="FLS341" s="240"/>
      <c r="FLT341" s="241"/>
      <c r="FLU341" s="239"/>
      <c r="FLV341" s="239"/>
      <c r="FLW341" s="239"/>
      <c r="FLX341" s="239"/>
      <c r="FLY341" s="239"/>
      <c r="FLZ341" s="239"/>
      <c r="FMA341" s="233"/>
      <c r="FMB341" s="235"/>
      <c r="FMC341" s="233"/>
      <c r="FMD341" s="234"/>
      <c r="FME341" s="234"/>
      <c r="FMF341" s="242"/>
      <c r="FMG341" s="234"/>
      <c r="FMH341" s="234"/>
      <c r="FMI341" s="234"/>
      <c r="FMJ341" s="236"/>
      <c r="FMK341" s="244"/>
      <c r="FML341" s="239"/>
      <c r="FMM341" s="240"/>
      <c r="FMN341" s="241"/>
      <c r="FMO341" s="239"/>
      <c r="FMP341" s="239"/>
      <c r="FMQ341" s="239"/>
      <c r="FMR341" s="239"/>
      <c r="FMS341" s="239"/>
      <c r="FMT341" s="239"/>
      <c r="FMU341" s="233"/>
      <c r="FMV341" s="235"/>
      <c r="FMW341" s="233"/>
      <c r="FMX341" s="234"/>
      <c r="FMY341" s="234"/>
      <c r="FMZ341" s="242"/>
      <c r="FNA341" s="234"/>
      <c r="FNB341" s="234"/>
      <c r="FNC341" s="234"/>
      <c r="FND341" s="236"/>
      <c r="FNE341" s="244"/>
      <c r="FNF341" s="239"/>
      <c r="FNG341" s="240"/>
      <c r="FNH341" s="241"/>
      <c r="FNI341" s="239"/>
      <c r="FNJ341" s="239"/>
      <c r="FNK341" s="239"/>
      <c r="FNL341" s="239"/>
      <c r="FNM341" s="239"/>
      <c r="FNN341" s="239"/>
      <c r="FNO341" s="233"/>
      <c r="FNP341" s="235"/>
      <c r="FNQ341" s="233"/>
      <c r="FNR341" s="234"/>
      <c r="FNS341" s="234"/>
      <c r="FNT341" s="242"/>
      <c r="FNU341" s="234"/>
      <c r="FNV341" s="234"/>
      <c r="FNW341" s="234"/>
      <c r="FNX341" s="236"/>
      <c r="FNY341" s="244"/>
      <c r="FNZ341" s="239"/>
      <c r="FOA341" s="240"/>
      <c r="FOB341" s="241"/>
      <c r="FOC341" s="239"/>
      <c r="FOD341" s="239"/>
      <c r="FOE341" s="239"/>
      <c r="FOF341" s="239"/>
      <c r="FOG341" s="239"/>
      <c r="FOH341" s="239"/>
      <c r="FOI341" s="233"/>
      <c r="FOJ341" s="235"/>
      <c r="FOK341" s="233"/>
      <c r="FOL341" s="234"/>
      <c r="FOM341" s="234"/>
      <c r="FON341" s="242"/>
      <c r="FOO341" s="234"/>
      <c r="FOP341" s="234"/>
      <c r="FOQ341" s="234"/>
      <c r="FOR341" s="236"/>
      <c r="FOS341" s="244"/>
      <c r="FOT341" s="239"/>
      <c r="FOU341" s="240"/>
      <c r="FOV341" s="241"/>
      <c r="FOW341" s="239"/>
      <c r="FOX341" s="239"/>
      <c r="FOY341" s="239"/>
      <c r="FOZ341" s="239"/>
      <c r="FPA341" s="239"/>
      <c r="FPB341" s="239"/>
      <c r="FPC341" s="233"/>
      <c r="FPD341" s="235"/>
      <c r="FPE341" s="233"/>
      <c r="FPF341" s="234"/>
      <c r="FPG341" s="234"/>
      <c r="FPH341" s="242"/>
      <c r="FPI341" s="234"/>
      <c r="FPJ341" s="234"/>
      <c r="FPK341" s="234"/>
      <c r="FPL341" s="236"/>
      <c r="FPM341" s="244"/>
      <c r="FPN341" s="239"/>
      <c r="FPO341" s="240"/>
      <c r="FPP341" s="241"/>
      <c r="FPQ341" s="239"/>
      <c r="FPR341" s="239"/>
      <c r="FPS341" s="239"/>
      <c r="FPT341" s="239"/>
      <c r="FPU341" s="239"/>
      <c r="FPV341" s="239"/>
      <c r="FPW341" s="233"/>
      <c r="FPX341" s="235"/>
      <c r="FPY341" s="233"/>
      <c r="FPZ341" s="234"/>
      <c r="FQA341" s="234"/>
      <c r="FQB341" s="242"/>
      <c r="FQC341" s="234"/>
      <c r="FQD341" s="234"/>
      <c r="FQE341" s="234"/>
      <c r="FQF341" s="236"/>
      <c r="FQG341" s="244"/>
      <c r="FQH341" s="239"/>
      <c r="FQI341" s="240"/>
      <c r="FQJ341" s="241"/>
      <c r="FQK341" s="239"/>
      <c r="FQL341" s="239"/>
      <c r="FQM341" s="239"/>
      <c r="FQN341" s="239"/>
      <c r="FQO341" s="239"/>
      <c r="FQP341" s="239"/>
      <c r="FQQ341" s="233"/>
      <c r="FQR341" s="235"/>
      <c r="FQS341" s="233"/>
      <c r="FQT341" s="234"/>
      <c r="FQU341" s="234"/>
      <c r="FQV341" s="242"/>
      <c r="FQW341" s="234"/>
      <c r="FQX341" s="234"/>
      <c r="FQY341" s="234"/>
      <c r="FQZ341" s="236"/>
      <c r="FRA341" s="244"/>
      <c r="FRB341" s="239"/>
      <c r="FRC341" s="240"/>
      <c r="FRD341" s="241"/>
      <c r="FRE341" s="239"/>
      <c r="FRF341" s="239"/>
      <c r="FRG341" s="239"/>
      <c r="FRH341" s="239"/>
      <c r="FRI341" s="239"/>
      <c r="FRJ341" s="239"/>
      <c r="FRK341" s="233"/>
      <c r="FRL341" s="235"/>
      <c r="FRM341" s="233"/>
      <c r="FRN341" s="234"/>
      <c r="FRO341" s="234"/>
      <c r="FRP341" s="242"/>
      <c r="FRQ341" s="234"/>
      <c r="FRR341" s="234"/>
      <c r="FRS341" s="234"/>
      <c r="FRT341" s="236"/>
      <c r="FRU341" s="244"/>
      <c r="FRV341" s="239"/>
      <c r="FRW341" s="240"/>
      <c r="FRX341" s="241"/>
      <c r="FRY341" s="239"/>
      <c r="FRZ341" s="239"/>
      <c r="FSA341" s="239"/>
      <c r="FSB341" s="239"/>
      <c r="FSC341" s="239"/>
      <c r="FSD341" s="239"/>
      <c r="FSE341" s="233"/>
      <c r="FSF341" s="235"/>
      <c r="FSG341" s="233"/>
      <c r="FSH341" s="234"/>
      <c r="FSI341" s="234"/>
      <c r="FSJ341" s="242"/>
      <c r="FSK341" s="234"/>
      <c r="FSL341" s="234"/>
      <c r="FSM341" s="234"/>
      <c r="FSN341" s="236"/>
      <c r="FSO341" s="244"/>
      <c r="FSP341" s="239"/>
      <c r="FSQ341" s="240"/>
      <c r="FSR341" s="241"/>
      <c r="FSS341" s="239"/>
      <c r="FST341" s="239"/>
      <c r="FSU341" s="239"/>
      <c r="FSV341" s="239"/>
      <c r="FSW341" s="239"/>
      <c r="FSX341" s="239"/>
      <c r="FSY341" s="233"/>
      <c r="FSZ341" s="235"/>
      <c r="FTA341" s="233"/>
      <c r="FTB341" s="234"/>
      <c r="FTC341" s="234"/>
      <c r="FTD341" s="242"/>
      <c r="FTE341" s="234"/>
      <c r="FTF341" s="234"/>
      <c r="FTG341" s="234"/>
      <c r="FTH341" s="236"/>
      <c r="FTI341" s="244"/>
      <c r="FTJ341" s="239"/>
      <c r="FTK341" s="240"/>
      <c r="FTL341" s="241"/>
      <c r="FTM341" s="239"/>
      <c r="FTN341" s="239"/>
      <c r="FTO341" s="239"/>
      <c r="FTP341" s="239"/>
      <c r="FTQ341" s="239"/>
      <c r="FTR341" s="239"/>
      <c r="FTS341" s="233"/>
      <c r="FTT341" s="235"/>
      <c r="FTU341" s="233"/>
      <c r="FTV341" s="234"/>
      <c r="FTW341" s="234"/>
      <c r="FTX341" s="242"/>
      <c r="FTY341" s="234"/>
      <c r="FTZ341" s="234"/>
      <c r="FUA341" s="234"/>
      <c r="FUB341" s="236"/>
      <c r="FUC341" s="244"/>
      <c r="FUD341" s="239"/>
      <c r="FUE341" s="240"/>
      <c r="FUF341" s="241"/>
      <c r="FUG341" s="239"/>
      <c r="FUH341" s="239"/>
      <c r="FUI341" s="239"/>
      <c r="FUJ341" s="239"/>
      <c r="FUK341" s="239"/>
      <c r="FUL341" s="239"/>
      <c r="FUM341" s="233"/>
      <c r="FUN341" s="235"/>
      <c r="FUO341" s="233"/>
      <c r="FUP341" s="234"/>
      <c r="FUQ341" s="234"/>
      <c r="FUR341" s="242"/>
      <c r="FUS341" s="234"/>
      <c r="FUT341" s="234"/>
      <c r="FUU341" s="234"/>
      <c r="FUV341" s="236"/>
      <c r="FUW341" s="244"/>
      <c r="FUX341" s="239"/>
      <c r="FUY341" s="240"/>
      <c r="FUZ341" s="241"/>
      <c r="FVA341" s="239"/>
      <c r="FVB341" s="239"/>
      <c r="FVC341" s="239"/>
      <c r="FVD341" s="239"/>
      <c r="FVE341" s="239"/>
      <c r="FVF341" s="239"/>
      <c r="FVG341" s="233"/>
      <c r="FVH341" s="235"/>
      <c r="FVI341" s="233"/>
      <c r="FVJ341" s="234"/>
      <c r="FVK341" s="234"/>
      <c r="FVL341" s="242"/>
      <c r="FVM341" s="234"/>
      <c r="FVN341" s="234"/>
      <c r="FVO341" s="234"/>
      <c r="FVP341" s="236"/>
      <c r="FVQ341" s="244"/>
      <c r="FVR341" s="239"/>
      <c r="FVS341" s="240"/>
      <c r="FVT341" s="241"/>
      <c r="FVU341" s="239"/>
      <c r="FVV341" s="239"/>
      <c r="FVW341" s="239"/>
      <c r="FVX341" s="239"/>
      <c r="FVY341" s="239"/>
      <c r="FVZ341" s="239"/>
      <c r="FWA341" s="233"/>
      <c r="FWB341" s="235"/>
      <c r="FWC341" s="233"/>
      <c r="FWD341" s="234"/>
      <c r="FWE341" s="234"/>
      <c r="FWF341" s="242"/>
      <c r="FWG341" s="234"/>
      <c r="FWH341" s="234"/>
      <c r="FWI341" s="234"/>
      <c r="FWJ341" s="236"/>
      <c r="FWK341" s="244"/>
      <c r="FWL341" s="239"/>
      <c r="FWM341" s="240"/>
      <c r="FWN341" s="241"/>
      <c r="FWO341" s="239"/>
      <c r="FWP341" s="239"/>
      <c r="FWQ341" s="239"/>
      <c r="FWR341" s="239"/>
      <c r="FWS341" s="239"/>
      <c r="FWT341" s="239"/>
      <c r="FWU341" s="233"/>
      <c r="FWV341" s="235"/>
      <c r="FWW341" s="233"/>
      <c r="FWX341" s="234"/>
      <c r="FWY341" s="234"/>
      <c r="FWZ341" s="242"/>
      <c r="FXA341" s="234"/>
      <c r="FXB341" s="234"/>
      <c r="FXC341" s="234"/>
      <c r="FXD341" s="236"/>
      <c r="FXE341" s="244"/>
      <c r="FXF341" s="239"/>
      <c r="FXG341" s="240"/>
      <c r="FXH341" s="241"/>
      <c r="FXI341" s="239"/>
      <c r="FXJ341" s="239"/>
      <c r="FXK341" s="239"/>
      <c r="FXL341" s="239"/>
      <c r="FXM341" s="239"/>
      <c r="FXN341" s="239"/>
      <c r="FXO341" s="233"/>
      <c r="FXP341" s="235"/>
      <c r="FXQ341" s="233"/>
      <c r="FXR341" s="234"/>
      <c r="FXS341" s="234"/>
      <c r="FXT341" s="242"/>
      <c r="FXU341" s="234"/>
      <c r="FXV341" s="234"/>
      <c r="FXW341" s="234"/>
      <c r="FXX341" s="236"/>
      <c r="FXY341" s="244"/>
      <c r="FXZ341" s="239"/>
      <c r="FYA341" s="240"/>
      <c r="FYB341" s="241"/>
      <c r="FYC341" s="239"/>
      <c r="FYD341" s="239"/>
      <c r="FYE341" s="239"/>
      <c r="FYF341" s="239"/>
      <c r="FYG341" s="239"/>
      <c r="FYH341" s="239"/>
      <c r="FYI341" s="233"/>
      <c r="FYJ341" s="235"/>
      <c r="FYK341" s="233"/>
      <c r="FYL341" s="234"/>
      <c r="FYM341" s="234"/>
      <c r="FYN341" s="242"/>
      <c r="FYO341" s="234"/>
      <c r="FYP341" s="234"/>
      <c r="FYQ341" s="234"/>
      <c r="FYR341" s="236"/>
      <c r="FYS341" s="244"/>
      <c r="FYT341" s="239"/>
      <c r="FYU341" s="240"/>
      <c r="FYV341" s="241"/>
      <c r="FYW341" s="239"/>
      <c r="FYX341" s="239"/>
      <c r="FYY341" s="239"/>
      <c r="FYZ341" s="239"/>
      <c r="FZA341" s="239"/>
      <c r="FZB341" s="239"/>
      <c r="FZC341" s="233"/>
      <c r="FZD341" s="235"/>
      <c r="FZE341" s="233"/>
      <c r="FZF341" s="234"/>
      <c r="FZG341" s="234"/>
      <c r="FZH341" s="242"/>
      <c r="FZI341" s="234"/>
      <c r="FZJ341" s="234"/>
      <c r="FZK341" s="234"/>
      <c r="FZL341" s="236"/>
      <c r="FZM341" s="244"/>
      <c r="FZN341" s="239"/>
      <c r="FZO341" s="240"/>
      <c r="FZP341" s="241"/>
      <c r="FZQ341" s="239"/>
      <c r="FZR341" s="239"/>
      <c r="FZS341" s="239"/>
      <c r="FZT341" s="239"/>
      <c r="FZU341" s="239"/>
      <c r="FZV341" s="239"/>
      <c r="FZW341" s="233"/>
      <c r="FZX341" s="235"/>
      <c r="FZY341" s="233"/>
      <c r="FZZ341" s="234"/>
      <c r="GAA341" s="234"/>
      <c r="GAB341" s="242"/>
      <c r="GAC341" s="234"/>
      <c r="GAD341" s="234"/>
      <c r="GAE341" s="234"/>
      <c r="GAF341" s="236"/>
      <c r="GAG341" s="244"/>
      <c r="GAH341" s="239"/>
      <c r="GAI341" s="240"/>
      <c r="GAJ341" s="241"/>
      <c r="GAK341" s="239"/>
      <c r="GAL341" s="239"/>
      <c r="GAM341" s="239"/>
      <c r="GAN341" s="239"/>
      <c r="GAO341" s="239"/>
      <c r="GAP341" s="239"/>
      <c r="GAQ341" s="233"/>
      <c r="GAR341" s="235"/>
      <c r="GAS341" s="233"/>
      <c r="GAT341" s="234"/>
      <c r="GAU341" s="234"/>
      <c r="GAV341" s="242"/>
      <c r="GAW341" s="234"/>
      <c r="GAX341" s="234"/>
      <c r="GAY341" s="234"/>
      <c r="GAZ341" s="236"/>
      <c r="GBA341" s="244"/>
      <c r="GBB341" s="239"/>
      <c r="GBC341" s="240"/>
      <c r="GBD341" s="241"/>
      <c r="GBE341" s="239"/>
      <c r="GBF341" s="239"/>
      <c r="GBG341" s="239"/>
      <c r="GBH341" s="239"/>
      <c r="GBI341" s="239"/>
      <c r="GBJ341" s="239"/>
      <c r="GBK341" s="233"/>
      <c r="GBL341" s="235"/>
      <c r="GBM341" s="233"/>
      <c r="GBN341" s="234"/>
      <c r="GBO341" s="234"/>
      <c r="GBP341" s="242"/>
      <c r="GBQ341" s="234"/>
      <c r="GBR341" s="234"/>
      <c r="GBS341" s="234"/>
      <c r="GBT341" s="236"/>
      <c r="GBU341" s="244"/>
      <c r="GBV341" s="239"/>
      <c r="GBW341" s="240"/>
      <c r="GBX341" s="241"/>
      <c r="GBY341" s="239"/>
      <c r="GBZ341" s="239"/>
      <c r="GCA341" s="239"/>
      <c r="GCB341" s="239"/>
      <c r="GCC341" s="239"/>
      <c r="GCD341" s="239"/>
      <c r="GCE341" s="233"/>
      <c r="GCF341" s="235"/>
      <c r="GCG341" s="233"/>
      <c r="GCH341" s="234"/>
      <c r="GCI341" s="234"/>
      <c r="GCJ341" s="242"/>
      <c r="GCK341" s="234"/>
      <c r="GCL341" s="234"/>
      <c r="GCM341" s="234"/>
      <c r="GCN341" s="236"/>
      <c r="GCO341" s="244"/>
      <c r="GCP341" s="239"/>
      <c r="GCQ341" s="240"/>
      <c r="GCR341" s="241"/>
      <c r="GCS341" s="239"/>
      <c r="GCT341" s="239"/>
      <c r="GCU341" s="239"/>
      <c r="GCV341" s="239"/>
      <c r="GCW341" s="239"/>
      <c r="GCX341" s="239"/>
      <c r="GCY341" s="233"/>
      <c r="GCZ341" s="235"/>
      <c r="GDA341" s="233"/>
      <c r="GDB341" s="234"/>
      <c r="GDC341" s="234"/>
      <c r="GDD341" s="242"/>
      <c r="GDE341" s="234"/>
      <c r="GDF341" s="234"/>
      <c r="GDG341" s="234"/>
      <c r="GDH341" s="236"/>
      <c r="GDI341" s="244"/>
      <c r="GDJ341" s="239"/>
      <c r="GDK341" s="240"/>
      <c r="GDL341" s="241"/>
      <c r="GDM341" s="239"/>
      <c r="GDN341" s="239"/>
      <c r="GDO341" s="239"/>
      <c r="GDP341" s="239"/>
      <c r="GDQ341" s="239"/>
      <c r="GDR341" s="239"/>
      <c r="GDS341" s="233"/>
      <c r="GDT341" s="235"/>
      <c r="GDU341" s="233"/>
      <c r="GDV341" s="234"/>
      <c r="GDW341" s="234"/>
      <c r="GDX341" s="242"/>
      <c r="GDY341" s="234"/>
      <c r="GDZ341" s="234"/>
      <c r="GEA341" s="234"/>
      <c r="GEB341" s="236"/>
      <c r="GEC341" s="244"/>
      <c r="GED341" s="239"/>
      <c r="GEE341" s="240"/>
      <c r="GEF341" s="241"/>
      <c r="GEG341" s="239"/>
      <c r="GEH341" s="239"/>
      <c r="GEI341" s="239"/>
      <c r="GEJ341" s="239"/>
      <c r="GEK341" s="239"/>
      <c r="GEL341" s="239"/>
      <c r="GEM341" s="233"/>
      <c r="GEN341" s="235"/>
      <c r="GEO341" s="233"/>
      <c r="GEP341" s="234"/>
      <c r="GEQ341" s="234"/>
      <c r="GER341" s="242"/>
      <c r="GES341" s="234"/>
      <c r="GET341" s="234"/>
      <c r="GEU341" s="234"/>
      <c r="GEV341" s="236"/>
      <c r="GEW341" s="244"/>
      <c r="GEX341" s="239"/>
      <c r="GEY341" s="240"/>
      <c r="GEZ341" s="241"/>
      <c r="GFA341" s="239"/>
      <c r="GFB341" s="239"/>
      <c r="GFC341" s="239"/>
      <c r="GFD341" s="239"/>
      <c r="GFE341" s="239"/>
      <c r="GFF341" s="239"/>
      <c r="GFG341" s="233"/>
      <c r="GFH341" s="235"/>
      <c r="GFI341" s="233"/>
      <c r="GFJ341" s="234"/>
      <c r="GFK341" s="234"/>
      <c r="GFL341" s="242"/>
      <c r="GFM341" s="234"/>
      <c r="GFN341" s="234"/>
      <c r="GFO341" s="234"/>
      <c r="GFP341" s="236"/>
      <c r="GFQ341" s="244"/>
      <c r="GFR341" s="239"/>
      <c r="GFS341" s="240"/>
      <c r="GFT341" s="241"/>
      <c r="GFU341" s="239"/>
      <c r="GFV341" s="239"/>
      <c r="GFW341" s="239"/>
      <c r="GFX341" s="239"/>
      <c r="GFY341" s="239"/>
      <c r="GFZ341" s="239"/>
      <c r="GGA341" s="233"/>
      <c r="GGB341" s="235"/>
      <c r="GGC341" s="233"/>
      <c r="GGD341" s="234"/>
      <c r="GGE341" s="234"/>
      <c r="GGF341" s="242"/>
      <c r="GGG341" s="234"/>
      <c r="GGH341" s="234"/>
      <c r="GGI341" s="234"/>
      <c r="GGJ341" s="236"/>
      <c r="GGK341" s="244"/>
      <c r="GGL341" s="239"/>
      <c r="GGM341" s="240"/>
      <c r="GGN341" s="241"/>
      <c r="GGO341" s="239"/>
      <c r="GGP341" s="239"/>
      <c r="GGQ341" s="239"/>
      <c r="GGR341" s="239"/>
      <c r="GGS341" s="239"/>
      <c r="GGT341" s="239"/>
      <c r="GGU341" s="233"/>
      <c r="GGV341" s="235"/>
      <c r="GGW341" s="233"/>
      <c r="GGX341" s="234"/>
      <c r="GGY341" s="234"/>
      <c r="GGZ341" s="242"/>
      <c r="GHA341" s="234"/>
      <c r="GHB341" s="234"/>
      <c r="GHC341" s="234"/>
      <c r="GHD341" s="236"/>
      <c r="GHE341" s="244"/>
      <c r="GHF341" s="239"/>
      <c r="GHG341" s="240"/>
      <c r="GHH341" s="241"/>
      <c r="GHI341" s="239"/>
      <c r="GHJ341" s="239"/>
      <c r="GHK341" s="239"/>
      <c r="GHL341" s="239"/>
      <c r="GHM341" s="239"/>
      <c r="GHN341" s="239"/>
      <c r="GHO341" s="233"/>
      <c r="GHP341" s="235"/>
      <c r="GHQ341" s="233"/>
      <c r="GHR341" s="234"/>
      <c r="GHS341" s="234"/>
      <c r="GHT341" s="242"/>
      <c r="GHU341" s="234"/>
      <c r="GHV341" s="234"/>
      <c r="GHW341" s="234"/>
      <c r="GHX341" s="236"/>
      <c r="GHY341" s="244"/>
      <c r="GHZ341" s="239"/>
      <c r="GIA341" s="240"/>
      <c r="GIB341" s="241"/>
      <c r="GIC341" s="239"/>
      <c r="GID341" s="239"/>
      <c r="GIE341" s="239"/>
      <c r="GIF341" s="239"/>
      <c r="GIG341" s="239"/>
      <c r="GIH341" s="239"/>
      <c r="GII341" s="233"/>
      <c r="GIJ341" s="235"/>
      <c r="GIK341" s="233"/>
      <c r="GIL341" s="234"/>
      <c r="GIM341" s="234"/>
      <c r="GIN341" s="242"/>
      <c r="GIO341" s="234"/>
      <c r="GIP341" s="234"/>
      <c r="GIQ341" s="234"/>
      <c r="GIR341" s="236"/>
      <c r="GIS341" s="244"/>
      <c r="GIT341" s="239"/>
      <c r="GIU341" s="240"/>
      <c r="GIV341" s="241"/>
      <c r="GIW341" s="239"/>
      <c r="GIX341" s="239"/>
      <c r="GIY341" s="239"/>
      <c r="GIZ341" s="239"/>
      <c r="GJA341" s="239"/>
      <c r="GJB341" s="239"/>
      <c r="GJC341" s="233"/>
      <c r="GJD341" s="235"/>
      <c r="GJE341" s="233"/>
      <c r="GJF341" s="234"/>
      <c r="GJG341" s="234"/>
      <c r="GJH341" s="242"/>
      <c r="GJI341" s="234"/>
      <c r="GJJ341" s="234"/>
      <c r="GJK341" s="234"/>
      <c r="GJL341" s="236"/>
      <c r="GJM341" s="244"/>
      <c r="GJN341" s="239"/>
      <c r="GJO341" s="240"/>
      <c r="GJP341" s="241"/>
      <c r="GJQ341" s="239"/>
      <c r="GJR341" s="239"/>
      <c r="GJS341" s="239"/>
      <c r="GJT341" s="239"/>
      <c r="GJU341" s="239"/>
      <c r="GJV341" s="239"/>
      <c r="GJW341" s="233"/>
      <c r="GJX341" s="235"/>
      <c r="GJY341" s="233"/>
      <c r="GJZ341" s="234"/>
      <c r="GKA341" s="234"/>
      <c r="GKB341" s="242"/>
      <c r="GKC341" s="234"/>
      <c r="GKD341" s="234"/>
      <c r="GKE341" s="234"/>
      <c r="GKF341" s="236"/>
      <c r="GKG341" s="244"/>
      <c r="GKH341" s="239"/>
      <c r="GKI341" s="240"/>
      <c r="GKJ341" s="241"/>
      <c r="GKK341" s="239"/>
      <c r="GKL341" s="239"/>
      <c r="GKM341" s="239"/>
      <c r="GKN341" s="239"/>
      <c r="GKO341" s="239"/>
      <c r="GKP341" s="239"/>
      <c r="GKQ341" s="233"/>
      <c r="GKR341" s="235"/>
      <c r="GKS341" s="233"/>
      <c r="GKT341" s="234"/>
      <c r="GKU341" s="234"/>
      <c r="GKV341" s="242"/>
      <c r="GKW341" s="234"/>
      <c r="GKX341" s="234"/>
      <c r="GKY341" s="234"/>
      <c r="GKZ341" s="236"/>
      <c r="GLA341" s="244"/>
      <c r="GLB341" s="239"/>
      <c r="GLC341" s="240"/>
      <c r="GLD341" s="241"/>
      <c r="GLE341" s="239"/>
      <c r="GLF341" s="239"/>
      <c r="GLG341" s="239"/>
      <c r="GLH341" s="239"/>
      <c r="GLI341" s="239"/>
      <c r="GLJ341" s="239"/>
      <c r="GLK341" s="233"/>
      <c r="GLL341" s="235"/>
      <c r="GLM341" s="233"/>
      <c r="GLN341" s="234"/>
      <c r="GLO341" s="234"/>
      <c r="GLP341" s="242"/>
      <c r="GLQ341" s="234"/>
      <c r="GLR341" s="234"/>
      <c r="GLS341" s="234"/>
      <c r="GLT341" s="236"/>
      <c r="GLU341" s="244"/>
      <c r="GLV341" s="239"/>
      <c r="GLW341" s="240"/>
      <c r="GLX341" s="241"/>
      <c r="GLY341" s="239"/>
      <c r="GLZ341" s="239"/>
      <c r="GMA341" s="239"/>
      <c r="GMB341" s="239"/>
      <c r="GMC341" s="239"/>
      <c r="GMD341" s="239"/>
      <c r="GME341" s="233"/>
      <c r="GMF341" s="235"/>
      <c r="GMG341" s="233"/>
      <c r="GMH341" s="234"/>
      <c r="GMI341" s="234"/>
      <c r="GMJ341" s="242"/>
      <c r="GMK341" s="234"/>
      <c r="GML341" s="234"/>
      <c r="GMM341" s="234"/>
      <c r="GMN341" s="236"/>
      <c r="GMO341" s="244"/>
      <c r="GMP341" s="239"/>
      <c r="GMQ341" s="240"/>
      <c r="GMR341" s="241"/>
      <c r="GMS341" s="239"/>
      <c r="GMT341" s="239"/>
      <c r="GMU341" s="239"/>
      <c r="GMV341" s="239"/>
      <c r="GMW341" s="239"/>
      <c r="GMX341" s="239"/>
      <c r="GMY341" s="233"/>
      <c r="GMZ341" s="235"/>
      <c r="GNA341" s="233"/>
      <c r="GNB341" s="234"/>
      <c r="GNC341" s="234"/>
      <c r="GND341" s="242"/>
      <c r="GNE341" s="234"/>
      <c r="GNF341" s="234"/>
      <c r="GNG341" s="234"/>
      <c r="GNH341" s="236"/>
      <c r="GNI341" s="244"/>
      <c r="GNJ341" s="239"/>
      <c r="GNK341" s="240"/>
      <c r="GNL341" s="241"/>
      <c r="GNM341" s="239"/>
      <c r="GNN341" s="239"/>
      <c r="GNO341" s="239"/>
      <c r="GNP341" s="239"/>
      <c r="GNQ341" s="239"/>
      <c r="GNR341" s="239"/>
      <c r="GNS341" s="233"/>
      <c r="GNT341" s="235"/>
      <c r="GNU341" s="233"/>
      <c r="GNV341" s="234"/>
      <c r="GNW341" s="234"/>
      <c r="GNX341" s="242"/>
      <c r="GNY341" s="234"/>
      <c r="GNZ341" s="234"/>
      <c r="GOA341" s="234"/>
      <c r="GOB341" s="236"/>
      <c r="GOC341" s="244"/>
      <c r="GOD341" s="239"/>
      <c r="GOE341" s="240"/>
      <c r="GOF341" s="241"/>
      <c r="GOG341" s="239"/>
      <c r="GOH341" s="239"/>
      <c r="GOI341" s="239"/>
      <c r="GOJ341" s="239"/>
      <c r="GOK341" s="239"/>
      <c r="GOL341" s="239"/>
      <c r="GOM341" s="233"/>
      <c r="GON341" s="235"/>
      <c r="GOO341" s="233"/>
      <c r="GOP341" s="234"/>
      <c r="GOQ341" s="234"/>
      <c r="GOR341" s="242"/>
      <c r="GOS341" s="234"/>
      <c r="GOT341" s="234"/>
      <c r="GOU341" s="234"/>
      <c r="GOV341" s="236"/>
      <c r="GOW341" s="244"/>
      <c r="GOX341" s="239"/>
      <c r="GOY341" s="240"/>
      <c r="GOZ341" s="241"/>
      <c r="GPA341" s="239"/>
      <c r="GPB341" s="239"/>
      <c r="GPC341" s="239"/>
      <c r="GPD341" s="239"/>
      <c r="GPE341" s="239"/>
      <c r="GPF341" s="239"/>
      <c r="GPG341" s="233"/>
      <c r="GPH341" s="235"/>
      <c r="GPI341" s="233"/>
      <c r="GPJ341" s="234"/>
      <c r="GPK341" s="234"/>
      <c r="GPL341" s="242"/>
      <c r="GPM341" s="234"/>
      <c r="GPN341" s="234"/>
      <c r="GPO341" s="234"/>
      <c r="GPP341" s="236"/>
      <c r="GPQ341" s="244"/>
      <c r="GPR341" s="239"/>
      <c r="GPS341" s="240"/>
      <c r="GPT341" s="241"/>
      <c r="GPU341" s="239"/>
      <c r="GPV341" s="239"/>
      <c r="GPW341" s="239"/>
      <c r="GPX341" s="239"/>
      <c r="GPY341" s="239"/>
      <c r="GPZ341" s="239"/>
      <c r="GQA341" s="233"/>
      <c r="GQB341" s="235"/>
      <c r="GQC341" s="233"/>
      <c r="GQD341" s="234"/>
      <c r="GQE341" s="234"/>
      <c r="GQF341" s="242"/>
      <c r="GQG341" s="234"/>
      <c r="GQH341" s="234"/>
      <c r="GQI341" s="234"/>
      <c r="GQJ341" s="236"/>
      <c r="GQK341" s="244"/>
      <c r="GQL341" s="239"/>
      <c r="GQM341" s="240"/>
      <c r="GQN341" s="241"/>
      <c r="GQO341" s="239"/>
      <c r="GQP341" s="239"/>
      <c r="GQQ341" s="239"/>
      <c r="GQR341" s="239"/>
      <c r="GQS341" s="239"/>
      <c r="GQT341" s="239"/>
      <c r="GQU341" s="233"/>
      <c r="GQV341" s="235"/>
      <c r="GQW341" s="233"/>
      <c r="GQX341" s="234"/>
      <c r="GQY341" s="234"/>
      <c r="GQZ341" s="242"/>
      <c r="GRA341" s="234"/>
      <c r="GRB341" s="234"/>
      <c r="GRC341" s="234"/>
      <c r="GRD341" s="236"/>
      <c r="GRE341" s="244"/>
      <c r="GRF341" s="239"/>
      <c r="GRG341" s="240"/>
      <c r="GRH341" s="241"/>
      <c r="GRI341" s="239"/>
      <c r="GRJ341" s="239"/>
      <c r="GRK341" s="239"/>
      <c r="GRL341" s="239"/>
      <c r="GRM341" s="239"/>
      <c r="GRN341" s="239"/>
      <c r="GRO341" s="233"/>
      <c r="GRP341" s="235"/>
      <c r="GRQ341" s="233"/>
      <c r="GRR341" s="234"/>
      <c r="GRS341" s="234"/>
      <c r="GRT341" s="242"/>
      <c r="GRU341" s="234"/>
      <c r="GRV341" s="234"/>
      <c r="GRW341" s="234"/>
      <c r="GRX341" s="236"/>
      <c r="GRY341" s="244"/>
      <c r="GRZ341" s="239"/>
      <c r="GSA341" s="240"/>
      <c r="GSB341" s="241"/>
      <c r="GSC341" s="239"/>
      <c r="GSD341" s="239"/>
      <c r="GSE341" s="239"/>
      <c r="GSF341" s="239"/>
      <c r="GSG341" s="239"/>
      <c r="GSH341" s="239"/>
      <c r="GSI341" s="233"/>
      <c r="GSJ341" s="235"/>
      <c r="GSK341" s="233"/>
      <c r="GSL341" s="234"/>
      <c r="GSM341" s="234"/>
      <c r="GSN341" s="242"/>
      <c r="GSO341" s="234"/>
      <c r="GSP341" s="234"/>
      <c r="GSQ341" s="234"/>
      <c r="GSR341" s="236"/>
      <c r="GSS341" s="244"/>
      <c r="GST341" s="239"/>
      <c r="GSU341" s="240"/>
      <c r="GSV341" s="241"/>
      <c r="GSW341" s="239"/>
      <c r="GSX341" s="239"/>
      <c r="GSY341" s="239"/>
      <c r="GSZ341" s="239"/>
      <c r="GTA341" s="239"/>
      <c r="GTB341" s="239"/>
      <c r="GTC341" s="233"/>
      <c r="GTD341" s="235"/>
      <c r="GTE341" s="233"/>
      <c r="GTF341" s="234"/>
      <c r="GTG341" s="234"/>
      <c r="GTH341" s="242"/>
      <c r="GTI341" s="234"/>
      <c r="GTJ341" s="234"/>
      <c r="GTK341" s="234"/>
      <c r="GTL341" s="236"/>
      <c r="GTM341" s="244"/>
      <c r="GTN341" s="239"/>
      <c r="GTO341" s="240"/>
      <c r="GTP341" s="241"/>
      <c r="GTQ341" s="239"/>
      <c r="GTR341" s="239"/>
      <c r="GTS341" s="239"/>
      <c r="GTT341" s="239"/>
      <c r="GTU341" s="239"/>
      <c r="GTV341" s="239"/>
      <c r="GTW341" s="233"/>
      <c r="GTX341" s="235"/>
      <c r="GTY341" s="233"/>
      <c r="GTZ341" s="234"/>
      <c r="GUA341" s="234"/>
      <c r="GUB341" s="242"/>
      <c r="GUC341" s="234"/>
      <c r="GUD341" s="234"/>
      <c r="GUE341" s="234"/>
      <c r="GUF341" s="236"/>
      <c r="GUG341" s="244"/>
      <c r="GUH341" s="239"/>
      <c r="GUI341" s="240"/>
      <c r="GUJ341" s="241"/>
      <c r="GUK341" s="239"/>
      <c r="GUL341" s="239"/>
      <c r="GUM341" s="239"/>
      <c r="GUN341" s="239"/>
      <c r="GUO341" s="239"/>
      <c r="GUP341" s="239"/>
      <c r="GUQ341" s="233"/>
      <c r="GUR341" s="235"/>
      <c r="GUS341" s="233"/>
      <c r="GUT341" s="234"/>
      <c r="GUU341" s="234"/>
      <c r="GUV341" s="242"/>
      <c r="GUW341" s="234"/>
      <c r="GUX341" s="234"/>
      <c r="GUY341" s="234"/>
      <c r="GUZ341" s="236"/>
      <c r="GVA341" s="244"/>
      <c r="GVB341" s="239"/>
      <c r="GVC341" s="240"/>
      <c r="GVD341" s="241"/>
      <c r="GVE341" s="239"/>
      <c r="GVF341" s="239"/>
      <c r="GVG341" s="239"/>
      <c r="GVH341" s="239"/>
      <c r="GVI341" s="239"/>
      <c r="GVJ341" s="239"/>
      <c r="GVK341" s="233"/>
      <c r="GVL341" s="235"/>
      <c r="GVM341" s="233"/>
      <c r="GVN341" s="234"/>
      <c r="GVO341" s="234"/>
      <c r="GVP341" s="242"/>
      <c r="GVQ341" s="234"/>
      <c r="GVR341" s="234"/>
      <c r="GVS341" s="234"/>
      <c r="GVT341" s="236"/>
      <c r="GVU341" s="244"/>
      <c r="GVV341" s="239"/>
      <c r="GVW341" s="240"/>
      <c r="GVX341" s="241"/>
      <c r="GVY341" s="239"/>
      <c r="GVZ341" s="239"/>
      <c r="GWA341" s="239"/>
      <c r="GWB341" s="239"/>
      <c r="GWC341" s="239"/>
      <c r="GWD341" s="239"/>
      <c r="GWE341" s="233"/>
      <c r="GWF341" s="235"/>
      <c r="GWG341" s="233"/>
      <c r="GWH341" s="234"/>
      <c r="GWI341" s="234"/>
      <c r="GWJ341" s="242"/>
      <c r="GWK341" s="234"/>
      <c r="GWL341" s="234"/>
      <c r="GWM341" s="234"/>
      <c r="GWN341" s="236"/>
      <c r="GWO341" s="244"/>
      <c r="GWP341" s="239"/>
      <c r="GWQ341" s="240"/>
      <c r="GWR341" s="241"/>
      <c r="GWS341" s="239"/>
      <c r="GWT341" s="239"/>
      <c r="GWU341" s="239"/>
      <c r="GWV341" s="239"/>
      <c r="GWW341" s="239"/>
      <c r="GWX341" s="239"/>
      <c r="GWY341" s="233"/>
      <c r="GWZ341" s="235"/>
      <c r="GXA341" s="233"/>
      <c r="GXB341" s="234"/>
      <c r="GXC341" s="234"/>
      <c r="GXD341" s="242"/>
      <c r="GXE341" s="234"/>
      <c r="GXF341" s="234"/>
      <c r="GXG341" s="234"/>
      <c r="GXH341" s="236"/>
      <c r="GXI341" s="244"/>
      <c r="GXJ341" s="239"/>
      <c r="GXK341" s="240"/>
      <c r="GXL341" s="241"/>
      <c r="GXM341" s="239"/>
      <c r="GXN341" s="239"/>
      <c r="GXO341" s="239"/>
      <c r="GXP341" s="239"/>
      <c r="GXQ341" s="239"/>
      <c r="GXR341" s="239"/>
      <c r="GXS341" s="233"/>
      <c r="GXT341" s="235"/>
      <c r="GXU341" s="233"/>
      <c r="GXV341" s="234"/>
      <c r="GXW341" s="234"/>
      <c r="GXX341" s="242"/>
      <c r="GXY341" s="234"/>
      <c r="GXZ341" s="234"/>
      <c r="GYA341" s="234"/>
      <c r="GYB341" s="236"/>
      <c r="GYC341" s="244"/>
      <c r="GYD341" s="239"/>
      <c r="GYE341" s="240"/>
      <c r="GYF341" s="241"/>
      <c r="GYG341" s="239"/>
      <c r="GYH341" s="239"/>
      <c r="GYI341" s="239"/>
      <c r="GYJ341" s="239"/>
      <c r="GYK341" s="239"/>
      <c r="GYL341" s="239"/>
      <c r="GYM341" s="233"/>
      <c r="GYN341" s="235"/>
      <c r="GYO341" s="233"/>
      <c r="GYP341" s="234"/>
      <c r="GYQ341" s="234"/>
      <c r="GYR341" s="242"/>
      <c r="GYS341" s="234"/>
      <c r="GYT341" s="234"/>
      <c r="GYU341" s="234"/>
      <c r="GYV341" s="236"/>
      <c r="GYW341" s="244"/>
      <c r="GYX341" s="239"/>
      <c r="GYY341" s="240"/>
      <c r="GYZ341" s="241"/>
      <c r="GZA341" s="239"/>
      <c r="GZB341" s="239"/>
      <c r="GZC341" s="239"/>
      <c r="GZD341" s="239"/>
      <c r="GZE341" s="239"/>
      <c r="GZF341" s="239"/>
      <c r="GZG341" s="233"/>
      <c r="GZH341" s="235"/>
      <c r="GZI341" s="233"/>
      <c r="GZJ341" s="234"/>
      <c r="GZK341" s="234"/>
      <c r="GZL341" s="242"/>
      <c r="GZM341" s="234"/>
      <c r="GZN341" s="234"/>
      <c r="GZO341" s="234"/>
      <c r="GZP341" s="236"/>
      <c r="GZQ341" s="244"/>
      <c r="GZR341" s="239"/>
      <c r="GZS341" s="240"/>
      <c r="GZT341" s="241"/>
      <c r="GZU341" s="239"/>
      <c r="GZV341" s="239"/>
      <c r="GZW341" s="239"/>
      <c r="GZX341" s="239"/>
      <c r="GZY341" s="239"/>
      <c r="GZZ341" s="239"/>
      <c r="HAA341" s="233"/>
      <c r="HAB341" s="235"/>
      <c r="HAC341" s="233"/>
      <c r="HAD341" s="234"/>
      <c r="HAE341" s="234"/>
      <c r="HAF341" s="242"/>
      <c r="HAG341" s="234"/>
      <c r="HAH341" s="234"/>
      <c r="HAI341" s="234"/>
      <c r="HAJ341" s="236"/>
      <c r="HAK341" s="244"/>
      <c r="HAL341" s="239"/>
      <c r="HAM341" s="240"/>
      <c r="HAN341" s="241"/>
      <c r="HAO341" s="239"/>
      <c r="HAP341" s="239"/>
      <c r="HAQ341" s="239"/>
      <c r="HAR341" s="239"/>
      <c r="HAS341" s="239"/>
      <c r="HAT341" s="239"/>
      <c r="HAU341" s="233"/>
      <c r="HAV341" s="235"/>
      <c r="HAW341" s="233"/>
      <c r="HAX341" s="234"/>
      <c r="HAY341" s="234"/>
      <c r="HAZ341" s="242"/>
      <c r="HBA341" s="234"/>
      <c r="HBB341" s="234"/>
      <c r="HBC341" s="234"/>
      <c r="HBD341" s="236"/>
      <c r="HBE341" s="244"/>
      <c r="HBF341" s="239"/>
      <c r="HBG341" s="240"/>
      <c r="HBH341" s="241"/>
      <c r="HBI341" s="239"/>
      <c r="HBJ341" s="239"/>
      <c r="HBK341" s="239"/>
      <c r="HBL341" s="239"/>
      <c r="HBM341" s="239"/>
      <c r="HBN341" s="239"/>
      <c r="HBO341" s="233"/>
      <c r="HBP341" s="235"/>
      <c r="HBQ341" s="233"/>
      <c r="HBR341" s="234"/>
      <c r="HBS341" s="234"/>
      <c r="HBT341" s="242"/>
      <c r="HBU341" s="234"/>
      <c r="HBV341" s="234"/>
      <c r="HBW341" s="234"/>
      <c r="HBX341" s="236"/>
      <c r="HBY341" s="244"/>
      <c r="HBZ341" s="239"/>
      <c r="HCA341" s="240"/>
      <c r="HCB341" s="241"/>
      <c r="HCC341" s="239"/>
      <c r="HCD341" s="239"/>
      <c r="HCE341" s="239"/>
      <c r="HCF341" s="239"/>
      <c r="HCG341" s="239"/>
      <c r="HCH341" s="239"/>
      <c r="HCI341" s="233"/>
      <c r="HCJ341" s="235"/>
      <c r="HCK341" s="233"/>
      <c r="HCL341" s="234"/>
      <c r="HCM341" s="234"/>
      <c r="HCN341" s="242"/>
      <c r="HCO341" s="234"/>
      <c r="HCP341" s="234"/>
      <c r="HCQ341" s="234"/>
      <c r="HCR341" s="236"/>
      <c r="HCS341" s="244"/>
      <c r="HCT341" s="239"/>
      <c r="HCU341" s="240"/>
      <c r="HCV341" s="241"/>
      <c r="HCW341" s="239"/>
      <c r="HCX341" s="239"/>
      <c r="HCY341" s="239"/>
      <c r="HCZ341" s="239"/>
      <c r="HDA341" s="239"/>
      <c r="HDB341" s="239"/>
      <c r="HDC341" s="233"/>
      <c r="HDD341" s="235"/>
      <c r="HDE341" s="233"/>
      <c r="HDF341" s="234"/>
      <c r="HDG341" s="234"/>
      <c r="HDH341" s="242"/>
      <c r="HDI341" s="234"/>
      <c r="HDJ341" s="234"/>
      <c r="HDK341" s="234"/>
      <c r="HDL341" s="236"/>
      <c r="HDM341" s="244"/>
      <c r="HDN341" s="239"/>
      <c r="HDO341" s="240"/>
      <c r="HDP341" s="241"/>
      <c r="HDQ341" s="239"/>
      <c r="HDR341" s="239"/>
      <c r="HDS341" s="239"/>
      <c r="HDT341" s="239"/>
      <c r="HDU341" s="239"/>
      <c r="HDV341" s="239"/>
      <c r="HDW341" s="233"/>
      <c r="HDX341" s="235"/>
      <c r="HDY341" s="233"/>
      <c r="HDZ341" s="234"/>
      <c r="HEA341" s="234"/>
      <c r="HEB341" s="242"/>
      <c r="HEC341" s="234"/>
      <c r="HED341" s="234"/>
      <c r="HEE341" s="234"/>
      <c r="HEF341" s="236"/>
      <c r="HEG341" s="244"/>
      <c r="HEH341" s="239"/>
      <c r="HEI341" s="240"/>
      <c r="HEJ341" s="241"/>
      <c r="HEK341" s="239"/>
      <c r="HEL341" s="239"/>
      <c r="HEM341" s="239"/>
      <c r="HEN341" s="239"/>
      <c r="HEO341" s="239"/>
      <c r="HEP341" s="239"/>
      <c r="HEQ341" s="233"/>
      <c r="HER341" s="235"/>
      <c r="HES341" s="233"/>
      <c r="HET341" s="234"/>
      <c r="HEU341" s="234"/>
      <c r="HEV341" s="242"/>
      <c r="HEW341" s="234"/>
      <c r="HEX341" s="234"/>
      <c r="HEY341" s="234"/>
      <c r="HEZ341" s="236"/>
      <c r="HFA341" s="244"/>
      <c r="HFB341" s="239"/>
      <c r="HFC341" s="240"/>
      <c r="HFD341" s="241"/>
      <c r="HFE341" s="239"/>
      <c r="HFF341" s="239"/>
      <c r="HFG341" s="239"/>
      <c r="HFH341" s="239"/>
      <c r="HFI341" s="239"/>
      <c r="HFJ341" s="239"/>
      <c r="HFK341" s="233"/>
      <c r="HFL341" s="235"/>
      <c r="HFM341" s="233"/>
      <c r="HFN341" s="234"/>
      <c r="HFO341" s="234"/>
      <c r="HFP341" s="242"/>
      <c r="HFQ341" s="234"/>
      <c r="HFR341" s="234"/>
      <c r="HFS341" s="234"/>
      <c r="HFT341" s="236"/>
      <c r="HFU341" s="244"/>
      <c r="HFV341" s="239"/>
      <c r="HFW341" s="240"/>
      <c r="HFX341" s="241"/>
      <c r="HFY341" s="239"/>
      <c r="HFZ341" s="239"/>
      <c r="HGA341" s="239"/>
      <c r="HGB341" s="239"/>
      <c r="HGC341" s="239"/>
      <c r="HGD341" s="239"/>
      <c r="HGE341" s="233"/>
      <c r="HGF341" s="235"/>
      <c r="HGG341" s="233"/>
      <c r="HGH341" s="234"/>
      <c r="HGI341" s="234"/>
      <c r="HGJ341" s="242"/>
      <c r="HGK341" s="234"/>
      <c r="HGL341" s="234"/>
      <c r="HGM341" s="234"/>
      <c r="HGN341" s="236"/>
      <c r="HGO341" s="244"/>
      <c r="HGP341" s="239"/>
      <c r="HGQ341" s="240"/>
      <c r="HGR341" s="241"/>
      <c r="HGS341" s="239"/>
      <c r="HGT341" s="239"/>
      <c r="HGU341" s="239"/>
      <c r="HGV341" s="239"/>
      <c r="HGW341" s="239"/>
      <c r="HGX341" s="239"/>
      <c r="HGY341" s="233"/>
      <c r="HGZ341" s="235"/>
      <c r="HHA341" s="233"/>
      <c r="HHB341" s="234"/>
      <c r="HHC341" s="234"/>
      <c r="HHD341" s="242"/>
      <c r="HHE341" s="234"/>
      <c r="HHF341" s="234"/>
      <c r="HHG341" s="234"/>
      <c r="HHH341" s="236"/>
      <c r="HHI341" s="244"/>
      <c r="HHJ341" s="239"/>
      <c r="HHK341" s="240"/>
      <c r="HHL341" s="241"/>
      <c r="HHM341" s="239"/>
      <c r="HHN341" s="239"/>
      <c r="HHO341" s="239"/>
      <c r="HHP341" s="239"/>
      <c r="HHQ341" s="239"/>
      <c r="HHR341" s="239"/>
      <c r="HHS341" s="233"/>
      <c r="HHT341" s="235"/>
      <c r="HHU341" s="233"/>
      <c r="HHV341" s="234"/>
      <c r="HHW341" s="234"/>
      <c r="HHX341" s="242"/>
      <c r="HHY341" s="234"/>
      <c r="HHZ341" s="234"/>
      <c r="HIA341" s="234"/>
      <c r="HIB341" s="236"/>
      <c r="HIC341" s="244"/>
      <c r="HID341" s="239"/>
      <c r="HIE341" s="240"/>
      <c r="HIF341" s="241"/>
      <c r="HIG341" s="239"/>
      <c r="HIH341" s="239"/>
      <c r="HII341" s="239"/>
      <c r="HIJ341" s="239"/>
      <c r="HIK341" s="239"/>
      <c r="HIL341" s="239"/>
      <c r="HIM341" s="233"/>
      <c r="HIN341" s="235"/>
      <c r="HIO341" s="233"/>
      <c r="HIP341" s="234"/>
      <c r="HIQ341" s="234"/>
      <c r="HIR341" s="242"/>
      <c r="HIS341" s="234"/>
      <c r="HIT341" s="234"/>
      <c r="HIU341" s="234"/>
      <c r="HIV341" s="236"/>
      <c r="HIW341" s="244"/>
      <c r="HIX341" s="239"/>
      <c r="HIY341" s="240"/>
      <c r="HIZ341" s="241"/>
      <c r="HJA341" s="239"/>
      <c r="HJB341" s="239"/>
      <c r="HJC341" s="239"/>
      <c r="HJD341" s="239"/>
      <c r="HJE341" s="239"/>
      <c r="HJF341" s="239"/>
      <c r="HJG341" s="233"/>
      <c r="HJH341" s="235"/>
      <c r="HJI341" s="233"/>
      <c r="HJJ341" s="234"/>
      <c r="HJK341" s="234"/>
      <c r="HJL341" s="242"/>
      <c r="HJM341" s="234"/>
      <c r="HJN341" s="234"/>
      <c r="HJO341" s="234"/>
      <c r="HJP341" s="236"/>
      <c r="HJQ341" s="244"/>
      <c r="HJR341" s="239"/>
      <c r="HJS341" s="240"/>
      <c r="HJT341" s="241"/>
      <c r="HJU341" s="239"/>
      <c r="HJV341" s="239"/>
      <c r="HJW341" s="239"/>
      <c r="HJX341" s="239"/>
      <c r="HJY341" s="239"/>
      <c r="HJZ341" s="239"/>
      <c r="HKA341" s="233"/>
      <c r="HKB341" s="235"/>
      <c r="HKC341" s="233"/>
      <c r="HKD341" s="234"/>
      <c r="HKE341" s="234"/>
      <c r="HKF341" s="242"/>
      <c r="HKG341" s="234"/>
      <c r="HKH341" s="234"/>
      <c r="HKI341" s="234"/>
      <c r="HKJ341" s="236"/>
      <c r="HKK341" s="244"/>
      <c r="HKL341" s="239"/>
      <c r="HKM341" s="240"/>
      <c r="HKN341" s="241"/>
      <c r="HKO341" s="239"/>
      <c r="HKP341" s="239"/>
      <c r="HKQ341" s="239"/>
      <c r="HKR341" s="239"/>
      <c r="HKS341" s="239"/>
      <c r="HKT341" s="239"/>
      <c r="HKU341" s="233"/>
      <c r="HKV341" s="235"/>
      <c r="HKW341" s="233"/>
      <c r="HKX341" s="234"/>
      <c r="HKY341" s="234"/>
      <c r="HKZ341" s="242"/>
      <c r="HLA341" s="234"/>
      <c r="HLB341" s="234"/>
      <c r="HLC341" s="234"/>
      <c r="HLD341" s="236"/>
      <c r="HLE341" s="244"/>
      <c r="HLF341" s="239"/>
      <c r="HLG341" s="240"/>
      <c r="HLH341" s="241"/>
      <c r="HLI341" s="239"/>
      <c r="HLJ341" s="239"/>
      <c r="HLK341" s="239"/>
      <c r="HLL341" s="239"/>
      <c r="HLM341" s="239"/>
      <c r="HLN341" s="239"/>
      <c r="HLO341" s="233"/>
      <c r="HLP341" s="235"/>
      <c r="HLQ341" s="233"/>
      <c r="HLR341" s="234"/>
      <c r="HLS341" s="234"/>
      <c r="HLT341" s="242"/>
      <c r="HLU341" s="234"/>
      <c r="HLV341" s="234"/>
      <c r="HLW341" s="234"/>
      <c r="HLX341" s="236"/>
      <c r="HLY341" s="244"/>
      <c r="HLZ341" s="239"/>
      <c r="HMA341" s="240"/>
      <c r="HMB341" s="241"/>
      <c r="HMC341" s="239"/>
      <c r="HMD341" s="239"/>
      <c r="HME341" s="239"/>
      <c r="HMF341" s="239"/>
      <c r="HMG341" s="239"/>
      <c r="HMH341" s="239"/>
      <c r="HMI341" s="233"/>
      <c r="HMJ341" s="235"/>
      <c r="HMK341" s="233"/>
      <c r="HML341" s="234"/>
      <c r="HMM341" s="234"/>
      <c r="HMN341" s="242"/>
      <c r="HMO341" s="234"/>
      <c r="HMP341" s="234"/>
      <c r="HMQ341" s="234"/>
      <c r="HMR341" s="236"/>
      <c r="HMS341" s="244"/>
      <c r="HMT341" s="239"/>
      <c r="HMU341" s="240"/>
      <c r="HMV341" s="241"/>
      <c r="HMW341" s="239"/>
      <c r="HMX341" s="239"/>
      <c r="HMY341" s="239"/>
      <c r="HMZ341" s="239"/>
      <c r="HNA341" s="239"/>
      <c r="HNB341" s="239"/>
      <c r="HNC341" s="233"/>
      <c r="HND341" s="235"/>
      <c r="HNE341" s="233"/>
      <c r="HNF341" s="234"/>
      <c r="HNG341" s="234"/>
      <c r="HNH341" s="242"/>
      <c r="HNI341" s="234"/>
      <c r="HNJ341" s="234"/>
      <c r="HNK341" s="234"/>
      <c r="HNL341" s="236"/>
      <c r="HNM341" s="244"/>
      <c r="HNN341" s="239"/>
      <c r="HNO341" s="240"/>
      <c r="HNP341" s="241"/>
      <c r="HNQ341" s="239"/>
      <c r="HNR341" s="239"/>
      <c r="HNS341" s="239"/>
      <c r="HNT341" s="239"/>
      <c r="HNU341" s="239"/>
      <c r="HNV341" s="239"/>
      <c r="HNW341" s="233"/>
      <c r="HNX341" s="235"/>
      <c r="HNY341" s="233"/>
      <c r="HNZ341" s="234"/>
      <c r="HOA341" s="234"/>
      <c r="HOB341" s="242"/>
      <c r="HOC341" s="234"/>
      <c r="HOD341" s="234"/>
      <c r="HOE341" s="234"/>
      <c r="HOF341" s="236"/>
      <c r="HOG341" s="244"/>
      <c r="HOH341" s="239"/>
      <c r="HOI341" s="240"/>
      <c r="HOJ341" s="241"/>
      <c r="HOK341" s="239"/>
      <c r="HOL341" s="239"/>
      <c r="HOM341" s="239"/>
      <c r="HON341" s="239"/>
      <c r="HOO341" s="239"/>
      <c r="HOP341" s="239"/>
      <c r="HOQ341" s="233"/>
      <c r="HOR341" s="235"/>
      <c r="HOS341" s="233"/>
      <c r="HOT341" s="234"/>
      <c r="HOU341" s="234"/>
      <c r="HOV341" s="242"/>
      <c r="HOW341" s="234"/>
      <c r="HOX341" s="234"/>
      <c r="HOY341" s="234"/>
      <c r="HOZ341" s="236"/>
      <c r="HPA341" s="244"/>
      <c r="HPB341" s="239"/>
      <c r="HPC341" s="240"/>
      <c r="HPD341" s="241"/>
      <c r="HPE341" s="239"/>
      <c r="HPF341" s="239"/>
      <c r="HPG341" s="239"/>
      <c r="HPH341" s="239"/>
      <c r="HPI341" s="239"/>
      <c r="HPJ341" s="239"/>
      <c r="HPK341" s="233"/>
      <c r="HPL341" s="235"/>
      <c r="HPM341" s="233"/>
      <c r="HPN341" s="234"/>
      <c r="HPO341" s="234"/>
      <c r="HPP341" s="242"/>
      <c r="HPQ341" s="234"/>
      <c r="HPR341" s="234"/>
      <c r="HPS341" s="234"/>
      <c r="HPT341" s="236"/>
      <c r="HPU341" s="244"/>
      <c r="HPV341" s="239"/>
      <c r="HPW341" s="240"/>
      <c r="HPX341" s="241"/>
      <c r="HPY341" s="239"/>
      <c r="HPZ341" s="239"/>
      <c r="HQA341" s="239"/>
      <c r="HQB341" s="239"/>
      <c r="HQC341" s="239"/>
      <c r="HQD341" s="239"/>
      <c r="HQE341" s="233"/>
      <c r="HQF341" s="235"/>
      <c r="HQG341" s="233"/>
      <c r="HQH341" s="234"/>
      <c r="HQI341" s="234"/>
      <c r="HQJ341" s="242"/>
      <c r="HQK341" s="234"/>
      <c r="HQL341" s="234"/>
      <c r="HQM341" s="234"/>
      <c r="HQN341" s="236"/>
      <c r="HQO341" s="244"/>
      <c r="HQP341" s="239"/>
      <c r="HQQ341" s="240"/>
      <c r="HQR341" s="241"/>
      <c r="HQS341" s="239"/>
      <c r="HQT341" s="239"/>
      <c r="HQU341" s="239"/>
      <c r="HQV341" s="239"/>
      <c r="HQW341" s="239"/>
      <c r="HQX341" s="239"/>
      <c r="HQY341" s="233"/>
      <c r="HQZ341" s="235"/>
      <c r="HRA341" s="233"/>
      <c r="HRB341" s="234"/>
      <c r="HRC341" s="234"/>
      <c r="HRD341" s="242"/>
      <c r="HRE341" s="234"/>
      <c r="HRF341" s="234"/>
      <c r="HRG341" s="234"/>
      <c r="HRH341" s="236"/>
      <c r="HRI341" s="244"/>
      <c r="HRJ341" s="239"/>
      <c r="HRK341" s="240"/>
      <c r="HRL341" s="241"/>
      <c r="HRM341" s="239"/>
      <c r="HRN341" s="239"/>
      <c r="HRO341" s="239"/>
      <c r="HRP341" s="239"/>
      <c r="HRQ341" s="239"/>
      <c r="HRR341" s="239"/>
      <c r="HRS341" s="233"/>
      <c r="HRT341" s="235"/>
      <c r="HRU341" s="233"/>
      <c r="HRV341" s="234"/>
      <c r="HRW341" s="234"/>
      <c r="HRX341" s="242"/>
      <c r="HRY341" s="234"/>
      <c r="HRZ341" s="234"/>
      <c r="HSA341" s="234"/>
      <c r="HSB341" s="236"/>
      <c r="HSC341" s="244"/>
      <c r="HSD341" s="239"/>
      <c r="HSE341" s="240"/>
      <c r="HSF341" s="241"/>
      <c r="HSG341" s="239"/>
      <c r="HSH341" s="239"/>
      <c r="HSI341" s="239"/>
      <c r="HSJ341" s="239"/>
      <c r="HSK341" s="239"/>
      <c r="HSL341" s="239"/>
      <c r="HSM341" s="233"/>
      <c r="HSN341" s="235"/>
      <c r="HSO341" s="233"/>
      <c r="HSP341" s="234"/>
      <c r="HSQ341" s="234"/>
      <c r="HSR341" s="242"/>
      <c r="HSS341" s="234"/>
      <c r="HST341" s="234"/>
      <c r="HSU341" s="234"/>
      <c r="HSV341" s="236"/>
      <c r="HSW341" s="244"/>
      <c r="HSX341" s="239"/>
      <c r="HSY341" s="240"/>
      <c r="HSZ341" s="241"/>
      <c r="HTA341" s="239"/>
      <c r="HTB341" s="239"/>
      <c r="HTC341" s="239"/>
      <c r="HTD341" s="239"/>
      <c r="HTE341" s="239"/>
      <c r="HTF341" s="239"/>
      <c r="HTG341" s="233"/>
      <c r="HTH341" s="235"/>
      <c r="HTI341" s="233"/>
      <c r="HTJ341" s="234"/>
      <c r="HTK341" s="234"/>
      <c r="HTL341" s="242"/>
      <c r="HTM341" s="234"/>
      <c r="HTN341" s="234"/>
      <c r="HTO341" s="234"/>
      <c r="HTP341" s="236"/>
      <c r="HTQ341" s="244"/>
      <c r="HTR341" s="239"/>
      <c r="HTS341" s="240"/>
      <c r="HTT341" s="241"/>
      <c r="HTU341" s="239"/>
      <c r="HTV341" s="239"/>
      <c r="HTW341" s="239"/>
      <c r="HTX341" s="239"/>
      <c r="HTY341" s="239"/>
      <c r="HTZ341" s="239"/>
      <c r="HUA341" s="233"/>
      <c r="HUB341" s="235"/>
      <c r="HUC341" s="233"/>
      <c r="HUD341" s="234"/>
      <c r="HUE341" s="234"/>
      <c r="HUF341" s="242"/>
      <c r="HUG341" s="234"/>
      <c r="HUH341" s="234"/>
      <c r="HUI341" s="234"/>
      <c r="HUJ341" s="236"/>
      <c r="HUK341" s="244"/>
      <c r="HUL341" s="239"/>
      <c r="HUM341" s="240"/>
      <c r="HUN341" s="241"/>
      <c r="HUO341" s="239"/>
      <c r="HUP341" s="239"/>
      <c r="HUQ341" s="239"/>
      <c r="HUR341" s="239"/>
      <c r="HUS341" s="239"/>
      <c r="HUT341" s="239"/>
      <c r="HUU341" s="233"/>
      <c r="HUV341" s="235"/>
      <c r="HUW341" s="233"/>
      <c r="HUX341" s="234"/>
      <c r="HUY341" s="234"/>
      <c r="HUZ341" s="242"/>
      <c r="HVA341" s="234"/>
      <c r="HVB341" s="234"/>
      <c r="HVC341" s="234"/>
      <c r="HVD341" s="236"/>
      <c r="HVE341" s="244"/>
      <c r="HVF341" s="239"/>
      <c r="HVG341" s="240"/>
      <c r="HVH341" s="241"/>
      <c r="HVI341" s="239"/>
      <c r="HVJ341" s="239"/>
      <c r="HVK341" s="239"/>
      <c r="HVL341" s="239"/>
      <c r="HVM341" s="239"/>
      <c r="HVN341" s="239"/>
      <c r="HVO341" s="233"/>
      <c r="HVP341" s="235"/>
      <c r="HVQ341" s="233"/>
      <c r="HVR341" s="234"/>
      <c r="HVS341" s="234"/>
      <c r="HVT341" s="242"/>
      <c r="HVU341" s="234"/>
      <c r="HVV341" s="234"/>
      <c r="HVW341" s="234"/>
      <c r="HVX341" s="236"/>
      <c r="HVY341" s="244"/>
      <c r="HVZ341" s="239"/>
      <c r="HWA341" s="240"/>
      <c r="HWB341" s="241"/>
      <c r="HWC341" s="239"/>
      <c r="HWD341" s="239"/>
      <c r="HWE341" s="239"/>
      <c r="HWF341" s="239"/>
      <c r="HWG341" s="239"/>
      <c r="HWH341" s="239"/>
      <c r="HWI341" s="233"/>
      <c r="HWJ341" s="235"/>
      <c r="HWK341" s="233"/>
      <c r="HWL341" s="234"/>
      <c r="HWM341" s="234"/>
      <c r="HWN341" s="242"/>
      <c r="HWO341" s="234"/>
      <c r="HWP341" s="234"/>
      <c r="HWQ341" s="234"/>
      <c r="HWR341" s="236"/>
      <c r="HWS341" s="244"/>
      <c r="HWT341" s="239"/>
      <c r="HWU341" s="240"/>
      <c r="HWV341" s="241"/>
      <c r="HWW341" s="239"/>
      <c r="HWX341" s="239"/>
      <c r="HWY341" s="239"/>
      <c r="HWZ341" s="239"/>
      <c r="HXA341" s="239"/>
      <c r="HXB341" s="239"/>
      <c r="HXC341" s="233"/>
      <c r="HXD341" s="235"/>
      <c r="HXE341" s="233"/>
      <c r="HXF341" s="234"/>
      <c r="HXG341" s="234"/>
      <c r="HXH341" s="242"/>
      <c r="HXI341" s="234"/>
      <c r="HXJ341" s="234"/>
      <c r="HXK341" s="234"/>
      <c r="HXL341" s="236"/>
      <c r="HXM341" s="244"/>
      <c r="HXN341" s="239"/>
      <c r="HXO341" s="240"/>
      <c r="HXP341" s="241"/>
      <c r="HXQ341" s="239"/>
      <c r="HXR341" s="239"/>
      <c r="HXS341" s="239"/>
      <c r="HXT341" s="239"/>
      <c r="HXU341" s="239"/>
      <c r="HXV341" s="239"/>
      <c r="HXW341" s="233"/>
      <c r="HXX341" s="235"/>
      <c r="HXY341" s="233"/>
      <c r="HXZ341" s="234"/>
      <c r="HYA341" s="234"/>
      <c r="HYB341" s="242"/>
      <c r="HYC341" s="234"/>
      <c r="HYD341" s="234"/>
      <c r="HYE341" s="234"/>
      <c r="HYF341" s="236"/>
      <c r="HYG341" s="244"/>
      <c r="HYH341" s="239"/>
      <c r="HYI341" s="240"/>
      <c r="HYJ341" s="241"/>
      <c r="HYK341" s="239"/>
      <c r="HYL341" s="239"/>
      <c r="HYM341" s="239"/>
      <c r="HYN341" s="239"/>
      <c r="HYO341" s="239"/>
      <c r="HYP341" s="239"/>
      <c r="HYQ341" s="233"/>
      <c r="HYR341" s="235"/>
      <c r="HYS341" s="233"/>
      <c r="HYT341" s="234"/>
      <c r="HYU341" s="234"/>
      <c r="HYV341" s="242"/>
      <c r="HYW341" s="234"/>
      <c r="HYX341" s="234"/>
      <c r="HYY341" s="234"/>
      <c r="HYZ341" s="236"/>
      <c r="HZA341" s="244"/>
      <c r="HZB341" s="239"/>
      <c r="HZC341" s="240"/>
      <c r="HZD341" s="241"/>
      <c r="HZE341" s="239"/>
      <c r="HZF341" s="239"/>
      <c r="HZG341" s="239"/>
      <c r="HZH341" s="239"/>
      <c r="HZI341" s="239"/>
      <c r="HZJ341" s="239"/>
      <c r="HZK341" s="233"/>
      <c r="HZL341" s="235"/>
      <c r="HZM341" s="233"/>
      <c r="HZN341" s="234"/>
      <c r="HZO341" s="234"/>
      <c r="HZP341" s="242"/>
      <c r="HZQ341" s="234"/>
      <c r="HZR341" s="234"/>
      <c r="HZS341" s="234"/>
      <c r="HZT341" s="236"/>
      <c r="HZU341" s="244"/>
      <c r="HZV341" s="239"/>
      <c r="HZW341" s="240"/>
      <c r="HZX341" s="241"/>
      <c r="HZY341" s="239"/>
      <c r="HZZ341" s="239"/>
      <c r="IAA341" s="239"/>
      <c r="IAB341" s="239"/>
      <c r="IAC341" s="239"/>
      <c r="IAD341" s="239"/>
      <c r="IAE341" s="233"/>
      <c r="IAF341" s="235"/>
      <c r="IAG341" s="233"/>
      <c r="IAH341" s="234"/>
      <c r="IAI341" s="234"/>
      <c r="IAJ341" s="242"/>
      <c r="IAK341" s="234"/>
      <c r="IAL341" s="234"/>
      <c r="IAM341" s="234"/>
      <c r="IAN341" s="236"/>
      <c r="IAO341" s="244"/>
      <c r="IAP341" s="239"/>
      <c r="IAQ341" s="240"/>
      <c r="IAR341" s="241"/>
      <c r="IAS341" s="239"/>
      <c r="IAT341" s="239"/>
      <c r="IAU341" s="239"/>
      <c r="IAV341" s="239"/>
      <c r="IAW341" s="239"/>
      <c r="IAX341" s="239"/>
      <c r="IAY341" s="233"/>
      <c r="IAZ341" s="235"/>
      <c r="IBA341" s="233"/>
      <c r="IBB341" s="234"/>
      <c r="IBC341" s="234"/>
      <c r="IBD341" s="242"/>
      <c r="IBE341" s="234"/>
      <c r="IBF341" s="234"/>
      <c r="IBG341" s="234"/>
      <c r="IBH341" s="236"/>
      <c r="IBI341" s="244"/>
      <c r="IBJ341" s="239"/>
      <c r="IBK341" s="240"/>
      <c r="IBL341" s="241"/>
      <c r="IBM341" s="239"/>
      <c r="IBN341" s="239"/>
      <c r="IBO341" s="239"/>
      <c r="IBP341" s="239"/>
      <c r="IBQ341" s="239"/>
      <c r="IBR341" s="239"/>
      <c r="IBS341" s="233"/>
      <c r="IBT341" s="235"/>
      <c r="IBU341" s="233"/>
      <c r="IBV341" s="234"/>
      <c r="IBW341" s="234"/>
      <c r="IBX341" s="242"/>
      <c r="IBY341" s="234"/>
      <c r="IBZ341" s="234"/>
      <c r="ICA341" s="234"/>
      <c r="ICB341" s="236"/>
      <c r="ICC341" s="244"/>
      <c r="ICD341" s="239"/>
      <c r="ICE341" s="240"/>
      <c r="ICF341" s="241"/>
      <c r="ICG341" s="239"/>
      <c r="ICH341" s="239"/>
      <c r="ICI341" s="239"/>
      <c r="ICJ341" s="239"/>
      <c r="ICK341" s="239"/>
      <c r="ICL341" s="239"/>
      <c r="ICM341" s="233"/>
      <c r="ICN341" s="235"/>
      <c r="ICO341" s="233"/>
      <c r="ICP341" s="234"/>
      <c r="ICQ341" s="234"/>
      <c r="ICR341" s="242"/>
      <c r="ICS341" s="234"/>
      <c r="ICT341" s="234"/>
      <c r="ICU341" s="234"/>
      <c r="ICV341" s="236"/>
      <c r="ICW341" s="244"/>
      <c r="ICX341" s="239"/>
      <c r="ICY341" s="240"/>
      <c r="ICZ341" s="241"/>
      <c r="IDA341" s="239"/>
      <c r="IDB341" s="239"/>
      <c r="IDC341" s="239"/>
      <c r="IDD341" s="239"/>
      <c r="IDE341" s="239"/>
      <c r="IDF341" s="239"/>
      <c r="IDG341" s="233"/>
      <c r="IDH341" s="235"/>
      <c r="IDI341" s="233"/>
      <c r="IDJ341" s="234"/>
      <c r="IDK341" s="234"/>
      <c r="IDL341" s="242"/>
      <c r="IDM341" s="234"/>
      <c r="IDN341" s="234"/>
      <c r="IDO341" s="234"/>
      <c r="IDP341" s="236"/>
      <c r="IDQ341" s="244"/>
      <c r="IDR341" s="239"/>
      <c r="IDS341" s="240"/>
      <c r="IDT341" s="241"/>
      <c r="IDU341" s="239"/>
      <c r="IDV341" s="239"/>
      <c r="IDW341" s="239"/>
      <c r="IDX341" s="239"/>
      <c r="IDY341" s="239"/>
      <c r="IDZ341" s="239"/>
      <c r="IEA341" s="233"/>
      <c r="IEB341" s="235"/>
      <c r="IEC341" s="233"/>
      <c r="IED341" s="234"/>
      <c r="IEE341" s="234"/>
      <c r="IEF341" s="242"/>
      <c r="IEG341" s="234"/>
      <c r="IEH341" s="234"/>
      <c r="IEI341" s="234"/>
      <c r="IEJ341" s="236"/>
      <c r="IEK341" s="244"/>
      <c r="IEL341" s="239"/>
      <c r="IEM341" s="240"/>
      <c r="IEN341" s="241"/>
      <c r="IEO341" s="239"/>
      <c r="IEP341" s="239"/>
      <c r="IEQ341" s="239"/>
      <c r="IER341" s="239"/>
      <c r="IES341" s="239"/>
      <c r="IET341" s="239"/>
      <c r="IEU341" s="233"/>
      <c r="IEV341" s="235"/>
      <c r="IEW341" s="233"/>
      <c r="IEX341" s="234"/>
      <c r="IEY341" s="234"/>
      <c r="IEZ341" s="242"/>
      <c r="IFA341" s="234"/>
      <c r="IFB341" s="234"/>
      <c r="IFC341" s="234"/>
      <c r="IFD341" s="236"/>
      <c r="IFE341" s="244"/>
      <c r="IFF341" s="239"/>
      <c r="IFG341" s="240"/>
      <c r="IFH341" s="241"/>
      <c r="IFI341" s="239"/>
      <c r="IFJ341" s="239"/>
      <c r="IFK341" s="239"/>
      <c r="IFL341" s="239"/>
      <c r="IFM341" s="239"/>
      <c r="IFN341" s="239"/>
      <c r="IFO341" s="233"/>
      <c r="IFP341" s="235"/>
      <c r="IFQ341" s="233"/>
      <c r="IFR341" s="234"/>
      <c r="IFS341" s="234"/>
      <c r="IFT341" s="242"/>
      <c r="IFU341" s="234"/>
      <c r="IFV341" s="234"/>
      <c r="IFW341" s="234"/>
      <c r="IFX341" s="236"/>
      <c r="IFY341" s="244"/>
      <c r="IFZ341" s="239"/>
      <c r="IGA341" s="240"/>
      <c r="IGB341" s="241"/>
      <c r="IGC341" s="239"/>
      <c r="IGD341" s="239"/>
      <c r="IGE341" s="239"/>
      <c r="IGF341" s="239"/>
      <c r="IGG341" s="239"/>
      <c r="IGH341" s="239"/>
      <c r="IGI341" s="233"/>
      <c r="IGJ341" s="235"/>
      <c r="IGK341" s="233"/>
      <c r="IGL341" s="234"/>
      <c r="IGM341" s="234"/>
      <c r="IGN341" s="242"/>
      <c r="IGO341" s="234"/>
      <c r="IGP341" s="234"/>
      <c r="IGQ341" s="234"/>
      <c r="IGR341" s="236"/>
      <c r="IGS341" s="244"/>
      <c r="IGT341" s="239"/>
      <c r="IGU341" s="240"/>
      <c r="IGV341" s="241"/>
      <c r="IGW341" s="239"/>
      <c r="IGX341" s="239"/>
      <c r="IGY341" s="239"/>
      <c r="IGZ341" s="239"/>
      <c r="IHA341" s="239"/>
      <c r="IHB341" s="239"/>
      <c r="IHC341" s="233"/>
      <c r="IHD341" s="235"/>
      <c r="IHE341" s="233"/>
      <c r="IHF341" s="234"/>
      <c r="IHG341" s="234"/>
      <c r="IHH341" s="242"/>
      <c r="IHI341" s="234"/>
      <c r="IHJ341" s="234"/>
      <c r="IHK341" s="234"/>
      <c r="IHL341" s="236"/>
      <c r="IHM341" s="244"/>
      <c r="IHN341" s="239"/>
      <c r="IHO341" s="240"/>
      <c r="IHP341" s="241"/>
      <c r="IHQ341" s="239"/>
      <c r="IHR341" s="239"/>
      <c r="IHS341" s="239"/>
      <c r="IHT341" s="239"/>
      <c r="IHU341" s="239"/>
      <c r="IHV341" s="239"/>
      <c r="IHW341" s="233"/>
      <c r="IHX341" s="235"/>
      <c r="IHY341" s="233"/>
      <c r="IHZ341" s="234"/>
      <c r="IIA341" s="234"/>
      <c r="IIB341" s="242"/>
      <c r="IIC341" s="234"/>
      <c r="IID341" s="234"/>
      <c r="IIE341" s="234"/>
      <c r="IIF341" s="236"/>
      <c r="IIG341" s="244"/>
      <c r="IIH341" s="239"/>
      <c r="III341" s="240"/>
      <c r="IIJ341" s="241"/>
      <c r="IIK341" s="239"/>
      <c r="IIL341" s="239"/>
      <c r="IIM341" s="239"/>
      <c r="IIN341" s="239"/>
      <c r="IIO341" s="239"/>
      <c r="IIP341" s="239"/>
      <c r="IIQ341" s="233"/>
      <c r="IIR341" s="235"/>
      <c r="IIS341" s="233"/>
      <c r="IIT341" s="234"/>
      <c r="IIU341" s="234"/>
      <c r="IIV341" s="242"/>
      <c r="IIW341" s="234"/>
      <c r="IIX341" s="234"/>
      <c r="IIY341" s="234"/>
      <c r="IIZ341" s="236"/>
      <c r="IJA341" s="244"/>
      <c r="IJB341" s="239"/>
      <c r="IJC341" s="240"/>
      <c r="IJD341" s="241"/>
      <c r="IJE341" s="239"/>
      <c r="IJF341" s="239"/>
      <c r="IJG341" s="239"/>
      <c r="IJH341" s="239"/>
      <c r="IJI341" s="239"/>
      <c r="IJJ341" s="239"/>
      <c r="IJK341" s="233"/>
      <c r="IJL341" s="235"/>
      <c r="IJM341" s="233"/>
      <c r="IJN341" s="234"/>
      <c r="IJO341" s="234"/>
      <c r="IJP341" s="242"/>
      <c r="IJQ341" s="234"/>
      <c r="IJR341" s="234"/>
      <c r="IJS341" s="234"/>
      <c r="IJT341" s="236"/>
      <c r="IJU341" s="244"/>
      <c r="IJV341" s="239"/>
      <c r="IJW341" s="240"/>
      <c r="IJX341" s="241"/>
      <c r="IJY341" s="239"/>
      <c r="IJZ341" s="239"/>
      <c r="IKA341" s="239"/>
      <c r="IKB341" s="239"/>
      <c r="IKC341" s="239"/>
      <c r="IKD341" s="239"/>
      <c r="IKE341" s="233"/>
      <c r="IKF341" s="235"/>
      <c r="IKG341" s="233"/>
      <c r="IKH341" s="234"/>
      <c r="IKI341" s="234"/>
      <c r="IKJ341" s="242"/>
      <c r="IKK341" s="234"/>
      <c r="IKL341" s="234"/>
      <c r="IKM341" s="234"/>
      <c r="IKN341" s="236"/>
      <c r="IKO341" s="244"/>
      <c r="IKP341" s="239"/>
      <c r="IKQ341" s="240"/>
      <c r="IKR341" s="241"/>
      <c r="IKS341" s="239"/>
      <c r="IKT341" s="239"/>
      <c r="IKU341" s="239"/>
      <c r="IKV341" s="239"/>
      <c r="IKW341" s="239"/>
      <c r="IKX341" s="239"/>
      <c r="IKY341" s="233"/>
      <c r="IKZ341" s="235"/>
      <c r="ILA341" s="233"/>
      <c r="ILB341" s="234"/>
      <c r="ILC341" s="234"/>
      <c r="ILD341" s="242"/>
      <c r="ILE341" s="234"/>
      <c r="ILF341" s="234"/>
      <c r="ILG341" s="234"/>
      <c r="ILH341" s="236"/>
      <c r="ILI341" s="244"/>
      <c r="ILJ341" s="239"/>
      <c r="ILK341" s="240"/>
      <c r="ILL341" s="241"/>
      <c r="ILM341" s="239"/>
      <c r="ILN341" s="239"/>
      <c r="ILO341" s="239"/>
      <c r="ILP341" s="239"/>
      <c r="ILQ341" s="239"/>
      <c r="ILR341" s="239"/>
      <c r="ILS341" s="233"/>
      <c r="ILT341" s="235"/>
      <c r="ILU341" s="233"/>
      <c r="ILV341" s="234"/>
      <c r="ILW341" s="234"/>
      <c r="ILX341" s="242"/>
      <c r="ILY341" s="234"/>
      <c r="ILZ341" s="234"/>
      <c r="IMA341" s="234"/>
      <c r="IMB341" s="236"/>
      <c r="IMC341" s="244"/>
      <c r="IMD341" s="239"/>
      <c r="IME341" s="240"/>
      <c r="IMF341" s="241"/>
      <c r="IMG341" s="239"/>
      <c r="IMH341" s="239"/>
      <c r="IMI341" s="239"/>
      <c r="IMJ341" s="239"/>
      <c r="IMK341" s="239"/>
      <c r="IML341" s="239"/>
      <c r="IMM341" s="233"/>
      <c r="IMN341" s="235"/>
      <c r="IMO341" s="233"/>
      <c r="IMP341" s="234"/>
      <c r="IMQ341" s="234"/>
      <c r="IMR341" s="242"/>
      <c r="IMS341" s="234"/>
      <c r="IMT341" s="234"/>
      <c r="IMU341" s="234"/>
      <c r="IMV341" s="236"/>
      <c r="IMW341" s="244"/>
      <c r="IMX341" s="239"/>
      <c r="IMY341" s="240"/>
      <c r="IMZ341" s="241"/>
      <c r="INA341" s="239"/>
      <c r="INB341" s="239"/>
      <c r="INC341" s="239"/>
      <c r="IND341" s="239"/>
      <c r="INE341" s="239"/>
      <c r="INF341" s="239"/>
      <c r="ING341" s="233"/>
      <c r="INH341" s="235"/>
      <c r="INI341" s="233"/>
      <c r="INJ341" s="234"/>
      <c r="INK341" s="234"/>
      <c r="INL341" s="242"/>
      <c r="INM341" s="234"/>
      <c r="INN341" s="234"/>
      <c r="INO341" s="234"/>
      <c r="INP341" s="236"/>
      <c r="INQ341" s="244"/>
      <c r="INR341" s="239"/>
      <c r="INS341" s="240"/>
      <c r="INT341" s="241"/>
      <c r="INU341" s="239"/>
      <c r="INV341" s="239"/>
      <c r="INW341" s="239"/>
      <c r="INX341" s="239"/>
      <c r="INY341" s="239"/>
      <c r="INZ341" s="239"/>
      <c r="IOA341" s="233"/>
      <c r="IOB341" s="235"/>
      <c r="IOC341" s="233"/>
      <c r="IOD341" s="234"/>
      <c r="IOE341" s="234"/>
      <c r="IOF341" s="242"/>
      <c r="IOG341" s="234"/>
      <c r="IOH341" s="234"/>
      <c r="IOI341" s="234"/>
      <c r="IOJ341" s="236"/>
      <c r="IOK341" s="244"/>
      <c r="IOL341" s="239"/>
      <c r="IOM341" s="240"/>
      <c r="ION341" s="241"/>
      <c r="IOO341" s="239"/>
      <c r="IOP341" s="239"/>
      <c r="IOQ341" s="239"/>
      <c r="IOR341" s="239"/>
      <c r="IOS341" s="239"/>
      <c r="IOT341" s="239"/>
      <c r="IOU341" s="233"/>
      <c r="IOV341" s="235"/>
      <c r="IOW341" s="233"/>
      <c r="IOX341" s="234"/>
      <c r="IOY341" s="234"/>
      <c r="IOZ341" s="242"/>
      <c r="IPA341" s="234"/>
      <c r="IPB341" s="234"/>
      <c r="IPC341" s="234"/>
      <c r="IPD341" s="236"/>
      <c r="IPE341" s="244"/>
      <c r="IPF341" s="239"/>
      <c r="IPG341" s="240"/>
      <c r="IPH341" s="241"/>
      <c r="IPI341" s="239"/>
      <c r="IPJ341" s="239"/>
      <c r="IPK341" s="239"/>
      <c r="IPL341" s="239"/>
      <c r="IPM341" s="239"/>
      <c r="IPN341" s="239"/>
      <c r="IPO341" s="233"/>
      <c r="IPP341" s="235"/>
      <c r="IPQ341" s="233"/>
      <c r="IPR341" s="234"/>
      <c r="IPS341" s="234"/>
      <c r="IPT341" s="242"/>
      <c r="IPU341" s="234"/>
      <c r="IPV341" s="234"/>
      <c r="IPW341" s="234"/>
      <c r="IPX341" s="236"/>
      <c r="IPY341" s="244"/>
      <c r="IPZ341" s="239"/>
      <c r="IQA341" s="240"/>
      <c r="IQB341" s="241"/>
      <c r="IQC341" s="239"/>
      <c r="IQD341" s="239"/>
      <c r="IQE341" s="239"/>
      <c r="IQF341" s="239"/>
      <c r="IQG341" s="239"/>
      <c r="IQH341" s="239"/>
      <c r="IQI341" s="233"/>
      <c r="IQJ341" s="235"/>
      <c r="IQK341" s="233"/>
      <c r="IQL341" s="234"/>
      <c r="IQM341" s="234"/>
      <c r="IQN341" s="242"/>
      <c r="IQO341" s="234"/>
      <c r="IQP341" s="234"/>
      <c r="IQQ341" s="234"/>
      <c r="IQR341" s="236"/>
      <c r="IQS341" s="244"/>
      <c r="IQT341" s="239"/>
      <c r="IQU341" s="240"/>
      <c r="IQV341" s="241"/>
      <c r="IQW341" s="239"/>
      <c r="IQX341" s="239"/>
      <c r="IQY341" s="239"/>
      <c r="IQZ341" s="239"/>
      <c r="IRA341" s="239"/>
      <c r="IRB341" s="239"/>
      <c r="IRC341" s="233"/>
      <c r="IRD341" s="235"/>
      <c r="IRE341" s="233"/>
      <c r="IRF341" s="234"/>
      <c r="IRG341" s="234"/>
      <c r="IRH341" s="242"/>
      <c r="IRI341" s="234"/>
      <c r="IRJ341" s="234"/>
      <c r="IRK341" s="234"/>
      <c r="IRL341" s="236"/>
      <c r="IRM341" s="244"/>
      <c r="IRN341" s="239"/>
      <c r="IRO341" s="240"/>
      <c r="IRP341" s="241"/>
      <c r="IRQ341" s="239"/>
      <c r="IRR341" s="239"/>
      <c r="IRS341" s="239"/>
      <c r="IRT341" s="239"/>
      <c r="IRU341" s="239"/>
      <c r="IRV341" s="239"/>
      <c r="IRW341" s="233"/>
      <c r="IRX341" s="235"/>
      <c r="IRY341" s="233"/>
      <c r="IRZ341" s="234"/>
      <c r="ISA341" s="234"/>
      <c r="ISB341" s="242"/>
      <c r="ISC341" s="234"/>
      <c r="ISD341" s="234"/>
      <c r="ISE341" s="234"/>
      <c r="ISF341" s="236"/>
      <c r="ISG341" s="244"/>
      <c r="ISH341" s="239"/>
      <c r="ISI341" s="240"/>
      <c r="ISJ341" s="241"/>
      <c r="ISK341" s="239"/>
      <c r="ISL341" s="239"/>
      <c r="ISM341" s="239"/>
      <c r="ISN341" s="239"/>
      <c r="ISO341" s="239"/>
      <c r="ISP341" s="239"/>
      <c r="ISQ341" s="233"/>
      <c r="ISR341" s="235"/>
      <c r="ISS341" s="233"/>
      <c r="IST341" s="234"/>
      <c r="ISU341" s="234"/>
      <c r="ISV341" s="242"/>
      <c r="ISW341" s="234"/>
      <c r="ISX341" s="234"/>
      <c r="ISY341" s="234"/>
      <c r="ISZ341" s="236"/>
      <c r="ITA341" s="244"/>
      <c r="ITB341" s="239"/>
      <c r="ITC341" s="240"/>
      <c r="ITD341" s="241"/>
      <c r="ITE341" s="239"/>
      <c r="ITF341" s="239"/>
      <c r="ITG341" s="239"/>
      <c r="ITH341" s="239"/>
      <c r="ITI341" s="239"/>
      <c r="ITJ341" s="239"/>
      <c r="ITK341" s="233"/>
      <c r="ITL341" s="235"/>
      <c r="ITM341" s="233"/>
      <c r="ITN341" s="234"/>
      <c r="ITO341" s="234"/>
      <c r="ITP341" s="242"/>
      <c r="ITQ341" s="234"/>
      <c r="ITR341" s="234"/>
      <c r="ITS341" s="234"/>
      <c r="ITT341" s="236"/>
      <c r="ITU341" s="244"/>
      <c r="ITV341" s="239"/>
      <c r="ITW341" s="240"/>
      <c r="ITX341" s="241"/>
      <c r="ITY341" s="239"/>
      <c r="ITZ341" s="239"/>
      <c r="IUA341" s="239"/>
      <c r="IUB341" s="239"/>
      <c r="IUC341" s="239"/>
      <c r="IUD341" s="239"/>
      <c r="IUE341" s="233"/>
      <c r="IUF341" s="235"/>
      <c r="IUG341" s="233"/>
      <c r="IUH341" s="234"/>
      <c r="IUI341" s="234"/>
      <c r="IUJ341" s="242"/>
      <c r="IUK341" s="234"/>
      <c r="IUL341" s="234"/>
      <c r="IUM341" s="234"/>
      <c r="IUN341" s="236"/>
      <c r="IUO341" s="244"/>
      <c r="IUP341" s="239"/>
      <c r="IUQ341" s="240"/>
      <c r="IUR341" s="241"/>
      <c r="IUS341" s="239"/>
      <c r="IUT341" s="239"/>
      <c r="IUU341" s="239"/>
      <c r="IUV341" s="239"/>
      <c r="IUW341" s="239"/>
      <c r="IUX341" s="239"/>
      <c r="IUY341" s="233"/>
      <c r="IUZ341" s="235"/>
      <c r="IVA341" s="233"/>
      <c r="IVB341" s="234"/>
      <c r="IVC341" s="234"/>
      <c r="IVD341" s="242"/>
      <c r="IVE341" s="234"/>
      <c r="IVF341" s="234"/>
      <c r="IVG341" s="234"/>
      <c r="IVH341" s="236"/>
      <c r="IVI341" s="244"/>
      <c r="IVJ341" s="239"/>
      <c r="IVK341" s="240"/>
      <c r="IVL341" s="241"/>
      <c r="IVM341" s="239"/>
      <c r="IVN341" s="239"/>
      <c r="IVO341" s="239"/>
      <c r="IVP341" s="239"/>
      <c r="IVQ341" s="239"/>
      <c r="IVR341" s="239"/>
      <c r="IVS341" s="233"/>
      <c r="IVT341" s="235"/>
      <c r="IVU341" s="233"/>
      <c r="IVV341" s="234"/>
      <c r="IVW341" s="234"/>
      <c r="IVX341" s="242"/>
      <c r="IVY341" s="234"/>
      <c r="IVZ341" s="234"/>
      <c r="IWA341" s="234"/>
      <c r="IWB341" s="236"/>
      <c r="IWC341" s="244"/>
      <c r="IWD341" s="239"/>
      <c r="IWE341" s="240"/>
      <c r="IWF341" s="241"/>
      <c r="IWG341" s="239"/>
      <c r="IWH341" s="239"/>
      <c r="IWI341" s="239"/>
      <c r="IWJ341" s="239"/>
      <c r="IWK341" s="239"/>
      <c r="IWL341" s="239"/>
      <c r="IWM341" s="233"/>
      <c r="IWN341" s="235"/>
      <c r="IWO341" s="233"/>
      <c r="IWP341" s="234"/>
      <c r="IWQ341" s="234"/>
      <c r="IWR341" s="242"/>
      <c r="IWS341" s="234"/>
      <c r="IWT341" s="234"/>
      <c r="IWU341" s="234"/>
      <c r="IWV341" s="236"/>
      <c r="IWW341" s="244"/>
      <c r="IWX341" s="239"/>
      <c r="IWY341" s="240"/>
      <c r="IWZ341" s="241"/>
      <c r="IXA341" s="239"/>
      <c r="IXB341" s="239"/>
      <c r="IXC341" s="239"/>
      <c r="IXD341" s="239"/>
      <c r="IXE341" s="239"/>
      <c r="IXF341" s="239"/>
      <c r="IXG341" s="233"/>
      <c r="IXH341" s="235"/>
      <c r="IXI341" s="233"/>
      <c r="IXJ341" s="234"/>
      <c r="IXK341" s="234"/>
      <c r="IXL341" s="242"/>
      <c r="IXM341" s="234"/>
      <c r="IXN341" s="234"/>
      <c r="IXO341" s="234"/>
      <c r="IXP341" s="236"/>
      <c r="IXQ341" s="244"/>
      <c r="IXR341" s="239"/>
      <c r="IXS341" s="240"/>
      <c r="IXT341" s="241"/>
      <c r="IXU341" s="239"/>
      <c r="IXV341" s="239"/>
      <c r="IXW341" s="239"/>
      <c r="IXX341" s="239"/>
      <c r="IXY341" s="239"/>
      <c r="IXZ341" s="239"/>
      <c r="IYA341" s="233"/>
      <c r="IYB341" s="235"/>
      <c r="IYC341" s="233"/>
      <c r="IYD341" s="234"/>
      <c r="IYE341" s="234"/>
      <c r="IYF341" s="242"/>
      <c r="IYG341" s="234"/>
      <c r="IYH341" s="234"/>
      <c r="IYI341" s="234"/>
      <c r="IYJ341" s="236"/>
      <c r="IYK341" s="244"/>
      <c r="IYL341" s="239"/>
      <c r="IYM341" s="240"/>
      <c r="IYN341" s="241"/>
      <c r="IYO341" s="239"/>
      <c r="IYP341" s="239"/>
      <c r="IYQ341" s="239"/>
      <c r="IYR341" s="239"/>
      <c r="IYS341" s="239"/>
      <c r="IYT341" s="239"/>
      <c r="IYU341" s="233"/>
      <c r="IYV341" s="235"/>
      <c r="IYW341" s="233"/>
      <c r="IYX341" s="234"/>
      <c r="IYY341" s="234"/>
      <c r="IYZ341" s="242"/>
      <c r="IZA341" s="234"/>
      <c r="IZB341" s="234"/>
      <c r="IZC341" s="234"/>
      <c r="IZD341" s="236"/>
      <c r="IZE341" s="244"/>
      <c r="IZF341" s="239"/>
      <c r="IZG341" s="240"/>
      <c r="IZH341" s="241"/>
      <c r="IZI341" s="239"/>
      <c r="IZJ341" s="239"/>
      <c r="IZK341" s="239"/>
      <c r="IZL341" s="239"/>
      <c r="IZM341" s="239"/>
      <c r="IZN341" s="239"/>
      <c r="IZO341" s="233"/>
      <c r="IZP341" s="235"/>
      <c r="IZQ341" s="233"/>
      <c r="IZR341" s="234"/>
      <c r="IZS341" s="234"/>
      <c r="IZT341" s="242"/>
      <c r="IZU341" s="234"/>
      <c r="IZV341" s="234"/>
      <c r="IZW341" s="234"/>
      <c r="IZX341" s="236"/>
      <c r="IZY341" s="244"/>
      <c r="IZZ341" s="239"/>
      <c r="JAA341" s="240"/>
      <c r="JAB341" s="241"/>
      <c r="JAC341" s="239"/>
      <c r="JAD341" s="239"/>
      <c r="JAE341" s="239"/>
      <c r="JAF341" s="239"/>
      <c r="JAG341" s="239"/>
      <c r="JAH341" s="239"/>
      <c r="JAI341" s="233"/>
      <c r="JAJ341" s="235"/>
      <c r="JAK341" s="233"/>
      <c r="JAL341" s="234"/>
      <c r="JAM341" s="234"/>
      <c r="JAN341" s="242"/>
      <c r="JAO341" s="234"/>
      <c r="JAP341" s="234"/>
      <c r="JAQ341" s="234"/>
      <c r="JAR341" s="236"/>
      <c r="JAS341" s="244"/>
      <c r="JAT341" s="239"/>
      <c r="JAU341" s="240"/>
      <c r="JAV341" s="241"/>
      <c r="JAW341" s="239"/>
      <c r="JAX341" s="239"/>
      <c r="JAY341" s="239"/>
      <c r="JAZ341" s="239"/>
      <c r="JBA341" s="239"/>
      <c r="JBB341" s="239"/>
      <c r="JBC341" s="233"/>
      <c r="JBD341" s="235"/>
      <c r="JBE341" s="233"/>
      <c r="JBF341" s="234"/>
      <c r="JBG341" s="234"/>
      <c r="JBH341" s="242"/>
      <c r="JBI341" s="234"/>
      <c r="JBJ341" s="234"/>
      <c r="JBK341" s="234"/>
      <c r="JBL341" s="236"/>
      <c r="JBM341" s="244"/>
      <c r="JBN341" s="239"/>
      <c r="JBO341" s="240"/>
      <c r="JBP341" s="241"/>
      <c r="JBQ341" s="239"/>
      <c r="JBR341" s="239"/>
      <c r="JBS341" s="239"/>
      <c r="JBT341" s="239"/>
      <c r="JBU341" s="239"/>
      <c r="JBV341" s="239"/>
      <c r="JBW341" s="233"/>
      <c r="JBX341" s="235"/>
      <c r="JBY341" s="233"/>
      <c r="JBZ341" s="234"/>
      <c r="JCA341" s="234"/>
      <c r="JCB341" s="242"/>
      <c r="JCC341" s="234"/>
      <c r="JCD341" s="234"/>
      <c r="JCE341" s="234"/>
      <c r="JCF341" s="236"/>
      <c r="JCG341" s="244"/>
      <c r="JCH341" s="239"/>
      <c r="JCI341" s="240"/>
      <c r="JCJ341" s="241"/>
      <c r="JCK341" s="239"/>
      <c r="JCL341" s="239"/>
      <c r="JCM341" s="239"/>
      <c r="JCN341" s="239"/>
      <c r="JCO341" s="239"/>
      <c r="JCP341" s="239"/>
      <c r="JCQ341" s="233"/>
      <c r="JCR341" s="235"/>
      <c r="JCS341" s="233"/>
      <c r="JCT341" s="234"/>
      <c r="JCU341" s="234"/>
      <c r="JCV341" s="242"/>
      <c r="JCW341" s="234"/>
      <c r="JCX341" s="234"/>
      <c r="JCY341" s="234"/>
      <c r="JCZ341" s="236"/>
      <c r="JDA341" s="244"/>
      <c r="JDB341" s="239"/>
      <c r="JDC341" s="240"/>
      <c r="JDD341" s="241"/>
      <c r="JDE341" s="239"/>
      <c r="JDF341" s="239"/>
      <c r="JDG341" s="239"/>
      <c r="JDH341" s="239"/>
      <c r="JDI341" s="239"/>
      <c r="JDJ341" s="239"/>
      <c r="JDK341" s="233"/>
      <c r="JDL341" s="235"/>
      <c r="JDM341" s="233"/>
      <c r="JDN341" s="234"/>
      <c r="JDO341" s="234"/>
      <c r="JDP341" s="242"/>
      <c r="JDQ341" s="234"/>
      <c r="JDR341" s="234"/>
      <c r="JDS341" s="234"/>
      <c r="JDT341" s="236"/>
      <c r="JDU341" s="244"/>
      <c r="JDV341" s="239"/>
      <c r="JDW341" s="240"/>
      <c r="JDX341" s="241"/>
      <c r="JDY341" s="239"/>
      <c r="JDZ341" s="239"/>
      <c r="JEA341" s="239"/>
      <c r="JEB341" s="239"/>
      <c r="JEC341" s="239"/>
      <c r="JED341" s="239"/>
      <c r="JEE341" s="233"/>
      <c r="JEF341" s="235"/>
      <c r="JEG341" s="233"/>
      <c r="JEH341" s="234"/>
      <c r="JEI341" s="234"/>
      <c r="JEJ341" s="242"/>
      <c r="JEK341" s="234"/>
      <c r="JEL341" s="234"/>
      <c r="JEM341" s="234"/>
      <c r="JEN341" s="236"/>
      <c r="JEO341" s="244"/>
      <c r="JEP341" s="239"/>
      <c r="JEQ341" s="240"/>
      <c r="JER341" s="241"/>
      <c r="JES341" s="239"/>
      <c r="JET341" s="239"/>
      <c r="JEU341" s="239"/>
      <c r="JEV341" s="239"/>
      <c r="JEW341" s="239"/>
      <c r="JEX341" s="239"/>
      <c r="JEY341" s="233"/>
      <c r="JEZ341" s="235"/>
      <c r="JFA341" s="233"/>
      <c r="JFB341" s="234"/>
      <c r="JFC341" s="234"/>
      <c r="JFD341" s="242"/>
      <c r="JFE341" s="234"/>
      <c r="JFF341" s="234"/>
      <c r="JFG341" s="234"/>
      <c r="JFH341" s="236"/>
      <c r="JFI341" s="244"/>
      <c r="JFJ341" s="239"/>
      <c r="JFK341" s="240"/>
      <c r="JFL341" s="241"/>
      <c r="JFM341" s="239"/>
      <c r="JFN341" s="239"/>
      <c r="JFO341" s="239"/>
      <c r="JFP341" s="239"/>
      <c r="JFQ341" s="239"/>
      <c r="JFR341" s="239"/>
      <c r="JFS341" s="233"/>
      <c r="JFT341" s="235"/>
      <c r="JFU341" s="233"/>
      <c r="JFV341" s="234"/>
      <c r="JFW341" s="234"/>
      <c r="JFX341" s="242"/>
      <c r="JFY341" s="234"/>
      <c r="JFZ341" s="234"/>
      <c r="JGA341" s="234"/>
      <c r="JGB341" s="236"/>
      <c r="JGC341" s="244"/>
      <c r="JGD341" s="239"/>
      <c r="JGE341" s="240"/>
      <c r="JGF341" s="241"/>
      <c r="JGG341" s="239"/>
      <c r="JGH341" s="239"/>
      <c r="JGI341" s="239"/>
      <c r="JGJ341" s="239"/>
      <c r="JGK341" s="239"/>
      <c r="JGL341" s="239"/>
      <c r="JGM341" s="233"/>
      <c r="JGN341" s="235"/>
      <c r="JGO341" s="233"/>
      <c r="JGP341" s="234"/>
      <c r="JGQ341" s="234"/>
      <c r="JGR341" s="242"/>
      <c r="JGS341" s="234"/>
      <c r="JGT341" s="234"/>
      <c r="JGU341" s="234"/>
      <c r="JGV341" s="236"/>
      <c r="JGW341" s="244"/>
      <c r="JGX341" s="239"/>
      <c r="JGY341" s="240"/>
      <c r="JGZ341" s="241"/>
      <c r="JHA341" s="239"/>
      <c r="JHB341" s="239"/>
      <c r="JHC341" s="239"/>
      <c r="JHD341" s="239"/>
      <c r="JHE341" s="239"/>
      <c r="JHF341" s="239"/>
      <c r="JHG341" s="233"/>
      <c r="JHH341" s="235"/>
      <c r="JHI341" s="233"/>
      <c r="JHJ341" s="234"/>
      <c r="JHK341" s="234"/>
      <c r="JHL341" s="242"/>
      <c r="JHM341" s="234"/>
      <c r="JHN341" s="234"/>
      <c r="JHO341" s="234"/>
      <c r="JHP341" s="236"/>
      <c r="JHQ341" s="244"/>
      <c r="JHR341" s="239"/>
      <c r="JHS341" s="240"/>
      <c r="JHT341" s="241"/>
      <c r="JHU341" s="239"/>
      <c r="JHV341" s="239"/>
      <c r="JHW341" s="239"/>
      <c r="JHX341" s="239"/>
      <c r="JHY341" s="239"/>
      <c r="JHZ341" s="239"/>
      <c r="JIA341" s="233"/>
      <c r="JIB341" s="235"/>
      <c r="JIC341" s="233"/>
      <c r="JID341" s="234"/>
      <c r="JIE341" s="234"/>
      <c r="JIF341" s="242"/>
      <c r="JIG341" s="234"/>
      <c r="JIH341" s="234"/>
      <c r="JII341" s="234"/>
      <c r="JIJ341" s="236"/>
      <c r="JIK341" s="244"/>
      <c r="JIL341" s="239"/>
      <c r="JIM341" s="240"/>
      <c r="JIN341" s="241"/>
      <c r="JIO341" s="239"/>
      <c r="JIP341" s="239"/>
      <c r="JIQ341" s="239"/>
      <c r="JIR341" s="239"/>
      <c r="JIS341" s="239"/>
      <c r="JIT341" s="239"/>
      <c r="JIU341" s="233"/>
      <c r="JIV341" s="235"/>
      <c r="JIW341" s="233"/>
      <c r="JIX341" s="234"/>
      <c r="JIY341" s="234"/>
      <c r="JIZ341" s="242"/>
      <c r="JJA341" s="234"/>
      <c r="JJB341" s="234"/>
      <c r="JJC341" s="234"/>
      <c r="JJD341" s="236"/>
      <c r="JJE341" s="244"/>
      <c r="JJF341" s="239"/>
      <c r="JJG341" s="240"/>
      <c r="JJH341" s="241"/>
      <c r="JJI341" s="239"/>
      <c r="JJJ341" s="239"/>
      <c r="JJK341" s="239"/>
      <c r="JJL341" s="239"/>
      <c r="JJM341" s="239"/>
      <c r="JJN341" s="239"/>
      <c r="JJO341" s="233"/>
      <c r="JJP341" s="235"/>
      <c r="JJQ341" s="233"/>
      <c r="JJR341" s="234"/>
      <c r="JJS341" s="234"/>
      <c r="JJT341" s="242"/>
      <c r="JJU341" s="234"/>
      <c r="JJV341" s="234"/>
      <c r="JJW341" s="234"/>
      <c r="JJX341" s="236"/>
      <c r="JJY341" s="244"/>
      <c r="JJZ341" s="239"/>
      <c r="JKA341" s="240"/>
      <c r="JKB341" s="241"/>
      <c r="JKC341" s="239"/>
      <c r="JKD341" s="239"/>
      <c r="JKE341" s="239"/>
      <c r="JKF341" s="239"/>
      <c r="JKG341" s="239"/>
      <c r="JKH341" s="239"/>
      <c r="JKI341" s="233"/>
      <c r="JKJ341" s="235"/>
      <c r="JKK341" s="233"/>
      <c r="JKL341" s="234"/>
      <c r="JKM341" s="234"/>
      <c r="JKN341" s="242"/>
      <c r="JKO341" s="234"/>
      <c r="JKP341" s="234"/>
      <c r="JKQ341" s="234"/>
      <c r="JKR341" s="236"/>
      <c r="JKS341" s="244"/>
      <c r="JKT341" s="239"/>
      <c r="JKU341" s="240"/>
      <c r="JKV341" s="241"/>
      <c r="JKW341" s="239"/>
      <c r="JKX341" s="239"/>
      <c r="JKY341" s="239"/>
      <c r="JKZ341" s="239"/>
      <c r="JLA341" s="239"/>
      <c r="JLB341" s="239"/>
      <c r="JLC341" s="233"/>
      <c r="JLD341" s="235"/>
      <c r="JLE341" s="233"/>
      <c r="JLF341" s="234"/>
      <c r="JLG341" s="234"/>
      <c r="JLH341" s="242"/>
      <c r="JLI341" s="234"/>
      <c r="JLJ341" s="234"/>
      <c r="JLK341" s="234"/>
      <c r="JLL341" s="236"/>
      <c r="JLM341" s="244"/>
      <c r="JLN341" s="239"/>
      <c r="JLO341" s="240"/>
      <c r="JLP341" s="241"/>
      <c r="JLQ341" s="239"/>
      <c r="JLR341" s="239"/>
      <c r="JLS341" s="239"/>
      <c r="JLT341" s="239"/>
      <c r="JLU341" s="239"/>
      <c r="JLV341" s="239"/>
      <c r="JLW341" s="233"/>
      <c r="JLX341" s="235"/>
      <c r="JLY341" s="233"/>
      <c r="JLZ341" s="234"/>
      <c r="JMA341" s="234"/>
      <c r="JMB341" s="242"/>
      <c r="JMC341" s="234"/>
      <c r="JMD341" s="234"/>
      <c r="JME341" s="234"/>
      <c r="JMF341" s="236"/>
      <c r="JMG341" s="244"/>
      <c r="JMH341" s="239"/>
      <c r="JMI341" s="240"/>
      <c r="JMJ341" s="241"/>
      <c r="JMK341" s="239"/>
      <c r="JML341" s="239"/>
      <c r="JMM341" s="239"/>
      <c r="JMN341" s="239"/>
      <c r="JMO341" s="239"/>
      <c r="JMP341" s="239"/>
      <c r="JMQ341" s="233"/>
      <c r="JMR341" s="235"/>
      <c r="JMS341" s="233"/>
      <c r="JMT341" s="234"/>
      <c r="JMU341" s="234"/>
      <c r="JMV341" s="242"/>
      <c r="JMW341" s="234"/>
      <c r="JMX341" s="234"/>
      <c r="JMY341" s="234"/>
      <c r="JMZ341" s="236"/>
      <c r="JNA341" s="244"/>
      <c r="JNB341" s="239"/>
      <c r="JNC341" s="240"/>
      <c r="JND341" s="241"/>
      <c r="JNE341" s="239"/>
      <c r="JNF341" s="239"/>
      <c r="JNG341" s="239"/>
      <c r="JNH341" s="239"/>
      <c r="JNI341" s="239"/>
      <c r="JNJ341" s="239"/>
      <c r="JNK341" s="233"/>
      <c r="JNL341" s="235"/>
      <c r="JNM341" s="233"/>
      <c r="JNN341" s="234"/>
      <c r="JNO341" s="234"/>
      <c r="JNP341" s="242"/>
      <c r="JNQ341" s="234"/>
      <c r="JNR341" s="234"/>
      <c r="JNS341" s="234"/>
      <c r="JNT341" s="236"/>
      <c r="JNU341" s="244"/>
      <c r="JNV341" s="239"/>
      <c r="JNW341" s="240"/>
      <c r="JNX341" s="241"/>
      <c r="JNY341" s="239"/>
      <c r="JNZ341" s="239"/>
      <c r="JOA341" s="239"/>
      <c r="JOB341" s="239"/>
      <c r="JOC341" s="239"/>
      <c r="JOD341" s="239"/>
      <c r="JOE341" s="233"/>
      <c r="JOF341" s="235"/>
      <c r="JOG341" s="233"/>
      <c r="JOH341" s="234"/>
      <c r="JOI341" s="234"/>
      <c r="JOJ341" s="242"/>
      <c r="JOK341" s="234"/>
      <c r="JOL341" s="234"/>
      <c r="JOM341" s="234"/>
      <c r="JON341" s="236"/>
      <c r="JOO341" s="244"/>
      <c r="JOP341" s="239"/>
      <c r="JOQ341" s="240"/>
      <c r="JOR341" s="241"/>
      <c r="JOS341" s="239"/>
      <c r="JOT341" s="239"/>
      <c r="JOU341" s="239"/>
      <c r="JOV341" s="239"/>
      <c r="JOW341" s="239"/>
      <c r="JOX341" s="239"/>
      <c r="JOY341" s="233"/>
      <c r="JOZ341" s="235"/>
      <c r="JPA341" s="233"/>
      <c r="JPB341" s="234"/>
      <c r="JPC341" s="234"/>
      <c r="JPD341" s="242"/>
      <c r="JPE341" s="234"/>
      <c r="JPF341" s="234"/>
      <c r="JPG341" s="234"/>
      <c r="JPH341" s="236"/>
      <c r="JPI341" s="244"/>
      <c r="JPJ341" s="239"/>
      <c r="JPK341" s="240"/>
      <c r="JPL341" s="241"/>
      <c r="JPM341" s="239"/>
      <c r="JPN341" s="239"/>
      <c r="JPO341" s="239"/>
      <c r="JPP341" s="239"/>
      <c r="JPQ341" s="239"/>
      <c r="JPR341" s="239"/>
      <c r="JPS341" s="233"/>
      <c r="JPT341" s="235"/>
      <c r="JPU341" s="233"/>
      <c r="JPV341" s="234"/>
      <c r="JPW341" s="234"/>
      <c r="JPX341" s="242"/>
      <c r="JPY341" s="234"/>
      <c r="JPZ341" s="234"/>
      <c r="JQA341" s="234"/>
      <c r="JQB341" s="236"/>
      <c r="JQC341" s="244"/>
      <c r="JQD341" s="239"/>
      <c r="JQE341" s="240"/>
      <c r="JQF341" s="241"/>
      <c r="JQG341" s="239"/>
      <c r="JQH341" s="239"/>
      <c r="JQI341" s="239"/>
      <c r="JQJ341" s="239"/>
      <c r="JQK341" s="239"/>
      <c r="JQL341" s="239"/>
      <c r="JQM341" s="233"/>
      <c r="JQN341" s="235"/>
      <c r="JQO341" s="233"/>
      <c r="JQP341" s="234"/>
      <c r="JQQ341" s="234"/>
      <c r="JQR341" s="242"/>
      <c r="JQS341" s="234"/>
      <c r="JQT341" s="234"/>
      <c r="JQU341" s="234"/>
      <c r="JQV341" s="236"/>
      <c r="JQW341" s="244"/>
      <c r="JQX341" s="239"/>
      <c r="JQY341" s="240"/>
      <c r="JQZ341" s="241"/>
      <c r="JRA341" s="239"/>
      <c r="JRB341" s="239"/>
      <c r="JRC341" s="239"/>
      <c r="JRD341" s="239"/>
      <c r="JRE341" s="239"/>
      <c r="JRF341" s="239"/>
      <c r="JRG341" s="233"/>
      <c r="JRH341" s="235"/>
      <c r="JRI341" s="233"/>
      <c r="JRJ341" s="234"/>
      <c r="JRK341" s="234"/>
      <c r="JRL341" s="242"/>
      <c r="JRM341" s="234"/>
      <c r="JRN341" s="234"/>
      <c r="JRO341" s="234"/>
      <c r="JRP341" s="236"/>
      <c r="JRQ341" s="244"/>
      <c r="JRR341" s="239"/>
      <c r="JRS341" s="240"/>
      <c r="JRT341" s="241"/>
      <c r="JRU341" s="239"/>
      <c r="JRV341" s="239"/>
      <c r="JRW341" s="239"/>
      <c r="JRX341" s="239"/>
      <c r="JRY341" s="239"/>
      <c r="JRZ341" s="239"/>
      <c r="JSA341" s="233"/>
      <c r="JSB341" s="235"/>
      <c r="JSC341" s="233"/>
      <c r="JSD341" s="234"/>
      <c r="JSE341" s="234"/>
      <c r="JSF341" s="242"/>
      <c r="JSG341" s="234"/>
      <c r="JSH341" s="234"/>
      <c r="JSI341" s="234"/>
      <c r="JSJ341" s="236"/>
      <c r="JSK341" s="244"/>
      <c r="JSL341" s="239"/>
      <c r="JSM341" s="240"/>
      <c r="JSN341" s="241"/>
      <c r="JSO341" s="239"/>
      <c r="JSP341" s="239"/>
      <c r="JSQ341" s="239"/>
      <c r="JSR341" s="239"/>
      <c r="JSS341" s="239"/>
      <c r="JST341" s="239"/>
      <c r="JSU341" s="233"/>
      <c r="JSV341" s="235"/>
      <c r="JSW341" s="233"/>
      <c r="JSX341" s="234"/>
      <c r="JSY341" s="234"/>
      <c r="JSZ341" s="242"/>
      <c r="JTA341" s="234"/>
      <c r="JTB341" s="234"/>
      <c r="JTC341" s="234"/>
      <c r="JTD341" s="236"/>
      <c r="JTE341" s="244"/>
      <c r="JTF341" s="239"/>
      <c r="JTG341" s="240"/>
      <c r="JTH341" s="241"/>
      <c r="JTI341" s="239"/>
      <c r="JTJ341" s="239"/>
      <c r="JTK341" s="239"/>
      <c r="JTL341" s="239"/>
      <c r="JTM341" s="239"/>
      <c r="JTN341" s="239"/>
      <c r="JTO341" s="233"/>
      <c r="JTP341" s="235"/>
      <c r="JTQ341" s="233"/>
      <c r="JTR341" s="234"/>
      <c r="JTS341" s="234"/>
      <c r="JTT341" s="242"/>
      <c r="JTU341" s="234"/>
      <c r="JTV341" s="234"/>
      <c r="JTW341" s="234"/>
      <c r="JTX341" s="236"/>
      <c r="JTY341" s="244"/>
      <c r="JTZ341" s="239"/>
      <c r="JUA341" s="240"/>
      <c r="JUB341" s="241"/>
      <c r="JUC341" s="239"/>
      <c r="JUD341" s="239"/>
      <c r="JUE341" s="239"/>
      <c r="JUF341" s="239"/>
      <c r="JUG341" s="239"/>
      <c r="JUH341" s="239"/>
      <c r="JUI341" s="233"/>
      <c r="JUJ341" s="235"/>
      <c r="JUK341" s="233"/>
      <c r="JUL341" s="234"/>
      <c r="JUM341" s="234"/>
      <c r="JUN341" s="242"/>
      <c r="JUO341" s="234"/>
      <c r="JUP341" s="234"/>
      <c r="JUQ341" s="234"/>
      <c r="JUR341" s="236"/>
      <c r="JUS341" s="244"/>
      <c r="JUT341" s="239"/>
      <c r="JUU341" s="240"/>
      <c r="JUV341" s="241"/>
      <c r="JUW341" s="239"/>
      <c r="JUX341" s="239"/>
      <c r="JUY341" s="239"/>
      <c r="JUZ341" s="239"/>
      <c r="JVA341" s="239"/>
      <c r="JVB341" s="239"/>
      <c r="JVC341" s="233"/>
      <c r="JVD341" s="235"/>
      <c r="JVE341" s="233"/>
      <c r="JVF341" s="234"/>
      <c r="JVG341" s="234"/>
      <c r="JVH341" s="242"/>
      <c r="JVI341" s="234"/>
      <c r="JVJ341" s="234"/>
      <c r="JVK341" s="234"/>
      <c r="JVL341" s="236"/>
      <c r="JVM341" s="244"/>
      <c r="JVN341" s="239"/>
      <c r="JVO341" s="240"/>
      <c r="JVP341" s="241"/>
      <c r="JVQ341" s="239"/>
      <c r="JVR341" s="239"/>
      <c r="JVS341" s="239"/>
      <c r="JVT341" s="239"/>
      <c r="JVU341" s="239"/>
      <c r="JVV341" s="239"/>
      <c r="JVW341" s="233"/>
      <c r="JVX341" s="235"/>
      <c r="JVY341" s="233"/>
      <c r="JVZ341" s="234"/>
      <c r="JWA341" s="234"/>
      <c r="JWB341" s="242"/>
      <c r="JWC341" s="234"/>
      <c r="JWD341" s="234"/>
      <c r="JWE341" s="234"/>
      <c r="JWF341" s="236"/>
      <c r="JWG341" s="244"/>
      <c r="JWH341" s="239"/>
      <c r="JWI341" s="240"/>
      <c r="JWJ341" s="241"/>
      <c r="JWK341" s="239"/>
      <c r="JWL341" s="239"/>
      <c r="JWM341" s="239"/>
      <c r="JWN341" s="239"/>
      <c r="JWO341" s="239"/>
      <c r="JWP341" s="239"/>
      <c r="JWQ341" s="233"/>
      <c r="JWR341" s="235"/>
      <c r="JWS341" s="233"/>
      <c r="JWT341" s="234"/>
      <c r="JWU341" s="234"/>
      <c r="JWV341" s="242"/>
      <c r="JWW341" s="234"/>
      <c r="JWX341" s="234"/>
      <c r="JWY341" s="234"/>
      <c r="JWZ341" s="236"/>
      <c r="JXA341" s="244"/>
      <c r="JXB341" s="239"/>
      <c r="JXC341" s="240"/>
      <c r="JXD341" s="241"/>
      <c r="JXE341" s="239"/>
      <c r="JXF341" s="239"/>
      <c r="JXG341" s="239"/>
      <c r="JXH341" s="239"/>
      <c r="JXI341" s="239"/>
      <c r="JXJ341" s="239"/>
      <c r="JXK341" s="233"/>
      <c r="JXL341" s="235"/>
      <c r="JXM341" s="233"/>
      <c r="JXN341" s="234"/>
      <c r="JXO341" s="234"/>
      <c r="JXP341" s="242"/>
      <c r="JXQ341" s="234"/>
      <c r="JXR341" s="234"/>
      <c r="JXS341" s="234"/>
      <c r="JXT341" s="236"/>
      <c r="JXU341" s="244"/>
      <c r="JXV341" s="239"/>
      <c r="JXW341" s="240"/>
      <c r="JXX341" s="241"/>
      <c r="JXY341" s="239"/>
      <c r="JXZ341" s="239"/>
      <c r="JYA341" s="239"/>
      <c r="JYB341" s="239"/>
      <c r="JYC341" s="239"/>
      <c r="JYD341" s="239"/>
      <c r="JYE341" s="233"/>
      <c r="JYF341" s="235"/>
      <c r="JYG341" s="233"/>
      <c r="JYH341" s="234"/>
      <c r="JYI341" s="234"/>
      <c r="JYJ341" s="242"/>
      <c r="JYK341" s="234"/>
      <c r="JYL341" s="234"/>
      <c r="JYM341" s="234"/>
      <c r="JYN341" s="236"/>
      <c r="JYO341" s="244"/>
      <c r="JYP341" s="239"/>
      <c r="JYQ341" s="240"/>
      <c r="JYR341" s="241"/>
      <c r="JYS341" s="239"/>
      <c r="JYT341" s="239"/>
      <c r="JYU341" s="239"/>
      <c r="JYV341" s="239"/>
      <c r="JYW341" s="239"/>
      <c r="JYX341" s="239"/>
      <c r="JYY341" s="233"/>
      <c r="JYZ341" s="235"/>
      <c r="JZA341" s="233"/>
      <c r="JZB341" s="234"/>
      <c r="JZC341" s="234"/>
      <c r="JZD341" s="242"/>
      <c r="JZE341" s="234"/>
      <c r="JZF341" s="234"/>
      <c r="JZG341" s="234"/>
      <c r="JZH341" s="236"/>
      <c r="JZI341" s="244"/>
      <c r="JZJ341" s="239"/>
      <c r="JZK341" s="240"/>
      <c r="JZL341" s="241"/>
      <c r="JZM341" s="239"/>
      <c r="JZN341" s="239"/>
      <c r="JZO341" s="239"/>
      <c r="JZP341" s="239"/>
      <c r="JZQ341" s="239"/>
      <c r="JZR341" s="239"/>
      <c r="JZS341" s="233"/>
      <c r="JZT341" s="235"/>
      <c r="JZU341" s="233"/>
      <c r="JZV341" s="234"/>
      <c r="JZW341" s="234"/>
      <c r="JZX341" s="242"/>
      <c r="JZY341" s="234"/>
      <c r="JZZ341" s="234"/>
      <c r="KAA341" s="234"/>
      <c r="KAB341" s="236"/>
      <c r="KAC341" s="244"/>
      <c r="KAD341" s="239"/>
      <c r="KAE341" s="240"/>
      <c r="KAF341" s="241"/>
      <c r="KAG341" s="239"/>
      <c r="KAH341" s="239"/>
      <c r="KAI341" s="239"/>
      <c r="KAJ341" s="239"/>
      <c r="KAK341" s="239"/>
      <c r="KAL341" s="239"/>
      <c r="KAM341" s="233"/>
      <c r="KAN341" s="235"/>
      <c r="KAO341" s="233"/>
      <c r="KAP341" s="234"/>
      <c r="KAQ341" s="234"/>
      <c r="KAR341" s="242"/>
      <c r="KAS341" s="234"/>
      <c r="KAT341" s="234"/>
      <c r="KAU341" s="234"/>
      <c r="KAV341" s="236"/>
      <c r="KAW341" s="244"/>
      <c r="KAX341" s="239"/>
      <c r="KAY341" s="240"/>
      <c r="KAZ341" s="241"/>
      <c r="KBA341" s="239"/>
      <c r="KBB341" s="239"/>
      <c r="KBC341" s="239"/>
      <c r="KBD341" s="239"/>
      <c r="KBE341" s="239"/>
      <c r="KBF341" s="239"/>
      <c r="KBG341" s="233"/>
      <c r="KBH341" s="235"/>
      <c r="KBI341" s="233"/>
      <c r="KBJ341" s="234"/>
      <c r="KBK341" s="234"/>
      <c r="KBL341" s="242"/>
      <c r="KBM341" s="234"/>
      <c r="KBN341" s="234"/>
      <c r="KBO341" s="234"/>
      <c r="KBP341" s="236"/>
      <c r="KBQ341" s="244"/>
      <c r="KBR341" s="239"/>
      <c r="KBS341" s="240"/>
      <c r="KBT341" s="241"/>
      <c r="KBU341" s="239"/>
      <c r="KBV341" s="239"/>
      <c r="KBW341" s="239"/>
      <c r="KBX341" s="239"/>
      <c r="KBY341" s="239"/>
      <c r="KBZ341" s="239"/>
      <c r="KCA341" s="233"/>
      <c r="KCB341" s="235"/>
      <c r="KCC341" s="233"/>
      <c r="KCD341" s="234"/>
      <c r="KCE341" s="234"/>
      <c r="KCF341" s="242"/>
      <c r="KCG341" s="234"/>
      <c r="KCH341" s="234"/>
      <c r="KCI341" s="234"/>
      <c r="KCJ341" s="236"/>
      <c r="KCK341" s="244"/>
      <c r="KCL341" s="239"/>
      <c r="KCM341" s="240"/>
      <c r="KCN341" s="241"/>
      <c r="KCO341" s="239"/>
      <c r="KCP341" s="239"/>
      <c r="KCQ341" s="239"/>
      <c r="KCR341" s="239"/>
      <c r="KCS341" s="239"/>
      <c r="KCT341" s="239"/>
      <c r="KCU341" s="233"/>
      <c r="KCV341" s="235"/>
      <c r="KCW341" s="233"/>
      <c r="KCX341" s="234"/>
      <c r="KCY341" s="234"/>
      <c r="KCZ341" s="242"/>
      <c r="KDA341" s="234"/>
      <c r="KDB341" s="234"/>
      <c r="KDC341" s="234"/>
      <c r="KDD341" s="236"/>
      <c r="KDE341" s="244"/>
      <c r="KDF341" s="239"/>
      <c r="KDG341" s="240"/>
      <c r="KDH341" s="241"/>
      <c r="KDI341" s="239"/>
      <c r="KDJ341" s="239"/>
      <c r="KDK341" s="239"/>
      <c r="KDL341" s="239"/>
      <c r="KDM341" s="239"/>
      <c r="KDN341" s="239"/>
      <c r="KDO341" s="233"/>
      <c r="KDP341" s="235"/>
      <c r="KDQ341" s="233"/>
      <c r="KDR341" s="234"/>
      <c r="KDS341" s="234"/>
      <c r="KDT341" s="242"/>
      <c r="KDU341" s="234"/>
      <c r="KDV341" s="234"/>
      <c r="KDW341" s="234"/>
      <c r="KDX341" s="236"/>
      <c r="KDY341" s="244"/>
      <c r="KDZ341" s="239"/>
      <c r="KEA341" s="240"/>
      <c r="KEB341" s="241"/>
      <c r="KEC341" s="239"/>
      <c r="KED341" s="239"/>
      <c r="KEE341" s="239"/>
      <c r="KEF341" s="239"/>
      <c r="KEG341" s="239"/>
      <c r="KEH341" s="239"/>
      <c r="KEI341" s="233"/>
      <c r="KEJ341" s="235"/>
      <c r="KEK341" s="233"/>
      <c r="KEL341" s="234"/>
      <c r="KEM341" s="234"/>
      <c r="KEN341" s="242"/>
      <c r="KEO341" s="234"/>
      <c r="KEP341" s="234"/>
      <c r="KEQ341" s="234"/>
      <c r="KER341" s="236"/>
      <c r="KES341" s="244"/>
      <c r="KET341" s="239"/>
      <c r="KEU341" s="240"/>
      <c r="KEV341" s="241"/>
      <c r="KEW341" s="239"/>
      <c r="KEX341" s="239"/>
      <c r="KEY341" s="239"/>
      <c r="KEZ341" s="239"/>
      <c r="KFA341" s="239"/>
      <c r="KFB341" s="239"/>
      <c r="KFC341" s="233"/>
      <c r="KFD341" s="235"/>
      <c r="KFE341" s="233"/>
      <c r="KFF341" s="234"/>
      <c r="KFG341" s="234"/>
      <c r="KFH341" s="242"/>
      <c r="KFI341" s="234"/>
      <c r="KFJ341" s="234"/>
      <c r="KFK341" s="234"/>
      <c r="KFL341" s="236"/>
      <c r="KFM341" s="244"/>
      <c r="KFN341" s="239"/>
      <c r="KFO341" s="240"/>
      <c r="KFP341" s="241"/>
      <c r="KFQ341" s="239"/>
      <c r="KFR341" s="239"/>
      <c r="KFS341" s="239"/>
      <c r="KFT341" s="239"/>
      <c r="KFU341" s="239"/>
      <c r="KFV341" s="239"/>
      <c r="KFW341" s="233"/>
      <c r="KFX341" s="235"/>
      <c r="KFY341" s="233"/>
      <c r="KFZ341" s="234"/>
      <c r="KGA341" s="234"/>
      <c r="KGB341" s="242"/>
      <c r="KGC341" s="234"/>
      <c r="KGD341" s="234"/>
      <c r="KGE341" s="234"/>
      <c r="KGF341" s="236"/>
      <c r="KGG341" s="244"/>
      <c r="KGH341" s="239"/>
      <c r="KGI341" s="240"/>
      <c r="KGJ341" s="241"/>
      <c r="KGK341" s="239"/>
      <c r="KGL341" s="239"/>
      <c r="KGM341" s="239"/>
      <c r="KGN341" s="239"/>
      <c r="KGO341" s="239"/>
      <c r="KGP341" s="239"/>
      <c r="KGQ341" s="233"/>
      <c r="KGR341" s="235"/>
      <c r="KGS341" s="233"/>
      <c r="KGT341" s="234"/>
      <c r="KGU341" s="234"/>
      <c r="KGV341" s="242"/>
      <c r="KGW341" s="234"/>
      <c r="KGX341" s="234"/>
      <c r="KGY341" s="234"/>
      <c r="KGZ341" s="236"/>
      <c r="KHA341" s="244"/>
      <c r="KHB341" s="239"/>
      <c r="KHC341" s="240"/>
      <c r="KHD341" s="241"/>
      <c r="KHE341" s="239"/>
      <c r="KHF341" s="239"/>
      <c r="KHG341" s="239"/>
      <c r="KHH341" s="239"/>
      <c r="KHI341" s="239"/>
      <c r="KHJ341" s="239"/>
      <c r="KHK341" s="233"/>
      <c r="KHL341" s="235"/>
      <c r="KHM341" s="233"/>
      <c r="KHN341" s="234"/>
      <c r="KHO341" s="234"/>
      <c r="KHP341" s="242"/>
      <c r="KHQ341" s="234"/>
      <c r="KHR341" s="234"/>
      <c r="KHS341" s="234"/>
      <c r="KHT341" s="236"/>
      <c r="KHU341" s="244"/>
      <c r="KHV341" s="239"/>
      <c r="KHW341" s="240"/>
      <c r="KHX341" s="241"/>
      <c r="KHY341" s="239"/>
      <c r="KHZ341" s="239"/>
      <c r="KIA341" s="239"/>
      <c r="KIB341" s="239"/>
      <c r="KIC341" s="239"/>
      <c r="KID341" s="239"/>
      <c r="KIE341" s="233"/>
      <c r="KIF341" s="235"/>
      <c r="KIG341" s="233"/>
      <c r="KIH341" s="234"/>
      <c r="KII341" s="234"/>
      <c r="KIJ341" s="242"/>
      <c r="KIK341" s="234"/>
      <c r="KIL341" s="234"/>
      <c r="KIM341" s="234"/>
      <c r="KIN341" s="236"/>
      <c r="KIO341" s="244"/>
      <c r="KIP341" s="239"/>
      <c r="KIQ341" s="240"/>
      <c r="KIR341" s="241"/>
      <c r="KIS341" s="239"/>
      <c r="KIT341" s="239"/>
      <c r="KIU341" s="239"/>
      <c r="KIV341" s="239"/>
      <c r="KIW341" s="239"/>
      <c r="KIX341" s="239"/>
      <c r="KIY341" s="233"/>
      <c r="KIZ341" s="235"/>
      <c r="KJA341" s="233"/>
      <c r="KJB341" s="234"/>
      <c r="KJC341" s="234"/>
      <c r="KJD341" s="242"/>
      <c r="KJE341" s="234"/>
      <c r="KJF341" s="234"/>
      <c r="KJG341" s="234"/>
      <c r="KJH341" s="236"/>
      <c r="KJI341" s="244"/>
      <c r="KJJ341" s="239"/>
      <c r="KJK341" s="240"/>
      <c r="KJL341" s="241"/>
      <c r="KJM341" s="239"/>
      <c r="KJN341" s="239"/>
      <c r="KJO341" s="239"/>
      <c r="KJP341" s="239"/>
      <c r="KJQ341" s="239"/>
      <c r="KJR341" s="239"/>
      <c r="KJS341" s="233"/>
      <c r="KJT341" s="235"/>
      <c r="KJU341" s="233"/>
      <c r="KJV341" s="234"/>
      <c r="KJW341" s="234"/>
      <c r="KJX341" s="242"/>
      <c r="KJY341" s="234"/>
      <c r="KJZ341" s="234"/>
      <c r="KKA341" s="234"/>
      <c r="KKB341" s="236"/>
      <c r="KKC341" s="244"/>
      <c r="KKD341" s="239"/>
      <c r="KKE341" s="240"/>
      <c r="KKF341" s="241"/>
      <c r="KKG341" s="239"/>
      <c r="KKH341" s="239"/>
      <c r="KKI341" s="239"/>
      <c r="KKJ341" s="239"/>
      <c r="KKK341" s="239"/>
      <c r="KKL341" s="239"/>
      <c r="KKM341" s="233"/>
      <c r="KKN341" s="235"/>
      <c r="KKO341" s="233"/>
      <c r="KKP341" s="234"/>
      <c r="KKQ341" s="234"/>
      <c r="KKR341" s="242"/>
      <c r="KKS341" s="234"/>
      <c r="KKT341" s="234"/>
      <c r="KKU341" s="234"/>
      <c r="KKV341" s="236"/>
      <c r="KKW341" s="244"/>
      <c r="KKX341" s="239"/>
      <c r="KKY341" s="240"/>
      <c r="KKZ341" s="241"/>
      <c r="KLA341" s="239"/>
      <c r="KLB341" s="239"/>
      <c r="KLC341" s="239"/>
      <c r="KLD341" s="239"/>
      <c r="KLE341" s="239"/>
      <c r="KLF341" s="239"/>
      <c r="KLG341" s="233"/>
      <c r="KLH341" s="235"/>
      <c r="KLI341" s="233"/>
      <c r="KLJ341" s="234"/>
      <c r="KLK341" s="234"/>
      <c r="KLL341" s="242"/>
      <c r="KLM341" s="234"/>
      <c r="KLN341" s="234"/>
      <c r="KLO341" s="234"/>
      <c r="KLP341" s="236"/>
      <c r="KLQ341" s="244"/>
      <c r="KLR341" s="239"/>
      <c r="KLS341" s="240"/>
      <c r="KLT341" s="241"/>
      <c r="KLU341" s="239"/>
      <c r="KLV341" s="239"/>
      <c r="KLW341" s="239"/>
      <c r="KLX341" s="239"/>
      <c r="KLY341" s="239"/>
      <c r="KLZ341" s="239"/>
      <c r="KMA341" s="233"/>
      <c r="KMB341" s="235"/>
      <c r="KMC341" s="233"/>
      <c r="KMD341" s="234"/>
      <c r="KME341" s="234"/>
      <c r="KMF341" s="242"/>
      <c r="KMG341" s="234"/>
      <c r="KMH341" s="234"/>
      <c r="KMI341" s="234"/>
      <c r="KMJ341" s="236"/>
      <c r="KMK341" s="244"/>
      <c r="KML341" s="239"/>
      <c r="KMM341" s="240"/>
      <c r="KMN341" s="241"/>
      <c r="KMO341" s="239"/>
      <c r="KMP341" s="239"/>
      <c r="KMQ341" s="239"/>
      <c r="KMR341" s="239"/>
      <c r="KMS341" s="239"/>
      <c r="KMT341" s="239"/>
      <c r="KMU341" s="233"/>
      <c r="KMV341" s="235"/>
      <c r="KMW341" s="233"/>
      <c r="KMX341" s="234"/>
      <c r="KMY341" s="234"/>
      <c r="KMZ341" s="242"/>
      <c r="KNA341" s="234"/>
      <c r="KNB341" s="234"/>
      <c r="KNC341" s="234"/>
      <c r="KND341" s="236"/>
      <c r="KNE341" s="244"/>
      <c r="KNF341" s="239"/>
      <c r="KNG341" s="240"/>
      <c r="KNH341" s="241"/>
      <c r="KNI341" s="239"/>
      <c r="KNJ341" s="239"/>
      <c r="KNK341" s="239"/>
      <c r="KNL341" s="239"/>
      <c r="KNM341" s="239"/>
      <c r="KNN341" s="239"/>
      <c r="KNO341" s="233"/>
      <c r="KNP341" s="235"/>
      <c r="KNQ341" s="233"/>
      <c r="KNR341" s="234"/>
      <c r="KNS341" s="234"/>
      <c r="KNT341" s="242"/>
      <c r="KNU341" s="234"/>
      <c r="KNV341" s="234"/>
      <c r="KNW341" s="234"/>
      <c r="KNX341" s="236"/>
      <c r="KNY341" s="244"/>
      <c r="KNZ341" s="239"/>
      <c r="KOA341" s="240"/>
      <c r="KOB341" s="241"/>
      <c r="KOC341" s="239"/>
      <c r="KOD341" s="239"/>
      <c r="KOE341" s="239"/>
      <c r="KOF341" s="239"/>
      <c r="KOG341" s="239"/>
      <c r="KOH341" s="239"/>
      <c r="KOI341" s="233"/>
      <c r="KOJ341" s="235"/>
      <c r="KOK341" s="233"/>
      <c r="KOL341" s="234"/>
      <c r="KOM341" s="234"/>
      <c r="KON341" s="242"/>
      <c r="KOO341" s="234"/>
      <c r="KOP341" s="234"/>
      <c r="KOQ341" s="234"/>
      <c r="KOR341" s="236"/>
      <c r="KOS341" s="244"/>
      <c r="KOT341" s="239"/>
      <c r="KOU341" s="240"/>
      <c r="KOV341" s="241"/>
      <c r="KOW341" s="239"/>
      <c r="KOX341" s="239"/>
      <c r="KOY341" s="239"/>
      <c r="KOZ341" s="239"/>
      <c r="KPA341" s="239"/>
      <c r="KPB341" s="239"/>
      <c r="KPC341" s="233"/>
      <c r="KPD341" s="235"/>
      <c r="KPE341" s="233"/>
      <c r="KPF341" s="234"/>
      <c r="KPG341" s="234"/>
      <c r="KPH341" s="242"/>
      <c r="KPI341" s="234"/>
      <c r="KPJ341" s="234"/>
      <c r="KPK341" s="234"/>
      <c r="KPL341" s="236"/>
      <c r="KPM341" s="244"/>
      <c r="KPN341" s="239"/>
      <c r="KPO341" s="240"/>
      <c r="KPP341" s="241"/>
      <c r="KPQ341" s="239"/>
      <c r="KPR341" s="239"/>
      <c r="KPS341" s="239"/>
      <c r="KPT341" s="239"/>
      <c r="KPU341" s="239"/>
      <c r="KPV341" s="239"/>
      <c r="KPW341" s="233"/>
      <c r="KPX341" s="235"/>
      <c r="KPY341" s="233"/>
      <c r="KPZ341" s="234"/>
      <c r="KQA341" s="234"/>
      <c r="KQB341" s="242"/>
      <c r="KQC341" s="234"/>
      <c r="KQD341" s="234"/>
      <c r="KQE341" s="234"/>
      <c r="KQF341" s="236"/>
      <c r="KQG341" s="244"/>
      <c r="KQH341" s="239"/>
      <c r="KQI341" s="240"/>
      <c r="KQJ341" s="241"/>
      <c r="KQK341" s="239"/>
      <c r="KQL341" s="239"/>
      <c r="KQM341" s="239"/>
      <c r="KQN341" s="239"/>
      <c r="KQO341" s="239"/>
      <c r="KQP341" s="239"/>
      <c r="KQQ341" s="233"/>
      <c r="KQR341" s="235"/>
      <c r="KQS341" s="233"/>
      <c r="KQT341" s="234"/>
      <c r="KQU341" s="234"/>
      <c r="KQV341" s="242"/>
      <c r="KQW341" s="234"/>
      <c r="KQX341" s="234"/>
      <c r="KQY341" s="234"/>
      <c r="KQZ341" s="236"/>
      <c r="KRA341" s="244"/>
      <c r="KRB341" s="239"/>
      <c r="KRC341" s="240"/>
      <c r="KRD341" s="241"/>
      <c r="KRE341" s="239"/>
      <c r="KRF341" s="239"/>
      <c r="KRG341" s="239"/>
      <c r="KRH341" s="239"/>
      <c r="KRI341" s="239"/>
      <c r="KRJ341" s="239"/>
      <c r="KRK341" s="233"/>
      <c r="KRL341" s="235"/>
      <c r="KRM341" s="233"/>
      <c r="KRN341" s="234"/>
      <c r="KRO341" s="234"/>
      <c r="KRP341" s="242"/>
      <c r="KRQ341" s="234"/>
      <c r="KRR341" s="234"/>
      <c r="KRS341" s="234"/>
      <c r="KRT341" s="236"/>
      <c r="KRU341" s="244"/>
      <c r="KRV341" s="239"/>
      <c r="KRW341" s="240"/>
      <c r="KRX341" s="241"/>
      <c r="KRY341" s="239"/>
      <c r="KRZ341" s="239"/>
      <c r="KSA341" s="239"/>
      <c r="KSB341" s="239"/>
      <c r="KSC341" s="239"/>
      <c r="KSD341" s="239"/>
      <c r="KSE341" s="233"/>
      <c r="KSF341" s="235"/>
      <c r="KSG341" s="233"/>
      <c r="KSH341" s="234"/>
      <c r="KSI341" s="234"/>
      <c r="KSJ341" s="242"/>
      <c r="KSK341" s="234"/>
      <c r="KSL341" s="234"/>
      <c r="KSM341" s="234"/>
      <c r="KSN341" s="236"/>
      <c r="KSO341" s="244"/>
      <c r="KSP341" s="239"/>
      <c r="KSQ341" s="240"/>
      <c r="KSR341" s="241"/>
      <c r="KSS341" s="239"/>
      <c r="KST341" s="239"/>
      <c r="KSU341" s="239"/>
      <c r="KSV341" s="239"/>
      <c r="KSW341" s="239"/>
      <c r="KSX341" s="239"/>
      <c r="KSY341" s="233"/>
      <c r="KSZ341" s="235"/>
      <c r="KTA341" s="233"/>
      <c r="KTB341" s="234"/>
      <c r="KTC341" s="234"/>
      <c r="KTD341" s="242"/>
      <c r="KTE341" s="234"/>
      <c r="KTF341" s="234"/>
      <c r="KTG341" s="234"/>
      <c r="KTH341" s="236"/>
      <c r="KTI341" s="244"/>
      <c r="KTJ341" s="239"/>
      <c r="KTK341" s="240"/>
      <c r="KTL341" s="241"/>
      <c r="KTM341" s="239"/>
      <c r="KTN341" s="239"/>
      <c r="KTO341" s="239"/>
      <c r="KTP341" s="239"/>
      <c r="KTQ341" s="239"/>
      <c r="KTR341" s="239"/>
      <c r="KTS341" s="233"/>
      <c r="KTT341" s="235"/>
      <c r="KTU341" s="233"/>
      <c r="KTV341" s="234"/>
      <c r="KTW341" s="234"/>
      <c r="KTX341" s="242"/>
      <c r="KTY341" s="234"/>
      <c r="KTZ341" s="234"/>
      <c r="KUA341" s="234"/>
      <c r="KUB341" s="236"/>
      <c r="KUC341" s="244"/>
      <c r="KUD341" s="239"/>
      <c r="KUE341" s="240"/>
      <c r="KUF341" s="241"/>
      <c r="KUG341" s="239"/>
      <c r="KUH341" s="239"/>
      <c r="KUI341" s="239"/>
      <c r="KUJ341" s="239"/>
      <c r="KUK341" s="239"/>
      <c r="KUL341" s="239"/>
      <c r="KUM341" s="233"/>
      <c r="KUN341" s="235"/>
      <c r="KUO341" s="233"/>
      <c r="KUP341" s="234"/>
      <c r="KUQ341" s="234"/>
      <c r="KUR341" s="242"/>
      <c r="KUS341" s="234"/>
      <c r="KUT341" s="234"/>
      <c r="KUU341" s="234"/>
      <c r="KUV341" s="236"/>
      <c r="KUW341" s="244"/>
      <c r="KUX341" s="239"/>
      <c r="KUY341" s="240"/>
      <c r="KUZ341" s="241"/>
      <c r="KVA341" s="239"/>
      <c r="KVB341" s="239"/>
      <c r="KVC341" s="239"/>
      <c r="KVD341" s="239"/>
      <c r="KVE341" s="239"/>
      <c r="KVF341" s="239"/>
      <c r="KVG341" s="233"/>
      <c r="KVH341" s="235"/>
      <c r="KVI341" s="233"/>
      <c r="KVJ341" s="234"/>
      <c r="KVK341" s="234"/>
      <c r="KVL341" s="242"/>
      <c r="KVM341" s="234"/>
      <c r="KVN341" s="234"/>
      <c r="KVO341" s="234"/>
      <c r="KVP341" s="236"/>
      <c r="KVQ341" s="244"/>
      <c r="KVR341" s="239"/>
      <c r="KVS341" s="240"/>
      <c r="KVT341" s="241"/>
      <c r="KVU341" s="239"/>
      <c r="KVV341" s="239"/>
      <c r="KVW341" s="239"/>
      <c r="KVX341" s="239"/>
      <c r="KVY341" s="239"/>
      <c r="KVZ341" s="239"/>
      <c r="KWA341" s="233"/>
      <c r="KWB341" s="235"/>
      <c r="KWC341" s="233"/>
      <c r="KWD341" s="234"/>
      <c r="KWE341" s="234"/>
      <c r="KWF341" s="242"/>
      <c r="KWG341" s="234"/>
      <c r="KWH341" s="234"/>
      <c r="KWI341" s="234"/>
      <c r="KWJ341" s="236"/>
      <c r="KWK341" s="244"/>
      <c r="KWL341" s="239"/>
      <c r="KWM341" s="240"/>
      <c r="KWN341" s="241"/>
      <c r="KWO341" s="239"/>
      <c r="KWP341" s="239"/>
      <c r="KWQ341" s="239"/>
      <c r="KWR341" s="239"/>
      <c r="KWS341" s="239"/>
      <c r="KWT341" s="239"/>
      <c r="KWU341" s="233"/>
      <c r="KWV341" s="235"/>
      <c r="KWW341" s="233"/>
      <c r="KWX341" s="234"/>
      <c r="KWY341" s="234"/>
      <c r="KWZ341" s="242"/>
      <c r="KXA341" s="234"/>
      <c r="KXB341" s="234"/>
      <c r="KXC341" s="234"/>
      <c r="KXD341" s="236"/>
      <c r="KXE341" s="244"/>
      <c r="KXF341" s="239"/>
      <c r="KXG341" s="240"/>
      <c r="KXH341" s="241"/>
      <c r="KXI341" s="239"/>
      <c r="KXJ341" s="239"/>
      <c r="KXK341" s="239"/>
      <c r="KXL341" s="239"/>
      <c r="KXM341" s="239"/>
      <c r="KXN341" s="239"/>
      <c r="KXO341" s="233"/>
      <c r="KXP341" s="235"/>
      <c r="KXQ341" s="233"/>
      <c r="KXR341" s="234"/>
      <c r="KXS341" s="234"/>
      <c r="KXT341" s="242"/>
      <c r="KXU341" s="234"/>
      <c r="KXV341" s="234"/>
      <c r="KXW341" s="234"/>
      <c r="KXX341" s="236"/>
      <c r="KXY341" s="244"/>
      <c r="KXZ341" s="239"/>
      <c r="KYA341" s="240"/>
      <c r="KYB341" s="241"/>
      <c r="KYC341" s="239"/>
      <c r="KYD341" s="239"/>
      <c r="KYE341" s="239"/>
      <c r="KYF341" s="239"/>
      <c r="KYG341" s="239"/>
      <c r="KYH341" s="239"/>
      <c r="KYI341" s="233"/>
      <c r="KYJ341" s="235"/>
      <c r="KYK341" s="233"/>
      <c r="KYL341" s="234"/>
      <c r="KYM341" s="234"/>
      <c r="KYN341" s="242"/>
      <c r="KYO341" s="234"/>
      <c r="KYP341" s="234"/>
      <c r="KYQ341" s="234"/>
      <c r="KYR341" s="236"/>
      <c r="KYS341" s="244"/>
      <c r="KYT341" s="239"/>
      <c r="KYU341" s="240"/>
      <c r="KYV341" s="241"/>
      <c r="KYW341" s="239"/>
      <c r="KYX341" s="239"/>
      <c r="KYY341" s="239"/>
      <c r="KYZ341" s="239"/>
      <c r="KZA341" s="239"/>
      <c r="KZB341" s="239"/>
      <c r="KZC341" s="233"/>
      <c r="KZD341" s="235"/>
      <c r="KZE341" s="233"/>
      <c r="KZF341" s="234"/>
      <c r="KZG341" s="234"/>
      <c r="KZH341" s="242"/>
      <c r="KZI341" s="234"/>
      <c r="KZJ341" s="234"/>
      <c r="KZK341" s="234"/>
      <c r="KZL341" s="236"/>
      <c r="KZM341" s="244"/>
      <c r="KZN341" s="239"/>
      <c r="KZO341" s="240"/>
      <c r="KZP341" s="241"/>
      <c r="KZQ341" s="239"/>
      <c r="KZR341" s="239"/>
      <c r="KZS341" s="239"/>
      <c r="KZT341" s="239"/>
      <c r="KZU341" s="239"/>
      <c r="KZV341" s="239"/>
      <c r="KZW341" s="233"/>
      <c r="KZX341" s="235"/>
      <c r="KZY341" s="233"/>
      <c r="KZZ341" s="234"/>
      <c r="LAA341" s="234"/>
      <c r="LAB341" s="242"/>
      <c r="LAC341" s="234"/>
      <c r="LAD341" s="234"/>
      <c r="LAE341" s="234"/>
      <c r="LAF341" s="236"/>
      <c r="LAG341" s="244"/>
      <c r="LAH341" s="239"/>
      <c r="LAI341" s="240"/>
      <c r="LAJ341" s="241"/>
      <c r="LAK341" s="239"/>
      <c r="LAL341" s="239"/>
      <c r="LAM341" s="239"/>
      <c r="LAN341" s="239"/>
      <c r="LAO341" s="239"/>
      <c r="LAP341" s="239"/>
      <c r="LAQ341" s="233"/>
      <c r="LAR341" s="235"/>
      <c r="LAS341" s="233"/>
      <c r="LAT341" s="234"/>
      <c r="LAU341" s="234"/>
      <c r="LAV341" s="242"/>
      <c r="LAW341" s="234"/>
      <c r="LAX341" s="234"/>
      <c r="LAY341" s="234"/>
      <c r="LAZ341" s="236"/>
      <c r="LBA341" s="244"/>
      <c r="LBB341" s="239"/>
      <c r="LBC341" s="240"/>
      <c r="LBD341" s="241"/>
      <c r="LBE341" s="239"/>
      <c r="LBF341" s="239"/>
      <c r="LBG341" s="239"/>
      <c r="LBH341" s="239"/>
      <c r="LBI341" s="239"/>
      <c r="LBJ341" s="239"/>
      <c r="LBK341" s="233"/>
      <c r="LBL341" s="235"/>
      <c r="LBM341" s="233"/>
      <c r="LBN341" s="234"/>
      <c r="LBO341" s="234"/>
      <c r="LBP341" s="242"/>
      <c r="LBQ341" s="234"/>
      <c r="LBR341" s="234"/>
      <c r="LBS341" s="234"/>
      <c r="LBT341" s="236"/>
      <c r="LBU341" s="244"/>
      <c r="LBV341" s="239"/>
      <c r="LBW341" s="240"/>
      <c r="LBX341" s="241"/>
      <c r="LBY341" s="239"/>
      <c r="LBZ341" s="239"/>
      <c r="LCA341" s="239"/>
      <c r="LCB341" s="239"/>
      <c r="LCC341" s="239"/>
      <c r="LCD341" s="239"/>
      <c r="LCE341" s="233"/>
      <c r="LCF341" s="235"/>
      <c r="LCG341" s="233"/>
      <c r="LCH341" s="234"/>
      <c r="LCI341" s="234"/>
      <c r="LCJ341" s="242"/>
      <c r="LCK341" s="234"/>
      <c r="LCL341" s="234"/>
      <c r="LCM341" s="234"/>
      <c r="LCN341" s="236"/>
      <c r="LCO341" s="244"/>
      <c r="LCP341" s="239"/>
      <c r="LCQ341" s="240"/>
      <c r="LCR341" s="241"/>
      <c r="LCS341" s="239"/>
      <c r="LCT341" s="239"/>
      <c r="LCU341" s="239"/>
      <c r="LCV341" s="239"/>
      <c r="LCW341" s="239"/>
      <c r="LCX341" s="239"/>
      <c r="LCY341" s="233"/>
      <c r="LCZ341" s="235"/>
      <c r="LDA341" s="233"/>
      <c r="LDB341" s="234"/>
      <c r="LDC341" s="234"/>
      <c r="LDD341" s="242"/>
      <c r="LDE341" s="234"/>
      <c r="LDF341" s="234"/>
      <c r="LDG341" s="234"/>
      <c r="LDH341" s="236"/>
      <c r="LDI341" s="244"/>
      <c r="LDJ341" s="239"/>
      <c r="LDK341" s="240"/>
      <c r="LDL341" s="241"/>
      <c r="LDM341" s="239"/>
      <c r="LDN341" s="239"/>
      <c r="LDO341" s="239"/>
      <c r="LDP341" s="239"/>
      <c r="LDQ341" s="239"/>
      <c r="LDR341" s="239"/>
      <c r="LDS341" s="233"/>
      <c r="LDT341" s="235"/>
      <c r="LDU341" s="233"/>
      <c r="LDV341" s="234"/>
      <c r="LDW341" s="234"/>
      <c r="LDX341" s="242"/>
      <c r="LDY341" s="234"/>
      <c r="LDZ341" s="234"/>
      <c r="LEA341" s="234"/>
      <c r="LEB341" s="236"/>
      <c r="LEC341" s="244"/>
      <c r="LED341" s="239"/>
      <c r="LEE341" s="240"/>
      <c r="LEF341" s="241"/>
      <c r="LEG341" s="239"/>
      <c r="LEH341" s="239"/>
      <c r="LEI341" s="239"/>
      <c r="LEJ341" s="239"/>
      <c r="LEK341" s="239"/>
      <c r="LEL341" s="239"/>
      <c r="LEM341" s="233"/>
      <c r="LEN341" s="235"/>
      <c r="LEO341" s="233"/>
      <c r="LEP341" s="234"/>
      <c r="LEQ341" s="234"/>
      <c r="LER341" s="242"/>
      <c r="LES341" s="234"/>
      <c r="LET341" s="234"/>
      <c r="LEU341" s="234"/>
      <c r="LEV341" s="236"/>
      <c r="LEW341" s="244"/>
      <c r="LEX341" s="239"/>
      <c r="LEY341" s="240"/>
      <c r="LEZ341" s="241"/>
      <c r="LFA341" s="239"/>
      <c r="LFB341" s="239"/>
      <c r="LFC341" s="239"/>
      <c r="LFD341" s="239"/>
      <c r="LFE341" s="239"/>
      <c r="LFF341" s="239"/>
      <c r="LFG341" s="233"/>
      <c r="LFH341" s="235"/>
      <c r="LFI341" s="233"/>
      <c r="LFJ341" s="234"/>
      <c r="LFK341" s="234"/>
      <c r="LFL341" s="242"/>
      <c r="LFM341" s="234"/>
      <c r="LFN341" s="234"/>
      <c r="LFO341" s="234"/>
      <c r="LFP341" s="236"/>
      <c r="LFQ341" s="244"/>
      <c r="LFR341" s="239"/>
      <c r="LFS341" s="240"/>
      <c r="LFT341" s="241"/>
      <c r="LFU341" s="239"/>
      <c r="LFV341" s="239"/>
      <c r="LFW341" s="239"/>
      <c r="LFX341" s="239"/>
      <c r="LFY341" s="239"/>
      <c r="LFZ341" s="239"/>
      <c r="LGA341" s="233"/>
      <c r="LGB341" s="235"/>
      <c r="LGC341" s="233"/>
      <c r="LGD341" s="234"/>
      <c r="LGE341" s="234"/>
      <c r="LGF341" s="242"/>
      <c r="LGG341" s="234"/>
      <c r="LGH341" s="234"/>
      <c r="LGI341" s="234"/>
      <c r="LGJ341" s="236"/>
      <c r="LGK341" s="244"/>
      <c r="LGL341" s="239"/>
      <c r="LGM341" s="240"/>
      <c r="LGN341" s="241"/>
      <c r="LGO341" s="239"/>
      <c r="LGP341" s="239"/>
      <c r="LGQ341" s="239"/>
      <c r="LGR341" s="239"/>
      <c r="LGS341" s="239"/>
      <c r="LGT341" s="239"/>
      <c r="LGU341" s="233"/>
      <c r="LGV341" s="235"/>
      <c r="LGW341" s="233"/>
      <c r="LGX341" s="234"/>
      <c r="LGY341" s="234"/>
      <c r="LGZ341" s="242"/>
      <c r="LHA341" s="234"/>
      <c r="LHB341" s="234"/>
      <c r="LHC341" s="234"/>
      <c r="LHD341" s="236"/>
      <c r="LHE341" s="244"/>
      <c r="LHF341" s="239"/>
      <c r="LHG341" s="240"/>
      <c r="LHH341" s="241"/>
      <c r="LHI341" s="239"/>
      <c r="LHJ341" s="239"/>
      <c r="LHK341" s="239"/>
      <c r="LHL341" s="239"/>
      <c r="LHM341" s="239"/>
      <c r="LHN341" s="239"/>
      <c r="LHO341" s="233"/>
      <c r="LHP341" s="235"/>
      <c r="LHQ341" s="233"/>
      <c r="LHR341" s="234"/>
      <c r="LHS341" s="234"/>
      <c r="LHT341" s="242"/>
      <c r="LHU341" s="234"/>
      <c r="LHV341" s="234"/>
      <c r="LHW341" s="234"/>
      <c r="LHX341" s="236"/>
      <c r="LHY341" s="244"/>
      <c r="LHZ341" s="239"/>
      <c r="LIA341" s="240"/>
      <c r="LIB341" s="241"/>
      <c r="LIC341" s="239"/>
      <c r="LID341" s="239"/>
      <c r="LIE341" s="239"/>
      <c r="LIF341" s="239"/>
      <c r="LIG341" s="239"/>
      <c r="LIH341" s="239"/>
      <c r="LII341" s="233"/>
      <c r="LIJ341" s="235"/>
      <c r="LIK341" s="233"/>
      <c r="LIL341" s="234"/>
      <c r="LIM341" s="234"/>
      <c r="LIN341" s="242"/>
      <c r="LIO341" s="234"/>
      <c r="LIP341" s="234"/>
      <c r="LIQ341" s="234"/>
      <c r="LIR341" s="236"/>
      <c r="LIS341" s="244"/>
      <c r="LIT341" s="239"/>
      <c r="LIU341" s="240"/>
      <c r="LIV341" s="241"/>
      <c r="LIW341" s="239"/>
      <c r="LIX341" s="239"/>
      <c r="LIY341" s="239"/>
      <c r="LIZ341" s="239"/>
      <c r="LJA341" s="239"/>
      <c r="LJB341" s="239"/>
      <c r="LJC341" s="233"/>
      <c r="LJD341" s="235"/>
      <c r="LJE341" s="233"/>
      <c r="LJF341" s="234"/>
      <c r="LJG341" s="234"/>
      <c r="LJH341" s="242"/>
      <c r="LJI341" s="234"/>
      <c r="LJJ341" s="234"/>
      <c r="LJK341" s="234"/>
      <c r="LJL341" s="236"/>
      <c r="LJM341" s="244"/>
      <c r="LJN341" s="239"/>
      <c r="LJO341" s="240"/>
      <c r="LJP341" s="241"/>
      <c r="LJQ341" s="239"/>
      <c r="LJR341" s="239"/>
      <c r="LJS341" s="239"/>
      <c r="LJT341" s="239"/>
      <c r="LJU341" s="239"/>
      <c r="LJV341" s="239"/>
      <c r="LJW341" s="233"/>
      <c r="LJX341" s="235"/>
      <c r="LJY341" s="233"/>
      <c r="LJZ341" s="234"/>
      <c r="LKA341" s="234"/>
      <c r="LKB341" s="242"/>
      <c r="LKC341" s="234"/>
      <c r="LKD341" s="234"/>
      <c r="LKE341" s="234"/>
      <c r="LKF341" s="236"/>
      <c r="LKG341" s="244"/>
      <c r="LKH341" s="239"/>
      <c r="LKI341" s="240"/>
      <c r="LKJ341" s="241"/>
      <c r="LKK341" s="239"/>
      <c r="LKL341" s="239"/>
      <c r="LKM341" s="239"/>
      <c r="LKN341" s="239"/>
      <c r="LKO341" s="239"/>
      <c r="LKP341" s="239"/>
      <c r="LKQ341" s="233"/>
      <c r="LKR341" s="235"/>
      <c r="LKS341" s="233"/>
      <c r="LKT341" s="234"/>
      <c r="LKU341" s="234"/>
      <c r="LKV341" s="242"/>
      <c r="LKW341" s="234"/>
      <c r="LKX341" s="234"/>
      <c r="LKY341" s="234"/>
      <c r="LKZ341" s="236"/>
      <c r="LLA341" s="244"/>
      <c r="LLB341" s="239"/>
      <c r="LLC341" s="240"/>
      <c r="LLD341" s="241"/>
      <c r="LLE341" s="239"/>
      <c r="LLF341" s="239"/>
      <c r="LLG341" s="239"/>
      <c r="LLH341" s="239"/>
      <c r="LLI341" s="239"/>
      <c r="LLJ341" s="239"/>
      <c r="LLK341" s="233"/>
      <c r="LLL341" s="235"/>
      <c r="LLM341" s="233"/>
      <c r="LLN341" s="234"/>
      <c r="LLO341" s="234"/>
      <c r="LLP341" s="242"/>
      <c r="LLQ341" s="234"/>
      <c r="LLR341" s="234"/>
      <c r="LLS341" s="234"/>
      <c r="LLT341" s="236"/>
      <c r="LLU341" s="244"/>
      <c r="LLV341" s="239"/>
      <c r="LLW341" s="240"/>
      <c r="LLX341" s="241"/>
      <c r="LLY341" s="239"/>
      <c r="LLZ341" s="239"/>
      <c r="LMA341" s="239"/>
      <c r="LMB341" s="239"/>
      <c r="LMC341" s="239"/>
      <c r="LMD341" s="239"/>
      <c r="LME341" s="233"/>
      <c r="LMF341" s="235"/>
      <c r="LMG341" s="233"/>
      <c r="LMH341" s="234"/>
      <c r="LMI341" s="234"/>
      <c r="LMJ341" s="242"/>
      <c r="LMK341" s="234"/>
      <c r="LML341" s="234"/>
      <c r="LMM341" s="234"/>
      <c r="LMN341" s="236"/>
      <c r="LMO341" s="244"/>
      <c r="LMP341" s="239"/>
      <c r="LMQ341" s="240"/>
      <c r="LMR341" s="241"/>
      <c r="LMS341" s="239"/>
      <c r="LMT341" s="239"/>
      <c r="LMU341" s="239"/>
      <c r="LMV341" s="239"/>
      <c r="LMW341" s="239"/>
      <c r="LMX341" s="239"/>
      <c r="LMY341" s="233"/>
      <c r="LMZ341" s="235"/>
      <c r="LNA341" s="233"/>
      <c r="LNB341" s="234"/>
      <c r="LNC341" s="234"/>
      <c r="LND341" s="242"/>
      <c r="LNE341" s="234"/>
      <c r="LNF341" s="234"/>
      <c r="LNG341" s="234"/>
      <c r="LNH341" s="236"/>
      <c r="LNI341" s="244"/>
      <c r="LNJ341" s="239"/>
      <c r="LNK341" s="240"/>
      <c r="LNL341" s="241"/>
      <c r="LNM341" s="239"/>
      <c r="LNN341" s="239"/>
      <c r="LNO341" s="239"/>
      <c r="LNP341" s="239"/>
      <c r="LNQ341" s="239"/>
      <c r="LNR341" s="239"/>
      <c r="LNS341" s="233"/>
      <c r="LNT341" s="235"/>
      <c r="LNU341" s="233"/>
      <c r="LNV341" s="234"/>
      <c r="LNW341" s="234"/>
      <c r="LNX341" s="242"/>
      <c r="LNY341" s="234"/>
      <c r="LNZ341" s="234"/>
      <c r="LOA341" s="234"/>
      <c r="LOB341" s="236"/>
      <c r="LOC341" s="244"/>
      <c r="LOD341" s="239"/>
      <c r="LOE341" s="240"/>
      <c r="LOF341" s="241"/>
      <c r="LOG341" s="239"/>
      <c r="LOH341" s="239"/>
      <c r="LOI341" s="239"/>
      <c r="LOJ341" s="239"/>
      <c r="LOK341" s="239"/>
      <c r="LOL341" s="239"/>
      <c r="LOM341" s="233"/>
      <c r="LON341" s="235"/>
      <c r="LOO341" s="233"/>
      <c r="LOP341" s="234"/>
      <c r="LOQ341" s="234"/>
      <c r="LOR341" s="242"/>
      <c r="LOS341" s="234"/>
      <c r="LOT341" s="234"/>
      <c r="LOU341" s="234"/>
      <c r="LOV341" s="236"/>
      <c r="LOW341" s="244"/>
      <c r="LOX341" s="239"/>
      <c r="LOY341" s="240"/>
      <c r="LOZ341" s="241"/>
      <c r="LPA341" s="239"/>
      <c r="LPB341" s="239"/>
      <c r="LPC341" s="239"/>
      <c r="LPD341" s="239"/>
      <c r="LPE341" s="239"/>
      <c r="LPF341" s="239"/>
      <c r="LPG341" s="233"/>
      <c r="LPH341" s="235"/>
      <c r="LPI341" s="233"/>
      <c r="LPJ341" s="234"/>
      <c r="LPK341" s="234"/>
      <c r="LPL341" s="242"/>
      <c r="LPM341" s="234"/>
      <c r="LPN341" s="234"/>
      <c r="LPO341" s="234"/>
      <c r="LPP341" s="236"/>
      <c r="LPQ341" s="244"/>
      <c r="LPR341" s="239"/>
      <c r="LPS341" s="240"/>
      <c r="LPT341" s="241"/>
      <c r="LPU341" s="239"/>
      <c r="LPV341" s="239"/>
      <c r="LPW341" s="239"/>
      <c r="LPX341" s="239"/>
      <c r="LPY341" s="239"/>
      <c r="LPZ341" s="239"/>
      <c r="LQA341" s="233"/>
      <c r="LQB341" s="235"/>
      <c r="LQC341" s="233"/>
      <c r="LQD341" s="234"/>
      <c r="LQE341" s="234"/>
      <c r="LQF341" s="242"/>
      <c r="LQG341" s="234"/>
      <c r="LQH341" s="234"/>
      <c r="LQI341" s="234"/>
      <c r="LQJ341" s="236"/>
      <c r="LQK341" s="244"/>
      <c r="LQL341" s="239"/>
      <c r="LQM341" s="240"/>
      <c r="LQN341" s="241"/>
      <c r="LQO341" s="239"/>
      <c r="LQP341" s="239"/>
      <c r="LQQ341" s="239"/>
      <c r="LQR341" s="239"/>
      <c r="LQS341" s="239"/>
      <c r="LQT341" s="239"/>
      <c r="LQU341" s="233"/>
      <c r="LQV341" s="235"/>
      <c r="LQW341" s="233"/>
      <c r="LQX341" s="234"/>
      <c r="LQY341" s="234"/>
      <c r="LQZ341" s="242"/>
      <c r="LRA341" s="234"/>
      <c r="LRB341" s="234"/>
      <c r="LRC341" s="234"/>
      <c r="LRD341" s="236"/>
      <c r="LRE341" s="244"/>
      <c r="LRF341" s="239"/>
      <c r="LRG341" s="240"/>
      <c r="LRH341" s="241"/>
      <c r="LRI341" s="239"/>
      <c r="LRJ341" s="239"/>
      <c r="LRK341" s="239"/>
      <c r="LRL341" s="239"/>
      <c r="LRM341" s="239"/>
      <c r="LRN341" s="239"/>
      <c r="LRO341" s="233"/>
      <c r="LRP341" s="235"/>
      <c r="LRQ341" s="233"/>
      <c r="LRR341" s="234"/>
      <c r="LRS341" s="234"/>
      <c r="LRT341" s="242"/>
      <c r="LRU341" s="234"/>
      <c r="LRV341" s="234"/>
      <c r="LRW341" s="234"/>
      <c r="LRX341" s="236"/>
      <c r="LRY341" s="244"/>
      <c r="LRZ341" s="239"/>
      <c r="LSA341" s="240"/>
      <c r="LSB341" s="241"/>
      <c r="LSC341" s="239"/>
      <c r="LSD341" s="239"/>
      <c r="LSE341" s="239"/>
      <c r="LSF341" s="239"/>
      <c r="LSG341" s="239"/>
      <c r="LSH341" s="239"/>
      <c r="LSI341" s="233"/>
      <c r="LSJ341" s="235"/>
      <c r="LSK341" s="233"/>
      <c r="LSL341" s="234"/>
      <c r="LSM341" s="234"/>
      <c r="LSN341" s="242"/>
      <c r="LSO341" s="234"/>
      <c r="LSP341" s="234"/>
      <c r="LSQ341" s="234"/>
      <c r="LSR341" s="236"/>
      <c r="LSS341" s="244"/>
      <c r="LST341" s="239"/>
      <c r="LSU341" s="240"/>
      <c r="LSV341" s="241"/>
      <c r="LSW341" s="239"/>
      <c r="LSX341" s="239"/>
      <c r="LSY341" s="239"/>
      <c r="LSZ341" s="239"/>
      <c r="LTA341" s="239"/>
      <c r="LTB341" s="239"/>
      <c r="LTC341" s="233"/>
      <c r="LTD341" s="235"/>
      <c r="LTE341" s="233"/>
      <c r="LTF341" s="234"/>
      <c r="LTG341" s="234"/>
      <c r="LTH341" s="242"/>
      <c r="LTI341" s="234"/>
      <c r="LTJ341" s="234"/>
      <c r="LTK341" s="234"/>
      <c r="LTL341" s="236"/>
      <c r="LTM341" s="244"/>
      <c r="LTN341" s="239"/>
      <c r="LTO341" s="240"/>
      <c r="LTP341" s="241"/>
      <c r="LTQ341" s="239"/>
      <c r="LTR341" s="239"/>
      <c r="LTS341" s="239"/>
      <c r="LTT341" s="239"/>
      <c r="LTU341" s="239"/>
      <c r="LTV341" s="239"/>
      <c r="LTW341" s="233"/>
      <c r="LTX341" s="235"/>
      <c r="LTY341" s="233"/>
      <c r="LTZ341" s="234"/>
      <c r="LUA341" s="234"/>
      <c r="LUB341" s="242"/>
      <c r="LUC341" s="234"/>
      <c r="LUD341" s="234"/>
      <c r="LUE341" s="234"/>
      <c r="LUF341" s="236"/>
      <c r="LUG341" s="244"/>
      <c r="LUH341" s="239"/>
      <c r="LUI341" s="240"/>
      <c r="LUJ341" s="241"/>
      <c r="LUK341" s="239"/>
      <c r="LUL341" s="239"/>
      <c r="LUM341" s="239"/>
      <c r="LUN341" s="239"/>
      <c r="LUO341" s="239"/>
      <c r="LUP341" s="239"/>
      <c r="LUQ341" s="233"/>
      <c r="LUR341" s="235"/>
      <c r="LUS341" s="233"/>
      <c r="LUT341" s="234"/>
      <c r="LUU341" s="234"/>
      <c r="LUV341" s="242"/>
      <c r="LUW341" s="234"/>
      <c r="LUX341" s="234"/>
      <c r="LUY341" s="234"/>
      <c r="LUZ341" s="236"/>
      <c r="LVA341" s="244"/>
      <c r="LVB341" s="239"/>
      <c r="LVC341" s="240"/>
      <c r="LVD341" s="241"/>
      <c r="LVE341" s="239"/>
      <c r="LVF341" s="239"/>
      <c r="LVG341" s="239"/>
      <c r="LVH341" s="239"/>
      <c r="LVI341" s="239"/>
      <c r="LVJ341" s="239"/>
      <c r="LVK341" s="233"/>
      <c r="LVL341" s="235"/>
      <c r="LVM341" s="233"/>
      <c r="LVN341" s="234"/>
      <c r="LVO341" s="234"/>
      <c r="LVP341" s="242"/>
      <c r="LVQ341" s="234"/>
      <c r="LVR341" s="234"/>
      <c r="LVS341" s="234"/>
      <c r="LVT341" s="236"/>
      <c r="LVU341" s="244"/>
      <c r="LVV341" s="239"/>
      <c r="LVW341" s="240"/>
      <c r="LVX341" s="241"/>
      <c r="LVY341" s="239"/>
      <c r="LVZ341" s="239"/>
      <c r="LWA341" s="239"/>
      <c r="LWB341" s="239"/>
      <c r="LWC341" s="239"/>
      <c r="LWD341" s="239"/>
      <c r="LWE341" s="233"/>
      <c r="LWF341" s="235"/>
      <c r="LWG341" s="233"/>
      <c r="LWH341" s="234"/>
      <c r="LWI341" s="234"/>
      <c r="LWJ341" s="242"/>
      <c r="LWK341" s="234"/>
      <c r="LWL341" s="234"/>
      <c r="LWM341" s="234"/>
      <c r="LWN341" s="236"/>
      <c r="LWO341" s="244"/>
      <c r="LWP341" s="239"/>
      <c r="LWQ341" s="240"/>
      <c r="LWR341" s="241"/>
      <c r="LWS341" s="239"/>
      <c r="LWT341" s="239"/>
      <c r="LWU341" s="239"/>
      <c r="LWV341" s="239"/>
      <c r="LWW341" s="239"/>
      <c r="LWX341" s="239"/>
      <c r="LWY341" s="233"/>
      <c r="LWZ341" s="235"/>
      <c r="LXA341" s="233"/>
      <c r="LXB341" s="234"/>
      <c r="LXC341" s="234"/>
      <c r="LXD341" s="242"/>
      <c r="LXE341" s="234"/>
      <c r="LXF341" s="234"/>
      <c r="LXG341" s="234"/>
      <c r="LXH341" s="236"/>
      <c r="LXI341" s="244"/>
      <c r="LXJ341" s="239"/>
      <c r="LXK341" s="240"/>
      <c r="LXL341" s="241"/>
      <c r="LXM341" s="239"/>
      <c r="LXN341" s="239"/>
      <c r="LXO341" s="239"/>
      <c r="LXP341" s="239"/>
      <c r="LXQ341" s="239"/>
      <c r="LXR341" s="239"/>
      <c r="LXS341" s="233"/>
      <c r="LXT341" s="235"/>
      <c r="LXU341" s="233"/>
      <c r="LXV341" s="234"/>
      <c r="LXW341" s="234"/>
      <c r="LXX341" s="242"/>
      <c r="LXY341" s="234"/>
      <c r="LXZ341" s="234"/>
      <c r="LYA341" s="234"/>
      <c r="LYB341" s="236"/>
      <c r="LYC341" s="244"/>
      <c r="LYD341" s="239"/>
      <c r="LYE341" s="240"/>
      <c r="LYF341" s="241"/>
      <c r="LYG341" s="239"/>
      <c r="LYH341" s="239"/>
      <c r="LYI341" s="239"/>
      <c r="LYJ341" s="239"/>
      <c r="LYK341" s="239"/>
      <c r="LYL341" s="239"/>
      <c r="LYM341" s="233"/>
      <c r="LYN341" s="235"/>
      <c r="LYO341" s="233"/>
      <c r="LYP341" s="234"/>
      <c r="LYQ341" s="234"/>
      <c r="LYR341" s="242"/>
      <c r="LYS341" s="234"/>
      <c r="LYT341" s="234"/>
      <c r="LYU341" s="234"/>
      <c r="LYV341" s="236"/>
      <c r="LYW341" s="244"/>
      <c r="LYX341" s="239"/>
      <c r="LYY341" s="240"/>
      <c r="LYZ341" s="241"/>
      <c r="LZA341" s="239"/>
      <c r="LZB341" s="239"/>
      <c r="LZC341" s="239"/>
      <c r="LZD341" s="239"/>
      <c r="LZE341" s="239"/>
      <c r="LZF341" s="239"/>
      <c r="LZG341" s="233"/>
      <c r="LZH341" s="235"/>
      <c r="LZI341" s="233"/>
      <c r="LZJ341" s="234"/>
      <c r="LZK341" s="234"/>
      <c r="LZL341" s="242"/>
      <c r="LZM341" s="234"/>
      <c r="LZN341" s="234"/>
      <c r="LZO341" s="234"/>
      <c r="LZP341" s="236"/>
      <c r="LZQ341" s="244"/>
      <c r="LZR341" s="239"/>
      <c r="LZS341" s="240"/>
      <c r="LZT341" s="241"/>
      <c r="LZU341" s="239"/>
      <c r="LZV341" s="239"/>
      <c r="LZW341" s="239"/>
      <c r="LZX341" s="239"/>
      <c r="LZY341" s="239"/>
      <c r="LZZ341" s="239"/>
      <c r="MAA341" s="233"/>
      <c r="MAB341" s="235"/>
      <c r="MAC341" s="233"/>
      <c r="MAD341" s="234"/>
      <c r="MAE341" s="234"/>
      <c r="MAF341" s="242"/>
      <c r="MAG341" s="234"/>
      <c r="MAH341" s="234"/>
      <c r="MAI341" s="234"/>
      <c r="MAJ341" s="236"/>
      <c r="MAK341" s="244"/>
      <c r="MAL341" s="239"/>
      <c r="MAM341" s="240"/>
      <c r="MAN341" s="241"/>
      <c r="MAO341" s="239"/>
      <c r="MAP341" s="239"/>
      <c r="MAQ341" s="239"/>
      <c r="MAR341" s="239"/>
      <c r="MAS341" s="239"/>
      <c r="MAT341" s="239"/>
      <c r="MAU341" s="233"/>
      <c r="MAV341" s="235"/>
      <c r="MAW341" s="233"/>
      <c r="MAX341" s="234"/>
      <c r="MAY341" s="234"/>
      <c r="MAZ341" s="242"/>
      <c r="MBA341" s="234"/>
      <c r="MBB341" s="234"/>
      <c r="MBC341" s="234"/>
      <c r="MBD341" s="236"/>
      <c r="MBE341" s="244"/>
      <c r="MBF341" s="239"/>
      <c r="MBG341" s="240"/>
      <c r="MBH341" s="241"/>
      <c r="MBI341" s="239"/>
      <c r="MBJ341" s="239"/>
      <c r="MBK341" s="239"/>
      <c r="MBL341" s="239"/>
      <c r="MBM341" s="239"/>
      <c r="MBN341" s="239"/>
      <c r="MBO341" s="233"/>
      <c r="MBP341" s="235"/>
      <c r="MBQ341" s="233"/>
      <c r="MBR341" s="234"/>
      <c r="MBS341" s="234"/>
      <c r="MBT341" s="242"/>
      <c r="MBU341" s="234"/>
      <c r="MBV341" s="234"/>
      <c r="MBW341" s="234"/>
      <c r="MBX341" s="236"/>
      <c r="MBY341" s="244"/>
      <c r="MBZ341" s="239"/>
      <c r="MCA341" s="240"/>
      <c r="MCB341" s="241"/>
      <c r="MCC341" s="239"/>
      <c r="MCD341" s="239"/>
      <c r="MCE341" s="239"/>
      <c r="MCF341" s="239"/>
      <c r="MCG341" s="239"/>
      <c r="MCH341" s="239"/>
      <c r="MCI341" s="233"/>
      <c r="MCJ341" s="235"/>
      <c r="MCK341" s="233"/>
      <c r="MCL341" s="234"/>
      <c r="MCM341" s="234"/>
      <c r="MCN341" s="242"/>
      <c r="MCO341" s="234"/>
      <c r="MCP341" s="234"/>
      <c r="MCQ341" s="234"/>
      <c r="MCR341" s="236"/>
      <c r="MCS341" s="244"/>
      <c r="MCT341" s="239"/>
      <c r="MCU341" s="240"/>
      <c r="MCV341" s="241"/>
      <c r="MCW341" s="239"/>
      <c r="MCX341" s="239"/>
      <c r="MCY341" s="239"/>
      <c r="MCZ341" s="239"/>
      <c r="MDA341" s="239"/>
      <c r="MDB341" s="239"/>
      <c r="MDC341" s="233"/>
      <c r="MDD341" s="235"/>
      <c r="MDE341" s="233"/>
      <c r="MDF341" s="234"/>
      <c r="MDG341" s="234"/>
      <c r="MDH341" s="242"/>
      <c r="MDI341" s="234"/>
      <c r="MDJ341" s="234"/>
      <c r="MDK341" s="234"/>
      <c r="MDL341" s="236"/>
      <c r="MDM341" s="244"/>
      <c r="MDN341" s="239"/>
      <c r="MDO341" s="240"/>
      <c r="MDP341" s="241"/>
      <c r="MDQ341" s="239"/>
      <c r="MDR341" s="239"/>
      <c r="MDS341" s="239"/>
      <c r="MDT341" s="239"/>
      <c r="MDU341" s="239"/>
      <c r="MDV341" s="239"/>
      <c r="MDW341" s="233"/>
      <c r="MDX341" s="235"/>
      <c r="MDY341" s="233"/>
      <c r="MDZ341" s="234"/>
      <c r="MEA341" s="234"/>
      <c r="MEB341" s="242"/>
      <c r="MEC341" s="234"/>
      <c r="MED341" s="234"/>
      <c r="MEE341" s="234"/>
      <c r="MEF341" s="236"/>
      <c r="MEG341" s="244"/>
      <c r="MEH341" s="239"/>
      <c r="MEI341" s="240"/>
      <c r="MEJ341" s="241"/>
      <c r="MEK341" s="239"/>
      <c r="MEL341" s="239"/>
      <c r="MEM341" s="239"/>
      <c r="MEN341" s="239"/>
      <c r="MEO341" s="239"/>
      <c r="MEP341" s="239"/>
      <c r="MEQ341" s="233"/>
      <c r="MER341" s="235"/>
      <c r="MES341" s="233"/>
      <c r="MET341" s="234"/>
      <c r="MEU341" s="234"/>
      <c r="MEV341" s="242"/>
      <c r="MEW341" s="234"/>
      <c r="MEX341" s="234"/>
      <c r="MEY341" s="234"/>
      <c r="MEZ341" s="236"/>
      <c r="MFA341" s="244"/>
      <c r="MFB341" s="239"/>
      <c r="MFC341" s="240"/>
      <c r="MFD341" s="241"/>
      <c r="MFE341" s="239"/>
      <c r="MFF341" s="239"/>
      <c r="MFG341" s="239"/>
      <c r="MFH341" s="239"/>
      <c r="MFI341" s="239"/>
      <c r="MFJ341" s="239"/>
      <c r="MFK341" s="233"/>
      <c r="MFL341" s="235"/>
      <c r="MFM341" s="233"/>
      <c r="MFN341" s="234"/>
      <c r="MFO341" s="234"/>
      <c r="MFP341" s="242"/>
      <c r="MFQ341" s="234"/>
      <c r="MFR341" s="234"/>
      <c r="MFS341" s="234"/>
      <c r="MFT341" s="236"/>
      <c r="MFU341" s="244"/>
      <c r="MFV341" s="239"/>
      <c r="MFW341" s="240"/>
      <c r="MFX341" s="241"/>
      <c r="MFY341" s="239"/>
      <c r="MFZ341" s="239"/>
      <c r="MGA341" s="239"/>
      <c r="MGB341" s="239"/>
      <c r="MGC341" s="239"/>
      <c r="MGD341" s="239"/>
      <c r="MGE341" s="233"/>
      <c r="MGF341" s="235"/>
      <c r="MGG341" s="233"/>
      <c r="MGH341" s="234"/>
      <c r="MGI341" s="234"/>
      <c r="MGJ341" s="242"/>
      <c r="MGK341" s="234"/>
      <c r="MGL341" s="234"/>
      <c r="MGM341" s="234"/>
      <c r="MGN341" s="236"/>
      <c r="MGO341" s="244"/>
      <c r="MGP341" s="239"/>
      <c r="MGQ341" s="240"/>
      <c r="MGR341" s="241"/>
      <c r="MGS341" s="239"/>
      <c r="MGT341" s="239"/>
      <c r="MGU341" s="239"/>
      <c r="MGV341" s="239"/>
      <c r="MGW341" s="239"/>
      <c r="MGX341" s="239"/>
      <c r="MGY341" s="233"/>
      <c r="MGZ341" s="235"/>
      <c r="MHA341" s="233"/>
      <c r="MHB341" s="234"/>
      <c r="MHC341" s="234"/>
      <c r="MHD341" s="242"/>
      <c r="MHE341" s="234"/>
      <c r="MHF341" s="234"/>
      <c r="MHG341" s="234"/>
      <c r="MHH341" s="236"/>
      <c r="MHI341" s="244"/>
      <c r="MHJ341" s="239"/>
      <c r="MHK341" s="240"/>
      <c r="MHL341" s="241"/>
      <c r="MHM341" s="239"/>
      <c r="MHN341" s="239"/>
      <c r="MHO341" s="239"/>
      <c r="MHP341" s="239"/>
      <c r="MHQ341" s="239"/>
      <c r="MHR341" s="239"/>
      <c r="MHS341" s="233"/>
      <c r="MHT341" s="235"/>
      <c r="MHU341" s="233"/>
      <c r="MHV341" s="234"/>
      <c r="MHW341" s="234"/>
      <c r="MHX341" s="242"/>
      <c r="MHY341" s="234"/>
      <c r="MHZ341" s="234"/>
      <c r="MIA341" s="234"/>
      <c r="MIB341" s="236"/>
      <c r="MIC341" s="244"/>
      <c r="MID341" s="239"/>
      <c r="MIE341" s="240"/>
      <c r="MIF341" s="241"/>
      <c r="MIG341" s="239"/>
      <c r="MIH341" s="239"/>
      <c r="MII341" s="239"/>
      <c r="MIJ341" s="239"/>
      <c r="MIK341" s="239"/>
      <c r="MIL341" s="239"/>
      <c r="MIM341" s="233"/>
      <c r="MIN341" s="235"/>
      <c r="MIO341" s="233"/>
      <c r="MIP341" s="234"/>
      <c r="MIQ341" s="234"/>
      <c r="MIR341" s="242"/>
      <c r="MIS341" s="234"/>
      <c r="MIT341" s="234"/>
      <c r="MIU341" s="234"/>
      <c r="MIV341" s="236"/>
      <c r="MIW341" s="244"/>
      <c r="MIX341" s="239"/>
      <c r="MIY341" s="240"/>
      <c r="MIZ341" s="241"/>
      <c r="MJA341" s="239"/>
      <c r="MJB341" s="239"/>
      <c r="MJC341" s="239"/>
      <c r="MJD341" s="239"/>
      <c r="MJE341" s="239"/>
      <c r="MJF341" s="239"/>
      <c r="MJG341" s="233"/>
      <c r="MJH341" s="235"/>
      <c r="MJI341" s="233"/>
      <c r="MJJ341" s="234"/>
      <c r="MJK341" s="234"/>
      <c r="MJL341" s="242"/>
      <c r="MJM341" s="234"/>
      <c r="MJN341" s="234"/>
      <c r="MJO341" s="234"/>
      <c r="MJP341" s="236"/>
      <c r="MJQ341" s="244"/>
      <c r="MJR341" s="239"/>
      <c r="MJS341" s="240"/>
      <c r="MJT341" s="241"/>
      <c r="MJU341" s="239"/>
      <c r="MJV341" s="239"/>
      <c r="MJW341" s="239"/>
      <c r="MJX341" s="239"/>
      <c r="MJY341" s="239"/>
      <c r="MJZ341" s="239"/>
      <c r="MKA341" s="233"/>
      <c r="MKB341" s="235"/>
      <c r="MKC341" s="233"/>
      <c r="MKD341" s="234"/>
      <c r="MKE341" s="234"/>
      <c r="MKF341" s="242"/>
      <c r="MKG341" s="234"/>
      <c r="MKH341" s="234"/>
      <c r="MKI341" s="234"/>
      <c r="MKJ341" s="236"/>
      <c r="MKK341" s="244"/>
      <c r="MKL341" s="239"/>
      <c r="MKM341" s="240"/>
      <c r="MKN341" s="241"/>
      <c r="MKO341" s="239"/>
      <c r="MKP341" s="239"/>
      <c r="MKQ341" s="239"/>
      <c r="MKR341" s="239"/>
      <c r="MKS341" s="239"/>
      <c r="MKT341" s="239"/>
      <c r="MKU341" s="233"/>
      <c r="MKV341" s="235"/>
      <c r="MKW341" s="233"/>
      <c r="MKX341" s="234"/>
      <c r="MKY341" s="234"/>
      <c r="MKZ341" s="242"/>
      <c r="MLA341" s="234"/>
      <c r="MLB341" s="234"/>
      <c r="MLC341" s="234"/>
      <c r="MLD341" s="236"/>
      <c r="MLE341" s="244"/>
      <c r="MLF341" s="239"/>
      <c r="MLG341" s="240"/>
      <c r="MLH341" s="241"/>
      <c r="MLI341" s="239"/>
      <c r="MLJ341" s="239"/>
      <c r="MLK341" s="239"/>
      <c r="MLL341" s="239"/>
      <c r="MLM341" s="239"/>
      <c r="MLN341" s="239"/>
      <c r="MLO341" s="233"/>
      <c r="MLP341" s="235"/>
      <c r="MLQ341" s="233"/>
      <c r="MLR341" s="234"/>
      <c r="MLS341" s="234"/>
      <c r="MLT341" s="242"/>
      <c r="MLU341" s="234"/>
      <c r="MLV341" s="234"/>
      <c r="MLW341" s="234"/>
      <c r="MLX341" s="236"/>
      <c r="MLY341" s="244"/>
      <c r="MLZ341" s="239"/>
      <c r="MMA341" s="240"/>
      <c r="MMB341" s="241"/>
      <c r="MMC341" s="239"/>
      <c r="MMD341" s="239"/>
      <c r="MME341" s="239"/>
      <c r="MMF341" s="239"/>
      <c r="MMG341" s="239"/>
      <c r="MMH341" s="239"/>
      <c r="MMI341" s="233"/>
      <c r="MMJ341" s="235"/>
      <c r="MMK341" s="233"/>
      <c r="MML341" s="234"/>
      <c r="MMM341" s="234"/>
      <c r="MMN341" s="242"/>
      <c r="MMO341" s="234"/>
      <c r="MMP341" s="234"/>
      <c r="MMQ341" s="234"/>
      <c r="MMR341" s="236"/>
      <c r="MMS341" s="244"/>
      <c r="MMT341" s="239"/>
      <c r="MMU341" s="240"/>
      <c r="MMV341" s="241"/>
      <c r="MMW341" s="239"/>
      <c r="MMX341" s="239"/>
      <c r="MMY341" s="239"/>
      <c r="MMZ341" s="239"/>
      <c r="MNA341" s="239"/>
      <c r="MNB341" s="239"/>
      <c r="MNC341" s="233"/>
      <c r="MND341" s="235"/>
      <c r="MNE341" s="233"/>
      <c r="MNF341" s="234"/>
      <c r="MNG341" s="234"/>
      <c r="MNH341" s="242"/>
      <c r="MNI341" s="234"/>
      <c r="MNJ341" s="234"/>
      <c r="MNK341" s="234"/>
      <c r="MNL341" s="236"/>
      <c r="MNM341" s="244"/>
      <c r="MNN341" s="239"/>
      <c r="MNO341" s="240"/>
      <c r="MNP341" s="241"/>
      <c r="MNQ341" s="239"/>
      <c r="MNR341" s="239"/>
      <c r="MNS341" s="239"/>
      <c r="MNT341" s="239"/>
      <c r="MNU341" s="239"/>
      <c r="MNV341" s="239"/>
      <c r="MNW341" s="233"/>
      <c r="MNX341" s="235"/>
      <c r="MNY341" s="233"/>
      <c r="MNZ341" s="234"/>
      <c r="MOA341" s="234"/>
      <c r="MOB341" s="242"/>
      <c r="MOC341" s="234"/>
      <c r="MOD341" s="234"/>
      <c r="MOE341" s="234"/>
      <c r="MOF341" s="236"/>
      <c r="MOG341" s="244"/>
      <c r="MOH341" s="239"/>
      <c r="MOI341" s="240"/>
      <c r="MOJ341" s="241"/>
      <c r="MOK341" s="239"/>
      <c r="MOL341" s="239"/>
      <c r="MOM341" s="239"/>
      <c r="MON341" s="239"/>
      <c r="MOO341" s="239"/>
      <c r="MOP341" s="239"/>
      <c r="MOQ341" s="233"/>
      <c r="MOR341" s="235"/>
      <c r="MOS341" s="233"/>
      <c r="MOT341" s="234"/>
      <c r="MOU341" s="234"/>
      <c r="MOV341" s="242"/>
      <c r="MOW341" s="234"/>
      <c r="MOX341" s="234"/>
      <c r="MOY341" s="234"/>
      <c r="MOZ341" s="236"/>
      <c r="MPA341" s="244"/>
      <c r="MPB341" s="239"/>
      <c r="MPC341" s="240"/>
      <c r="MPD341" s="241"/>
      <c r="MPE341" s="239"/>
      <c r="MPF341" s="239"/>
      <c r="MPG341" s="239"/>
      <c r="MPH341" s="239"/>
      <c r="MPI341" s="239"/>
      <c r="MPJ341" s="239"/>
      <c r="MPK341" s="233"/>
      <c r="MPL341" s="235"/>
      <c r="MPM341" s="233"/>
      <c r="MPN341" s="234"/>
      <c r="MPO341" s="234"/>
      <c r="MPP341" s="242"/>
      <c r="MPQ341" s="234"/>
      <c r="MPR341" s="234"/>
      <c r="MPS341" s="234"/>
      <c r="MPT341" s="236"/>
      <c r="MPU341" s="244"/>
      <c r="MPV341" s="239"/>
      <c r="MPW341" s="240"/>
      <c r="MPX341" s="241"/>
      <c r="MPY341" s="239"/>
      <c r="MPZ341" s="239"/>
      <c r="MQA341" s="239"/>
      <c r="MQB341" s="239"/>
      <c r="MQC341" s="239"/>
      <c r="MQD341" s="239"/>
      <c r="MQE341" s="233"/>
      <c r="MQF341" s="235"/>
      <c r="MQG341" s="233"/>
      <c r="MQH341" s="234"/>
      <c r="MQI341" s="234"/>
      <c r="MQJ341" s="242"/>
      <c r="MQK341" s="234"/>
      <c r="MQL341" s="234"/>
      <c r="MQM341" s="234"/>
      <c r="MQN341" s="236"/>
      <c r="MQO341" s="244"/>
      <c r="MQP341" s="239"/>
      <c r="MQQ341" s="240"/>
      <c r="MQR341" s="241"/>
      <c r="MQS341" s="239"/>
      <c r="MQT341" s="239"/>
      <c r="MQU341" s="239"/>
      <c r="MQV341" s="239"/>
      <c r="MQW341" s="239"/>
      <c r="MQX341" s="239"/>
      <c r="MQY341" s="233"/>
      <c r="MQZ341" s="235"/>
      <c r="MRA341" s="233"/>
      <c r="MRB341" s="234"/>
      <c r="MRC341" s="234"/>
      <c r="MRD341" s="242"/>
      <c r="MRE341" s="234"/>
      <c r="MRF341" s="234"/>
      <c r="MRG341" s="234"/>
      <c r="MRH341" s="236"/>
      <c r="MRI341" s="244"/>
      <c r="MRJ341" s="239"/>
      <c r="MRK341" s="240"/>
      <c r="MRL341" s="241"/>
      <c r="MRM341" s="239"/>
      <c r="MRN341" s="239"/>
      <c r="MRO341" s="239"/>
      <c r="MRP341" s="239"/>
      <c r="MRQ341" s="239"/>
      <c r="MRR341" s="239"/>
      <c r="MRS341" s="233"/>
      <c r="MRT341" s="235"/>
      <c r="MRU341" s="233"/>
      <c r="MRV341" s="234"/>
      <c r="MRW341" s="234"/>
      <c r="MRX341" s="242"/>
      <c r="MRY341" s="234"/>
      <c r="MRZ341" s="234"/>
      <c r="MSA341" s="234"/>
      <c r="MSB341" s="236"/>
      <c r="MSC341" s="244"/>
      <c r="MSD341" s="239"/>
      <c r="MSE341" s="240"/>
      <c r="MSF341" s="241"/>
      <c r="MSG341" s="239"/>
      <c r="MSH341" s="239"/>
      <c r="MSI341" s="239"/>
      <c r="MSJ341" s="239"/>
      <c r="MSK341" s="239"/>
      <c r="MSL341" s="239"/>
      <c r="MSM341" s="233"/>
      <c r="MSN341" s="235"/>
      <c r="MSO341" s="233"/>
      <c r="MSP341" s="234"/>
      <c r="MSQ341" s="234"/>
      <c r="MSR341" s="242"/>
      <c r="MSS341" s="234"/>
      <c r="MST341" s="234"/>
      <c r="MSU341" s="234"/>
      <c r="MSV341" s="236"/>
      <c r="MSW341" s="244"/>
      <c r="MSX341" s="239"/>
      <c r="MSY341" s="240"/>
      <c r="MSZ341" s="241"/>
      <c r="MTA341" s="239"/>
      <c r="MTB341" s="239"/>
      <c r="MTC341" s="239"/>
      <c r="MTD341" s="239"/>
      <c r="MTE341" s="239"/>
      <c r="MTF341" s="239"/>
      <c r="MTG341" s="233"/>
      <c r="MTH341" s="235"/>
      <c r="MTI341" s="233"/>
      <c r="MTJ341" s="234"/>
      <c r="MTK341" s="234"/>
      <c r="MTL341" s="242"/>
      <c r="MTM341" s="234"/>
      <c r="MTN341" s="234"/>
      <c r="MTO341" s="234"/>
      <c r="MTP341" s="236"/>
      <c r="MTQ341" s="244"/>
      <c r="MTR341" s="239"/>
      <c r="MTS341" s="240"/>
      <c r="MTT341" s="241"/>
      <c r="MTU341" s="239"/>
      <c r="MTV341" s="239"/>
      <c r="MTW341" s="239"/>
      <c r="MTX341" s="239"/>
      <c r="MTY341" s="239"/>
      <c r="MTZ341" s="239"/>
      <c r="MUA341" s="233"/>
      <c r="MUB341" s="235"/>
      <c r="MUC341" s="233"/>
      <c r="MUD341" s="234"/>
      <c r="MUE341" s="234"/>
      <c r="MUF341" s="242"/>
      <c r="MUG341" s="234"/>
      <c r="MUH341" s="234"/>
      <c r="MUI341" s="234"/>
      <c r="MUJ341" s="236"/>
      <c r="MUK341" s="244"/>
      <c r="MUL341" s="239"/>
      <c r="MUM341" s="240"/>
      <c r="MUN341" s="241"/>
      <c r="MUO341" s="239"/>
      <c r="MUP341" s="239"/>
      <c r="MUQ341" s="239"/>
      <c r="MUR341" s="239"/>
      <c r="MUS341" s="239"/>
      <c r="MUT341" s="239"/>
      <c r="MUU341" s="233"/>
      <c r="MUV341" s="235"/>
      <c r="MUW341" s="233"/>
      <c r="MUX341" s="234"/>
      <c r="MUY341" s="234"/>
      <c r="MUZ341" s="242"/>
      <c r="MVA341" s="234"/>
      <c r="MVB341" s="234"/>
      <c r="MVC341" s="234"/>
      <c r="MVD341" s="236"/>
      <c r="MVE341" s="244"/>
      <c r="MVF341" s="239"/>
      <c r="MVG341" s="240"/>
      <c r="MVH341" s="241"/>
      <c r="MVI341" s="239"/>
      <c r="MVJ341" s="239"/>
      <c r="MVK341" s="239"/>
      <c r="MVL341" s="239"/>
      <c r="MVM341" s="239"/>
      <c r="MVN341" s="239"/>
      <c r="MVO341" s="233"/>
      <c r="MVP341" s="235"/>
      <c r="MVQ341" s="233"/>
      <c r="MVR341" s="234"/>
      <c r="MVS341" s="234"/>
      <c r="MVT341" s="242"/>
      <c r="MVU341" s="234"/>
      <c r="MVV341" s="234"/>
      <c r="MVW341" s="234"/>
      <c r="MVX341" s="236"/>
      <c r="MVY341" s="244"/>
      <c r="MVZ341" s="239"/>
      <c r="MWA341" s="240"/>
      <c r="MWB341" s="241"/>
      <c r="MWC341" s="239"/>
      <c r="MWD341" s="239"/>
      <c r="MWE341" s="239"/>
      <c r="MWF341" s="239"/>
      <c r="MWG341" s="239"/>
      <c r="MWH341" s="239"/>
      <c r="MWI341" s="233"/>
      <c r="MWJ341" s="235"/>
      <c r="MWK341" s="233"/>
      <c r="MWL341" s="234"/>
      <c r="MWM341" s="234"/>
      <c r="MWN341" s="242"/>
      <c r="MWO341" s="234"/>
      <c r="MWP341" s="234"/>
      <c r="MWQ341" s="234"/>
      <c r="MWR341" s="236"/>
      <c r="MWS341" s="244"/>
      <c r="MWT341" s="239"/>
      <c r="MWU341" s="240"/>
      <c r="MWV341" s="241"/>
      <c r="MWW341" s="239"/>
      <c r="MWX341" s="239"/>
      <c r="MWY341" s="239"/>
      <c r="MWZ341" s="239"/>
      <c r="MXA341" s="239"/>
      <c r="MXB341" s="239"/>
      <c r="MXC341" s="233"/>
      <c r="MXD341" s="235"/>
      <c r="MXE341" s="233"/>
      <c r="MXF341" s="234"/>
      <c r="MXG341" s="234"/>
      <c r="MXH341" s="242"/>
      <c r="MXI341" s="234"/>
      <c r="MXJ341" s="234"/>
      <c r="MXK341" s="234"/>
      <c r="MXL341" s="236"/>
      <c r="MXM341" s="244"/>
      <c r="MXN341" s="239"/>
      <c r="MXO341" s="240"/>
      <c r="MXP341" s="241"/>
      <c r="MXQ341" s="239"/>
      <c r="MXR341" s="239"/>
      <c r="MXS341" s="239"/>
      <c r="MXT341" s="239"/>
      <c r="MXU341" s="239"/>
      <c r="MXV341" s="239"/>
      <c r="MXW341" s="233"/>
      <c r="MXX341" s="235"/>
      <c r="MXY341" s="233"/>
      <c r="MXZ341" s="234"/>
      <c r="MYA341" s="234"/>
      <c r="MYB341" s="242"/>
      <c r="MYC341" s="234"/>
      <c r="MYD341" s="234"/>
      <c r="MYE341" s="234"/>
      <c r="MYF341" s="236"/>
      <c r="MYG341" s="244"/>
      <c r="MYH341" s="239"/>
      <c r="MYI341" s="240"/>
      <c r="MYJ341" s="241"/>
      <c r="MYK341" s="239"/>
      <c r="MYL341" s="239"/>
      <c r="MYM341" s="239"/>
      <c r="MYN341" s="239"/>
      <c r="MYO341" s="239"/>
      <c r="MYP341" s="239"/>
      <c r="MYQ341" s="233"/>
      <c r="MYR341" s="235"/>
      <c r="MYS341" s="233"/>
      <c r="MYT341" s="234"/>
      <c r="MYU341" s="234"/>
      <c r="MYV341" s="242"/>
      <c r="MYW341" s="234"/>
      <c r="MYX341" s="234"/>
      <c r="MYY341" s="234"/>
      <c r="MYZ341" s="236"/>
      <c r="MZA341" s="244"/>
      <c r="MZB341" s="239"/>
      <c r="MZC341" s="240"/>
      <c r="MZD341" s="241"/>
      <c r="MZE341" s="239"/>
      <c r="MZF341" s="239"/>
      <c r="MZG341" s="239"/>
      <c r="MZH341" s="239"/>
      <c r="MZI341" s="239"/>
      <c r="MZJ341" s="239"/>
      <c r="MZK341" s="233"/>
      <c r="MZL341" s="235"/>
      <c r="MZM341" s="233"/>
      <c r="MZN341" s="234"/>
      <c r="MZO341" s="234"/>
      <c r="MZP341" s="242"/>
      <c r="MZQ341" s="234"/>
      <c r="MZR341" s="234"/>
      <c r="MZS341" s="234"/>
      <c r="MZT341" s="236"/>
      <c r="MZU341" s="244"/>
      <c r="MZV341" s="239"/>
      <c r="MZW341" s="240"/>
      <c r="MZX341" s="241"/>
      <c r="MZY341" s="239"/>
      <c r="MZZ341" s="239"/>
      <c r="NAA341" s="239"/>
      <c r="NAB341" s="239"/>
      <c r="NAC341" s="239"/>
      <c r="NAD341" s="239"/>
      <c r="NAE341" s="233"/>
      <c r="NAF341" s="235"/>
      <c r="NAG341" s="233"/>
      <c r="NAH341" s="234"/>
      <c r="NAI341" s="234"/>
      <c r="NAJ341" s="242"/>
      <c r="NAK341" s="234"/>
      <c r="NAL341" s="234"/>
      <c r="NAM341" s="234"/>
      <c r="NAN341" s="236"/>
      <c r="NAO341" s="244"/>
      <c r="NAP341" s="239"/>
      <c r="NAQ341" s="240"/>
      <c r="NAR341" s="241"/>
      <c r="NAS341" s="239"/>
      <c r="NAT341" s="239"/>
      <c r="NAU341" s="239"/>
      <c r="NAV341" s="239"/>
      <c r="NAW341" s="239"/>
      <c r="NAX341" s="239"/>
      <c r="NAY341" s="233"/>
      <c r="NAZ341" s="235"/>
      <c r="NBA341" s="233"/>
      <c r="NBB341" s="234"/>
      <c r="NBC341" s="234"/>
      <c r="NBD341" s="242"/>
      <c r="NBE341" s="234"/>
      <c r="NBF341" s="234"/>
      <c r="NBG341" s="234"/>
      <c r="NBH341" s="236"/>
      <c r="NBI341" s="244"/>
      <c r="NBJ341" s="239"/>
      <c r="NBK341" s="240"/>
      <c r="NBL341" s="241"/>
      <c r="NBM341" s="239"/>
      <c r="NBN341" s="239"/>
      <c r="NBO341" s="239"/>
      <c r="NBP341" s="239"/>
      <c r="NBQ341" s="239"/>
      <c r="NBR341" s="239"/>
      <c r="NBS341" s="233"/>
      <c r="NBT341" s="235"/>
      <c r="NBU341" s="233"/>
      <c r="NBV341" s="234"/>
      <c r="NBW341" s="234"/>
      <c r="NBX341" s="242"/>
      <c r="NBY341" s="234"/>
      <c r="NBZ341" s="234"/>
      <c r="NCA341" s="234"/>
      <c r="NCB341" s="236"/>
      <c r="NCC341" s="244"/>
      <c r="NCD341" s="239"/>
      <c r="NCE341" s="240"/>
      <c r="NCF341" s="241"/>
      <c r="NCG341" s="239"/>
      <c r="NCH341" s="239"/>
      <c r="NCI341" s="239"/>
      <c r="NCJ341" s="239"/>
      <c r="NCK341" s="239"/>
      <c r="NCL341" s="239"/>
      <c r="NCM341" s="233"/>
      <c r="NCN341" s="235"/>
      <c r="NCO341" s="233"/>
      <c r="NCP341" s="234"/>
      <c r="NCQ341" s="234"/>
      <c r="NCR341" s="242"/>
      <c r="NCS341" s="234"/>
      <c r="NCT341" s="234"/>
      <c r="NCU341" s="234"/>
      <c r="NCV341" s="236"/>
      <c r="NCW341" s="244"/>
      <c r="NCX341" s="239"/>
      <c r="NCY341" s="240"/>
      <c r="NCZ341" s="241"/>
      <c r="NDA341" s="239"/>
      <c r="NDB341" s="239"/>
      <c r="NDC341" s="239"/>
      <c r="NDD341" s="239"/>
      <c r="NDE341" s="239"/>
      <c r="NDF341" s="239"/>
      <c r="NDG341" s="233"/>
      <c r="NDH341" s="235"/>
      <c r="NDI341" s="233"/>
      <c r="NDJ341" s="234"/>
      <c r="NDK341" s="234"/>
      <c r="NDL341" s="242"/>
      <c r="NDM341" s="234"/>
      <c r="NDN341" s="234"/>
      <c r="NDO341" s="234"/>
      <c r="NDP341" s="236"/>
      <c r="NDQ341" s="244"/>
      <c r="NDR341" s="239"/>
      <c r="NDS341" s="240"/>
      <c r="NDT341" s="241"/>
      <c r="NDU341" s="239"/>
      <c r="NDV341" s="239"/>
      <c r="NDW341" s="239"/>
      <c r="NDX341" s="239"/>
      <c r="NDY341" s="239"/>
      <c r="NDZ341" s="239"/>
      <c r="NEA341" s="233"/>
      <c r="NEB341" s="235"/>
      <c r="NEC341" s="233"/>
      <c r="NED341" s="234"/>
      <c r="NEE341" s="234"/>
      <c r="NEF341" s="242"/>
      <c r="NEG341" s="234"/>
      <c r="NEH341" s="234"/>
      <c r="NEI341" s="234"/>
      <c r="NEJ341" s="236"/>
      <c r="NEK341" s="244"/>
      <c r="NEL341" s="239"/>
      <c r="NEM341" s="240"/>
      <c r="NEN341" s="241"/>
      <c r="NEO341" s="239"/>
      <c r="NEP341" s="239"/>
      <c r="NEQ341" s="239"/>
      <c r="NER341" s="239"/>
      <c r="NES341" s="239"/>
      <c r="NET341" s="239"/>
      <c r="NEU341" s="233"/>
      <c r="NEV341" s="235"/>
      <c r="NEW341" s="233"/>
      <c r="NEX341" s="234"/>
      <c r="NEY341" s="234"/>
      <c r="NEZ341" s="242"/>
      <c r="NFA341" s="234"/>
      <c r="NFB341" s="234"/>
      <c r="NFC341" s="234"/>
      <c r="NFD341" s="236"/>
      <c r="NFE341" s="244"/>
      <c r="NFF341" s="239"/>
      <c r="NFG341" s="240"/>
      <c r="NFH341" s="241"/>
      <c r="NFI341" s="239"/>
      <c r="NFJ341" s="239"/>
      <c r="NFK341" s="239"/>
      <c r="NFL341" s="239"/>
      <c r="NFM341" s="239"/>
      <c r="NFN341" s="239"/>
      <c r="NFO341" s="233"/>
      <c r="NFP341" s="235"/>
      <c r="NFQ341" s="233"/>
      <c r="NFR341" s="234"/>
      <c r="NFS341" s="234"/>
      <c r="NFT341" s="242"/>
      <c r="NFU341" s="234"/>
      <c r="NFV341" s="234"/>
      <c r="NFW341" s="234"/>
      <c r="NFX341" s="236"/>
      <c r="NFY341" s="244"/>
      <c r="NFZ341" s="239"/>
      <c r="NGA341" s="240"/>
      <c r="NGB341" s="241"/>
      <c r="NGC341" s="239"/>
      <c r="NGD341" s="239"/>
      <c r="NGE341" s="239"/>
      <c r="NGF341" s="239"/>
      <c r="NGG341" s="239"/>
      <c r="NGH341" s="239"/>
      <c r="NGI341" s="233"/>
      <c r="NGJ341" s="235"/>
      <c r="NGK341" s="233"/>
      <c r="NGL341" s="234"/>
      <c r="NGM341" s="234"/>
      <c r="NGN341" s="242"/>
      <c r="NGO341" s="234"/>
      <c r="NGP341" s="234"/>
      <c r="NGQ341" s="234"/>
      <c r="NGR341" s="236"/>
      <c r="NGS341" s="244"/>
      <c r="NGT341" s="239"/>
      <c r="NGU341" s="240"/>
      <c r="NGV341" s="241"/>
      <c r="NGW341" s="239"/>
      <c r="NGX341" s="239"/>
      <c r="NGY341" s="239"/>
      <c r="NGZ341" s="239"/>
      <c r="NHA341" s="239"/>
      <c r="NHB341" s="239"/>
      <c r="NHC341" s="233"/>
      <c r="NHD341" s="235"/>
      <c r="NHE341" s="233"/>
      <c r="NHF341" s="234"/>
      <c r="NHG341" s="234"/>
      <c r="NHH341" s="242"/>
      <c r="NHI341" s="234"/>
      <c r="NHJ341" s="234"/>
      <c r="NHK341" s="234"/>
      <c r="NHL341" s="236"/>
      <c r="NHM341" s="244"/>
      <c r="NHN341" s="239"/>
      <c r="NHO341" s="240"/>
      <c r="NHP341" s="241"/>
      <c r="NHQ341" s="239"/>
      <c r="NHR341" s="239"/>
      <c r="NHS341" s="239"/>
      <c r="NHT341" s="239"/>
      <c r="NHU341" s="239"/>
      <c r="NHV341" s="239"/>
      <c r="NHW341" s="233"/>
      <c r="NHX341" s="235"/>
      <c r="NHY341" s="233"/>
      <c r="NHZ341" s="234"/>
      <c r="NIA341" s="234"/>
      <c r="NIB341" s="242"/>
      <c r="NIC341" s="234"/>
      <c r="NID341" s="234"/>
      <c r="NIE341" s="234"/>
      <c r="NIF341" s="236"/>
      <c r="NIG341" s="244"/>
      <c r="NIH341" s="239"/>
      <c r="NII341" s="240"/>
      <c r="NIJ341" s="241"/>
      <c r="NIK341" s="239"/>
      <c r="NIL341" s="239"/>
      <c r="NIM341" s="239"/>
      <c r="NIN341" s="239"/>
      <c r="NIO341" s="239"/>
      <c r="NIP341" s="239"/>
      <c r="NIQ341" s="233"/>
      <c r="NIR341" s="235"/>
      <c r="NIS341" s="233"/>
      <c r="NIT341" s="234"/>
      <c r="NIU341" s="234"/>
      <c r="NIV341" s="242"/>
      <c r="NIW341" s="234"/>
      <c r="NIX341" s="234"/>
      <c r="NIY341" s="234"/>
      <c r="NIZ341" s="236"/>
      <c r="NJA341" s="244"/>
      <c r="NJB341" s="239"/>
      <c r="NJC341" s="240"/>
      <c r="NJD341" s="241"/>
      <c r="NJE341" s="239"/>
      <c r="NJF341" s="239"/>
      <c r="NJG341" s="239"/>
      <c r="NJH341" s="239"/>
      <c r="NJI341" s="239"/>
      <c r="NJJ341" s="239"/>
      <c r="NJK341" s="233"/>
      <c r="NJL341" s="235"/>
      <c r="NJM341" s="233"/>
      <c r="NJN341" s="234"/>
      <c r="NJO341" s="234"/>
      <c r="NJP341" s="242"/>
      <c r="NJQ341" s="234"/>
      <c r="NJR341" s="234"/>
      <c r="NJS341" s="234"/>
      <c r="NJT341" s="236"/>
      <c r="NJU341" s="244"/>
      <c r="NJV341" s="239"/>
      <c r="NJW341" s="240"/>
      <c r="NJX341" s="241"/>
      <c r="NJY341" s="239"/>
      <c r="NJZ341" s="239"/>
      <c r="NKA341" s="239"/>
      <c r="NKB341" s="239"/>
      <c r="NKC341" s="239"/>
      <c r="NKD341" s="239"/>
      <c r="NKE341" s="233"/>
      <c r="NKF341" s="235"/>
      <c r="NKG341" s="233"/>
      <c r="NKH341" s="234"/>
      <c r="NKI341" s="234"/>
      <c r="NKJ341" s="242"/>
      <c r="NKK341" s="234"/>
      <c r="NKL341" s="234"/>
      <c r="NKM341" s="234"/>
      <c r="NKN341" s="236"/>
      <c r="NKO341" s="244"/>
      <c r="NKP341" s="239"/>
      <c r="NKQ341" s="240"/>
      <c r="NKR341" s="241"/>
      <c r="NKS341" s="239"/>
      <c r="NKT341" s="239"/>
      <c r="NKU341" s="239"/>
      <c r="NKV341" s="239"/>
      <c r="NKW341" s="239"/>
      <c r="NKX341" s="239"/>
      <c r="NKY341" s="233"/>
      <c r="NKZ341" s="235"/>
      <c r="NLA341" s="233"/>
      <c r="NLB341" s="234"/>
      <c r="NLC341" s="234"/>
      <c r="NLD341" s="242"/>
      <c r="NLE341" s="234"/>
      <c r="NLF341" s="234"/>
      <c r="NLG341" s="234"/>
      <c r="NLH341" s="236"/>
      <c r="NLI341" s="244"/>
      <c r="NLJ341" s="239"/>
      <c r="NLK341" s="240"/>
      <c r="NLL341" s="241"/>
      <c r="NLM341" s="239"/>
      <c r="NLN341" s="239"/>
      <c r="NLO341" s="239"/>
      <c r="NLP341" s="239"/>
      <c r="NLQ341" s="239"/>
      <c r="NLR341" s="239"/>
      <c r="NLS341" s="233"/>
      <c r="NLT341" s="235"/>
      <c r="NLU341" s="233"/>
      <c r="NLV341" s="234"/>
      <c r="NLW341" s="234"/>
      <c r="NLX341" s="242"/>
      <c r="NLY341" s="234"/>
      <c r="NLZ341" s="234"/>
      <c r="NMA341" s="234"/>
      <c r="NMB341" s="236"/>
      <c r="NMC341" s="244"/>
      <c r="NMD341" s="239"/>
      <c r="NME341" s="240"/>
      <c r="NMF341" s="241"/>
      <c r="NMG341" s="239"/>
      <c r="NMH341" s="239"/>
      <c r="NMI341" s="239"/>
      <c r="NMJ341" s="239"/>
      <c r="NMK341" s="239"/>
      <c r="NML341" s="239"/>
      <c r="NMM341" s="233"/>
      <c r="NMN341" s="235"/>
      <c r="NMO341" s="233"/>
      <c r="NMP341" s="234"/>
      <c r="NMQ341" s="234"/>
      <c r="NMR341" s="242"/>
      <c r="NMS341" s="234"/>
      <c r="NMT341" s="234"/>
      <c r="NMU341" s="234"/>
      <c r="NMV341" s="236"/>
      <c r="NMW341" s="244"/>
      <c r="NMX341" s="239"/>
      <c r="NMY341" s="240"/>
      <c r="NMZ341" s="241"/>
      <c r="NNA341" s="239"/>
      <c r="NNB341" s="239"/>
      <c r="NNC341" s="239"/>
      <c r="NND341" s="239"/>
      <c r="NNE341" s="239"/>
      <c r="NNF341" s="239"/>
      <c r="NNG341" s="233"/>
      <c r="NNH341" s="235"/>
      <c r="NNI341" s="233"/>
      <c r="NNJ341" s="234"/>
      <c r="NNK341" s="234"/>
      <c r="NNL341" s="242"/>
      <c r="NNM341" s="234"/>
      <c r="NNN341" s="234"/>
      <c r="NNO341" s="234"/>
      <c r="NNP341" s="236"/>
      <c r="NNQ341" s="244"/>
      <c r="NNR341" s="239"/>
      <c r="NNS341" s="240"/>
      <c r="NNT341" s="241"/>
      <c r="NNU341" s="239"/>
      <c r="NNV341" s="239"/>
      <c r="NNW341" s="239"/>
      <c r="NNX341" s="239"/>
      <c r="NNY341" s="239"/>
      <c r="NNZ341" s="239"/>
      <c r="NOA341" s="233"/>
      <c r="NOB341" s="235"/>
      <c r="NOC341" s="233"/>
      <c r="NOD341" s="234"/>
      <c r="NOE341" s="234"/>
      <c r="NOF341" s="242"/>
      <c r="NOG341" s="234"/>
      <c r="NOH341" s="234"/>
      <c r="NOI341" s="234"/>
      <c r="NOJ341" s="236"/>
      <c r="NOK341" s="244"/>
      <c r="NOL341" s="239"/>
      <c r="NOM341" s="240"/>
      <c r="NON341" s="241"/>
      <c r="NOO341" s="239"/>
      <c r="NOP341" s="239"/>
      <c r="NOQ341" s="239"/>
      <c r="NOR341" s="239"/>
      <c r="NOS341" s="239"/>
      <c r="NOT341" s="239"/>
      <c r="NOU341" s="233"/>
      <c r="NOV341" s="235"/>
      <c r="NOW341" s="233"/>
      <c r="NOX341" s="234"/>
      <c r="NOY341" s="234"/>
      <c r="NOZ341" s="242"/>
      <c r="NPA341" s="234"/>
      <c r="NPB341" s="234"/>
      <c r="NPC341" s="234"/>
      <c r="NPD341" s="236"/>
      <c r="NPE341" s="244"/>
      <c r="NPF341" s="239"/>
      <c r="NPG341" s="240"/>
      <c r="NPH341" s="241"/>
      <c r="NPI341" s="239"/>
      <c r="NPJ341" s="239"/>
      <c r="NPK341" s="239"/>
      <c r="NPL341" s="239"/>
      <c r="NPM341" s="239"/>
      <c r="NPN341" s="239"/>
      <c r="NPO341" s="233"/>
      <c r="NPP341" s="235"/>
      <c r="NPQ341" s="233"/>
      <c r="NPR341" s="234"/>
      <c r="NPS341" s="234"/>
      <c r="NPT341" s="242"/>
      <c r="NPU341" s="234"/>
      <c r="NPV341" s="234"/>
      <c r="NPW341" s="234"/>
      <c r="NPX341" s="236"/>
      <c r="NPY341" s="244"/>
      <c r="NPZ341" s="239"/>
      <c r="NQA341" s="240"/>
      <c r="NQB341" s="241"/>
      <c r="NQC341" s="239"/>
      <c r="NQD341" s="239"/>
      <c r="NQE341" s="239"/>
      <c r="NQF341" s="239"/>
      <c r="NQG341" s="239"/>
      <c r="NQH341" s="239"/>
      <c r="NQI341" s="233"/>
      <c r="NQJ341" s="235"/>
      <c r="NQK341" s="233"/>
      <c r="NQL341" s="234"/>
      <c r="NQM341" s="234"/>
      <c r="NQN341" s="242"/>
      <c r="NQO341" s="234"/>
      <c r="NQP341" s="234"/>
      <c r="NQQ341" s="234"/>
      <c r="NQR341" s="236"/>
      <c r="NQS341" s="244"/>
      <c r="NQT341" s="239"/>
      <c r="NQU341" s="240"/>
      <c r="NQV341" s="241"/>
      <c r="NQW341" s="239"/>
      <c r="NQX341" s="239"/>
      <c r="NQY341" s="239"/>
      <c r="NQZ341" s="239"/>
      <c r="NRA341" s="239"/>
      <c r="NRB341" s="239"/>
      <c r="NRC341" s="233"/>
      <c r="NRD341" s="235"/>
      <c r="NRE341" s="233"/>
      <c r="NRF341" s="234"/>
      <c r="NRG341" s="234"/>
      <c r="NRH341" s="242"/>
      <c r="NRI341" s="234"/>
      <c r="NRJ341" s="234"/>
      <c r="NRK341" s="234"/>
      <c r="NRL341" s="236"/>
      <c r="NRM341" s="244"/>
      <c r="NRN341" s="239"/>
      <c r="NRO341" s="240"/>
      <c r="NRP341" s="241"/>
      <c r="NRQ341" s="239"/>
      <c r="NRR341" s="239"/>
      <c r="NRS341" s="239"/>
      <c r="NRT341" s="239"/>
      <c r="NRU341" s="239"/>
      <c r="NRV341" s="239"/>
      <c r="NRW341" s="233"/>
      <c r="NRX341" s="235"/>
      <c r="NRY341" s="233"/>
      <c r="NRZ341" s="234"/>
      <c r="NSA341" s="234"/>
      <c r="NSB341" s="242"/>
      <c r="NSC341" s="234"/>
      <c r="NSD341" s="234"/>
      <c r="NSE341" s="234"/>
      <c r="NSF341" s="236"/>
      <c r="NSG341" s="244"/>
      <c r="NSH341" s="239"/>
      <c r="NSI341" s="240"/>
      <c r="NSJ341" s="241"/>
      <c r="NSK341" s="239"/>
      <c r="NSL341" s="239"/>
      <c r="NSM341" s="239"/>
      <c r="NSN341" s="239"/>
      <c r="NSO341" s="239"/>
      <c r="NSP341" s="239"/>
      <c r="NSQ341" s="233"/>
      <c r="NSR341" s="235"/>
      <c r="NSS341" s="233"/>
      <c r="NST341" s="234"/>
      <c r="NSU341" s="234"/>
      <c r="NSV341" s="242"/>
      <c r="NSW341" s="234"/>
      <c r="NSX341" s="234"/>
      <c r="NSY341" s="234"/>
      <c r="NSZ341" s="236"/>
      <c r="NTA341" s="244"/>
      <c r="NTB341" s="239"/>
      <c r="NTC341" s="240"/>
      <c r="NTD341" s="241"/>
      <c r="NTE341" s="239"/>
      <c r="NTF341" s="239"/>
      <c r="NTG341" s="239"/>
      <c r="NTH341" s="239"/>
      <c r="NTI341" s="239"/>
      <c r="NTJ341" s="239"/>
      <c r="NTK341" s="233"/>
      <c r="NTL341" s="235"/>
      <c r="NTM341" s="233"/>
      <c r="NTN341" s="234"/>
      <c r="NTO341" s="234"/>
      <c r="NTP341" s="242"/>
      <c r="NTQ341" s="234"/>
      <c r="NTR341" s="234"/>
      <c r="NTS341" s="234"/>
      <c r="NTT341" s="236"/>
      <c r="NTU341" s="244"/>
      <c r="NTV341" s="239"/>
      <c r="NTW341" s="240"/>
      <c r="NTX341" s="241"/>
      <c r="NTY341" s="239"/>
      <c r="NTZ341" s="239"/>
      <c r="NUA341" s="239"/>
      <c r="NUB341" s="239"/>
      <c r="NUC341" s="239"/>
      <c r="NUD341" s="239"/>
      <c r="NUE341" s="233"/>
      <c r="NUF341" s="235"/>
      <c r="NUG341" s="233"/>
      <c r="NUH341" s="234"/>
      <c r="NUI341" s="234"/>
      <c r="NUJ341" s="242"/>
      <c r="NUK341" s="234"/>
      <c r="NUL341" s="234"/>
      <c r="NUM341" s="234"/>
      <c r="NUN341" s="236"/>
      <c r="NUO341" s="244"/>
      <c r="NUP341" s="239"/>
      <c r="NUQ341" s="240"/>
      <c r="NUR341" s="241"/>
      <c r="NUS341" s="239"/>
      <c r="NUT341" s="239"/>
      <c r="NUU341" s="239"/>
      <c r="NUV341" s="239"/>
      <c r="NUW341" s="239"/>
      <c r="NUX341" s="239"/>
      <c r="NUY341" s="233"/>
      <c r="NUZ341" s="235"/>
      <c r="NVA341" s="233"/>
      <c r="NVB341" s="234"/>
      <c r="NVC341" s="234"/>
      <c r="NVD341" s="242"/>
      <c r="NVE341" s="234"/>
      <c r="NVF341" s="234"/>
      <c r="NVG341" s="234"/>
      <c r="NVH341" s="236"/>
      <c r="NVI341" s="244"/>
      <c r="NVJ341" s="239"/>
      <c r="NVK341" s="240"/>
      <c r="NVL341" s="241"/>
      <c r="NVM341" s="239"/>
      <c r="NVN341" s="239"/>
      <c r="NVO341" s="239"/>
      <c r="NVP341" s="239"/>
      <c r="NVQ341" s="239"/>
      <c r="NVR341" s="239"/>
      <c r="NVS341" s="233"/>
      <c r="NVT341" s="235"/>
      <c r="NVU341" s="233"/>
      <c r="NVV341" s="234"/>
      <c r="NVW341" s="234"/>
      <c r="NVX341" s="242"/>
      <c r="NVY341" s="234"/>
      <c r="NVZ341" s="234"/>
      <c r="NWA341" s="234"/>
      <c r="NWB341" s="236"/>
      <c r="NWC341" s="244"/>
      <c r="NWD341" s="239"/>
      <c r="NWE341" s="240"/>
      <c r="NWF341" s="241"/>
      <c r="NWG341" s="239"/>
      <c r="NWH341" s="239"/>
      <c r="NWI341" s="239"/>
      <c r="NWJ341" s="239"/>
      <c r="NWK341" s="239"/>
      <c r="NWL341" s="239"/>
      <c r="NWM341" s="233"/>
      <c r="NWN341" s="235"/>
      <c r="NWO341" s="233"/>
      <c r="NWP341" s="234"/>
      <c r="NWQ341" s="234"/>
      <c r="NWR341" s="242"/>
      <c r="NWS341" s="234"/>
      <c r="NWT341" s="234"/>
      <c r="NWU341" s="234"/>
      <c r="NWV341" s="236"/>
      <c r="NWW341" s="244"/>
      <c r="NWX341" s="239"/>
      <c r="NWY341" s="240"/>
      <c r="NWZ341" s="241"/>
      <c r="NXA341" s="239"/>
      <c r="NXB341" s="239"/>
      <c r="NXC341" s="239"/>
      <c r="NXD341" s="239"/>
      <c r="NXE341" s="239"/>
      <c r="NXF341" s="239"/>
      <c r="NXG341" s="233"/>
      <c r="NXH341" s="235"/>
      <c r="NXI341" s="233"/>
      <c r="NXJ341" s="234"/>
      <c r="NXK341" s="234"/>
      <c r="NXL341" s="242"/>
      <c r="NXM341" s="234"/>
      <c r="NXN341" s="234"/>
      <c r="NXO341" s="234"/>
      <c r="NXP341" s="236"/>
      <c r="NXQ341" s="244"/>
      <c r="NXR341" s="239"/>
      <c r="NXS341" s="240"/>
      <c r="NXT341" s="241"/>
      <c r="NXU341" s="239"/>
      <c r="NXV341" s="239"/>
      <c r="NXW341" s="239"/>
      <c r="NXX341" s="239"/>
      <c r="NXY341" s="239"/>
      <c r="NXZ341" s="239"/>
      <c r="NYA341" s="233"/>
      <c r="NYB341" s="235"/>
      <c r="NYC341" s="233"/>
      <c r="NYD341" s="234"/>
      <c r="NYE341" s="234"/>
      <c r="NYF341" s="242"/>
      <c r="NYG341" s="234"/>
      <c r="NYH341" s="234"/>
      <c r="NYI341" s="234"/>
      <c r="NYJ341" s="236"/>
      <c r="NYK341" s="244"/>
      <c r="NYL341" s="239"/>
      <c r="NYM341" s="240"/>
      <c r="NYN341" s="241"/>
      <c r="NYO341" s="239"/>
      <c r="NYP341" s="239"/>
      <c r="NYQ341" s="239"/>
      <c r="NYR341" s="239"/>
      <c r="NYS341" s="239"/>
      <c r="NYT341" s="239"/>
      <c r="NYU341" s="233"/>
      <c r="NYV341" s="235"/>
      <c r="NYW341" s="233"/>
      <c r="NYX341" s="234"/>
      <c r="NYY341" s="234"/>
      <c r="NYZ341" s="242"/>
      <c r="NZA341" s="234"/>
      <c r="NZB341" s="234"/>
      <c r="NZC341" s="234"/>
      <c r="NZD341" s="236"/>
      <c r="NZE341" s="244"/>
      <c r="NZF341" s="239"/>
      <c r="NZG341" s="240"/>
      <c r="NZH341" s="241"/>
      <c r="NZI341" s="239"/>
      <c r="NZJ341" s="239"/>
      <c r="NZK341" s="239"/>
      <c r="NZL341" s="239"/>
      <c r="NZM341" s="239"/>
      <c r="NZN341" s="239"/>
      <c r="NZO341" s="233"/>
      <c r="NZP341" s="235"/>
      <c r="NZQ341" s="233"/>
      <c r="NZR341" s="234"/>
      <c r="NZS341" s="234"/>
      <c r="NZT341" s="242"/>
      <c r="NZU341" s="234"/>
      <c r="NZV341" s="234"/>
      <c r="NZW341" s="234"/>
      <c r="NZX341" s="236"/>
      <c r="NZY341" s="244"/>
      <c r="NZZ341" s="239"/>
      <c r="OAA341" s="240"/>
      <c r="OAB341" s="241"/>
      <c r="OAC341" s="239"/>
      <c r="OAD341" s="239"/>
      <c r="OAE341" s="239"/>
      <c r="OAF341" s="239"/>
      <c r="OAG341" s="239"/>
      <c r="OAH341" s="239"/>
      <c r="OAI341" s="233"/>
      <c r="OAJ341" s="235"/>
      <c r="OAK341" s="233"/>
      <c r="OAL341" s="234"/>
      <c r="OAM341" s="234"/>
      <c r="OAN341" s="242"/>
      <c r="OAO341" s="234"/>
      <c r="OAP341" s="234"/>
      <c r="OAQ341" s="234"/>
      <c r="OAR341" s="236"/>
      <c r="OAS341" s="244"/>
      <c r="OAT341" s="239"/>
      <c r="OAU341" s="240"/>
      <c r="OAV341" s="241"/>
      <c r="OAW341" s="239"/>
      <c r="OAX341" s="239"/>
      <c r="OAY341" s="239"/>
      <c r="OAZ341" s="239"/>
      <c r="OBA341" s="239"/>
      <c r="OBB341" s="239"/>
      <c r="OBC341" s="233"/>
      <c r="OBD341" s="235"/>
      <c r="OBE341" s="233"/>
      <c r="OBF341" s="234"/>
      <c r="OBG341" s="234"/>
      <c r="OBH341" s="242"/>
      <c r="OBI341" s="234"/>
      <c r="OBJ341" s="234"/>
      <c r="OBK341" s="234"/>
      <c r="OBL341" s="236"/>
      <c r="OBM341" s="244"/>
      <c r="OBN341" s="239"/>
      <c r="OBO341" s="240"/>
      <c r="OBP341" s="241"/>
      <c r="OBQ341" s="239"/>
      <c r="OBR341" s="239"/>
      <c r="OBS341" s="239"/>
      <c r="OBT341" s="239"/>
      <c r="OBU341" s="239"/>
      <c r="OBV341" s="239"/>
      <c r="OBW341" s="233"/>
      <c r="OBX341" s="235"/>
      <c r="OBY341" s="233"/>
      <c r="OBZ341" s="234"/>
      <c r="OCA341" s="234"/>
      <c r="OCB341" s="242"/>
      <c r="OCC341" s="234"/>
      <c r="OCD341" s="234"/>
      <c r="OCE341" s="234"/>
      <c r="OCF341" s="236"/>
      <c r="OCG341" s="244"/>
      <c r="OCH341" s="239"/>
      <c r="OCI341" s="240"/>
      <c r="OCJ341" s="241"/>
      <c r="OCK341" s="239"/>
      <c r="OCL341" s="239"/>
      <c r="OCM341" s="239"/>
      <c r="OCN341" s="239"/>
      <c r="OCO341" s="239"/>
      <c r="OCP341" s="239"/>
      <c r="OCQ341" s="233"/>
      <c r="OCR341" s="235"/>
      <c r="OCS341" s="233"/>
      <c r="OCT341" s="234"/>
      <c r="OCU341" s="234"/>
      <c r="OCV341" s="242"/>
      <c r="OCW341" s="234"/>
      <c r="OCX341" s="234"/>
      <c r="OCY341" s="234"/>
      <c r="OCZ341" s="236"/>
      <c r="ODA341" s="244"/>
      <c r="ODB341" s="239"/>
      <c r="ODC341" s="240"/>
      <c r="ODD341" s="241"/>
      <c r="ODE341" s="239"/>
      <c r="ODF341" s="239"/>
      <c r="ODG341" s="239"/>
      <c r="ODH341" s="239"/>
      <c r="ODI341" s="239"/>
      <c r="ODJ341" s="239"/>
      <c r="ODK341" s="233"/>
      <c r="ODL341" s="235"/>
      <c r="ODM341" s="233"/>
      <c r="ODN341" s="234"/>
      <c r="ODO341" s="234"/>
      <c r="ODP341" s="242"/>
      <c r="ODQ341" s="234"/>
      <c r="ODR341" s="234"/>
      <c r="ODS341" s="234"/>
      <c r="ODT341" s="236"/>
      <c r="ODU341" s="244"/>
      <c r="ODV341" s="239"/>
      <c r="ODW341" s="240"/>
      <c r="ODX341" s="241"/>
      <c r="ODY341" s="239"/>
      <c r="ODZ341" s="239"/>
      <c r="OEA341" s="239"/>
      <c r="OEB341" s="239"/>
      <c r="OEC341" s="239"/>
      <c r="OED341" s="239"/>
      <c r="OEE341" s="233"/>
      <c r="OEF341" s="235"/>
      <c r="OEG341" s="233"/>
      <c r="OEH341" s="234"/>
      <c r="OEI341" s="234"/>
      <c r="OEJ341" s="242"/>
      <c r="OEK341" s="234"/>
      <c r="OEL341" s="234"/>
      <c r="OEM341" s="234"/>
      <c r="OEN341" s="236"/>
      <c r="OEO341" s="244"/>
      <c r="OEP341" s="239"/>
      <c r="OEQ341" s="240"/>
      <c r="OER341" s="241"/>
      <c r="OES341" s="239"/>
      <c r="OET341" s="239"/>
      <c r="OEU341" s="239"/>
      <c r="OEV341" s="239"/>
      <c r="OEW341" s="239"/>
      <c r="OEX341" s="239"/>
      <c r="OEY341" s="233"/>
      <c r="OEZ341" s="235"/>
      <c r="OFA341" s="233"/>
      <c r="OFB341" s="234"/>
      <c r="OFC341" s="234"/>
      <c r="OFD341" s="242"/>
      <c r="OFE341" s="234"/>
      <c r="OFF341" s="234"/>
      <c r="OFG341" s="234"/>
      <c r="OFH341" s="236"/>
      <c r="OFI341" s="244"/>
      <c r="OFJ341" s="239"/>
      <c r="OFK341" s="240"/>
      <c r="OFL341" s="241"/>
      <c r="OFM341" s="239"/>
      <c r="OFN341" s="239"/>
      <c r="OFO341" s="239"/>
      <c r="OFP341" s="239"/>
      <c r="OFQ341" s="239"/>
      <c r="OFR341" s="239"/>
      <c r="OFS341" s="233"/>
      <c r="OFT341" s="235"/>
      <c r="OFU341" s="233"/>
      <c r="OFV341" s="234"/>
      <c r="OFW341" s="234"/>
      <c r="OFX341" s="242"/>
      <c r="OFY341" s="234"/>
      <c r="OFZ341" s="234"/>
      <c r="OGA341" s="234"/>
      <c r="OGB341" s="236"/>
      <c r="OGC341" s="244"/>
      <c r="OGD341" s="239"/>
      <c r="OGE341" s="240"/>
      <c r="OGF341" s="241"/>
      <c r="OGG341" s="239"/>
      <c r="OGH341" s="239"/>
      <c r="OGI341" s="239"/>
      <c r="OGJ341" s="239"/>
      <c r="OGK341" s="239"/>
      <c r="OGL341" s="239"/>
      <c r="OGM341" s="233"/>
      <c r="OGN341" s="235"/>
      <c r="OGO341" s="233"/>
      <c r="OGP341" s="234"/>
      <c r="OGQ341" s="234"/>
      <c r="OGR341" s="242"/>
      <c r="OGS341" s="234"/>
      <c r="OGT341" s="234"/>
      <c r="OGU341" s="234"/>
      <c r="OGV341" s="236"/>
      <c r="OGW341" s="244"/>
      <c r="OGX341" s="239"/>
      <c r="OGY341" s="240"/>
      <c r="OGZ341" s="241"/>
      <c r="OHA341" s="239"/>
      <c r="OHB341" s="239"/>
      <c r="OHC341" s="239"/>
      <c r="OHD341" s="239"/>
      <c r="OHE341" s="239"/>
      <c r="OHF341" s="239"/>
      <c r="OHG341" s="233"/>
      <c r="OHH341" s="235"/>
      <c r="OHI341" s="233"/>
      <c r="OHJ341" s="234"/>
      <c r="OHK341" s="234"/>
      <c r="OHL341" s="242"/>
      <c r="OHM341" s="234"/>
      <c r="OHN341" s="234"/>
      <c r="OHO341" s="234"/>
      <c r="OHP341" s="236"/>
      <c r="OHQ341" s="244"/>
      <c r="OHR341" s="239"/>
      <c r="OHS341" s="240"/>
      <c r="OHT341" s="241"/>
      <c r="OHU341" s="239"/>
      <c r="OHV341" s="239"/>
      <c r="OHW341" s="239"/>
      <c r="OHX341" s="239"/>
      <c r="OHY341" s="239"/>
      <c r="OHZ341" s="239"/>
      <c r="OIA341" s="233"/>
      <c r="OIB341" s="235"/>
      <c r="OIC341" s="233"/>
      <c r="OID341" s="234"/>
      <c r="OIE341" s="234"/>
      <c r="OIF341" s="242"/>
      <c r="OIG341" s="234"/>
      <c r="OIH341" s="234"/>
      <c r="OII341" s="234"/>
      <c r="OIJ341" s="236"/>
      <c r="OIK341" s="244"/>
      <c r="OIL341" s="239"/>
      <c r="OIM341" s="240"/>
      <c r="OIN341" s="241"/>
      <c r="OIO341" s="239"/>
      <c r="OIP341" s="239"/>
      <c r="OIQ341" s="239"/>
      <c r="OIR341" s="239"/>
      <c r="OIS341" s="239"/>
      <c r="OIT341" s="239"/>
      <c r="OIU341" s="233"/>
      <c r="OIV341" s="235"/>
      <c r="OIW341" s="233"/>
      <c r="OIX341" s="234"/>
      <c r="OIY341" s="234"/>
      <c r="OIZ341" s="242"/>
      <c r="OJA341" s="234"/>
      <c r="OJB341" s="234"/>
      <c r="OJC341" s="234"/>
      <c r="OJD341" s="236"/>
      <c r="OJE341" s="244"/>
      <c r="OJF341" s="239"/>
      <c r="OJG341" s="240"/>
      <c r="OJH341" s="241"/>
      <c r="OJI341" s="239"/>
      <c r="OJJ341" s="239"/>
      <c r="OJK341" s="239"/>
      <c r="OJL341" s="239"/>
      <c r="OJM341" s="239"/>
      <c r="OJN341" s="239"/>
      <c r="OJO341" s="233"/>
      <c r="OJP341" s="235"/>
      <c r="OJQ341" s="233"/>
      <c r="OJR341" s="234"/>
      <c r="OJS341" s="234"/>
      <c r="OJT341" s="242"/>
      <c r="OJU341" s="234"/>
      <c r="OJV341" s="234"/>
      <c r="OJW341" s="234"/>
      <c r="OJX341" s="236"/>
      <c r="OJY341" s="244"/>
      <c r="OJZ341" s="239"/>
      <c r="OKA341" s="240"/>
      <c r="OKB341" s="241"/>
      <c r="OKC341" s="239"/>
      <c r="OKD341" s="239"/>
      <c r="OKE341" s="239"/>
      <c r="OKF341" s="239"/>
      <c r="OKG341" s="239"/>
      <c r="OKH341" s="239"/>
      <c r="OKI341" s="233"/>
      <c r="OKJ341" s="235"/>
      <c r="OKK341" s="233"/>
      <c r="OKL341" s="234"/>
      <c r="OKM341" s="234"/>
      <c r="OKN341" s="242"/>
      <c r="OKO341" s="234"/>
      <c r="OKP341" s="234"/>
      <c r="OKQ341" s="234"/>
      <c r="OKR341" s="236"/>
      <c r="OKS341" s="244"/>
      <c r="OKT341" s="239"/>
      <c r="OKU341" s="240"/>
      <c r="OKV341" s="241"/>
      <c r="OKW341" s="239"/>
      <c r="OKX341" s="239"/>
      <c r="OKY341" s="239"/>
      <c r="OKZ341" s="239"/>
      <c r="OLA341" s="239"/>
      <c r="OLB341" s="239"/>
      <c r="OLC341" s="233"/>
      <c r="OLD341" s="235"/>
      <c r="OLE341" s="233"/>
      <c r="OLF341" s="234"/>
      <c r="OLG341" s="234"/>
      <c r="OLH341" s="242"/>
      <c r="OLI341" s="234"/>
      <c r="OLJ341" s="234"/>
      <c r="OLK341" s="234"/>
      <c r="OLL341" s="236"/>
      <c r="OLM341" s="244"/>
      <c r="OLN341" s="239"/>
      <c r="OLO341" s="240"/>
      <c r="OLP341" s="241"/>
      <c r="OLQ341" s="239"/>
      <c r="OLR341" s="239"/>
      <c r="OLS341" s="239"/>
      <c r="OLT341" s="239"/>
      <c r="OLU341" s="239"/>
      <c r="OLV341" s="239"/>
      <c r="OLW341" s="233"/>
      <c r="OLX341" s="235"/>
      <c r="OLY341" s="233"/>
      <c r="OLZ341" s="234"/>
      <c r="OMA341" s="234"/>
      <c r="OMB341" s="242"/>
      <c r="OMC341" s="234"/>
      <c r="OMD341" s="234"/>
      <c r="OME341" s="234"/>
      <c r="OMF341" s="236"/>
      <c r="OMG341" s="244"/>
      <c r="OMH341" s="239"/>
      <c r="OMI341" s="240"/>
      <c r="OMJ341" s="241"/>
      <c r="OMK341" s="239"/>
      <c r="OML341" s="239"/>
      <c r="OMM341" s="239"/>
      <c r="OMN341" s="239"/>
      <c r="OMO341" s="239"/>
      <c r="OMP341" s="239"/>
      <c r="OMQ341" s="233"/>
      <c r="OMR341" s="235"/>
      <c r="OMS341" s="233"/>
      <c r="OMT341" s="234"/>
      <c r="OMU341" s="234"/>
      <c r="OMV341" s="242"/>
      <c r="OMW341" s="234"/>
      <c r="OMX341" s="234"/>
      <c r="OMY341" s="234"/>
      <c r="OMZ341" s="236"/>
      <c r="ONA341" s="244"/>
      <c r="ONB341" s="239"/>
      <c r="ONC341" s="240"/>
      <c r="OND341" s="241"/>
      <c r="ONE341" s="239"/>
      <c r="ONF341" s="239"/>
      <c r="ONG341" s="239"/>
      <c r="ONH341" s="239"/>
      <c r="ONI341" s="239"/>
      <c r="ONJ341" s="239"/>
      <c r="ONK341" s="233"/>
      <c r="ONL341" s="235"/>
      <c r="ONM341" s="233"/>
      <c r="ONN341" s="234"/>
      <c r="ONO341" s="234"/>
      <c r="ONP341" s="242"/>
      <c r="ONQ341" s="234"/>
      <c r="ONR341" s="234"/>
      <c r="ONS341" s="234"/>
      <c r="ONT341" s="236"/>
      <c r="ONU341" s="244"/>
      <c r="ONV341" s="239"/>
      <c r="ONW341" s="240"/>
      <c r="ONX341" s="241"/>
      <c r="ONY341" s="239"/>
      <c r="ONZ341" s="239"/>
      <c r="OOA341" s="239"/>
      <c r="OOB341" s="239"/>
      <c r="OOC341" s="239"/>
      <c r="OOD341" s="239"/>
      <c r="OOE341" s="233"/>
      <c r="OOF341" s="235"/>
      <c r="OOG341" s="233"/>
      <c r="OOH341" s="234"/>
      <c r="OOI341" s="234"/>
      <c r="OOJ341" s="242"/>
      <c r="OOK341" s="234"/>
      <c r="OOL341" s="234"/>
      <c r="OOM341" s="234"/>
      <c r="OON341" s="236"/>
      <c r="OOO341" s="244"/>
      <c r="OOP341" s="239"/>
      <c r="OOQ341" s="240"/>
      <c r="OOR341" s="241"/>
      <c r="OOS341" s="239"/>
      <c r="OOT341" s="239"/>
      <c r="OOU341" s="239"/>
      <c r="OOV341" s="239"/>
      <c r="OOW341" s="239"/>
      <c r="OOX341" s="239"/>
      <c r="OOY341" s="233"/>
      <c r="OOZ341" s="235"/>
      <c r="OPA341" s="233"/>
      <c r="OPB341" s="234"/>
      <c r="OPC341" s="234"/>
      <c r="OPD341" s="242"/>
      <c r="OPE341" s="234"/>
      <c r="OPF341" s="234"/>
      <c r="OPG341" s="234"/>
      <c r="OPH341" s="236"/>
      <c r="OPI341" s="244"/>
      <c r="OPJ341" s="239"/>
      <c r="OPK341" s="240"/>
      <c r="OPL341" s="241"/>
      <c r="OPM341" s="239"/>
      <c r="OPN341" s="239"/>
      <c r="OPO341" s="239"/>
      <c r="OPP341" s="239"/>
      <c r="OPQ341" s="239"/>
      <c r="OPR341" s="239"/>
      <c r="OPS341" s="233"/>
      <c r="OPT341" s="235"/>
      <c r="OPU341" s="233"/>
      <c r="OPV341" s="234"/>
      <c r="OPW341" s="234"/>
      <c r="OPX341" s="242"/>
      <c r="OPY341" s="234"/>
      <c r="OPZ341" s="234"/>
      <c r="OQA341" s="234"/>
      <c r="OQB341" s="236"/>
      <c r="OQC341" s="244"/>
      <c r="OQD341" s="239"/>
      <c r="OQE341" s="240"/>
      <c r="OQF341" s="241"/>
      <c r="OQG341" s="239"/>
      <c r="OQH341" s="239"/>
      <c r="OQI341" s="239"/>
      <c r="OQJ341" s="239"/>
      <c r="OQK341" s="239"/>
      <c r="OQL341" s="239"/>
      <c r="OQM341" s="233"/>
      <c r="OQN341" s="235"/>
      <c r="OQO341" s="233"/>
      <c r="OQP341" s="234"/>
      <c r="OQQ341" s="234"/>
      <c r="OQR341" s="242"/>
      <c r="OQS341" s="234"/>
      <c r="OQT341" s="234"/>
      <c r="OQU341" s="234"/>
      <c r="OQV341" s="236"/>
      <c r="OQW341" s="244"/>
      <c r="OQX341" s="239"/>
      <c r="OQY341" s="240"/>
      <c r="OQZ341" s="241"/>
      <c r="ORA341" s="239"/>
      <c r="ORB341" s="239"/>
      <c r="ORC341" s="239"/>
      <c r="ORD341" s="239"/>
      <c r="ORE341" s="239"/>
      <c r="ORF341" s="239"/>
      <c r="ORG341" s="233"/>
      <c r="ORH341" s="235"/>
      <c r="ORI341" s="233"/>
      <c r="ORJ341" s="234"/>
      <c r="ORK341" s="234"/>
      <c r="ORL341" s="242"/>
      <c r="ORM341" s="234"/>
      <c r="ORN341" s="234"/>
      <c r="ORO341" s="234"/>
      <c r="ORP341" s="236"/>
      <c r="ORQ341" s="244"/>
      <c r="ORR341" s="239"/>
      <c r="ORS341" s="240"/>
      <c r="ORT341" s="241"/>
      <c r="ORU341" s="239"/>
      <c r="ORV341" s="239"/>
      <c r="ORW341" s="239"/>
      <c r="ORX341" s="239"/>
      <c r="ORY341" s="239"/>
      <c r="ORZ341" s="239"/>
      <c r="OSA341" s="233"/>
      <c r="OSB341" s="235"/>
      <c r="OSC341" s="233"/>
      <c r="OSD341" s="234"/>
      <c r="OSE341" s="234"/>
      <c r="OSF341" s="242"/>
      <c r="OSG341" s="234"/>
      <c r="OSH341" s="234"/>
      <c r="OSI341" s="234"/>
      <c r="OSJ341" s="236"/>
      <c r="OSK341" s="244"/>
      <c r="OSL341" s="239"/>
      <c r="OSM341" s="240"/>
      <c r="OSN341" s="241"/>
      <c r="OSO341" s="239"/>
      <c r="OSP341" s="239"/>
      <c r="OSQ341" s="239"/>
      <c r="OSR341" s="239"/>
      <c r="OSS341" s="239"/>
      <c r="OST341" s="239"/>
      <c r="OSU341" s="233"/>
      <c r="OSV341" s="235"/>
      <c r="OSW341" s="233"/>
      <c r="OSX341" s="234"/>
      <c r="OSY341" s="234"/>
      <c r="OSZ341" s="242"/>
      <c r="OTA341" s="234"/>
      <c r="OTB341" s="234"/>
      <c r="OTC341" s="234"/>
      <c r="OTD341" s="236"/>
      <c r="OTE341" s="244"/>
      <c r="OTF341" s="239"/>
      <c r="OTG341" s="240"/>
      <c r="OTH341" s="241"/>
      <c r="OTI341" s="239"/>
      <c r="OTJ341" s="239"/>
      <c r="OTK341" s="239"/>
      <c r="OTL341" s="239"/>
      <c r="OTM341" s="239"/>
      <c r="OTN341" s="239"/>
      <c r="OTO341" s="233"/>
      <c r="OTP341" s="235"/>
      <c r="OTQ341" s="233"/>
      <c r="OTR341" s="234"/>
      <c r="OTS341" s="234"/>
      <c r="OTT341" s="242"/>
      <c r="OTU341" s="234"/>
      <c r="OTV341" s="234"/>
      <c r="OTW341" s="234"/>
      <c r="OTX341" s="236"/>
      <c r="OTY341" s="244"/>
      <c r="OTZ341" s="239"/>
      <c r="OUA341" s="240"/>
      <c r="OUB341" s="241"/>
      <c r="OUC341" s="239"/>
      <c r="OUD341" s="239"/>
      <c r="OUE341" s="239"/>
      <c r="OUF341" s="239"/>
      <c r="OUG341" s="239"/>
      <c r="OUH341" s="239"/>
      <c r="OUI341" s="233"/>
      <c r="OUJ341" s="235"/>
      <c r="OUK341" s="233"/>
      <c r="OUL341" s="234"/>
      <c r="OUM341" s="234"/>
      <c r="OUN341" s="242"/>
      <c r="OUO341" s="234"/>
      <c r="OUP341" s="234"/>
      <c r="OUQ341" s="234"/>
      <c r="OUR341" s="236"/>
      <c r="OUS341" s="244"/>
      <c r="OUT341" s="239"/>
      <c r="OUU341" s="240"/>
      <c r="OUV341" s="241"/>
      <c r="OUW341" s="239"/>
      <c r="OUX341" s="239"/>
      <c r="OUY341" s="239"/>
      <c r="OUZ341" s="239"/>
      <c r="OVA341" s="239"/>
      <c r="OVB341" s="239"/>
      <c r="OVC341" s="233"/>
      <c r="OVD341" s="235"/>
      <c r="OVE341" s="233"/>
      <c r="OVF341" s="234"/>
      <c r="OVG341" s="234"/>
      <c r="OVH341" s="242"/>
      <c r="OVI341" s="234"/>
      <c r="OVJ341" s="234"/>
      <c r="OVK341" s="234"/>
      <c r="OVL341" s="236"/>
      <c r="OVM341" s="244"/>
      <c r="OVN341" s="239"/>
      <c r="OVO341" s="240"/>
      <c r="OVP341" s="241"/>
      <c r="OVQ341" s="239"/>
      <c r="OVR341" s="239"/>
      <c r="OVS341" s="239"/>
      <c r="OVT341" s="239"/>
      <c r="OVU341" s="239"/>
      <c r="OVV341" s="239"/>
      <c r="OVW341" s="233"/>
      <c r="OVX341" s="235"/>
      <c r="OVY341" s="233"/>
      <c r="OVZ341" s="234"/>
      <c r="OWA341" s="234"/>
      <c r="OWB341" s="242"/>
      <c r="OWC341" s="234"/>
      <c r="OWD341" s="234"/>
      <c r="OWE341" s="234"/>
      <c r="OWF341" s="236"/>
      <c r="OWG341" s="244"/>
      <c r="OWH341" s="239"/>
      <c r="OWI341" s="240"/>
      <c r="OWJ341" s="241"/>
      <c r="OWK341" s="239"/>
      <c r="OWL341" s="239"/>
      <c r="OWM341" s="239"/>
      <c r="OWN341" s="239"/>
      <c r="OWO341" s="239"/>
      <c r="OWP341" s="239"/>
      <c r="OWQ341" s="233"/>
      <c r="OWR341" s="235"/>
      <c r="OWS341" s="233"/>
      <c r="OWT341" s="234"/>
      <c r="OWU341" s="234"/>
      <c r="OWV341" s="242"/>
      <c r="OWW341" s="234"/>
      <c r="OWX341" s="234"/>
      <c r="OWY341" s="234"/>
      <c r="OWZ341" s="236"/>
      <c r="OXA341" s="244"/>
      <c r="OXB341" s="239"/>
      <c r="OXC341" s="240"/>
      <c r="OXD341" s="241"/>
      <c r="OXE341" s="239"/>
      <c r="OXF341" s="239"/>
      <c r="OXG341" s="239"/>
      <c r="OXH341" s="239"/>
      <c r="OXI341" s="239"/>
      <c r="OXJ341" s="239"/>
      <c r="OXK341" s="233"/>
      <c r="OXL341" s="235"/>
      <c r="OXM341" s="233"/>
      <c r="OXN341" s="234"/>
      <c r="OXO341" s="234"/>
      <c r="OXP341" s="242"/>
      <c r="OXQ341" s="234"/>
      <c r="OXR341" s="234"/>
      <c r="OXS341" s="234"/>
      <c r="OXT341" s="236"/>
      <c r="OXU341" s="244"/>
      <c r="OXV341" s="239"/>
      <c r="OXW341" s="240"/>
      <c r="OXX341" s="241"/>
      <c r="OXY341" s="239"/>
      <c r="OXZ341" s="239"/>
      <c r="OYA341" s="239"/>
      <c r="OYB341" s="239"/>
      <c r="OYC341" s="239"/>
      <c r="OYD341" s="239"/>
      <c r="OYE341" s="233"/>
      <c r="OYF341" s="235"/>
      <c r="OYG341" s="233"/>
      <c r="OYH341" s="234"/>
      <c r="OYI341" s="234"/>
      <c r="OYJ341" s="242"/>
      <c r="OYK341" s="234"/>
      <c r="OYL341" s="234"/>
      <c r="OYM341" s="234"/>
      <c r="OYN341" s="236"/>
      <c r="OYO341" s="244"/>
      <c r="OYP341" s="239"/>
      <c r="OYQ341" s="240"/>
      <c r="OYR341" s="241"/>
      <c r="OYS341" s="239"/>
      <c r="OYT341" s="239"/>
      <c r="OYU341" s="239"/>
      <c r="OYV341" s="239"/>
      <c r="OYW341" s="239"/>
      <c r="OYX341" s="239"/>
      <c r="OYY341" s="233"/>
      <c r="OYZ341" s="235"/>
      <c r="OZA341" s="233"/>
      <c r="OZB341" s="234"/>
      <c r="OZC341" s="234"/>
      <c r="OZD341" s="242"/>
      <c r="OZE341" s="234"/>
      <c r="OZF341" s="234"/>
      <c r="OZG341" s="234"/>
      <c r="OZH341" s="236"/>
      <c r="OZI341" s="244"/>
      <c r="OZJ341" s="239"/>
      <c r="OZK341" s="240"/>
      <c r="OZL341" s="241"/>
      <c r="OZM341" s="239"/>
      <c r="OZN341" s="239"/>
      <c r="OZO341" s="239"/>
      <c r="OZP341" s="239"/>
      <c r="OZQ341" s="239"/>
      <c r="OZR341" s="239"/>
      <c r="OZS341" s="233"/>
      <c r="OZT341" s="235"/>
      <c r="OZU341" s="233"/>
      <c r="OZV341" s="234"/>
      <c r="OZW341" s="234"/>
      <c r="OZX341" s="242"/>
      <c r="OZY341" s="234"/>
      <c r="OZZ341" s="234"/>
      <c r="PAA341" s="234"/>
      <c r="PAB341" s="236"/>
      <c r="PAC341" s="244"/>
      <c r="PAD341" s="239"/>
      <c r="PAE341" s="240"/>
      <c r="PAF341" s="241"/>
      <c r="PAG341" s="239"/>
      <c r="PAH341" s="239"/>
      <c r="PAI341" s="239"/>
      <c r="PAJ341" s="239"/>
      <c r="PAK341" s="239"/>
      <c r="PAL341" s="239"/>
      <c r="PAM341" s="233"/>
      <c r="PAN341" s="235"/>
      <c r="PAO341" s="233"/>
      <c r="PAP341" s="234"/>
      <c r="PAQ341" s="234"/>
      <c r="PAR341" s="242"/>
      <c r="PAS341" s="234"/>
      <c r="PAT341" s="234"/>
      <c r="PAU341" s="234"/>
      <c r="PAV341" s="236"/>
      <c r="PAW341" s="244"/>
      <c r="PAX341" s="239"/>
      <c r="PAY341" s="240"/>
      <c r="PAZ341" s="241"/>
      <c r="PBA341" s="239"/>
      <c r="PBB341" s="239"/>
      <c r="PBC341" s="239"/>
      <c r="PBD341" s="239"/>
      <c r="PBE341" s="239"/>
      <c r="PBF341" s="239"/>
      <c r="PBG341" s="233"/>
      <c r="PBH341" s="235"/>
      <c r="PBI341" s="233"/>
      <c r="PBJ341" s="234"/>
      <c r="PBK341" s="234"/>
      <c r="PBL341" s="242"/>
      <c r="PBM341" s="234"/>
      <c r="PBN341" s="234"/>
      <c r="PBO341" s="234"/>
      <c r="PBP341" s="236"/>
      <c r="PBQ341" s="244"/>
      <c r="PBR341" s="239"/>
      <c r="PBS341" s="240"/>
      <c r="PBT341" s="241"/>
      <c r="PBU341" s="239"/>
      <c r="PBV341" s="239"/>
      <c r="PBW341" s="239"/>
      <c r="PBX341" s="239"/>
      <c r="PBY341" s="239"/>
      <c r="PBZ341" s="239"/>
      <c r="PCA341" s="233"/>
      <c r="PCB341" s="235"/>
      <c r="PCC341" s="233"/>
      <c r="PCD341" s="234"/>
      <c r="PCE341" s="234"/>
      <c r="PCF341" s="242"/>
      <c r="PCG341" s="234"/>
      <c r="PCH341" s="234"/>
      <c r="PCI341" s="234"/>
      <c r="PCJ341" s="236"/>
      <c r="PCK341" s="244"/>
      <c r="PCL341" s="239"/>
      <c r="PCM341" s="240"/>
      <c r="PCN341" s="241"/>
      <c r="PCO341" s="239"/>
      <c r="PCP341" s="239"/>
      <c r="PCQ341" s="239"/>
      <c r="PCR341" s="239"/>
      <c r="PCS341" s="239"/>
      <c r="PCT341" s="239"/>
      <c r="PCU341" s="233"/>
      <c r="PCV341" s="235"/>
      <c r="PCW341" s="233"/>
      <c r="PCX341" s="234"/>
      <c r="PCY341" s="234"/>
      <c r="PCZ341" s="242"/>
      <c r="PDA341" s="234"/>
      <c r="PDB341" s="234"/>
      <c r="PDC341" s="234"/>
      <c r="PDD341" s="236"/>
      <c r="PDE341" s="244"/>
      <c r="PDF341" s="239"/>
      <c r="PDG341" s="240"/>
      <c r="PDH341" s="241"/>
      <c r="PDI341" s="239"/>
      <c r="PDJ341" s="239"/>
      <c r="PDK341" s="239"/>
      <c r="PDL341" s="239"/>
      <c r="PDM341" s="239"/>
      <c r="PDN341" s="239"/>
      <c r="PDO341" s="233"/>
      <c r="PDP341" s="235"/>
      <c r="PDQ341" s="233"/>
      <c r="PDR341" s="234"/>
      <c r="PDS341" s="234"/>
      <c r="PDT341" s="242"/>
      <c r="PDU341" s="234"/>
      <c r="PDV341" s="234"/>
      <c r="PDW341" s="234"/>
      <c r="PDX341" s="236"/>
      <c r="PDY341" s="244"/>
      <c r="PDZ341" s="239"/>
      <c r="PEA341" s="240"/>
      <c r="PEB341" s="241"/>
      <c r="PEC341" s="239"/>
      <c r="PED341" s="239"/>
      <c r="PEE341" s="239"/>
      <c r="PEF341" s="239"/>
      <c r="PEG341" s="239"/>
      <c r="PEH341" s="239"/>
      <c r="PEI341" s="233"/>
      <c r="PEJ341" s="235"/>
      <c r="PEK341" s="233"/>
      <c r="PEL341" s="234"/>
      <c r="PEM341" s="234"/>
      <c r="PEN341" s="242"/>
      <c r="PEO341" s="234"/>
      <c r="PEP341" s="234"/>
      <c r="PEQ341" s="234"/>
      <c r="PER341" s="236"/>
      <c r="PES341" s="244"/>
      <c r="PET341" s="239"/>
      <c r="PEU341" s="240"/>
      <c r="PEV341" s="241"/>
      <c r="PEW341" s="239"/>
      <c r="PEX341" s="239"/>
      <c r="PEY341" s="239"/>
      <c r="PEZ341" s="239"/>
      <c r="PFA341" s="239"/>
      <c r="PFB341" s="239"/>
      <c r="PFC341" s="233"/>
      <c r="PFD341" s="235"/>
      <c r="PFE341" s="233"/>
      <c r="PFF341" s="234"/>
      <c r="PFG341" s="234"/>
      <c r="PFH341" s="242"/>
      <c r="PFI341" s="234"/>
      <c r="PFJ341" s="234"/>
      <c r="PFK341" s="234"/>
      <c r="PFL341" s="236"/>
      <c r="PFM341" s="244"/>
      <c r="PFN341" s="239"/>
      <c r="PFO341" s="240"/>
      <c r="PFP341" s="241"/>
      <c r="PFQ341" s="239"/>
      <c r="PFR341" s="239"/>
      <c r="PFS341" s="239"/>
      <c r="PFT341" s="239"/>
      <c r="PFU341" s="239"/>
      <c r="PFV341" s="239"/>
      <c r="PFW341" s="233"/>
      <c r="PFX341" s="235"/>
      <c r="PFY341" s="233"/>
      <c r="PFZ341" s="234"/>
      <c r="PGA341" s="234"/>
      <c r="PGB341" s="242"/>
      <c r="PGC341" s="234"/>
      <c r="PGD341" s="234"/>
      <c r="PGE341" s="234"/>
      <c r="PGF341" s="236"/>
      <c r="PGG341" s="244"/>
      <c r="PGH341" s="239"/>
      <c r="PGI341" s="240"/>
      <c r="PGJ341" s="241"/>
      <c r="PGK341" s="239"/>
      <c r="PGL341" s="239"/>
      <c r="PGM341" s="239"/>
      <c r="PGN341" s="239"/>
      <c r="PGO341" s="239"/>
      <c r="PGP341" s="239"/>
      <c r="PGQ341" s="233"/>
      <c r="PGR341" s="235"/>
      <c r="PGS341" s="233"/>
      <c r="PGT341" s="234"/>
      <c r="PGU341" s="234"/>
      <c r="PGV341" s="242"/>
      <c r="PGW341" s="234"/>
      <c r="PGX341" s="234"/>
      <c r="PGY341" s="234"/>
      <c r="PGZ341" s="236"/>
      <c r="PHA341" s="244"/>
      <c r="PHB341" s="239"/>
      <c r="PHC341" s="240"/>
      <c r="PHD341" s="241"/>
      <c r="PHE341" s="239"/>
      <c r="PHF341" s="239"/>
      <c r="PHG341" s="239"/>
      <c r="PHH341" s="239"/>
      <c r="PHI341" s="239"/>
      <c r="PHJ341" s="239"/>
      <c r="PHK341" s="233"/>
      <c r="PHL341" s="235"/>
      <c r="PHM341" s="233"/>
      <c r="PHN341" s="234"/>
      <c r="PHO341" s="234"/>
      <c r="PHP341" s="242"/>
      <c r="PHQ341" s="234"/>
      <c r="PHR341" s="234"/>
      <c r="PHS341" s="234"/>
      <c r="PHT341" s="236"/>
      <c r="PHU341" s="244"/>
      <c r="PHV341" s="239"/>
      <c r="PHW341" s="240"/>
      <c r="PHX341" s="241"/>
      <c r="PHY341" s="239"/>
      <c r="PHZ341" s="239"/>
      <c r="PIA341" s="239"/>
      <c r="PIB341" s="239"/>
      <c r="PIC341" s="239"/>
      <c r="PID341" s="239"/>
      <c r="PIE341" s="233"/>
      <c r="PIF341" s="235"/>
      <c r="PIG341" s="233"/>
      <c r="PIH341" s="234"/>
      <c r="PII341" s="234"/>
      <c r="PIJ341" s="242"/>
      <c r="PIK341" s="234"/>
      <c r="PIL341" s="234"/>
      <c r="PIM341" s="234"/>
      <c r="PIN341" s="236"/>
      <c r="PIO341" s="244"/>
      <c r="PIP341" s="239"/>
      <c r="PIQ341" s="240"/>
      <c r="PIR341" s="241"/>
      <c r="PIS341" s="239"/>
      <c r="PIT341" s="239"/>
      <c r="PIU341" s="239"/>
      <c r="PIV341" s="239"/>
      <c r="PIW341" s="239"/>
      <c r="PIX341" s="239"/>
      <c r="PIY341" s="233"/>
      <c r="PIZ341" s="235"/>
      <c r="PJA341" s="233"/>
      <c r="PJB341" s="234"/>
      <c r="PJC341" s="234"/>
      <c r="PJD341" s="242"/>
      <c r="PJE341" s="234"/>
      <c r="PJF341" s="234"/>
      <c r="PJG341" s="234"/>
      <c r="PJH341" s="236"/>
      <c r="PJI341" s="244"/>
      <c r="PJJ341" s="239"/>
      <c r="PJK341" s="240"/>
      <c r="PJL341" s="241"/>
      <c r="PJM341" s="239"/>
      <c r="PJN341" s="239"/>
      <c r="PJO341" s="239"/>
      <c r="PJP341" s="239"/>
      <c r="PJQ341" s="239"/>
      <c r="PJR341" s="239"/>
      <c r="PJS341" s="233"/>
      <c r="PJT341" s="235"/>
      <c r="PJU341" s="233"/>
      <c r="PJV341" s="234"/>
      <c r="PJW341" s="234"/>
      <c r="PJX341" s="242"/>
      <c r="PJY341" s="234"/>
      <c r="PJZ341" s="234"/>
      <c r="PKA341" s="234"/>
      <c r="PKB341" s="236"/>
      <c r="PKC341" s="244"/>
      <c r="PKD341" s="239"/>
      <c r="PKE341" s="240"/>
      <c r="PKF341" s="241"/>
      <c r="PKG341" s="239"/>
      <c r="PKH341" s="239"/>
      <c r="PKI341" s="239"/>
      <c r="PKJ341" s="239"/>
      <c r="PKK341" s="239"/>
      <c r="PKL341" s="239"/>
      <c r="PKM341" s="233"/>
      <c r="PKN341" s="235"/>
      <c r="PKO341" s="233"/>
      <c r="PKP341" s="234"/>
      <c r="PKQ341" s="234"/>
      <c r="PKR341" s="242"/>
      <c r="PKS341" s="234"/>
      <c r="PKT341" s="234"/>
      <c r="PKU341" s="234"/>
      <c r="PKV341" s="236"/>
      <c r="PKW341" s="244"/>
      <c r="PKX341" s="239"/>
      <c r="PKY341" s="240"/>
      <c r="PKZ341" s="241"/>
      <c r="PLA341" s="239"/>
      <c r="PLB341" s="239"/>
      <c r="PLC341" s="239"/>
      <c r="PLD341" s="239"/>
      <c r="PLE341" s="239"/>
      <c r="PLF341" s="239"/>
      <c r="PLG341" s="233"/>
      <c r="PLH341" s="235"/>
      <c r="PLI341" s="233"/>
      <c r="PLJ341" s="234"/>
      <c r="PLK341" s="234"/>
      <c r="PLL341" s="242"/>
      <c r="PLM341" s="234"/>
      <c r="PLN341" s="234"/>
      <c r="PLO341" s="234"/>
      <c r="PLP341" s="236"/>
      <c r="PLQ341" s="244"/>
      <c r="PLR341" s="239"/>
      <c r="PLS341" s="240"/>
      <c r="PLT341" s="241"/>
      <c r="PLU341" s="239"/>
      <c r="PLV341" s="239"/>
      <c r="PLW341" s="239"/>
      <c r="PLX341" s="239"/>
      <c r="PLY341" s="239"/>
      <c r="PLZ341" s="239"/>
      <c r="PMA341" s="233"/>
      <c r="PMB341" s="235"/>
      <c r="PMC341" s="233"/>
      <c r="PMD341" s="234"/>
      <c r="PME341" s="234"/>
      <c r="PMF341" s="242"/>
      <c r="PMG341" s="234"/>
      <c r="PMH341" s="234"/>
      <c r="PMI341" s="234"/>
      <c r="PMJ341" s="236"/>
      <c r="PMK341" s="244"/>
      <c r="PML341" s="239"/>
      <c r="PMM341" s="240"/>
      <c r="PMN341" s="241"/>
      <c r="PMO341" s="239"/>
      <c r="PMP341" s="239"/>
      <c r="PMQ341" s="239"/>
      <c r="PMR341" s="239"/>
      <c r="PMS341" s="239"/>
      <c r="PMT341" s="239"/>
      <c r="PMU341" s="233"/>
      <c r="PMV341" s="235"/>
      <c r="PMW341" s="233"/>
      <c r="PMX341" s="234"/>
      <c r="PMY341" s="234"/>
      <c r="PMZ341" s="242"/>
      <c r="PNA341" s="234"/>
      <c r="PNB341" s="234"/>
      <c r="PNC341" s="234"/>
      <c r="PND341" s="236"/>
      <c r="PNE341" s="244"/>
      <c r="PNF341" s="239"/>
      <c r="PNG341" s="240"/>
      <c r="PNH341" s="241"/>
      <c r="PNI341" s="239"/>
      <c r="PNJ341" s="239"/>
      <c r="PNK341" s="239"/>
      <c r="PNL341" s="239"/>
      <c r="PNM341" s="239"/>
      <c r="PNN341" s="239"/>
      <c r="PNO341" s="233"/>
      <c r="PNP341" s="235"/>
      <c r="PNQ341" s="233"/>
      <c r="PNR341" s="234"/>
      <c r="PNS341" s="234"/>
      <c r="PNT341" s="242"/>
      <c r="PNU341" s="234"/>
      <c r="PNV341" s="234"/>
      <c r="PNW341" s="234"/>
      <c r="PNX341" s="236"/>
      <c r="PNY341" s="244"/>
      <c r="PNZ341" s="239"/>
      <c r="POA341" s="240"/>
      <c r="POB341" s="241"/>
      <c r="POC341" s="239"/>
      <c r="POD341" s="239"/>
      <c r="POE341" s="239"/>
      <c r="POF341" s="239"/>
      <c r="POG341" s="239"/>
      <c r="POH341" s="239"/>
      <c r="POI341" s="233"/>
      <c r="POJ341" s="235"/>
      <c r="POK341" s="233"/>
      <c r="POL341" s="234"/>
      <c r="POM341" s="234"/>
      <c r="PON341" s="242"/>
      <c r="POO341" s="234"/>
      <c r="POP341" s="234"/>
      <c r="POQ341" s="234"/>
      <c r="POR341" s="236"/>
      <c r="POS341" s="244"/>
      <c r="POT341" s="239"/>
      <c r="POU341" s="240"/>
      <c r="POV341" s="241"/>
      <c r="POW341" s="239"/>
      <c r="POX341" s="239"/>
      <c r="POY341" s="239"/>
      <c r="POZ341" s="239"/>
      <c r="PPA341" s="239"/>
      <c r="PPB341" s="239"/>
      <c r="PPC341" s="233"/>
      <c r="PPD341" s="235"/>
      <c r="PPE341" s="233"/>
      <c r="PPF341" s="234"/>
      <c r="PPG341" s="234"/>
      <c r="PPH341" s="242"/>
      <c r="PPI341" s="234"/>
      <c r="PPJ341" s="234"/>
      <c r="PPK341" s="234"/>
      <c r="PPL341" s="236"/>
      <c r="PPM341" s="244"/>
      <c r="PPN341" s="239"/>
      <c r="PPO341" s="240"/>
      <c r="PPP341" s="241"/>
      <c r="PPQ341" s="239"/>
      <c r="PPR341" s="239"/>
      <c r="PPS341" s="239"/>
      <c r="PPT341" s="239"/>
      <c r="PPU341" s="239"/>
      <c r="PPV341" s="239"/>
      <c r="PPW341" s="233"/>
      <c r="PPX341" s="235"/>
      <c r="PPY341" s="233"/>
      <c r="PPZ341" s="234"/>
      <c r="PQA341" s="234"/>
      <c r="PQB341" s="242"/>
      <c r="PQC341" s="234"/>
      <c r="PQD341" s="234"/>
      <c r="PQE341" s="234"/>
      <c r="PQF341" s="236"/>
      <c r="PQG341" s="244"/>
      <c r="PQH341" s="239"/>
      <c r="PQI341" s="240"/>
      <c r="PQJ341" s="241"/>
      <c r="PQK341" s="239"/>
      <c r="PQL341" s="239"/>
      <c r="PQM341" s="239"/>
      <c r="PQN341" s="239"/>
      <c r="PQO341" s="239"/>
      <c r="PQP341" s="239"/>
      <c r="PQQ341" s="233"/>
      <c r="PQR341" s="235"/>
      <c r="PQS341" s="233"/>
      <c r="PQT341" s="234"/>
      <c r="PQU341" s="234"/>
      <c r="PQV341" s="242"/>
      <c r="PQW341" s="234"/>
      <c r="PQX341" s="234"/>
      <c r="PQY341" s="234"/>
      <c r="PQZ341" s="236"/>
      <c r="PRA341" s="244"/>
      <c r="PRB341" s="239"/>
      <c r="PRC341" s="240"/>
      <c r="PRD341" s="241"/>
      <c r="PRE341" s="239"/>
      <c r="PRF341" s="239"/>
      <c r="PRG341" s="239"/>
      <c r="PRH341" s="239"/>
      <c r="PRI341" s="239"/>
      <c r="PRJ341" s="239"/>
      <c r="PRK341" s="233"/>
      <c r="PRL341" s="235"/>
      <c r="PRM341" s="233"/>
      <c r="PRN341" s="234"/>
      <c r="PRO341" s="234"/>
      <c r="PRP341" s="242"/>
      <c r="PRQ341" s="234"/>
      <c r="PRR341" s="234"/>
      <c r="PRS341" s="234"/>
      <c r="PRT341" s="236"/>
      <c r="PRU341" s="244"/>
      <c r="PRV341" s="239"/>
      <c r="PRW341" s="240"/>
      <c r="PRX341" s="241"/>
      <c r="PRY341" s="239"/>
      <c r="PRZ341" s="239"/>
      <c r="PSA341" s="239"/>
      <c r="PSB341" s="239"/>
      <c r="PSC341" s="239"/>
      <c r="PSD341" s="239"/>
      <c r="PSE341" s="233"/>
      <c r="PSF341" s="235"/>
      <c r="PSG341" s="233"/>
      <c r="PSH341" s="234"/>
      <c r="PSI341" s="234"/>
      <c r="PSJ341" s="242"/>
      <c r="PSK341" s="234"/>
      <c r="PSL341" s="234"/>
      <c r="PSM341" s="234"/>
      <c r="PSN341" s="236"/>
      <c r="PSO341" s="244"/>
      <c r="PSP341" s="239"/>
      <c r="PSQ341" s="240"/>
      <c r="PSR341" s="241"/>
      <c r="PSS341" s="239"/>
      <c r="PST341" s="239"/>
      <c r="PSU341" s="239"/>
      <c r="PSV341" s="239"/>
      <c r="PSW341" s="239"/>
      <c r="PSX341" s="239"/>
      <c r="PSY341" s="233"/>
      <c r="PSZ341" s="235"/>
      <c r="PTA341" s="233"/>
      <c r="PTB341" s="234"/>
      <c r="PTC341" s="234"/>
      <c r="PTD341" s="242"/>
      <c r="PTE341" s="234"/>
      <c r="PTF341" s="234"/>
      <c r="PTG341" s="234"/>
      <c r="PTH341" s="236"/>
      <c r="PTI341" s="244"/>
      <c r="PTJ341" s="239"/>
      <c r="PTK341" s="240"/>
      <c r="PTL341" s="241"/>
      <c r="PTM341" s="239"/>
      <c r="PTN341" s="239"/>
      <c r="PTO341" s="239"/>
      <c r="PTP341" s="239"/>
      <c r="PTQ341" s="239"/>
      <c r="PTR341" s="239"/>
      <c r="PTS341" s="233"/>
      <c r="PTT341" s="235"/>
      <c r="PTU341" s="233"/>
      <c r="PTV341" s="234"/>
      <c r="PTW341" s="234"/>
      <c r="PTX341" s="242"/>
      <c r="PTY341" s="234"/>
      <c r="PTZ341" s="234"/>
      <c r="PUA341" s="234"/>
      <c r="PUB341" s="236"/>
      <c r="PUC341" s="244"/>
      <c r="PUD341" s="239"/>
      <c r="PUE341" s="240"/>
      <c r="PUF341" s="241"/>
      <c r="PUG341" s="239"/>
      <c r="PUH341" s="239"/>
      <c r="PUI341" s="239"/>
      <c r="PUJ341" s="239"/>
      <c r="PUK341" s="239"/>
      <c r="PUL341" s="239"/>
      <c r="PUM341" s="233"/>
      <c r="PUN341" s="235"/>
      <c r="PUO341" s="233"/>
      <c r="PUP341" s="234"/>
      <c r="PUQ341" s="234"/>
      <c r="PUR341" s="242"/>
      <c r="PUS341" s="234"/>
      <c r="PUT341" s="234"/>
      <c r="PUU341" s="234"/>
      <c r="PUV341" s="236"/>
      <c r="PUW341" s="244"/>
      <c r="PUX341" s="239"/>
      <c r="PUY341" s="240"/>
      <c r="PUZ341" s="241"/>
      <c r="PVA341" s="239"/>
      <c r="PVB341" s="239"/>
      <c r="PVC341" s="239"/>
      <c r="PVD341" s="239"/>
      <c r="PVE341" s="239"/>
      <c r="PVF341" s="239"/>
      <c r="PVG341" s="233"/>
      <c r="PVH341" s="235"/>
      <c r="PVI341" s="233"/>
      <c r="PVJ341" s="234"/>
      <c r="PVK341" s="234"/>
      <c r="PVL341" s="242"/>
      <c r="PVM341" s="234"/>
      <c r="PVN341" s="234"/>
      <c r="PVO341" s="234"/>
      <c r="PVP341" s="236"/>
      <c r="PVQ341" s="244"/>
      <c r="PVR341" s="239"/>
      <c r="PVS341" s="240"/>
      <c r="PVT341" s="241"/>
      <c r="PVU341" s="239"/>
      <c r="PVV341" s="239"/>
      <c r="PVW341" s="239"/>
      <c r="PVX341" s="239"/>
      <c r="PVY341" s="239"/>
      <c r="PVZ341" s="239"/>
      <c r="PWA341" s="233"/>
      <c r="PWB341" s="235"/>
      <c r="PWC341" s="233"/>
      <c r="PWD341" s="234"/>
      <c r="PWE341" s="234"/>
      <c r="PWF341" s="242"/>
      <c r="PWG341" s="234"/>
      <c r="PWH341" s="234"/>
      <c r="PWI341" s="234"/>
      <c r="PWJ341" s="236"/>
      <c r="PWK341" s="244"/>
      <c r="PWL341" s="239"/>
      <c r="PWM341" s="240"/>
      <c r="PWN341" s="241"/>
      <c r="PWO341" s="239"/>
      <c r="PWP341" s="239"/>
      <c r="PWQ341" s="239"/>
      <c r="PWR341" s="239"/>
      <c r="PWS341" s="239"/>
      <c r="PWT341" s="239"/>
      <c r="PWU341" s="233"/>
      <c r="PWV341" s="235"/>
      <c r="PWW341" s="233"/>
      <c r="PWX341" s="234"/>
      <c r="PWY341" s="234"/>
      <c r="PWZ341" s="242"/>
      <c r="PXA341" s="234"/>
      <c r="PXB341" s="234"/>
      <c r="PXC341" s="234"/>
      <c r="PXD341" s="236"/>
      <c r="PXE341" s="244"/>
      <c r="PXF341" s="239"/>
      <c r="PXG341" s="240"/>
      <c r="PXH341" s="241"/>
      <c r="PXI341" s="239"/>
      <c r="PXJ341" s="239"/>
      <c r="PXK341" s="239"/>
      <c r="PXL341" s="239"/>
      <c r="PXM341" s="239"/>
      <c r="PXN341" s="239"/>
      <c r="PXO341" s="233"/>
      <c r="PXP341" s="235"/>
      <c r="PXQ341" s="233"/>
      <c r="PXR341" s="234"/>
      <c r="PXS341" s="234"/>
      <c r="PXT341" s="242"/>
      <c r="PXU341" s="234"/>
      <c r="PXV341" s="234"/>
      <c r="PXW341" s="234"/>
      <c r="PXX341" s="236"/>
      <c r="PXY341" s="244"/>
      <c r="PXZ341" s="239"/>
      <c r="PYA341" s="240"/>
      <c r="PYB341" s="241"/>
      <c r="PYC341" s="239"/>
      <c r="PYD341" s="239"/>
      <c r="PYE341" s="239"/>
      <c r="PYF341" s="239"/>
      <c r="PYG341" s="239"/>
      <c r="PYH341" s="239"/>
      <c r="PYI341" s="233"/>
      <c r="PYJ341" s="235"/>
      <c r="PYK341" s="233"/>
      <c r="PYL341" s="234"/>
      <c r="PYM341" s="234"/>
      <c r="PYN341" s="242"/>
      <c r="PYO341" s="234"/>
      <c r="PYP341" s="234"/>
      <c r="PYQ341" s="234"/>
      <c r="PYR341" s="236"/>
      <c r="PYS341" s="244"/>
      <c r="PYT341" s="239"/>
      <c r="PYU341" s="240"/>
      <c r="PYV341" s="241"/>
      <c r="PYW341" s="239"/>
      <c r="PYX341" s="239"/>
      <c r="PYY341" s="239"/>
      <c r="PYZ341" s="239"/>
      <c r="PZA341" s="239"/>
      <c r="PZB341" s="239"/>
      <c r="PZC341" s="233"/>
      <c r="PZD341" s="235"/>
      <c r="PZE341" s="233"/>
      <c r="PZF341" s="234"/>
      <c r="PZG341" s="234"/>
      <c r="PZH341" s="242"/>
      <c r="PZI341" s="234"/>
      <c r="PZJ341" s="234"/>
      <c r="PZK341" s="234"/>
      <c r="PZL341" s="236"/>
      <c r="PZM341" s="244"/>
      <c r="PZN341" s="239"/>
      <c r="PZO341" s="240"/>
      <c r="PZP341" s="241"/>
      <c r="PZQ341" s="239"/>
      <c r="PZR341" s="239"/>
      <c r="PZS341" s="239"/>
      <c r="PZT341" s="239"/>
      <c r="PZU341" s="239"/>
      <c r="PZV341" s="239"/>
      <c r="PZW341" s="233"/>
      <c r="PZX341" s="235"/>
      <c r="PZY341" s="233"/>
      <c r="PZZ341" s="234"/>
      <c r="QAA341" s="234"/>
      <c r="QAB341" s="242"/>
      <c r="QAC341" s="234"/>
      <c r="QAD341" s="234"/>
      <c r="QAE341" s="234"/>
      <c r="QAF341" s="236"/>
      <c r="QAG341" s="244"/>
      <c r="QAH341" s="239"/>
      <c r="QAI341" s="240"/>
      <c r="QAJ341" s="241"/>
      <c r="QAK341" s="239"/>
      <c r="QAL341" s="239"/>
      <c r="QAM341" s="239"/>
      <c r="QAN341" s="239"/>
      <c r="QAO341" s="239"/>
      <c r="QAP341" s="239"/>
      <c r="QAQ341" s="233"/>
      <c r="QAR341" s="235"/>
      <c r="QAS341" s="233"/>
      <c r="QAT341" s="234"/>
      <c r="QAU341" s="234"/>
      <c r="QAV341" s="242"/>
      <c r="QAW341" s="234"/>
      <c r="QAX341" s="234"/>
      <c r="QAY341" s="234"/>
      <c r="QAZ341" s="236"/>
      <c r="QBA341" s="244"/>
      <c r="QBB341" s="239"/>
      <c r="QBC341" s="240"/>
      <c r="QBD341" s="241"/>
      <c r="QBE341" s="239"/>
      <c r="QBF341" s="239"/>
      <c r="QBG341" s="239"/>
      <c r="QBH341" s="239"/>
      <c r="QBI341" s="239"/>
      <c r="QBJ341" s="239"/>
      <c r="QBK341" s="233"/>
      <c r="QBL341" s="235"/>
      <c r="QBM341" s="233"/>
      <c r="QBN341" s="234"/>
      <c r="QBO341" s="234"/>
      <c r="QBP341" s="242"/>
      <c r="QBQ341" s="234"/>
      <c r="QBR341" s="234"/>
      <c r="QBS341" s="234"/>
      <c r="QBT341" s="236"/>
      <c r="QBU341" s="244"/>
      <c r="QBV341" s="239"/>
      <c r="QBW341" s="240"/>
      <c r="QBX341" s="241"/>
      <c r="QBY341" s="239"/>
      <c r="QBZ341" s="239"/>
      <c r="QCA341" s="239"/>
      <c r="QCB341" s="239"/>
      <c r="QCC341" s="239"/>
      <c r="QCD341" s="239"/>
      <c r="QCE341" s="233"/>
      <c r="QCF341" s="235"/>
      <c r="QCG341" s="233"/>
      <c r="QCH341" s="234"/>
      <c r="QCI341" s="234"/>
      <c r="QCJ341" s="242"/>
      <c r="QCK341" s="234"/>
      <c r="QCL341" s="234"/>
      <c r="QCM341" s="234"/>
      <c r="QCN341" s="236"/>
      <c r="QCO341" s="244"/>
      <c r="QCP341" s="239"/>
      <c r="QCQ341" s="240"/>
      <c r="QCR341" s="241"/>
      <c r="QCS341" s="239"/>
      <c r="QCT341" s="239"/>
      <c r="QCU341" s="239"/>
      <c r="QCV341" s="239"/>
      <c r="QCW341" s="239"/>
      <c r="QCX341" s="239"/>
      <c r="QCY341" s="233"/>
      <c r="QCZ341" s="235"/>
      <c r="QDA341" s="233"/>
      <c r="QDB341" s="234"/>
      <c r="QDC341" s="234"/>
      <c r="QDD341" s="242"/>
      <c r="QDE341" s="234"/>
      <c r="QDF341" s="234"/>
      <c r="QDG341" s="234"/>
      <c r="QDH341" s="236"/>
      <c r="QDI341" s="244"/>
      <c r="QDJ341" s="239"/>
      <c r="QDK341" s="240"/>
      <c r="QDL341" s="241"/>
      <c r="QDM341" s="239"/>
      <c r="QDN341" s="239"/>
      <c r="QDO341" s="239"/>
      <c r="QDP341" s="239"/>
      <c r="QDQ341" s="239"/>
      <c r="QDR341" s="239"/>
      <c r="QDS341" s="233"/>
      <c r="QDT341" s="235"/>
      <c r="QDU341" s="233"/>
      <c r="QDV341" s="234"/>
      <c r="QDW341" s="234"/>
      <c r="QDX341" s="242"/>
      <c r="QDY341" s="234"/>
      <c r="QDZ341" s="234"/>
      <c r="QEA341" s="234"/>
      <c r="QEB341" s="236"/>
      <c r="QEC341" s="244"/>
      <c r="QED341" s="239"/>
      <c r="QEE341" s="240"/>
      <c r="QEF341" s="241"/>
      <c r="QEG341" s="239"/>
      <c r="QEH341" s="239"/>
      <c r="QEI341" s="239"/>
      <c r="QEJ341" s="239"/>
      <c r="QEK341" s="239"/>
      <c r="QEL341" s="239"/>
      <c r="QEM341" s="233"/>
      <c r="QEN341" s="235"/>
      <c r="QEO341" s="233"/>
      <c r="QEP341" s="234"/>
      <c r="QEQ341" s="234"/>
      <c r="QER341" s="242"/>
      <c r="QES341" s="234"/>
      <c r="QET341" s="234"/>
      <c r="QEU341" s="234"/>
      <c r="QEV341" s="236"/>
      <c r="QEW341" s="244"/>
      <c r="QEX341" s="239"/>
      <c r="QEY341" s="240"/>
      <c r="QEZ341" s="241"/>
      <c r="QFA341" s="239"/>
      <c r="QFB341" s="239"/>
      <c r="QFC341" s="239"/>
      <c r="QFD341" s="239"/>
      <c r="QFE341" s="239"/>
      <c r="QFF341" s="239"/>
      <c r="QFG341" s="233"/>
      <c r="QFH341" s="235"/>
      <c r="QFI341" s="233"/>
      <c r="QFJ341" s="234"/>
      <c r="QFK341" s="234"/>
      <c r="QFL341" s="242"/>
      <c r="QFM341" s="234"/>
      <c r="QFN341" s="234"/>
      <c r="QFO341" s="234"/>
      <c r="QFP341" s="236"/>
      <c r="QFQ341" s="244"/>
      <c r="QFR341" s="239"/>
      <c r="QFS341" s="240"/>
      <c r="QFT341" s="241"/>
      <c r="QFU341" s="239"/>
      <c r="QFV341" s="239"/>
      <c r="QFW341" s="239"/>
      <c r="QFX341" s="239"/>
      <c r="QFY341" s="239"/>
      <c r="QFZ341" s="239"/>
      <c r="QGA341" s="233"/>
      <c r="QGB341" s="235"/>
      <c r="QGC341" s="233"/>
      <c r="QGD341" s="234"/>
      <c r="QGE341" s="234"/>
      <c r="QGF341" s="242"/>
      <c r="QGG341" s="234"/>
      <c r="QGH341" s="234"/>
      <c r="QGI341" s="234"/>
      <c r="QGJ341" s="236"/>
      <c r="QGK341" s="244"/>
      <c r="QGL341" s="239"/>
      <c r="QGM341" s="240"/>
      <c r="QGN341" s="241"/>
      <c r="QGO341" s="239"/>
      <c r="QGP341" s="239"/>
      <c r="QGQ341" s="239"/>
      <c r="QGR341" s="239"/>
      <c r="QGS341" s="239"/>
      <c r="QGT341" s="239"/>
      <c r="QGU341" s="233"/>
      <c r="QGV341" s="235"/>
      <c r="QGW341" s="233"/>
      <c r="QGX341" s="234"/>
      <c r="QGY341" s="234"/>
      <c r="QGZ341" s="242"/>
      <c r="QHA341" s="234"/>
      <c r="QHB341" s="234"/>
      <c r="QHC341" s="234"/>
      <c r="QHD341" s="236"/>
      <c r="QHE341" s="244"/>
      <c r="QHF341" s="239"/>
      <c r="QHG341" s="240"/>
      <c r="QHH341" s="241"/>
      <c r="QHI341" s="239"/>
      <c r="QHJ341" s="239"/>
      <c r="QHK341" s="239"/>
      <c r="QHL341" s="239"/>
      <c r="QHM341" s="239"/>
      <c r="QHN341" s="239"/>
      <c r="QHO341" s="233"/>
      <c r="QHP341" s="235"/>
      <c r="QHQ341" s="233"/>
      <c r="QHR341" s="234"/>
      <c r="QHS341" s="234"/>
      <c r="QHT341" s="242"/>
      <c r="QHU341" s="234"/>
      <c r="QHV341" s="234"/>
      <c r="QHW341" s="234"/>
      <c r="QHX341" s="236"/>
      <c r="QHY341" s="244"/>
      <c r="QHZ341" s="239"/>
      <c r="QIA341" s="240"/>
      <c r="QIB341" s="241"/>
      <c r="QIC341" s="239"/>
      <c r="QID341" s="239"/>
      <c r="QIE341" s="239"/>
      <c r="QIF341" s="239"/>
      <c r="QIG341" s="239"/>
      <c r="QIH341" s="239"/>
      <c r="QII341" s="233"/>
      <c r="QIJ341" s="235"/>
      <c r="QIK341" s="233"/>
      <c r="QIL341" s="234"/>
      <c r="QIM341" s="234"/>
      <c r="QIN341" s="242"/>
      <c r="QIO341" s="234"/>
      <c r="QIP341" s="234"/>
      <c r="QIQ341" s="234"/>
      <c r="QIR341" s="236"/>
      <c r="QIS341" s="244"/>
      <c r="QIT341" s="239"/>
      <c r="QIU341" s="240"/>
      <c r="QIV341" s="241"/>
      <c r="QIW341" s="239"/>
      <c r="QIX341" s="239"/>
      <c r="QIY341" s="239"/>
      <c r="QIZ341" s="239"/>
      <c r="QJA341" s="239"/>
      <c r="QJB341" s="239"/>
      <c r="QJC341" s="233"/>
      <c r="QJD341" s="235"/>
      <c r="QJE341" s="233"/>
      <c r="QJF341" s="234"/>
      <c r="QJG341" s="234"/>
      <c r="QJH341" s="242"/>
      <c r="QJI341" s="234"/>
      <c r="QJJ341" s="234"/>
      <c r="QJK341" s="234"/>
      <c r="QJL341" s="236"/>
      <c r="QJM341" s="244"/>
      <c r="QJN341" s="239"/>
      <c r="QJO341" s="240"/>
      <c r="QJP341" s="241"/>
      <c r="QJQ341" s="239"/>
      <c r="QJR341" s="239"/>
      <c r="QJS341" s="239"/>
      <c r="QJT341" s="239"/>
      <c r="QJU341" s="239"/>
      <c r="QJV341" s="239"/>
      <c r="QJW341" s="233"/>
      <c r="QJX341" s="235"/>
      <c r="QJY341" s="233"/>
      <c r="QJZ341" s="234"/>
      <c r="QKA341" s="234"/>
      <c r="QKB341" s="242"/>
      <c r="QKC341" s="234"/>
      <c r="QKD341" s="234"/>
      <c r="QKE341" s="234"/>
      <c r="QKF341" s="236"/>
      <c r="QKG341" s="244"/>
      <c r="QKH341" s="239"/>
      <c r="QKI341" s="240"/>
      <c r="QKJ341" s="241"/>
      <c r="QKK341" s="239"/>
      <c r="QKL341" s="239"/>
      <c r="QKM341" s="239"/>
      <c r="QKN341" s="239"/>
      <c r="QKO341" s="239"/>
      <c r="QKP341" s="239"/>
      <c r="QKQ341" s="233"/>
      <c r="QKR341" s="235"/>
      <c r="QKS341" s="233"/>
      <c r="QKT341" s="234"/>
      <c r="QKU341" s="234"/>
      <c r="QKV341" s="242"/>
      <c r="QKW341" s="234"/>
      <c r="QKX341" s="234"/>
      <c r="QKY341" s="234"/>
      <c r="QKZ341" s="236"/>
      <c r="QLA341" s="244"/>
      <c r="QLB341" s="239"/>
      <c r="QLC341" s="240"/>
      <c r="QLD341" s="241"/>
      <c r="QLE341" s="239"/>
      <c r="QLF341" s="239"/>
      <c r="QLG341" s="239"/>
      <c r="QLH341" s="239"/>
      <c r="QLI341" s="239"/>
      <c r="QLJ341" s="239"/>
      <c r="QLK341" s="233"/>
      <c r="QLL341" s="235"/>
      <c r="QLM341" s="233"/>
      <c r="QLN341" s="234"/>
      <c r="QLO341" s="234"/>
      <c r="QLP341" s="242"/>
      <c r="QLQ341" s="234"/>
      <c r="QLR341" s="234"/>
      <c r="QLS341" s="234"/>
      <c r="QLT341" s="236"/>
      <c r="QLU341" s="244"/>
      <c r="QLV341" s="239"/>
      <c r="QLW341" s="240"/>
      <c r="QLX341" s="241"/>
      <c r="QLY341" s="239"/>
      <c r="QLZ341" s="239"/>
      <c r="QMA341" s="239"/>
      <c r="QMB341" s="239"/>
      <c r="QMC341" s="239"/>
      <c r="QMD341" s="239"/>
      <c r="QME341" s="233"/>
      <c r="QMF341" s="235"/>
      <c r="QMG341" s="233"/>
      <c r="QMH341" s="234"/>
      <c r="QMI341" s="234"/>
      <c r="QMJ341" s="242"/>
      <c r="QMK341" s="234"/>
      <c r="QML341" s="234"/>
      <c r="QMM341" s="234"/>
      <c r="QMN341" s="236"/>
      <c r="QMO341" s="244"/>
      <c r="QMP341" s="239"/>
      <c r="QMQ341" s="240"/>
      <c r="QMR341" s="241"/>
      <c r="QMS341" s="239"/>
      <c r="QMT341" s="239"/>
      <c r="QMU341" s="239"/>
      <c r="QMV341" s="239"/>
      <c r="QMW341" s="239"/>
      <c r="QMX341" s="239"/>
      <c r="QMY341" s="233"/>
      <c r="QMZ341" s="235"/>
      <c r="QNA341" s="233"/>
      <c r="QNB341" s="234"/>
      <c r="QNC341" s="234"/>
      <c r="QND341" s="242"/>
      <c r="QNE341" s="234"/>
      <c r="QNF341" s="234"/>
      <c r="QNG341" s="234"/>
      <c r="QNH341" s="236"/>
      <c r="QNI341" s="244"/>
      <c r="QNJ341" s="239"/>
      <c r="QNK341" s="240"/>
      <c r="QNL341" s="241"/>
      <c r="QNM341" s="239"/>
      <c r="QNN341" s="239"/>
      <c r="QNO341" s="239"/>
      <c r="QNP341" s="239"/>
      <c r="QNQ341" s="239"/>
      <c r="QNR341" s="239"/>
      <c r="QNS341" s="233"/>
      <c r="QNT341" s="235"/>
      <c r="QNU341" s="233"/>
      <c r="QNV341" s="234"/>
      <c r="QNW341" s="234"/>
      <c r="QNX341" s="242"/>
      <c r="QNY341" s="234"/>
      <c r="QNZ341" s="234"/>
      <c r="QOA341" s="234"/>
      <c r="QOB341" s="236"/>
      <c r="QOC341" s="244"/>
      <c r="QOD341" s="239"/>
      <c r="QOE341" s="240"/>
      <c r="QOF341" s="241"/>
      <c r="QOG341" s="239"/>
      <c r="QOH341" s="239"/>
      <c r="QOI341" s="239"/>
      <c r="QOJ341" s="239"/>
      <c r="QOK341" s="239"/>
      <c r="QOL341" s="239"/>
      <c r="QOM341" s="233"/>
      <c r="QON341" s="235"/>
      <c r="QOO341" s="233"/>
      <c r="QOP341" s="234"/>
      <c r="QOQ341" s="234"/>
      <c r="QOR341" s="242"/>
      <c r="QOS341" s="234"/>
      <c r="QOT341" s="234"/>
      <c r="QOU341" s="234"/>
      <c r="QOV341" s="236"/>
      <c r="QOW341" s="244"/>
      <c r="QOX341" s="239"/>
      <c r="QOY341" s="240"/>
      <c r="QOZ341" s="241"/>
      <c r="QPA341" s="239"/>
      <c r="QPB341" s="239"/>
      <c r="QPC341" s="239"/>
      <c r="QPD341" s="239"/>
      <c r="QPE341" s="239"/>
      <c r="QPF341" s="239"/>
      <c r="QPG341" s="233"/>
      <c r="QPH341" s="235"/>
      <c r="QPI341" s="233"/>
      <c r="QPJ341" s="234"/>
      <c r="QPK341" s="234"/>
      <c r="QPL341" s="242"/>
      <c r="QPM341" s="234"/>
      <c r="QPN341" s="234"/>
      <c r="QPO341" s="234"/>
      <c r="QPP341" s="236"/>
      <c r="QPQ341" s="244"/>
      <c r="QPR341" s="239"/>
      <c r="QPS341" s="240"/>
      <c r="QPT341" s="241"/>
      <c r="QPU341" s="239"/>
      <c r="QPV341" s="239"/>
      <c r="QPW341" s="239"/>
      <c r="QPX341" s="239"/>
      <c r="QPY341" s="239"/>
      <c r="QPZ341" s="239"/>
      <c r="QQA341" s="233"/>
      <c r="QQB341" s="235"/>
      <c r="QQC341" s="233"/>
      <c r="QQD341" s="234"/>
      <c r="QQE341" s="234"/>
      <c r="QQF341" s="242"/>
      <c r="QQG341" s="234"/>
      <c r="QQH341" s="234"/>
      <c r="QQI341" s="234"/>
      <c r="QQJ341" s="236"/>
      <c r="QQK341" s="244"/>
      <c r="QQL341" s="239"/>
      <c r="QQM341" s="240"/>
      <c r="QQN341" s="241"/>
      <c r="QQO341" s="239"/>
      <c r="QQP341" s="239"/>
      <c r="QQQ341" s="239"/>
      <c r="QQR341" s="239"/>
      <c r="QQS341" s="239"/>
      <c r="QQT341" s="239"/>
      <c r="QQU341" s="233"/>
      <c r="QQV341" s="235"/>
      <c r="QQW341" s="233"/>
      <c r="QQX341" s="234"/>
      <c r="QQY341" s="234"/>
      <c r="QQZ341" s="242"/>
      <c r="QRA341" s="234"/>
      <c r="QRB341" s="234"/>
      <c r="QRC341" s="234"/>
      <c r="QRD341" s="236"/>
      <c r="QRE341" s="244"/>
      <c r="QRF341" s="239"/>
      <c r="QRG341" s="240"/>
      <c r="QRH341" s="241"/>
      <c r="QRI341" s="239"/>
      <c r="QRJ341" s="239"/>
      <c r="QRK341" s="239"/>
      <c r="QRL341" s="239"/>
      <c r="QRM341" s="239"/>
      <c r="QRN341" s="239"/>
      <c r="QRO341" s="233"/>
      <c r="QRP341" s="235"/>
      <c r="QRQ341" s="233"/>
      <c r="QRR341" s="234"/>
      <c r="QRS341" s="234"/>
      <c r="QRT341" s="242"/>
      <c r="QRU341" s="234"/>
      <c r="QRV341" s="234"/>
      <c r="QRW341" s="234"/>
      <c r="QRX341" s="236"/>
      <c r="QRY341" s="244"/>
      <c r="QRZ341" s="239"/>
      <c r="QSA341" s="240"/>
      <c r="QSB341" s="241"/>
      <c r="QSC341" s="239"/>
      <c r="QSD341" s="239"/>
      <c r="QSE341" s="239"/>
      <c r="QSF341" s="239"/>
      <c r="QSG341" s="239"/>
      <c r="QSH341" s="239"/>
      <c r="QSI341" s="233"/>
      <c r="QSJ341" s="235"/>
      <c r="QSK341" s="233"/>
      <c r="QSL341" s="234"/>
      <c r="QSM341" s="234"/>
      <c r="QSN341" s="242"/>
      <c r="QSO341" s="234"/>
      <c r="QSP341" s="234"/>
      <c r="QSQ341" s="234"/>
      <c r="QSR341" s="236"/>
      <c r="QSS341" s="244"/>
      <c r="QST341" s="239"/>
      <c r="QSU341" s="240"/>
      <c r="QSV341" s="241"/>
      <c r="QSW341" s="239"/>
      <c r="QSX341" s="239"/>
      <c r="QSY341" s="239"/>
      <c r="QSZ341" s="239"/>
      <c r="QTA341" s="239"/>
      <c r="QTB341" s="239"/>
      <c r="QTC341" s="233"/>
      <c r="QTD341" s="235"/>
      <c r="QTE341" s="233"/>
      <c r="QTF341" s="234"/>
      <c r="QTG341" s="234"/>
      <c r="QTH341" s="242"/>
      <c r="QTI341" s="234"/>
      <c r="QTJ341" s="234"/>
      <c r="QTK341" s="234"/>
      <c r="QTL341" s="236"/>
      <c r="QTM341" s="244"/>
      <c r="QTN341" s="239"/>
      <c r="QTO341" s="240"/>
      <c r="QTP341" s="241"/>
      <c r="QTQ341" s="239"/>
      <c r="QTR341" s="239"/>
      <c r="QTS341" s="239"/>
      <c r="QTT341" s="239"/>
      <c r="QTU341" s="239"/>
      <c r="QTV341" s="239"/>
      <c r="QTW341" s="233"/>
      <c r="QTX341" s="235"/>
      <c r="QTY341" s="233"/>
      <c r="QTZ341" s="234"/>
      <c r="QUA341" s="234"/>
      <c r="QUB341" s="242"/>
      <c r="QUC341" s="234"/>
      <c r="QUD341" s="234"/>
      <c r="QUE341" s="234"/>
      <c r="QUF341" s="236"/>
      <c r="QUG341" s="244"/>
      <c r="QUH341" s="239"/>
      <c r="QUI341" s="240"/>
      <c r="QUJ341" s="241"/>
      <c r="QUK341" s="239"/>
      <c r="QUL341" s="239"/>
      <c r="QUM341" s="239"/>
      <c r="QUN341" s="239"/>
      <c r="QUO341" s="239"/>
      <c r="QUP341" s="239"/>
      <c r="QUQ341" s="233"/>
      <c r="QUR341" s="235"/>
      <c r="QUS341" s="233"/>
      <c r="QUT341" s="234"/>
      <c r="QUU341" s="234"/>
      <c r="QUV341" s="242"/>
      <c r="QUW341" s="234"/>
      <c r="QUX341" s="234"/>
      <c r="QUY341" s="234"/>
      <c r="QUZ341" s="236"/>
      <c r="QVA341" s="244"/>
      <c r="QVB341" s="239"/>
      <c r="QVC341" s="240"/>
      <c r="QVD341" s="241"/>
      <c r="QVE341" s="239"/>
      <c r="QVF341" s="239"/>
      <c r="QVG341" s="239"/>
      <c r="QVH341" s="239"/>
      <c r="QVI341" s="239"/>
      <c r="QVJ341" s="239"/>
      <c r="QVK341" s="233"/>
      <c r="QVL341" s="235"/>
      <c r="QVM341" s="233"/>
      <c r="QVN341" s="234"/>
      <c r="QVO341" s="234"/>
      <c r="QVP341" s="242"/>
      <c r="QVQ341" s="234"/>
      <c r="QVR341" s="234"/>
      <c r="QVS341" s="234"/>
      <c r="QVT341" s="236"/>
      <c r="QVU341" s="244"/>
      <c r="QVV341" s="239"/>
      <c r="QVW341" s="240"/>
      <c r="QVX341" s="241"/>
      <c r="QVY341" s="239"/>
      <c r="QVZ341" s="239"/>
      <c r="QWA341" s="239"/>
      <c r="QWB341" s="239"/>
      <c r="QWC341" s="239"/>
      <c r="QWD341" s="239"/>
      <c r="QWE341" s="233"/>
      <c r="QWF341" s="235"/>
      <c r="QWG341" s="233"/>
      <c r="QWH341" s="234"/>
      <c r="QWI341" s="234"/>
      <c r="QWJ341" s="242"/>
      <c r="QWK341" s="234"/>
      <c r="QWL341" s="234"/>
      <c r="QWM341" s="234"/>
      <c r="QWN341" s="236"/>
      <c r="QWO341" s="244"/>
      <c r="QWP341" s="239"/>
      <c r="QWQ341" s="240"/>
      <c r="QWR341" s="241"/>
      <c r="QWS341" s="239"/>
      <c r="QWT341" s="239"/>
      <c r="QWU341" s="239"/>
      <c r="QWV341" s="239"/>
      <c r="QWW341" s="239"/>
      <c r="QWX341" s="239"/>
      <c r="QWY341" s="233"/>
      <c r="QWZ341" s="235"/>
      <c r="QXA341" s="233"/>
      <c r="QXB341" s="234"/>
      <c r="QXC341" s="234"/>
      <c r="QXD341" s="242"/>
      <c r="QXE341" s="234"/>
      <c r="QXF341" s="234"/>
      <c r="QXG341" s="234"/>
      <c r="QXH341" s="236"/>
      <c r="QXI341" s="244"/>
      <c r="QXJ341" s="239"/>
      <c r="QXK341" s="240"/>
      <c r="QXL341" s="241"/>
      <c r="QXM341" s="239"/>
      <c r="QXN341" s="239"/>
      <c r="QXO341" s="239"/>
      <c r="QXP341" s="239"/>
      <c r="QXQ341" s="239"/>
      <c r="QXR341" s="239"/>
      <c r="QXS341" s="233"/>
      <c r="QXT341" s="235"/>
      <c r="QXU341" s="233"/>
      <c r="QXV341" s="234"/>
      <c r="QXW341" s="234"/>
      <c r="QXX341" s="242"/>
      <c r="QXY341" s="234"/>
      <c r="QXZ341" s="234"/>
      <c r="QYA341" s="234"/>
      <c r="QYB341" s="236"/>
      <c r="QYC341" s="244"/>
      <c r="QYD341" s="239"/>
      <c r="QYE341" s="240"/>
      <c r="QYF341" s="241"/>
      <c r="QYG341" s="239"/>
      <c r="QYH341" s="239"/>
      <c r="QYI341" s="239"/>
      <c r="QYJ341" s="239"/>
      <c r="QYK341" s="239"/>
      <c r="QYL341" s="239"/>
      <c r="QYM341" s="233"/>
      <c r="QYN341" s="235"/>
      <c r="QYO341" s="233"/>
      <c r="QYP341" s="234"/>
      <c r="QYQ341" s="234"/>
      <c r="QYR341" s="242"/>
      <c r="QYS341" s="234"/>
      <c r="QYT341" s="234"/>
      <c r="QYU341" s="234"/>
      <c r="QYV341" s="236"/>
      <c r="QYW341" s="244"/>
      <c r="QYX341" s="239"/>
      <c r="QYY341" s="240"/>
      <c r="QYZ341" s="241"/>
      <c r="QZA341" s="239"/>
      <c r="QZB341" s="239"/>
      <c r="QZC341" s="239"/>
      <c r="QZD341" s="239"/>
      <c r="QZE341" s="239"/>
      <c r="QZF341" s="239"/>
      <c r="QZG341" s="233"/>
      <c r="QZH341" s="235"/>
      <c r="QZI341" s="233"/>
      <c r="QZJ341" s="234"/>
      <c r="QZK341" s="234"/>
      <c r="QZL341" s="242"/>
      <c r="QZM341" s="234"/>
      <c r="QZN341" s="234"/>
      <c r="QZO341" s="234"/>
      <c r="QZP341" s="236"/>
      <c r="QZQ341" s="244"/>
      <c r="QZR341" s="239"/>
      <c r="QZS341" s="240"/>
      <c r="QZT341" s="241"/>
      <c r="QZU341" s="239"/>
      <c r="QZV341" s="239"/>
      <c r="QZW341" s="239"/>
      <c r="QZX341" s="239"/>
      <c r="QZY341" s="239"/>
      <c r="QZZ341" s="239"/>
      <c r="RAA341" s="233"/>
      <c r="RAB341" s="235"/>
      <c r="RAC341" s="233"/>
      <c r="RAD341" s="234"/>
      <c r="RAE341" s="234"/>
      <c r="RAF341" s="242"/>
      <c r="RAG341" s="234"/>
      <c r="RAH341" s="234"/>
      <c r="RAI341" s="234"/>
      <c r="RAJ341" s="236"/>
      <c r="RAK341" s="244"/>
      <c r="RAL341" s="239"/>
      <c r="RAM341" s="240"/>
      <c r="RAN341" s="241"/>
      <c r="RAO341" s="239"/>
      <c r="RAP341" s="239"/>
      <c r="RAQ341" s="239"/>
      <c r="RAR341" s="239"/>
      <c r="RAS341" s="239"/>
      <c r="RAT341" s="239"/>
      <c r="RAU341" s="233"/>
      <c r="RAV341" s="235"/>
      <c r="RAW341" s="233"/>
      <c r="RAX341" s="234"/>
      <c r="RAY341" s="234"/>
      <c r="RAZ341" s="242"/>
      <c r="RBA341" s="234"/>
      <c r="RBB341" s="234"/>
      <c r="RBC341" s="234"/>
      <c r="RBD341" s="236"/>
      <c r="RBE341" s="244"/>
      <c r="RBF341" s="239"/>
      <c r="RBG341" s="240"/>
      <c r="RBH341" s="241"/>
      <c r="RBI341" s="239"/>
      <c r="RBJ341" s="239"/>
      <c r="RBK341" s="239"/>
      <c r="RBL341" s="239"/>
      <c r="RBM341" s="239"/>
      <c r="RBN341" s="239"/>
      <c r="RBO341" s="233"/>
      <c r="RBP341" s="235"/>
      <c r="RBQ341" s="233"/>
      <c r="RBR341" s="234"/>
      <c r="RBS341" s="234"/>
      <c r="RBT341" s="242"/>
      <c r="RBU341" s="234"/>
      <c r="RBV341" s="234"/>
      <c r="RBW341" s="234"/>
      <c r="RBX341" s="236"/>
      <c r="RBY341" s="244"/>
      <c r="RBZ341" s="239"/>
      <c r="RCA341" s="240"/>
      <c r="RCB341" s="241"/>
      <c r="RCC341" s="239"/>
      <c r="RCD341" s="239"/>
      <c r="RCE341" s="239"/>
      <c r="RCF341" s="239"/>
      <c r="RCG341" s="239"/>
      <c r="RCH341" s="239"/>
      <c r="RCI341" s="233"/>
      <c r="RCJ341" s="235"/>
      <c r="RCK341" s="233"/>
      <c r="RCL341" s="234"/>
      <c r="RCM341" s="234"/>
      <c r="RCN341" s="242"/>
      <c r="RCO341" s="234"/>
      <c r="RCP341" s="234"/>
      <c r="RCQ341" s="234"/>
      <c r="RCR341" s="236"/>
      <c r="RCS341" s="244"/>
      <c r="RCT341" s="239"/>
      <c r="RCU341" s="240"/>
      <c r="RCV341" s="241"/>
      <c r="RCW341" s="239"/>
      <c r="RCX341" s="239"/>
      <c r="RCY341" s="239"/>
      <c r="RCZ341" s="239"/>
      <c r="RDA341" s="239"/>
      <c r="RDB341" s="239"/>
      <c r="RDC341" s="233"/>
      <c r="RDD341" s="235"/>
      <c r="RDE341" s="233"/>
      <c r="RDF341" s="234"/>
      <c r="RDG341" s="234"/>
      <c r="RDH341" s="242"/>
      <c r="RDI341" s="234"/>
      <c r="RDJ341" s="234"/>
      <c r="RDK341" s="234"/>
      <c r="RDL341" s="236"/>
      <c r="RDM341" s="244"/>
      <c r="RDN341" s="239"/>
      <c r="RDO341" s="240"/>
      <c r="RDP341" s="241"/>
      <c r="RDQ341" s="239"/>
      <c r="RDR341" s="239"/>
      <c r="RDS341" s="239"/>
      <c r="RDT341" s="239"/>
      <c r="RDU341" s="239"/>
      <c r="RDV341" s="239"/>
      <c r="RDW341" s="233"/>
      <c r="RDX341" s="235"/>
      <c r="RDY341" s="233"/>
      <c r="RDZ341" s="234"/>
      <c r="REA341" s="234"/>
      <c r="REB341" s="242"/>
      <c r="REC341" s="234"/>
      <c r="RED341" s="234"/>
      <c r="REE341" s="234"/>
      <c r="REF341" s="236"/>
      <c r="REG341" s="244"/>
      <c r="REH341" s="239"/>
      <c r="REI341" s="240"/>
      <c r="REJ341" s="241"/>
      <c r="REK341" s="239"/>
      <c r="REL341" s="239"/>
      <c r="REM341" s="239"/>
      <c r="REN341" s="239"/>
      <c r="REO341" s="239"/>
      <c r="REP341" s="239"/>
      <c r="REQ341" s="233"/>
      <c r="RER341" s="235"/>
      <c r="RES341" s="233"/>
      <c r="RET341" s="234"/>
      <c r="REU341" s="234"/>
      <c r="REV341" s="242"/>
      <c r="REW341" s="234"/>
      <c r="REX341" s="234"/>
      <c r="REY341" s="234"/>
      <c r="REZ341" s="236"/>
      <c r="RFA341" s="244"/>
      <c r="RFB341" s="239"/>
      <c r="RFC341" s="240"/>
      <c r="RFD341" s="241"/>
      <c r="RFE341" s="239"/>
      <c r="RFF341" s="239"/>
      <c r="RFG341" s="239"/>
      <c r="RFH341" s="239"/>
      <c r="RFI341" s="239"/>
      <c r="RFJ341" s="239"/>
      <c r="RFK341" s="233"/>
      <c r="RFL341" s="235"/>
      <c r="RFM341" s="233"/>
      <c r="RFN341" s="234"/>
      <c r="RFO341" s="234"/>
      <c r="RFP341" s="242"/>
      <c r="RFQ341" s="234"/>
      <c r="RFR341" s="234"/>
      <c r="RFS341" s="234"/>
      <c r="RFT341" s="236"/>
      <c r="RFU341" s="244"/>
      <c r="RFV341" s="239"/>
      <c r="RFW341" s="240"/>
      <c r="RFX341" s="241"/>
      <c r="RFY341" s="239"/>
      <c r="RFZ341" s="239"/>
      <c r="RGA341" s="239"/>
      <c r="RGB341" s="239"/>
      <c r="RGC341" s="239"/>
      <c r="RGD341" s="239"/>
      <c r="RGE341" s="233"/>
      <c r="RGF341" s="235"/>
      <c r="RGG341" s="233"/>
      <c r="RGH341" s="234"/>
      <c r="RGI341" s="234"/>
      <c r="RGJ341" s="242"/>
      <c r="RGK341" s="234"/>
      <c r="RGL341" s="234"/>
      <c r="RGM341" s="234"/>
      <c r="RGN341" s="236"/>
      <c r="RGO341" s="244"/>
      <c r="RGP341" s="239"/>
      <c r="RGQ341" s="240"/>
      <c r="RGR341" s="241"/>
      <c r="RGS341" s="239"/>
      <c r="RGT341" s="239"/>
      <c r="RGU341" s="239"/>
      <c r="RGV341" s="239"/>
      <c r="RGW341" s="239"/>
      <c r="RGX341" s="239"/>
      <c r="RGY341" s="233"/>
      <c r="RGZ341" s="235"/>
      <c r="RHA341" s="233"/>
      <c r="RHB341" s="234"/>
      <c r="RHC341" s="234"/>
      <c r="RHD341" s="242"/>
      <c r="RHE341" s="234"/>
      <c r="RHF341" s="234"/>
      <c r="RHG341" s="234"/>
      <c r="RHH341" s="236"/>
      <c r="RHI341" s="244"/>
      <c r="RHJ341" s="239"/>
      <c r="RHK341" s="240"/>
      <c r="RHL341" s="241"/>
      <c r="RHM341" s="239"/>
      <c r="RHN341" s="239"/>
      <c r="RHO341" s="239"/>
      <c r="RHP341" s="239"/>
      <c r="RHQ341" s="239"/>
      <c r="RHR341" s="239"/>
      <c r="RHS341" s="233"/>
      <c r="RHT341" s="235"/>
      <c r="RHU341" s="233"/>
      <c r="RHV341" s="234"/>
      <c r="RHW341" s="234"/>
      <c r="RHX341" s="242"/>
      <c r="RHY341" s="234"/>
      <c r="RHZ341" s="234"/>
      <c r="RIA341" s="234"/>
      <c r="RIB341" s="236"/>
      <c r="RIC341" s="244"/>
      <c r="RID341" s="239"/>
      <c r="RIE341" s="240"/>
      <c r="RIF341" s="241"/>
      <c r="RIG341" s="239"/>
      <c r="RIH341" s="239"/>
      <c r="RII341" s="239"/>
      <c r="RIJ341" s="239"/>
      <c r="RIK341" s="239"/>
      <c r="RIL341" s="239"/>
      <c r="RIM341" s="233"/>
      <c r="RIN341" s="235"/>
      <c r="RIO341" s="233"/>
      <c r="RIP341" s="234"/>
      <c r="RIQ341" s="234"/>
      <c r="RIR341" s="242"/>
      <c r="RIS341" s="234"/>
      <c r="RIT341" s="234"/>
      <c r="RIU341" s="234"/>
      <c r="RIV341" s="236"/>
      <c r="RIW341" s="244"/>
      <c r="RIX341" s="239"/>
      <c r="RIY341" s="240"/>
      <c r="RIZ341" s="241"/>
      <c r="RJA341" s="239"/>
      <c r="RJB341" s="239"/>
      <c r="RJC341" s="239"/>
      <c r="RJD341" s="239"/>
      <c r="RJE341" s="239"/>
      <c r="RJF341" s="239"/>
      <c r="RJG341" s="233"/>
      <c r="RJH341" s="235"/>
      <c r="RJI341" s="233"/>
      <c r="RJJ341" s="234"/>
      <c r="RJK341" s="234"/>
      <c r="RJL341" s="242"/>
      <c r="RJM341" s="234"/>
      <c r="RJN341" s="234"/>
      <c r="RJO341" s="234"/>
      <c r="RJP341" s="236"/>
      <c r="RJQ341" s="244"/>
      <c r="RJR341" s="239"/>
      <c r="RJS341" s="240"/>
      <c r="RJT341" s="241"/>
      <c r="RJU341" s="239"/>
      <c r="RJV341" s="239"/>
      <c r="RJW341" s="239"/>
      <c r="RJX341" s="239"/>
      <c r="RJY341" s="239"/>
      <c r="RJZ341" s="239"/>
      <c r="RKA341" s="233"/>
      <c r="RKB341" s="235"/>
      <c r="RKC341" s="233"/>
      <c r="RKD341" s="234"/>
      <c r="RKE341" s="234"/>
      <c r="RKF341" s="242"/>
      <c r="RKG341" s="234"/>
      <c r="RKH341" s="234"/>
      <c r="RKI341" s="234"/>
      <c r="RKJ341" s="236"/>
      <c r="RKK341" s="244"/>
      <c r="RKL341" s="239"/>
      <c r="RKM341" s="240"/>
      <c r="RKN341" s="241"/>
      <c r="RKO341" s="239"/>
      <c r="RKP341" s="239"/>
      <c r="RKQ341" s="239"/>
      <c r="RKR341" s="239"/>
      <c r="RKS341" s="239"/>
      <c r="RKT341" s="239"/>
      <c r="RKU341" s="233"/>
      <c r="RKV341" s="235"/>
      <c r="RKW341" s="233"/>
      <c r="RKX341" s="234"/>
      <c r="RKY341" s="234"/>
      <c r="RKZ341" s="242"/>
      <c r="RLA341" s="234"/>
      <c r="RLB341" s="234"/>
      <c r="RLC341" s="234"/>
      <c r="RLD341" s="236"/>
      <c r="RLE341" s="244"/>
      <c r="RLF341" s="239"/>
      <c r="RLG341" s="240"/>
      <c r="RLH341" s="241"/>
      <c r="RLI341" s="239"/>
      <c r="RLJ341" s="239"/>
      <c r="RLK341" s="239"/>
      <c r="RLL341" s="239"/>
      <c r="RLM341" s="239"/>
      <c r="RLN341" s="239"/>
      <c r="RLO341" s="233"/>
      <c r="RLP341" s="235"/>
      <c r="RLQ341" s="233"/>
      <c r="RLR341" s="234"/>
      <c r="RLS341" s="234"/>
      <c r="RLT341" s="242"/>
      <c r="RLU341" s="234"/>
      <c r="RLV341" s="234"/>
      <c r="RLW341" s="234"/>
      <c r="RLX341" s="236"/>
      <c r="RLY341" s="244"/>
      <c r="RLZ341" s="239"/>
      <c r="RMA341" s="240"/>
      <c r="RMB341" s="241"/>
      <c r="RMC341" s="239"/>
      <c r="RMD341" s="239"/>
      <c r="RME341" s="239"/>
      <c r="RMF341" s="239"/>
      <c r="RMG341" s="239"/>
      <c r="RMH341" s="239"/>
      <c r="RMI341" s="233"/>
      <c r="RMJ341" s="235"/>
      <c r="RMK341" s="233"/>
      <c r="RML341" s="234"/>
      <c r="RMM341" s="234"/>
      <c r="RMN341" s="242"/>
      <c r="RMO341" s="234"/>
      <c r="RMP341" s="234"/>
      <c r="RMQ341" s="234"/>
      <c r="RMR341" s="236"/>
      <c r="RMS341" s="244"/>
      <c r="RMT341" s="239"/>
      <c r="RMU341" s="240"/>
      <c r="RMV341" s="241"/>
      <c r="RMW341" s="239"/>
      <c r="RMX341" s="239"/>
      <c r="RMY341" s="239"/>
      <c r="RMZ341" s="239"/>
      <c r="RNA341" s="239"/>
      <c r="RNB341" s="239"/>
      <c r="RNC341" s="233"/>
      <c r="RND341" s="235"/>
      <c r="RNE341" s="233"/>
      <c r="RNF341" s="234"/>
      <c r="RNG341" s="234"/>
      <c r="RNH341" s="242"/>
      <c r="RNI341" s="234"/>
      <c r="RNJ341" s="234"/>
      <c r="RNK341" s="234"/>
      <c r="RNL341" s="236"/>
      <c r="RNM341" s="244"/>
      <c r="RNN341" s="239"/>
      <c r="RNO341" s="240"/>
      <c r="RNP341" s="241"/>
      <c r="RNQ341" s="239"/>
      <c r="RNR341" s="239"/>
      <c r="RNS341" s="239"/>
      <c r="RNT341" s="239"/>
      <c r="RNU341" s="239"/>
      <c r="RNV341" s="239"/>
      <c r="RNW341" s="233"/>
      <c r="RNX341" s="235"/>
      <c r="RNY341" s="233"/>
      <c r="RNZ341" s="234"/>
      <c r="ROA341" s="234"/>
      <c r="ROB341" s="242"/>
      <c r="ROC341" s="234"/>
      <c r="ROD341" s="234"/>
      <c r="ROE341" s="234"/>
      <c r="ROF341" s="236"/>
      <c r="ROG341" s="244"/>
      <c r="ROH341" s="239"/>
      <c r="ROI341" s="240"/>
      <c r="ROJ341" s="241"/>
      <c r="ROK341" s="239"/>
      <c r="ROL341" s="239"/>
      <c r="ROM341" s="239"/>
      <c r="RON341" s="239"/>
      <c r="ROO341" s="239"/>
      <c r="ROP341" s="239"/>
      <c r="ROQ341" s="233"/>
      <c r="ROR341" s="235"/>
      <c r="ROS341" s="233"/>
      <c r="ROT341" s="234"/>
      <c r="ROU341" s="234"/>
      <c r="ROV341" s="242"/>
      <c r="ROW341" s="234"/>
      <c r="ROX341" s="234"/>
      <c r="ROY341" s="234"/>
      <c r="ROZ341" s="236"/>
      <c r="RPA341" s="244"/>
      <c r="RPB341" s="239"/>
      <c r="RPC341" s="240"/>
      <c r="RPD341" s="241"/>
      <c r="RPE341" s="239"/>
      <c r="RPF341" s="239"/>
      <c r="RPG341" s="239"/>
      <c r="RPH341" s="239"/>
      <c r="RPI341" s="239"/>
      <c r="RPJ341" s="239"/>
      <c r="RPK341" s="233"/>
      <c r="RPL341" s="235"/>
      <c r="RPM341" s="233"/>
      <c r="RPN341" s="234"/>
      <c r="RPO341" s="234"/>
      <c r="RPP341" s="242"/>
      <c r="RPQ341" s="234"/>
      <c r="RPR341" s="234"/>
      <c r="RPS341" s="234"/>
      <c r="RPT341" s="236"/>
      <c r="RPU341" s="244"/>
      <c r="RPV341" s="239"/>
      <c r="RPW341" s="240"/>
      <c r="RPX341" s="241"/>
      <c r="RPY341" s="239"/>
      <c r="RPZ341" s="239"/>
      <c r="RQA341" s="239"/>
      <c r="RQB341" s="239"/>
      <c r="RQC341" s="239"/>
      <c r="RQD341" s="239"/>
      <c r="RQE341" s="233"/>
      <c r="RQF341" s="235"/>
      <c r="RQG341" s="233"/>
      <c r="RQH341" s="234"/>
      <c r="RQI341" s="234"/>
      <c r="RQJ341" s="242"/>
      <c r="RQK341" s="234"/>
      <c r="RQL341" s="234"/>
      <c r="RQM341" s="234"/>
      <c r="RQN341" s="236"/>
      <c r="RQO341" s="244"/>
      <c r="RQP341" s="239"/>
      <c r="RQQ341" s="240"/>
      <c r="RQR341" s="241"/>
      <c r="RQS341" s="239"/>
      <c r="RQT341" s="239"/>
      <c r="RQU341" s="239"/>
      <c r="RQV341" s="239"/>
      <c r="RQW341" s="239"/>
      <c r="RQX341" s="239"/>
      <c r="RQY341" s="233"/>
      <c r="RQZ341" s="235"/>
      <c r="RRA341" s="233"/>
      <c r="RRB341" s="234"/>
      <c r="RRC341" s="234"/>
      <c r="RRD341" s="242"/>
      <c r="RRE341" s="234"/>
      <c r="RRF341" s="234"/>
      <c r="RRG341" s="234"/>
      <c r="RRH341" s="236"/>
      <c r="RRI341" s="244"/>
      <c r="RRJ341" s="239"/>
      <c r="RRK341" s="240"/>
      <c r="RRL341" s="241"/>
      <c r="RRM341" s="239"/>
      <c r="RRN341" s="239"/>
      <c r="RRO341" s="239"/>
      <c r="RRP341" s="239"/>
      <c r="RRQ341" s="239"/>
      <c r="RRR341" s="239"/>
      <c r="RRS341" s="233"/>
      <c r="RRT341" s="235"/>
      <c r="RRU341" s="233"/>
      <c r="RRV341" s="234"/>
      <c r="RRW341" s="234"/>
      <c r="RRX341" s="242"/>
      <c r="RRY341" s="234"/>
      <c r="RRZ341" s="234"/>
      <c r="RSA341" s="234"/>
      <c r="RSB341" s="236"/>
      <c r="RSC341" s="244"/>
      <c r="RSD341" s="239"/>
      <c r="RSE341" s="240"/>
      <c r="RSF341" s="241"/>
      <c r="RSG341" s="239"/>
      <c r="RSH341" s="239"/>
      <c r="RSI341" s="239"/>
      <c r="RSJ341" s="239"/>
      <c r="RSK341" s="239"/>
      <c r="RSL341" s="239"/>
      <c r="RSM341" s="233"/>
      <c r="RSN341" s="235"/>
      <c r="RSO341" s="233"/>
      <c r="RSP341" s="234"/>
      <c r="RSQ341" s="234"/>
      <c r="RSR341" s="242"/>
      <c r="RSS341" s="234"/>
      <c r="RST341" s="234"/>
      <c r="RSU341" s="234"/>
      <c r="RSV341" s="236"/>
      <c r="RSW341" s="244"/>
      <c r="RSX341" s="239"/>
      <c r="RSY341" s="240"/>
      <c r="RSZ341" s="241"/>
      <c r="RTA341" s="239"/>
      <c r="RTB341" s="239"/>
      <c r="RTC341" s="239"/>
      <c r="RTD341" s="239"/>
      <c r="RTE341" s="239"/>
      <c r="RTF341" s="239"/>
      <c r="RTG341" s="233"/>
      <c r="RTH341" s="235"/>
      <c r="RTI341" s="233"/>
      <c r="RTJ341" s="234"/>
      <c r="RTK341" s="234"/>
      <c r="RTL341" s="242"/>
      <c r="RTM341" s="234"/>
      <c r="RTN341" s="234"/>
      <c r="RTO341" s="234"/>
      <c r="RTP341" s="236"/>
      <c r="RTQ341" s="244"/>
      <c r="RTR341" s="239"/>
      <c r="RTS341" s="240"/>
      <c r="RTT341" s="241"/>
      <c r="RTU341" s="239"/>
      <c r="RTV341" s="239"/>
      <c r="RTW341" s="239"/>
      <c r="RTX341" s="239"/>
      <c r="RTY341" s="239"/>
      <c r="RTZ341" s="239"/>
      <c r="RUA341" s="233"/>
      <c r="RUB341" s="235"/>
      <c r="RUC341" s="233"/>
      <c r="RUD341" s="234"/>
      <c r="RUE341" s="234"/>
      <c r="RUF341" s="242"/>
      <c r="RUG341" s="234"/>
      <c r="RUH341" s="234"/>
      <c r="RUI341" s="234"/>
      <c r="RUJ341" s="236"/>
      <c r="RUK341" s="244"/>
      <c r="RUL341" s="239"/>
      <c r="RUM341" s="240"/>
      <c r="RUN341" s="241"/>
      <c r="RUO341" s="239"/>
      <c r="RUP341" s="239"/>
      <c r="RUQ341" s="239"/>
      <c r="RUR341" s="239"/>
      <c r="RUS341" s="239"/>
      <c r="RUT341" s="239"/>
      <c r="RUU341" s="233"/>
      <c r="RUV341" s="235"/>
      <c r="RUW341" s="233"/>
      <c r="RUX341" s="234"/>
      <c r="RUY341" s="234"/>
      <c r="RUZ341" s="242"/>
      <c r="RVA341" s="234"/>
      <c r="RVB341" s="234"/>
      <c r="RVC341" s="234"/>
      <c r="RVD341" s="236"/>
      <c r="RVE341" s="244"/>
      <c r="RVF341" s="239"/>
      <c r="RVG341" s="240"/>
      <c r="RVH341" s="241"/>
      <c r="RVI341" s="239"/>
      <c r="RVJ341" s="239"/>
      <c r="RVK341" s="239"/>
      <c r="RVL341" s="239"/>
      <c r="RVM341" s="239"/>
      <c r="RVN341" s="239"/>
      <c r="RVO341" s="233"/>
      <c r="RVP341" s="235"/>
      <c r="RVQ341" s="233"/>
      <c r="RVR341" s="234"/>
      <c r="RVS341" s="234"/>
      <c r="RVT341" s="242"/>
      <c r="RVU341" s="234"/>
      <c r="RVV341" s="234"/>
      <c r="RVW341" s="234"/>
      <c r="RVX341" s="236"/>
      <c r="RVY341" s="244"/>
      <c r="RVZ341" s="239"/>
      <c r="RWA341" s="240"/>
      <c r="RWB341" s="241"/>
      <c r="RWC341" s="239"/>
      <c r="RWD341" s="239"/>
      <c r="RWE341" s="239"/>
      <c r="RWF341" s="239"/>
      <c r="RWG341" s="239"/>
      <c r="RWH341" s="239"/>
      <c r="RWI341" s="233"/>
      <c r="RWJ341" s="235"/>
      <c r="RWK341" s="233"/>
      <c r="RWL341" s="234"/>
      <c r="RWM341" s="234"/>
      <c r="RWN341" s="242"/>
      <c r="RWO341" s="234"/>
      <c r="RWP341" s="234"/>
      <c r="RWQ341" s="234"/>
      <c r="RWR341" s="236"/>
      <c r="RWS341" s="244"/>
      <c r="RWT341" s="239"/>
      <c r="RWU341" s="240"/>
      <c r="RWV341" s="241"/>
      <c r="RWW341" s="239"/>
      <c r="RWX341" s="239"/>
      <c r="RWY341" s="239"/>
      <c r="RWZ341" s="239"/>
      <c r="RXA341" s="239"/>
      <c r="RXB341" s="239"/>
      <c r="RXC341" s="233"/>
      <c r="RXD341" s="235"/>
      <c r="RXE341" s="233"/>
      <c r="RXF341" s="234"/>
      <c r="RXG341" s="234"/>
      <c r="RXH341" s="242"/>
      <c r="RXI341" s="234"/>
      <c r="RXJ341" s="234"/>
      <c r="RXK341" s="234"/>
      <c r="RXL341" s="236"/>
      <c r="RXM341" s="244"/>
      <c r="RXN341" s="239"/>
      <c r="RXO341" s="240"/>
      <c r="RXP341" s="241"/>
      <c r="RXQ341" s="239"/>
      <c r="RXR341" s="239"/>
      <c r="RXS341" s="239"/>
      <c r="RXT341" s="239"/>
      <c r="RXU341" s="239"/>
      <c r="RXV341" s="239"/>
      <c r="RXW341" s="233"/>
      <c r="RXX341" s="235"/>
      <c r="RXY341" s="233"/>
      <c r="RXZ341" s="234"/>
      <c r="RYA341" s="234"/>
      <c r="RYB341" s="242"/>
      <c r="RYC341" s="234"/>
      <c r="RYD341" s="234"/>
      <c r="RYE341" s="234"/>
      <c r="RYF341" s="236"/>
      <c r="RYG341" s="244"/>
      <c r="RYH341" s="239"/>
      <c r="RYI341" s="240"/>
      <c r="RYJ341" s="241"/>
      <c r="RYK341" s="239"/>
      <c r="RYL341" s="239"/>
      <c r="RYM341" s="239"/>
      <c r="RYN341" s="239"/>
      <c r="RYO341" s="239"/>
      <c r="RYP341" s="239"/>
      <c r="RYQ341" s="233"/>
      <c r="RYR341" s="235"/>
      <c r="RYS341" s="233"/>
      <c r="RYT341" s="234"/>
      <c r="RYU341" s="234"/>
      <c r="RYV341" s="242"/>
      <c r="RYW341" s="234"/>
      <c r="RYX341" s="234"/>
      <c r="RYY341" s="234"/>
      <c r="RYZ341" s="236"/>
      <c r="RZA341" s="244"/>
      <c r="RZB341" s="239"/>
      <c r="RZC341" s="240"/>
      <c r="RZD341" s="241"/>
      <c r="RZE341" s="239"/>
      <c r="RZF341" s="239"/>
      <c r="RZG341" s="239"/>
      <c r="RZH341" s="239"/>
      <c r="RZI341" s="239"/>
      <c r="RZJ341" s="239"/>
      <c r="RZK341" s="233"/>
      <c r="RZL341" s="235"/>
      <c r="RZM341" s="233"/>
      <c r="RZN341" s="234"/>
      <c r="RZO341" s="234"/>
      <c r="RZP341" s="242"/>
      <c r="RZQ341" s="234"/>
      <c r="RZR341" s="234"/>
      <c r="RZS341" s="234"/>
      <c r="RZT341" s="236"/>
      <c r="RZU341" s="244"/>
      <c r="RZV341" s="239"/>
      <c r="RZW341" s="240"/>
      <c r="RZX341" s="241"/>
      <c r="RZY341" s="239"/>
      <c r="RZZ341" s="239"/>
      <c r="SAA341" s="239"/>
      <c r="SAB341" s="239"/>
      <c r="SAC341" s="239"/>
      <c r="SAD341" s="239"/>
      <c r="SAE341" s="233"/>
      <c r="SAF341" s="235"/>
      <c r="SAG341" s="233"/>
      <c r="SAH341" s="234"/>
      <c r="SAI341" s="234"/>
      <c r="SAJ341" s="242"/>
      <c r="SAK341" s="234"/>
      <c r="SAL341" s="234"/>
      <c r="SAM341" s="234"/>
      <c r="SAN341" s="236"/>
      <c r="SAO341" s="244"/>
      <c r="SAP341" s="239"/>
      <c r="SAQ341" s="240"/>
      <c r="SAR341" s="241"/>
      <c r="SAS341" s="239"/>
      <c r="SAT341" s="239"/>
      <c r="SAU341" s="239"/>
      <c r="SAV341" s="239"/>
      <c r="SAW341" s="239"/>
      <c r="SAX341" s="239"/>
      <c r="SAY341" s="233"/>
      <c r="SAZ341" s="235"/>
      <c r="SBA341" s="233"/>
      <c r="SBB341" s="234"/>
      <c r="SBC341" s="234"/>
      <c r="SBD341" s="242"/>
      <c r="SBE341" s="234"/>
      <c r="SBF341" s="234"/>
      <c r="SBG341" s="234"/>
      <c r="SBH341" s="236"/>
      <c r="SBI341" s="244"/>
      <c r="SBJ341" s="239"/>
      <c r="SBK341" s="240"/>
      <c r="SBL341" s="241"/>
      <c r="SBM341" s="239"/>
      <c r="SBN341" s="239"/>
      <c r="SBO341" s="239"/>
      <c r="SBP341" s="239"/>
      <c r="SBQ341" s="239"/>
      <c r="SBR341" s="239"/>
      <c r="SBS341" s="233"/>
      <c r="SBT341" s="235"/>
      <c r="SBU341" s="233"/>
      <c r="SBV341" s="234"/>
      <c r="SBW341" s="234"/>
      <c r="SBX341" s="242"/>
      <c r="SBY341" s="234"/>
      <c r="SBZ341" s="234"/>
      <c r="SCA341" s="234"/>
      <c r="SCB341" s="236"/>
      <c r="SCC341" s="244"/>
      <c r="SCD341" s="239"/>
      <c r="SCE341" s="240"/>
      <c r="SCF341" s="241"/>
      <c r="SCG341" s="239"/>
      <c r="SCH341" s="239"/>
      <c r="SCI341" s="239"/>
      <c r="SCJ341" s="239"/>
      <c r="SCK341" s="239"/>
      <c r="SCL341" s="239"/>
      <c r="SCM341" s="233"/>
      <c r="SCN341" s="235"/>
      <c r="SCO341" s="233"/>
      <c r="SCP341" s="234"/>
      <c r="SCQ341" s="234"/>
      <c r="SCR341" s="242"/>
      <c r="SCS341" s="234"/>
      <c r="SCT341" s="234"/>
      <c r="SCU341" s="234"/>
      <c r="SCV341" s="236"/>
      <c r="SCW341" s="244"/>
      <c r="SCX341" s="239"/>
      <c r="SCY341" s="240"/>
      <c r="SCZ341" s="241"/>
      <c r="SDA341" s="239"/>
      <c r="SDB341" s="239"/>
      <c r="SDC341" s="239"/>
      <c r="SDD341" s="239"/>
      <c r="SDE341" s="239"/>
      <c r="SDF341" s="239"/>
      <c r="SDG341" s="233"/>
      <c r="SDH341" s="235"/>
      <c r="SDI341" s="233"/>
      <c r="SDJ341" s="234"/>
      <c r="SDK341" s="234"/>
      <c r="SDL341" s="242"/>
      <c r="SDM341" s="234"/>
      <c r="SDN341" s="234"/>
      <c r="SDO341" s="234"/>
      <c r="SDP341" s="236"/>
      <c r="SDQ341" s="244"/>
      <c r="SDR341" s="239"/>
      <c r="SDS341" s="240"/>
      <c r="SDT341" s="241"/>
      <c r="SDU341" s="239"/>
      <c r="SDV341" s="239"/>
      <c r="SDW341" s="239"/>
      <c r="SDX341" s="239"/>
      <c r="SDY341" s="239"/>
      <c r="SDZ341" s="239"/>
      <c r="SEA341" s="233"/>
      <c r="SEB341" s="235"/>
      <c r="SEC341" s="233"/>
      <c r="SED341" s="234"/>
      <c r="SEE341" s="234"/>
      <c r="SEF341" s="242"/>
      <c r="SEG341" s="234"/>
      <c r="SEH341" s="234"/>
      <c r="SEI341" s="234"/>
      <c r="SEJ341" s="236"/>
      <c r="SEK341" s="244"/>
      <c r="SEL341" s="239"/>
      <c r="SEM341" s="240"/>
      <c r="SEN341" s="241"/>
      <c r="SEO341" s="239"/>
      <c r="SEP341" s="239"/>
      <c r="SEQ341" s="239"/>
      <c r="SER341" s="239"/>
      <c r="SES341" s="239"/>
      <c r="SET341" s="239"/>
      <c r="SEU341" s="233"/>
      <c r="SEV341" s="235"/>
      <c r="SEW341" s="233"/>
      <c r="SEX341" s="234"/>
      <c r="SEY341" s="234"/>
      <c r="SEZ341" s="242"/>
      <c r="SFA341" s="234"/>
      <c r="SFB341" s="234"/>
      <c r="SFC341" s="234"/>
      <c r="SFD341" s="236"/>
      <c r="SFE341" s="244"/>
      <c r="SFF341" s="239"/>
      <c r="SFG341" s="240"/>
      <c r="SFH341" s="241"/>
      <c r="SFI341" s="239"/>
      <c r="SFJ341" s="239"/>
      <c r="SFK341" s="239"/>
      <c r="SFL341" s="239"/>
      <c r="SFM341" s="239"/>
      <c r="SFN341" s="239"/>
      <c r="SFO341" s="233"/>
      <c r="SFP341" s="235"/>
      <c r="SFQ341" s="233"/>
      <c r="SFR341" s="234"/>
      <c r="SFS341" s="234"/>
      <c r="SFT341" s="242"/>
      <c r="SFU341" s="234"/>
      <c r="SFV341" s="234"/>
      <c r="SFW341" s="234"/>
      <c r="SFX341" s="236"/>
      <c r="SFY341" s="244"/>
      <c r="SFZ341" s="239"/>
      <c r="SGA341" s="240"/>
      <c r="SGB341" s="241"/>
      <c r="SGC341" s="239"/>
      <c r="SGD341" s="239"/>
      <c r="SGE341" s="239"/>
      <c r="SGF341" s="239"/>
      <c r="SGG341" s="239"/>
      <c r="SGH341" s="239"/>
      <c r="SGI341" s="233"/>
      <c r="SGJ341" s="235"/>
      <c r="SGK341" s="233"/>
      <c r="SGL341" s="234"/>
      <c r="SGM341" s="234"/>
      <c r="SGN341" s="242"/>
      <c r="SGO341" s="234"/>
      <c r="SGP341" s="234"/>
      <c r="SGQ341" s="234"/>
      <c r="SGR341" s="236"/>
      <c r="SGS341" s="244"/>
      <c r="SGT341" s="239"/>
      <c r="SGU341" s="240"/>
      <c r="SGV341" s="241"/>
      <c r="SGW341" s="239"/>
      <c r="SGX341" s="239"/>
      <c r="SGY341" s="239"/>
      <c r="SGZ341" s="239"/>
      <c r="SHA341" s="239"/>
      <c r="SHB341" s="239"/>
      <c r="SHC341" s="233"/>
      <c r="SHD341" s="235"/>
      <c r="SHE341" s="233"/>
      <c r="SHF341" s="234"/>
      <c r="SHG341" s="234"/>
      <c r="SHH341" s="242"/>
      <c r="SHI341" s="234"/>
      <c r="SHJ341" s="234"/>
      <c r="SHK341" s="234"/>
      <c r="SHL341" s="236"/>
      <c r="SHM341" s="244"/>
      <c r="SHN341" s="239"/>
      <c r="SHO341" s="240"/>
      <c r="SHP341" s="241"/>
      <c r="SHQ341" s="239"/>
      <c r="SHR341" s="239"/>
      <c r="SHS341" s="239"/>
      <c r="SHT341" s="239"/>
      <c r="SHU341" s="239"/>
      <c r="SHV341" s="239"/>
      <c r="SHW341" s="233"/>
      <c r="SHX341" s="235"/>
      <c r="SHY341" s="233"/>
      <c r="SHZ341" s="234"/>
      <c r="SIA341" s="234"/>
      <c r="SIB341" s="242"/>
      <c r="SIC341" s="234"/>
      <c r="SID341" s="234"/>
      <c r="SIE341" s="234"/>
      <c r="SIF341" s="236"/>
      <c r="SIG341" s="244"/>
      <c r="SIH341" s="239"/>
      <c r="SII341" s="240"/>
      <c r="SIJ341" s="241"/>
      <c r="SIK341" s="239"/>
      <c r="SIL341" s="239"/>
      <c r="SIM341" s="239"/>
      <c r="SIN341" s="239"/>
      <c r="SIO341" s="239"/>
      <c r="SIP341" s="239"/>
      <c r="SIQ341" s="233"/>
      <c r="SIR341" s="235"/>
      <c r="SIS341" s="233"/>
      <c r="SIT341" s="234"/>
      <c r="SIU341" s="234"/>
      <c r="SIV341" s="242"/>
      <c r="SIW341" s="234"/>
      <c r="SIX341" s="234"/>
      <c r="SIY341" s="234"/>
      <c r="SIZ341" s="236"/>
      <c r="SJA341" s="244"/>
      <c r="SJB341" s="239"/>
      <c r="SJC341" s="240"/>
      <c r="SJD341" s="241"/>
      <c r="SJE341" s="239"/>
      <c r="SJF341" s="239"/>
      <c r="SJG341" s="239"/>
      <c r="SJH341" s="239"/>
      <c r="SJI341" s="239"/>
      <c r="SJJ341" s="239"/>
      <c r="SJK341" s="233"/>
      <c r="SJL341" s="235"/>
      <c r="SJM341" s="233"/>
      <c r="SJN341" s="234"/>
      <c r="SJO341" s="234"/>
      <c r="SJP341" s="242"/>
      <c r="SJQ341" s="234"/>
      <c r="SJR341" s="234"/>
      <c r="SJS341" s="234"/>
      <c r="SJT341" s="236"/>
      <c r="SJU341" s="244"/>
      <c r="SJV341" s="239"/>
      <c r="SJW341" s="240"/>
      <c r="SJX341" s="241"/>
      <c r="SJY341" s="239"/>
      <c r="SJZ341" s="239"/>
      <c r="SKA341" s="239"/>
      <c r="SKB341" s="239"/>
      <c r="SKC341" s="239"/>
      <c r="SKD341" s="239"/>
      <c r="SKE341" s="233"/>
      <c r="SKF341" s="235"/>
      <c r="SKG341" s="233"/>
      <c r="SKH341" s="234"/>
      <c r="SKI341" s="234"/>
      <c r="SKJ341" s="242"/>
      <c r="SKK341" s="234"/>
      <c r="SKL341" s="234"/>
      <c r="SKM341" s="234"/>
      <c r="SKN341" s="236"/>
      <c r="SKO341" s="244"/>
      <c r="SKP341" s="239"/>
      <c r="SKQ341" s="240"/>
      <c r="SKR341" s="241"/>
      <c r="SKS341" s="239"/>
      <c r="SKT341" s="239"/>
      <c r="SKU341" s="239"/>
      <c r="SKV341" s="239"/>
      <c r="SKW341" s="239"/>
      <c r="SKX341" s="239"/>
      <c r="SKY341" s="233"/>
      <c r="SKZ341" s="235"/>
      <c r="SLA341" s="233"/>
      <c r="SLB341" s="234"/>
      <c r="SLC341" s="234"/>
      <c r="SLD341" s="242"/>
      <c r="SLE341" s="234"/>
      <c r="SLF341" s="234"/>
      <c r="SLG341" s="234"/>
      <c r="SLH341" s="236"/>
      <c r="SLI341" s="244"/>
      <c r="SLJ341" s="239"/>
      <c r="SLK341" s="240"/>
      <c r="SLL341" s="241"/>
      <c r="SLM341" s="239"/>
      <c r="SLN341" s="239"/>
      <c r="SLO341" s="239"/>
      <c r="SLP341" s="239"/>
      <c r="SLQ341" s="239"/>
      <c r="SLR341" s="239"/>
      <c r="SLS341" s="233"/>
      <c r="SLT341" s="235"/>
      <c r="SLU341" s="233"/>
      <c r="SLV341" s="234"/>
      <c r="SLW341" s="234"/>
      <c r="SLX341" s="242"/>
      <c r="SLY341" s="234"/>
      <c r="SLZ341" s="234"/>
      <c r="SMA341" s="234"/>
      <c r="SMB341" s="236"/>
      <c r="SMC341" s="244"/>
      <c r="SMD341" s="239"/>
      <c r="SME341" s="240"/>
      <c r="SMF341" s="241"/>
      <c r="SMG341" s="239"/>
      <c r="SMH341" s="239"/>
      <c r="SMI341" s="239"/>
      <c r="SMJ341" s="239"/>
      <c r="SMK341" s="239"/>
      <c r="SML341" s="239"/>
      <c r="SMM341" s="233"/>
      <c r="SMN341" s="235"/>
      <c r="SMO341" s="233"/>
      <c r="SMP341" s="234"/>
      <c r="SMQ341" s="234"/>
      <c r="SMR341" s="242"/>
      <c r="SMS341" s="234"/>
      <c r="SMT341" s="234"/>
      <c r="SMU341" s="234"/>
      <c r="SMV341" s="236"/>
      <c r="SMW341" s="244"/>
      <c r="SMX341" s="239"/>
      <c r="SMY341" s="240"/>
      <c r="SMZ341" s="241"/>
      <c r="SNA341" s="239"/>
      <c r="SNB341" s="239"/>
      <c r="SNC341" s="239"/>
      <c r="SND341" s="239"/>
      <c r="SNE341" s="239"/>
      <c r="SNF341" s="239"/>
      <c r="SNG341" s="233"/>
      <c r="SNH341" s="235"/>
      <c r="SNI341" s="233"/>
      <c r="SNJ341" s="234"/>
      <c r="SNK341" s="234"/>
      <c r="SNL341" s="242"/>
      <c r="SNM341" s="234"/>
      <c r="SNN341" s="234"/>
      <c r="SNO341" s="234"/>
      <c r="SNP341" s="236"/>
      <c r="SNQ341" s="244"/>
      <c r="SNR341" s="239"/>
      <c r="SNS341" s="240"/>
      <c r="SNT341" s="241"/>
      <c r="SNU341" s="239"/>
      <c r="SNV341" s="239"/>
      <c r="SNW341" s="239"/>
      <c r="SNX341" s="239"/>
      <c r="SNY341" s="239"/>
      <c r="SNZ341" s="239"/>
      <c r="SOA341" s="233"/>
      <c r="SOB341" s="235"/>
      <c r="SOC341" s="233"/>
      <c r="SOD341" s="234"/>
      <c r="SOE341" s="234"/>
      <c r="SOF341" s="242"/>
      <c r="SOG341" s="234"/>
      <c r="SOH341" s="234"/>
      <c r="SOI341" s="234"/>
      <c r="SOJ341" s="236"/>
      <c r="SOK341" s="244"/>
      <c r="SOL341" s="239"/>
      <c r="SOM341" s="240"/>
      <c r="SON341" s="241"/>
      <c r="SOO341" s="239"/>
      <c r="SOP341" s="239"/>
      <c r="SOQ341" s="239"/>
      <c r="SOR341" s="239"/>
      <c r="SOS341" s="239"/>
      <c r="SOT341" s="239"/>
      <c r="SOU341" s="233"/>
      <c r="SOV341" s="235"/>
      <c r="SOW341" s="233"/>
      <c r="SOX341" s="234"/>
      <c r="SOY341" s="234"/>
      <c r="SOZ341" s="242"/>
      <c r="SPA341" s="234"/>
      <c r="SPB341" s="234"/>
      <c r="SPC341" s="234"/>
      <c r="SPD341" s="236"/>
      <c r="SPE341" s="244"/>
      <c r="SPF341" s="239"/>
      <c r="SPG341" s="240"/>
      <c r="SPH341" s="241"/>
      <c r="SPI341" s="239"/>
      <c r="SPJ341" s="239"/>
      <c r="SPK341" s="239"/>
      <c r="SPL341" s="239"/>
      <c r="SPM341" s="239"/>
      <c r="SPN341" s="239"/>
      <c r="SPO341" s="233"/>
      <c r="SPP341" s="235"/>
      <c r="SPQ341" s="233"/>
      <c r="SPR341" s="234"/>
      <c r="SPS341" s="234"/>
      <c r="SPT341" s="242"/>
      <c r="SPU341" s="234"/>
      <c r="SPV341" s="234"/>
      <c r="SPW341" s="234"/>
      <c r="SPX341" s="236"/>
      <c r="SPY341" s="244"/>
      <c r="SPZ341" s="239"/>
      <c r="SQA341" s="240"/>
      <c r="SQB341" s="241"/>
      <c r="SQC341" s="239"/>
      <c r="SQD341" s="239"/>
      <c r="SQE341" s="239"/>
      <c r="SQF341" s="239"/>
      <c r="SQG341" s="239"/>
      <c r="SQH341" s="239"/>
      <c r="SQI341" s="233"/>
      <c r="SQJ341" s="235"/>
      <c r="SQK341" s="233"/>
      <c r="SQL341" s="234"/>
      <c r="SQM341" s="234"/>
      <c r="SQN341" s="242"/>
      <c r="SQO341" s="234"/>
      <c r="SQP341" s="234"/>
      <c r="SQQ341" s="234"/>
      <c r="SQR341" s="236"/>
      <c r="SQS341" s="244"/>
      <c r="SQT341" s="239"/>
      <c r="SQU341" s="240"/>
      <c r="SQV341" s="241"/>
      <c r="SQW341" s="239"/>
      <c r="SQX341" s="239"/>
      <c r="SQY341" s="239"/>
      <c r="SQZ341" s="239"/>
      <c r="SRA341" s="239"/>
      <c r="SRB341" s="239"/>
      <c r="SRC341" s="233"/>
      <c r="SRD341" s="235"/>
      <c r="SRE341" s="233"/>
      <c r="SRF341" s="234"/>
      <c r="SRG341" s="234"/>
      <c r="SRH341" s="242"/>
      <c r="SRI341" s="234"/>
      <c r="SRJ341" s="234"/>
      <c r="SRK341" s="234"/>
      <c r="SRL341" s="236"/>
      <c r="SRM341" s="244"/>
      <c r="SRN341" s="239"/>
      <c r="SRO341" s="240"/>
      <c r="SRP341" s="241"/>
      <c r="SRQ341" s="239"/>
      <c r="SRR341" s="239"/>
      <c r="SRS341" s="239"/>
      <c r="SRT341" s="239"/>
      <c r="SRU341" s="239"/>
      <c r="SRV341" s="239"/>
      <c r="SRW341" s="233"/>
      <c r="SRX341" s="235"/>
      <c r="SRY341" s="233"/>
      <c r="SRZ341" s="234"/>
      <c r="SSA341" s="234"/>
      <c r="SSB341" s="242"/>
      <c r="SSC341" s="234"/>
      <c r="SSD341" s="234"/>
      <c r="SSE341" s="234"/>
      <c r="SSF341" s="236"/>
      <c r="SSG341" s="244"/>
      <c r="SSH341" s="239"/>
      <c r="SSI341" s="240"/>
      <c r="SSJ341" s="241"/>
      <c r="SSK341" s="239"/>
      <c r="SSL341" s="239"/>
      <c r="SSM341" s="239"/>
      <c r="SSN341" s="239"/>
      <c r="SSO341" s="239"/>
      <c r="SSP341" s="239"/>
      <c r="SSQ341" s="233"/>
      <c r="SSR341" s="235"/>
      <c r="SSS341" s="233"/>
      <c r="SST341" s="234"/>
      <c r="SSU341" s="234"/>
      <c r="SSV341" s="242"/>
      <c r="SSW341" s="234"/>
      <c r="SSX341" s="234"/>
      <c r="SSY341" s="234"/>
      <c r="SSZ341" s="236"/>
      <c r="STA341" s="244"/>
      <c r="STB341" s="239"/>
      <c r="STC341" s="240"/>
      <c r="STD341" s="241"/>
      <c r="STE341" s="239"/>
      <c r="STF341" s="239"/>
      <c r="STG341" s="239"/>
      <c r="STH341" s="239"/>
      <c r="STI341" s="239"/>
      <c r="STJ341" s="239"/>
      <c r="STK341" s="233"/>
      <c r="STL341" s="235"/>
      <c r="STM341" s="233"/>
      <c r="STN341" s="234"/>
      <c r="STO341" s="234"/>
      <c r="STP341" s="242"/>
      <c r="STQ341" s="234"/>
      <c r="STR341" s="234"/>
      <c r="STS341" s="234"/>
      <c r="STT341" s="236"/>
      <c r="STU341" s="244"/>
      <c r="STV341" s="239"/>
      <c r="STW341" s="240"/>
      <c r="STX341" s="241"/>
      <c r="STY341" s="239"/>
      <c r="STZ341" s="239"/>
      <c r="SUA341" s="239"/>
      <c r="SUB341" s="239"/>
      <c r="SUC341" s="239"/>
      <c r="SUD341" s="239"/>
      <c r="SUE341" s="233"/>
      <c r="SUF341" s="235"/>
      <c r="SUG341" s="233"/>
      <c r="SUH341" s="234"/>
      <c r="SUI341" s="234"/>
      <c r="SUJ341" s="242"/>
      <c r="SUK341" s="234"/>
      <c r="SUL341" s="234"/>
      <c r="SUM341" s="234"/>
      <c r="SUN341" s="236"/>
      <c r="SUO341" s="244"/>
      <c r="SUP341" s="239"/>
      <c r="SUQ341" s="240"/>
      <c r="SUR341" s="241"/>
      <c r="SUS341" s="239"/>
      <c r="SUT341" s="239"/>
      <c r="SUU341" s="239"/>
      <c r="SUV341" s="239"/>
      <c r="SUW341" s="239"/>
      <c r="SUX341" s="239"/>
      <c r="SUY341" s="233"/>
      <c r="SUZ341" s="235"/>
      <c r="SVA341" s="233"/>
      <c r="SVB341" s="234"/>
      <c r="SVC341" s="234"/>
      <c r="SVD341" s="242"/>
      <c r="SVE341" s="234"/>
      <c r="SVF341" s="234"/>
      <c r="SVG341" s="234"/>
      <c r="SVH341" s="236"/>
      <c r="SVI341" s="244"/>
      <c r="SVJ341" s="239"/>
      <c r="SVK341" s="240"/>
      <c r="SVL341" s="241"/>
      <c r="SVM341" s="239"/>
      <c r="SVN341" s="239"/>
      <c r="SVO341" s="239"/>
      <c r="SVP341" s="239"/>
      <c r="SVQ341" s="239"/>
      <c r="SVR341" s="239"/>
      <c r="SVS341" s="233"/>
      <c r="SVT341" s="235"/>
      <c r="SVU341" s="233"/>
      <c r="SVV341" s="234"/>
      <c r="SVW341" s="234"/>
      <c r="SVX341" s="242"/>
      <c r="SVY341" s="234"/>
      <c r="SVZ341" s="234"/>
      <c r="SWA341" s="234"/>
      <c r="SWB341" s="236"/>
      <c r="SWC341" s="244"/>
      <c r="SWD341" s="239"/>
      <c r="SWE341" s="240"/>
      <c r="SWF341" s="241"/>
      <c r="SWG341" s="239"/>
      <c r="SWH341" s="239"/>
      <c r="SWI341" s="239"/>
      <c r="SWJ341" s="239"/>
      <c r="SWK341" s="239"/>
      <c r="SWL341" s="239"/>
      <c r="SWM341" s="233"/>
      <c r="SWN341" s="235"/>
      <c r="SWO341" s="233"/>
      <c r="SWP341" s="234"/>
      <c r="SWQ341" s="234"/>
      <c r="SWR341" s="242"/>
      <c r="SWS341" s="234"/>
      <c r="SWT341" s="234"/>
      <c r="SWU341" s="234"/>
      <c r="SWV341" s="236"/>
      <c r="SWW341" s="244"/>
      <c r="SWX341" s="239"/>
      <c r="SWY341" s="240"/>
      <c r="SWZ341" s="241"/>
      <c r="SXA341" s="239"/>
      <c r="SXB341" s="239"/>
      <c r="SXC341" s="239"/>
      <c r="SXD341" s="239"/>
      <c r="SXE341" s="239"/>
      <c r="SXF341" s="239"/>
      <c r="SXG341" s="233"/>
      <c r="SXH341" s="235"/>
      <c r="SXI341" s="233"/>
      <c r="SXJ341" s="234"/>
      <c r="SXK341" s="234"/>
      <c r="SXL341" s="242"/>
      <c r="SXM341" s="234"/>
      <c r="SXN341" s="234"/>
      <c r="SXO341" s="234"/>
      <c r="SXP341" s="236"/>
      <c r="SXQ341" s="244"/>
      <c r="SXR341" s="239"/>
      <c r="SXS341" s="240"/>
      <c r="SXT341" s="241"/>
      <c r="SXU341" s="239"/>
      <c r="SXV341" s="239"/>
      <c r="SXW341" s="239"/>
      <c r="SXX341" s="239"/>
      <c r="SXY341" s="239"/>
      <c r="SXZ341" s="239"/>
      <c r="SYA341" s="233"/>
      <c r="SYB341" s="235"/>
      <c r="SYC341" s="233"/>
      <c r="SYD341" s="234"/>
      <c r="SYE341" s="234"/>
      <c r="SYF341" s="242"/>
      <c r="SYG341" s="234"/>
      <c r="SYH341" s="234"/>
      <c r="SYI341" s="234"/>
      <c r="SYJ341" s="236"/>
      <c r="SYK341" s="244"/>
      <c r="SYL341" s="239"/>
      <c r="SYM341" s="240"/>
      <c r="SYN341" s="241"/>
      <c r="SYO341" s="239"/>
      <c r="SYP341" s="239"/>
      <c r="SYQ341" s="239"/>
      <c r="SYR341" s="239"/>
      <c r="SYS341" s="239"/>
      <c r="SYT341" s="239"/>
      <c r="SYU341" s="233"/>
      <c r="SYV341" s="235"/>
      <c r="SYW341" s="233"/>
      <c r="SYX341" s="234"/>
      <c r="SYY341" s="234"/>
      <c r="SYZ341" s="242"/>
      <c r="SZA341" s="234"/>
      <c r="SZB341" s="234"/>
      <c r="SZC341" s="234"/>
      <c r="SZD341" s="236"/>
      <c r="SZE341" s="244"/>
      <c r="SZF341" s="239"/>
      <c r="SZG341" s="240"/>
      <c r="SZH341" s="241"/>
      <c r="SZI341" s="239"/>
      <c r="SZJ341" s="239"/>
      <c r="SZK341" s="239"/>
      <c r="SZL341" s="239"/>
      <c r="SZM341" s="239"/>
      <c r="SZN341" s="239"/>
      <c r="SZO341" s="233"/>
      <c r="SZP341" s="235"/>
      <c r="SZQ341" s="233"/>
      <c r="SZR341" s="234"/>
      <c r="SZS341" s="234"/>
      <c r="SZT341" s="242"/>
      <c r="SZU341" s="234"/>
      <c r="SZV341" s="234"/>
      <c r="SZW341" s="234"/>
      <c r="SZX341" s="236"/>
      <c r="SZY341" s="244"/>
      <c r="SZZ341" s="239"/>
      <c r="TAA341" s="240"/>
      <c r="TAB341" s="241"/>
      <c r="TAC341" s="239"/>
      <c r="TAD341" s="239"/>
      <c r="TAE341" s="239"/>
      <c r="TAF341" s="239"/>
      <c r="TAG341" s="239"/>
      <c r="TAH341" s="239"/>
      <c r="TAI341" s="233"/>
      <c r="TAJ341" s="235"/>
      <c r="TAK341" s="233"/>
      <c r="TAL341" s="234"/>
      <c r="TAM341" s="234"/>
      <c r="TAN341" s="242"/>
      <c r="TAO341" s="234"/>
      <c r="TAP341" s="234"/>
      <c r="TAQ341" s="234"/>
      <c r="TAR341" s="236"/>
      <c r="TAS341" s="244"/>
      <c r="TAT341" s="239"/>
      <c r="TAU341" s="240"/>
      <c r="TAV341" s="241"/>
      <c r="TAW341" s="239"/>
      <c r="TAX341" s="239"/>
      <c r="TAY341" s="239"/>
      <c r="TAZ341" s="239"/>
      <c r="TBA341" s="239"/>
      <c r="TBB341" s="239"/>
      <c r="TBC341" s="233"/>
      <c r="TBD341" s="235"/>
      <c r="TBE341" s="233"/>
      <c r="TBF341" s="234"/>
      <c r="TBG341" s="234"/>
      <c r="TBH341" s="242"/>
      <c r="TBI341" s="234"/>
      <c r="TBJ341" s="234"/>
      <c r="TBK341" s="234"/>
      <c r="TBL341" s="236"/>
      <c r="TBM341" s="244"/>
      <c r="TBN341" s="239"/>
      <c r="TBO341" s="240"/>
      <c r="TBP341" s="241"/>
      <c r="TBQ341" s="239"/>
      <c r="TBR341" s="239"/>
      <c r="TBS341" s="239"/>
      <c r="TBT341" s="239"/>
      <c r="TBU341" s="239"/>
      <c r="TBV341" s="239"/>
      <c r="TBW341" s="233"/>
      <c r="TBX341" s="235"/>
      <c r="TBY341" s="233"/>
      <c r="TBZ341" s="234"/>
      <c r="TCA341" s="234"/>
      <c r="TCB341" s="242"/>
      <c r="TCC341" s="234"/>
      <c r="TCD341" s="234"/>
      <c r="TCE341" s="234"/>
      <c r="TCF341" s="236"/>
      <c r="TCG341" s="244"/>
      <c r="TCH341" s="239"/>
      <c r="TCI341" s="240"/>
      <c r="TCJ341" s="241"/>
      <c r="TCK341" s="239"/>
      <c r="TCL341" s="239"/>
      <c r="TCM341" s="239"/>
      <c r="TCN341" s="239"/>
      <c r="TCO341" s="239"/>
      <c r="TCP341" s="239"/>
      <c r="TCQ341" s="233"/>
      <c r="TCR341" s="235"/>
      <c r="TCS341" s="233"/>
      <c r="TCT341" s="234"/>
      <c r="TCU341" s="234"/>
      <c r="TCV341" s="242"/>
      <c r="TCW341" s="234"/>
      <c r="TCX341" s="234"/>
      <c r="TCY341" s="234"/>
      <c r="TCZ341" s="236"/>
      <c r="TDA341" s="244"/>
      <c r="TDB341" s="239"/>
      <c r="TDC341" s="240"/>
      <c r="TDD341" s="241"/>
      <c r="TDE341" s="239"/>
      <c r="TDF341" s="239"/>
      <c r="TDG341" s="239"/>
      <c r="TDH341" s="239"/>
      <c r="TDI341" s="239"/>
      <c r="TDJ341" s="239"/>
      <c r="TDK341" s="233"/>
      <c r="TDL341" s="235"/>
      <c r="TDM341" s="233"/>
      <c r="TDN341" s="234"/>
      <c r="TDO341" s="234"/>
      <c r="TDP341" s="242"/>
      <c r="TDQ341" s="234"/>
      <c r="TDR341" s="234"/>
      <c r="TDS341" s="234"/>
      <c r="TDT341" s="236"/>
      <c r="TDU341" s="244"/>
      <c r="TDV341" s="239"/>
      <c r="TDW341" s="240"/>
      <c r="TDX341" s="241"/>
      <c r="TDY341" s="239"/>
      <c r="TDZ341" s="239"/>
      <c r="TEA341" s="239"/>
      <c r="TEB341" s="239"/>
      <c r="TEC341" s="239"/>
      <c r="TED341" s="239"/>
      <c r="TEE341" s="233"/>
      <c r="TEF341" s="235"/>
      <c r="TEG341" s="233"/>
      <c r="TEH341" s="234"/>
      <c r="TEI341" s="234"/>
      <c r="TEJ341" s="242"/>
      <c r="TEK341" s="234"/>
      <c r="TEL341" s="234"/>
      <c r="TEM341" s="234"/>
      <c r="TEN341" s="236"/>
      <c r="TEO341" s="244"/>
      <c r="TEP341" s="239"/>
      <c r="TEQ341" s="240"/>
      <c r="TER341" s="241"/>
      <c r="TES341" s="239"/>
      <c r="TET341" s="239"/>
      <c r="TEU341" s="239"/>
      <c r="TEV341" s="239"/>
      <c r="TEW341" s="239"/>
      <c r="TEX341" s="239"/>
      <c r="TEY341" s="233"/>
      <c r="TEZ341" s="235"/>
      <c r="TFA341" s="233"/>
      <c r="TFB341" s="234"/>
      <c r="TFC341" s="234"/>
      <c r="TFD341" s="242"/>
      <c r="TFE341" s="234"/>
      <c r="TFF341" s="234"/>
      <c r="TFG341" s="234"/>
      <c r="TFH341" s="236"/>
      <c r="TFI341" s="244"/>
      <c r="TFJ341" s="239"/>
      <c r="TFK341" s="240"/>
      <c r="TFL341" s="241"/>
      <c r="TFM341" s="239"/>
      <c r="TFN341" s="239"/>
      <c r="TFO341" s="239"/>
      <c r="TFP341" s="239"/>
      <c r="TFQ341" s="239"/>
      <c r="TFR341" s="239"/>
      <c r="TFS341" s="233"/>
      <c r="TFT341" s="235"/>
      <c r="TFU341" s="233"/>
      <c r="TFV341" s="234"/>
      <c r="TFW341" s="234"/>
      <c r="TFX341" s="242"/>
      <c r="TFY341" s="234"/>
      <c r="TFZ341" s="234"/>
      <c r="TGA341" s="234"/>
      <c r="TGB341" s="236"/>
      <c r="TGC341" s="244"/>
      <c r="TGD341" s="239"/>
      <c r="TGE341" s="240"/>
      <c r="TGF341" s="241"/>
      <c r="TGG341" s="239"/>
      <c r="TGH341" s="239"/>
      <c r="TGI341" s="239"/>
      <c r="TGJ341" s="239"/>
      <c r="TGK341" s="239"/>
      <c r="TGL341" s="239"/>
      <c r="TGM341" s="233"/>
      <c r="TGN341" s="235"/>
      <c r="TGO341" s="233"/>
      <c r="TGP341" s="234"/>
      <c r="TGQ341" s="234"/>
      <c r="TGR341" s="242"/>
      <c r="TGS341" s="234"/>
      <c r="TGT341" s="234"/>
      <c r="TGU341" s="234"/>
      <c r="TGV341" s="236"/>
      <c r="TGW341" s="244"/>
      <c r="TGX341" s="239"/>
      <c r="TGY341" s="240"/>
      <c r="TGZ341" s="241"/>
      <c r="THA341" s="239"/>
      <c r="THB341" s="239"/>
      <c r="THC341" s="239"/>
      <c r="THD341" s="239"/>
      <c r="THE341" s="239"/>
      <c r="THF341" s="239"/>
      <c r="THG341" s="233"/>
      <c r="THH341" s="235"/>
      <c r="THI341" s="233"/>
      <c r="THJ341" s="234"/>
      <c r="THK341" s="234"/>
      <c r="THL341" s="242"/>
      <c r="THM341" s="234"/>
      <c r="THN341" s="234"/>
      <c r="THO341" s="234"/>
      <c r="THP341" s="236"/>
      <c r="THQ341" s="244"/>
      <c r="THR341" s="239"/>
      <c r="THS341" s="240"/>
      <c r="THT341" s="241"/>
      <c r="THU341" s="239"/>
      <c r="THV341" s="239"/>
      <c r="THW341" s="239"/>
      <c r="THX341" s="239"/>
      <c r="THY341" s="239"/>
      <c r="THZ341" s="239"/>
      <c r="TIA341" s="233"/>
      <c r="TIB341" s="235"/>
      <c r="TIC341" s="233"/>
      <c r="TID341" s="234"/>
      <c r="TIE341" s="234"/>
      <c r="TIF341" s="242"/>
      <c r="TIG341" s="234"/>
      <c r="TIH341" s="234"/>
      <c r="TII341" s="234"/>
      <c r="TIJ341" s="236"/>
      <c r="TIK341" s="244"/>
      <c r="TIL341" s="239"/>
      <c r="TIM341" s="240"/>
      <c r="TIN341" s="241"/>
      <c r="TIO341" s="239"/>
      <c r="TIP341" s="239"/>
      <c r="TIQ341" s="239"/>
      <c r="TIR341" s="239"/>
      <c r="TIS341" s="239"/>
      <c r="TIT341" s="239"/>
      <c r="TIU341" s="233"/>
      <c r="TIV341" s="235"/>
      <c r="TIW341" s="233"/>
      <c r="TIX341" s="234"/>
      <c r="TIY341" s="234"/>
      <c r="TIZ341" s="242"/>
      <c r="TJA341" s="234"/>
      <c r="TJB341" s="234"/>
      <c r="TJC341" s="234"/>
      <c r="TJD341" s="236"/>
      <c r="TJE341" s="244"/>
      <c r="TJF341" s="239"/>
      <c r="TJG341" s="240"/>
      <c r="TJH341" s="241"/>
      <c r="TJI341" s="239"/>
      <c r="TJJ341" s="239"/>
      <c r="TJK341" s="239"/>
      <c r="TJL341" s="239"/>
      <c r="TJM341" s="239"/>
      <c r="TJN341" s="239"/>
      <c r="TJO341" s="233"/>
      <c r="TJP341" s="235"/>
      <c r="TJQ341" s="233"/>
      <c r="TJR341" s="234"/>
      <c r="TJS341" s="234"/>
      <c r="TJT341" s="242"/>
      <c r="TJU341" s="234"/>
      <c r="TJV341" s="234"/>
      <c r="TJW341" s="234"/>
      <c r="TJX341" s="236"/>
      <c r="TJY341" s="244"/>
      <c r="TJZ341" s="239"/>
      <c r="TKA341" s="240"/>
      <c r="TKB341" s="241"/>
      <c r="TKC341" s="239"/>
      <c r="TKD341" s="239"/>
      <c r="TKE341" s="239"/>
      <c r="TKF341" s="239"/>
      <c r="TKG341" s="239"/>
      <c r="TKH341" s="239"/>
      <c r="TKI341" s="233"/>
      <c r="TKJ341" s="235"/>
      <c r="TKK341" s="233"/>
      <c r="TKL341" s="234"/>
      <c r="TKM341" s="234"/>
      <c r="TKN341" s="242"/>
      <c r="TKO341" s="234"/>
      <c r="TKP341" s="234"/>
      <c r="TKQ341" s="234"/>
      <c r="TKR341" s="236"/>
      <c r="TKS341" s="244"/>
      <c r="TKT341" s="239"/>
      <c r="TKU341" s="240"/>
      <c r="TKV341" s="241"/>
      <c r="TKW341" s="239"/>
      <c r="TKX341" s="239"/>
      <c r="TKY341" s="239"/>
      <c r="TKZ341" s="239"/>
      <c r="TLA341" s="239"/>
      <c r="TLB341" s="239"/>
      <c r="TLC341" s="233"/>
      <c r="TLD341" s="235"/>
      <c r="TLE341" s="233"/>
      <c r="TLF341" s="234"/>
      <c r="TLG341" s="234"/>
      <c r="TLH341" s="242"/>
      <c r="TLI341" s="234"/>
      <c r="TLJ341" s="234"/>
      <c r="TLK341" s="234"/>
      <c r="TLL341" s="236"/>
      <c r="TLM341" s="244"/>
      <c r="TLN341" s="239"/>
      <c r="TLO341" s="240"/>
      <c r="TLP341" s="241"/>
      <c r="TLQ341" s="239"/>
      <c r="TLR341" s="239"/>
      <c r="TLS341" s="239"/>
      <c r="TLT341" s="239"/>
      <c r="TLU341" s="239"/>
      <c r="TLV341" s="239"/>
      <c r="TLW341" s="233"/>
      <c r="TLX341" s="235"/>
      <c r="TLY341" s="233"/>
      <c r="TLZ341" s="234"/>
      <c r="TMA341" s="234"/>
      <c r="TMB341" s="242"/>
      <c r="TMC341" s="234"/>
      <c r="TMD341" s="234"/>
      <c r="TME341" s="234"/>
      <c r="TMF341" s="236"/>
      <c r="TMG341" s="244"/>
      <c r="TMH341" s="239"/>
      <c r="TMI341" s="240"/>
      <c r="TMJ341" s="241"/>
      <c r="TMK341" s="239"/>
      <c r="TML341" s="239"/>
      <c r="TMM341" s="239"/>
      <c r="TMN341" s="239"/>
      <c r="TMO341" s="239"/>
      <c r="TMP341" s="239"/>
      <c r="TMQ341" s="233"/>
      <c r="TMR341" s="235"/>
      <c r="TMS341" s="233"/>
      <c r="TMT341" s="234"/>
      <c r="TMU341" s="234"/>
      <c r="TMV341" s="242"/>
      <c r="TMW341" s="234"/>
      <c r="TMX341" s="234"/>
      <c r="TMY341" s="234"/>
      <c r="TMZ341" s="236"/>
      <c r="TNA341" s="244"/>
      <c r="TNB341" s="239"/>
      <c r="TNC341" s="240"/>
      <c r="TND341" s="241"/>
      <c r="TNE341" s="239"/>
      <c r="TNF341" s="239"/>
      <c r="TNG341" s="239"/>
      <c r="TNH341" s="239"/>
      <c r="TNI341" s="239"/>
      <c r="TNJ341" s="239"/>
      <c r="TNK341" s="233"/>
      <c r="TNL341" s="235"/>
      <c r="TNM341" s="233"/>
      <c r="TNN341" s="234"/>
      <c r="TNO341" s="234"/>
      <c r="TNP341" s="242"/>
      <c r="TNQ341" s="234"/>
      <c r="TNR341" s="234"/>
      <c r="TNS341" s="234"/>
      <c r="TNT341" s="236"/>
      <c r="TNU341" s="244"/>
      <c r="TNV341" s="239"/>
      <c r="TNW341" s="240"/>
      <c r="TNX341" s="241"/>
      <c r="TNY341" s="239"/>
      <c r="TNZ341" s="239"/>
      <c r="TOA341" s="239"/>
      <c r="TOB341" s="239"/>
      <c r="TOC341" s="239"/>
      <c r="TOD341" s="239"/>
      <c r="TOE341" s="233"/>
      <c r="TOF341" s="235"/>
      <c r="TOG341" s="233"/>
      <c r="TOH341" s="234"/>
      <c r="TOI341" s="234"/>
      <c r="TOJ341" s="242"/>
      <c r="TOK341" s="234"/>
      <c r="TOL341" s="234"/>
      <c r="TOM341" s="234"/>
      <c r="TON341" s="236"/>
      <c r="TOO341" s="244"/>
      <c r="TOP341" s="239"/>
      <c r="TOQ341" s="240"/>
      <c r="TOR341" s="241"/>
      <c r="TOS341" s="239"/>
      <c r="TOT341" s="239"/>
      <c r="TOU341" s="239"/>
      <c r="TOV341" s="239"/>
      <c r="TOW341" s="239"/>
      <c r="TOX341" s="239"/>
      <c r="TOY341" s="233"/>
      <c r="TOZ341" s="235"/>
      <c r="TPA341" s="233"/>
      <c r="TPB341" s="234"/>
      <c r="TPC341" s="234"/>
      <c r="TPD341" s="242"/>
      <c r="TPE341" s="234"/>
      <c r="TPF341" s="234"/>
      <c r="TPG341" s="234"/>
      <c r="TPH341" s="236"/>
      <c r="TPI341" s="244"/>
      <c r="TPJ341" s="239"/>
      <c r="TPK341" s="240"/>
      <c r="TPL341" s="241"/>
      <c r="TPM341" s="239"/>
      <c r="TPN341" s="239"/>
      <c r="TPO341" s="239"/>
      <c r="TPP341" s="239"/>
      <c r="TPQ341" s="239"/>
      <c r="TPR341" s="239"/>
      <c r="TPS341" s="233"/>
      <c r="TPT341" s="235"/>
      <c r="TPU341" s="233"/>
      <c r="TPV341" s="234"/>
      <c r="TPW341" s="234"/>
      <c r="TPX341" s="242"/>
      <c r="TPY341" s="234"/>
      <c r="TPZ341" s="234"/>
      <c r="TQA341" s="234"/>
      <c r="TQB341" s="236"/>
      <c r="TQC341" s="244"/>
      <c r="TQD341" s="239"/>
      <c r="TQE341" s="240"/>
      <c r="TQF341" s="241"/>
      <c r="TQG341" s="239"/>
      <c r="TQH341" s="239"/>
      <c r="TQI341" s="239"/>
      <c r="TQJ341" s="239"/>
      <c r="TQK341" s="239"/>
      <c r="TQL341" s="239"/>
      <c r="TQM341" s="233"/>
      <c r="TQN341" s="235"/>
      <c r="TQO341" s="233"/>
      <c r="TQP341" s="234"/>
      <c r="TQQ341" s="234"/>
      <c r="TQR341" s="242"/>
      <c r="TQS341" s="234"/>
      <c r="TQT341" s="234"/>
      <c r="TQU341" s="234"/>
      <c r="TQV341" s="236"/>
      <c r="TQW341" s="244"/>
      <c r="TQX341" s="239"/>
      <c r="TQY341" s="240"/>
      <c r="TQZ341" s="241"/>
      <c r="TRA341" s="239"/>
      <c r="TRB341" s="239"/>
      <c r="TRC341" s="239"/>
      <c r="TRD341" s="239"/>
      <c r="TRE341" s="239"/>
      <c r="TRF341" s="239"/>
      <c r="TRG341" s="233"/>
      <c r="TRH341" s="235"/>
      <c r="TRI341" s="233"/>
      <c r="TRJ341" s="234"/>
      <c r="TRK341" s="234"/>
      <c r="TRL341" s="242"/>
      <c r="TRM341" s="234"/>
      <c r="TRN341" s="234"/>
      <c r="TRO341" s="234"/>
      <c r="TRP341" s="236"/>
      <c r="TRQ341" s="244"/>
      <c r="TRR341" s="239"/>
      <c r="TRS341" s="240"/>
      <c r="TRT341" s="241"/>
      <c r="TRU341" s="239"/>
      <c r="TRV341" s="239"/>
      <c r="TRW341" s="239"/>
      <c r="TRX341" s="239"/>
      <c r="TRY341" s="239"/>
      <c r="TRZ341" s="239"/>
      <c r="TSA341" s="233"/>
      <c r="TSB341" s="235"/>
      <c r="TSC341" s="233"/>
      <c r="TSD341" s="234"/>
      <c r="TSE341" s="234"/>
      <c r="TSF341" s="242"/>
      <c r="TSG341" s="234"/>
      <c r="TSH341" s="234"/>
      <c r="TSI341" s="234"/>
      <c r="TSJ341" s="236"/>
      <c r="TSK341" s="244"/>
      <c r="TSL341" s="239"/>
      <c r="TSM341" s="240"/>
      <c r="TSN341" s="241"/>
      <c r="TSO341" s="239"/>
      <c r="TSP341" s="239"/>
      <c r="TSQ341" s="239"/>
      <c r="TSR341" s="239"/>
      <c r="TSS341" s="239"/>
      <c r="TST341" s="239"/>
      <c r="TSU341" s="233"/>
      <c r="TSV341" s="235"/>
      <c r="TSW341" s="233"/>
      <c r="TSX341" s="234"/>
      <c r="TSY341" s="234"/>
      <c r="TSZ341" s="242"/>
      <c r="TTA341" s="234"/>
      <c r="TTB341" s="234"/>
      <c r="TTC341" s="234"/>
      <c r="TTD341" s="236"/>
      <c r="TTE341" s="244"/>
      <c r="TTF341" s="239"/>
      <c r="TTG341" s="240"/>
      <c r="TTH341" s="241"/>
      <c r="TTI341" s="239"/>
      <c r="TTJ341" s="239"/>
      <c r="TTK341" s="239"/>
      <c r="TTL341" s="239"/>
      <c r="TTM341" s="239"/>
      <c r="TTN341" s="239"/>
      <c r="TTO341" s="233"/>
      <c r="TTP341" s="235"/>
      <c r="TTQ341" s="233"/>
      <c r="TTR341" s="234"/>
      <c r="TTS341" s="234"/>
      <c r="TTT341" s="242"/>
      <c r="TTU341" s="234"/>
      <c r="TTV341" s="234"/>
      <c r="TTW341" s="234"/>
      <c r="TTX341" s="236"/>
      <c r="TTY341" s="244"/>
      <c r="TTZ341" s="239"/>
      <c r="TUA341" s="240"/>
      <c r="TUB341" s="241"/>
      <c r="TUC341" s="239"/>
      <c r="TUD341" s="239"/>
      <c r="TUE341" s="239"/>
      <c r="TUF341" s="239"/>
      <c r="TUG341" s="239"/>
      <c r="TUH341" s="239"/>
      <c r="TUI341" s="233"/>
      <c r="TUJ341" s="235"/>
      <c r="TUK341" s="233"/>
      <c r="TUL341" s="234"/>
      <c r="TUM341" s="234"/>
      <c r="TUN341" s="242"/>
      <c r="TUO341" s="234"/>
      <c r="TUP341" s="234"/>
      <c r="TUQ341" s="234"/>
      <c r="TUR341" s="236"/>
      <c r="TUS341" s="244"/>
      <c r="TUT341" s="239"/>
      <c r="TUU341" s="240"/>
      <c r="TUV341" s="241"/>
      <c r="TUW341" s="239"/>
      <c r="TUX341" s="239"/>
      <c r="TUY341" s="239"/>
      <c r="TUZ341" s="239"/>
      <c r="TVA341" s="239"/>
      <c r="TVB341" s="239"/>
      <c r="TVC341" s="233"/>
      <c r="TVD341" s="235"/>
      <c r="TVE341" s="233"/>
      <c r="TVF341" s="234"/>
      <c r="TVG341" s="234"/>
      <c r="TVH341" s="242"/>
      <c r="TVI341" s="234"/>
      <c r="TVJ341" s="234"/>
      <c r="TVK341" s="234"/>
      <c r="TVL341" s="236"/>
      <c r="TVM341" s="244"/>
      <c r="TVN341" s="239"/>
      <c r="TVO341" s="240"/>
      <c r="TVP341" s="241"/>
      <c r="TVQ341" s="239"/>
      <c r="TVR341" s="239"/>
      <c r="TVS341" s="239"/>
      <c r="TVT341" s="239"/>
      <c r="TVU341" s="239"/>
      <c r="TVV341" s="239"/>
      <c r="TVW341" s="233"/>
      <c r="TVX341" s="235"/>
      <c r="TVY341" s="233"/>
      <c r="TVZ341" s="234"/>
      <c r="TWA341" s="234"/>
      <c r="TWB341" s="242"/>
      <c r="TWC341" s="234"/>
      <c r="TWD341" s="234"/>
      <c r="TWE341" s="234"/>
      <c r="TWF341" s="236"/>
      <c r="TWG341" s="244"/>
      <c r="TWH341" s="239"/>
      <c r="TWI341" s="240"/>
      <c r="TWJ341" s="241"/>
      <c r="TWK341" s="239"/>
      <c r="TWL341" s="239"/>
      <c r="TWM341" s="239"/>
      <c r="TWN341" s="239"/>
      <c r="TWO341" s="239"/>
      <c r="TWP341" s="239"/>
      <c r="TWQ341" s="233"/>
      <c r="TWR341" s="235"/>
      <c r="TWS341" s="233"/>
      <c r="TWT341" s="234"/>
      <c r="TWU341" s="234"/>
      <c r="TWV341" s="242"/>
      <c r="TWW341" s="234"/>
      <c r="TWX341" s="234"/>
      <c r="TWY341" s="234"/>
      <c r="TWZ341" s="236"/>
      <c r="TXA341" s="244"/>
      <c r="TXB341" s="239"/>
      <c r="TXC341" s="240"/>
      <c r="TXD341" s="241"/>
      <c r="TXE341" s="239"/>
      <c r="TXF341" s="239"/>
      <c r="TXG341" s="239"/>
      <c r="TXH341" s="239"/>
      <c r="TXI341" s="239"/>
      <c r="TXJ341" s="239"/>
      <c r="TXK341" s="233"/>
      <c r="TXL341" s="235"/>
      <c r="TXM341" s="233"/>
      <c r="TXN341" s="234"/>
      <c r="TXO341" s="234"/>
      <c r="TXP341" s="242"/>
      <c r="TXQ341" s="234"/>
      <c r="TXR341" s="234"/>
      <c r="TXS341" s="234"/>
      <c r="TXT341" s="236"/>
      <c r="TXU341" s="244"/>
      <c r="TXV341" s="239"/>
      <c r="TXW341" s="240"/>
      <c r="TXX341" s="241"/>
      <c r="TXY341" s="239"/>
      <c r="TXZ341" s="239"/>
      <c r="TYA341" s="239"/>
      <c r="TYB341" s="239"/>
      <c r="TYC341" s="239"/>
      <c r="TYD341" s="239"/>
      <c r="TYE341" s="233"/>
      <c r="TYF341" s="235"/>
      <c r="TYG341" s="233"/>
      <c r="TYH341" s="234"/>
      <c r="TYI341" s="234"/>
      <c r="TYJ341" s="242"/>
      <c r="TYK341" s="234"/>
      <c r="TYL341" s="234"/>
      <c r="TYM341" s="234"/>
      <c r="TYN341" s="236"/>
      <c r="TYO341" s="244"/>
      <c r="TYP341" s="239"/>
      <c r="TYQ341" s="240"/>
      <c r="TYR341" s="241"/>
      <c r="TYS341" s="239"/>
      <c r="TYT341" s="239"/>
      <c r="TYU341" s="239"/>
      <c r="TYV341" s="239"/>
      <c r="TYW341" s="239"/>
      <c r="TYX341" s="239"/>
      <c r="TYY341" s="233"/>
      <c r="TYZ341" s="235"/>
      <c r="TZA341" s="233"/>
      <c r="TZB341" s="234"/>
      <c r="TZC341" s="234"/>
      <c r="TZD341" s="242"/>
      <c r="TZE341" s="234"/>
      <c r="TZF341" s="234"/>
      <c r="TZG341" s="234"/>
      <c r="TZH341" s="236"/>
      <c r="TZI341" s="244"/>
      <c r="TZJ341" s="239"/>
      <c r="TZK341" s="240"/>
      <c r="TZL341" s="241"/>
      <c r="TZM341" s="239"/>
      <c r="TZN341" s="239"/>
      <c r="TZO341" s="239"/>
      <c r="TZP341" s="239"/>
      <c r="TZQ341" s="239"/>
      <c r="TZR341" s="239"/>
      <c r="TZS341" s="233"/>
      <c r="TZT341" s="235"/>
      <c r="TZU341" s="233"/>
      <c r="TZV341" s="234"/>
      <c r="TZW341" s="234"/>
      <c r="TZX341" s="242"/>
      <c r="TZY341" s="234"/>
      <c r="TZZ341" s="234"/>
      <c r="UAA341" s="234"/>
      <c r="UAB341" s="236"/>
      <c r="UAC341" s="244"/>
      <c r="UAD341" s="239"/>
      <c r="UAE341" s="240"/>
      <c r="UAF341" s="241"/>
      <c r="UAG341" s="239"/>
      <c r="UAH341" s="239"/>
      <c r="UAI341" s="239"/>
      <c r="UAJ341" s="239"/>
      <c r="UAK341" s="239"/>
      <c r="UAL341" s="239"/>
      <c r="UAM341" s="233"/>
      <c r="UAN341" s="235"/>
      <c r="UAO341" s="233"/>
      <c r="UAP341" s="234"/>
      <c r="UAQ341" s="234"/>
      <c r="UAR341" s="242"/>
      <c r="UAS341" s="234"/>
      <c r="UAT341" s="234"/>
      <c r="UAU341" s="234"/>
      <c r="UAV341" s="236"/>
      <c r="UAW341" s="244"/>
      <c r="UAX341" s="239"/>
      <c r="UAY341" s="240"/>
      <c r="UAZ341" s="241"/>
      <c r="UBA341" s="239"/>
      <c r="UBB341" s="239"/>
      <c r="UBC341" s="239"/>
      <c r="UBD341" s="239"/>
      <c r="UBE341" s="239"/>
      <c r="UBF341" s="239"/>
      <c r="UBG341" s="233"/>
      <c r="UBH341" s="235"/>
      <c r="UBI341" s="233"/>
      <c r="UBJ341" s="234"/>
      <c r="UBK341" s="234"/>
      <c r="UBL341" s="242"/>
      <c r="UBM341" s="234"/>
      <c r="UBN341" s="234"/>
      <c r="UBO341" s="234"/>
      <c r="UBP341" s="236"/>
      <c r="UBQ341" s="244"/>
      <c r="UBR341" s="239"/>
      <c r="UBS341" s="240"/>
      <c r="UBT341" s="241"/>
      <c r="UBU341" s="239"/>
      <c r="UBV341" s="239"/>
      <c r="UBW341" s="239"/>
      <c r="UBX341" s="239"/>
      <c r="UBY341" s="239"/>
      <c r="UBZ341" s="239"/>
      <c r="UCA341" s="233"/>
      <c r="UCB341" s="235"/>
      <c r="UCC341" s="233"/>
      <c r="UCD341" s="234"/>
      <c r="UCE341" s="234"/>
      <c r="UCF341" s="242"/>
      <c r="UCG341" s="234"/>
      <c r="UCH341" s="234"/>
      <c r="UCI341" s="234"/>
      <c r="UCJ341" s="236"/>
      <c r="UCK341" s="244"/>
      <c r="UCL341" s="239"/>
      <c r="UCM341" s="240"/>
      <c r="UCN341" s="241"/>
      <c r="UCO341" s="239"/>
      <c r="UCP341" s="239"/>
      <c r="UCQ341" s="239"/>
      <c r="UCR341" s="239"/>
      <c r="UCS341" s="239"/>
      <c r="UCT341" s="239"/>
      <c r="UCU341" s="233"/>
      <c r="UCV341" s="235"/>
      <c r="UCW341" s="233"/>
      <c r="UCX341" s="234"/>
      <c r="UCY341" s="234"/>
      <c r="UCZ341" s="242"/>
      <c r="UDA341" s="234"/>
      <c r="UDB341" s="234"/>
      <c r="UDC341" s="234"/>
      <c r="UDD341" s="236"/>
      <c r="UDE341" s="244"/>
      <c r="UDF341" s="239"/>
      <c r="UDG341" s="240"/>
      <c r="UDH341" s="241"/>
      <c r="UDI341" s="239"/>
      <c r="UDJ341" s="239"/>
      <c r="UDK341" s="239"/>
      <c r="UDL341" s="239"/>
      <c r="UDM341" s="239"/>
      <c r="UDN341" s="239"/>
      <c r="UDO341" s="233"/>
      <c r="UDP341" s="235"/>
      <c r="UDQ341" s="233"/>
      <c r="UDR341" s="234"/>
      <c r="UDS341" s="234"/>
      <c r="UDT341" s="242"/>
      <c r="UDU341" s="234"/>
      <c r="UDV341" s="234"/>
      <c r="UDW341" s="234"/>
      <c r="UDX341" s="236"/>
      <c r="UDY341" s="244"/>
      <c r="UDZ341" s="239"/>
      <c r="UEA341" s="240"/>
      <c r="UEB341" s="241"/>
      <c r="UEC341" s="239"/>
      <c r="UED341" s="239"/>
      <c r="UEE341" s="239"/>
      <c r="UEF341" s="239"/>
      <c r="UEG341" s="239"/>
      <c r="UEH341" s="239"/>
      <c r="UEI341" s="233"/>
      <c r="UEJ341" s="235"/>
      <c r="UEK341" s="233"/>
      <c r="UEL341" s="234"/>
      <c r="UEM341" s="234"/>
      <c r="UEN341" s="242"/>
      <c r="UEO341" s="234"/>
      <c r="UEP341" s="234"/>
      <c r="UEQ341" s="234"/>
      <c r="UER341" s="236"/>
      <c r="UES341" s="244"/>
      <c r="UET341" s="239"/>
      <c r="UEU341" s="240"/>
      <c r="UEV341" s="241"/>
      <c r="UEW341" s="239"/>
      <c r="UEX341" s="239"/>
      <c r="UEY341" s="239"/>
      <c r="UEZ341" s="239"/>
      <c r="UFA341" s="239"/>
      <c r="UFB341" s="239"/>
      <c r="UFC341" s="233"/>
      <c r="UFD341" s="235"/>
      <c r="UFE341" s="233"/>
      <c r="UFF341" s="234"/>
      <c r="UFG341" s="234"/>
      <c r="UFH341" s="242"/>
      <c r="UFI341" s="234"/>
      <c r="UFJ341" s="234"/>
      <c r="UFK341" s="234"/>
      <c r="UFL341" s="236"/>
      <c r="UFM341" s="244"/>
      <c r="UFN341" s="239"/>
      <c r="UFO341" s="240"/>
      <c r="UFP341" s="241"/>
      <c r="UFQ341" s="239"/>
      <c r="UFR341" s="239"/>
      <c r="UFS341" s="239"/>
      <c r="UFT341" s="239"/>
      <c r="UFU341" s="239"/>
      <c r="UFV341" s="239"/>
      <c r="UFW341" s="233"/>
      <c r="UFX341" s="235"/>
      <c r="UFY341" s="233"/>
      <c r="UFZ341" s="234"/>
      <c r="UGA341" s="234"/>
      <c r="UGB341" s="242"/>
      <c r="UGC341" s="234"/>
      <c r="UGD341" s="234"/>
      <c r="UGE341" s="234"/>
      <c r="UGF341" s="236"/>
      <c r="UGG341" s="244"/>
      <c r="UGH341" s="239"/>
      <c r="UGI341" s="240"/>
      <c r="UGJ341" s="241"/>
      <c r="UGK341" s="239"/>
      <c r="UGL341" s="239"/>
      <c r="UGM341" s="239"/>
      <c r="UGN341" s="239"/>
      <c r="UGO341" s="239"/>
      <c r="UGP341" s="239"/>
      <c r="UGQ341" s="233"/>
      <c r="UGR341" s="235"/>
      <c r="UGS341" s="233"/>
      <c r="UGT341" s="234"/>
      <c r="UGU341" s="234"/>
      <c r="UGV341" s="242"/>
      <c r="UGW341" s="234"/>
      <c r="UGX341" s="234"/>
      <c r="UGY341" s="234"/>
      <c r="UGZ341" s="236"/>
      <c r="UHA341" s="244"/>
      <c r="UHB341" s="239"/>
      <c r="UHC341" s="240"/>
      <c r="UHD341" s="241"/>
      <c r="UHE341" s="239"/>
      <c r="UHF341" s="239"/>
      <c r="UHG341" s="239"/>
      <c r="UHH341" s="239"/>
      <c r="UHI341" s="239"/>
      <c r="UHJ341" s="239"/>
      <c r="UHK341" s="233"/>
      <c r="UHL341" s="235"/>
      <c r="UHM341" s="233"/>
      <c r="UHN341" s="234"/>
      <c r="UHO341" s="234"/>
      <c r="UHP341" s="242"/>
      <c r="UHQ341" s="234"/>
      <c r="UHR341" s="234"/>
      <c r="UHS341" s="234"/>
      <c r="UHT341" s="236"/>
      <c r="UHU341" s="244"/>
      <c r="UHV341" s="239"/>
      <c r="UHW341" s="240"/>
      <c r="UHX341" s="241"/>
      <c r="UHY341" s="239"/>
      <c r="UHZ341" s="239"/>
      <c r="UIA341" s="239"/>
      <c r="UIB341" s="239"/>
      <c r="UIC341" s="239"/>
      <c r="UID341" s="239"/>
      <c r="UIE341" s="233"/>
      <c r="UIF341" s="235"/>
      <c r="UIG341" s="233"/>
      <c r="UIH341" s="234"/>
      <c r="UII341" s="234"/>
      <c r="UIJ341" s="242"/>
      <c r="UIK341" s="234"/>
      <c r="UIL341" s="234"/>
      <c r="UIM341" s="234"/>
      <c r="UIN341" s="236"/>
      <c r="UIO341" s="244"/>
      <c r="UIP341" s="239"/>
      <c r="UIQ341" s="240"/>
      <c r="UIR341" s="241"/>
      <c r="UIS341" s="239"/>
      <c r="UIT341" s="239"/>
      <c r="UIU341" s="239"/>
      <c r="UIV341" s="239"/>
      <c r="UIW341" s="239"/>
      <c r="UIX341" s="239"/>
      <c r="UIY341" s="233"/>
      <c r="UIZ341" s="235"/>
      <c r="UJA341" s="233"/>
      <c r="UJB341" s="234"/>
      <c r="UJC341" s="234"/>
      <c r="UJD341" s="242"/>
      <c r="UJE341" s="234"/>
      <c r="UJF341" s="234"/>
      <c r="UJG341" s="234"/>
      <c r="UJH341" s="236"/>
      <c r="UJI341" s="244"/>
      <c r="UJJ341" s="239"/>
      <c r="UJK341" s="240"/>
      <c r="UJL341" s="241"/>
      <c r="UJM341" s="239"/>
      <c r="UJN341" s="239"/>
      <c r="UJO341" s="239"/>
      <c r="UJP341" s="239"/>
      <c r="UJQ341" s="239"/>
      <c r="UJR341" s="239"/>
      <c r="UJS341" s="233"/>
      <c r="UJT341" s="235"/>
      <c r="UJU341" s="233"/>
      <c r="UJV341" s="234"/>
      <c r="UJW341" s="234"/>
      <c r="UJX341" s="242"/>
      <c r="UJY341" s="234"/>
      <c r="UJZ341" s="234"/>
      <c r="UKA341" s="234"/>
      <c r="UKB341" s="236"/>
      <c r="UKC341" s="244"/>
      <c r="UKD341" s="239"/>
      <c r="UKE341" s="240"/>
      <c r="UKF341" s="241"/>
      <c r="UKG341" s="239"/>
      <c r="UKH341" s="239"/>
      <c r="UKI341" s="239"/>
      <c r="UKJ341" s="239"/>
      <c r="UKK341" s="239"/>
      <c r="UKL341" s="239"/>
      <c r="UKM341" s="233"/>
      <c r="UKN341" s="235"/>
      <c r="UKO341" s="233"/>
      <c r="UKP341" s="234"/>
      <c r="UKQ341" s="234"/>
      <c r="UKR341" s="242"/>
      <c r="UKS341" s="234"/>
      <c r="UKT341" s="234"/>
      <c r="UKU341" s="234"/>
      <c r="UKV341" s="236"/>
      <c r="UKW341" s="244"/>
      <c r="UKX341" s="239"/>
      <c r="UKY341" s="240"/>
      <c r="UKZ341" s="241"/>
      <c r="ULA341" s="239"/>
      <c r="ULB341" s="239"/>
      <c r="ULC341" s="239"/>
      <c r="ULD341" s="239"/>
      <c r="ULE341" s="239"/>
      <c r="ULF341" s="239"/>
      <c r="ULG341" s="233"/>
      <c r="ULH341" s="235"/>
      <c r="ULI341" s="233"/>
      <c r="ULJ341" s="234"/>
      <c r="ULK341" s="234"/>
      <c r="ULL341" s="242"/>
      <c r="ULM341" s="234"/>
      <c r="ULN341" s="234"/>
      <c r="ULO341" s="234"/>
      <c r="ULP341" s="236"/>
      <c r="ULQ341" s="244"/>
      <c r="ULR341" s="239"/>
      <c r="ULS341" s="240"/>
      <c r="ULT341" s="241"/>
      <c r="ULU341" s="239"/>
      <c r="ULV341" s="239"/>
      <c r="ULW341" s="239"/>
      <c r="ULX341" s="239"/>
      <c r="ULY341" s="239"/>
      <c r="ULZ341" s="239"/>
      <c r="UMA341" s="233"/>
      <c r="UMB341" s="235"/>
      <c r="UMC341" s="233"/>
      <c r="UMD341" s="234"/>
      <c r="UME341" s="234"/>
      <c r="UMF341" s="242"/>
      <c r="UMG341" s="234"/>
      <c r="UMH341" s="234"/>
      <c r="UMI341" s="234"/>
      <c r="UMJ341" s="236"/>
      <c r="UMK341" s="244"/>
      <c r="UML341" s="239"/>
      <c r="UMM341" s="240"/>
      <c r="UMN341" s="241"/>
      <c r="UMO341" s="239"/>
      <c r="UMP341" s="239"/>
      <c r="UMQ341" s="239"/>
      <c r="UMR341" s="239"/>
      <c r="UMS341" s="239"/>
      <c r="UMT341" s="239"/>
      <c r="UMU341" s="233"/>
      <c r="UMV341" s="235"/>
      <c r="UMW341" s="233"/>
      <c r="UMX341" s="234"/>
      <c r="UMY341" s="234"/>
      <c r="UMZ341" s="242"/>
      <c r="UNA341" s="234"/>
      <c r="UNB341" s="234"/>
      <c r="UNC341" s="234"/>
      <c r="UND341" s="236"/>
      <c r="UNE341" s="244"/>
      <c r="UNF341" s="239"/>
      <c r="UNG341" s="240"/>
      <c r="UNH341" s="241"/>
      <c r="UNI341" s="239"/>
      <c r="UNJ341" s="239"/>
      <c r="UNK341" s="239"/>
      <c r="UNL341" s="239"/>
      <c r="UNM341" s="239"/>
      <c r="UNN341" s="239"/>
      <c r="UNO341" s="233"/>
      <c r="UNP341" s="235"/>
      <c r="UNQ341" s="233"/>
      <c r="UNR341" s="234"/>
      <c r="UNS341" s="234"/>
      <c r="UNT341" s="242"/>
      <c r="UNU341" s="234"/>
      <c r="UNV341" s="234"/>
      <c r="UNW341" s="234"/>
      <c r="UNX341" s="236"/>
      <c r="UNY341" s="244"/>
      <c r="UNZ341" s="239"/>
      <c r="UOA341" s="240"/>
      <c r="UOB341" s="241"/>
      <c r="UOC341" s="239"/>
      <c r="UOD341" s="239"/>
      <c r="UOE341" s="239"/>
      <c r="UOF341" s="239"/>
      <c r="UOG341" s="239"/>
      <c r="UOH341" s="239"/>
      <c r="UOI341" s="233"/>
      <c r="UOJ341" s="235"/>
      <c r="UOK341" s="233"/>
      <c r="UOL341" s="234"/>
      <c r="UOM341" s="234"/>
      <c r="UON341" s="242"/>
      <c r="UOO341" s="234"/>
      <c r="UOP341" s="234"/>
      <c r="UOQ341" s="234"/>
      <c r="UOR341" s="236"/>
      <c r="UOS341" s="244"/>
      <c r="UOT341" s="239"/>
      <c r="UOU341" s="240"/>
      <c r="UOV341" s="241"/>
      <c r="UOW341" s="239"/>
      <c r="UOX341" s="239"/>
      <c r="UOY341" s="239"/>
      <c r="UOZ341" s="239"/>
      <c r="UPA341" s="239"/>
      <c r="UPB341" s="239"/>
      <c r="UPC341" s="233"/>
      <c r="UPD341" s="235"/>
      <c r="UPE341" s="233"/>
      <c r="UPF341" s="234"/>
      <c r="UPG341" s="234"/>
      <c r="UPH341" s="242"/>
      <c r="UPI341" s="234"/>
      <c r="UPJ341" s="234"/>
      <c r="UPK341" s="234"/>
      <c r="UPL341" s="236"/>
      <c r="UPM341" s="244"/>
      <c r="UPN341" s="239"/>
      <c r="UPO341" s="240"/>
      <c r="UPP341" s="241"/>
      <c r="UPQ341" s="239"/>
      <c r="UPR341" s="239"/>
      <c r="UPS341" s="239"/>
      <c r="UPT341" s="239"/>
      <c r="UPU341" s="239"/>
      <c r="UPV341" s="239"/>
      <c r="UPW341" s="233"/>
      <c r="UPX341" s="235"/>
      <c r="UPY341" s="233"/>
      <c r="UPZ341" s="234"/>
      <c r="UQA341" s="234"/>
      <c r="UQB341" s="242"/>
      <c r="UQC341" s="234"/>
      <c r="UQD341" s="234"/>
      <c r="UQE341" s="234"/>
      <c r="UQF341" s="236"/>
      <c r="UQG341" s="244"/>
      <c r="UQH341" s="239"/>
      <c r="UQI341" s="240"/>
      <c r="UQJ341" s="241"/>
      <c r="UQK341" s="239"/>
      <c r="UQL341" s="239"/>
      <c r="UQM341" s="239"/>
      <c r="UQN341" s="239"/>
      <c r="UQO341" s="239"/>
      <c r="UQP341" s="239"/>
      <c r="UQQ341" s="233"/>
      <c r="UQR341" s="235"/>
      <c r="UQS341" s="233"/>
      <c r="UQT341" s="234"/>
      <c r="UQU341" s="234"/>
      <c r="UQV341" s="242"/>
      <c r="UQW341" s="234"/>
      <c r="UQX341" s="234"/>
      <c r="UQY341" s="234"/>
      <c r="UQZ341" s="236"/>
      <c r="URA341" s="244"/>
      <c r="URB341" s="239"/>
      <c r="URC341" s="240"/>
      <c r="URD341" s="241"/>
      <c r="URE341" s="239"/>
      <c r="URF341" s="239"/>
      <c r="URG341" s="239"/>
      <c r="URH341" s="239"/>
      <c r="URI341" s="239"/>
      <c r="URJ341" s="239"/>
      <c r="URK341" s="233"/>
      <c r="URL341" s="235"/>
      <c r="URM341" s="233"/>
      <c r="URN341" s="234"/>
      <c r="URO341" s="234"/>
      <c r="URP341" s="242"/>
      <c r="URQ341" s="234"/>
      <c r="URR341" s="234"/>
      <c r="URS341" s="234"/>
      <c r="URT341" s="236"/>
      <c r="URU341" s="244"/>
      <c r="URV341" s="239"/>
      <c r="URW341" s="240"/>
      <c r="URX341" s="241"/>
      <c r="URY341" s="239"/>
      <c r="URZ341" s="239"/>
      <c r="USA341" s="239"/>
      <c r="USB341" s="239"/>
      <c r="USC341" s="239"/>
      <c r="USD341" s="239"/>
      <c r="USE341" s="233"/>
      <c r="USF341" s="235"/>
      <c r="USG341" s="233"/>
      <c r="USH341" s="234"/>
      <c r="USI341" s="234"/>
      <c r="USJ341" s="242"/>
      <c r="USK341" s="234"/>
      <c r="USL341" s="234"/>
      <c r="USM341" s="234"/>
      <c r="USN341" s="236"/>
      <c r="USO341" s="244"/>
      <c r="USP341" s="239"/>
      <c r="USQ341" s="240"/>
      <c r="USR341" s="241"/>
      <c r="USS341" s="239"/>
      <c r="UST341" s="239"/>
      <c r="USU341" s="239"/>
      <c r="USV341" s="239"/>
      <c r="USW341" s="239"/>
      <c r="USX341" s="239"/>
      <c r="USY341" s="233"/>
      <c r="USZ341" s="235"/>
      <c r="UTA341" s="233"/>
      <c r="UTB341" s="234"/>
      <c r="UTC341" s="234"/>
      <c r="UTD341" s="242"/>
      <c r="UTE341" s="234"/>
      <c r="UTF341" s="234"/>
      <c r="UTG341" s="234"/>
      <c r="UTH341" s="236"/>
      <c r="UTI341" s="244"/>
      <c r="UTJ341" s="239"/>
      <c r="UTK341" s="240"/>
      <c r="UTL341" s="241"/>
      <c r="UTM341" s="239"/>
      <c r="UTN341" s="239"/>
      <c r="UTO341" s="239"/>
      <c r="UTP341" s="239"/>
      <c r="UTQ341" s="239"/>
      <c r="UTR341" s="239"/>
      <c r="UTS341" s="233"/>
      <c r="UTT341" s="235"/>
      <c r="UTU341" s="233"/>
      <c r="UTV341" s="234"/>
      <c r="UTW341" s="234"/>
      <c r="UTX341" s="242"/>
      <c r="UTY341" s="234"/>
      <c r="UTZ341" s="234"/>
      <c r="UUA341" s="234"/>
      <c r="UUB341" s="236"/>
      <c r="UUC341" s="244"/>
      <c r="UUD341" s="239"/>
      <c r="UUE341" s="240"/>
      <c r="UUF341" s="241"/>
      <c r="UUG341" s="239"/>
      <c r="UUH341" s="239"/>
      <c r="UUI341" s="239"/>
      <c r="UUJ341" s="239"/>
      <c r="UUK341" s="239"/>
      <c r="UUL341" s="239"/>
      <c r="UUM341" s="233"/>
      <c r="UUN341" s="235"/>
      <c r="UUO341" s="233"/>
      <c r="UUP341" s="234"/>
      <c r="UUQ341" s="234"/>
      <c r="UUR341" s="242"/>
      <c r="UUS341" s="234"/>
      <c r="UUT341" s="234"/>
      <c r="UUU341" s="234"/>
      <c r="UUV341" s="236"/>
      <c r="UUW341" s="244"/>
      <c r="UUX341" s="239"/>
      <c r="UUY341" s="240"/>
      <c r="UUZ341" s="241"/>
      <c r="UVA341" s="239"/>
      <c r="UVB341" s="239"/>
      <c r="UVC341" s="239"/>
      <c r="UVD341" s="239"/>
      <c r="UVE341" s="239"/>
      <c r="UVF341" s="239"/>
      <c r="UVG341" s="233"/>
      <c r="UVH341" s="235"/>
      <c r="UVI341" s="233"/>
      <c r="UVJ341" s="234"/>
      <c r="UVK341" s="234"/>
      <c r="UVL341" s="242"/>
      <c r="UVM341" s="234"/>
      <c r="UVN341" s="234"/>
      <c r="UVO341" s="234"/>
      <c r="UVP341" s="236"/>
      <c r="UVQ341" s="244"/>
      <c r="UVR341" s="239"/>
      <c r="UVS341" s="240"/>
      <c r="UVT341" s="241"/>
      <c r="UVU341" s="239"/>
      <c r="UVV341" s="239"/>
      <c r="UVW341" s="239"/>
      <c r="UVX341" s="239"/>
      <c r="UVY341" s="239"/>
      <c r="UVZ341" s="239"/>
      <c r="UWA341" s="233"/>
      <c r="UWB341" s="235"/>
      <c r="UWC341" s="233"/>
      <c r="UWD341" s="234"/>
      <c r="UWE341" s="234"/>
      <c r="UWF341" s="242"/>
      <c r="UWG341" s="234"/>
      <c r="UWH341" s="234"/>
      <c r="UWI341" s="234"/>
      <c r="UWJ341" s="236"/>
      <c r="UWK341" s="244"/>
      <c r="UWL341" s="239"/>
      <c r="UWM341" s="240"/>
      <c r="UWN341" s="241"/>
      <c r="UWO341" s="239"/>
      <c r="UWP341" s="239"/>
      <c r="UWQ341" s="239"/>
      <c r="UWR341" s="239"/>
      <c r="UWS341" s="239"/>
      <c r="UWT341" s="239"/>
      <c r="UWU341" s="233"/>
      <c r="UWV341" s="235"/>
      <c r="UWW341" s="233"/>
      <c r="UWX341" s="234"/>
      <c r="UWY341" s="234"/>
      <c r="UWZ341" s="242"/>
      <c r="UXA341" s="234"/>
      <c r="UXB341" s="234"/>
      <c r="UXC341" s="234"/>
      <c r="UXD341" s="236"/>
      <c r="UXE341" s="244"/>
      <c r="UXF341" s="239"/>
      <c r="UXG341" s="240"/>
      <c r="UXH341" s="241"/>
      <c r="UXI341" s="239"/>
      <c r="UXJ341" s="239"/>
      <c r="UXK341" s="239"/>
      <c r="UXL341" s="239"/>
      <c r="UXM341" s="239"/>
      <c r="UXN341" s="239"/>
      <c r="UXO341" s="233"/>
      <c r="UXP341" s="235"/>
      <c r="UXQ341" s="233"/>
      <c r="UXR341" s="234"/>
      <c r="UXS341" s="234"/>
      <c r="UXT341" s="242"/>
      <c r="UXU341" s="234"/>
      <c r="UXV341" s="234"/>
      <c r="UXW341" s="234"/>
      <c r="UXX341" s="236"/>
      <c r="UXY341" s="244"/>
      <c r="UXZ341" s="239"/>
      <c r="UYA341" s="240"/>
      <c r="UYB341" s="241"/>
      <c r="UYC341" s="239"/>
      <c r="UYD341" s="239"/>
      <c r="UYE341" s="239"/>
      <c r="UYF341" s="239"/>
      <c r="UYG341" s="239"/>
      <c r="UYH341" s="239"/>
      <c r="UYI341" s="233"/>
      <c r="UYJ341" s="235"/>
      <c r="UYK341" s="233"/>
      <c r="UYL341" s="234"/>
      <c r="UYM341" s="234"/>
      <c r="UYN341" s="242"/>
      <c r="UYO341" s="234"/>
      <c r="UYP341" s="234"/>
      <c r="UYQ341" s="234"/>
      <c r="UYR341" s="236"/>
      <c r="UYS341" s="244"/>
      <c r="UYT341" s="239"/>
      <c r="UYU341" s="240"/>
      <c r="UYV341" s="241"/>
      <c r="UYW341" s="239"/>
      <c r="UYX341" s="239"/>
      <c r="UYY341" s="239"/>
      <c r="UYZ341" s="239"/>
      <c r="UZA341" s="239"/>
      <c r="UZB341" s="239"/>
      <c r="UZC341" s="233"/>
      <c r="UZD341" s="235"/>
      <c r="UZE341" s="233"/>
      <c r="UZF341" s="234"/>
      <c r="UZG341" s="234"/>
      <c r="UZH341" s="242"/>
      <c r="UZI341" s="234"/>
      <c r="UZJ341" s="234"/>
      <c r="UZK341" s="234"/>
      <c r="UZL341" s="236"/>
      <c r="UZM341" s="244"/>
      <c r="UZN341" s="239"/>
      <c r="UZO341" s="240"/>
      <c r="UZP341" s="241"/>
      <c r="UZQ341" s="239"/>
      <c r="UZR341" s="239"/>
      <c r="UZS341" s="239"/>
      <c r="UZT341" s="239"/>
      <c r="UZU341" s="239"/>
      <c r="UZV341" s="239"/>
      <c r="UZW341" s="233"/>
      <c r="UZX341" s="235"/>
      <c r="UZY341" s="233"/>
      <c r="UZZ341" s="234"/>
      <c r="VAA341" s="234"/>
      <c r="VAB341" s="242"/>
      <c r="VAC341" s="234"/>
      <c r="VAD341" s="234"/>
      <c r="VAE341" s="234"/>
      <c r="VAF341" s="236"/>
      <c r="VAG341" s="244"/>
      <c r="VAH341" s="239"/>
      <c r="VAI341" s="240"/>
      <c r="VAJ341" s="241"/>
      <c r="VAK341" s="239"/>
      <c r="VAL341" s="239"/>
      <c r="VAM341" s="239"/>
      <c r="VAN341" s="239"/>
      <c r="VAO341" s="239"/>
      <c r="VAP341" s="239"/>
      <c r="VAQ341" s="233"/>
      <c r="VAR341" s="235"/>
      <c r="VAS341" s="233"/>
      <c r="VAT341" s="234"/>
      <c r="VAU341" s="234"/>
      <c r="VAV341" s="242"/>
      <c r="VAW341" s="234"/>
      <c r="VAX341" s="234"/>
      <c r="VAY341" s="234"/>
      <c r="VAZ341" s="236"/>
      <c r="VBA341" s="244"/>
      <c r="VBB341" s="239"/>
      <c r="VBC341" s="240"/>
      <c r="VBD341" s="241"/>
      <c r="VBE341" s="239"/>
      <c r="VBF341" s="239"/>
      <c r="VBG341" s="239"/>
      <c r="VBH341" s="239"/>
      <c r="VBI341" s="239"/>
      <c r="VBJ341" s="239"/>
      <c r="VBK341" s="233"/>
      <c r="VBL341" s="235"/>
      <c r="VBM341" s="233"/>
      <c r="VBN341" s="234"/>
      <c r="VBO341" s="234"/>
      <c r="VBP341" s="242"/>
      <c r="VBQ341" s="234"/>
      <c r="VBR341" s="234"/>
      <c r="VBS341" s="234"/>
      <c r="VBT341" s="236"/>
      <c r="VBU341" s="244"/>
      <c r="VBV341" s="239"/>
      <c r="VBW341" s="240"/>
      <c r="VBX341" s="241"/>
      <c r="VBY341" s="239"/>
      <c r="VBZ341" s="239"/>
      <c r="VCA341" s="239"/>
      <c r="VCB341" s="239"/>
      <c r="VCC341" s="239"/>
      <c r="VCD341" s="239"/>
      <c r="VCE341" s="233"/>
      <c r="VCF341" s="235"/>
      <c r="VCG341" s="233"/>
      <c r="VCH341" s="234"/>
      <c r="VCI341" s="234"/>
      <c r="VCJ341" s="242"/>
      <c r="VCK341" s="234"/>
      <c r="VCL341" s="234"/>
      <c r="VCM341" s="234"/>
      <c r="VCN341" s="236"/>
      <c r="VCO341" s="244"/>
      <c r="VCP341" s="239"/>
      <c r="VCQ341" s="240"/>
      <c r="VCR341" s="241"/>
      <c r="VCS341" s="239"/>
      <c r="VCT341" s="239"/>
      <c r="VCU341" s="239"/>
      <c r="VCV341" s="239"/>
      <c r="VCW341" s="239"/>
      <c r="VCX341" s="239"/>
      <c r="VCY341" s="233"/>
      <c r="VCZ341" s="235"/>
      <c r="VDA341" s="233"/>
      <c r="VDB341" s="234"/>
      <c r="VDC341" s="234"/>
      <c r="VDD341" s="242"/>
      <c r="VDE341" s="234"/>
      <c r="VDF341" s="234"/>
      <c r="VDG341" s="234"/>
      <c r="VDH341" s="236"/>
      <c r="VDI341" s="244"/>
      <c r="VDJ341" s="239"/>
      <c r="VDK341" s="240"/>
      <c r="VDL341" s="241"/>
      <c r="VDM341" s="239"/>
      <c r="VDN341" s="239"/>
      <c r="VDO341" s="239"/>
      <c r="VDP341" s="239"/>
      <c r="VDQ341" s="239"/>
      <c r="VDR341" s="239"/>
      <c r="VDS341" s="233"/>
      <c r="VDT341" s="235"/>
      <c r="VDU341" s="233"/>
      <c r="VDV341" s="234"/>
      <c r="VDW341" s="234"/>
      <c r="VDX341" s="242"/>
      <c r="VDY341" s="234"/>
      <c r="VDZ341" s="234"/>
      <c r="VEA341" s="234"/>
      <c r="VEB341" s="236"/>
      <c r="VEC341" s="244"/>
      <c r="VED341" s="239"/>
      <c r="VEE341" s="240"/>
      <c r="VEF341" s="241"/>
      <c r="VEG341" s="239"/>
      <c r="VEH341" s="239"/>
      <c r="VEI341" s="239"/>
      <c r="VEJ341" s="239"/>
      <c r="VEK341" s="239"/>
      <c r="VEL341" s="239"/>
      <c r="VEM341" s="233"/>
      <c r="VEN341" s="235"/>
      <c r="VEO341" s="233"/>
      <c r="VEP341" s="234"/>
      <c r="VEQ341" s="234"/>
      <c r="VER341" s="242"/>
      <c r="VES341" s="234"/>
      <c r="VET341" s="234"/>
      <c r="VEU341" s="234"/>
      <c r="VEV341" s="236"/>
      <c r="VEW341" s="244"/>
      <c r="VEX341" s="239"/>
      <c r="VEY341" s="240"/>
      <c r="VEZ341" s="241"/>
      <c r="VFA341" s="239"/>
      <c r="VFB341" s="239"/>
      <c r="VFC341" s="239"/>
      <c r="VFD341" s="239"/>
      <c r="VFE341" s="239"/>
      <c r="VFF341" s="239"/>
      <c r="VFG341" s="233"/>
      <c r="VFH341" s="235"/>
      <c r="VFI341" s="233"/>
      <c r="VFJ341" s="234"/>
      <c r="VFK341" s="234"/>
      <c r="VFL341" s="242"/>
      <c r="VFM341" s="234"/>
      <c r="VFN341" s="234"/>
      <c r="VFO341" s="234"/>
      <c r="VFP341" s="236"/>
      <c r="VFQ341" s="244"/>
      <c r="VFR341" s="239"/>
      <c r="VFS341" s="240"/>
      <c r="VFT341" s="241"/>
      <c r="VFU341" s="239"/>
      <c r="VFV341" s="239"/>
      <c r="VFW341" s="239"/>
      <c r="VFX341" s="239"/>
      <c r="VFY341" s="239"/>
      <c r="VFZ341" s="239"/>
      <c r="VGA341" s="233"/>
      <c r="VGB341" s="235"/>
      <c r="VGC341" s="233"/>
      <c r="VGD341" s="234"/>
      <c r="VGE341" s="234"/>
      <c r="VGF341" s="242"/>
      <c r="VGG341" s="234"/>
      <c r="VGH341" s="234"/>
      <c r="VGI341" s="234"/>
      <c r="VGJ341" s="236"/>
      <c r="VGK341" s="244"/>
      <c r="VGL341" s="239"/>
      <c r="VGM341" s="240"/>
      <c r="VGN341" s="241"/>
      <c r="VGO341" s="239"/>
      <c r="VGP341" s="239"/>
      <c r="VGQ341" s="239"/>
      <c r="VGR341" s="239"/>
      <c r="VGS341" s="239"/>
      <c r="VGT341" s="239"/>
      <c r="VGU341" s="233"/>
      <c r="VGV341" s="235"/>
      <c r="VGW341" s="233"/>
      <c r="VGX341" s="234"/>
      <c r="VGY341" s="234"/>
      <c r="VGZ341" s="242"/>
      <c r="VHA341" s="234"/>
      <c r="VHB341" s="234"/>
      <c r="VHC341" s="234"/>
      <c r="VHD341" s="236"/>
      <c r="VHE341" s="244"/>
      <c r="VHF341" s="239"/>
      <c r="VHG341" s="240"/>
      <c r="VHH341" s="241"/>
      <c r="VHI341" s="239"/>
      <c r="VHJ341" s="239"/>
      <c r="VHK341" s="239"/>
      <c r="VHL341" s="239"/>
      <c r="VHM341" s="239"/>
      <c r="VHN341" s="239"/>
      <c r="VHO341" s="233"/>
      <c r="VHP341" s="235"/>
      <c r="VHQ341" s="233"/>
      <c r="VHR341" s="234"/>
      <c r="VHS341" s="234"/>
      <c r="VHT341" s="242"/>
      <c r="VHU341" s="234"/>
      <c r="VHV341" s="234"/>
      <c r="VHW341" s="234"/>
      <c r="VHX341" s="236"/>
      <c r="VHY341" s="244"/>
      <c r="VHZ341" s="239"/>
      <c r="VIA341" s="240"/>
      <c r="VIB341" s="241"/>
      <c r="VIC341" s="239"/>
      <c r="VID341" s="239"/>
      <c r="VIE341" s="239"/>
      <c r="VIF341" s="239"/>
      <c r="VIG341" s="239"/>
      <c r="VIH341" s="239"/>
      <c r="VII341" s="233"/>
      <c r="VIJ341" s="235"/>
      <c r="VIK341" s="233"/>
      <c r="VIL341" s="234"/>
      <c r="VIM341" s="234"/>
      <c r="VIN341" s="242"/>
      <c r="VIO341" s="234"/>
      <c r="VIP341" s="234"/>
      <c r="VIQ341" s="234"/>
      <c r="VIR341" s="236"/>
      <c r="VIS341" s="244"/>
      <c r="VIT341" s="239"/>
      <c r="VIU341" s="240"/>
      <c r="VIV341" s="241"/>
      <c r="VIW341" s="239"/>
      <c r="VIX341" s="239"/>
      <c r="VIY341" s="239"/>
      <c r="VIZ341" s="239"/>
      <c r="VJA341" s="239"/>
      <c r="VJB341" s="239"/>
      <c r="VJC341" s="233"/>
      <c r="VJD341" s="235"/>
      <c r="VJE341" s="233"/>
      <c r="VJF341" s="234"/>
      <c r="VJG341" s="234"/>
      <c r="VJH341" s="242"/>
      <c r="VJI341" s="234"/>
      <c r="VJJ341" s="234"/>
      <c r="VJK341" s="234"/>
      <c r="VJL341" s="236"/>
      <c r="VJM341" s="244"/>
      <c r="VJN341" s="239"/>
      <c r="VJO341" s="240"/>
      <c r="VJP341" s="241"/>
      <c r="VJQ341" s="239"/>
      <c r="VJR341" s="239"/>
      <c r="VJS341" s="239"/>
      <c r="VJT341" s="239"/>
      <c r="VJU341" s="239"/>
      <c r="VJV341" s="239"/>
      <c r="VJW341" s="233"/>
      <c r="VJX341" s="235"/>
      <c r="VJY341" s="233"/>
      <c r="VJZ341" s="234"/>
      <c r="VKA341" s="234"/>
      <c r="VKB341" s="242"/>
      <c r="VKC341" s="234"/>
      <c r="VKD341" s="234"/>
      <c r="VKE341" s="234"/>
      <c r="VKF341" s="236"/>
      <c r="VKG341" s="244"/>
      <c r="VKH341" s="239"/>
      <c r="VKI341" s="240"/>
      <c r="VKJ341" s="241"/>
      <c r="VKK341" s="239"/>
      <c r="VKL341" s="239"/>
      <c r="VKM341" s="239"/>
      <c r="VKN341" s="239"/>
      <c r="VKO341" s="239"/>
      <c r="VKP341" s="239"/>
      <c r="VKQ341" s="233"/>
      <c r="VKR341" s="235"/>
      <c r="VKS341" s="233"/>
      <c r="VKT341" s="234"/>
      <c r="VKU341" s="234"/>
      <c r="VKV341" s="242"/>
      <c r="VKW341" s="234"/>
      <c r="VKX341" s="234"/>
      <c r="VKY341" s="234"/>
      <c r="VKZ341" s="236"/>
      <c r="VLA341" s="244"/>
      <c r="VLB341" s="239"/>
      <c r="VLC341" s="240"/>
      <c r="VLD341" s="241"/>
      <c r="VLE341" s="239"/>
      <c r="VLF341" s="239"/>
      <c r="VLG341" s="239"/>
      <c r="VLH341" s="239"/>
      <c r="VLI341" s="239"/>
      <c r="VLJ341" s="239"/>
      <c r="VLK341" s="233"/>
      <c r="VLL341" s="235"/>
      <c r="VLM341" s="233"/>
      <c r="VLN341" s="234"/>
      <c r="VLO341" s="234"/>
      <c r="VLP341" s="242"/>
      <c r="VLQ341" s="234"/>
      <c r="VLR341" s="234"/>
      <c r="VLS341" s="234"/>
      <c r="VLT341" s="236"/>
      <c r="VLU341" s="244"/>
      <c r="VLV341" s="239"/>
      <c r="VLW341" s="240"/>
      <c r="VLX341" s="241"/>
      <c r="VLY341" s="239"/>
      <c r="VLZ341" s="239"/>
      <c r="VMA341" s="239"/>
      <c r="VMB341" s="239"/>
      <c r="VMC341" s="239"/>
      <c r="VMD341" s="239"/>
      <c r="VME341" s="233"/>
      <c r="VMF341" s="235"/>
      <c r="VMG341" s="233"/>
      <c r="VMH341" s="234"/>
      <c r="VMI341" s="234"/>
      <c r="VMJ341" s="242"/>
      <c r="VMK341" s="234"/>
      <c r="VML341" s="234"/>
      <c r="VMM341" s="234"/>
      <c r="VMN341" s="236"/>
      <c r="VMO341" s="244"/>
      <c r="VMP341" s="239"/>
      <c r="VMQ341" s="240"/>
      <c r="VMR341" s="241"/>
      <c r="VMS341" s="239"/>
      <c r="VMT341" s="239"/>
      <c r="VMU341" s="239"/>
      <c r="VMV341" s="239"/>
      <c r="VMW341" s="239"/>
      <c r="VMX341" s="239"/>
      <c r="VMY341" s="233"/>
      <c r="VMZ341" s="235"/>
      <c r="VNA341" s="233"/>
      <c r="VNB341" s="234"/>
      <c r="VNC341" s="234"/>
      <c r="VND341" s="242"/>
      <c r="VNE341" s="234"/>
      <c r="VNF341" s="234"/>
      <c r="VNG341" s="234"/>
      <c r="VNH341" s="236"/>
      <c r="VNI341" s="244"/>
      <c r="VNJ341" s="239"/>
      <c r="VNK341" s="240"/>
      <c r="VNL341" s="241"/>
      <c r="VNM341" s="239"/>
      <c r="VNN341" s="239"/>
      <c r="VNO341" s="239"/>
      <c r="VNP341" s="239"/>
      <c r="VNQ341" s="239"/>
      <c r="VNR341" s="239"/>
      <c r="VNS341" s="233"/>
      <c r="VNT341" s="235"/>
      <c r="VNU341" s="233"/>
      <c r="VNV341" s="234"/>
      <c r="VNW341" s="234"/>
      <c r="VNX341" s="242"/>
      <c r="VNY341" s="234"/>
      <c r="VNZ341" s="234"/>
      <c r="VOA341" s="234"/>
      <c r="VOB341" s="236"/>
      <c r="VOC341" s="244"/>
      <c r="VOD341" s="239"/>
      <c r="VOE341" s="240"/>
      <c r="VOF341" s="241"/>
      <c r="VOG341" s="239"/>
      <c r="VOH341" s="239"/>
      <c r="VOI341" s="239"/>
      <c r="VOJ341" s="239"/>
      <c r="VOK341" s="239"/>
      <c r="VOL341" s="239"/>
      <c r="VOM341" s="233"/>
      <c r="VON341" s="235"/>
      <c r="VOO341" s="233"/>
      <c r="VOP341" s="234"/>
      <c r="VOQ341" s="234"/>
      <c r="VOR341" s="242"/>
      <c r="VOS341" s="234"/>
      <c r="VOT341" s="234"/>
      <c r="VOU341" s="234"/>
      <c r="VOV341" s="236"/>
      <c r="VOW341" s="244"/>
      <c r="VOX341" s="239"/>
      <c r="VOY341" s="240"/>
      <c r="VOZ341" s="241"/>
      <c r="VPA341" s="239"/>
      <c r="VPB341" s="239"/>
      <c r="VPC341" s="239"/>
      <c r="VPD341" s="239"/>
      <c r="VPE341" s="239"/>
      <c r="VPF341" s="239"/>
      <c r="VPG341" s="233"/>
      <c r="VPH341" s="235"/>
      <c r="VPI341" s="233"/>
      <c r="VPJ341" s="234"/>
      <c r="VPK341" s="234"/>
      <c r="VPL341" s="242"/>
      <c r="VPM341" s="234"/>
      <c r="VPN341" s="234"/>
      <c r="VPO341" s="234"/>
      <c r="VPP341" s="236"/>
      <c r="VPQ341" s="244"/>
      <c r="VPR341" s="239"/>
      <c r="VPS341" s="240"/>
      <c r="VPT341" s="241"/>
      <c r="VPU341" s="239"/>
      <c r="VPV341" s="239"/>
      <c r="VPW341" s="239"/>
      <c r="VPX341" s="239"/>
      <c r="VPY341" s="239"/>
      <c r="VPZ341" s="239"/>
      <c r="VQA341" s="233"/>
      <c r="VQB341" s="235"/>
      <c r="VQC341" s="233"/>
      <c r="VQD341" s="234"/>
      <c r="VQE341" s="234"/>
      <c r="VQF341" s="242"/>
      <c r="VQG341" s="234"/>
      <c r="VQH341" s="234"/>
      <c r="VQI341" s="234"/>
      <c r="VQJ341" s="236"/>
      <c r="VQK341" s="244"/>
      <c r="VQL341" s="239"/>
      <c r="VQM341" s="240"/>
      <c r="VQN341" s="241"/>
      <c r="VQO341" s="239"/>
      <c r="VQP341" s="239"/>
      <c r="VQQ341" s="239"/>
      <c r="VQR341" s="239"/>
      <c r="VQS341" s="239"/>
      <c r="VQT341" s="239"/>
      <c r="VQU341" s="233"/>
      <c r="VQV341" s="235"/>
      <c r="VQW341" s="233"/>
      <c r="VQX341" s="234"/>
      <c r="VQY341" s="234"/>
      <c r="VQZ341" s="242"/>
      <c r="VRA341" s="234"/>
      <c r="VRB341" s="234"/>
      <c r="VRC341" s="234"/>
      <c r="VRD341" s="236"/>
      <c r="VRE341" s="244"/>
      <c r="VRF341" s="239"/>
      <c r="VRG341" s="240"/>
      <c r="VRH341" s="241"/>
      <c r="VRI341" s="239"/>
      <c r="VRJ341" s="239"/>
      <c r="VRK341" s="239"/>
      <c r="VRL341" s="239"/>
      <c r="VRM341" s="239"/>
      <c r="VRN341" s="239"/>
      <c r="VRO341" s="233"/>
      <c r="VRP341" s="235"/>
      <c r="VRQ341" s="233"/>
      <c r="VRR341" s="234"/>
      <c r="VRS341" s="234"/>
      <c r="VRT341" s="242"/>
      <c r="VRU341" s="234"/>
      <c r="VRV341" s="234"/>
      <c r="VRW341" s="234"/>
      <c r="VRX341" s="236"/>
      <c r="VRY341" s="244"/>
      <c r="VRZ341" s="239"/>
      <c r="VSA341" s="240"/>
      <c r="VSB341" s="241"/>
      <c r="VSC341" s="239"/>
      <c r="VSD341" s="239"/>
      <c r="VSE341" s="239"/>
      <c r="VSF341" s="239"/>
      <c r="VSG341" s="239"/>
      <c r="VSH341" s="239"/>
      <c r="VSI341" s="233"/>
      <c r="VSJ341" s="235"/>
      <c r="VSK341" s="233"/>
      <c r="VSL341" s="234"/>
      <c r="VSM341" s="234"/>
      <c r="VSN341" s="242"/>
      <c r="VSO341" s="234"/>
      <c r="VSP341" s="234"/>
      <c r="VSQ341" s="234"/>
      <c r="VSR341" s="236"/>
      <c r="VSS341" s="244"/>
      <c r="VST341" s="239"/>
      <c r="VSU341" s="240"/>
      <c r="VSV341" s="241"/>
      <c r="VSW341" s="239"/>
      <c r="VSX341" s="239"/>
      <c r="VSY341" s="239"/>
      <c r="VSZ341" s="239"/>
      <c r="VTA341" s="239"/>
      <c r="VTB341" s="239"/>
      <c r="VTC341" s="233"/>
      <c r="VTD341" s="235"/>
      <c r="VTE341" s="233"/>
      <c r="VTF341" s="234"/>
      <c r="VTG341" s="234"/>
      <c r="VTH341" s="242"/>
      <c r="VTI341" s="234"/>
      <c r="VTJ341" s="234"/>
      <c r="VTK341" s="234"/>
      <c r="VTL341" s="236"/>
      <c r="VTM341" s="244"/>
      <c r="VTN341" s="239"/>
      <c r="VTO341" s="240"/>
      <c r="VTP341" s="241"/>
      <c r="VTQ341" s="239"/>
      <c r="VTR341" s="239"/>
      <c r="VTS341" s="239"/>
      <c r="VTT341" s="239"/>
      <c r="VTU341" s="239"/>
      <c r="VTV341" s="239"/>
      <c r="VTW341" s="233"/>
      <c r="VTX341" s="235"/>
      <c r="VTY341" s="233"/>
      <c r="VTZ341" s="234"/>
      <c r="VUA341" s="234"/>
      <c r="VUB341" s="242"/>
      <c r="VUC341" s="234"/>
      <c r="VUD341" s="234"/>
      <c r="VUE341" s="234"/>
      <c r="VUF341" s="236"/>
      <c r="VUG341" s="244"/>
      <c r="VUH341" s="239"/>
      <c r="VUI341" s="240"/>
      <c r="VUJ341" s="241"/>
      <c r="VUK341" s="239"/>
      <c r="VUL341" s="239"/>
      <c r="VUM341" s="239"/>
      <c r="VUN341" s="239"/>
      <c r="VUO341" s="239"/>
      <c r="VUP341" s="239"/>
      <c r="VUQ341" s="233"/>
      <c r="VUR341" s="235"/>
      <c r="VUS341" s="233"/>
      <c r="VUT341" s="234"/>
      <c r="VUU341" s="234"/>
      <c r="VUV341" s="242"/>
      <c r="VUW341" s="234"/>
      <c r="VUX341" s="234"/>
      <c r="VUY341" s="234"/>
      <c r="VUZ341" s="236"/>
      <c r="VVA341" s="244"/>
      <c r="VVB341" s="239"/>
      <c r="VVC341" s="240"/>
      <c r="VVD341" s="241"/>
      <c r="VVE341" s="239"/>
      <c r="VVF341" s="239"/>
      <c r="VVG341" s="239"/>
      <c r="VVH341" s="239"/>
      <c r="VVI341" s="239"/>
      <c r="VVJ341" s="239"/>
      <c r="VVK341" s="233"/>
      <c r="VVL341" s="235"/>
      <c r="VVM341" s="233"/>
      <c r="VVN341" s="234"/>
      <c r="VVO341" s="234"/>
      <c r="VVP341" s="242"/>
      <c r="VVQ341" s="234"/>
      <c r="VVR341" s="234"/>
      <c r="VVS341" s="234"/>
      <c r="VVT341" s="236"/>
      <c r="VVU341" s="244"/>
      <c r="VVV341" s="239"/>
      <c r="VVW341" s="240"/>
      <c r="VVX341" s="241"/>
      <c r="VVY341" s="239"/>
      <c r="VVZ341" s="239"/>
      <c r="VWA341" s="239"/>
      <c r="VWB341" s="239"/>
      <c r="VWC341" s="239"/>
      <c r="VWD341" s="239"/>
      <c r="VWE341" s="233"/>
      <c r="VWF341" s="235"/>
      <c r="VWG341" s="233"/>
      <c r="VWH341" s="234"/>
      <c r="VWI341" s="234"/>
      <c r="VWJ341" s="242"/>
      <c r="VWK341" s="234"/>
      <c r="VWL341" s="234"/>
      <c r="VWM341" s="234"/>
      <c r="VWN341" s="236"/>
      <c r="VWO341" s="244"/>
      <c r="VWP341" s="239"/>
      <c r="VWQ341" s="240"/>
      <c r="VWR341" s="241"/>
      <c r="VWS341" s="239"/>
      <c r="VWT341" s="239"/>
      <c r="VWU341" s="239"/>
      <c r="VWV341" s="239"/>
      <c r="VWW341" s="239"/>
      <c r="VWX341" s="239"/>
      <c r="VWY341" s="233"/>
      <c r="VWZ341" s="235"/>
      <c r="VXA341" s="233"/>
      <c r="VXB341" s="234"/>
      <c r="VXC341" s="234"/>
      <c r="VXD341" s="242"/>
      <c r="VXE341" s="234"/>
      <c r="VXF341" s="234"/>
      <c r="VXG341" s="234"/>
      <c r="VXH341" s="236"/>
      <c r="VXI341" s="244"/>
      <c r="VXJ341" s="239"/>
      <c r="VXK341" s="240"/>
      <c r="VXL341" s="241"/>
      <c r="VXM341" s="239"/>
      <c r="VXN341" s="239"/>
      <c r="VXO341" s="239"/>
      <c r="VXP341" s="239"/>
      <c r="VXQ341" s="239"/>
      <c r="VXR341" s="239"/>
      <c r="VXS341" s="233"/>
      <c r="VXT341" s="235"/>
      <c r="VXU341" s="233"/>
      <c r="VXV341" s="234"/>
      <c r="VXW341" s="234"/>
      <c r="VXX341" s="242"/>
      <c r="VXY341" s="234"/>
      <c r="VXZ341" s="234"/>
      <c r="VYA341" s="234"/>
      <c r="VYB341" s="236"/>
      <c r="VYC341" s="244"/>
      <c r="VYD341" s="239"/>
      <c r="VYE341" s="240"/>
      <c r="VYF341" s="241"/>
      <c r="VYG341" s="239"/>
      <c r="VYH341" s="239"/>
      <c r="VYI341" s="239"/>
      <c r="VYJ341" s="239"/>
      <c r="VYK341" s="239"/>
      <c r="VYL341" s="239"/>
      <c r="VYM341" s="233"/>
      <c r="VYN341" s="235"/>
      <c r="VYO341" s="233"/>
      <c r="VYP341" s="234"/>
      <c r="VYQ341" s="234"/>
      <c r="VYR341" s="242"/>
      <c r="VYS341" s="234"/>
      <c r="VYT341" s="234"/>
      <c r="VYU341" s="234"/>
      <c r="VYV341" s="236"/>
      <c r="VYW341" s="244"/>
      <c r="VYX341" s="239"/>
      <c r="VYY341" s="240"/>
      <c r="VYZ341" s="241"/>
      <c r="VZA341" s="239"/>
      <c r="VZB341" s="239"/>
      <c r="VZC341" s="239"/>
      <c r="VZD341" s="239"/>
      <c r="VZE341" s="239"/>
      <c r="VZF341" s="239"/>
      <c r="VZG341" s="233"/>
      <c r="VZH341" s="235"/>
      <c r="VZI341" s="233"/>
      <c r="VZJ341" s="234"/>
      <c r="VZK341" s="234"/>
      <c r="VZL341" s="242"/>
      <c r="VZM341" s="234"/>
      <c r="VZN341" s="234"/>
      <c r="VZO341" s="234"/>
      <c r="VZP341" s="236"/>
      <c r="VZQ341" s="244"/>
      <c r="VZR341" s="239"/>
      <c r="VZS341" s="240"/>
      <c r="VZT341" s="241"/>
      <c r="VZU341" s="239"/>
      <c r="VZV341" s="239"/>
      <c r="VZW341" s="239"/>
      <c r="VZX341" s="239"/>
      <c r="VZY341" s="239"/>
      <c r="VZZ341" s="239"/>
      <c r="WAA341" s="233"/>
      <c r="WAB341" s="235"/>
      <c r="WAC341" s="233"/>
      <c r="WAD341" s="234"/>
      <c r="WAE341" s="234"/>
      <c r="WAF341" s="242"/>
      <c r="WAG341" s="234"/>
      <c r="WAH341" s="234"/>
      <c r="WAI341" s="234"/>
      <c r="WAJ341" s="236"/>
      <c r="WAK341" s="244"/>
      <c r="WAL341" s="239"/>
      <c r="WAM341" s="240"/>
      <c r="WAN341" s="241"/>
      <c r="WAO341" s="239"/>
      <c r="WAP341" s="239"/>
      <c r="WAQ341" s="239"/>
      <c r="WAR341" s="239"/>
      <c r="WAS341" s="239"/>
      <c r="WAT341" s="239"/>
      <c r="WAU341" s="233"/>
      <c r="WAV341" s="235"/>
      <c r="WAW341" s="233"/>
      <c r="WAX341" s="234"/>
      <c r="WAY341" s="234"/>
      <c r="WAZ341" s="242"/>
      <c r="WBA341" s="234"/>
      <c r="WBB341" s="234"/>
      <c r="WBC341" s="234"/>
      <c r="WBD341" s="236"/>
      <c r="WBE341" s="244"/>
      <c r="WBF341" s="239"/>
      <c r="WBG341" s="240"/>
      <c r="WBH341" s="241"/>
      <c r="WBI341" s="239"/>
      <c r="WBJ341" s="239"/>
      <c r="WBK341" s="239"/>
      <c r="WBL341" s="239"/>
      <c r="WBM341" s="239"/>
      <c r="WBN341" s="239"/>
      <c r="WBO341" s="233"/>
      <c r="WBP341" s="235"/>
      <c r="WBQ341" s="233"/>
      <c r="WBR341" s="234"/>
      <c r="WBS341" s="234"/>
      <c r="WBT341" s="242"/>
      <c r="WBU341" s="234"/>
      <c r="WBV341" s="234"/>
      <c r="WBW341" s="234"/>
      <c r="WBX341" s="236"/>
      <c r="WBY341" s="244"/>
      <c r="WBZ341" s="239"/>
      <c r="WCA341" s="240"/>
      <c r="WCB341" s="241"/>
      <c r="WCC341" s="239"/>
      <c r="WCD341" s="239"/>
      <c r="WCE341" s="239"/>
      <c r="WCF341" s="239"/>
      <c r="WCG341" s="239"/>
      <c r="WCH341" s="239"/>
      <c r="WCI341" s="233"/>
      <c r="WCJ341" s="235"/>
      <c r="WCK341" s="233"/>
      <c r="WCL341" s="234"/>
      <c r="WCM341" s="234"/>
      <c r="WCN341" s="242"/>
      <c r="WCO341" s="234"/>
      <c r="WCP341" s="234"/>
      <c r="WCQ341" s="234"/>
      <c r="WCR341" s="236"/>
      <c r="WCS341" s="244"/>
      <c r="WCT341" s="239"/>
      <c r="WCU341" s="240"/>
      <c r="WCV341" s="241"/>
      <c r="WCW341" s="239"/>
      <c r="WCX341" s="239"/>
      <c r="WCY341" s="239"/>
      <c r="WCZ341" s="239"/>
      <c r="WDA341" s="239"/>
      <c r="WDB341" s="239"/>
      <c r="WDC341" s="233"/>
      <c r="WDD341" s="235"/>
      <c r="WDE341" s="233"/>
      <c r="WDF341" s="234"/>
      <c r="WDG341" s="234"/>
      <c r="WDH341" s="242"/>
      <c r="WDI341" s="234"/>
      <c r="WDJ341" s="234"/>
      <c r="WDK341" s="234"/>
      <c r="WDL341" s="236"/>
      <c r="WDM341" s="244"/>
      <c r="WDN341" s="239"/>
      <c r="WDO341" s="240"/>
      <c r="WDP341" s="241"/>
      <c r="WDQ341" s="239"/>
      <c r="WDR341" s="239"/>
      <c r="WDS341" s="239"/>
      <c r="WDT341" s="239"/>
      <c r="WDU341" s="239"/>
      <c r="WDV341" s="239"/>
      <c r="WDW341" s="233"/>
      <c r="WDX341" s="235"/>
      <c r="WDY341" s="233"/>
      <c r="WDZ341" s="234"/>
      <c r="WEA341" s="234"/>
      <c r="WEB341" s="242"/>
      <c r="WEC341" s="234"/>
      <c r="WED341" s="234"/>
      <c r="WEE341" s="234"/>
      <c r="WEF341" s="236"/>
      <c r="WEG341" s="244"/>
      <c r="WEH341" s="239"/>
      <c r="WEI341" s="240"/>
      <c r="WEJ341" s="241"/>
      <c r="WEK341" s="239"/>
      <c r="WEL341" s="239"/>
      <c r="WEM341" s="239"/>
      <c r="WEN341" s="239"/>
      <c r="WEO341" s="239"/>
      <c r="WEP341" s="239"/>
      <c r="WEQ341" s="233"/>
      <c r="WER341" s="235"/>
      <c r="WES341" s="233"/>
      <c r="WET341" s="234"/>
      <c r="WEU341" s="234"/>
      <c r="WEV341" s="242"/>
      <c r="WEW341" s="234"/>
      <c r="WEX341" s="234"/>
      <c r="WEY341" s="234"/>
      <c r="WEZ341" s="236"/>
      <c r="WFA341" s="244"/>
      <c r="WFB341" s="239"/>
      <c r="WFC341" s="240"/>
      <c r="WFD341" s="241"/>
      <c r="WFE341" s="239"/>
      <c r="WFF341" s="239"/>
      <c r="WFG341" s="239"/>
      <c r="WFH341" s="239"/>
      <c r="WFI341" s="239"/>
      <c r="WFJ341" s="239"/>
      <c r="WFK341" s="233"/>
      <c r="WFL341" s="235"/>
      <c r="WFM341" s="233"/>
      <c r="WFN341" s="234"/>
      <c r="WFO341" s="234"/>
      <c r="WFP341" s="242"/>
      <c r="WFQ341" s="234"/>
      <c r="WFR341" s="234"/>
      <c r="WFS341" s="234"/>
      <c r="WFT341" s="236"/>
      <c r="WFU341" s="244"/>
      <c r="WFV341" s="239"/>
      <c r="WFW341" s="240"/>
      <c r="WFX341" s="241"/>
      <c r="WFY341" s="239"/>
      <c r="WFZ341" s="239"/>
      <c r="WGA341" s="239"/>
      <c r="WGB341" s="239"/>
      <c r="WGC341" s="239"/>
      <c r="WGD341" s="239"/>
      <c r="WGE341" s="233"/>
      <c r="WGF341" s="235"/>
      <c r="WGG341" s="233"/>
      <c r="WGH341" s="234"/>
      <c r="WGI341" s="234"/>
      <c r="WGJ341" s="242"/>
      <c r="WGK341" s="234"/>
      <c r="WGL341" s="234"/>
      <c r="WGM341" s="234"/>
      <c r="WGN341" s="236"/>
      <c r="WGO341" s="244"/>
      <c r="WGP341" s="239"/>
      <c r="WGQ341" s="240"/>
      <c r="WGR341" s="241"/>
      <c r="WGS341" s="239"/>
      <c r="WGT341" s="239"/>
      <c r="WGU341" s="239"/>
      <c r="WGV341" s="239"/>
      <c r="WGW341" s="239"/>
      <c r="WGX341" s="239"/>
      <c r="WGY341" s="233"/>
      <c r="WGZ341" s="235"/>
      <c r="WHA341" s="233"/>
      <c r="WHB341" s="234"/>
      <c r="WHC341" s="234"/>
      <c r="WHD341" s="242"/>
      <c r="WHE341" s="234"/>
      <c r="WHF341" s="234"/>
      <c r="WHG341" s="234"/>
      <c r="WHH341" s="236"/>
      <c r="WHI341" s="244"/>
      <c r="WHJ341" s="239"/>
      <c r="WHK341" s="240"/>
      <c r="WHL341" s="241"/>
      <c r="WHM341" s="239"/>
      <c r="WHN341" s="239"/>
      <c r="WHO341" s="239"/>
      <c r="WHP341" s="239"/>
      <c r="WHQ341" s="239"/>
      <c r="WHR341" s="239"/>
      <c r="WHS341" s="233"/>
      <c r="WHT341" s="235"/>
      <c r="WHU341" s="233"/>
      <c r="WHV341" s="234"/>
      <c r="WHW341" s="234"/>
      <c r="WHX341" s="242"/>
      <c r="WHY341" s="234"/>
      <c r="WHZ341" s="234"/>
      <c r="WIA341" s="234"/>
      <c r="WIB341" s="236"/>
      <c r="WIC341" s="244"/>
      <c r="WID341" s="239"/>
      <c r="WIE341" s="240"/>
      <c r="WIF341" s="241"/>
      <c r="WIG341" s="239"/>
      <c r="WIH341" s="239"/>
      <c r="WII341" s="239"/>
      <c r="WIJ341" s="239"/>
      <c r="WIK341" s="239"/>
      <c r="WIL341" s="239"/>
      <c r="WIM341" s="233"/>
      <c r="WIN341" s="235"/>
      <c r="WIO341" s="233"/>
      <c r="WIP341" s="234"/>
      <c r="WIQ341" s="234"/>
      <c r="WIR341" s="242"/>
      <c r="WIS341" s="234"/>
      <c r="WIT341" s="234"/>
      <c r="WIU341" s="234"/>
      <c r="WIV341" s="236"/>
      <c r="WIW341" s="244"/>
      <c r="WIX341" s="239"/>
      <c r="WIY341" s="240"/>
      <c r="WIZ341" s="241"/>
      <c r="WJA341" s="239"/>
      <c r="WJB341" s="239"/>
      <c r="WJC341" s="239"/>
      <c r="WJD341" s="239"/>
      <c r="WJE341" s="239"/>
      <c r="WJF341" s="239"/>
      <c r="WJG341" s="233"/>
      <c r="WJH341" s="235"/>
      <c r="WJI341" s="233"/>
      <c r="WJJ341" s="234"/>
      <c r="WJK341" s="234"/>
      <c r="WJL341" s="242"/>
      <c r="WJM341" s="234"/>
      <c r="WJN341" s="234"/>
      <c r="WJO341" s="234"/>
      <c r="WJP341" s="236"/>
      <c r="WJQ341" s="244"/>
      <c r="WJR341" s="239"/>
      <c r="WJS341" s="240"/>
      <c r="WJT341" s="241"/>
      <c r="WJU341" s="239"/>
      <c r="WJV341" s="239"/>
      <c r="WJW341" s="239"/>
      <c r="WJX341" s="239"/>
      <c r="WJY341" s="239"/>
      <c r="WJZ341" s="239"/>
      <c r="WKA341" s="233"/>
      <c r="WKB341" s="235"/>
      <c r="WKC341" s="233"/>
      <c r="WKD341" s="234"/>
      <c r="WKE341" s="234"/>
      <c r="WKF341" s="242"/>
      <c r="WKG341" s="234"/>
      <c r="WKH341" s="234"/>
      <c r="WKI341" s="234"/>
      <c r="WKJ341" s="236"/>
      <c r="WKK341" s="244"/>
      <c r="WKL341" s="239"/>
      <c r="WKM341" s="240"/>
      <c r="WKN341" s="241"/>
      <c r="WKO341" s="239"/>
      <c r="WKP341" s="239"/>
      <c r="WKQ341" s="239"/>
      <c r="WKR341" s="239"/>
      <c r="WKS341" s="239"/>
      <c r="WKT341" s="239"/>
      <c r="WKU341" s="233"/>
      <c r="WKV341" s="235"/>
      <c r="WKW341" s="233"/>
      <c r="WKX341" s="234"/>
      <c r="WKY341" s="234"/>
      <c r="WKZ341" s="242"/>
      <c r="WLA341" s="234"/>
      <c r="WLB341" s="234"/>
      <c r="WLC341" s="234"/>
      <c r="WLD341" s="236"/>
      <c r="WLE341" s="244"/>
      <c r="WLF341" s="239"/>
      <c r="WLG341" s="240"/>
      <c r="WLH341" s="241"/>
      <c r="WLI341" s="239"/>
      <c r="WLJ341" s="239"/>
      <c r="WLK341" s="239"/>
      <c r="WLL341" s="239"/>
      <c r="WLM341" s="239"/>
      <c r="WLN341" s="239"/>
      <c r="WLO341" s="233"/>
      <c r="WLP341" s="235"/>
      <c r="WLQ341" s="233"/>
      <c r="WLR341" s="234"/>
      <c r="WLS341" s="234"/>
      <c r="WLT341" s="242"/>
      <c r="WLU341" s="234"/>
      <c r="WLV341" s="234"/>
      <c r="WLW341" s="234"/>
      <c r="WLX341" s="236"/>
      <c r="WLY341" s="244"/>
      <c r="WLZ341" s="239"/>
      <c r="WMA341" s="240"/>
      <c r="WMB341" s="241"/>
      <c r="WMC341" s="239"/>
      <c r="WMD341" s="239"/>
      <c r="WME341" s="239"/>
      <c r="WMF341" s="239"/>
      <c r="WMG341" s="239"/>
      <c r="WMH341" s="239"/>
      <c r="WMI341" s="233"/>
      <c r="WMJ341" s="235"/>
      <c r="WMK341" s="233"/>
      <c r="WML341" s="234"/>
      <c r="WMM341" s="234"/>
      <c r="WMN341" s="242"/>
      <c r="WMO341" s="234"/>
      <c r="WMP341" s="234"/>
      <c r="WMQ341" s="234"/>
      <c r="WMR341" s="236"/>
      <c r="WMS341" s="244"/>
      <c r="WMT341" s="239"/>
      <c r="WMU341" s="240"/>
      <c r="WMV341" s="241"/>
      <c r="WMW341" s="239"/>
      <c r="WMX341" s="239"/>
      <c r="WMY341" s="239"/>
      <c r="WMZ341" s="239"/>
      <c r="WNA341" s="239"/>
      <c r="WNB341" s="239"/>
      <c r="WNC341" s="233"/>
      <c r="WND341" s="235"/>
      <c r="WNE341" s="233"/>
      <c r="WNF341" s="234"/>
      <c r="WNG341" s="234"/>
      <c r="WNH341" s="242"/>
      <c r="WNI341" s="234"/>
      <c r="WNJ341" s="234"/>
      <c r="WNK341" s="234"/>
      <c r="WNL341" s="236"/>
      <c r="WNM341" s="244"/>
      <c r="WNN341" s="239"/>
      <c r="WNO341" s="240"/>
      <c r="WNP341" s="241"/>
      <c r="WNQ341" s="239"/>
      <c r="WNR341" s="239"/>
      <c r="WNS341" s="239"/>
      <c r="WNT341" s="239"/>
      <c r="WNU341" s="239"/>
      <c r="WNV341" s="239"/>
      <c r="WNW341" s="233"/>
      <c r="WNX341" s="235"/>
      <c r="WNY341" s="233"/>
      <c r="WNZ341" s="234"/>
      <c r="WOA341" s="234"/>
      <c r="WOB341" s="242"/>
      <c r="WOC341" s="234"/>
      <c r="WOD341" s="234"/>
      <c r="WOE341" s="234"/>
      <c r="WOF341" s="236"/>
      <c r="WOG341" s="244"/>
      <c r="WOH341" s="239"/>
      <c r="WOI341" s="240"/>
      <c r="WOJ341" s="241"/>
      <c r="WOK341" s="239"/>
      <c r="WOL341" s="239"/>
      <c r="WOM341" s="239"/>
      <c r="WON341" s="239"/>
      <c r="WOO341" s="239"/>
      <c r="WOP341" s="239"/>
      <c r="WOQ341" s="233"/>
      <c r="WOR341" s="235"/>
      <c r="WOS341" s="233"/>
      <c r="WOT341" s="234"/>
      <c r="WOU341" s="234"/>
      <c r="WOV341" s="242"/>
      <c r="WOW341" s="234"/>
      <c r="WOX341" s="234"/>
      <c r="WOY341" s="234"/>
      <c r="WOZ341" s="236"/>
      <c r="WPA341" s="244"/>
      <c r="WPB341" s="239"/>
      <c r="WPC341" s="240"/>
      <c r="WPD341" s="241"/>
      <c r="WPE341" s="239"/>
      <c r="WPF341" s="239"/>
      <c r="WPG341" s="239"/>
      <c r="WPH341" s="239"/>
      <c r="WPI341" s="239"/>
      <c r="WPJ341" s="239"/>
      <c r="WPK341" s="233"/>
      <c r="WPL341" s="235"/>
      <c r="WPM341" s="233"/>
      <c r="WPN341" s="234"/>
      <c r="WPO341" s="234"/>
      <c r="WPP341" s="242"/>
      <c r="WPQ341" s="234"/>
      <c r="WPR341" s="234"/>
      <c r="WPS341" s="234"/>
      <c r="WPT341" s="236"/>
      <c r="WPU341" s="244"/>
      <c r="WPV341" s="239"/>
      <c r="WPW341" s="240"/>
      <c r="WPX341" s="241"/>
      <c r="WPY341" s="239"/>
      <c r="WPZ341" s="239"/>
      <c r="WQA341" s="239"/>
      <c r="WQB341" s="239"/>
      <c r="WQC341" s="239"/>
      <c r="WQD341" s="239"/>
      <c r="WQE341" s="233"/>
      <c r="WQF341" s="235"/>
      <c r="WQG341" s="233"/>
      <c r="WQH341" s="234"/>
      <c r="WQI341" s="234"/>
      <c r="WQJ341" s="242"/>
      <c r="WQK341" s="234"/>
      <c r="WQL341" s="234"/>
      <c r="WQM341" s="234"/>
      <c r="WQN341" s="236"/>
      <c r="WQO341" s="244"/>
      <c r="WQP341" s="239"/>
      <c r="WQQ341" s="240"/>
      <c r="WQR341" s="241"/>
      <c r="WQS341" s="239"/>
      <c r="WQT341" s="239"/>
      <c r="WQU341" s="239"/>
      <c r="WQV341" s="239"/>
      <c r="WQW341" s="239"/>
      <c r="WQX341" s="239"/>
      <c r="WQY341" s="233"/>
      <c r="WQZ341" s="235"/>
      <c r="WRA341" s="233"/>
      <c r="WRB341" s="234"/>
      <c r="WRC341" s="234"/>
      <c r="WRD341" s="242"/>
      <c r="WRE341" s="234"/>
      <c r="WRF341" s="234"/>
      <c r="WRG341" s="234"/>
      <c r="WRH341" s="236"/>
      <c r="WRI341" s="244"/>
      <c r="WRJ341" s="239"/>
      <c r="WRK341" s="240"/>
      <c r="WRL341" s="241"/>
      <c r="WRM341" s="239"/>
      <c r="WRN341" s="239"/>
      <c r="WRO341" s="239"/>
      <c r="WRP341" s="239"/>
      <c r="WRQ341" s="239"/>
      <c r="WRR341" s="239"/>
      <c r="WRS341" s="233"/>
      <c r="WRT341" s="235"/>
      <c r="WRU341" s="233"/>
      <c r="WRV341" s="234"/>
      <c r="WRW341" s="234"/>
      <c r="WRX341" s="242"/>
      <c r="WRY341" s="234"/>
      <c r="WRZ341" s="234"/>
      <c r="WSA341" s="234"/>
      <c r="WSB341" s="236"/>
      <c r="WSC341" s="244"/>
      <c r="WSD341" s="239"/>
      <c r="WSE341" s="240"/>
      <c r="WSF341" s="241"/>
      <c r="WSG341" s="239"/>
      <c r="WSH341" s="239"/>
      <c r="WSI341" s="239"/>
      <c r="WSJ341" s="239"/>
      <c r="WSK341" s="239"/>
      <c r="WSL341" s="239"/>
      <c r="WSM341" s="233"/>
      <c r="WSN341" s="235"/>
      <c r="WSO341" s="233"/>
      <c r="WSP341" s="234"/>
      <c r="WSQ341" s="234"/>
      <c r="WSR341" s="242"/>
      <c r="WSS341" s="234"/>
      <c r="WST341" s="234"/>
      <c r="WSU341" s="234"/>
      <c r="WSV341" s="236"/>
      <c r="WSW341" s="244"/>
      <c r="WSX341" s="239"/>
      <c r="WSY341" s="240"/>
      <c r="WSZ341" s="241"/>
      <c r="WTA341" s="239"/>
      <c r="WTB341" s="239"/>
      <c r="WTC341" s="239"/>
      <c r="WTD341" s="239"/>
      <c r="WTE341" s="239"/>
      <c r="WTF341" s="239"/>
      <c r="WTG341" s="233"/>
      <c r="WTH341" s="235"/>
      <c r="WTI341" s="233"/>
      <c r="WTJ341" s="234"/>
      <c r="WTK341" s="234"/>
      <c r="WTL341" s="242"/>
      <c r="WTM341" s="234"/>
      <c r="WTN341" s="234"/>
      <c r="WTO341" s="234"/>
      <c r="WTP341" s="236"/>
      <c r="WTQ341" s="244"/>
      <c r="WTR341" s="239"/>
      <c r="WTS341" s="240"/>
      <c r="WTT341" s="241"/>
      <c r="WTU341" s="239"/>
      <c r="WTV341" s="239"/>
      <c r="WTW341" s="239"/>
      <c r="WTX341" s="239"/>
      <c r="WTY341" s="239"/>
      <c r="WTZ341" s="239"/>
      <c r="WUA341" s="233"/>
      <c r="WUB341" s="235"/>
      <c r="WUC341" s="233"/>
      <c r="WUD341" s="234"/>
      <c r="WUE341" s="234"/>
      <c r="WUF341" s="242"/>
      <c r="WUG341" s="234"/>
      <c r="WUH341" s="234"/>
      <c r="WUI341" s="234"/>
      <c r="WUJ341" s="236"/>
      <c r="WUK341" s="244"/>
      <c r="WUL341" s="239"/>
      <c r="WUM341" s="240"/>
      <c r="WUN341" s="241"/>
      <c r="WUO341" s="239"/>
      <c r="WUP341" s="239"/>
      <c r="WUQ341" s="239"/>
      <c r="WUR341" s="239"/>
      <c r="WUS341" s="239"/>
      <c r="WUT341" s="239"/>
      <c r="WUU341" s="233"/>
      <c r="WUV341" s="235"/>
      <c r="WUW341" s="233"/>
      <c r="WUX341" s="234"/>
      <c r="WUY341" s="234"/>
      <c r="WUZ341" s="242"/>
      <c r="WVA341" s="234"/>
      <c r="WVB341" s="234"/>
      <c r="WVC341" s="234"/>
      <c r="WVD341" s="236"/>
      <c r="WVE341" s="244"/>
      <c r="WVF341" s="239"/>
      <c r="WVG341" s="240"/>
      <c r="WVH341" s="241"/>
      <c r="WVI341" s="239"/>
      <c r="WVJ341" s="239"/>
      <c r="WVK341" s="239"/>
      <c r="WVL341" s="239"/>
      <c r="WVM341" s="239"/>
      <c r="WVN341" s="239"/>
      <c r="WVO341" s="233"/>
      <c r="WVP341" s="235"/>
      <c r="WVQ341" s="233"/>
      <c r="WVR341" s="234"/>
      <c r="WVS341" s="234"/>
      <c r="WVT341" s="242"/>
      <c r="WVU341" s="234"/>
      <c r="WVV341" s="234"/>
      <c r="WVW341" s="234"/>
      <c r="WVX341" s="236"/>
      <c r="WVY341" s="244"/>
      <c r="WVZ341" s="239"/>
      <c r="WWA341" s="240"/>
      <c r="WWB341" s="241"/>
      <c r="WWC341" s="239"/>
      <c r="WWD341" s="239"/>
      <c r="WWE341" s="239"/>
      <c r="WWF341" s="239"/>
      <c r="WWG341" s="239"/>
      <c r="WWH341" s="239"/>
      <c r="WWI341" s="233"/>
      <c r="WWJ341" s="235"/>
      <c r="WWK341" s="233"/>
      <c r="WWL341" s="234"/>
      <c r="WWM341" s="234"/>
      <c r="WWN341" s="242"/>
      <c r="WWO341" s="234"/>
      <c r="WWP341" s="234"/>
      <c r="WWQ341" s="234"/>
      <c r="WWR341" s="236"/>
      <c r="WWS341" s="244"/>
      <c r="WWT341" s="239"/>
      <c r="WWU341" s="240"/>
      <c r="WWV341" s="241"/>
      <c r="WWW341" s="239"/>
      <c r="WWX341" s="239"/>
      <c r="WWY341" s="239"/>
      <c r="WWZ341" s="239"/>
      <c r="WXA341" s="239"/>
      <c r="WXB341" s="239"/>
      <c r="WXC341" s="233"/>
      <c r="WXD341" s="235"/>
      <c r="WXE341" s="233"/>
      <c r="WXF341" s="234"/>
      <c r="WXG341" s="234"/>
      <c r="WXH341" s="242"/>
      <c r="WXI341" s="234"/>
      <c r="WXJ341" s="234"/>
      <c r="WXK341" s="234"/>
      <c r="WXL341" s="236"/>
      <c r="WXM341" s="244"/>
      <c r="WXN341" s="239"/>
      <c r="WXO341" s="240"/>
      <c r="WXP341" s="241"/>
      <c r="WXQ341" s="239"/>
      <c r="WXR341" s="239"/>
      <c r="WXS341" s="239"/>
      <c r="WXT341" s="239"/>
      <c r="WXU341" s="239"/>
      <c r="WXV341" s="239"/>
      <c r="WXW341" s="233"/>
      <c r="WXX341" s="235"/>
      <c r="WXY341" s="233"/>
      <c r="WXZ341" s="234"/>
      <c r="WYA341" s="234"/>
      <c r="WYB341" s="242"/>
      <c r="WYC341" s="234"/>
      <c r="WYD341" s="234"/>
      <c r="WYE341" s="234"/>
      <c r="WYF341" s="236"/>
      <c r="WYG341" s="244"/>
      <c r="WYH341" s="239"/>
      <c r="WYI341" s="240"/>
      <c r="WYJ341" s="241"/>
      <c r="WYK341" s="239"/>
      <c r="WYL341" s="239"/>
      <c r="WYM341" s="239"/>
      <c r="WYN341" s="239"/>
      <c r="WYO341" s="239"/>
      <c r="WYP341" s="239"/>
      <c r="WYQ341" s="233"/>
      <c r="WYR341" s="235"/>
      <c r="WYS341" s="233"/>
      <c r="WYT341" s="234"/>
      <c r="WYU341" s="234"/>
      <c r="WYV341" s="242"/>
      <c r="WYW341" s="234"/>
      <c r="WYX341" s="234"/>
      <c r="WYY341" s="234"/>
      <c r="WYZ341" s="236"/>
      <c r="WZA341" s="244"/>
      <c r="WZB341" s="239"/>
      <c r="WZC341" s="240"/>
      <c r="WZD341" s="241"/>
      <c r="WZE341" s="239"/>
      <c r="WZF341" s="239"/>
      <c r="WZG341" s="239"/>
      <c r="WZH341" s="239"/>
      <c r="WZI341" s="239"/>
      <c r="WZJ341" s="239"/>
      <c r="WZK341" s="233"/>
      <c r="WZL341" s="235"/>
      <c r="WZM341" s="233"/>
      <c r="WZN341" s="234"/>
      <c r="WZO341" s="234"/>
      <c r="WZP341" s="242"/>
      <c r="WZQ341" s="234"/>
      <c r="WZR341" s="234"/>
      <c r="WZS341" s="234"/>
      <c r="WZT341" s="236"/>
      <c r="WZU341" s="244"/>
      <c r="WZV341" s="239"/>
      <c r="WZW341" s="240"/>
      <c r="WZX341" s="241"/>
      <c r="WZY341" s="239"/>
      <c r="WZZ341" s="239"/>
      <c r="XAA341" s="239"/>
      <c r="XAB341" s="239"/>
      <c r="XAC341" s="239"/>
      <c r="XAD341" s="239"/>
      <c r="XAE341" s="233"/>
      <c r="XAF341" s="235"/>
      <c r="XAG341" s="233"/>
      <c r="XAH341" s="234"/>
      <c r="XAI341" s="234"/>
      <c r="XAJ341" s="242"/>
      <c r="XAK341" s="234"/>
      <c r="XAL341" s="234"/>
      <c r="XAM341" s="234"/>
      <c r="XAN341" s="236"/>
      <c r="XAO341" s="244"/>
      <c r="XAP341" s="239"/>
      <c r="XAQ341" s="240"/>
      <c r="XAR341" s="241"/>
      <c r="XAS341" s="239"/>
      <c r="XAT341" s="239"/>
      <c r="XAU341" s="239"/>
      <c r="XAV341" s="239"/>
      <c r="XAW341" s="239"/>
      <c r="XAX341" s="239"/>
      <c r="XAY341" s="233"/>
      <c r="XAZ341" s="235"/>
      <c r="XBA341" s="233"/>
      <c r="XBB341" s="234"/>
      <c r="XBC341" s="234"/>
      <c r="XBD341" s="242"/>
      <c r="XBE341" s="234"/>
      <c r="XBF341" s="234"/>
      <c r="XBG341" s="234"/>
      <c r="XBH341" s="236"/>
      <c r="XBI341" s="244"/>
      <c r="XBJ341" s="239"/>
      <c r="XBK341" s="240"/>
      <c r="XBL341" s="241"/>
      <c r="XBM341" s="239"/>
      <c r="XBN341" s="239"/>
      <c r="XBO341" s="239"/>
      <c r="XBP341" s="239"/>
      <c r="XBQ341" s="239"/>
      <c r="XBR341" s="239"/>
      <c r="XBS341" s="233"/>
      <c r="XBT341" s="235"/>
      <c r="XBU341" s="233"/>
      <c r="XBV341" s="234"/>
      <c r="XBW341" s="234"/>
      <c r="XBX341" s="242"/>
      <c r="XBY341" s="234"/>
      <c r="XBZ341" s="234"/>
      <c r="XCA341" s="234"/>
      <c r="XCB341" s="236"/>
      <c r="XCC341" s="244"/>
      <c r="XCD341" s="239"/>
      <c r="XCE341" s="240"/>
      <c r="XCF341" s="241"/>
      <c r="XCG341" s="239"/>
      <c r="XCH341" s="239"/>
      <c r="XCI341" s="239"/>
      <c r="XCJ341" s="239"/>
      <c r="XCK341" s="239"/>
      <c r="XCL341" s="239"/>
      <c r="XCM341" s="233"/>
      <c r="XCN341" s="235"/>
      <c r="XCO341" s="233"/>
      <c r="XCP341" s="234"/>
      <c r="XCQ341" s="234"/>
      <c r="XCR341" s="242"/>
      <c r="XCS341" s="234"/>
      <c r="XCT341" s="234"/>
      <c r="XCU341" s="234"/>
      <c r="XCV341" s="236"/>
      <c r="XCW341" s="244"/>
      <c r="XCX341" s="239"/>
      <c r="XCY341" s="240"/>
      <c r="XCZ341" s="241"/>
      <c r="XDA341" s="239"/>
      <c r="XDB341" s="239"/>
      <c r="XDC341" s="239"/>
      <c r="XDD341" s="239"/>
      <c r="XDE341" s="239"/>
      <c r="XDF341" s="239"/>
      <c r="XDG341" s="233"/>
      <c r="XDH341" s="235"/>
      <c r="XDI341" s="233"/>
      <c r="XDJ341" s="234"/>
      <c r="XDK341" s="234"/>
      <c r="XDL341" s="242"/>
      <c r="XDM341" s="234"/>
      <c r="XDN341" s="234"/>
      <c r="XDO341" s="234"/>
      <c r="XDP341" s="236"/>
      <c r="XDQ341" s="244"/>
      <c r="XDR341" s="239"/>
      <c r="XDS341" s="240"/>
      <c r="XDT341" s="241"/>
      <c r="XDU341" s="239"/>
      <c r="XDV341" s="239"/>
      <c r="XDW341" s="239"/>
      <c r="XDX341" s="239"/>
      <c r="XDY341" s="239"/>
      <c r="XDZ341" s="239"/>
      <c r="XEA341" s="233"/>
      <c r="XEB341" s="235"/>
      <c r="XEC341" s="233"/>
      <c r="XED341" s="234"/>
      <c r="XEE341" s="234"/>
      <c r="XEF341" s="242"/>
      <c r="XEG341" s="234"/>
      <c r="XEH341" s="234"/>
      <c r="XEI341" s="234"/>
      <c r="XEJ341" s="236"/>
      <c r="XEK341" s="244"/>
      <c r="XEL341" s="239"/>
      <c r="XEM341" s="240"/>
    </row>
    <row r="342" spans="1:16367" ht="63.75" hidden="1">
      <c r="A342" s="239" t="s">
        <v>1412</v>
      </c>
      <c r="B342" s="240">
        <v>1312</v>
      </c>
      <c r="C342" s="241">
        <v>58513</v>
      </c>
      <c r="D342" s="239" t="s">
        <v>3818</v>
      </c>
      <c r="E342" s="239" t="s">
        <v>456</v>
      </c>
      <c r="F342" s="239" t="s">
        <v>457</v>
      </c>
      <c r="G342" s="239" t="s">
        <v>964</v>
      </c>
      <c r="H342" s="239" t="s">
        <v>777</v>
      </c>
      <c r="I342" s="239" t="s">
        <v>399</v>
      </c>
      <c r="J342" s="233"/>
      <c r="K342" s="235">
        <v>45897</v>
      </c>
      <c r="L342" s="233">
        <v>1.4</v>
      </c>
      <c r="M342" s="234" t="s">
        <v>964</v>
      </c>
      <c r="N342" s="234">
        <v>42350</v>
      </c>
      <c r="O342" s="234">
        <v>15590</v>
      </c>
      <c r="P342" s="242">
        <v>6</v>
      </c>
      <c r="Q342" s="234">
        <v>26760</v>
      </c>
      <c r="R342" s="234">
        <v>25154.400000000001</v>
      </c>
      <c r="S342" s="234" t="s">
        <v>1520</v>
      </c>
      <c r="T342" s="236">
        <v>45898</v>
      </c>
    </row>
    <row r="343" spans="1:16367" ht="63.75" hidden="1">
      <c r="A343" s="239" t="s">
        <v>1413</v>
      </c>
      <c r="B343" s="240">
        <v>1314</v>
      </c>
      <c r="C343" s="241">
        <v>58537</v>
      </c>
      <c r="D343" s="239" t="s">
        <v>3818</v>
      </c>
      <c r="E343" s="239" t="s">
        <v>416</v>
      </c>
      <c r="F343" s="239" t="s">
        <v>417</v>
      </c>
      <c r="G343" s="239" t="s">
        <v>964</v>
      </c>
      <c r="H343" s="239" t="s">
        <v>777</v>
      </c>
      <c r="I343" s="239" t="s">
        <v>399</v>
      </c>
      <c r="J343" s="233"/>
      <c r="K343" s="235">
        <v>45897</v>
      </c>
      <c r="L343" s="233">
        <v>1.2</v>
      </c>
      <c r="M343" s="234" t="s">
        <v>964</v>
      </c>
      <c r="N343" s="234">
        <v>36610</v>
      </c>
      <c r="O343" s="234">
        <v>14740</v>
      </c>
      <c r="P343" s="242">
        <v>6</v>
      </c>
      <c r="Q343" s="234">
        <v>21870</v>
      </c>
      <c r="R343" s="234">
        <v>20557.8</v>
      </c>
      <c r="S343" s="234" t="s">
        <v>1521</v>
      </c>
      <c r="T343" s="236">
        <v>45898</v>
      </c>
    </row>
    <row r="344" spans="1:16367" ht="63.75" hidden="1">
      <c r="A344" s="239" t="s">
        <v>1414</v>
      </c>
      <c r="B344" s="240">
        <v>1315</v>
      </c>
      <c r="C344" s="241">
        <v>58539</v>
      </c>
      <c r="D344" s="239" t="s">
        <v>3818</v>
      </c>
      <c r="E344" s="239" t="s">
        <v>420</v>
      </c>
      <c r="F344" s="239" t="s">
        <v>421</v>
      </c>
      <c r="G344" s="239" t="s">
        <v>964</v>
      </c>
      <c r="H344" s="239" t="s">
        <v>777</v>
      </c>
      <c r="I344" s="239" t="s">
        <v>399</v>
      </c>
      <c r="J344" s="233"/>
      <c r="K344" s="235">
        <v>45897</v>
      </c>
      <c r="L344" s="233">
        <v>1.2</v>
      </c>
      <c r="M344" s="234" t="s">
        <v>964</v>
      </c>
      <c r="N344" s="234">
        <v>37510</v>
      </c>
      <c r="O344" s="234">
        <v>14910</v>
      </c>
      <c r="P344" s="242">
        <v>8</v>
      </c>
      <c r="Q344" s="234">
        <v>22600</v>
      </c>
      <c r="R344" s="234">
        <v>20792</v>
      </c>
      <c r="S344" s="234" t="s">
        <v>1522</v>
      </c>
      <c r="T344" s="236">
        <v>45898</v>
      </c>
    </row>
    <row r="345" spans="1:16367" ht="63.75" hidden="1">
      <c r="A345" s="239" t="s">
        <v>1415</v>
      </c>
      <c r="B345" s="240">
        <v>1332</v>
      </c>
      <c r="C345" s="241">
        <v>58542</v>
      </c>
      <c r="D345" s="239" t="s">
        <v>3818</v>
      </c>
      <c r="E345" s="239" t="s">
        <v>866</v>
      </c>
      <c r="F345" s="239" t="s">
        <v>867</v>
      </c>
      <c r="G345" s="239" t="s">
        <v>964</v>
      </c>
      <c r="H345" s="239" t="s">
        <v>777</v>
      </c>
      <c r="I345" s="239" t="s">
        <v>399</v>
      </c>
      <c r="J345" s="233"/>
      <c r="K345" s="235">
        <v>45898</v>
      </c>
      <c r="L345" s="233">
        <v>1.4</v>
      </c>
      <c r="M345" s="234" t="s">
        <v>964</v>
      </c>
      <c r="N345" s="234">
        <v>38140</v>
      </c>
      <c r="O345" s="234">
        <v>14430</v>
      </c>
      <c r="P345" s="242">
        <v>6</v>
      </c>
      <c r="Q345" s="234">
        <v>23710</v>
      </c>
      <c r="R345" s="234">
        <v>22287.4</v>
      </c>
      <c r="S345" s="234" t="s">
        <v>1523</v>
      </c>
      <c r="T345" s="236">
        <v>45898</v>
      </c>
    </row>
    <row r="346" spans="1:16367" ht="63.75" hidden="1">
      <c r="A346" s="239" t="s">
        <v>1416</v>
      </c>
      <c r="B346" s="240">
        <v>1333</v>
      </c>
      <c r="C346" s="241">
        <v>58544</v>
      </c>
      <c r="D346" s="239" t="s">
        <v>3818</v>
      </c>
      <c r="E346" s="239" t="s">
        <v>369</v>
      </c>
      <c r="F346" s="239" t="s">
        <v>370</v>
      </c>
      <c r="G346" s="239" t="s">
        <v>964</v>
      </c>
      <c r="H346" s="239" t="s">
        <v>777</v>
      </c>
      <c r="I346" s="239" t="s">
        <v>399</v>
      </c>
      <c r="J346" s="233"/>
      <c r="K346" s="235">
        <v>45898</v>
      </c>
      <c r="L346" s="233">
        <v>1.4</v>
      </c>
      <c r="M346" s="234" t="s">
        <v>964</v>
      </c>
      <c r="N346" s="234">
        <v>38140</v>
      </c>
      <c r="O346" s="234">
        <v>15040</v>
      </c>
      <c r="P346" s="242">
        <v>5</v>
      </c>
      <c r="Q346" s="234">
        <v>23100</v>
      </c>
      <c r="R346" s="234">
        <v>21945</v>
      </c>
      <c r="S346" s="234" t="s">
        <v>1524</v>
      </c>
      <c r="T346" s="236">
        <v>45898</v>
      </c>
    </row>
    <row r="347" spans="1:16367" ht="63.75" hidden="1">
      <c r="A347" s="239" t="s">
        <v>1418</v>
      </c>
      <c r="B347" s="240">
        <v>1335</v>
      </c>
      <c r="C347" s="241">
        <v>58509</v>
      </c>
      <c r="D347" s="239" t="s">
        <v>3818</v>
      </c>
      <c r="E347" s="239" t="s">
        <v>406</v>
      </c>
      <c r="F347" s="239" t="s">
        <v>407</v>
      </c>
      <c r="G347" s="239" t="s">
        <v>964</v>
      </c>
      <c r="H347" s="239" t="s">
        <v>777</v>
      </c>
      <c r="I347" s="239" t="s">
        <v>399</v>
      </c>
      <c r="J347" s="233"/>
      <c r="K347" s="235">
        <v>45898</v>
      </c>
      <c r="L347" s="233">
        <v>1.4</v>
      </c>
      <c r="M347" s="234" t="s">
        <v>964</v>
      </c>
      <c r="N347" s="234">
        <v>38340</v>
      </c>
      <c r="O347" s="234">
        <v>15030</v>
      </c>
      <c r="P347" s="242">
        <v>6</v>
      </c>
      <c r="Q347" s="234">
        <v>23310</v>
      </c>
      <c r="R347" s="234">
        <v>21911.4</v>
      </c>
      <c r="S347" s="234" t="s">
        <v>1526</v>
      </c>
      <c r="T347" s="236">
        <v>45898</v>
      </c>
    </row>
    <row r="348" spans="1:16367" ht="63.75" hidden="1">
      <c r="A348" s="239" t="s">
        <v>1421</v>
      </c>
      <c r="B348" s="240">
        <v>1336</v>
      </c>
      <c r="C348" s="241">
        <v>58511</v>
      </c>
      <c r="D348" s="239" t="s">
        <v>3818</v>
      </c>
      <c r="E348" s="239" t="s">
        <v>1422</v>
      </c>
      <c r="F348" s="239" t="s">
        <v>404</v>
      </c>
      <c r="G348" s="239" t="s">
        <v>964</v>
      </c>
      <c r="H348" s="239" t="s">
        <v>777</v>
      </c>
      <c r="I348" s="239" t="s">
        <v>399</v>
      </c>
      <c r="J348" s="233"/>
      <c r="K348" s="235">
        <v>45898</v>
      </c>
      <c r="L348" s="233">
        <v>1.4</v>
      </c>
      <c r="M348" s="234" t="s">
        <v>964</v>
      </c>
      <c r="N348" s="234">
        <v>37500</v>
      </c>
      <c r="O348" s="234">
        <v>14450</v>
      </c>
      <c r="P348" s="242">
        <v>8</v>
      </c>
      <c r="Q348" s="234">
        <v>23050</v>
      </c>
      <c r="R348" s="234">
        <v>21206</v>
      </c>
      <c r="S348" s="234" t="s">
        <v>1529</v>
      </c>
      <c r="T348" s="236">
        <v>45898</v>
      </c>
    </row>
    <row r="349" spans="1:16367" ht="63.75" hidden="1">
      <c r="A349" s="239" t="s">
        <v>1423</v>
      </c>
      <c r="B349" s="240">
        <v>1337</v>
      </c>
      <c r="C349" s="241">
        <v>58546</v>
      </c>
      <c r="D349" s="239" t="s">
        <v>3818</v>
      </c>
      <c r="E349" s="239" t="s">
        <v>386</v>
      </c>
      <c r="F349" s="239" t="s">
        <v>387</v>
      </c>
      <c r="G349" s="239" t="s">
        <v>964</v>
      </c>
      <c r="H349" s="239" t="s">
        <v>777</v>
      </c>
      <c r="I349" s="239" t="s">
        <v>399</v>
      </c>
      <c r="J349" s="233"/>
      <c r="K349" s="235">
        <v>45898</v>
      </c>
      <c r="L349" s="233">
        <v>1.4</v>
      </c>
      <c r="M349" s="234" t="s">
        <v>964</v>
      </c>
      <c r="N349" s="234">
        <v>38710</v>
      </c>
      <c r="O349" s="234">
        <v>15400</v>
      </c>
      <c r="P349" s="242">
        <v>4</v>
      </c>
      <c r="Q349" s="234">
        <v>23310</v>
      </c>
      <c r="R349" s="234">
        <v>22377.599999999999</v>
      </c>
      <c r="S349" s="234" t="s">
        <v>1530</v>
      </c>
      <c r="T349" s="236">
        <v>45898</v>
      </c>
    </row>
    <row r="350" spans="1:16367" ht="63.75" hidden="1">
      <c r="A350" s="239" t="s">
        <v>1417</v>
      </c>
      <c r="B350" s="240">
        <v>1338</v>
      </c>
      <c r="C350" s="241">
        <v>58548</v>
      </c>
      <c r="D350" s="239" t="s">
        <v>3818</v>
      </c>
      <c r="E350" s="239" t="s">
        <v>372</v>
      </c>
      <c r="F350" s="239" t="s">
        <v>373</v>
      </c>
      <c r="G350" s="239" t="s">
        <v>964</v>
      </c>
      <c r="H350" s="239" t="s">
        <v>777</v>
      </c>
      <c r="I350" s="239" t="s">
        <v>399</v>
      </c>
      <c r="J350" s="233"/>
      <c r="K350" s="235">
        <v>45898</v>
      </c>
      <c r="L350" s="233">
        <v>1.5</v>
      </c>
      <c r="M350" s="234" t="s">
        <v>964</v>
      </c>
      <c r="N350" s="234">
        <v>39510</v>
      </c>
      <c r="O350" s="234">
        <v>14930</v>
      </c>
      <c r="P350" s="242">
        <v>7</v>
      </c>
      <c r="Q350" s="234">
        <v>24580</v>
      </c>
      <c r="R350" s="234">
        <v>22859.4</v>
      </c>
      <c r="S350" s="234" t="s">
        <v>1525</v>
      </c>
      <c r="T350" s="236">
        <v>45898</v>
      </c>
    </row>
    <row r="351" spans="1:16367" ht="63.75" hidden="1">
      <c r="A351" s="239" t="s">
        <v>1419</v>
      </c>
      <c r="B351" s="240">
        <v>1339</v>
      </c>
      <c r="C351" s="241">
        <v>58552</v>
      </c>
      <c r="D351" s="239" t="s">
        <v>3818</v>
      </c>
      <c r="E351" s="239" t="s">
        <v>413</v>
      </c>
      <c r="F351" s="239" t="s">
        <v>414</v>
      </c>
      <c r="G351" s="239" t="s">
        <v>964</v>
      </c>
      <c r="H351" s="239" t="s">
        <v>777</v>
      </c>
      <c r="I351" s="239" t="s">
        <v>399</v>
      </c>
      <c r="J351" s="233"/>
      <c r="K351" s="235">
        <v>45898</v>
      </c>
      <c r="L351" s="233">
        <v>1.5</v>
      </c>
      <c r="M351" s="234" t="s">
        <v>964</v>
      </c>
      <c r="N351" s="234">
        <v>39920</v>
      </c>
      <c r="O351" s="234">
        <v>14980</v>
      </c>
      <c r="P351" s="242">
        <v>9</v>
      </c>
      <c r="Q351" s="234">
        <v>24940</v>
      </c>
      <c r="R351" s="234">
        <v>22695.4</v>
      </c>
      <c r="S351" s="234" t="s">
        <v>1527</v>
      </c>
      <c r="T351" s="236">
        <v>45898</v>
      </c>
    </row>
    <row r="352" spans="1:16367" ht="63.75" hidden="1">
      <c r="A352" s="239" t="s">
        <v>1420</v>
      </c>
      <c r="B352" s="240">
        <v>1340</v>
      </c>
      <c r="C352" s="241">
        <v>58550</v>
      </c>
      <c r="D352" s="239" t="s">
        <v>3818</v>
      </c>
      <c r="E352" s="239" t="s">
        <v>429</v>
      </c>
      <c r="F352" s="239" t="s">
        <v>430</v>
      </c>
      <c r="G352" s="239" t="s">
        <v>964</v>
      </c>
      <c r="H352" s="239" t="s">
        <v>777</v>
      </c>
      <c r="I352" s="239" t="s">
        <v>399</v>
      </c>
      <c r="J352" s="233"/>
      <c r="K352" s="235">
        <v>45898</v>
      </c>
      <c r="L352" s="233">
        <v>1.4</v>
      </c>
      <c r="M352" s="234" t="s">
        <v>964</v>
      </c>
      <c r="N352" s="234">
        <v>37500</v>
      </c>
      <c r="O352" s="234">
        <v>14230</v>
      </c>
      <c r="P352" s="242">
        <v>6</v>
      </c>
      <c r="Q352" s="234">
        <v>23270</v>
      </c>
      <c r="R352" s="234">
        <v>21873.8</v>
      </c>
      <c r="S352" s="234" t="s">
        <v>1528</v>
      </c>
      <c r="T352" s="236">
        <v>45898</v>
      </c>
    </row>
    <row r="353" spans="1:20" ht="63.75" hidden="1">
      <c r="A353" s="239" t="s">
        <v>1424</v>
      </c>
      <c r="B353" s="240">
        <v>1341</v>
      </c>
      <c r="C353" s="241">
        <v>58554</v>
      </c>
      <c r="D353" s="239" t="s">
        <v>3818</v>
      </c>
      <c r="E353" s="239" t="s">
        <v>374</v>
      </c>
      <c r="F353" s="239" t="s">
        <v>375</v>
      </c>
      <c r="G353" s="239" t="s">
        <v>964</v>
      </c>
      <c r="H353" s="239" t="s">
        <v>777</v>
      </c>
      <c r="I353" s="239" t="s">
        <v>399</v>
      </c>
      <c r="J353" s="233"/>
      <c r="K353" s="235">
        <v>45898</v>
      </c>
      <c r="L353" s="233">
        <v>1.4</v>
      </c>
      <c r="M353" s="234" t="s">
        <v>964</v>
      </c>
      <c r="N353" s="234">
        <v>38670</v>
      </c>
      <c r="O353" s="234">
        <v>15590</v>
      </c>
      <c r="P353" s="242">
        <v>8</v>
      </c>
      <c r="Q353" s="234">
        <v>23080</v>
      </c>
      <c r="R353" s="234">
        <v>21233.599999999999</v>
      </c>
      <c r="S353" s="234" t="s">
        <v>1531</v>
      </c>
      <c r="T353" s="236">
        <v>45899</v>
      </c>
    </row>
    <row r="354" spans="1:20" ht="63.75" hidden="1">
      <c r="A354" s="239" t="s">
        <v>1425</v>
      </c>
      <c r="B354" s="240">
        <v>1342</v>
      </c>
      <c r="C354" s="241">
        <v>58556</v>
      </c>
      <c r="D354" s="239" t="s">
        <v>3818</v>
      </c>
      <c r="E354" s="239" t="s">
        <v>858</v>
      </c>
      <c r="F354" s="239" t="s">
        <v>859</v>
      </c>
      <c r="G354" s="239" t="s">
        <v>964</v>
      </c>
      <c r="H354" s="239" t="s">
        <v>777</v>
      </c>
      <c r="I354" s="239" t="s">
        <v>399</v>
      </c>
      <c r="J354" s="233"/>
      <c r="K354" s="235">
        <v>45898</v>
      </c>
      <c r="L354" s="233">
        <v>1.4</v>
      </c>
      <c r="M354" s="234" t="s">
        <v>964</v>
      </c>
      <c r="N354" s="234">
        <v>37010</v>
      </c>
      <c r="O354" s="234">
        <v>14710</v>
      </c>
      <c r="P354" s="242">
        <v>3</v>
      </c>
      <c r="Q354" s="234">
        <v>22300</v>
      </c>
      <c r="R354" s="234">
        <v>21631</v>
      </c>
      <c r="S354" s="234" t="s">
        <v>1532</v>
      </c>
      <c r="T354" s="236">
        <v>45899</v>
      </c>
    </row>
    <row r="355" spans="1:20" ht="63.75" hidden="1">
      <c r="A355" s="239" t="s">
        <v>1426</v>
      </c>
      <c r="B355" s="240">
        <v>1343</v>
      </c>
      <c r="C355" s="241">
        <v>58558</v>
      </c>
      <c r="D355" s="239" t="s">
        <v>3818</v>
      </c>
      <c r="E355" s="239" t="s">
        <v>462</v>
      </c>
      <c r="F355" s="239" t="s">
        <v>463</v>
      </c>
      <c r="G355" s="239" t="s">
        <v>964</v>
      </c>
      <c r="H355" s="239" t="s">
        <v>777</v>
      </c>
      <c r="I355" s="239" t="s">
        <v>399</v>
      </c>
      <c r="J355" s="233"/>
      <c r="K355" s="235">
        <v>45898</v>
      </c>
      <c r="L355" s="233">
        <v>1.5</v>
      </c>
      <c r="M355" s="234" t="s">
        <v>964</v>
      </c>
      <c r="N355" s="234">
        <v>40570</v>
      </c>
      <c r="O355" s="234">
        <v>16370</v>
      </c>
      <c r="P355" s="242">
        <v>5</v>
      </c>
      <c r="Q355" s="234">
        <v>24200</v>
      </c>
      <c r="R355" s="234">
        <v>22990</v>
      </c>
      <c r="S355" s="234" t="s">
        <v>1533</v>
      </c>
      <c r="T355" s="236">
        <v>45899</v>
      </c>
    </row>
    <row r="356" spans="1:20" ht="63.75" hidden="1">
      <c r="A356" s="239" t="s">
        <v>1427</v>
      </c>
      <c r="B356" s="240">
        <v>1345</v>
      </c>
      <c r="C356" s="241">
        <v>58560</v>
      </c>
      <c r="D356" s="239" t="s">
        <v>3818</v>
      </c>
      <c r="E356" s="239" t="s">
        <v>447</v>
      </c>
      <c r="F356" s="239" t="s">
        <v>448</v>
      </c>
      <c r="G356" s="239" t="s">
        <v>964</v>
      </c>
      <c r="H356" s="239" t="s">
        <v>777</v>
      </c>
      <c r="I356" s="239" t="s">
        <v>399</v>
      </c>
      <c r="J356" s="233"/>
      <c r="K356" s="235">
        <v>45898</v>
      </c>
      <c r="L356" s="233">
        <v>1.6</v>
      </c>
      <c r="M356" s="234" t="s">
        <v>964</v>
      </c>
      <c r="N356" s="234">
        <v>45080</v>
      </c>
      <c r="O356" s="234">
        <v>19250</v>
      </c>
      <c r="P356" s="242">
        <v>9</v>
      </c>
      <c r="Q356" s="234">
        <v>25830</v>
      </c>
      <c r="R356" s="234">
        <v>23505.3</v>
      </c>
      <c r="S356" s="234" t="s">
        <v>1534</v>
      </c>
      <c r="T356" s="236">
        <v>45899</v>
      </c>
    </row>
    <row r="357" spans="1:20" ht="63.75" hidden="1">
      <c r="A357" s="239" t="s">
        <v>1428</v>
      </c>
      <c r="B357" s="240">
        <v>1346</v>
      </c>
      <c r="C357" s="241">
        <v>58562</v>
      </c>
      <c r="D357" s="239" t="s">
        <v>3818</v>
      </c>
      <c r="E357" s="239" t="s">
        <v>472</v>
      </c>
      <c r="F357" s="239" t="s">
        <v>473</v>
      </c>
      <c r="G357" s="239" t="s">
        <v>964</v>
      </c>
      <c r="H357" s="239" t="s">
        <v>777</v>
      </c>
      <c r="I357" s="239" t="s">
        <v>399</v>
      </c>
      <c r="J357" s="233"/>
      <c r="K357" s="235">
        <v>45898</v>
      </c>
      <c r="L357" s="233">
        <v>1.4</v>
      </c>
      <c r="M357" s="234" t="s">
        <v>964</v>
      </c>
      <c r="N357" s="234">
        <v>40030</v>
      </c>
      <c r="O357" s="234">
        <v>16630</v>
      </c>
      <c r="P357" s="242">
        <v>7</v>
      </c>
      <c r="Q357" s="234">
        <v>23400</v>
      </c>
      <c r="R357" s="234">
        <v>21762</v>
      </c>
      <c r="S357" s="234" t="s">
        <v>1535</v>
      </c>
      <c r="T357" s="236">
        <v>45899</v>
      </c>
    </row>
    <row r="358" spans="1:20" ht="63.75" hidden="1">
      <c r="A358" s="239" t="s">
        <v>1429</v>
      </c>
      <c r="B358" s="240">
        <v>1347</v>
      </c>
      <c r="C358" s="241">
        <v>58579</v>
      </c>
      <c r="D358" s="239" t="s">
        <v>3818</v>
      </c>
      <c r="E358" s="239" t="s">
        <v>380</v>
      </c>
      <c r="F358" s="239" t="s">
        <v>381</v>
      </c>
      <c r="G358" s="239" t="s">
        <v>964</v>
      </c>
      <c r="H358" s="239" t="s">
        <v>777</v>
      </c>
      <c r="I358" s="239" t="s">
        <v>399</v>
      </c>
      <c r="J358" s="233"/>
      <c r="K358" s="235">
        <v>45898</v>
      </c>
      <c r="L358" s="233">
        <v>1.4</v>
      </c>
      <c r="M358" s="234" t="s">
        <v>964</v>
      </c>
      <c r="N358" s="234">
        <v>38330</v>
      </c>
      <c r="O358" s="234">
        <v>15050</v>
      </c>
      <c r="P358" s="242">
        <v>5</v>
      </c>
      <c r="Q358" s="234">
        <v>23280</v>
      </c>
      <c r="R358" s="234">
        <v>22116</v>
      </c>
      <c r="S358" s="234" t="s">
        <v>1536</v>
      </c>
      <c r="T358" s="236">
        <v>45899</v>
      </c>
    </row>
    <row r="359" spans="1:20" ht="63.75" hidden="1">
      <c r="A359" s="239" t="s">
        <v>1431</v>
      </c>
      <c r="B359" s="240">
        <v>1348</v>
      </c>
      <c r="C359" s="241">
        <v>58573</v>
      </c>
      <c r="D359" s="239" t="s">
        <v>3818</v>
      </c>
      <c r="E359" s="239" t="s">
        <v>475</v>
      </c>
      <c r="F359" s="239" t="s">
        <v>476</v>
      </c>
      <c r="G359" s="239" t="s">
        <v>964</v>
      </c>
      <c r="H359" s="239" t="s">
        <v>777</v>
      </c>
      <c r="I359" s="239" t="s">
        <v>399</v>
      </c>
      <c r="J359" s="233"/>
      <c r="K359" s="235">
        <v>45898</v>
      </c>
      <c r="L359" s="233">
        <v>1.4</v>
      </c>
      <c r="M359" s="234" t="s">
        <v>964</v>
      </c>
      <c r="N359" s="234">
        <v>39890</v>
      </c>
      <c r="O359" s="234">
        <v>16530</v>
      </c>
      <c r="P359" s="242">
        <v>5</v>
      </c>
      <c r="Q359" s="234">
        <v>23360</v>
      </c>
      <c r="R359" s="234">
        <v>22192</v>
      </c>
      <c r="S359" s="234" t="s">
        <v>1538</v>
      </c>
      <c r="T359" s="236">
        <v>45899</v>
      </c>
    </row>
    <row r="360" spans="1:20" ht="63.75" hidden="1">
      <c r="A360" s="239" t="s">
        <v>1430</v>
      </c>
      <c r="B360" s="240">
        <v>1349</v>
      </c>
      <c r="C360" s="241">
        <v>58600</v>
      </c>
      <c r="D360" s="239" t="s">
        <v>3818</v>
      </c>
      <c r="E360" s="239" t="s">
        <v>400</v>
      </c>
      <c r="F360" s="239" t="s">
        <v>401</v>
      </c>
      <c r="G360" s="239" t="s">
        <v>964</v>
      </c>
      <c r="H360" s="239" t="s">
        <v>777</v>
      </c>
      <c r="I360" s="239" t="s">
        <v>399</v>
      </c>
      <c r="J360" s="233"/>
      <c r="K360" s="235">
        <v>45898</v>
      </c>
      <c r="L360" s="233">
        <v>1.4</v>
      </c>
      <c r="M360" s="234" t="s">
        <v>964</v>
      </c>
      <c r="N360" s="234">
        <v>37300</v>
      </c>
      <c r="O360" s="234">
        <v>14700</v>
      </c>
      <c r="P360" s="242">
        <v>5</v>
      </c>
      <c r="Q360" s="234">
        <v>22600</v>
      </c>
      <c r="R360" s="234">
        <v>21470</v>
      </c>
      <c r="S360" s="234" t="s">
        <v>1537</v>
      </c>
      <c r="T360" s="236">
        <v>45899</v>
      </c>
    </row>
    <row r="361" spans="1:20" ht="63.75" hidden="1">
      <c r="A361" s="239" t="s">
        <v>1432</v>
      </c>
      <c r="B361" s="240">
        <v>1350</v>
      </c>
      <c r="C361" s="241">
        <v>58581</v>
      </c>
      <c r="D361" s="239" t="s">
        <v>3818</v>
      </c>
      <c r="E361" s="239" t="s">
        <v>439</v>
      </c>
      <c r="F361" s="239" t="s">
        <v>440</v>
      </c>
      <c r="G361" s="239" t="s">
        <v>964</v>
      </c>
      <c r="H361" s="239" t="s">
        <v>777</v>
      </c>
      <c r="I361" s="239" t="s">
        <v>399</v>
      </c>
      <c r="J361" s="233"/>
      <c r="K361" s="235">
        <v>45898</v>
      </c>
      <c r="L361" s="233">
        <v>1.4</v>
      </c>
      <c r="M361" s="234" t="s">
        <v>964</v>
      </c>
      <c r="N361" s="234">
        <v>38480</v>
      </c>
      <c r="O361" s="234">
        <v>14960</v>
      </c>
      <c r="P361" s="242">
        <v>6</v>
      </c>
      <c r="Q361" s="234">
        <v>23520</v>
      </c>
      <c r="R361" s="234">
        <v>22108.799999999999</v>
      </c>
      <c r="S361" s="234" t="s">
        <v>1539</v>
      </c>
      <c r="T361" s="236">
        <v>45899</v>
      </c>
    </row>
    <row r="362" spans="1:20" ht="63.75" hidden="1">
      <c r="A362" s="239" t="s">
        <v>1433</v>
      </c>
      <c r="B362" s="240">
        <v>1356</v>
      </c>
      <c r="C362" s="241">
        <v>58604</v>
      </c>
      <c r="D362" s="239" t="s">
        <v>3818</v>
      </c>
      <c r="E362" s="239" t="s">
        <v>794</v>
      </c>
      <c r="F362" s="239" t="s">
        <v>795</v>
      </c>
      <c r="G362" s="239" t="s">
        <v>964</v>
      </c>
      <c r="H362" s="239" t="s">
        <v>777</v>
      </c>
      <c r="I362" s="239" t="s">
        <v>399</v>
      </c>
      <c r="J362" s="233"/>
      <c r="K362" s="235">
        <v>45898</v>
      </c>
      <c r="L362" s="233">
        <v>1.5</v>
      </c>
      <c r="M362" s="234" t="s">
        <v>964</v>
      </c>
      <c r="N362" s="234">
        <v>41450</v>
      </c>
      <c r="O362" s="234">
        <v>16100</v>
      </c>
      <c r="P362" s="242">
        <v>10</v>
      </c>
      <c r="Q362" s="234">
        <v>25350</v>
      </c>
      <c r="R362" s="234">
        <v>22815</v>
      </c>
      <c r="S362" s="234" t="s">
        <v>1540</v>
      </c>
      <c r="T362" s="236">
        <v>45899</v>
      </c>
    </row>
    <row r="363" spans="1:20" ht="63.75" hidden="1">
      <c r="A363" s="239" t="s">
        <v>1434</v>
      </c>
      <c r="B363" s="240">
        <v>1357</v>
      </c>
      <c r="C363" s="241">
        <v>58606</v>
      </c>
      <c r="D363" s="239" t="s">
        <v>3818</v>
      </c>
      <c r="E363" s="239" t="s">
        <v>432</v>
      </c>
      <c r="F363" s="239" t="s">
        <v>433</v>
      </c>
      <c r="G363" s="239" t="s">
        <v>964</v>
      </c>
      <c r="H363" s="239" t="s">
        <v>777</v>
      </c>
      <c r="I363" s="239" t="s">
        <v>399</v>
      </c>
      <c r="J363" s="233"/>
      <c r="K363" s="235">
        <v>45898</v>
      </c>
      <c r="L363" s="233">
        <v>1.5</v>
      </c>
      <c r="M363" s="234" t="s">
        <v>964</v>
      </c>
      <c r="N363" s="234">
        <v>39380</v>
      </c>
      <c r="O363" s="234">
        <v>15570</v>
      </c>
      <c r="P363" s="242">
        <v>7</v>
      </c>
      <c r="Q363" s="234">
        <v>23810</v>
      </c>
      <c r="R363" s="234">
        <v>22143.3</v>
      </c>
      <c r="S363" s="234" t="s">
        <v>1541</v>
      </c>
      <c r="T363" s="236">
        <v>45899</v>
      </c>
    </row>
    <row r="364" spans="1:20" ht="63.75" hidden="1">
      <c r="A364" s="239" t="s">
        <v>1435</v>
      </c>
      <c r="B364" s="240">
        <v>1358</v>
      </c>
      <c r="C364" s="241">
        <v>58616</v>
      </c>
      <c r="D364" s="239" t="s">
        <v>3818</v>
      </c>
      <c r="E364" s="239" t="s">
        <v>841</v>
      </c>
      <c r="F364" s="239" t="s">
        <v>845</v>
      </c>
      <c r="G364" s="239" t="s">
        <v>964</v>
      </c>
      <c r="H364" s="239" t="s">
        <v>777</v>
      </c>
      <c r="I364" s="239" t="s">
        <v>399</v>
      </c>
      <c r="J364" s="233"/>
      <c r="K364" s="235">
        <v>45898</v>
      </c>
      <c r="L364" s="233">
        <v>1.5</v>
      </c>
      <c r="M364" s="234" t="s">
        <v>964</v>
      </c>
      <c r="N364" s="234">
        <v>40820</v>
      </c>
      <c r="O364" s="234">
        <v>15930</v>
      </c>
      <c r="P364" s="242">
        <v>8</v>
      </c>
      <c r="Q364" s="234">
        <v>24890</v>
      </c>
      <c r="R364" s="234">
        <v>22898.799999999999</v>
      </c>
      <c r="S364" s="234" t="s">
        <v>1542</v>
      </c>
      <c r="T364" s="236">
        <v>45899</v>
      </c>
    </row>
    <row r="365" spans="1:20" ht="63.75" hidden="1">
      <c r="A365" s="239" t="s">
        <v>1436</v>
      </c>
      <c r="B365" s="240">
        <v>1360</v>
      </c>
      <c r="C365" s="241">
        <v>58618</v>
      </c>
      <c r="D365" s="239" t="s">
        <v>3818</v>
      </c>
      <c r="E365" s="239" t="s">
        <v>377</v>
      </c>
      <c r="F365" s="239" t="s">
        <v>378</v>
      </c>
      <c r="G365" s="239" t="s">
        <v>964</v>
      </c>
      <c r="H365" s="239" t="s">
        <v>777</v>
      </c>
      <c r="I365" s="239" t="s">
        <v>399</v>
      </c>
      <c r="J365" s="233"/>
      <c r="K365" s="235">
        <v>45899</v>
      </c>
      <c r="L365" s="233">
        <v>0.7</v>
      </c>
      <c r="M365" s="234" t="s">
        <v>964</v>
      </c>
      <c r="N365" s="234">
        <v>41880</v>
      </c>
      <c r="O365" s="234">
        <v>15140</v>
      </c>
      <c r="P365" s="242">
        <v>7</v>
      </c>
      <c r="Q365" s="234">
        <v>26740</v>
      </c>
      <c r="R365" s="234">
        <v>24868.2</v>
      </c>
      <c r="S365" s="234" t="s">
        <v>1543</v>
      </c>
      <c r="T365" s="236">
        <v>45899</v>
      </c>
    </row>
    <row r="366" spans="1:20" ht="63.75" hidden="1">
      <c r="A366" s="239" t="s">
        <v>1437</v>
      </c>
      <c r="B366" s="240">
        <v>1362</v>
      </c>
      <c r="C366" s="241">
        <v>58620</v>
      </c>
      <c r="D366" s="239" t="s">
        <v>3818</v>
      </c>
      <c r="E366" s="239" t="s">
        <v>783</v>
      </c>
      <c r="F366" s="239" t="s">
        <v>784</v>
      </c>
      <c r="G366" s="239" t="s">
        <v>964</v>
      </c>
      <c r="H366" s="239" t="s">
        <v>777</v>
      </c>
      <c r="I366" s="239" t="s">
        <v>399</v>
      </c>
      <c r="J366" s="233"/>
      <c r="K366" s="235">
        <v>45899</v>
      </c>
      <c r="L366" s="233">
        <v>0.7</v>
      </c>
      <c r="M366" s="234" t="s">
        <v>964</v>
      </c>
      <c r="N366" s="234">
        <v>39830</v>
      </c>
      <c r="O366" s="234">
        <v>14600</v>
      </c>
      <c r="P366" s="242">
        <v>6</v>
      </c>
      <c r="Q366" s="234">
        <v>25230</v>
      </c>
      <c r="R366" s="234">
        <v>23716.2</v>
      </c>
      <c r="S366" s="234" t="s">
        <v>1544</v>
      </c>
      <c r="T366" s="236">
        <v>45899</v>
      </c>
    </row>
    <row r="367" spans="1:20" ht="63.75" hidden="1">
      <c r="A367" s="239" t="s">
        <v>1438</v>
      </c>
      <c r="B367" s="240">
        <v>1363</v>
      </c>
      <c r="C367" s="241">
        <v>58624</v>
      </c>
      <c r="D367" s="239" t="s">
        <v>3818</v>
      </c>
      <c r="E367" s="239" t="s">
        <v>388</v>
      </c>
      <c r="F367" s="239" t="s">
        <v>389</v>
      </c>
      <c r="G367" s="239" t="s">
        <v>964</v>
      </c>
      <c r="H367" s="239" t="s">
        <v>777</v>
      </c>
      <c r="I367" s="239" t="s">
        <v>399</v>
      </c>
      <c r="J367" s="233"/>
      <c r="K367" s="235">
        <v>45899</v>
      </c>
      <c r="L367" s="233">
        <v>0.7</v>
      </c>
      <c r="M367" s="234" t="s">
        <v>964</v>
      </c>
      <c r="N367" s="234">
        <v>45060</v>
      </c>
      <c r="O367" s="234">
        <v>20930</v>
      </c>
      <c r="P367" s="242">
        <v>11</v>
      </c>
      <c r="Q367" s="234">
        <v>24130</v>
      </c>
      <c r="R367" s="234">
        <v>21475.7</v>
      </c>
      <c r="S367" s="234" t="s">
        <v>1545</v>
      </c>
      <c r="T367" s="236">
        <v>45899</v>
      </c>
    </row>
    <row r="368" spans="1:20" ht="63.75" hidden="1">
      <c r="A368" s="239" t="s">
        <v>1439</v>
      </c>
      <c r="B368" s="240">
        <v>1364</v>
      </c>
      <c r="C368" s="241">
        <v>58626</v>
      </c>
      <c r="D368" s="239" t="s">
        <v>3818</v>
      </c>
      <c r="E368" s="239" t="s">
        <v>791</v>
      </c>
      <c r="F368" s="239" t="s">
        <v>792</v>
      </c>
      <c r="G368" s="239" t="s">
        <v>964</v>
      </c>
      <c r="H368" s="239" t="s">
        <v>48</v>
      </c>
      <c r="I368" s="239" t="s">
        <v>399</v>
      </c>
      <c r="J368" s="233"/>
      <c r="K368" s="235">
        <v>45899</v>
      </c>
      <c r="L368" s="233">
        <v>1.3</v>
      </c>
      <c r="M368" s="234" t="s">
        <v>964</v>
      </c>
      <c r="N368" s="234">
        <v>40770</v>
      </c>
      <c r="O368" s="234">
        <v>14940</v>
      </c>
      <c r="P368" s="242">
        <v>12</v>
      </c>
      <c r="Q368" s="234">
        <v>25830</v>
      </c>
      <c r="R368" s="234">
        <v>22730.400000000001</v>
      </c>
      <c r="S368" s="234" t="s">
        <v>1546</v>
      </c>
      <c r="T368" s="236">
        <v>45899</v>
      </c>
    </row>
    <row r="369" spans="1:20" ht="63.75" hidden="1">
      <c r="A369" s="239" t="s">
        <v>1440</v>
      </c>
      <c r="B369" s="240">
        <v>1365</v>
      </c>
      <c r="C369" s="241">
        <v>58628</v>
      </c>
      <c r="D369" s="239" t="s">
        <v>3818</v>
      </c>
      <c r="E369" s="239" t="s">
        <v>382</v>
      </c>
      <c r="F369" s="239" t="s">
        <v>383</v>
      </c>
      <c r="G369" s="239" t="s">
        <v>964</v>
      </c>
      <c r="H369" s="239" t="s">
        <v>48</v>
      </c>
      <c r="I369" s="239" t="s">
        <v>399</v>
      </c>
      <c r="J369" s="233"/>
      <c r="K369" s="235">
        <v>45899</v>
      </c>
      <c r="L369" s="233">
        <v>1.1000000000000001</v>
      </c>
      <c r="M369" s="234" t="s">
        <v>964</v>
      </c>
      <c r="N369" s="234">
        <v>37480</v>
      </c>
      <c r="O369" s="234">
        <v>14540</v>
      </c>
      <c r="P369" s="242">
        <v>13</v>
      </c>
      <c r="Q369" s="234">
        <v>22940</v>
      </c>
      <c r="R369" s="234">
        <v>19957.8</v>
      </c>
      <c r="S369" s="234" t="s">
        <v>1547</v>
      </c>
      <c r="T369" s="236">
        <v>45899</v>
      </c>
    </row>
    <row r="370" spans="1:20" ht="63.75" hidden="1">
      <c r="A370" s="239" t="s">
        <v>1442</v>
      </c>
      <c r="B370" s="240">
        <v>1367</v>
      </c>
      <c r="C370" s="241">
        <v>58632</v>
      </c>
      <c r="D370" s="239" t="s">
        <v>3818</v>
      </c>
      <c r="E370" s="239" t="s">
        <v>1403</v>
      </c>
      <c r="F370" s="239" t="s">
        <v>1404</v>
      </c>
      <c r="G370" s="239" t="s">
        <v>964</v>
      </c>
      <c r="H370" s="239" t="s">
        <v>48</v>
      </c>
      <c r="I370" s="239" t="s">
        <v>399</v>
      </c>
      <c r="J370" s="233"/>
      <c r="K370" s="235">
        <v>45899</v>
      </c>
      <c r="L370" s="233">
        <v>1.2</v>
      </c>
      <c r="M370" s="234" t="s">
        <v>964</v>
      </c>
      <c r="N370" s="234">
        <v>38810</v>
      </c>
      <c r="O370" s="234">
        <v>14800</v>
      </c>
      <c r="P370" s="242">
        <v>9</v>
      </c>
      <c r="Q370" s="234">
        <v>24010</v>
      </c>
      <c r="R370" s="234">
        <v>21849.1</v>
      </c>
      <c r="S370" s="234" t="s">
        <v>1549</v>
      </c>
      <c r="T370" s="236">
        <v>45900</v>
      </c>
    </row>
    <row r="371" spans="1:20" ht="63.75" hidden="1">
      <c r="A371" s="239" t="s">
        <v>1441</v>
      </c>
      <c r="B371" s="240">
        <v>1366</v>
      </c>
      <c r="C371" s="241">
        <v>58630</v>
      </c>
      <c r="D371" s="239" t="s">
        <v>3818</v>
      </c>
      <c r="E371" s="239" t="s">
        <v>1397</v>
      </c>
      <c r="F371" s="239" t="s">
        <v>1398</v>
      </c>
      <c r="G371" s="239" t="s">
        <v>964</v>
      </c>
      <c r="H371" s="239" t="s">
        <v>48</v>
      </c>
      <c r="I371" s="239" t="s">
        <v>399</v>
      </c>
      <c r="J371" s="233"/>
      <c r="K371" s="235">
        <v>45899</v>
      </c>
      <c r="L371" s="233">
        <v>1.2</v>
      </c>
      <c r="M371" s="234" t="s">
        <v>964</v>
      </c>
      <c r="N371" s="234">
        <v>41850</v>
      </c>
      <c r="O371" s="234">
        <v>17020</v>
      </c>
      <c r="P371" s="242">
        <v>8</v>
      </c>
      <c r="Q371" s="234">
        <v>24830</v>
      </c>
      <c r="R371" s="234">
        <v>22843.599999999999</v>
      </c>
      <c r="S371" s="234" t="s">
        <v>1548</v>
      </c>
      <c r="T371" s="236">
        <v>45899</v>
      </c>
    </row>
    <row r="372" spans="1:20" ht="63.75" hidden="1">
      <c r="A372" s="239" t="s">
        <v>1443</v>
      </c>
      <c r="B372" s="240">
        <v>1368</v>
      </c>
      <c r="C372" s="241">
        <v>58634</v>
      </c>
      <c r="D372" s="239" t="s">
        <v>3818</v>
      </c>
      <c r="E372" s="239" t="s">
        <v>1400</v>
      </c>
      <c r="F372" s="239" t="s">
        <v>1401</v>
      </c>
      <c r="G372" s="239" t="s">
        <v>964</v>
      </c>
      <c r="H372" s="239" t="s">
        <v>48</v>
      </c>
      <c r="I372" s="239" t="s">
        <v>399</v>
      </c>
      <c r="J372" s="233"/>
      <c r="K372" s="235">
        <v>45899</v>
      </c>
      <c r="L372" s="233">
        <v>1.1000000000000001</v>
      </c>
      <c r="M372" s="234" t="s">
        <v>964</v>
      </c>
      <c r="N372" s="234">
        <v>36860</v>
      </c>
      <c r="O372" s="234">
        <v>14770</v>
      </c>
      <c r="P372" s="242">
        <v>9</v>
      </c>
      <c r="Q372" s="234">
        <v>22090</v>
      </c>
      <c r="R372" s="234">
        <v>20101.900000000001</v>
      </c>
      <c r="S372" s="234" t="s">
        <v>1550</v>
      </c>
      <c r="T372" s="236">
        <v>45900</v>
      </c>
    </row>
    <row r="373" spans="1:20" ht="63.75" hidden="1">
      <c r="A373" s="239" t="s">
        <v>1444</v>
      </c>
      <c r="B373" s="240">
        <v>1369</v>
      </c>
      <c r="C373" s="241">
        <v>58636</v>
      </c>
      <c r="D373" s="239" t="s">
        <v>3818</v>
      </c>
      <c r="E373" s="239" t="s">
        <v>453</v>
      </c>
      <c r="F373" s="239" t="s">
        <v>454</v>
      </c>
      <c r="G373" s="239" t="s">
        <v>964</v>
      </c>
      <c r="H373" s="239" t="s">
        <v>48</v>
      </c>
      <c r="I373" s="239" t="s">
        <v>399</v>
      </c>
      <c r="J373" s="233"/>
      <c r="K373" s="235">
        <v>45899</v>
      </c>
      <c r="L373" s="233">
        <v>1.2</v>
      </c>
      <c r="M373" s="234" t="s">
        <v>964</v>
      </c>
      <c r="N373" s="234">
        <v>47140</v>
      </c>
      <c r="O373" s="234">
        <v>24020</v>
      </c>
      <c r="P373" s="242">
        <v>9</v>
      </c>
      <c r="Q373" s="234">
        <v>23120</v>
      </c>
      <c r="R373" s="234">
        <v>21039.200000000001</v>
      </c>
      <c r="S373" s="234" t="s">
        <v>1551</v>
      </c>
      <c r="T373" s="236">
        <v>45900</v>
      </c>
    </row>
    <row r="374" spans="1:20" ht="63.75" hidden="1">
      <c r="A374" s="239" t="s">
        <v>1445</v>
      </c>
      <c r="B374" s="240">
        <v>1370</v>
      </c>
      <c r="C374" s="241">
        <v>58638</v>
      </c>
      <c r="D374" s="239" t="s">
        <v>3818</v>
      </c>
      <c r="E374" s="239" t="s">
        <v>456</v>
      </c>
      <c r="F374" s="239" t="s">
        <v>457</v>
      </c>
      <c r="G374" s="239" t="s">
        <v>964</v>
      </c>
      <c r="H374" s="239" t="s">
        <v>48</v>
      </c>
      <c r="I374" s="239" t="s">
        <v>399</v>
      </c>
      <c r="J374" s="233"/>
      <c r="K374" s="235">
        <v>45899</v>
      </c>
      <c r="L374" s="233">
        <v>1.4</v>
      </c>
      <c r="M374" s="234" t="s">
        <v>964</v>
      </c>
      <c r="N374" s="234">
        <v>43170</v>
      </c>
      <c r="O374" s="234">
        <v>15520</v>
      </c>
      <c r="P374" s="242">
        <v>12</v>
      </c>
      <c r="Q374" s="234">
        <v>27650</v>
      </c>
      <c r="R374" s="234">
        <v>24332</v>
      </c>
      <c r="S374" s="234" t="s">
        <v>1552</v>
      </c>
      <c r="T374" s="236">
        <v>45900</v>
      </c>
    </row>
    <row r="375" spans="1:20" ht="63.75" hidden="1">
      <c r="A375" s="239" t="s">
        <v>1446</v>
      </c>
      <c r="B375" s="240">
        <v>1371</v>
      </c>
      <c r="C375" s="241">
        <v>58640</v>
      </c>
      <c r="D375" s="239" t="s">
        <v>3818</v>
      </c>
      <c r="E375" s="239" t="s">
        <v>416</v>
      </c>
      <c r="F375" s="239" t="s">
        <v>417</v>
      </c>
      <c r="G375" s="239" t="s">
        <v>961</v>
      </c>
      <c r="H375" s="239" t="s">
        <v>869</v>
      </c>
      <c r="I375" s="239" t="s">
        <v>399</v>
      </c>
      <c r="J375" s="233"/>
      <c r="K375" s="235">
        <v>45899</v>
      </c>
      <c r="L375" s="233">
        <v>1.5</v>
      </c>
      <c r="M375" s="234" t="s">
        <v>961</v>
      </c>
      <c r="N375" s="234">
        <v>37630</v>
      </c>
      <c r="O375" s="234">
        <v>14730</v>
      </c>
      <c r="P375" s="242">
        <v>8</v>
      </c>
      <c r="Q375" s="234">
        <v>22900</v>
      </c>
      <c r="R375" s="234">
        <v>21068</v>
      </c>
      <c r="S375" s="234" t="s">
        <v>1553</v>
      </c>
      <c r="T375" s="236">
        <v>45900</v>
      </c>
    </row>
    <row r="376" spans="1:20" ht="63.75" hidden="1">
      <c r="A376" s="239" t="s">
        <v>1447</v>
      </c>
      <c r="B376" s="240">
        <v>1372</v>
      </c>
      <c r="C376" s="241">
        <v>58642</v>
      </c>
      <c r="D376" s="239" t="s">
        <v>3818</v>
      </c>
      <c r="E376" s="239" t="s">
        <v>420</v>
      </c>
      <c r="F376" s="239" t="s">
        <v>421</v>
      </c>
      <c r="G376" s="239" t="s">
        <v>961</v>
      </c>
      <c r="H376" s="239" t="s">
        <v>869</v>
      </c>
      <c r="I376" s="239" t="s">
        <v>399</v>
      </c>
      <c r="J376" s="233"/>
      <c r="K376" s="235">
        <v>45899</v>
      </c>
      <c r="L376" s="233">
        <v>1.5</v>
      </c>
      <c r="M376" s="234" t="s">
        <v>961</v>
      </c>
      <c r="N376" s="234">
        <v>36920</v>
      </c>
      <c r="O376" s="234">
        <v>14860</v>
      </c>
      <c r="P376" s="242">
        <v>19</v>
      </c>
      <c r="Q376" s="234">
        <v>22060</v>
      </c>
      <c r="R376" s="234">
        <v>17868.599999999999</v>
      </c>
      <c r="S376" s="234" t="s">
        <v>1554</v>
      </c>
      <c r="T376" s="236">
        <v>45900</v>
      </c>
    </row>
    <row r="377" spans="1:20" ht="63.75" hidden="1">
      <c r="A377" s="239" t="s">
        <v>1448</v>
      </c>
      <c r="B377" s="240">
        <v>1373</v>
      </c>
      <c r="C377" s="241">
        <v>58648</v>
      </c>
      <c r="D377" s="239" t="s">
        <v>3818</v>
      </c>
      <c r="E377" s="239" t="s">
        <v>786</v>
      </c>
      <c r="F377" s="239" t="s">
        <v>787</v>
      </c>
      <c r="G377" s="239" t="s">
        <v>961</v>
      </c>
      <c r="H377" s="239" t="s">
        <v>869</v>
      </c>
      <c r="I377" s="239" t="s">
        <v>399</v>
      </c>
      <c r="J377" s="233"/>
      <c r="K377" s="235">
        <v>45899</v>
      </c>
      <c r="L377" s="233">
        <v>1.4</v>
      </c>
      <c r="M377" s="234" t="s">
        <v>961</v>
      </c>
      <c r="N377" s="234">
        <v>35040</v>
      </c>
      <c r="O377" s="234">
        <v>13970</v>
      </c>
      <c r="P377" s="242">
        <v>9</v>
      </c>
      <c r="Q377" s="234">
        <v>21070</v>
      </c>
      <c r="R377" s="234">
        <v>19173.7</v>
      </c>
      <c r="S377" s="234" t="s">
        <v>1555</v>
      </c>
      <c r="T377" s="236">
        <v>45900</v>
      </c>
    </row>
    <row r="378" spans="1:20" ht="63.75" hidden="1">
      <c r="A378" s="239" t="s">
        <v>1449</v>
      </c>
      <c r="B378" s="240">
        <v>1374</v>
      </c>
      <c r="C378" s="241">
        <v>58644</v>
      </c>
      <c r="D378" s="239" t="s">
        <v>3818</v>
      </c>
      <c r="E378" s="239" t="s">
        <v>413</v>
      </c>
      <c r="F378" s="239" t="s">
        <v>414</v>
      </c>
      <c r="G378" s="239" t="s">
        <v>961</v>
      </c>
      <c r="H378" s="239" t="s">
        <v>869</v>
      </c>
      <c r="I378" s="239" t="s">
        <v>399</v>
      </c>
      <c r="J378" s="233"/>
      <c r="K378" s="235">
        <v>45899</v>
      </c>
      <c r="L378" s="233">
        <v>1.7</v>
      </c>
      <c r="M378" s="234" t="s">
        <v>961</v>
      </c>
      <c r="N378" s="234">
        <v>40520</v>
      </c>
      <c r="O378" s="234">
        <v>14960</v>
      </c>
      <c r="P378" s="242">
        <v>7</v>
      </c>
      <c r="Q378" s="234">
        <v>25560</v>
      </c>
      <c r="R378" s="234">
        <v>23770.799999999999</v>
      </c>
      <c r="S378" s="234" t="s">
        <v>1556</v>
      </c>
      <c r="T378" s="236">
        <v>45900</v>
      </c>
    </row>
    <row r="379" spans="1:20" ht="63.75" hidden="1">
      <c r="A379" s="239" t="s">
        <v>1450</v>
      </c>
      <c r="B379" s="240">
        <v>1375</v>
      </c>
      <c r="C379" s="241">
        <v>58655</v>
      </c>
      <c r="D379" s="239" t="s">
        <v>3818</v>
      </c>
      <c r="E379" s="239" t="s">
        <v>462</v>
      </c>
      <c r="F379" s="239" t="s">
        <v>463</v>
      </c>
      <c r="G379" s="239" t="s">
        <v>961</v>
      </c>
      <c r="H379" s="239" t="s">
        <v>869</v>
      </c>
      <c r="I379" s="239" t="s">
        <v>399</v>
      </c>
      <c r="J379" s="233"/>
      <c r="K379" s="235">
        <v>45899</v>
      </c>
      <c r="L379" s="233">
        <v>1.5</v>
      </c>
      <c r="M379" s="234" t="s">
        <v>961</v>
      </c>
      <c r="N379" s="234">
        <v>39010</v>
      </c>
      <c r="O379" s="234">
        <v>16270</v>
      </c>
      <c r="P379" s="242">
        <v>16</v>
      </c>
      <c r="Q379" s="234">
        <v>22740</v>
      </c>
      <c r="R379" s="234">
        <v>19101.599999999999</v>
      </c>
      <c r="S379" s="234" t="s">
        <v>1557</v>
      </c>
      <c r="T379" s="236">
        <v>45900</v>
      </c>
    </row>
    <row r="380" spans="1:20" ht="63.75" hidden="1">
      <c r="A380" s="239" t="s">
        <v>1451</v>
      </c>
      <c r="B380" s="240">
        <v>1378</v>
      </c>
      <c r="C380" s="241">
        <v>58664</v>
      </c>
      <c r="D380" s="239" t="s">
        <v>3818</v>
      </c>
      <c r="E380" s="239" t="s">
        <v>406</v>
      </c>
      <c r="F380" s="239" t="s">
        <v>407</v>
      </c>
      <c r="G380" s="239" t="s">
        <v>961</v>
      </c>
      <c r="H380" s="239" t="s">
        <v>869</v>
      </c>
      <c r="I380" s="239" t="s">
        <v>399</v>
      </c>
      <c r="J380" s="233"/>
      <c r="K380" s="235">
        <v>45899</v>
      </c>
      <c r="L380" s="233">
        <v>1.6</v>
      </c>
      <c r="M380" s="234" t="s">
        <v>961</v>
      </c>
      <c r="N380" s="234">
        <v>38240</v>
      </c>
      <c r="O380" s="234">
        <v>15010</v>
      </c>
      <c r="P380" s="242">
        <v>9</v>
      </c>
      <c r="Q380" s="234">
        <v>23230</v>
      </c>
      <c r="R380" s="234">
        <v>21139.3</v>
      </c>
      <c r="S380" s="234" t="s">
        <v>1558</v>
      </c>
      <c r="T380" s="236">
        <v>45900</v>
      </c>
    </row>
    <row r="381" spans="1:20" ht="63.75" hidden="1">
      <c r="A381" s="239" t="s">
        <v>1452</v>
      </c>
      <c r="B381" s="240">
        <v>1379</v>
      </c>
      <c r="C381" s="241">
        <v>58666</v>
      </c>
      <c r="D381" s="239" t="s">
        <v>3818</v>
      </c>
      <c r="E381" s="239" t="s">
        <v>1422</v>
      </c>
      <c r="F381" s="239" t="s">
        <v>404</v>
      </c>
      <c r="G381" s="239" t="s">
        <v>961</v>
      </c>
      <c r="H381" s="239" t="s">
        <v>869</v>
      </c>
      <c r="I381" s="239" t="s">
        <v>399</v>
      </c>
      <c r="J381" s="233"/>
      <c r="K381" s="235">
        <v>45899</v>
      </c>
      <c r="L381" s="233">
        <v>1.5</v>
      </c>
      <c r="M381" s="234" t="s">
        <v>961</v>
      </c>
      <c r="N381" s="234">
        <v>36400</v>
      </c>
      <c r="O381" s="234">
        <v>14440</v>
      </c>
      <c r="P381" s="242">
        <v>6</v>
      </c>
      <c r="Q381" s="234">
        <v>21960</v>
      </c>
      <c r="R381" s="234">
        <v>20642.400000000001</v>
      </c>
      <c r="S381" s="234" t="s">
        <v>1559</v>
      </c>
      <c r="T381" s="236">
        <v>45900</v>
      </c>
    </row>
    <row r="382" spans="1:20" ht="63.75" hidden="1">
      <c r="A382" s="239" t="s">
        <v>1453</v>
      </c>
      <c r="B382" s="240">
        <v>1383</v>
      </c>
      <c r="C382" s="241">
        <v>58668</v>
      </c>
      <c r="D382" s="239" t="s">
        <v>3818</v>
      </c>
      <c r="E382" s="239" t="s">
        <v>866</v>
      </c>
      <c r="F382" s="239" t="s">
        <v>867</v>
      </c>
      <c r="G382" s="239" t="s">
        <v>961</v>
      </c>
      <c r="H382" s="239" t="s">
        <v>869</v>
      </c>
      <c r="I382" s="239" t="s">
        <v>399</v>
      </c>
      <c r="J382" s="233"/>
      <c r="K382" s="235">
        <v>45899</v>
      </c>
      <c r="L382" s="233">
        <v>1.5</v>
      </c>
      <c r="M382" s="234" t="s">
        <v>961</v>
      </c>
      <c r="N382" s="234">
        <v>36500</v>
      </c>
      <c r="O382" s="234">
        <v>14400</v>
      </c>
      <c r="P382" s="242">
        <v>7</v>
      </c>
      <c r="Q382" s="234">
        <v>22100</v>
      </c>
      <c r="R382" s="234">
        <v>20553</v>
      </c>
      <c r="S382" s="234" t="s">
        <v>1560</v>
      </c>
      <c r="T382" s="236">
        <v>45900</v>
      </c>
    </row>
    <row r="383" spans="1:20" ht="63.75" hidden="1">
      <c r="A383" s="239" t="s">
        <v>1454</v>
      </c>
      <c r="B383" s="240">
        <v>1384</v>
      </c>
      <c r="C383" s="241">
        <v>58670</v>
      </c>
      <c r="D383" s="239" t="s">
        <v>3818</v>
      </c>
      <c r="E383" s="239" t="s">
        <v>369</v>
      </c>
      <c r="F383" s="239" t="s">
        <v>370</v>
      </c>
      <c r="G383" s="239" t="s">
        <v>961</v>
      </c>
      <c r="H383" s="239" t="s">
        <v>869</v>
      </c>
      <c r="I383" s="239" t="s">
        <v>399</v>
      </c>
      <c r="J383" s="233"/>
      <c r="K383" s="235">
        <v>45899</v>
      </c>
      <c r="L383" s="233">
        <v>1.5</v>
      </c>
      <c r="M383" s="234" t="s">
        <v>961</v>
      </c>
      <c r="N383" s="234">
        <v>37270</v>
      </c>
      <c r="O383" s="234">
        <v>15010</v>
      </c>
      <c r="P383" s="242">
        <v>11</v>
      </c>
      <c r="Q383" s="234">
        <v>22260</v>
      </c>
      <c r="R383" s="234">
        <v>19811.400000000001</v>
      </c>
      <c r="S383" s="234" t="s">
        <v>1561</v>
      </c>
      <c r="T383" s="236">
        <v>45900</v>
      </c>
    </row>
    <row r="384" spans="1:20" ht="63.75" hidden="1">
      <c r="A384" s="239" t="s">
        <v>1455</v>
      </c>
      <c r="B384" s="240">
        <v>1385</v>
      </c>
      <c r="C384" s="241">
        <v>58673</v>
      </c>
      <c r="D384" s="239" t="s">
        <v>3818</v>
      </c>
      <c r="E384" s="239" t="s">
        <v>386</v>
      </c>
      <c r="F384" s="239" t="s">
        <v>387</v>
      </c>
      <c r="G384" s="239" t="s">
        <v>961</v>
      </c>
      <c r="H384" s="239" t="s">
        <v>869</v>
      </c>
      <c r="I384" s="239" t="s">
        <v>399</v>
      </c>
      <c r="J384" s="233"/>
      <c r="K384" s="235">
        <v>45900</v>
      </c>
      <c r="L384" s="233">
        <v>1.9</v>
      </c>
      <c r="M384" s="234" t="s">
        <v>961</v>
      </c>
      <c r="N384" s="234">
        <v>37610</v>
      </c>
      <c r="O384" s="234">
        <v>15390</v>
      </c>
      <c r="P384" s="242">
        <v>13</v>
      </c>
      <c r="Q384" s="234">
        <v>22220</v>
      </c>
      <c r="R384" s="234">
        <v>19331.400000000001</v>
      </c>
      <c r="S384" s="234" t="s">
        <v>1562</v>
      </c>
      <c r="T384" s="236">
        <v>45900</v>
      </c>
    </row>
    <row r="385" spans="1:20" ht="63.75" hidden="1">
      <c r="A385" s="239" t="s">
        <v>1456</v>
      </c>
      <c r="B385" s="240">
        <v>1386</v>
      </c>
      <c r="C385" s="241">
        <v>58679</v>
      </c>
      <c r="D385" s="239" t="s">
        <v>3818</v>
      </c>
      <c r="E385" s="239" t="s">
        <v>374</v>
      </c>
      <c r="F385" s="239" t="s">
        <v>375</v>
      </c>
      <c r="G385" s="239" t="s">
        <v>961</v>
      </c>
      <c r="H385" s="239" t="s">
        <v>869</v>
      </c>
      <c r="I385" s="239" t="s">
        <v>399</v>
      </c>
      <c r="J385" s="233"/>
      <c r="K385" s="235">
        <v>45900</v>
      </c>
      <c r="L385" s="233">
        <v>1.8</v>
      </c>
      <c r="M385" s="234" t="s">
        <v>961</v>
      </c>
      <c r="N385" s="234">
        <v>37190</v>
      </c>
      <c r="O385" s="234">
        <v>15550</v>
      </c>
      <c r="P385" s="242">
        <v>13</v>
      </c>
      <c r="Q385" s="234">
        <v>21640</v>
      </c>
      <c r="R385" s="234">
        <v>18826.8</v>
      </c>
      <c r="S385" s="234" t="s">
        <v>1563</v>
      </c>
      <c r="T385" s="236">
        <v>45900</v>
      </c>
    </row>
    <row r="386" spans="1:20" ht="63.75" hidden="1">
      <c r="A386" s="239" t="s">
        <v>1457</v>
      </c>
      <c r="B386" s="240">
        <v>1387</v>
      </c>
      <c r="C386" s="241">
        <v>58681</v>
      </c>
      <c r="D386" s="239" t="s">
        <v>3818</v>
      </c>
      <c r="E386" s="239" t="s">
        <v>472</v>
      </c>
      <c r="F386" s="239" t="s">
        <v>473</v>
      </c>
      <c r="G386" s="239" t="s">
        <v>961</v>
      </c>
      <c r="H386" s="239" t="s">
        <v>869</v>
      </c>
      <c r="I386" s="239" t="s">
        <v>399</v>
      </c>
      <c r="J386" s="233"/>
      <c r="K386" s="235">
        <v>45900</v>
      </c>
      <c r="L386" s="233">
        <v>1.9</v>
      </c>
      <c r="M386" s="234" t="s">
        <v>961</v>
      </c>
      <c r="N386" s="234">
        <v>39270</v>
      </c>
      <c r="O386" s="234">
        <v>16580</v>
      </c>
      <c r="P386" s="242">
        <v>18</v>
      </c>
      <c r="Q386" s="234">
        <v>22690</v>
      </c>
      <c r="R386" s="234">
        <v>18605.8</v>
      </c>
      <c r="S386" s="234" t="s">
        <v>1564</v>
      </c>
      <c r="T386" s="236">
        <v>45900</v>
      </c>
    </row>
    <row r="387" spans="1:20" ht="63.75" hidden="1">
      <c r="A387" s="239" t="s">
        <v>1458</v>
      </c>
      <c r="B387" s="240">
        <v>1388</v>
      </c>
      <c r="C387" s="241">
        <v>58677</v>
      </c>
      <c r="D387" s="239" t="s">
        <v>3818</v>
      </c>
      <c r="E387" s="239" t="s">
        <v>858</v>
      </c>
      <c r="F387" s="239" t="s">
        <v>859</v>
      </c>
      <c r="G387" s="239" t="s">
        <v>961</v>
      </c>
      <c r="H387" s="239" t="s">
        <v>869</v>
      </c>
      <c r="I387" s="239" t="s">
        <v>399</v>
      </c>
      <c r="J387" s="233"/>
      <c r="K387" s="235">
        <v>45900</v>
      </c>
      <c r="L387" s="233">
        <v>1.9</v>
      </c>
      <c r="M387" s="234" t="s">
        <v>961</v>
      </c>
      <c r="N387" s="234">
        <v>37730</v>
      </c>
      <c r="O387" s="234">
        <v>14630</v>
      </c>
      <c r="P387" s="242">
        <v>15</v>
      </c>
      <c r="Q387" s="234">
        <v>23100</v>
      </c>
      <c r="R387" s="234">
        <v>19635</v>
      </c>
      <c r="S387" s="234" t="s">
        <v>1565</v>
      </c>
      <c r="T387" s="236">
        <v>45900</v>
      </c>
    </row>
    <row r="388" spans="1:20" ht="63.75" hidden="1">
      <c r="A388" s="239" t="s">
        <v>1459</v>
      </c>
      <c r="B388" s="240">
        <v>1389</v>
      </c>
      <c r="C388" s="241">
        <v>58683</v>
      </c>
      <c r="D388" s="239" t="s">
        <v>3818</v>
      </c>
      <c r="E388" s="239" t="s">
        <v>475</v>
      </c>
      <c r="F388" s="239" t="s">
        <v>476</v>
      </c>
      <c r="G388" s="239" t="s">
        <v>961</v>
      </c>
      <c r="H388" s="239" t="s">
        <v>869</v>
      </c>
      <c r="I388" s="239" t="s">
        <v>399</v>
      </c>
      <c r="J388" s="233"/>
      <c r="K388" s="235">
        <v>45900</v>
      </c>
      <c r="L388" s="233">
        <v>1.8</v>
      </c>
      <c r="M388" s="234" t="s">
        <v>961</v>
      </c>
      <c r="N388" s="234">
        <v>38810</v>
      </c>
      <c r="O388" s="234">
        <v>16620</v>
      </c>
      <c r="P388" s="242">
        <v>23</v>
      </c>
      <c r="Q388" s="234">
        <v>22190</v>
      </c>
      <c r="R388" s="234">
        <v>17086.3</v>
      </c>
      <c r="S388" s="234" t="s">
        <v>1566</v>
      </c>
      <c r="T388" s="236">
        <v>45900</v>
      </c>
    </row>
    <row r="389" spans="1:20" ht="63.75" hidden="1">
      <c r="A389" s="239" t="s">
        <v>1460</v>
      </c>
      <c r="B389" s="240">
        <v>1391</v>
      </c>
      <c r="C389" s="241">
        <v>58685</v>
      </c>
      <c r="D389" s="239" t="s">
        <v>3818</v>
      </c>
      <c r="E389" s="239" t="s">
        <v>442</v>
      </c>
      <c r="F389" s="239" t="s">
        <v>443</v>
      </c>
      <c r="G389" s="239" t="s">
        <v>961</v>
      </c>
      <c r="H389" s="239" t="s">
        <v>869</v>
      </c>
      <c r="I389" s="239" t="s">
        <v>399</v>
      </c>
      <c r="J389" s="233"/>
      <c r="K389" s="235">
        <v>45900</v>
      </c>
      <c r="L389" s="233">
        <v>1.7</v>
      </c>
      <c r="M389" s="234" t="s">
        <v>961</v>
      </c>
      <c r="N389" s="234">
        <v>34720</v>
      </c>
      <c r="O389" s="234">
        <v>14450</v>
      </c>
      <c r="P389" s="242">
        <v>7</v>
      </c>
      <c r="Q389" s="234">
        <v>20270</v>
      </c>
      <c r="R389" s="234">
        <v>18851.099999999999</v>
      </c>
      <c r="S389" s="234" t="s">
        <v>1567</v>
      </c>
      <c r="T389" s="236">
        <v>45900</v>
      </c>
    </row>
    <row r="390" spans="1:20" ht="63.75" hidden="1">
      <c r="A390" s="239" t="s">
        <v>1461</v>
      </c>
      <c r="B390" s="240">
        <v>1392</v>
      </c>
      <c r="C390" s="241">
        <v>58687</v>
      </c>
      <c r="D390" s="239" t="s">
        <v>3818</v>
      </c>
      <c r="E390" s="239" t="s">
        <v>439</v>
      </c>
      <c r="F390" s="239" t="s">
        <v>440</v>
      </c>
      <c r="G390" s="239" t="s">
        <v>961</v>
      </c>
      <c r="H390" s="239" t="s">
        <v>869</v>
      </c>
      <c r="I390" s="239" t="s">
        <v>399</v>
      </c>
      <c r="J390" s="233"/>
      <c r="K390" s="235">
        <v>45900</v>
      </c>
      <c r="L390" s="233">
        <v>2</v>
      </c>
      <c r="M390" s="234" t="s">
        <v>961</v>
      </c>
      <c r="N390" s="234">
        <v>39190</v>
      </c>
      <c r="O390" s="234">
        <v>14920</v>
      </c>
      <c r="P390" s="242">
        <v>7</v>
      </c>
      <c r="Q390" s="234">
        <v>24270</v>
      </c>
      <c r="R390" s="234">
        <v>22571.1</v>
      </c>
      <c r="S390" s="234" t="s">
        <v>1568</v>
      </c>
      <c r="T390" s="236">
        <v>45900</v>
      </c>
    </row>
    <row r="391" spans="1:20" ht="63.75" hidden="1">
      <c r="A391" s="239" t="s">
        <v>1463</v>
      </c>
      <c r="B391" s="240">
        <v>1393</v>
      </c>
      <c r="C391" s="241">
        <v>58689</v>
      </c>
      <c r="D391" s="239" t="s">
        <v>3818</v>
      </c>
      <c r="E391" s="239" t="s">
        <v>432</v>
      </c>
      <c r="F391" s="239" t="s">
        <v>433</v>
      </c>
      <c r="G391" s="239" t="s">
        <v>961</v>
      </c>
      <c r="H391" s="239" t="s">
        <v>869</v>
      </c>
      <c r="I391" s="239" t="s">
        <v>399</v>
      </c>
      <c r="J391" s="233"/>
      <c r="K391" s="235">
        <v>45900</v>
      </c>
      <c r="L391" s="233">
        <v>2.1</v>
      </c>
      <c r="M391" s="234" t="s">
        <v>961</v>
      </c>
      <c r="N391" s="234">
        <v>40230</v>
      </c>
      <c r="O391" s="234">
        <v>15600</v>
      </c>
      <c r="P391" s="242">
        <v>10</v>
      </c>
      <c r="Q391" s="234">
        <v>24630</v>
      </c>
      <c r="R391" s="234">
        <v>22167</v>
      </c>
      <c r="S391" s="234" t="s">
        <v>1570</v>
      </c>
      <c r="T391" s="236">
        <v>45900</v>
      </c>
    </row>
    <row r="392" spans="1:20" ht="63.75" hidden="1">
      <c r="A392" s="239" t="s">
        <v>1462</v>
      </c>
      <c r="B392" s="240">
        <v>1394</v>
      </c>
      <c r="C392" s="241">
        <v>58691</v>
      </c>
      <c r="D392" s="239" t="s">
        <v>3818</v>
      </c>
      <c r="E392" s="239" t="s">
        <v>372</v>
      </c>
      <c r="F392" s="239" t="s">
        <v>373</v>
      </c>
      <c r="G392" s="239" t="s">
        <v>961</v>
      </c>
      <c r="H392" s="239" t="s">
        <v>869</v>
      </c>
      <c r="I392" s="239" t="s">
        <v>399</v>
      </c>
      <c r="J392" s="233"/>
      <c r="K392" s="235">
        <v>45900</v>
      </c>
      <c r="L392" s="233">
        <v>1.9</v>
      </c>
      <c r="M392" s="234" t="s">
        <v>961</v>
      </c>
      <c r="N392" s="234">
        <v>37980</v>
      </c>
      <c r="O392" s="234">
        <v>14880</v>
      </c>
      <c r="P392" s="242">
        <v>14</v>
      </c>
      <c r="Q392" s="234">
        <v>23100</v>
      </c>
      <c r="R392" s="234">
        <v>19866</v>
      </c>
      <c r="S392" s="234" t="s">
        <v>1569</v>
      </c>
      <c r="T392" s="236">
        <v>45900</v>
      </c>
    </row>
    <row r="393" spans="1:20" ht="63.75" hidden="1">
      <c r="A393" s="239" t="s">
        <v>1464</v>
      </c>
      <c r="B393" s="240">
        <v>1395</v>
      </c>
      <c r="C393" s="241">
        <v>58693</v>
      </c>
      <c r="D393" s="239" t="s">
        <v>3818</v>
      </c>
      <c r="E393" s="239" t="s">
        <v>400</v>
      </c>
      <c r="F393" s="239" t="s">
        <v>401</v>
      </c>
      <c r="G393" s="239" t="s">
        <v>961</v>
      </c>
      <c r="H393" s="239" t="s">
        <v>48</v>
      </c>
      <c r="I393" s="239" t="s">
        <v>399</v>
      </c>
      <c r="J393" s="233"/>
      <c r="K393" s="235">
        <v>45900</v>
      </c>
      <c r="L393" s="233">
        <v>1.5</v>
      </c>
      <c r="M393" s="234" t="s">
        <v>961</v>
      </c>
      <c r="N393" s="234">
        <v>37800</v>
      </c>
      <c r="O393" s="234">
        <v>14680</v>
      </c>
      <c r="P393" s="242">
        <v>10</v>
      </c>
      <c r="Q393" s="234">
        <v>23120</v>
      </c>
      <c r="R393" s="234">
        <v>20808</v>
      </c>
      <c r="S393" s="234" t="s">
        <v>1571</v>
      </c>
      <c r="T393" s="236">
        <v>45900</v>
      </c>
    </row>
    <row r="394" spans="1:20" ht="63.75" hidden="1">
      <c r="A394" s="239" t="s">
        <v>1465</v>
      </c>
      <c r="B394" s="240">
        <v>1397</v>
      </c>
      <c r="C394" s="241">
        <v>58697</v>
      </c>
      <c r="D394" s="239" t="s">
        <v>3818</v>
      </c>
      <c r="E394" s="239" t="s">
        <v>791</v>
      </c>
      <c r="F394" s="239" t="s">
        <v>792</v>
      </c>
      <c r="G394" s="239" t="s">
        <v>961</v>
      </c>
      <c r="H394" s="239" t="s">
        <v>48</v>
      </c>
      <c r="I394" s="239" t="s">
        <v>399</v>
      </c>
      <c r="J394" s="233"/>
      <c r="K394" s="235">
        <v>45900</v>
      </c>
      <c r="L394" s="233">
        <v>1.6</v>
      </c>
      <c r="M394" s="234" t="s">
        <v>961</v>
      </c>
      <c r="N394" s="234">
        <v>39790</v>
      </c>
      <c r="O394" s="234">
        <v>14970</v>
      </c>
      <c r="P394" s="242">
        <v>15</v>
      </c>
      <c r="Q394" s="234">
        <v>24820</v>
      </c>
      <c r="R394" s="234">
        <v>21097</v>
      </c>
      <c r="S394" s="234" t="s">
        <v>1572</v>
      </c>
      <c r="T394" s="236">
        <v>45901</v>
      </c>
    </row>
    <row r="395" spans="1:20" ht="63.75" hidden="1">
      <c r="A395" s="239" t="s">
        <v>1466</v>
      </c>
      <c r="B395" s="240">
        <v>1398</v>
      </c>
      <c r="C395" s="241">
        <v>58695</v>
      </c>
      <c r="D395" s="239" t="s">
        <v>3818</v>
      </c>
      <c r="E395" s="239" t="s">
        <v>447</v>
      </c>
      <c r="F395" s="239" t="s">
        <v>448</v>
      </c>
      <c r="G395" s="239" t="s">
        <v>961</v>
      </c>
      <c r="H395" s="239" t="s">
        <v>48</v>
      </c>
      <c r="I395" s="239" t="s">
        <v>399</v>
      </c>
      <c r="J395" s="233"/>
      <c r="K395" s="235">
        <v>45900</v>
      </c>
      <c r="L395" s="233">
        <v>1.7</v>
      </c>
      <c r="M395" s="234" t="s">
        <v>961</v>
      </c>
      <c r="N395" s="234">
        <v>46220</v>
      </c>
      <c r="O395" s="234">
        <v>19330</v>
      </c>
      <c r="P395" s="242">
        <v>10</v>
      </c>
      <c r="Q395" s="234">
        <v>26890</v>
      </c>
      <c r="R395" s="234">
        <v>24201</v>
      </c>
      <c r="S395" s="234" t="s">
        <v>1573</v>
      </c>
      <c r="T395" s="236">
        <v>45901</v>
      </c>
    </row>
    <row r="396" spans="1:20" ht="63.75" hidden="1">
      <c r="A396" s="239" t="s">
        <v>1467</v>
      </c>
      <c r="B396" s="240">
        <v>1399</v>
      </c>
      <c r="C396" s="241">
        <v>58699</v>
      </c>
      <c r="D396" s="239" t="s">
        <v>3818</v>
      </c>
      <c r="E396" s="239" t="s">
        <v>841</v>
      </c>
      <c r="F396" s="239" t="s">
        <v>845</v>
      </c>
      <c r="G396" s="239" t="s">
        <v>961</v>
      </c>
      <c r="H396" s="239" t="s">
        <v>48</v>
      </c>
      <c r="I396" s="239" t="s">
        <v>399</v>
      </c>
      <c r="J396" s="233"/>
      <c r="K396" s="235">
        <v>45900</v>
      </c>
      <c r="L396" s="233">
        <v>1.6</v>
      </c>
      <c r="M396" s="234" t="s">
        <v>961</v>
      </c>
      <c r="N396" s="234">
        <v>41690</v>
      </c>
      <c r="O396" s="234">
        <v>15650</v>
      </c>
      <c r="P396" s="242">
        <v>8</v>
      </c>
      <c r="Q396" s="234">
        <v>26040</v>
      </c>
      <c r="R396" s="234">
        <v>23956.799999999999</v>
      </c>
      <c r="S396" s="234" t="s">
        <v>1574</v>
      </c>
      <c r="T396" s="236">
        <v>45901</v>
      </c>
    </row>
    <row r="397" spans="1:20" ht="63.75" hidden="1">
      <c r="A397" s="239" t="s">
        <v>1468</v>
      </c>
      <c r="B397" s="240">
        <v>1400</v>
      </c>
      <c r="C397" s="241">
        <v>58701</v>
      </c>
      <c r="D397" s="239" t="s">
        <v>3818</v>
      </c>
      <c r="E397" s="239" t="s">
        <v>380</v>
      </c>
      <c r="F397" s="239" t="s">
        <v>381</v>
      </c>
      <c r="G397" s="239" t="s">
        <v>961</v>
      </c>
      <c r="H397" s="239" t="s">
        <v>48</v>
      </c>
      <c r="I397" s="239" t="s">
        <v>399</v>
      </c>
      <c r="J397" s="233"/>
      <c r="K397" s="235">
        <v>45900</v>
      </c>
      <c r="L397" s="233">
        <v>1.5</v>
      </c>
      <c r="M397" s="234" t="s">
        <v>961</v>
      </c>
      <c r="N397" s="234">
        <v>38130</v>
      </c>
      <c r="O397" s="234">
        <v>15050</v>
      </c>
      <c r="P397" s="242">
        <v>10</v>
      </c>
      <c r="Q397" s="234">
        <v>23080</v>
      </c>
      <c r="R397" s="234">
        <v>20772</v>
      </c>
      <c r="S397" s="234" t="s">
        <v>1575</v>
      </c>
      <c r="T397" s="236">
        <v>45901</v>
      </c>
    </row>
    <row r="398" spans="1:20" ht="63.75" hidden="1">
      <c r="A398" s="239" t="s">
        <v>1469</v>
      </c>
      <c r="B398" s="240">
        <v>1402</v>
      </c>
      <c r="C398" s="241">
        <v>58707</v>
      </c>
      <c r="D398" s="239" t="s">
        <v>3818</v>
      </c>
      <c r="E398" s="239" t="s">
        <v>1403</v>
      </c>
      <c r="F398" s="239" t="s">
        <v>1404</v>
      </c>
      <c r="G398" s="239" t="s">
        <v>961</v>
      </c>
      <c r="H398" s="239" t="s">
        <v>48</v>
      </c>
      <c r="I398" s="239" t="s">
        <v>399</v>
      </c>
      <c r="J398" s="233"/>
      <c r="K398" s="235">
        <v>45900</v>
      </c>
      <c r="L398" s="233">
        <v>0.4</v>
      </c>
      <c r="M398" s="234" t="s">
        <v>961</v>
      </c>
      <c r="N398" s="234">
        <v>15790</v>
      </c>
      <c r="O398" s="234">
        <v>10120</v>
      </c>
      <c r="P398" s="242">
        <v>7</v>
      </c>
      <c r="Q398" s="234">
        <v>5670</v>
      </c>
      <c r="R398" s="234">
        <v>5273.1</v>
      </c>
      <c r="S398" s="234" t="s">
        <v>1576</v>
      </c>
      <c r="T398" s="236">
        <v>45901</v>
      </c>
    </row>
    <row r="399" spans="1:20" ht="63.75" hidden="1">
      <c r="A399" s="239" t="s">
        <v>1470</v>
      </c>
      <c r="B399" s="240">
        <v>1401</v>
      </c>
      <c r="C399" s="241">
        <v>58703</v>
      </c>
      <c r="D399" s="239" t="s">
        <v>3818</v>
      </c>
      <c r="E399" s="239" t="s">
        <v>783</v>
      </c>
      <c r="F399" s="239" t="s">
        <v>784</v>
      </c>
      <c r="G399" s="239" t="s">
        <v>961</v>
      </c>
      <c r="H399" s="239" t="s">
        <v>48</v>
      </c>
      <c r="I399" s="239" t="s">
        <v>399</v>
      </c>
      <c r="J399" s="233"/>
      <c r="K399" s="235">
        <v>45900</v>
      </c>
      <c r="L399" s="233">
        <v>1.5</v>
      </c>
      <c r="M399" s="234" t="s">
        <v>961</v>
      </c>
      <c r="N399" s="234">
        <v>39010</v>
      </c>
      <c r="O399" s="234">
        <v>14620</v>
      </c>
      <c r="P399" s="242">
        <v>9</v>
      </c>
      <c r="Q399" s="234">
        <v>24390</v>
      </c>
      <c r="R399" s="234">
        <v>22194.9</v>
      </c>
      <c r="S399" s="234" t="s">
        <v>1577</v>
      </c>
      <c r="T399" s="236">
        <v>45901</v>
      </c>
    </row>
    <row r="400" spans="1:20" ht="63.75" hidden="1">
      <c r="A400" s="239" t="s">
        <v>1471</v>
      </c>
      <c r="B400" s="240">
        <v>1403</v>
      </c>
      <c r="C400" s="241">
        <v>58705</v>
      </c>
      <c r="D400" s="239" t="s">
        <v>3818</v>
      </c>
      <c r="E400" s="239" t="s">
        <v>794</v>
      </c>
      <c r="F400" s="239" t="s">
        <v>795</v>
      </c>
      <c r="G400" s="239" t="s">
        <v>961</v>
      </c>
      <c r="H400" s="239" t="s">
        <v>48</v>
      </c>
      <c r="I400" s="239" t="s">
        <v>399</v>
      </c>
      <c r="J400" s="233"/>
      <c r="K400" s="235">
        <v>45900</v>
      </c>
      <c r="L400" s="233">
        <v>1.5</v>
      </c>
      <c r="M400" s="234" t="s">
        <v>961</v>
      </c>
      <c r="N400" s="234">
        <v>41010</v>
      </c>
      <c r="O400" s="234">
        <v>16100</v>
      </c>
      <c r="P400" s="242">
        <v>13</v>
      </c>
      <c r="Q400" s="234">
        <v>24910</v>
      </c>
      <c r="R400" s="234">
        <v>21671.7</v>
      </c>
      <c r="S400" s="234" t="s">
        <v>1578</v>
      </c>
      <c r="T400" s="236">
        <v>45901</v>
      </c>
    </row>
    <row r="401" spans="1:20" ht="51" hidden="1">
      <c r="A401" s="239" t="s">
        <v>1605</v>
      </c>
      <c r="B401" s="240">
        <v>1434</v>
      </c>
      <c r="C401" s="241">
        <v>36952</v>
      </c>
      <c r="D401" s="239" t="s">
        <v>3819</v>
      </c>
      <c r="E401" s="239" t="s">
        <v>384</v>
      </c>
      <c r="F401" s="239" t="s">
        <v>385</v>
      </c>
      <c r="G401" s="239" t="s">
        <v>954</v>
      </c>
      <c r="H401" s="239" t="s">
        <v>51</v>
      </c>
      <c r="I401" s="239" t="s">
        <v>1580</v>
      </c>
      <c r="J401" s="233"/>
      <c r="K401" s="235">
        <v>45904</v>
      </c>
      <c r="L401" s="233">
        <v>1.6</v>
      </c>
      <c r="M401" s="234" t="s">
        <v>954</v>
      </c>
      <c r="N401" s="234">
        <v>35120</v>
      </c>
      <c r="O401" s="234">
        <v>13890</v>
      </c>
      <c r="P401" s="242">
        <v>8</v>
      </c>
      <c r="Q401" s="234">
        <v>21230</v>
      </c>
      <c r="R401" s="234">
        <v>19531.599999999999</v>
      </c>
      <c r="S401" s="234" t="s">
        <v>1581</v>
      </c>
      <c r="T401" s="236">
        <v>45905</v>
      </c>
    </row>
    <row r="402" spans="1:20" ht="51" hidden="1">
      <c r="A402" s="239" t="s">
        <v>1606</v>
      </c>
      <c r="B402" s="240">
        <v>1435</v>
      </c>
      <c r="C402" s="241">
        <v>36939</v>
      </c>
      <c r="D402" s="239" t="s">
        <v>3819</v>
      </c>
      <c r="E402" s="239" t="s">
        <v>1397</v>
      </c>
      <c r="F402" s="239" t="s">
        <v>1398</v>
      </c>
      <c r="G402" s="239" t="s">
        <v>954</v>
      </c>
      <c r="H402" s="239" t="s">
        <v>51</v>
      </c>
      <c r="I402" s="239" t="s">
        <v>1580</v>
      </c>
      <c r="J402" s="233"/>
      <c r="K402" s="235">
        <v>45904</v>
      </c>
      <c r="L402" s="233">
        <v>1.9</v>
      </c>
      <c r="M402" s="234" t="s">
        <v>954</v>
      </c>
      <c r="N402" s="234">
        <v>42640</v>
      </c>
      <c r="O402" s="234">
        <v>17080</v>
      </c>
      <c r="P402" s="242">
        <v>8</v>
      </c>
      <c r="Q402" s="234">
        <v>25560</v>
      </c>
      <c r="R402" s="234">
        <v>23515.200000000001</v>
      </c>
      <c r="S402" s="234" t="s">
        <v>1582</v>
      </c>
      <c r="T402" s="236">
        <v>45905</v>
      </c>
    </row>
    <row r="403" spans="1:20" ht="51" hidden="1">
      <c r="A403" s="239" t="s">
        <v>1607</v>
      </c>
      <c r="B403" s="240">
        <v>1436</v>
      </c>
      <c r="C403" s="241">
        <v>36946</v>
      </c>
      <c r="D403" s="239" t="s">
        <v>3819</v>
      </c>
      <c r="E403" s="239" t="s">
        <v>1400</v>
      </c>
      <c r="F403" s="239" t="s">
        <v>1401</v>
      </c>
      <c r="G403" s="239" t="s">
        <v>954</v>
      </c>
      <c r="H403" s="239" t="s">
        <v>51</v>
      </c>
      <c r="I403" s="239" t="s">
        <v>1580</v>
      </c>
      <c r="J403" s="233"/>
      <c r="K403" s="235">
        <v>45904</v>
      </c>
      <c r="L403" s="233">
        <v>1.6</v>
      </c>
      <c r="M403" s="234" t="s">
        <v>954</v>
      </c>
      <c r="N403" s="234">
        <v>36340</v>
      </c>
      <c r="O403" s="234">
        <v>14730</v>
      </c>
      <c r="P403" s="242">
        <v>4</v>
      </c>
      <c r="Q403" s="234">
        <v>21610</v>
      </c>
      <c r="R403" s="234">
        <v>20745.599999999999</v>
      </c>
      <c r="S403" s="234" t="s">
        <v>1583</v>
      </c>
      <c r="T403" s="236">
        <v>45905</v>
      </c>
    </row>
    <row r="404" spans="1:20" ht="51" hidden="1">
      <c r="A404" s="239" t="s">
        <v>1608</v>
      </c>
      <c r="B404" s="240">
        <v>1437</v>
      </c>
      <c r="C404" s="241">
        <v>36948</v>
      </c>
      <c r="D404" s="239" t="s">
        <v>3819</v>
      </c>
      <c r="E404" s="239" t="s">
        <v>1403</v>
      </c>
      <c r="F404" s="239" t="s">
        <v>1404</v>
      </c>
      <c r="G404" s="239" t="s">
        <v>954</v>
      </c>
      <c r="H404" s="239" t="s">
        <v>51</v>
      </c>
      <c r="I404" s="239" t="s">
        <v>1580</v>
      </c>
      <c r="J404" s="233"/>
      <c r="K404" s="235">
        <v>45904</v>
      </c>
      <c r="L404" s="233">
        <v>1.7</v>
      </c>
      <c r="M404" s="234" t="s">
        <v>954</v>
      </c>
      <c r="N404" s="234">
        <v>37830</v>
      </c>
      <c r="O404" s="234">
        <v>14970</v>
      </c>
      <c r="P404" s="242">
        <v>5</v>
      </c>
      <c r="Q404" s="234">
        <v>22860</v>
      </c>
      <c r="R404" s="234">
        <v>21717</v>
      </c>
      <c r="S404" s="234" t="s">
        <v>1584</v>
      </c>
      <c r="T404" s="236">
        <v>45905</v>
      </c>
    </row>
    <row r="405" spans="1:20" ht="51" hidden="1">
      <c r="A405" s="239" t="s">
        <v>1609</v>
      </c>
      <c r="B405" s="240">
        <v>1438</v>
      </c>
      <c r="C405" s="241">
        <v>36959</v>
      </c>
      <c r="D405" s="239" t="s">
        <v>3819</v>
      </c>
      <c r="E405" s="239" t="s">
        <v>377</v>
      </c>
      <c r="F405" s="239" t="s">
        <v>378</v>
      </c>
      <c r="G405" s="239" t="s">
        <v>954</v>
      </c>
      <c r="H405" s="239" t="s">
        <v>51</v>
      </c>
      <c r="I405" s="239" t="s">
        <v>1580</v>
      </c>
      <c r="J405" s="233"/>
      <c r="K405" s="235">
        <v>45904</v>
      </c>
      <c r="L405" s="233">
        <v>2</v>
      </c>
      <c r="M405" s="234" t="s">
        <v>954</v>
      </c>
      <c r="N405" s="234">
        <v>41640</v>
      </c>
      <c r="O405" s="234">
        <v>15070</v>
      </c>
      <c r="P405" s="242">
        <v>4</v>
      </c>
      <c r="Q405" s="234">
        <v>26570</v>
      </c>
      <c r="R405" s="234">
        <v>25507.200000000001</v>
      </c>
      <c r="S405" s="234" t="s">
        <v>1585</v>
      </c>
      <c r="T405" s="236">
        <v>45905</v>
      </c>
    </row>
    <row r="406" spans="1:20" ht="51" hidden="1">
      <c r="A406" s="239" t="s">
        <v>1610</v>
      </c>
      <c r="B406" s="240">
        <v>1439</v>
      </c>
      <c r="C406" s="241">
        <v>36955</v>
      </c>
      <c r="D406" s="239" t="s">
        <v>3819</v>
      </c>
      <c r="E406" s="239" t="s">
        <v>472</v>
      </c>
      <c r="F406" s="239" t="s">
        <v>473</v>
      </c>
      <c r="G406" s="239" t="s">
        <v>954</v>
      </c>
      <c r="H406" s="239" t="s">
        <v>51</v>
      </c>
      <c r="I406" s="239" t="s">
        <v>1580</v>
      </c>
      <c r="J406" s="233"/>
      <c r="K406" s="235">
        <v>45904</v>
      </c>
      <c r="L406" s="233">
        <v>1.7</v>
      </c>
      <c r="M406" s="234" t="s">
        <v>954</v>
      </c>
      <c r="N406" s="234">
        <v>39910</v>
      </c>
      <c r="O406" s="234">
        <v>16520</v>
      </c>
      <c r="P406" s="242">
        <v>5</v>
      </c>
      <c r="Q406" s="234">
        <v>23390</v>
      </c>
      <c r="R406" s="234">
        <v>22220.5</v>
      </c>
      <c r="S406" s="234" t="s">
        <v>1586</v>
      </c>
      <c r="T406" s="236">
        <v>45905</v>
      </c>
    </row>
    <row r="407" spans="1:20" ht="51" hidden="1">
      <c r="A407" s="239" t="s">
        <v>1587</v>
      </c>
      <c r="B407" s="240">
        <v>1441</v>
      </c>
      <c r="C407" s="241">
        <v>36961</v>
      </c>
      <c r="D407" s="239" t="s">
        <v>3819</v>
      </c>
      <c r="E407" s="239" t="s">
        <v>413</v>
      </c>
      <c r="F407" s="239" t="s">
        <v>414</v>
      </c>
      <c r="G407" s="239" t="s">
        <v>954</v>
      </c>
      <c r="H407" s="239" t="s">
        <v>51</v>
      </c>
      <c r="I407" s="239" t="s">
        <v>1580</v>
      </c>
      <c r="J407" s="233"/>
      <c r="K407" s="235">
        <v>45904</v>
      </c>
      <c r="L407" s="233">
        <v>2</v>
      </c>
      <c r="M407" s="234" t="s">
        <v>954</v>
      </c>
      <c r="N407" s="234">
        <v>41890</v>
      </c>
      <c r="O407" s="234">
        <v>14870</v>
      </c>
      <c r="P407" s="242">
        <v>4</v>
      </c>
      <c r="Q407" s="234">
        <v>27020</v>
      </c>
      <c r="R407" s="234">
        <v>25939.200000000001</v>
      </c>
      <c r="S407" s="234" t="s">
        <v>1680</v>
      </c>
      <c r="T407" s="236">
        <v>45905</v>
      </c>
    </row>
    <row r="408" spans="1:20" ht="51" hidden="1">
      <c r="A408" s="239" t="s">
        <v>1588</v>
      </c>
      <c r="B408" s="240">
        <v>1442</v>
      </c>
      <c r="C408" s="241">
        <v>36963</v>
      </c>
      <c r="D408" s="239" t="s">
        <v>3819</v>
      </c>
      <c r="E408" s="239" t="s">
        <v>429</v>
      </c>
      <c r="F408" s="239" t="s">
        <v>430</v>
      </c>
      <c r="G408" s="239" t="s">
        <v>954</v>
      </c>
      <c r="H408" s="239" t="s">
        <v>51</v>
      </c>
      <c r="I408" s="239" t="s">
        <v>1580</v>
      </c>
      <c r="J408" s="233"/>
      <c r="K408" s="235">
        <v>45904</v>
      </c>
      <c r="L408" s="233">
        <v>1.7</v>
      </c>
      <c r="M408" s="234" t="s">
        <v>954</v>
      </c>
      <c r="N408" s="234">
        <v>37360</v>
      </c>
      <c r="O408" s="234">
        <v>14230</v>
      </c>
      <c r="P408" s="242">
        <v>6</v>
      </c>
      <c r="Q408" s="234">
        <v>23130</v>
      </c>
      <c r="R408" s="234">
        <v>21742.2</v>
      </c>
      <c r="S408" s="234" t="s">
        <v>1681</v>
      </c>
      <c r="T408" s="236">
        <v>45905</v>
      </c>
    </row>
    <row r="409" spans="1:20" ht="51" hidden="1">
      <c r="A409" s="239" t="s">
        <v>1589</v>
      </c>
      <c r="B409" s="240">
        <v>1443</v>
      </c>
      <c r="C409" s="241">
        <v>36965</v>
      </c>
      <c r="D409" s="239" t="s">
        <v>3819</v>
      </c>
      <c r="E409" s="239" t="s">
        <v>432</v>
      </c>
      <c r="F409" s="239" t="s">
        <v>433</v>
      </c>
      <c r="G409" s="239" t="s">
        <v>954</v>
      </c>
      <c r="H409" s="239" t="s">
        <v>51</v>
      </c>
      <c r="I409" s="239" t="s">
        <v>1580</v>
      </c>
      <c r="J409" s="233"/>
      <c r="K409" s="235">
        <v>45904</v>
      </c>
      <c r="L409" s="233">
        <v>1.9</v>
      </c>
      <c r="M409" s="234" t="s">
        <v>954</v>
      </c>
      <c r="N409" s="234">
        <v>41100</v>
      </c>
      <c r="O409" s="234">
        <v>15530</v>
      </c>
      <c r="P409" s="242">
        <v>6</v>
      </c>
      <c r="Q409" s="234">
        <v>25570</v>
      </c>
      <c r="R409" s="234">
        <v>24035.8</v>
      </c>
      <c r="S409" s="234" t="s">
        <v>1682</v>
      </c>
      <c r="T409" s="236">
        <v>45905</v>
      </c>
    </row>
    <row r="410" spans="1:20" ht="63.75" hidden="1">
      <c r="A410" s="239" t="s">
        <v>1590</v>
      </c>
      <c r="B410" s="240">
        <v>1412</v>
      </c>
      <c r="C410" s="241">
        <v>77183</v>
      </c>
      <c r="D410" s="239" t="s">
        <v>3818</v>
      </c>
      <c r="E410" s="239" t="s">
        <v>380</v>
      </c>
      <c r="F410" s="239" t="s">
        <v>381</v>
      </c>
      <c r="G410" s="239" t="s">
        <v>961</v>
      </c>
      <c r="H410" s="239" t="s">
        <v>51</v>
      </c>
      <c r="I410" s="239" t="s">
        <v>1580</v>
      </c>
      <c r="J410" s="233"/>
      <c r="K410" s="235">
        <v>45903</v>
      </c>
      <c r="L410" s="233">
        <v>1.7</v>
      </c>
      <c r="M410" s="234" t="s">
        <v>961</v>
      </c>
      <c r="N410" s="234">
        <v>37800</v>
      </c>
      <c r="O410" s="234">
        <v>15030</v>
      </c>
      <c r="P410" s="242">
        <v>23</v>
      </c>
      <c r="Q410" s="234">
        <v>22770</v>
      </c>
      <c r="R410" s="234">
        <v>17532.900000000001</v>
      </c>
      <c r="S410" s="234" t="s">
        <v>1665</v>
      </c>
      <c r="T410" s="236">
        <v>45903</v>
      </c>
    </row>
    <row r="411" spans="1:20" ht="51" hidden="1">
      <c r="A411" s="239" t="s">
        <v>1611</v>
      </c>
      <c r="B411" s="240">
        <v>1445</v>
      </c>
      <c r="C411" s="241">
        <v>36969</v>
      </c>
      <c r="D411" s="239" t="s">
        <v>3819</v>
      </c>
      <c r="E411" s="239" t="s">
        <v>400</v>
      </c>
      <c r="F411" s="239" t="s">
        <v>401</v>
      </c>
      <c r="G411" s="239" t="s">
        <v>954</v>
      </c>
      <c r="H411" s="239" t="s">
        <v>51</v>
      </c>
      <c r="I411" s="239" t="s">
        <v>1580</v>
      </c>
      <c r="J411" s="233"/>
      <c r="K411" s="235">
        <v>45904</v>
      </c>
      <c r="L411" s="233">
        <v>1.7</v>
      </c>
      <c r="M411" s="234" t="s">
        <v>954</v>
      </c>
      <c r="N411" s="234">
        <v>38140</v>
      </c>
      <c r="O411" s="234">
        <v>14690</v>
      </c>
      <c r="P411" s="242">
        <v>9</v>
      </c>
      <c r="Q411" s="234">
        <v>23450</v>
      </c>
      <c r="R411" s="234">
        <v>21339.5</v>
      </c>
      <c r="S411" s="234" t="s">
        <v>1683</v>
      </c>
      <c r="T411" s="236">
        <v>45905</v>
      </c>
    </row>
    <row r="412" spans="1:20" ht="63.75" hidden="1">
      <c r="A412" s="239" t="s">
        <v>1591</v>
      </c>
      <c r="B412" s="240">
        <v>1414</v>
      </c>
      <c r="C412" s="241">
        <v>77185</v>
      </c>
      <c r="D412" s="239" t="s">
        <v>3818</v>
      </c>
      <c r="E412" s="239" t="s">
        <v>377</v>
      </c>
      <c r="F412" s="239" t="s">
        <v>378</v>
      </c>
      <c r="G412" s="239" t="s">
        <v>961</v>
      </c>
      <c r="H412" s="239" t="s">
        <v>51</v>
      </c>
      <c r="I412" s="239" t="s">
        <v>1580</v>
      </c>
      <c r="J412" s="233"/>
      <c r="K412" s="235">
        <v>45903</v>
      </c>
      <c r="L412" s="233">
        <v>1.9</v>
      </c>
      <c r="M412" s="234" t="s">
        <v>961</v>
      </c>
      <c r="N412" s="234">
        <v>41570</v>
      </c>
      <c r="O412" s="234">
        <v>15090</v>
      </c>
      <c r="P412" s="242">
        <v>15</v>
      </c>
      <c r="Q412" s="234">
        <v>26480</v>
      </c>
      <c r="R412" s="234">
        <v>22508</v>
      </c>
      <c r="S412" s="234" t="s">
        <v>1666</v>
      </c>
      <c r="T412" s="236">
        <v>45903</v>
      </c>
    </row>
    <row r="413" spans="1:20" ht="63.75" hidden="1">
      <c r="A413" s="239" t="s">
        <v>1592</v>
      </c>
      <c r="B413" s="240">
        <v>1416</v>
      </c>
      <c r="C413" s="241">
        <v>77187</v>
      </c>
      <c r="D413" s="239" t="s">
        <v>3818</v>
      </c>
      <c r="E413" s="239" t="s">
        <v>388</v>
      </c>
      <c r="F413" s="239" t="s">
        <v>389</v>
      </c>
      <c r="G413" s="239" t="s">
        <v>961</v>
      </c>
      <c r="H413" s="239" t="s">
        <v>51</v>
      </c>
      <c r="I413" s="239" t="s">
        <v>1580</v>
      </c>
      <c r="J413" s="233"/>
      <c r="K413" s="235">
        <v>45903</v>
      </c>
      <c r="L413" s="233">
        <v>1.8</v>
      </c>
      <c r="M413" s="234" t="s">
        <v>961</v>
      </c>
      <c r="N413" s="234">
        <v>45070</v>
      </c>
      <c r="O413" s="234">
        <v>20980</v>
      </c>
      <c r="P413" s="242">
        <v>16</v>
      </c>
      <c r="Q413" s="234">
        <v>24090</v>
      </c>
      <c r="R413" s="234">
        <v>20235.599999999999</v>
      </c>
      <c r="S413" s="234" t="s">
        <v>1667</v>
      </c>
      <c r="T413" s="236">
        <v>45903</v>
      </c>
    </row>
    <row r="414" spans="1:20" ht="63.75" hidden="1">
      <c r="A414" s="239" t="s">
        <v>1593</v>
      </c>
      <c r="B414" s="240">
        <v>1417</v>
      </c>
      <c r="C414" s="241">
        <v>77191</v>
      </c>
      <c r="D414" s="239" t="s">
        <v>3818</v>
      </c>
      <c r="E414" s="239" t="s">
        <v>392</v>
      </c>
      <c r="F414" s="239" t="s">
        <v>393</v>
      </c>
      <c r="G414" s="239" t="s">
        <v>961</v>
      </c>
      <c r="H414" s="239" t="s">
        <v>51</v>
      </c>
      <c r="I414" s="239" t="s">
        <v>1580</v>
      </c>
      <c r="J414" s="233"/>
      <c r="K414" s="235">
        <v>45903</v>
      </c>
      <c r="L414" s="233">
        <v>1.7</v>
      </c>
      <c r="M414" s="234" t="s">
        <v>961</v>
      </c>
      <c r="N414" s="234">
        <v>46470</v>
      </c>
      <c r="O414" s="234">
        <v>24050</v>
      </c>
      <c r="P414" s="242">
        <v>21</v>
      </c>
      <c r="Q414" s="234">
        <v>22420</v>
      </c>
      <c r="R414" s="234">
        <v>17711.8</v>
      </c>
      <c r="S414" s="234" t="s">
        <v>1668</v>
      </c>
      <c r="T414" s="236">
        <v>45903</v>
      </c>
    </row>
    <row r="415" spans="1:20" ht="63.75" hidden="1">
      <c r="A415" s="239" t="s">
        <v>1594</v>
      </c>
      <c r="B415" s="240">
        <v>1418</v>
      </c>
      <c r="C415" s="241">
        <v>77189</v>
      </c>
      <c r="D415" s="239" t="s">
        <v>3818</v>
      </c>
      <c r="E415" s="239" t="s">
        <v>390</v>
      </c>
      <c r="F415" s="239" t="s">
        <v>391</v>
      </c>
      <c r="G415" s="239" t="s">
        <v>961</v>
      </c>
      <c r="H415" s="239" t="s">
        <v>51</v>
      </c>
      <c r="I415" s="239" t="s">
        <v>1580</v>
      </c>
      <c r="J415" s="233"/>
      <c r="K415" s="235">
        <v>45903</v>
      </c>
      <c r="L415" s="233">
        <v>1.7</v>
      </c>
      <c r="M415" s="234" t="s">
        <v>961</v>
      </c>
      <c r="N415" s="234">
        <v>38410</v>
      </c>
      <c r="O415" s="234">
        <v>14850</v>
      </c>
      <c r="P415" s="242">
        <v>14</v>
      </c>
      <c r="Q415" s="234">
        <v>23560</v>
      </c>
      <c r="R415" s="234">
        <v>20261.599999999999</v>
      </c>
      <c r="S415" s="234" t="s">
        <v>1669</v>
      </c>
      <c r="T415" s="236">
        <v>45903</v>
      </c>
    </row>
    <row r="416" spans="1:20" ht="63.75" hidden="1">
      <c r="A416" s="239" t="s">
        <v>1595</v>
      </c>
      <c r="B416" s="240">
        <v>1420</v>
      </c>
      <c r="C416" s="241">
        <v>77193</v>
      </c>
      <c r="D416" s="239" t="s">
        <v>3818</v>
      </c>
      <c r="E416" s="239" t="s">
        <v>794</v>
      </c>
      <c r="F416" s="239" t="s">
        <v>795</v>
      </c>
      <c r="G416" s="239" t="s">
        <v>961</v>
      </c>
      <c r="H416" s="239" t="s">
        <v>51</v>
      </c>
      <c r="I416" s="239" t="s">
        <v>1580</v>
      </c>
      <c r="J416" s="233"/>
      <c r="K416" s="235">
        <v>45903</v>
      </c>
      <c r="L416" s="233">
        <v>2</v>
      </c>
      <c r="M416" s="234" t="s">
        <v>961</v>
      </c>
      <c r="N416" s="234">
        <v>42640</v>
      </c>
      <c r="O416" s="234">
        <v>16100</v>
      </c>
      <c r="P416" s="242">
        <v>11</v>
      </c>
      <c r="Q416" s="234">
        <v>26540</v>
      </c>
      <c r="R416" s="234">
        <v>23620.6</v>
      </c>
      <c r="S416" s="234" t="s">
        <v>1670</v>
      </c>
      <c r="T416" s="236">
        <v>45903</v>
      </c>
    </row>
    <row r="417" spans="1:20" ht="63.75" hidden="1">
      <c r="A417" s="239" t="s">
        <v>1596</v>
      </c>
      <c r="B417" s="240">
        <v>1421</v>
      </c>
      <c r="C417" s="241">
        <v>77195</v>
      </c>
      <c r="D417" s="239" t="s">
        <v>3818</v>
      </c>
      <c r="E417" s="239" t="s">
        <v>786</v>
      </c>
      <c r="F417" s="239" t="s">
        <v>787</v>
      </c>
      <c r="G417" s="239" t="s">
        <v>961</v>
      </c>
      <c r="H417" s="239" t="s">
        <v>51</v>
      </c>
      <c r="I417" s="239" t="s">
        <v>1580</v>
      </c>
      <c r="J417" s="233"/>
      <c r="K417" s="235">
        <v>45903</v>
      </c>
      <c r="L417" s="233">
        <v>1.6</v>
      </c>
      <c r="M417" s="234" t="s">
        <v>961</v>
      </c>
      <c r="N417" s="234">
        <v>36260</v>
      </c>
      <c r="O417" s="234">
        <v>13970</v>
      </c>
      <c r="P417" s="242">
        <v>10</v>
      </c>
      <c r="Q417" s="234">
        <v>22290</v>
      </c>
      <c r="R417" s="234">
        <v>20061</v>
      </c>
      <c r="S417" s="234" t="s">
        <v>1671</v>
      </c>
      <c r="T417" s="236">
        <v>45903</v>
      </c>
    </row>
    <row r="418" spans="1:20" ht="63.75" hidden="1">
      <c r="A418" s="239" t="s">
        <v>1604</v>
      </c>
      <c r="B418" s="240">
        <v>1432</v>
      </c>
      <c r="C418" s="241">
        <v>77262</v>
      </c>
      <c r="D418" s="239" t="s">
        <v>3818</v>
      </c>
      <c r="E418" s="239" t="s">
        <v>462</v>
      </c>
      <c r="F418" s="239" t="s">
        <v>463</v>
      </c>
      <c r="G418" s="239" t="s">
        <v>961</v>
      </c>
      <c r="H418" s="239" t="s">
        <v>51</v>
      </c>
      <c r="I418" s="239" t="s">
        <v>1580</v>
      </c>
      <c r="J418" s="233"/>
      <c r="K418" s="235">
        <v>45903</v>
      </c>
      <c r="L418" s="233">
        <v>0.8</v>
      </c>
      <c r="M418" s="234" t="s">
        <v>961</v>
      </c>
      <c r="N418" s="234">
        <v>21410</v>
      </c>
      <c r="O418" s="234">
        <v>10720</v>
      </c>
      <c r="P418" s="242">
        <v>6</v>
      </c>
      <c r="Q418" s="234">
        <v>10690</v>
      </c>
      <c r="R418" s="234">
        <v>10048.6</v>
      </c>
      <c r="S418" s="234" t="s">
        <v>1679</v>
      </c>
      <c r="T418" s="236">
        <v>45904</v>
      </c>
    </row>
    <row r="419" spans="1:20" ht="63.75" hidden="1">
      <c r="A419" s="239" t="s">
        <v>1597</v>
      </c>
      <c r="B419" s="240">
        <v>1422</v>
      </c>
      <c r="C419" s="241">
        <v>77199</v>
      </c>
      <c r="D419" s="239" t="s">
        <v>3818</v>
      </c>
      <c r="E419" s="239" t="s">
        <v>783</v>
      </c>
      <c r="F419" s="239" t="s">
        <v>784</v>
      </c>
      <c r="G419" s="239" t="s">
        <v>961</v>
      </c>
      <c r="H419" s="239" t="s">
        <v>51</v>
      </c>
      <c r="I419" s="239" t="s">
        <v>1580</v>
      </c>
      <c r="J419" s="233"/>
      <c r="K419" s="235">
        <v>45903</v>
      </c>
      <c r="L419" s="233">
        <v>1.9</v>
      </c>
      <c r="M419" s="234" t="s">
        <v>961</v>
      </c>
      <c r="N419" s="234">
        <v>39940</v>
      </c>
      <c r="O419" s="234">
        <v>14610</v>
      </c>
      <c r="P419" s="242">
        <v>17</v>
      </c>
      <c r="Q419" s="234">
        <v>25330</v>
      </c>
      <c r="R419" s="234">
        <v>21023.9</v>
      </c>
      <c r="S419" s="234" t="s">
        <v>1672</v>
      </c>
      <c r="T419" s="236">
        <v>45903</v>
      </c>
    </row>
    <row r="420" spans="1:20" ht="63.75" hidden="1">
      <c r="A420" s="239" t="s">
        <v>1603</v>
      </c>
      <c r="B420" s="240">
        <v>1431</v>
      </c>
      <c r="C420" s="241">
        <v>77247</v>
      </c>
      <c r="D420" s="239" t="s">
        <v>3818</v>
      </c>
      <c r="E420" s="239" t="s">
        <v>858</v>
      </c>
      <c r="F420" s="239" t="s">
        <v>859</v>
      </c>
      <c r="G420" s="239" t="s">
        <v>961</v>
      </c>
      <c r="H420" s="239" t="s">
        <v>51</v>
      </c>
      <c r="I420" s="239" t="s">
        <v>1580</v>
      </c>
      <c r="J420" s="233"/>
      <c r="K420" s="235">
        <v>45903</v>
      </c>
      <c r="L420" s="233">
        <v>1.7</v>
      </c>
      <c r="M420" s="234" t="s">
        <v>961</v>
      </c>
      <c r="N420" s="234">
        <v>37890</v>
      </c>
      <c r="O420" s="234">
        <v>14660</v>
      </c>
      <c r="P420" s="242">
        <v>7</v>
      </c>
      <c r="Q420" s="234">
        <v>23230</v>
      </c>
      <c r="R420" s="234">
        <v>21603.9</v>
      </c>
      <c r="S420" s="234" t="s">
        <v>1678</v>
      </c>
      <c r="T420" s="236">
        <v>45904</v>
      </c>
    </row>
    <row r="421" spans="1:20" ht="63.75" hidden="1">
      <c r="A421" s="239" t="s">
        <v>1602</v>
      </c>
      <c r="B421" s="240">
        <v>1429</v>
      </c>
      <c r="C421" s="241">
        <v>77245</v>
      </c>
      <c r="D421" s="239" t="s">
        <v>3818</v>
      </c>
      <c r="E421" s="239" t="s">
        <v>374</v>
      </c>
      <c r="F421" s="239" t="s">
        <v>375</v>
      </c>
      <c r="G421" s="239" t="s">
        <v>961</v>
      </c>
      <c r="H421" s="239" t="s">
        <v>51</v>
      </c>
      <c r="I421" s="239" t="s">
        <v>1580</v>
      </c>
      <c r="J421" s="233"/>
      <c r="K421" s="235">
        <v>45903</v>
      </c>
      <c r="L421" s="233">
        <v>1.7</v>
      </c>
      <c r="M421" s="234" t="s">
        <v>961</v>
      </c>
      <c r="N421" s="234">
        <v>39270</v>
      </c>
      <c r="O421" s="234">
        <v>15580</v>
      </c>
      <c r="P421" s="242">
        <v>5</v>
      </c>
      <c r="Q421" s="234">
        <v>23690</v>
      </c>
      <c r="R421" s="234">
        <v>22506</v>
      </c>
      <c r="S421" s="234" t="s">
        <v>1677</v>
      </c>
      <c r="T421" s="236">
        <v>45904</v>
      </c>
    </row>
    <row r="422" spans="1:20" ht="63.75" hidden="1">
      <c r="A422" s="239" t="s">
        <v>1598</v>
      </c>
      <c r="B422" s="240">
        <v>1423</v>
      </c>
      <c r="C422" s="241">
        <v>77197</v>
      </c>
      <c r="D422" s="239" t="s">
        <v>3818</v>
      </c>
      <c r="E422" s="239" t="s">
        <v>841</v>
      </c>
      <c r="F422" s="239" t="s">
        <v>845</v>
      </c>
      <c r="G422" s="239" t="s">
        <v>961</v>
      </c>
      <c r="H422" s="239" t="s">
        <v>51</v>
      </c>
      <c r="I422" s="239" t="s">
        <v>1580</v>
      </c>
      <c r="J422" s="233"/>
      <c r="K422" s="235">
        <v>45903</v>
      </c>
      <c r="L422" s="233">
        <v>2</v>
      </c>
      <c r="M422" s="234" t="s">
        <v>961</v>
      </c>
      <c r="N422" s="234">
        <v>42970</v>
      </c>
      <c r="O422" s="234">
        <v>15890</v>
      </c>
      <c r="P422" s="242">
        <v>17</v>
      </c>
      <c r="Q422" s="234">
        <v>27080</v>
      </c>
      <c r="R422" s="234">
        <v>22476.400000000001</v>
      </c>
      <c r="S422" s="234" t="s">
        <v>1673</v>
      </c>
      <c r="T422" s="236">
        <v>45904</v>
      </c>
    </row>
    <row r="423" spans="1:20" ht="63.75" hidden="1">
      <c r="A423" s="239" t="s">
        <v>1601</v>
      </c>
      <c r="B423" s="240">
        <v>1426</v>
      </c>
      <c r="C423" s="241">
        <v>77237</v>
      </c>
      <c r="D423" s="239" t="s">
        <v>3818</v>
      </c>
      <c r="E423" s="239" t="s">
        <v>386</v>
      </c>
      <c r="F423" s="239" t="s">
        <v>387</v>
      </c>
      <c r="G423" s="239" t="s">
        <v>961</v>
      </c>
      <c r="H423" s="239" t="s">
        <v>51</v>
      </c>
      <c r="I423" s="239" t="s">
        <v>1580</v>
      </c>
      <c r="J423" s="233"/>
      <c r="K423" s="235">
        <v>45903</v>
      </c>
      <c r="L423" s="233">
        <v>1.8</v>
      </c>
      <c r="M423" s="234" t="s">
        <v>961</v>
      </c>
      <c r="N423" s="234">
        <v>40090</v>
      </c>
      <c r="O423" s="234">
        <v>15360</v>
      </c>
      <c r="P423" s="242">
        <v>9</v>
      </c>
      <c r="Q423" s="234">
        <v>24730</v>
      </c>
      <c r="R423" s="234">
        <v>22504.3</v>
      </c>
      <c r="S423" s="234" t="s">
        <v>1676</v>
      </c>
      <c r="T423" s="236">
        <v>45904</v>
      </c>
    </row>
    <row r="424" spans="1:20" ht="63.75" hidden="1">
      <c r="A424" s="239" t="s">
        <v>1600</v>
      </c>
      <c r="B424" s="240">
        <v>1425</v>
      </c>
      <c r="C424" s="241">
        <v>77235</v>
      </c>
      <c r="D424" s="239" t="s">
        <v>3818</v>
      </c>
      <c r="E424" s="239" t="s">
        <v>372</v>
      </c>
      <c r="F424" s="239" t="s">
        <v>373</v>
      </c>
      <c r="G424" s="239" t="s">
        <v>961</v>
      </c>
      <c r="H424" s="239" t="s">
        <v>51</v>
      </c>
      <c r="I424" s="239" t="s">
        <v>1580</v>
      </c>
      <c r="J424" s="233"/>
      <c r="K424" s="235">
        <v>45903</v>
      </c>
      <c r="L424" s="233">
        <v>1.8</v>
      </c>
      <c r="M424" s="234" t="s">
        <v>961</v>
      </c>
      <c r="N424" s="234">
        <v>39210</v>
      </c>
      <c r="O424" s="234">
        <v>14870</v>
      </c>
      <c r="P424" s="242">
        <v>15</v>
      </c>
      <c r="Q424" s="234">
        <v>24340</v>
      </c>
      <c r="R424" s="234">
        <v>20689</v>
      </c>
      <c r="S424" s="234" t="s">
        <v>1675</v>
      </c>
      <c r="T424" s="236">
        <v>45904</v>
      </c>
    </row>
    <row r="425" spans="1:20" ht="63.75" hidden="1">
      <c r="A425" s="239" t="s">
        <v>1599</v>
      </c>
      <c r="B425" s="240">
        <v>1424</v>
      </c>
      <c r="C425" s="241">
        <v>77201</v>
      </c>
      <c r="D425" s="239" t="s">
        <v>3818</v>
      </c>
      <c r="E425" s="239" t="s">
        <v>791</v>
      </c>
      <c r="F425" s="239" t="s">
        <v>792</v>
      </c>
      <c r="G425" s="239" t="s">
        <v>961</v>
      </c>
      <c r="H425" s="239" t="s">
        <v>51</v>
      </c>
      <c r="I425" s="239" t="s">
        <v>1580</v>
      </c>
      <c r="J425" s="233"/>
      <c r="K425" s="235">
        <v>45903</v>
      </c>
      <c r="L425" s="233">
        <v>1.9</v>
      </c>
      <c r="M425" s="234" t="s">
        <v>961</v>
      </c>
      <c r="N425" s="234">
        <v>40780</v>
      </c>
      <c r="O425" s="234">
        <v>14930</v>
      </c>
      <c r="P425" s="242">
        <v>16</v>
      </c>
      <c r="Q425" s="234">
        <v>25850</v>
      </c>
      <c r="R425" s="234">
        <v>21714</v>
      </c>
      <c r="S425" s="234" t="s">
        <v>1674</v>
      </c>
      <c r="T425" s="236">
        <v>45904</v>
      </c>
    </row>
    <row r="426" spans="1:20" ht="51" hidden="1">
      <c r="A426" s="239" t="s">
        <v>1612</v>
      </c>
      <c r="B426" s="240">
        <v>1446</v>
      </c>
      <c r="C426" s="241">
        <v>36971</v>
      </c>
      <c r="D426" s="239" t="s">
        <v>3819</v>
      </c>
      <c r="E426" s="239" t="s">
        <v>382</v>
      </c>
      <c r="F426" s="239" t="s">
        <v>383</v>
      </c>
      <c r="G426" s="239" t="s">
        <v>954</v>
      </c>
      <c r="H426" s="239" t="s">
        <v>51</v>
      </c>
      <c r="I426" s="239" t="s">
        <v>1580</v>
      </c>
      <c r="J426" s="233"/>
      <c r="K426" s="235">
        <v>45904</v>
      </c>
      <c r="L426" s="233">
        <v>1.7</v>
      </c>
      <c r="M426" s="234" t="s">
        <v>954</v>
      </c>
      <c r="N426" s="234">
        <v>37710</v>
      </c>
      <c r="O426" s="234">
        <v>14560</v>
      </c>
      <c r="P426" s="242">
        <v>5</v>
      </c>
      <c r="Q426" s="234">
        <v>23150</v>
      </c>
      <c r="R426" s="234">
        <v>21992.5</v>
      </c>
      <c r="S426" s="234" t="s">
        <v>1684</v>
      </c>
      <c r="T426" s="236">
        <v>45905</v>
      </c>
    </row>
    <row r="427" spans="1:20" ht="51" hidden="1">
      <c r="A427" s="239" t="s">
        <v>1613</v>
      </c>
      <c r="B427" s="240">
        <v>1447</v>
      </c>
      <c r="C427" s="241">
        <v>36973</v>
      </c>
      <c r="D427" s="239" t="s">
        <v>3819</v>
      </c>
      <c r="E427" s="239" t="s">
        <v>453</v>
      </c>
      <c r="F427" s="239" t="s">
        <v>454</v>
      </c>
      <c r="G427" s="239" t="s">
        <v>954</v>
      </c>
      <c r="H427" s="239" t="s">
        <v>51</v>
      </c>
      <c r="I427" s="239" t="s">
        <v>1580</v>
      </c>
      <c r="J427" s="233"/>
      <c r="K427" s="235">
        <v>45904</v>
      </c>
      <c r="L427" s="233">
        <v>2.2000000000000002</v>
      </c>
      <c r="M427" s="234" t="s">
        <v>954</v>
      </c>
      <c r="N427" s="234">
        <v>54310</v>
      </c>
      <c r="O427" s="234">
        <v>24080</v>
      </c>
      <c r="P427" s="242">
        <v>8</v>
      </c>
      <c r="Q427" s="234">
        <v>30230</v>
      </c>
      <c r="R427" s="234">
        <v>27811.599999999999</v>
      </c>
      <c r="S427" s="234" t="s">
        <v>1685</v>
      </c>
      <c r="T427" s="236">
        <v>45905</v>
      </c>
    </row>
    <row r="428" spans="1:20" ht="51" hidden="1">
      <c r="A428" s="239" t="s">
        <v>1614</v>
      </c>
      <c r="B428" s="240">
        <v>1448</v>
      </c>
      <c r="C428" s="241">
        <v>36975</v>
      </c>
      <c r="D428" s="239" t="s">
        <v>3819</v>
      </c>
      <c r="E428" s="239" t="s">
        <v>456</v>
      </c>
      <c r="F428" s="239" t="s">
        <v>457</v>
      </c>
      <c r="G428" s="239" t="s">
        <v>954</v>
      </c>
      <c r="H428" s="239" t="s">
        <v>51</v>
      </c>
      <c r="I428" s="239" t="s">
        <v>1580</v>
      </c>
      <c r="J428" s="233"/>
      <c r="K428" s="235">
        <v>45904</v>
      </c>
      <c r="L428" s="233">
        <v>2.1</v>
      </c>
      <c r="M428" s="234" t="s">
        <v>954</v>
      </c>
      <c r="N428" s="234">
        <v>43750</v>
      </c>
      <c r="O428" s="234">
        <v>15540</v>
      </c>
      <c r="P428" s="242">
        <v>10</v>
      </c>
      <c r="Q428" s="234">
        <v>28210</v>
      </c>
      <c r="R428" s="234">
        <v>25389</v>
      </c>
      <c r="S428" s="234" t="s">
        <v>1686</v>
      </c>
      <c r="T428" s="236">
        <v>45905</v>
      </c>
    </row>
    <row r="429" spans="1:20" ht="51" hidden="1">
      <c r="A429" s="239" t="s">
        <v>1615</v>
      </c>
      <c r="B429" s="240">
        <v>1449</v>
      </c>
      <c r="C429" s="241">
        <v>36967</v>
      </c>
      <c r="D429" s="239" t="s">
        <v>3819</v>
      </c>
      <c r="E429" s="239" t="s">
        <v>786</v>
      </c>
      <c r="F429" s="239" t="s">
        <v>787</v>
      </c>
      <c r="G429" s="239" t="s">
        <v>954</v>
      </c>
      <c r="H429" s="239" t="s">
        <v>51</v>
      </c>
      <c r="I429" s="239" t="s">
        <v>1580</v>
      </c>
      <c r="J429" s="233"/>
      <c r="K429" s="235">
        <v>45904</v>
      </c>
      <c r="L429" s="233">
        <v>1.6</v>
      </c>
      <c r="M429" s="234" t="s">
        <v>954</v>
      </c>
      <c r="N429" s="234">
        <v>35210</v>
      </c>
      <c r="O429" s="234">
        <v>13910</v>
      </c>
      <c r="P429" s="242">
        <v>11</v>
      </c>
      <c r="Q429" s="234">
        <v>21300</v>
      </c>
      <c r="R429" s="234">
        <v>18957</v>
      </c>
      <c r="S429" s="234" t="s">
        <v>1687</v>
      </c>
      <c r="T429" s="236">
        <v>45905</v>
      </c>
    </row>
    <row r="430" spans="1:20" ht="51" hidden="1">
      <c r="A430" s="239" t="s">
        <v>1618</v>
      </c>
      <c r="B430" s="240">
        <v>1452</v>
      </c>
      <c r="C430" s="241">
        <v>36957</v>
      </c>
      <c r="D430" s="239" t="s">
        <v>3819</v>
      </c>
      <c r="E430" s="239" t="s">
        <v>475</v>
      </c>
      <c r="F430" s="239" t="s">
        <v>476</v>
      </c>
      <c r="G430" s="239" t="s">
        <v>954</v>
      </c>
      <c r="H430" s="239" t="s">
        <v>51</v>
      </c>
      <c r="I430" s="239" t="s">
        <v>1580</v>
      </c>
      <c r="J430" s="233"/>
      <c r="K430" s="235">
        <v>45905</v>
      </c>
      <c r="L430" s="233">
        <v>0.5</v>
      </c>
      <c r="M430" s="234" t="s">
        <v>954</v>
      </c>
      <c r="N430" s="234">
        <v>38410</v>
      </c>
      <c r="O430" s="234">
        <v>16270</v>
      </c>
      <c r="P430" s="242">
        <v>12</v>
      </c>
      <c r="Q430" s="234">
        <v>22140</v>
      </c>
      <c r="R430" s="234">
        <v>19483.2</v>
      </c>
      <c r="S430" s="234" t="s">
        <v>1690</v>
      </c>
      <c r="T430" s="236">
        <v>45905</v>
      </c>
    </row>
    <row r="431" spans="1:20" ht="51" hidden="1">
      <c r="A431" s="239" t="s">
        <v>1619</v>
      </c>
      <c r="B431" s="240">
        <v>1454</v>
      </c>
      <c r="C431" s="241">
        <v>58695</v>
      </c>
      <c r="D431" s="239" t="s">
        <v>3819</v>
      </c>
      <c r="E431" s="239" t="s">
        <v>447</v>
      </c>
      <c r="F431" s="239" t="s">
        <v>448</v>
      </c>
      <c r="G431" s="239" t="s">
        <v>954</v>
      </c>
      <c r="H431" s="239" t="s">
        <v>51</v>
      </c>
      <c r="I431" s="239" t="s">
        <v>1580</v>
      </c>
      <c r="J431" s="233"/>
      <c r="K431" s="235">
        <v>45905</v>
      </c>
      <c r="L431" s="233">
        <v>0.7</v>
      </c>
      <c r="M431" s="234" t="s">
        <v>954</v>
      </c>
      <c r="N431" s="234">
        <v>50040</v>
      </c>
      <c r="O431" s="234">
        <v>19260</v>
      </c>
      <c r="P431" s="242">
        <v>8</v>
      </c>
      <c r="Q431" s="234">
        <v>30780</v>
      </c>
      <c r="R431" s="234">
        <v>28317.599999999999</v>
      </c>
      <c r="S431" s="234" t="s">
        <v>1691</v>
      </c>
      <c r="T431" s="236">
        <v>45905</v>
      </c>
    </row>
    <row r="432" spans="1:20" ht="51" hidden="1">
      <c r="A432" s="239" t="s">
        <v>1620</v>
      </c>
      <c r="B432" s="240">
        <v>1455</v>
      </c>
      <c r="C432" s="241">
        <v>58640</v>
      </c>
      <c r="D432" s="239" t="s">
        <v>3819</v>
      </c>
      <c r="E432" s="239" t="s">
        <v>416</v>
      </c>
      <c r="F432" s="239" t="s">
        <v>417</v>
      </c>
      <c r="G432" s="239" t="s">
        <v>954</v>
      </c>
      <c r="H432" s="239" t="s">
        <v>51</v>
      </c>
      <c r="I432" s="239" t="s">
        <v>1580</v>
      </c>
      <c r="J432" s="233"/>
      <c r="K432" s="235">
        <v>45904</v>
      </c>
      <c r="L432" s="233">
        <v>1.7</v>
      </c>
      <c r="M432" s="234" t="s">
        <v>954</v>
      </c>
      <c r="N432" s="234">
        <v>38320</v>
      </c>
      <c r="O432" s="234">
        <v>14660</v>
      </c>
      <c r="P432" s="242">
        <v>14</v>
      </c>
      <c r="Q432" s="234">
        <v>23660</v>
      </c>
      <c r="R432" s="234">
        <v>20347.599999999999</v>
      </c>
      <c r="S432" s="234" t="s">
        <v>1692</v>
      </c>
      <c r="T432" s="236">
        <v>45905</v>
      </c>
    </row>
    <row r="433" spans="1:20" ht="51" hidden="1">
      <c r="A433" s="239" t="s">
        <v>1621</v>
      </c>
      <c r="B433" s="240">
        <v>1456</v>
      </c>
      <c r="C433" s="241">
        <v>58642</v>
      </c>
      <c r="D433" s="239" t="s">
        <v>3819</v>
      </c>
      <c r="E433" s="239" t="s">
        <v>420</v>
      </c>
      <c r="F433" s="239" t="s">
        <v>421</v>
      </c>
      <c r="G433" s="239" t="s">
        <v>954</v>
      </c>
      <c r="H433" s="239" t="s">
        <v>51</v>
      </c>
      <c r="I433" s="239" t="s">
        <v>1580</v>
      </c>
      <c r="J433" s="233"/>
      <c r="K433" s="235">
        <v>45904</v>
      </c>
      <c r="L433" s="233">
        <v>1.6</v>
      </c>
      <c r="M433" s="234" t="s">
        <v>954</v>
      </c>
      <c r="N433" s="234">
        <v>36840</v>
      </c>
      <c r="O433" s="234">
        <v>14820</v>
      </c>
      <c r="P433" s="242">
        <v>7</v>
      </c>
      <c r="Q433" s="234">
        <v>22020</v>
      </c>
      <c r="R433" s="234">
        <v>20478.599999999999</v>
      </c>
      <c r="S433" s="234" t="s">
        <v>1693</v>
      </c>
      <c r="T433" s="236">
        <v>45905</v>
      </c>
    </row>
    <row r="434" spans="1:20" ht="51" hidden="1">
      <c r="A434" s="239" t="s">
        <v>1623</v>
      </c>
      <c r="B434" s="240">
        <v>1458</v>
      </c>
      <c r="C434" s="241">
        <v>36985</v>
      </c>
      <c r="D434" s="239" t="s">
        <v>3819</v>
      </c>
      <c r="E434" s="239" t="s">
        <v>1422</v>
      </c>
      <c r="F434" s="239" t="s">
        <v>404</v>
      </c>
      <c r="G434" s="239" t="s">
        <v>954</v>
      </c>
      <c r="H434" s="239" t="s">
        <v>51</v>
      </c>
      <c r="I434" s="239" t="s">
        <v>1580</v>
      </c>
      <c r="J434" s="233"/>
      <c r="K434" s="235">
        <v>45904</v>
      </c>
      <c r="L434" s="233">
        <v>1.6</v>
      </c>
      <c r="M434" s="234" t="s">
        <v>954</v>
      </c>
      <c r="N434" s="234">
        <v>36040</v>
      </c>
      <c r="O434" s="234">
        <v>14480</v>
      </c>
      <c r="P434" s="242">
        <v>14</v>
      </c>
      <c r="Q434" s="234">
        <v>21560</v>
      </c>
      <c r="R434" s="234">
        <v>18541.599999999999</v>
      </c>
      <c r="S434" s="234" t="s">
        <v>1695</v>
      </c>
      <c r="T434" s="236">
        <v>45905</v>
      </c>
    </row>
    <row r="435" spans="1:20" ht="51" hidden="1">
      <c r="A435" s="239" t="s">
        <v>1624</v>
      </c>
      <c r="B435" s="240">
        <v>1459</v>
      </c>
      <c r="C435" s="241">
        <v>36987</v>
      </c>
      <c r="D435" s="239" t="s">
        <v>3819</v>
      </c>
      <c r="E435" s="239" t="s">
        <v>392</v>
      </c>
      <c r="F435" s="239" t="s">
        <v>393</v>
      </c>
      <c r="G435" s="239" t="s">
        <v>954</v>
      </c>
      <c r="H435" s="239" t="s">
        <v>51</v>
      </c>
      <c r="I435" s="239" t="s">
        <v>1580</v>
      </c>
      <c r="J435" s="233"/>
      <c r="K435" s="235">
        <v>45905</v>
      </c>
      <c r="L435" s="233">
        <v>0.5</v>
      </c>
      <c r="M435" s="234" t="s">
        <v>954</v>
      </c>
      <c r="N435" s="234">
        <v>47260</v>
      </c>
      <c r="O435" s="234">
        <v>23990</v>
      </c>
      <c r="P435" s="242">
        <v>19</v>
      </c>
      <c r="Q435" s="234">
        <v>23270</v>
      </c>
      <c r="R435" s="234">
        <v>18848.7</v>
      </c>
      <c r="S435" s="234" t="s">
        <v>1696</v>
      </c>
      <c r="T435" s="236">
        <v>45905</v>
      </c>
    </row>
    <row r="436" spans="1:20" ht="51" hidden="1">
      <c r="A436" s="239" t="s">
        <v>1617</v>
      </c>
      <c r="B436" s="240">
        <v>1460</v>
      </c>
      <c r="C436" s="241">
        <v>36989</v>
      </c>
      <c r="D436" s="239" t="s">
        <v>3819</v>
      </c>
      <c r="E436" s="239" t="s">
        <v>390</v>
      </c>
      <c r="F436" s="239" t="s">
        <v>391</v>
      </c>
      <c r="G436" s="239" t="s">
        <v>954</v>
      </c>
      <c r="H436" s="239" t="s">
        <v>51</v>
      </c>
      <c r="I436" s="239" t="s">
        <v>1580</v>
      </c>
      <c r="J436" s="233"/>
      <c r="K436" s="235">
        <v>45905</v>
      </c>
      <c r="L436" s="233">
        <v>0.5</v>
      </c>
      <c r="M436" s="234" t="s">
        <v>954</v>
      </c>
      <c r="N436" s="234">
        <v>37430</v>
      </c>
      <c r="O436" s="234">
        <v>14840</v>
      </c>
      <c r="P436" s="242">
        <v>11</v>
      </c>
      <c r="Q436" s="234">
        <v>22590</v>
      </c>
      <c r="R436" s="234">
        <v>20105.099999999999</v>
      </c>
      <c r="S436" s="234" t="s">
        <v>1689</v>
      </c>
      <c r="T436" s="236">
        <v>45905</v>
      </c>
    </row>
    <row r="437" spans="1:20" ht="51" hidden="1">
      <c r="A437" s="239" t="s">
        <v>1622</v>
      </c>
      <c r="B437" s="240">
        <v>1462</v>
      </c>
      <c r="C437" s="241">
        <v>36991</v>
      </c>
      <c r="D437" s="239" t="s">
        <v>3819</v>
      </c>
      <c r="E437" s="239" t="s">
        <v>388</v>
      </c>
      <c r="F437" s="239" t="s">
        <v>389</v>
      </c>
      <c r="G437" s="239" t="s">
        <v>954</v>
      </c>
      <c r="H437" s="239" t="s">
        <v>51</v>
      </c>
      <c r="I437" s="239" t="s">
        <v>1580</v>
      </c>
      <c r="J437" s="233"/>
      <c r="K437" s="235">
        <v>45905</v>
      </c>
      <c r="L437" s="233">
        <v>0.7</v>
      </c>
      <c r="M437" s="234" t="s">
        <v>954</v>
      </c>
      <c r="N437" s="234">
        <v>51650</v>
      </c>
      <c r="O437" s="234">
        <v>20960</v>
      </c>
      <c r="P437" s="242">
        <v>5</v>
      </c>
      <c r="Q437" s="234">
        <v>30690</v>
      </c>
      <c r="R437" s="234">
        <v>29155.5</v>
      </c>
      <c r="S437" s="234" t="s">
        <v>1694</v>
      </c>
      <c r="T437" s="236">
        <v>45905</v>
      </c>
    </row>
    <row r="438" spans="1:20" ht="51" hidden="1">
      <c r="A438" s="239" t="s">
        <v>1625</v>
      </c>
      <c r="B438" s="240">
        <v>1463</v>
      </c>
      <c r="C438" s="241">
        <v>36993</v>
      </c>
      <c r="D438" s="239" t="s">
        <v>3819</v>
      </c>
      <c r="E438" s="239" t="s">
        <v>1410</v>
      </c>
      <c r="F438" s="239" t="s">
        <v>437</v>
      </c>
      <c r="G438" s="239" t="s">
        <v>954</v>
      </c>
      <c r="H438" s="239" t="s">
        <v>51</v>
      </c>
      <c r="I438" s="239" t="s">
        <v>1580</v>
      </c>
      <c r="J438" s="233"/>
      <c r="K438" s="235">
        <v>45905</v>
      </c>
      <c r="L438" s="233">
        <v>0.5</v>
      </c>
      <c r="M438" s="234" t="s">
        <v>954</v>
      </c>
      <c r="N438" s="234">
        <v>39560</v>
      </c>
      <c r="O438" s="234">
        <v>14810</v>
      </c>
      <c r="P438" s="242">
        <v>8</v>
      </c>
      <c r="Q438" s="234">
        <v>24750</v>
      </c>
      <c r="R438" s="234">
        <v>22770</v>
      </c>
      <c r="S438" s="234" t="s">
        <v>1697</v>
      </c>
      <c r="T438" s="236">
        <v>45905</v>
      </c>
    </row>
    <row r="439" spans="1:20" ht="51" hidden="1">
      <c r="A439" s="239" t="s">
        <v>1616</v>
      </c>
      <c r="B439" s="240">
        <v>1457</v>
      </c>
      <c r="C439" s="241">
        <v>36983</v>
      </c>
      <c r="D439" s="239" t="s">
        <v>3819</v>
      </c>
      <c r="E439" s="239" t="s">
        <v>406</v>
      </c>
      <c r="F439" s="239" t="s">
        <v>407</v>
      </c>
      <c r="G439" s="239" t="s">
        <v>954</v>
      </c>
      <c r="H439" s="239" t="s">
        <v>51</v>
      </c>
      <c r="I439" s="239" t="s">
        <v>1580</v>
      </c>
      <c r="J439" s="233"/>
      <c r="K439" s="235">
        <v>45904</v>
      </c>
      <c r="L439" s="233">
        <v>1.8</v>
      </c>
      <c r="M439" s="234" t="s">
        <v>954</v>
      </c>
      <c r="N439" s="234">
        <v>39030</v>
      </c>
      <c r="O439" s="234">
        <v>14990</v>
      </c>
      <c r="P439" s="242">
        <v>7</v>
      </c>
      <c r="Q439" s="234">
        <v>24040</v>
      </c>
      <c r="R439" s="234">
        <v>22357.200000000001</v>
      </c>
      <c r="S439" s="234" t="s">
        <v>1688</v>
      </c>
      <c r="T439" s="236">
        <v>45905</v>
      </c>
    </row>
    <row r="440" spans="1:20" ht="51" hidden="1">
      <c r="A440" s="239" t="s">
        <v>1626</v>
      </c>
      <c r="B440" s="240">
        <v>1464</v>
      </c>
      <c r="C440" s="241">
        <v>36995</v>
      </c>
      <c r="D440" s="239" t="s">
        <v>3819</v>
      </c>
      <c r="E440" s="239" t="s">
        <v>439</v>
      </c>
      <c r="F440" s="239" t="s">
        <v>440</v>
      </c>
      <c r="G440" s="239" t="s">
        <v>954</v>
      </c>
      <c r="H440" s="239" t="s">
        <v>51</v>
      </c>
      <c r="I440" s="239" t="s">
        <v>1580</v>
      </c>
      <c r="J440" s="233"/>
      <c r="K440" s="235">
        <v>45905</v>
      </c>
      <c r="L440" s="233">
        <v>0.5</v>
      </c>
      <c r="M440" s="234" t="s">
        <v>954</v>
      </c>
      <c r="N440" s="234">
        <v>41610</v>
      </c>
      <c r="O440" s="234">
        <v>14950</v>
      </c>
      <c r="P440" s="242">
        <v>9</v>
      </c>
      <c r="Q440" s="234">
        <v>26660</v>
      </c>
      <c r="R440" s="234">
        <v>24260.6</v>
      </c>
      <c r="S440" s="234" t="s">
        <v>1698</v>
      </c>
      <c r="T440" s="236">
        <v>45905</v>
      </c>
    </row>
    <row r="441" spans="1:20" ht="51" hidden="1">
      <c r="A441" s="239" t="s">
        <v>1628</v>
      </c>
      <c r="B441" s="240">
        <v>1468</v>
      </c>
      <c r="C441" s="241">
        <v>37137</v>
      </c>
      <c r="D441" s="239" t="s">
        <v>3819</v>
      </c>
      <c r="E441" s="239" t="s">
        <v>794</v>
      </c>
      <c r="F441" s="239" t="s">
        <v>795</v>
      </c>
      <c r="G441" s="239" t="s">
        <v>948</v>
      </c>
      <c r="H441" s="239" t="s">
        <v>51</v>
      </c>
      <c r="I441" s="239" t="s">
        <v>1580</v>
      </c>
      <c r="J441" s="233"/>
      <c r="K441" s="235">
        <v>45907</v>
      </c>
      <c r="L441" s="233">
        <v>2</v>
      </c>
      <c r="M441" s="234" t="s">
        <v>948</v>
      </c>
      <c r="N441" s="234">
        <v>42420</v>
      </c>
      <c r="O441" s="234">
        <v>16040</v>
      </c>
      <c r="P441" s="242">
        <v>11</v>
      </c>
      <c r="Q441" s="234">
        <v>26380</v>
      </c>
      <c r="R441" s="234">
        <v>23478.2</v>
      </c>
      <c r="S441" s="234" t="s">
        <v>1700</v>
      </c>
      <c r="T441" s="236">
        <v>45907</v>
      </c>
    </row>
    <row r="442" spans="1:20" ht="51" hidden="1">
      <c r="A442" s="239" t="s">
        <v>1627</v>
      </c>
      <c r="B442" s="240">
        <v>1469</v>
      </c>
      <c r="C442" s="241">
        <v>37139</v>
      </c>
      <c r="D442" s="239" t="s">
        <v>3819</v>
      </c>
      <c r="E442" s="239" t="s">
        <v>841</v>
      </c>
      <c r="F442" s="239" t="s">
        <v>845</v>
      </c>
      <c r="G442" s="239" t="s">
        <v>948</v>
      </c>
      <c r="H442" s="239" t="s">
        <v>51</v>
      </c>
      <c r="I442" s="239" t="s">
        <v>1580</v>
      </c>
      <c r="J442" s="233"/>
      <c r="K442" s="235">
        <v>45907</v>
      </c>
      <c r="L442" s="233">
        <v>2</v>
      </c>
      <c r="M442" s="234" t="s">
        <v>948</v>
      </c>
      <c r="N442" s="234">
        <v>41610</v>
      </c>
      <c r="O442" s="234">
        <v>15860</v>
      </c>
      <c r="P442" s="242">
        <v>24</v>
      </c>
      <c r="Q442" s="234">
        <v>25750</v>
      </c>
      <c r="R442" s="234">
        <v>19570</v>
      </c>
      <c r="S442" s="234" t="s">
        <v>1699</v>
      </c>
      <c r="T442" s="236">
        <v>45907</v>
      </c>
    </row>
    <row r="443" spans="1:20" ht="51" hidden="1">
      <c r="A443" s="239" t="s">
        <v>1629</v>
      </c>
      <c r="B443" s="240">
        <v>1470</v>
      </c>
      <c r="C443" s="241">
        <v>37141</v>
      </c>
      <c r="D443" s="239" t="s">
        <v>3819</v>
      </c>
      <c r="E443" s="239" t="s">
        <v>783</v>
      </c>
      <c r="F443" s="239" t="s">
        <v>784</v>
      </c>
      <c r="G443" s="239" t="s">
        <v>948</v>
      </c>
      <c r="H443" s="239" t="s">
        <v>51</v>
      </c>
      <c r="I443" s="239" t="s">
        <v>1580</v>
      </c>
      <c r="J443" s="233"/>
      <c r="K443" s="235">
        <v>45907</v>
      </c>
      <c r="L443" s="233">
        <v>1.9</v>
      </c>
      <c r="M443" s="234" t="s">
        <v>948</v>
      </c>
      <c r="N443" s="234">
        <v>39610</v>
      </c>
      <c r="O443" s="234">
        <v>14530</v>
      </c>
      <c r="P443" s="242">
        <v>15</v>
      </c>
      <c r="Q443" s="234">
        <v>25080</v>
      </c>
      <c r="R443" s="234">
        <v>21318</v>
      </c>
      <c r="S443" s="234" t="s">
        <v>1701</v>
      </c>
      <c r="T443" s="236">
        <v>45907</v>
      </c>
    </row>
    <row r="444" spans="1:20" ht="51" hidden="1">
      <c r="A444" s="239" t="s">
        <v>1631</v>
      </c>
      <c r="B444" s="240">
        <v>1471</v>
      </c>
      <c r="C444" s="241">
        <v>37143</v>
      </c>
      <c r="D444" s="239" t="s">
        <v>3819</v>
      </c>
      <c r="E444" s="239" t="s">
        <v>791</v>
      </c>
      <c r="F444" s="239" t="s">
        <v>792</v>
      </c>
      <c r="G444" s="239" t="s">
        <v>948</v>
      </c>
      <c r="H444" s="239" t="s">
        <v>51</v>
      </c>
      <c r="I444" s="239" t="s">
        <v>1580</v>
      </c>
      <c r="J444" s="233"/>
      <c r="K444" s="235">
        <v>45907</v>
      </c>
      <c r="L444" s="233">
        <v>1.9</v>
      </c>
      <c r="M444" s="234" t="s">
        <v>948</v>
      </c>
      <c r="N444" s="234">
        <v>39580</v>
      </c>
      <c r="O444" s="234">
        <v>14880</v>
      </c>
      <c r="P444" s="242">
        <v>14</v>
      </c>
      <c r="Q444" s="234">
        <v>24700</v>
      </c>
      <c r="R444" s="234">
        <v>21242</v>
      </c>
      <c r="S444" s="234" t="s">
        <v>1703</v>
      </c>
      <c r="T444" s="236">
        <v>45908</v>
      </c>
    </row>
    <row r="445" spans="1:20" ht="51" hidden="1">
      <c r="A445" s="239" t="s">
        <v>1632</v>
      </c>
      <c r="B445" s="240">
        <v>1472</v>
      </c>
      <c r="C445" s="241">
        <v>37149</v>
      </c>
      <c r="D445" s="239" t="s">
        <v>3819</v>
      </c>
      <c r="E445" s="239" t="s">
        <v>1403</v>
      </c>
      <c r="F445" s="239" t="s">
        <v>1404</v>
      </c>
      <c r="G445" s="239" t="s">
        <v>948</v>
      </c>
      <c r="H445" s="239" t="s">
        <v>51</v>
      </c>
      <c r="I445" s="239" t="s">
        <v>1580</v>
      </c>
      <c r="J445" s="233"/>
      <c r="K445" s="235">
        <v>45907</v>
      </c>
      <c r="L445" s="233">
        <v>1.8</v>
      </c>
      <c r="M445" s="234" t="s">
        <v>948</v>
      </c>
      <c r="N445" s="234">
        <v>38850</v>
      </c>
      <c r="O445" s="234">
        <v>14940</v>
      </c>
      <c r="P445" s="242">
        <v>20</v>
      </c>
      <c r="Q445" s="234">
        <v>23910</v>
      </c>
      <c r="R445" s="234">
        <v>19128</v>
      </c>
      <c r="S445" s="234" t="s">
        <v>1704</v>
      </c>
      <c r="T445" s="236">
        <v>45908</v>
      </c>
    </row>
    <row r="446" spans="1:20" ht="51" hidden="1">
      <c r="A446" s="239" t="s">
        <v>1633</v>
      </c>
      <c r="B446" s="240">
        <v>1473</v>
      </c>
      <c r="C446" s="241">
        <v>37145</v>
      </c>
      <c r="D446" s="239" t="s">
        <v>3819</v>
      </c>
      <c r="E446" s="239" t="s">
        <v>1397</v>
      </c>
      <c r="F446" s="239" t="s">
        <v>1398</v>
      </c>
      <c r="G446" s="239" t="s">
        <v>948</v>
      </c>
      <c r="H446" s="239" t="s">
        <v>51</v>
      </c>
      <c r="I446" s="239" t="s">
        <v>1580</v>
      </c>
      <c r="J446" s="233"/>
      <c r="K446" s="235">
        <v>45907</v>
      </c>
      <c r="L446" s="233">
        <v>2</v>
      </c>
      <c r="M446" s="234" t="s">
        <v>948</v>
      </c>
      <c r="N446" s="234">
        <v>42930</v>
      </c>
      <c r="O446" s="234">
        <v>17090</v>
      </c>
      <c r="P446" s="242">
        <v>16</v>
      </c>
      <c r="Q446" s="234">
        <v>25840</v>
      </c>
      <c r="R446" s="234">
        <v>21705.599999999999</v>
      </c>
      <c r="S446" s="234" t="s">
        <v>1705</v>
      </c>
      <c r="T446" s="236">
        <v>45908</v>
      </c>
    </row>
    <row r="447" spans="1:20" ht="51" hidden="1">
      <c r="A447" s="239" t="s">
        <v>1634</v>
      </c>
      <c r="B447" s="240">
        <v>1474</v>
      </c>
      <c r="C447" s="241">
        <v>37147</v>
      </c>
      <c r="D447" s="239" t="s">
        <v>3819</v>
      </c>
      <c r="E447" s="239" t="s">
        <v>1400</v>
      </c>
      <c r="F447" s="239" t="s">
        <v>1401</v>
      </c>
      <c r="G447" s="239" t="s">
        <v>948</v>
      </c>
      <c r="H447" s="239" t="s">
        <v>51</v>
      </c>
      <c r="I447" s="239" t="s">
        <v>1580</v>
      </c>
      <c r="J447" s="233"/>
      <c r="K447" s="235">
        <v>45907</v>
      </c>
      <c r="L447" s="233">
        <v>1.6</v>
      </c>
      <c r="M447" s="234" t="s">
        <v>948</v>
      </c>
      <c r="N447" s="234">
        <v>36570</v>
      </c>
      <c r="O447" s="234">
        <v>14800</v>
      </c>
      <c r="P447" s="242">
        <v>9</v>
      </c>
      <c r="Q447" s="234">
        <v>21770</v>
      </c>
      <c r="R447" s="234">
        <v>19810.7</v>
      </c>
      <c r="S447" s="234" t="s">
        <v>1706</v>
      </c>
      <c r="T447" s="236">
        <v>45908</v>
      </c>
    </row>
    <row r="448" spans="1:20" ht="51" hidden="1">
      <c r="A448" s="239" t="s">
        <v>1635</v>
      </c>
      <c r="B448" s="240">
        <v>1475</v>
      </c>
      <c r="C448" s="241">
        <v>37153</v>
      </c>
      <c r="D448" s="239" t="s">
        <v>3819</v>
      </c>
      <c r="E448" s="239" t="s">
        <v>462</v>
      </c>
      <c r="F448" s="239" t="s">
        <v>463</v>
      </c>
      <c r="G448" s="239" t="s">
        <v>948</v>
      </c>
      <c r="H448" s="239" t="s">
        <v>51</v>
      </c>
      <c r="I448" s="239" t="s">
        <v>1580</v>
      </c>
      <c r="J448" s="233"/>
      <c r="K448" s="235">
        <v>45907</v>
      </c>
      <c r="L448" s="233">
        <v>1.7</v>
      </c>
      <c r="M448" s="234" t="s">
        <v>948</v>
      </c>
      <c r="N448" s="234">
        <v>39260</v>
      </c>
      <c r="O448" s="234">
        <v>16260</v>
      </c>
      <c r="P448" s="242">
        <v>6</v>
      </c>
      <c r="Q448" s="234">
        <v>23000</v>
      </c>
      <c r="R448" s="234">
        <v>21620</v>
      </c>
      <c r="S448" s="234" t="s">
        <v>1707</v>
      </c>
      <c r="T448" s="236">
        <v>45908</v>
      </c>
    </row>
    <row r="449" spans="1:20" ht="51" hidden="1">
      <c r="A449" s="239" t="s">
        <v>1636</v>
      </c>
      <c r="B449" s="240">
        <v>1476</v>
      </c>
      <c r="C449" s="241">
        <v>37155</v>
      </c>
      <c r="D449" s="239" t="s">
        <v>3819</v>
      </c>
      <c r="E449" s="239" t="s">
        <v>384</v>
      </c>
      <c r="F449" s="239" t="s">
        <v>385</v>
      </c>
      <c r="G449" s="239" t="s">
        <v>948</v>
      </c>
      <c r="H449" s="239" t="s">
        <v>51</v>
      </c>
      <c r="I449" s="239" t="s">
        <v>1580</v>
      </c>
      <c r="J449" s="233"/>
      <c r="K449" s="235">
        <v>45907</v>
      </c>
      <c r="L449" s="233">
        <v>1.7</v>
      </c>
      <c r="M449" s="234" t="s">
        <v>948</v>
      </c>
      <c r="N449" s="234">
        <v>35730</v>
      </c>
      <c r="O449" s="234">
        <v>13880</v>
      </c>
      <c r="P449" s="242">
        <v>21</v>
      </c>
      <c r="Q449" s="234">
        <v>21850</v>
      </c>
      <c r="R449" s="234">
        <v>17261.5</v>
      </c>
      <c r="S449" s="234" t="s">
        <v>1708</v>
      </c>
      <c r="T449" s="236">
        <v>45908</v>
      </c>
    </row>
    <row r="450" spans="1:20" ht="51" hidden="1">
      <c r="A450" s="239" t="s">
        <v>1637</v>
      </c>
      <c r="B450" s="240">
        <v>1477</v>
      </c>
      <c r="C450" s="241">
        <v>37151</v>
      </c>
      <c r="D450" s="239" t="s">
        <v>3819</v>
      </c>
      <c r="E450" s="239" t="s">
        <v>786</v>
      </c>
      <c r="F450" s="239" t="s">
        <v>787</v>
      </c>
      <c r="G450" s="239" t="s">
        <v>948</v>
      </c>
      <c r="H450" s="239" t="s">
        <v>51</v>
      </c>
      <c r="I450" s="239" t="s">
        <v>1580</v>
      </c>
      <c r="J450" s="233"/>
      <c r="K450" s="235">
        <v>45907</v>
      </c>
      <c r="L450" s="233">
        <v>1.6</v>
      </c>
      <c r="M450" s="234" t="s">
        <v>948</v>
      </c>
      <c r="N450" s="234">
        <v>35690</v>
      </c>
      <c r="O450" s="234">
        <v>13930</v>
      </c>
      <c r="P450" s="242">
        <v>15</v>
      </c>
      <c r="Q450" s="234">
        <v>21760</v>
      </c>
      <c r="R450" s="234">
        <v>18496</v>
      </c>
      <c r="S450" s="234" t="s">
        <v>1709</v>
      </c>
      <c r="T450" s="236">
        <v>45908</v>
      </c>
    </row>
    <row r="451" spans="1:20" ht="51" hidden="1">
      <c r="A451" s="239" t="s">
        <v>1638</v>
      </c>
      <c r="B451" s="240">
        <v>1479</v>
      </c>
      <c r="C451" s="241">
        <v>37157</v>
      </c>
      <c r="D451" s="239" t="s">
        <v>3819</v>
      </c>
      <c r="E451" s="239" t="s">
        <v>377</v>
      </c>
      <c r="F451" s="239" t="s">
        <v>378</v>
      </c>
      <c r="G451" s="239" t="s">
        <v>948</v>
      </c>
      <c r="H451" s="239" t="s">
        <v>51</v>
      </c>
      <c r="I451" s="239" t="s">
        <v>1580</v>
      </c>
      <c r="J451" s="233"/>
      <c r="K451" s="235">
        <v>45907</v>
      </c>
      <c r="L451" s="233">
        <v>2</v>
      </c>
      <c r="M451" s="234" t="s">
        <v>948</v>
      </c>
      <c r="N451" s="234">
        <v>41690</v>
      </c>
      <c r="O451" s="234">
        <v>15070</v>
      </c>
      <c r="P451" s="242">
        <v>16</v>
      </c>
      <c r="Q451" s="234">
        <v>26620</v>
      </c>
      <c r="R451" s="234">
        <v>22360.799999999999</v>
      </c>
      <c r="S451" s="234" t="s">
        <v>1710</v>
      </c>
      <c r="T451" s="236">
        <v>45908</v>
      </c>
    </row>
    <row r="452" spans="1:20" ht="51" hidden="1">
      <c r="A452" s="239" t="s">
        <v>1630</v>
      </c>
      <c r="B452" s="240">
        <v>1482</v>
      </c>
      <c r="C452" s="241">
        <v>37159</v>
      </c>
      <c r="D452" s="239" t="s">
        <v>3819</v>
      </c>
      <c r="E452" s="239" t="s">
        <v>472</v>
      </c>
      <c r="F452" s="239" t="s">
        <v>473</v>
      </c>
      <c r="G452" s="239" t="s">
        <v>948</v>
      </c>
      <c r="H452" s="239" t="s">
        <v>51</v>
      </c>
      <c r="I452" s="239" t="s">
        <v>1580</v>
      </c>
      <c r="J452" s="233"/>
      <c r="K452" s="235">
        <v>45907</v>
      </c>
      <c r="L452" s="233">
        <v>1.8</v>
      </c>
      <c r="M452" s="234" t="s">
        <v>948</v>
      </c>
      <c r="N452" s="234">
        <v>40420</v>
      </c>
      <c r="O452" s="234">
        <v>16500</v>
      </c>
      <c r="P452" s="242">
        <v>12</v>
      </c>
      <c r="Q452" s="234">
        <v>23920</v>
      </c>
      <c r="R452" s="234">
        <v>21049.599999999999</v>
      </c>
      <c r="S452" s="234" t="s">
        <v>1702</v>
      </c>
      <c r="T452" s="236">
        <v>45908</v>
      </c>
    </row>
    <row r="453" spans="1:20" ht="51" hidden="1">
      <c r="A453" s="239" t="s">
        <v>1639</v>
      </c>
      <c r="B453" s="240">
        <v>1483</v>
      </c>
      <c r="C453" s="241">
        <v>37161</v>
      </c>
      <c r="D453" s="239" t="s">
        <v>3819</v>
      </c>
      <c r="E453" s="239" t="s">
        <v>475</v>
      </c>
      <c r="F453" s="239" t="s">
        <v>476</v>
      </c>
      <c r="G453" s="239" t="s">
        <v>948</v>
      </c>
      <c r="H453" s="239" t="s">
        <v>51</v>
      </c>
      <c r="I453" s="239" t="s">
        <v>1580</v>
      </c>
      <c r="J453" s="233"/>
      <c r="K453" s="235">
        <v>45907</v>
      </c>
      <c r="L453" s="233">
        <v>1.7</v>
      </c>
      <c r="M453" s="234" t="s">
        <v>948</v>
      </c>
      <c r="N453" s="234">
        <v>38710</v>
      </c>
      <c r="O453" s="234">
        <v>16310</v>
      </c>
      <c r="P453" s="242">
        <v>19</v>
      </c>
      <c r="Q453" s="234">
        <v>22400</v>
      </c>
      <c r="R453" s="234">
        <v>18144</v>
      </c>
      <c r="S453" s="234" t="s">
        <v>1711</v>
      </c>
      <c r="T453" s="236">
        <v>45908</v>
      </c>
    </row>
    <row r="454" spans="1:20" ht="51" hidden="1">
      <c r="A454" s="239" t="s">
        <v>1640</v>
      </c>
      <c r="B454" s="240">
        <v>1487</v>
      </c>
      <c r="C454" s="241">
        <v>37163</v>
      </c>
      <c r="D454" s="239" t="s">
        <v>3819</v>
      </c>
      <c r="E454" s="239" t="s">
        <v>369</v>
      </c>
      <c r="F454" s="239" t="s">
        <v>370</v>
      </c>
      <c r="G454" s="239" t="s">
        <v>948</v>
      </c>
      <c r="H454" s="239" t="s">
        <v>51</v>
      </c>
      <c r="I454" s="239" t="s">
        <v>1580</v>
      </c>
      <c r="J454" s="233"/>
      <c r="K454" s="235">
        <v>45907</v>
      </c>
      <c r="L454" s="233">
        <v>1.8</v>
      </c>
      <c r="M454" s="234" t="s">
        <v>948</v>
      </c>
      <c r="N454" s="234">
        <v>38340</v>
      </c>
      <c r="O454" s="234">
        <v>15030</v>
      </c>
      <c r="P454" s="242">
        <v>11</v>
      </c>
      <c r="Q454" s="234">
        <v>23310</v>
      </c>
      <c r="R454" s="234">
        <v>20745.900000000001</v>
      </c>
      <c r="S454" s="234" t="s">
        <v>1712</v>
      </c>
      <c r="T454" s="236">
        <v>45908</v>
      </c>
    </row>
    <row r="455" spans="1:20" ht="51" hidden="1">
      <c r="A455" s="239" t="s">
        <v>1641</v>
      </c>
      <c r="B455" s="240">
        <v>1488</v>
      </c>
      <c r="C455" s="241">
        <v>37167</v>
      </c>
      <c r="D455" s="239" t="s">
        <v>3819</v>
      </c>
      <c r="E455" s="239" t="s">
        <v>374</v>
      </c>
      <c r="F455" s="239" t="s">
        <v>375</v>
      </c>
      <c r="G455" s="239" t="s">
        <v>948</v>
      </c>
      <c r="H455" s="239" t="s">
        <v>51</v>
      </c>
      <c r="I455" s="239" t="s">
        <v>1580</v>
      </c>
      <c r="J455" s="233"/>
      <c r="K455" s="235">
        <v>45907</v>
      </c>
      <c r="L455" s="233">
        <v>1.7</v>
      </c>
      <c r="M455" s="234" t="s">
        <v>948</v>
      </c>
      <c r="N455" s="234">
        <v>38340</v>
      </c>
      <c r="O455" s="234">
        <v>15540</v>
      </c>
      <c r="P455" s="242">
        <v>15</v>
      </c>
      <c r="Q455" s="234">
        <v>22800</v>
      </c>
      <c r="R455" s="234">
        <v>19380</v>
      </c>
      <c r="S455" s="234" t="s">
        <v>1713</v>
      </c>
      <c r="T455" s="236">
        <v>45908</v>
      </c>
    </row>
    <row r="456" spans="1:20" ht="51" hidden="1">
      <c r="A456" s="239" t="s">
        <v>1642</v>
      </c>
      <c r="B456" s="240">
        <v>1489</v>
      </c>
      <c r="C456" s="241">
        <v>37165</v>
      </c>
      <c r="D456" s="239" t="s">
        <v>3819</v>
      </c>
      <c r="E456" s="239" t="s">
        <v>380</v>
      </c>
      <c r="F456" s="239" t="s">
        <v>381</v>
      </c>
      <c r="G456" s="239" t="s">
        <v>948</v>
      </c>
      <c r="H456" s="239" t="s">
        <v>51</v>
      </c>
      <c r="I456" s="239" t="s">
        <v>1580</v>
      </c>
      <c r="J456" s="233"/>
      <c r="K456" s="235">
        <v>45907</v>
      </c>
      <c r="L456" s="233">
        <v>1.9</v>
      </c>
      <c r="M456" s="234" t="s">
        <v>948</v>
      </c>
      <c r="N456" s="234">
        <v>39840</v>
      </c>
      <c r="O456" s="234">
        <v>15030</v>
      </c>
      <c r="P456" s="242">
        <v>14</v>
      </c>
      <c r="Q456" s="234">
        <v>24810</v>
      </c>
      <c r="R456" s="234">
        <v>21336.6</v>
      </c>
      <c r="S456" s="234" t="s">
        <v>1714</v>
      </c>
      <c r="T456" s="236">
        <v>45908</v>
      </c>
    </row>
    <row r="457" spans="1:20" ht="51" hidden="1">
      <c r="A457" s="239" t="s">
        <v>1643</v>
      </c>
      <c r="B457" s="240">
        <v>1491</v>
      </c>
      <c r="C457" s="241">
        <v>37169</v>
      </c>
      <c r="D457" s="239" t="s">
        <v>3819</v>
      </c>
      <c r="E457" s="239" t="s">
        <v>858</v>
      </c>
      <c r="F457" s="239" t="s">
        <v>859</v>
      </c>
      <c r="G457" s="239" t="s">
        <v>948</v>
      </c>
      <c r="H457" s="239" t="s">
        <v>51</v>
      </c>
      <c r="I457" s="239" t="s">
        <v>1580</v>
      </c>
      <c r="J457" s="233"/>
      <c r="K457" s="235">
        <v>45907</v>
      </c>
      <c r="L457" s="233">
        <v>1.8</v>
      </c>
      <c r="M457" s="234" t="s">
        <v>948</v>
      </c>
      <c r="N457" s="234">
        <v>38090</v>
      </c>
      <c r="O457" s="234">
        <v>14680</v>
      </c>
      <c r="P457" s="242">
        <v>9</v>
      </c>
      <c r="Q457" s="234">
        <v>23410</v>
      </c>
      <c r="R457" s="234">
        <v>21303.1</v>
      </c>
      <c r="S457" s="234" t="s">
        <v>1715</v>
      </c>
      <c r="T457" s="236">
        <v>45908</v>
      </c>
    </row>
    <row r="458" spans="1:20" ht="51" hidden="1">
      <c r="A458" s="239" t="s">
        <v>1644</v>
      </c>
      <c r="B458" s="240">
        <v>1494</v>
      </c>
      <c r="C458" s="241">
        <v>37171</v>
      </c>
      <c r="D458" s="239" t="s">
        <v>3819</v>
      </c>
      <c r="E458" s="239" t="s">
        <v>400</v>
      </c>
      <c r="F458" s="239" t="s">
        <v>401</v>
      </c>
      <c r="G458" s="239" t="s">
        <v>948</v>
      </c>
      <c r="H458" s="239" t="s">
        <v>51</v>
      </c>
      <c r="I458" s="239" t="s">
        <v>1580</v>
      </c>
      <c r="J458" s="233"/>
      <c r="K458" s="235">
        <v>45907</v>
      </c>
      <c r="L458" s="233">
        <v>1.7</v>
      </c>
      <c r="M458" s="234" t="s">
        <v>948</v>
      </c>
      <c r="N458" s="234">
        <v>37670</v>
      </c>
      <c r="O458" s="234">
        <v>14680</v>
      </c>
      <c r="P458" s="242">
        <v>8</v>
      </c>
      <c r="Q458" s="234">
        <v>22990</v>
      </c>
      <c r="R458" s="234">
        <v>21150.799999999999</v>
      </c>
      <c r="S458" s="234" t="s">
        <v>1716</v>
      </c>
      <c r="T458" s="236">
        <v>45908</v>
      </c>
    </row>
    <row r="459" spans="1:20" ht="51" hidden="1">
      <c r="A459" s="239" t="s">
        <v>1645</v>
      </c>
      <c r="B459" s="240">
        <v>1495</v>
      </c>
      <c r="C459" s="241">
        <v>37173</v>
      </c>
      <c r="D459" s="239" t="s">
        <v>3819</v>
      </c>
      <c r="E459" s="239" t="s">
        <v>372</v>
      </c>
      <c r="F459" s="239" t="s">
        <v>373</v>
      </c>
      <c r="G459" s="239" t="s">
        <v>948</v>
      </c>
      <c r="H459" s="239" t="s">
        <v>51</v>
      </c>
      <c r="I459" s="239" t="s">
        <v>1580</v>
      </c>
      <c r="J459" s="233"/>
      <c r="K459" s="235">
        <v>45907</v>
      </c>
      <c r="L459" s="233">
        <v>1.9</v>
      </c>
      <c r="M459" s="234" t="s">
        <v>948</v>
      </c>
      <c r="N459" s="234">
        <v>39320</v>
      </c>
      <c r="O459" s="234">
        <v>14830</v>
      </c>
      <c r="P459" s="242">
        <v>9</v>
      </c>
      <c r="Q459" s="234">
        <v>24490</v>
      </c>
      <c r="R459" s="234">
        <v>22285.9</v>
      </c>
      <c r="S459" s="234" t="s">
        <v>1717</v>
      </c>
      <c r="T459" s="236">
        <v>45908</v>
      </c>
    </row>
    <row r="460" spans="1:20" ht="51" hidden="1">
      <c r="A460" s="239" t="s">
        <v>1646</v>
      </c>
      <c r="B460" s="240">
        <v>1496</v>
      </c>
      <c r="C460" s="241">
        <v>37175</v>
      </c>
      <c r="D460" s="239" t="s">
        <v>3819</v>
      </c>
      <c r="E460" s="239" t="s">
        <v>1305</v>
      </c>
      <c r="F460" s="239" t="s">
        <v>1306</v>
      </c>
      <c r="G460" s="239" t="s">
        <v>948</v>
      </c>
      <c r="H460" s="239" t="s">
        <v>51</v>
      </c>
      <c r="I460" s="239" t="s">
        <v>1580</v>
      </c>
      <c r="J460" s="233"/>
      <c r="K460" s="235">
        <v>45907</v>
      </c>
      <c r="L460" s="233">
        <v>1.6</v>
      </c>
      <c r="M460" s="234" t="s">
        <v>948</v>
      </c>
      <c r="N460" s="234">
        <v>35230</v>
      </c>
      <c r="O460" s="234">
        <v>14680</v>
      </c>
      <c r="P460" s="242">
        <v>12</v>
      </c>
      <c r="Q460" s="234">
        <v>20550</v>
      </c>
      <c r="R460" s="234">
        <v>18084</v>
      </c>
      <c r="S460" s="234" t="s">
        <v>1718</v>
      </c>
      <c r="T460" s="236">
        <v>45908</v>
      </c>
    </row>
    <row r="461" spans="1:20" ht="51" hidden="1">
      <c r="A461" s="239" t="s">
        <v>1652</v>
      </c>
      <c r="B461" s="240">
        <v>1500</v>
      </c>
      <c r="C461" s="241">
        <v>37177</v>
      </c>
      <c r="D461" s="239" t="s">
        <v>3819</v>
      </c>
      <c r="E461" s="239" t="s">
        <v>403</v>
      </c>
      <c r="F461" s="239" t="s">
        <v>404</v>
      </c>
      <c r="G461" s="239" t="s">
        <v>948</v>
      </c>
      <c r="H461" s="239" t="s">
        <v>51</v>
      </c>
      <c r="I461" s="239" t="s">
        <v>1580</v>
      </c>
      <c r="J461" s="233"/>
      <c r="K461" s="235">
        <v>45908</v>
      </c>
      <c r="L461" s="233">
        <v>1.6</v>
      </c>
      <c r="M461" s="234" t="s">
        <v>948</v>
      </c>
      <c r="N461" s="234">
        <v>39450</v>
      </c>
      <c r="O461" s="234">
        <v>14520</v>
      </c>
      <c r="P461" s="242">
        <v>6</v>
      </c>
      <c r="Q461" s="234">
        <v>24930</v>
      </c>
      <c r="R461" s="234">
        <v>23434.2</v>
      </c>
      <c r="S461" s="234" t="s">
        <v>1722</v>
      </c>
      <c r="T461" s="236">
        <v>45908</v>
      </c>
    </row>
    <row r="462" spans="1:20" ht="51" hidden="1">
      <c r="A462" s="239" t="s">
        <v>1653</v>
      </c>
      <c r="B462" s="240">
        <v>1501</v>
      </c>
      <c r="C462" s="241">
        <v>37179</v>
      </c>
      <c r="D462" s="239" t="s">
        <v>3819</v>
      </c>
      <c r="E462" s="239" t="s">
        <v>406</v>
      </c>
      <c r="F462" s="239" t="s">
        <v>407</v>
      </c>
      <c r="G462" s="239" t="s">
        <v>948</v>
      </c>
      <c r="H462" s="239" t="s">
        <v>51</v>
      </c>
      <c r="I462" s="239" t="s">
        <v>1580</v>
      </c>
      <c r="J462" s="233"/>
      <c r="K462" s="235">
        <v>45908</v>
      </c>
      <c r="L462" s="233">
        <v>1.6</v>
      </c>
      <c r="M462" s="234" t="s">
        <v>948</v>
      </c>
      <c r="N462" s="234">
        <v>40120</v>
      </c>
      <c r="O462" s="234">
        <v>14970</v>
      </c>
      <c r="P462" s="242">
        <v>7</v>
      </c>
      <c r="Q462" s="234">
        <v>25150</v>
      </c>
      <c r="R462" s="234">
        <v>23389.5</v>
      </c>
      <c r="S462" s="234" t="s">
        <v>1723</v>
      </c>
      <c r="T462" s="236">
        <v>45908</v>
      </c>
    </row>
    <row r="463" spans="1:20" ht="51" hidden="1">
      <c r="A463" s="239" t="s">
        <v>1654</v>
      </c>
      <c r="B463" s="240">
        <v>1503</v>
      </c>
      <c r="C463" s="241">
        <v>37181</v>
      </c>
      <c r="D463" s="239" t="s">
        <v>3819</v>
      </c>
      <c r="E463" s="239" t="s">
        <v>780</v>
      </c>
      <c r="F463" s="239" t="s">
        <v>781</v>
      </c>
      <c r="G463" s="239" t="s">
        <v>948</v>
      </c>
      <c r="H463" s="239" t="s">
        <v>51</v>
      </c>
      <c r="I463" s="239" t="s">
        <v>1580</v>
      </c>
      <c r="J463" s="233"/>
      <c r="K463" s="235">
        <v>45908</v>
      </c>
      <c r="L463" s="233">
        <v>1.3</v>
      </c>
      <c r="M463" s="234" t="s">
        <v>948</v>
      </c>
      <c r="N463" s="234">
        <v>36000</v>
      </c>
      <c r="O463" s="234">
        <v>14780</v>
      </c>
      <c r="P463" s="242">
        <v>6</v>
      </c>
      <c r="Q463" s="234">
        <v>21220</v>
      </c>
      <c r="R463" s="234">
        <v>19946.8</v>
      </c>
      <c r="S463" s="234" t="s">
        <v>1724</v>
      </c>
      <c r="T463" s="236">
        <v>45908</v>
      </c>
    </row>
    <row r="464" spans="1:20" ht="51" hidden="1">
      <c r="A464" s="239" t="s">
        <v>1656</v>
      </c>
      <c r="B464" s="240">
        <v>1504</v>
      </c>
      <c r="C464" s="241">
        <v>37183</v>
      </c>
      <c r="D464" s="239" t="s">
        <v>3819</v>
      </c>
      <c r="E464" s="239" t="s">
        <v>410</v>
      </c>
      <c r="F464" s="239" t="s">
        <v>411</v>
      </c>
      <c r="G464" s="239" t="s">
        <v>948</v>
      </c>
      <c r="H464" s="239" t="s">
        <v>51</v>
      </c>
      <c r="I464" s="239" t="s">
        <v>1580</v>
      </c>
      <c r="J464" s="233"/>
      <c r="K464" s="235">
        <v>45908</v>
      </c>
      <c r="L464" s="233">
        <v>1.5</v>
      </c>
      <c r="M464" s="234" t="s">
        <v>948</v>
      </c>
      <c r="N464" s="234">
        <v>37990</v>
      </c>
      <c r="O464" s="234">
        <v>14940</v>
      </c>
      <c r="P464" s="242">
        <v>15</v>
      </c>
      <c r="Q464" s="234">
        <v>23050</v>
      </c>
      <c r="R464" s="234">
        <v>19592.5</v>
      </c>
      <c r="S464" s="234" t="s">
        <v>1726</v>
      </c>
      <c r="T464" s="236">
        <v>45908</v>
      </c>
    </row>
    <row r="465" spans="1:20" ht="51" hidden="1">
      <c r="A465" s="239" t="s">
        <v>1647</v>
      </c>
      <c r="B465" s="240">
        <v>1506</v>
      </c>
      <c r="C465" s="241">
        <v>37189</v>
      </c>
      <c r="D465" s="239" t="s">
        <v>3819</v>
      </c>
      <c r="E465" s="239" t="s">
        <v>1648</v>
      </c>
      <c r="F465" s="239" t="s">
        <v>1649</v>
      </c>
      <c r="G465" s="239" t="s">
        <v>948</v>
      </c>
      <c r="H465" s="239" t="s">
        <v>51</v>
      </c>
      <c r="I465" s="239" t="s">
        <v>1580</v>
      </c>
      <c r="J465" s="233"/>
      <c r="K465" s="235">
        <v>45908</v>
      </c>
      <c r="L465" s="233">
        <v>1.5</v>
      </c>
      <c r="M465" s="234" t="s">
        <v>948</v>
      </c>
      <c r="N465" s="234">
        <v>39020</v>
      </c>
      <c r="O465" s="234">
        <v>15630</v>
      </c>
      <c r="P465" s="242">
        <v>14</v>
      </c>
      <c r="Q465" s="234">
        <v>23390</v>
      </c>
      <c r="R465" s="234">
        <v>20115.400000000001</v>
      </c>
      <c r="S465" s="234" t="s">
        <v>1719</v>
      </c>
      <c r="T465" s="236">
        <v>45908</v>
      </c>
    </row>
    <row r="466" spans="1:20" ht="51" hidden="1">
      <c r="A466" s="239" t="s">
        <v>1650</v>
      </c>
      <c r="B466" s="240">
        <v>1507</v>
      </c>
      <c r="C466" s="241">
        <v>37187</v>
      </c>
      <c r="D466" s="239" t="s">
        <v>3819</v>
      </c>
      <c r="E466" s="239" t="s">
        <v>413</v>
      </c>
      <c r="F466" s="239" t="s">
        <v>414</v>
      </c>
      <c r="G466" s="239" t="s">
        <v>948</v>
      </c>
      <c r="H466" s="239" t="s">
        <v>51</v>
      </c>
      <c r="I466" s="239" t="s">
        <v>1580</v>
      </c>
      <c r="J466" s="233"/>
      <c r="K466" s="235">
        <v>45908</v>
      </c>
      <c r="L466" s="233">
        <v>1.8</v>
      </c>
      <c r="M466" s="234" t="s">
        <v>948</v>
      </c>
      <c r="N466" s="234">
        <v>43120</v>
      </c>
      <c r="O466" s="234">
        <v>14890</v>
      </c>
      <c r="P466" s="242">
        <v>7</v>
      </c>
      <c r="Q466" s="234">
        <v>28230</v>
      </c>
      <c r="R466" s="234">
        <v>26253.9</v>
      </c>
      <c r="S466" s="234" t="s">
        <v>1720</v>
      </c>
      <c r="T466" s="236">
        <v>45908</v>
      </c>
    </row>
    <row r="467" spans="1:20" ht="51" hidden="1">
      <c r="A467" s="239" t="s">
        <v>1651</v>
      </c>
      <c r="B467" s="240">
        <v>1508</v>
      </c>
      <c r="C467" s="241">
        <v>37185</v>
      </c>
      <c r="D467" s="239" t="s">
        <v>3819</v>
      </c>
      <c r="E467" s="239" t="s">
        <v>432</v>
      </c>
      <c r="F467" s="239" t="s">
        <v>433</v>
      </c>
      <c r="G467" s="239" t="s">
        <v>948</v>
      </c>
      <c r="H467" s="239" t="s">
        <v>51</v>
      </c>
      <c r="I467" s="239" t="s">
        <v>1580</v>
      </c>
      <c r="J467" s="233"/>
      <c r="K467" s="235">
        <v>45908</v>
      </c>
      <c r="L467" s="233">
        <v>1.7</v>
      </c>
      <c r="M467" s="234" t="s">
        <v>948</v>
      </c>
      <c r="N467" s="234">
        <v>41580</v>
      </c>
      <c r="O467" s="234">
        <v>15500</v>
      </c>
      <c r="P467" s="242">
        <v>14</v>
      </c>
      <c r="Q467" s="234">
        <v>26080</v>
      </c>
      <c r="R467" s="234">
        <v>22428.799999999999</v>
      </c>
      <c r="S467" s="234" t="s">
        <v>1721</v>
      </c>
      <c r="T467" s="236">
        <v>45908</v>
      </c>
    </row>
    <row r="468" spans="1:20" ht="51" hidden="1">
      <c r="A468" s="239" t="s">
        <v>1655</v>
      </c>
      <c r="B468" s="240">
        <v>1509</v>
      </c>
      <c r="C468" s="241">
        <v>37195</v>
      </c>
      <c r="D468" s="239" t="s">
        <v>3819</v>
      </c>
      <c r="E468" s="239" t="s">
        <v>447</v>
      </c>
      <c r="F468" s="239" t="s">
        <v>448</v>
      </c>
      <c r="G468" s="239" t="s">
        <v>948</v>
      </c>
      <c r="H468" s="239" t="s">
        <v>51</v>
      </c>
      <c r="I468" s="239" t="s">
        <v>1580</v>
      </c>
      <c r="J468" s="233"/>
      <c r="K468" s="235">
        <v>45908</v>
      </c>
      <c r="L468" s="233">
        <v>2.1</v>
      </c>
      <c r="M468" s="234" t="s">
        <v>948</v>
      </c>
      <c r="N468" s="234">
        <v>52150</v>
      </c>
      <c r="O468" s="234">
        <v>19280</v>
      </c>
      <c r="P468" s="242">
        <v>9</v>
      </c>
      <c r="Q468" s="234">
        <v>32870</v>
      </c>
      <c r="R468" s="234">
        <v>29911.7</v>
      </c>
      <c r="S468" s="234" t="s">
        <v>1725</v>
      </c>
      <c r="T468" s="236">
        <v>45908</v>
      </c>
    </row>
    <row r="469" spans="1:20" ht="51" hidden="1">
      <c r="A469" s="239" t="s">
        <v>1657</v>
      </c>
      <c r="B469" s="240">
        <v>1510</v>
      </c>
      <c r="C469" s="241">
        <v>37197</v>
      </c>
      <c r="D469" s="239" t="s">
        <v>3819</v>
      </c>
      <c r="E469" s="239" t="s">
        <v>429</v>
      </c>
      <c r="F469" s="239" t="s">
        <v>430</v>
      </c>
      <c r="G469" s="239" t="s">
        <v>948</v>
      </c>
      <c r="H469" s="239" t="s">
        <v>51</v>
      </c>
      <c r="I469" s="239" t="s">
        <v>1580</v>
      </c>
      <c r="J469" s="233"/>
      <c r="K469" s="235">
        <v>45908</v>
      </c>
      <c r="L469" s="233">
        <v>1.5</v>
      </c>
      <c r="M469" s="234" t="s">
        <v>948</v>
      </c>
      <c r="N469" s="234">
        <v>38480</v>
      </c>
      <c r="O469" s="234">
        <v>14190</v>
      </c>
      <c r="P469" s="242">
        <v>11</v>
      </c>
      <c r="Q469" s="234">
        <v>24290</v>
      </c>
      <c r="R469" s="234">
        <v>21618.1</v>
      </c>
      <c r="S469" s="234" t="s">
        <v>1727</v>
      </c>
      <c r="T469" s="236">
        <v>45908</v>
      </c>
    </row>
    <row r="470" spans="1:20" ht="51" hidden="1">
      <c r="A470" s="239" t="s">
        <v>1658</v>
      </c>
      <c r="B470" s="240">
        <v>1511</v>
      </c>
      <c r="C470" s="241">
        <v>37191</v>
      </c>
      <c r="D470" s="239" t="s">
        <v>3819</v>
      </c>
      <c r="E470" s="239" t="s">
        <v>1410</v>
      </c>
      <c r="F470" s="239" t="s">
        <v>437</v>
      </c>
      <c r="G470" s="239" t="s">
        <v>948</v>
      </c>
      <c r="H470" s="239" t="s">
        <v>51</v>
      </c>
      <c r="I470" s="239" t="s">
        <v>1580</v>
      </c>
      <c r="J470" s="233"/>
      <c r="K470" s="235">
        <v>45908</v>
      </c>
      <c r="L470" s="233">
        <v>1.6</v>
      </c>
      <c r="M470" s="234" t="s">
        <v>948</v>
      </c>
      <c r="N470" s="234">
        <v>40490</v>
      </c>
      <c r="O470" s="234">
        <v>14790</v>
      </c>
      <c r="P470" s="242">
        <v>5</v>
      </c>
      <c r="Q470" s="234">
        <v>25700</v>
      </c>
      <c r="R470" s="234">
        <v>24415</v>
      </c>
      <c r="S470" s="234" t="s">
        <v>1728</v>
      </c>
      <c r="T470" s="236">
        <v>45908</v>
      </c>
    </row>
    <row r="471" spans="1:20" ht="51" hidden="1">
      <c r="A471" s="239" t="s">
        <v>1659</v>
      </c>
      <c r="B471" s="240">
        <v>1512</v>
      </c>
      <c r="C471" s="241">
        <v>37193</v>
      </c>
      <c r="D471" s="239" t="s">
        <v>3819</v>
      </c>
      <c r="E471" s="239" t="s">
        <v>439</v>
      </c>
      <c r="F471" s="239" t="s">
        <v>440</v>
      </c>
      <c r="G471" s="239" t="s">
        <v>948</v>
      </c>
      <c r="H471" s="239" t="s">
        <v>51</v>
      </c>
      <c r="I471" s="239" t="s">
        <v>1580</v>
      </c>
      <c r="J471" s="233"/>
      <c r="K471" s="235">
        <v>45908</v>
      </c>
      <c r="L471" s="233">
        <v>1.5</v>
      </c>
      <c r="M471" s="234" t="s">
        <v>948</v>
      </c>
      <c r="N471" s="234">
        <v>38990</v>
      </c>
      <c r="O471" s="234">
        <v>14890</v>
      </c>
      <c r="P471" s="242">
        <v>12</v>
      </c>
      <c r="Q471" s="234">
        <v>24100</v>
      </c>
      <c r="R471" s="234">
        <v>21208</v>
      </c>
      <c r="S471" s="234" t="s">
        <v>1729</v>
      </c>
      <c r="T471" s="236">
        <v>45908</v>
      </c>
    </row>
    <row r="472" spans="1:20" ht="51" hidden="1">
      <c r="A472" s="239" t="s">
        <v>1660</v>
      </c>
      <c r="B472" s="240">
        <v>1513</v>
      </c>
      <c r="C472" s="241">
        <v>37199</v>
      </c>
      <c r="D472" s="239" t="s">
        <v>3819</v>
      </c>
      <c r="E472" s="239" t="s">
        <v>416</v>
      </c>
      <c r="F472" s="239" t="s">
        <v>417</v>
      </c>
      <c r="G472" s="239" t="s">
        <v>948</v>
      </c>
      <c r="H472" s="239" t="s">
        <v>51</v>
      </c>
      <c r="I472" s="239" t="s">
        <v>1580</v>
      </c>
      <c r="J472" s="233"/>
      <c r="K472" s="235">
        <v>45908</v>
      </c>
      <c r="L472" s="233">
        <v>1.5</v>
      </c>
      <c r="M472" s="234" t="s">
        <v>948</v>
      </c>
      <c r="N472" s="234">
        <v>37570</v>
      </c>
      <c r="O472" s="234">
        <v>14680</v>
      </c>
      <c r="P472" s="242">
        <v>10</v>
      </c>
      <c r="Q472" s="234">
        <v>22890</v>
      </c>
      <c r="R472" s="234">
        <v>20601</v>
      </c>
      <c r="S472" s="234" t="s">
        <v>1730</v>
      </c>
      <c r="T472" s="236">
        <v>45909</v>
      </c>
    </row>
    <row r="473" spans="1:20" ht="51" hidden="1">
      <c r="A473" s="239" t="s">
        <v>1731</v>
      </c>
      <c r="B473" s="240">
        <v>1514</v>
      </c>
      <c r="C473" s="241">
        <v>37204</v>
      </c>
      <c r="D473" s="239" t="s">
        <v>3819</v>
      </c>
      <c r="E473" s="239" t="s">
        <v>420</v>
      </c>
      <c r="F473" s="239" t="s">
        <v>421</v>
      </c>
      <c r="G473" s="239" t="s">
        <v>948</v>
      </c>
      <c r="H473" s="239" t="s">
        <v>51</v>
      </c>
      <c r="I473" s="239" t="s">
        <v>1580</v>
      </c>
      <c r="J473" s="233"/>
      <c r="K473" s="235">
        <v>45908</v>
      </c>
      <c r="L473" s="233">
        <v>1.4</v>
      </c>
      <c r="M473" s="234" t="s">
        <v>948</v>
      </c>
      <c r="N473" s="234">
        <v>36160</v>
      </c>
      <c r="O473" s="234">
        <v>14800</v>
      </c>
      <c r="P473" s="242">
        <v>7</v>
      </c>
      <c r="Q473" s="234">
        <v>21360</v>
      </c>
      <c r="R473" s="234">
        <v>19864.8</v>
      </c>
      <c r="S473" s="234" t="s">
        <v>1751</v>
      </c>
      <c r="T473" s="236">
        <v>45909</v>
      </c>
    </row>
    <row r="474" spans="1:20" ht="51" hidden="1">
      <c r="A474" s="239" t="s">
        <v>1732</v>
      </c>
      <c r="B474" s="240">
        <v>1515</v>
      </c>
      <c r="C474" s="241">
        <v>37224</v>
      </c>
      <c r="D474" s="239" t="s">
        <v>3819</v>
      </c>
      <c r="E474" s="239" t="s">
        <v>1663</v>
      </c>
      <c r="F474" s="239" t="s">
        <v>1733</v>
      </c>
      <c r="G474" s="239" t="s">
        <v>948</v>
      </c>
      <c r="H474" s="239" t="s">
        <v>51</v>
      </c>
      <c r="I474" s="239" t="s">
        <v>1580</v>
      </c>
      <c r="J474" s="233"/>
      <c r="K474" s="235">
        <v>45908</v>
      </c>
      <c r="L474" s="233">
        <v>1.5</v>
      </c>
      <c r="M474" s="234" t="s">
        <v>948</v>
      </c>
      <c r="N474" s="234">
        <v>39140</v>
      </c>
      <c r="O474" s="234">
        <v>15480</v>
      </c>
      <c r="P474" s="242">
        <v>9</v>
      </c>
      <c r="Q474" s="234">
        <v>23660</v>
      </c>
      <c r="R474" s="234">
        <v>21530.6</v>
      </c>
      <c r="S474" s="234" t="s">
        <v>1752</v>
      </c>
      <c r="T474" s="236">
        <v>45909</v>
      </c>
    </row>
    <row r="475" spans="1:20" ht="51" hidden="1">
      <c r="A475" s="239" t="s">
        <v>1734</v>
      </c>
      <c r="B475" s="240">
        <v>1516</v>
      </c>
      <c r="C475" s="241">
        <v>37257</v>
      </c>
      <c r="D475" s="239" t="s">
        <v>3819</v>
      </c>
      <c r="E475" s="239" t="s">
        <v>794</v>
      </c>
      <c r="F475" s="239" t="s">
        <v>795</v>
      </c>
      <c r="G475" s="239" t="s">
        <v>948</v>
      </c>
      <c r="H475" s="239" t="s">
        <v>51</v>
      </c>
      <c r="I475" s="239" t="s">
        <v>1580</v>
      </c>
      <c r="J475" s="233"/>
      <c r="K475" s="235">
        <v>45908</v>
      </c>
      <c r="L475" s="233">
        <v>1.7</v>
      </c>
      <c r="M475" s="234" t="s">
        <v>948</v>
      </c>
      <c r="N475" s="234">
        <v>42950</v>
      </c>
      <c r="O475" s="234">
        <v>16050</v>
      </c>
      <c r="P475" s="242">
        <v>8</v>
      </c>
      <c r="Q475" s="234">
        <v>26900</v>
      </c>
      <c r="R475" s="234">
        <v>24748</v>
      </c>
      <c r="S475" s="234" t="s">
        <v>1753</v>
      </c>
      <c r="T475" s="236">
        <v>45909</v>
      </c>
    </row>
    <row r="476" spans="1:20" ht="51" hidden="1">
      <c r="A476" s="239" t="s">
        <v>1735</v>
      </c>
      <c r="B476" s="240">
        <v>1518</v>
      </c>
      <c r="C476" s="241">
        <v>37247</v>
      </c>
      <c r="D476" s="239" t="s">
        <v>3819</v>
      </c>
      <c r="E476" s="239" t="s">
        <v>382</v>
      </c>
      <c r="F476" s="239" t="s">
        <v>383</v>
      </c>
      <c r="G476" s="239" t="s">
        <v>948</v>
      </c>
      <c r="H476" s="239" t="s">
        <v>51</v>
      </c>
      <c r="I476" s="239" t="s">
        <v>1580</v>
      </c>
      <c r="J476" s="233"/>
      <c r="K476" s="235">
        <v>45908</v>
      </c>
      <c r="L476" s="233">
        <v>1.4</v>
      </c>
      <c r="M476" s="234" t="s">
        <v>948</v>
      </c>
      <c r="N476" s="234">
        <v>36290</v>
      </c>
      <c r="O476" s="234">
        <v>14540</v>
      </c>
      <c r="P476" s="242">
        <v>7</v>
      </c>
      <c r="Q476" s="234">
        <v>21750</v>
      </c>
      <c r="R476" s="234">
        <v>20227.5</v>
      </c>
      <c r="S476" s="234" t="s">
        <v>1754</v>
      </c>
      <c r="T476" s="236">
        <v>45909</v>
      </c>
    </row>
    <row r="477" spans="1:20" ht="51" hidden="1">
      <c r="A477" s="239" t="s">
        <v>1738</v>
      </c>
      <c r="B477" s="240">
        <v>1519</v>
      </c>
      <c r="C477" s="241">
        <v>37263</v>
      </c>
      <c r="D477" s="239" t="s">
        <v>3819</v>
      </c>
      <c r="E477" s="239" t="s">
        <v>462</v>
      </c>
      <c r="F477" s="239" t="s">
        <v>463</v>
      </c>
      <c r="G477" s="239" t="s">
        <v>948</v>
      </c>
      <c r="H477" s="239" t="s">
        <v>51</v>
      </c>
      <c r="I477" s="239" t="s">
        <v>1580</v>
      </c>
      <c r="J477" s="233"/>
      <c r="K477" s="235">
        <v>45908</v>
      </c>
      <c r="L477" s="233">
        <v>1.5</v>
      </c>
      <c r="M477" s="234" t="s">
        <v>948</v>
      </c>
      <c r="N477" s="234">
        <v>40640</v>
      </c>
      <c r="O477" s="234">
        <v>16300</v>
      </c>
      <c r="P477" s="242">
        <v>10</v>
      </c>
      <c r="Q477" s="234">
        <v>24340</v>
      </c>
      <c r="R477" s="234">
        <v>21906</v>
      </c>
      <c r="S477" s="234" t="s">
        <v>1757</v>
      </c>
      <c r="T477" s="236">
        <v>45909</v>
      </c>
    </row>
    <row r="478" spans="1:20" ht="51" hidden="1">
      <c r="A478" s="239" t="s">
        <v>1739</v>
      </c>
      <c r="B478" s="240">
        <v>1520</v>
      </c>
      <c r="C478" s="241">
        <v>37259</v>
      </c>
      <c r="D478" s="239" t="s">
        <v>3819</v>
      </c>
      <c r="E478" s="239" t="s">
        <v>791</v>
      </c>
      <c r="F478" s="239" t="s">
        <v>792</v>
      </c>
      <c r="G478" s="239" t="s">
        <v>948</v>
      </c>
      <c r="H478" s="239" t="s">
        <v>51</v>
      </c>
      <c r="I478" s="239" t="s">
        <v>1580</v>
      </c>
      <c r="J478" s="233"/>
      <c r="K478" s="235">
        <v>45908</v>
      </c>
      <c r="L478" s="233">
        <v>1.6</v>
      </c>
      <c r="M478" s="234" t="s">
        <v>948</v>
      </c>
      <c r="N478" s="234">
        <v>40300</v>
      </c>
      <c r="O478" s="234">
        <v>14910</v>
      </c>
      <c r="P478" s="242">
        <v>12</v>
      </c>
      <c r="Q478" s="234">
        <v>25390</v>
      </c>
      <c r="R478" s="234">
        <v>22343.200000000001</v>
      </c>
      <c r="S478" s="234" t="s">
        <v>1758</v>
      </c>
      <c r="T478" s="236">
        <v>45909</v>
      </c>
    </row>
    <row r="479" spans="1:20" ht="51" hidden="1">
      <c r="A479" s="239" t="s">
        <v>1740</v>
      </c>
      <c r="B479" s="240">
        <v>1521</v>
      </c>
      <c r="C479" s="241">
        <v>37261</v>
      </c>
      <c r="D479" s="239" t="s">
        <v>3819</v>
      </c>
      <c r="E479" s="239" t="s">
        <v>841</v>
      </c>
      <c r="F479" s="239" t="s">
        <v>845</v>
      </c>
      <c r="G479" s="239" t="s">
        <v>948</v>
      </c>
      <c r="H479" s="239" t="s">
        <v>51</v>
      </c>
      <c r="I479" s="239" t="s">
        <v>1580</v>
      </c>
      <c r="J479" s="233"/>
      <c r="K479" s="235">
        <v>45908</v>
      </c>
      <c r="L479" s="233">
        <v>1.8</v>
      </c>
      <c r="M479" s="234" t="s">
        <v>948</v>
      </c>
      <c r="N479" s="234">
        <v>43550</v>
      </c>
      <c r="O479" s="234">
        <v>15910</v>
      </c>
      <c r="P479" s="242">
        <v>8</v>
      </c>
      <c r="Q479" s="234">
        <v>27640</v>
      </c>
      <c r="R479" s="234">
        <v>25428.799999999999</v>
      </c>
      <c r="S479" s="234" t="s">
        <v>1759</v>
      </c>
      <c r="T479" s="236">
        <v>45909</v>
      </c>
    </row>
    <row r="480" spans="1:20" ht="51" hidden="1">
      <c r="A480" s="239" t="s">
        <v>1741</v>
      </c>
      <c r="B480" s="240">
        <v>1528</v>
      </c>
      <c r="C480" s="241">
        <v>37267</v>
      </c>
      <c r="D480" s="239" t="s">
        <v>3819</v>
      </c>
      <c r="E480" s="239" t="s">
        <v>475</v>
      </c>
      <c r="F480" s="239" t="s">
        <v>476</v>
      </c>
      <c r="G480" s="239" t="s">
        <v>955</v>
      </c>
      <c r="H480" s="239" t="s">
        <v>51</v>
      </c>
      <c r="I480" s="239" t="s">
        <v>1580</v>
      </c>
      <c r="J480" s="233"/>
      <c r="K480" s="235">
        <v>45908</v>
      </c>
      <c r="L480" s="233">
        <v>1.8</v>
      </c>
      <c r="M480" s="234" t="s">
        <v>955</v>
      </c>
      <c r="N480" s="234">
        <v>40620</v>
      </c>
      <c r="O480" s="234">
        <v>16320</v>
      </c>
      <c r="P480" s="242">
        <v>7</v>
      </c>
      <c r="Q480" s="234">
        <v>24300</v>
      </c>
      <c r="R480" s="234">
        <v>22599</v>
      </c>
      <c r="S480" s="234" t="s">
        <v>1760</v>
      </c>
      <c r="T480" s="236">
        <v>45909</v>
      </c>
    </row>
    <row r="481" spans="1:20" ht="51" hidden="1">
      <c r="A481" s="239" t="s">
        <v>1745</v>
      </c>
      <c r="B481" s="240">
        <v>1522</v>
      </c>
      <c r="C481" s="241">
        <v>37251</v>
      </c>
      <c r="D481" s="239" t="s">
        <v>3819</v>
      </c>
      <c r="E481" s="239" t="s">
        <v>1397</v>
      </c>
      <c r="F481" s="239" t="s">
        <v>1398</v>
      </c>
      <c r="G481" s="239" t="s">
        <v>948</v>
      </c>
      <c r="H481" s="239" t="s">
        <v>51</v>
      </c>
      <c r="I481" s="239" t="s">
        <v>1580</v>
      </c>
      <c r="J481" s="233"/>
      <c r="K481" s="235">
        <v>45908</v>
      </c>
      <c r="L481" s="233">
        <v>1.7</v>
      </c>
      <c r="M481" s="234" t="s">
        <v>948</v>
      </c>
      <c r="N481" s="234">
        <v>43010</v>
      </c>
      <c r="O481" s="234">
        <v>16860</v>
      </c>
      <c r="P481" s="242">
        <v>9</v>
      </c>
      <c r="Q481" s="234">
        <v>26150</v>
      </c>
      <c r="R481" s="234">
        <v>23796.5</v>
      </c>
      <c r="S481" s="234" t="s">
        <v>1764</v>
      </c>
      <c r="T481" s="236">
        <v>45909</v>
      </c>
    </row>
    <row r="482" spans="1:20" ht="51" hidden="1">
      <c r="A482" s="239" t="s">
        <v>1746</v>
      </c>
      <c r="B482" s="240">
        <v>1523</v>
      </c>
      <c r="C482" s="241">
        <v>37253</v>
      </c>
      <c r="D482" s="239" t="s">
        <v>3819</v>
      </c>
      <c r="E482" s="239" t="s">
        <v>1403</v>
      </c>
      <c r="F482" s="239" t="s">
        <v>1404</v>
      </c>
      <c r="G482" s="239" t="s">
        <v>948</v>
      </c>
      <c r="H482" s="239" t="s">
        <v>51</v>
      </c>
      <c r="I482" s="239" t="s">
        <v>1580</v>
      </c>
      <c r="J482" s="233"/>
      <c r="K482" s="235">
        <v>45908</v>
      </c>
      <c r="L482" s="233">
        <v>1.5</v>
      </c>
      <c r="M482" s="234" t="s">
        <v>948</v>
      </c>
      <c r="N482" s="234">
        <v>38590</v>
      </c>
      <c r="O482" s="234">
        <v>14990</v>
      </c>
      <c r="P482" s="242">
        <v>15</v>
      </c>
      <c r="Q482" s="234">
        <v>23600</v>
      </c>
      <c r="R482" s="234">
        <v>20060</v>
      </c>
      <c r="S482" s="234" t="s">
        <v>1765</v>
      </c>
      <c r="T482" s="236">
        <v>45909</v>
      </c>
    </row>
    <row r="483" spans="1:20" ht="51" hidden="1">
      <c r="A483" s="239" t="s">
        <v>1748</v>
      </c>
      <c r="B483" s="240">
        <v>1524</v>
      </c>
      <c r="C483" s="241">
        <v>37255</v>
      </c>
      <c r="D483" s="239" t="s">
        <v>3819</v>
      </c>
      <c r="E483" s="239" t="s">
        <v>1400</v>
      </c>
      <c r="F483" s="239" t="s">
        <v>1401</v>
      </c>
      <c r="G483" s="239" t="s">
        <v>948</v>
      </c>
      <c r="H483" s="239" t="s">
        <v>51</v>
      </c>
      <c r="I483" s="239" t="s">
        <v>1580</v>
      </c>
      <c r="J483" s="233"/>
      <c r="K483" s="235">
        <v>45908</v>
      </c>
      <c r="L483" s="233">
        <v>1.4</v>
      </c>
      <c r="M483" s="234" t="s">
        <v>948</v>
      </c>
      <c r="N483" s="234">
        <v>36670</v>
      </c>
      <c r="O483" s="234">
        <v>14750</v>
      </c>
      <c r="P483" s="242">
        <v>10</v>
      </c>
      <c r="Q483" s="234">
        <v>21920</v>
      </c>
      <c r="R483" s="234">
        <v>19728</v>
      </c>
      <c r="S483" s="234" t="s">
        <v>1767</v>
      </c>
      <c r="T483" s="236">
        <v>45909</v>
      </c>
    </row>
    <row r="484" spans="1:20" ht="51" hidden="1">
      <c r="A484" s="239" t="s">
        <v>1750</v>
      </c>
      <c r="B484" s="240">
        <v>1527</v>
      </c>
      <c r="C484" s="241">
        <v>37265</v>
      </c>
      <c r="D484" s="239" t="s">
        <v>3819</v>
      </c>
      <c r="E484" s="239" t="s">
        <v>472</v>
      </c>
      <c r="F484" s="239" t="s">
        <v>473</v>
      </c>
      <c r="G484" s="239" t="s">
        <v>948</v>
      </c>
      <c r="H484" s="239" t="s">
        <v>51</v>
      </c>
      <c r="I484" s="239" t="s">
        <v>1580</v>
      </c>
      <c r="J484" s="233"/>
      <c r="K484" s="235">
        <v>45908</v>
      </c>
      <c r="L484" s="233">
        <v>1.2</v>
      </c>
      <c r="M484" s="234" t="s">
        <v>948</v>
      </c>
      <c r="N484" s="234">
        <v>39300</v>
      </c>
      <c r="O484" s="234">
        <v>16490</v>
      </c>
      <c r="P484" s="242">
        <v>13</v>
      </c>
      <c r="Q484" s="234">
        <v>22810</v>
      </c>
      <c r="R484" s="234">
        <v>19844.7</v>
      </c>
      <c r="S484" s="234" t="s">
        <v>1769</v>
      </c>
      <c r="T484" s="236">
        <v>45909</v>
      </c>
    </row>
    <row r="485" spans="1:20" ht="51" hidden="1">
      <c r="A485" s="239" t="s">
        <v>1736</v>
      </c>
      <c r="B485" s="240">
        <v>1531</v>
      </c>
      <c r="C485" s="241">
        <v>37269</v>
      </c>
      <c r="D485" s="239" t="s">
        <v>3819</v>
      </c>
      <c r="E485" s="239" t="s">
        <v>453</v>
      </c>
      <c r="F485" s="239" t="s">
        <v>454</v>
      </c>
      <c r="G485" s="239" t="s">
        <v>955</v>
      </c>
      <c r="H485" s="239" t="s">
        <v>51</v>
      </c>
      <c r="I485" s="239" t="s">
        <v>1580</v>
      </c>
      <c r="J485" s="233"/>
      <c r="K485" s="235">
        <v>45908</v>
      </c>
      <c r="L485" s="233">
        <v>2.1</v>
      </c>
      <c r="M485" s="234" t="s">
        <v>955</v>
      </c>
      <c r="N485" s="234">
        <v>52810</v>
      </c>
      <c r="O485" s="234">
        <v>24090</v>
      </c>
      <c r="P485" s="242">
        <v>11</v>
      </c>
      <c r="Q485" s="234">
        <v>28720</v>
      </c>
      <c r="R485" s="234">
        <v>25560.799999999999</v>
      </c>
      <c r="S485" s="234" t="s">
        <v>1755</v>
      </c>
      <c r="T485" s="236">
        <v>45909</v>
      </c>
    </row>
    <row r="486" spans="1:20" ht="51" hidden="1">
      <c r="A486" s="239" t="s">
        <v>1737</v>
      </c>
      <c r="B486" s="240">
        <v>1532</v>
      </c>
      <c r="C486" s="241">
        <v>37271</v>
      </c>
      <c r="D486" s="239" t="s">
        <v>3819</v>
      </c>
      <c r="E486" s="239" t="s">
        <v>456</v>
      </c>
      <c r="F486" s="239" t="s">
        <v>457</v>
      </c>
      <c r="G486" s="239" t="s">
        <v>955</v>
      </c>
      <c r="H486" s="239" t="s">
        <v>51</v>
      </c>
      <c r="I486" s="239" t="s">
        <v>1580</v>
      </c>
      <c r="J486" s="233"/>
      <c r="K486" s="235">
        <v>45908</v>
      </c>
      <c r="L486" s="233">
        <v>2.1</v>
      </c>
      <c r="M486" s="234" t="s">
        <v>955</v>
      </c>
      <c r="N486" s="234">
        <v>44390</v>
      </c>
      <c r="O486" s="234">
        <v>15510</v>
      </c>
      <c r="P486" s="242">
        <v>4</v>
      </c>
      <c r="Q486" s="234">
        <v>28880</v>
      </c>
      <c r="R486" s="234">
        <v>27724.799999999999</v>
      </c>
      <c r="S486" s="234" t="s">
        <v>1756</v>
      </c>
      <c r="T486" s="236">
        <v>45909</v>
      </c>
    </row>
    <row r="487" spans="1:20" ht="51" hidden="1">
      <c r="A487" s="239" t="s">
        <v>1742</v>
      </c>
      <c r="B487" s="240">
        <v>1541</v>
      </c>
      <c r="C487" s="241">
        <v>37275</v>
      </c>
      <c r="D487" s="239" t="s">
        <v>3819</v>
      </c>
      <c r="E487" s="239" t="s">
        <v>390</v>
      </c>
      <c r="F487" s="239" t="s">
        <v>391</v>
      </c>
      <c r="G487" s="239" t="s">
        <v>955</v>
      </c>
      <c r="H487" s="239" t="s">
        <v>51</v>
      </c>
      <c r="I487" s="239" t="s">
        <v>1580</v>
      </c>
      <c r="J487" s="233"/>
      <c r="K487" s="235">
        <v>45909</v>
      </c>
      <c r="L487" s="233">
        <v>1.3</v>
      </c>
      <c r="M487" s="234" t="s">
        <v>955</v>
      </c>
      <c r="N487" s="234">
        <v>39830</v>
      </c>
      <c r="O487" s="234">
        <v>15060</v>
      </c>
      <c r="P487" s="242">
        <v>9</v>
      </c>
      <c r="Q487" s="234">
        <v>24770</v>
      </c>
      <c r="R487" s="234">
        <v>22540.7</v>
      </c>
      <c r="S487" s="234" t="s">
        <v>1761</v>
      </c>
      <c r="T487" s="236">
        <v>45909</v>
      </c>
    </row>
    <row r="488" spans="1:20" ht="51" hidden="1">
      <c r="A488" s="239" t="s">
        <v>1743</v>
      </c>
      <c r="B488" s="240">
        <v>1542</v>
      </c>
      <c r="C488" s="241">
        <v>37277</v>
      </c>
      <c r="D488" s="239" t="s">
        <v>3819</v>
      </c>
      <c r="E488" s="239" t="s">
        <v>377</v>
      </c>
      <c r="F488" s="239" t="s">
        <v>378</v>
      </c>
      <c r="G488" s="239" t="s">
        <v>955</v>
      </c>
      <c r="H488" s="239" t="s">
        <v>51</v>
      </c>
      <c r="I488" s="239" t="s">
        <v>1580</v>
      </c>
      <c r="J488" s="233"/>
      <c r="K488" s="235">
        <v>45909</v>
      </c>
      <c r="L488" s="233">
        <v>1.4</v>
      </c>
      <c r="M488" s="234" t="s">
        <v>955</v>
      </c>
      <c r="N488" s="234">
        <v>41750</v>
      </c>
      <c r="O488" s="234">
        <v>15110</v>
      </c>
      <c r="P488" s="242">
        <v>12</v>
      </c>
      <c r="Q488" s="234">
        <v>26640</v>
      </c>
      <c r="R488" s="234">
        <v>23443.200000000001</v>
      </c>
      <c r="S488" s="234" t="s">
        <v>1762</v>
      </c>
      <c r="T488" s="236">
        <v>45909</v>
      </c>
    </row>
    <row r="489" spans="1:20" ht="51" hidden="1">
      <c r="A489" s="239" t="s">
        <v>1744</v>
      </c>
      <c r="B489" s="240">
        <v>1543</v>
      </c>
      <c r="C489" s="241">
        <v>37273</v>
      </c>
      <c r="D489" s="239" t="s">
        <v>3819</v>
      </c>
      <c r="E489" s="239" t="s">
        <v>392</v>
      </c>
      <c r="F489" s="239" t="s">
        <v>393</v>
      </c>
      <c r="G489" s="239" t="s">
        <v>955</v>
      </c>
      <c r="H489" s="239" t="s">
        <v>51</v>
      </c>
      <c r="I489" s="239" t="s">
        <v>1580</v>
      </c>
      <c r="J489" s="233"/>
      <c r="K489" s="235">
        <v>45909</v>
      </c>
      <c r="L489" s="233">
        <v>1.8</v>
      </c>
      <c r="M489" s="234" t="s">
        <v>955</v>
      </c>
      <c r="N489" s="234">
        <v>58480</v>
      </c>
      <c r="O489" s="234">
        <v>24100</v>
      </c>
      <c r="P489" s="242">
        <v>12</v>
      </c>
      <c r="Q489" s="234">
        <v>34380</v>
      </c>
      <c r="R489" s="234">
        <v>30254.400000000001</v>
      </c>
      <c r="S489" s="234" t="s">
        <v>1763</v>
      </c>
      <c r="T489" s="236">
        <v>45909</v>
      </c>
    </row>
    <row r="490" spans="1:20" ht="51" hidden="1">
      <c r="A490" s="239" t="s">
        <v>1747</v>
      </c>
      <c r="B490" s="240">
        <v>1544</v>
      </c>
      <c r="C490" s="241">
        <v>37279</v>
      </c>
      <c r="D490" s="239" t="s">
        <v>3819</v>
      </c>
      <c r="E490" s="239" t="s">
        <v>388</v>
      </c>
      <c r="F490" s="239" t="s">
        <v>389</v>
      </c>
      <c r="G490" s="239" t="s">
        <v>955</v>
      </c>
      <c r="H490" s="239" t="s">
        <v>51</v>
      </c>
      <c r="I490" s="239" t="s">
        <v>1580</v>
      </c>
      <c r="J490" s="233"/>
      <c r="K490" s="235">
        <v>45909</v>
      </c>
      <c r="L490" s="233">
        <v>1.7</v>
      </c>
      <c r="M490" s="234" t="s">
        <v>955</v>
      </c>
      <c r="N490" s="234">
        <v>52910</v>
      </c>
      <c r="O490" s="234">
        <v>20890</v>
      </c>
      <c r="P490" s="242">
        <v>9</v>
      </c>
      <c r="Q490" s="234">
        <v>32020</v>
      </c>
      <c r="R490" s="234">
        <v>29138.2</v>
      </c>
      <c r="S490" s="234" t="s">
        <v>1766</v>
      </c>
      <c r="T490" s="236">
        <v>45909</v>
      </c>
    </row>
    <row r="491" spans="1:20" ht="51" hidden="1">
      <c r="A491" s="239" t="s">
        <v>1749</v>
      </c>
      <c r="B491" s="240">
        <v>1545</v>
      </c>
      <c r="C491" s="241">
        <v>37288</v>
      </c>
      <c r="D491" s="239" t="s">
        <v>3819</v>
      </c>
      <c r="E491" s="239" t="s">
        <v>866</v>
      </c>
      <c r="F491" s="239" t="s">
        <v>867</v>
      </c>
      <c r="G491" s="239" t="s">
        <v>955</v>
      </c>
      <c r="H491" s="239" t="s">
        <v>51</v>
      </c>
      <c r="I491" s="239" t="s">
        <v>1580</v>
      </c>
      <c r="J491" s="233"/>
      <c r="K491" s="235">
        <v>45909</v>
      </c>
      <c r="L491" s="233">
        <v>1.3</v>
      </c>
      <c r="M491" s="234" t="s">
        <v>955</v>
      </c>
      <c r="N491" s="234">
        <v>39090</v>
      </c>
      <c r="O491" s="234">
        <v>14460</v>
      </c>
      <c r="P491" s="242">
        <v>8</v>
      </c>
      <c r="Q491" s="234">
        <v>24630</v>
      </c>
      <c r="R491" s="234">
        <v>22659.599999999999</v>
      </c>
      <c r="S491" s="234" t="s">
        <v>1768</v>
      </c>
      <c r="T491" s="236">
        <v>45909</v>
      </c>
    </row>
    <row r="492" spans="1:20" ht="51" hidden="1">
      <c r="A492" s="239" t="s">
        <v>1770</v>
      </c>
      <c r="B492" s="240">
        <v>1546</v>
      </c>
      <c r="C492" s="241">
        <v>37281</v>
      </c>
      <c r="D492" s="239" t="s">
        <v>3819</v>
      </c>
      <c r="E492" s="239" t="s">
        <v>380</v>
      </c>
      <c r="F492" s="239" t="s">
        <v>381</v>
      </c>
      <c r="G492" s="239" t="s">
        <v>955</v>
      </c>
      <c r="H492" s="239" t="s">
        <v>51</v>
      </c>
      <c r="I492" s="239" t="s">
        <v>1580</v>
      </c>
      <c r="J492" s="233"/>
      <c r="K492" s="235">
        <v>45909</v>
      </c>
      <c r="L492" s="233">
        <v>1.2</v>
      </c>
      <c r="M492" s="234" t="s">
        <v>955</v>
      </c>
      <c r="N492" s="234">
        <v>38440</v>
      </c>
      <c r="O492" s="234">
        <v>15080</v>
      </c>
      <c r="P492" s="242">
        <v>8</v>
      </c>
      <c r="Q492" s="234">
        <v>23360</v>
      </c>
      <c r="R492" s="234">
        <v>21491.200000000001</v>
      </c>
      <c r="S492" s="234" t="s">
        <v>1772</v>
      </c>
      <c r="T492" s="236">
        <v>45909</v>
      </c>
    </row>
    <row r="493" spans="1:20" ht="51" hidden="1">
      <c r="A493" s="239" t="s">
        <v>1771</v>
      </c>
      <c r="B493" s="240">
        <v>1549</v>
      </c>
      <c r="C493" s="241">
        <v>37290</v>
      </c>
      <c r="D493" s="239" t="s">
        <v>3819</v>
      </c>
      <c r="E493" s="239" t="s">
        <v>374</v>
      </c>
      <c r="F493" s="239" t="s">
        <v>375</v>
      </c>
      <c r="G493" s="239" t="s">
        <v>955</v>
      </c>
      <c r="H493" s="239" t="s">
        <v>51</v>
      </c>
      <c r="I493" s="239" t="s">
        <v>1580</v>
      </c>
      <c r="J493" s="233"/>
      <c r="K493" s="235">
        <v>45909</v>
      </c>
      <c r="L493" s="233">
        <v>1.3</v>
      </c>
      <c r="M493" s="234" t="s">
        <v>955</v>
      </c>
      <c r="N493" s="234">
        <v>40000</v>
      </c>
      <c r="O493" s="234">
        <v>15560</v>
      </c>
      <c r="P493" s="242">
        <v>7</v>
      </c>
      <c r="Q493" s="234">
        <v>24440</v>
      </c>
      <c r="R493" s="234">
        <v>22729.200000000001</v>
      </c>
      <c r="S493" s="234" t="s">
        <v>1773</v>
      </c>
      <c r="T493" s="236">
        <v>45909</v>
      </c>
    </row>
    <row r="494" spans="1:20" ht="51" hidden="1">
      <c r="A494" s="239" t="s">
        <v>1775</v>
      </c>
      <c r="B494" s="240">
        <v>1556</v>
      </c>
      <c r="C494" s="241">
        <v>37300</v>
      </c>
      <c r="D494" s="239" t="s">
        <v>3819</v>
      </c>
      <c r="E494" s="239" t="s">
        <v>783</v>
      </c>
      <c r="F494" s="239" t="s">
        <v>784</v>
      </c>
      <c r="G494" s="239" t="s">
        <v>955</v>
      </c>
      <c r="H494" s="239" t="s">
        <v>51</v>
      </c>
      <c r="I494" s="239" t="s">
        <v>1580</v>
      </c>
      <c r="J494" s="233"/>
      <c r="K494" s="235">
        <v>45911</v>
      </c>
      <c r="L494" s="233">
        <v>1.3</v>
      </c>
      <c r="M494" s="234" t="s">
        <v>955</v>
      </c>
      <c r="N494" s="234">
        <v>40910</v>
      </c>
      <c r="O494" s="234">
        <v>14520</v>
      </c>
      <c r="P494" s="242">
        <v>12</v>
      </c>
      <c r="Q494" s="234">
        <v>26390</v>
      </c>
      <c r="R494" s="234">
        <v>23223.200000000001</v>
      </c>
      <c r="S494" s="234" t="s">
        <v>1782</v>
      </c>
      <c r="T494" s="236">
        <v>45912</v>
      </c>
    </row>
    <row r="495" spans="1:20" ht="51" hidden="1">
      <c r="A495" s="239" t="s">
        <v>1776</v>
      </c>
      <c r="B495" s="240">
        <v>1558</v>
      </c>
      <c r="C495" s="241">
        <v>37306</v>
      </c>
      <c r="D495" s="239" t="s">
        <v>3819</v>
      </c>
      <c r="E495" s="239" t="s">
        <v>1648</v>
      </c>
      <c r="F495" s="239" t="s">
        <v>1649</v>
      </c>
      <c r="G495" s="239" t="s">
        <v>955</v>
      </c>
      <c r="H495" s="239" t="s">
        <v>51</v>
      </c>
      <c r="I495" s="239" t="s">
        <v>1580</v>
      </c>
      <c r="J495" s="233"/>
      <c r="K495" s="235">
        <v>45911</v>
      </c>
      <c r="L495" s="233">
        <v>1.3</v>
      </c>
      <c r="M495" s="234" t="s">
        <v>955</v>
      </c>
      <c r="N495" s="234">
        <v>40600</v>
      </c>
      <c r="O495" s="234">
        <v>15710</v>
      </c>
      <c r="P495" s="242">
        <v>9</v>
      </c>
      <c r="Q495" s="234">
        <v>24890</v>
      </c>
      <c r="R495" s="234">
        <v>22649.9</v>
      </c>
      <c r="S495" s="234" t="s">
        <v>1783</v>
      </c>
      <c r="T495" s="236">
        <v>45912</v>
      </c>
    </row>
    <row r="496" spans="1:20" ht="51" hidden="1">
      <c r="A496" s="239" t="s">
        <v>1777</v>
      </c>
      <c r="B496" s="240">
        <v>1560</v>
      </c>
      <c r="C496" s="241">
        <v>37302</v>
      </c>
      <c r="D496" s="239" t="s">
        <v>3819</v>
      </c>
      <c r="E496" s="239" t="s">
        <v>1663</v>
      </c>
      <c r="F496" s="239" t="s">
        <v>1733</v>
      </c>
      <c r="G496" s="239" t="s">
        <v>955</v>
      </c>
      <c r="H496" s="239" t="s">
        <v>51</v>
      </c>
      <c r="I496" s="239" t="s">
        <v>1580</v>
      </c>
      <c r="J496" s="233"/>
      <c r="K496" s="235">
        <v>45911</v>
      </c>
      <c r="L496" s="233">
        <v>1.2</v>
      </c>
      <c r="M496" s="234" t="s">
        <v>955</v>
      </c>
      <c r="N496" s="234">
        <v>39700</v>
      </c>
      <c r="O496" s="234">
        <v>15550</v>
      </c>
      <c r="P496" s="242">
        <v>10</v>
      </c>
      <c r="Q496" s="234">
        <v>24150</v>
      </c>
      <c r="R496" s="234">
        <v>21735</v>
      </c>
      <c r="S496" s="234" t="s">
        <v>1784</v>
      </c>
      <c r="T496" s="236">
        <v>45912</v>
      </c>
    </row>
    <row r="497" spans="1:20" ht="51" hidden="1">
      <c r="A497" s="239" t="s">
        <v>1778</v>
      </c>
      <c r="B497" s="240">
        <v>1559</v>
      </c>
      <c r="C497" s="241">
        <v>37304</v>
      </c>
      <c r="D497" s="239" t="s">
        <v>3819</v>
      </c>
      <c r="E497" s="239" t="s">
        <v>1305</v>
      </c>
      <c r="F497" s="239" t="s">
        <v>1306</v>
      </c>
      <c r="G497" s="239" t="s">
        <v>955</v>
      </c>
      <c r="H497" s="239" t="s">
        <v>51</v>
      </c>
      <c r="I497" s="239" t="s">
        <v>1580</v>
      </c>
      <c r="J497" s="233"/>
      <c r="K497" s="235">
        <v>45911</v>
      </c>
      <c r="L497" s="233">
        <v>1.2</v>
      </c>
      <c r="M497" s="234" t="s">
        <v>955</v>
      </c>
      <c r="N497" s="234">
        <v>37430</v>
      </c>
      <c r="O497" s="234">
        <v>14730</v>
      </c>
      <c r="P497" s="242">
        <v>9</v>
      </c>
      <c r="Q497" s="234">
        <v>22700</v>
      </c>
      <c r="R497" s="234">
        <v>20657</v>
      </c>
      <c r="S497" s="234" t="s">
        <v>1785</v>
      </c>
      <c r="T497" s="236">
        <v>45912</v>
      </c>
    </row>
    <row r="498" spans="1:20" ht="51" hidden="1">
      <c r="A498" s="239" t="s">
        <v>1779</v>
      </c>
      <c r="B498" s="240">
        <v>1561</v>
      </c>
      <c r="C498" s="241">
        <v>37310</v>
      </c>
      <c r="D498" s="239" t="s">
        <v>3819</v>
      </c>
      <c r="E498" s="239" t="s">
        <v>413</v>
      </c>
      <c r="F498" s="239" t="s">
        <v>414</v>
      </c>
      <c r="G498" s="239" t="s">
        <v>955</v>
      </c>
      <c r="H498" s="239" t="s">
        <v>51</v>
      </c>
      <c r="I498" s="239" t="s">
        <v>1580</v>
      </c>
      <c r="J498" s="233"/>
      <c r="K498" s="235">
        <v>45911</v>
      </c>
      <c r="L498" s="233">
        <v>1.4</v>
      </c>
      <c r="M498" s="234" t="s">
        <v>955</v>
      </c>
      <c r="N498" s="234">
        <v>42430</v>
      </c>
      <c r="O498" s="234">
        <v>14900</v>
      </c>
      <c r="P498" s="242">
        <v>7</v>
      </c>
      <c r="Q498" s="234">
        <v>27530</v>
      </c>
      <c r="R498" s="234">
        <v>25602.9</v>
      </c>
      <c r="S498" s="234" t="s">
        <v>1786</v>
      </c>
      <c r="T498" s="236">
        <v>45912</v>
      </c>
    </row>
    <row r="499" spans="1:20" ht="51" hidden="1">
      <c r="A499" s="239" t="s">
        <v>1780</v>
      </c>
      <c r="B499" s="240">
        <v>1562</v>
      </c>
      <c r="C499" s="241">
        <v>37312</v>
      </c>
      <c r="D499" s="239" t="s">
        <v>3819</v>
      </c>
      <c r="E499" s="239" t="s">
        <v>429</v>
      </c>
      <c r="F499" s="239" t="s">
        <v>430</v>
      </c>
      <c r="G499" s="239" t="s">
        <v>955</v>
      </c>
      <c r="H499" s="239" t="s">
        <v>51</v>
      </c>
      <c r="I499" s="239" t="s">
        <v>1580</v>
      </c>
      <c r="J499" s="233"/>
      <c r="K499" s="235">
        <v>45911</v>
      </c>
      <c r="L499" s="233">
        <v>1.2</v>
      </c>
      <c r="M499" s="234" t="s">
        <v>955</v>
      </c>
      <c r="N499" s="234">
        <v>38530</v>
      </c>
      <c r="O499" s="234">
        <v>14170</v>
      </c>
      <c r="P499" s="242">
        <v>6</v>
      </c>
      <c r="Q499" s="234">
        <v>24360</v>
      </c>
      <c r="R499" s="234">
        <v>22898.400000000001</v>
      </c>
      <c r="S499" s="234" t="s">
        <v>1787</v>
      </c>
      <c r="T499" s="236">
        <v>45912</v>
      </c>
    </row>
    <row r="500" spans="1:20" ht="51" hidden="1">
      <c r="A500" s="239" t="s">
        <v>1781</v>
      </c>
      <c r="B500" s="240">
        <v>1563</v>
      </c>
      <c r="C500" s="241">
        <v>37308</v>
      </c>
      <c r="D500" s="239" t="s">
        <v>3819</v>
      </c>
      <c r="E500" s="239" t="s">
        <v>432</v>
      </c>
      <c r="F500" s="239" t="s">
        <v>433</v>
      </c>
      <c r="G500" s="239" t="s">
        <v>955</v>
      </c>
      <c r="H500" s="239" t="s">
        <v>51</v>
      </c>
      <c r="I500" s="239" t="s">
        <v>1580</v>
      </c>
      <c r="J500" s="233"/>
      <c r="K500" s="235">
        <v>45911</v>
      </c>
      <c r="L500" s="233">
        <v>1.4</v>
      </c>
      <c r="M500" s="234" t="s">
        <v>955</v>
      </c>
      <c r="N500" s="234">
        <v>42220</v>
      </c>
      <c r="O500" s="234">
        <v>15550</v>
      </c>
      <c r="P500" s="242">
        <v>8</v>
      </c>
      <c r="Q500" s="234">
        <v>26670</v>
      </c>
      <c r="R500" s="234">
        <v>24536.400000000001</v>
      </c>
      <c r="S500" s="234" t="s">
        <v>1788</v>
      </c>
      <c r="T500" s="236">
        <v>45912</v>
      </c>
    </row>
    <row r="501" spans="1:20" ht="51" hidden="1">
      <c r="A501" s="239" t="s">
        <v>1790</v>
      </c>
      <c r="B501" s="240">
        <v>1564</v>
      </c>
      <c r="C501" s="241">
        <v>37314</v>
      </c>
      <c r="D501" s="239" t="s">
        <v>3819</v>
      </c>
      <c r="E501" s="239" t="s">
        <v>416</v>
      </c>
      <c r="F501" s="239" t="s">
        <v>417</v>
      </c>
      <c r="G501" s="239" t="s">
        <v>955</v>
      </c>
      <c r="H501" s="239" t="s">
        <v>51</v>
      </c>
      <c r="I501" s="239" t="s">
        <v>1580</v>
      </c>
      <c r="J501" s="233"/>
      <c r="K501" s="235">
        <v>45911</v>
      </c>
      <c r="L501" s="233">
        <v>1.1000000000000001</v>
      </c>
      <c r="M501" s="234" t="s">
        <v>955</v>
      </c>
      <c r="N501" s="234">
        <v>37070</v>
      </c>
      <c r="O501" s="234">
        <v>14680</v>
      </c>
      <c r="P501" s="242">
        <v>8</v>
      </c>
      <c r="Q501" s="234">
        <v>22390</v>
      </c>
      <c r="R501" s="234">
        <v>20598.8</v>
      </c>
      <c r="S501" s="234" t="s">
        <v>1841</v>
      </c>
      <c r="T501" s="236">
        <v>45912</v>
      </c>
    </row>
    <row r="502" spans="1:20" ht="51" hidden="1">
      <c r="A502" s="239" t="s">
        <v>1791</v>
      </c>
      <c r="B502" s="240">
        <v>1565</v>
      </c>
      <c r="C502" s="241">
        <v>37316</v>
      </c>
      <c r="D502" s="239" t="s">
        <v>3819</v>
      </c>
      <c r="E502" s="239" t="s">
        <v>384</v>
      </c>
      <c r="F502" s="239" t="s">
        <v>385</v>
      </c>
      <c r="G502" s="239" t="s">
        <v>955</v>
      </c>
      <c r="H502" s="239" t="s">
        <v>51</v>
      </c>
      <c r="I502" s="239" t="s">
        <v>1580</v>
      </c>
      <c r="J502" s="233"/>
      <c r="K502" s="235">
        <v>45911</v>
      </c>
      <c r="L502" s="233">
        <v>1.1000000000000001</v>
      </c>
      <c r="M502" s="234" t="s">
        <v>955</v>
      </c>
      <c r="N502" s="234">
        <v>36000</v>
      </c>
      <c r="O502" s="234">
        <v>13860</v>
      </c>
      <c r="P502" s="242">
        <v>11</v>
      </c>
      <c r="Q502" s="234">
        <v>22140</v>
      </c>
      <c r="R502" s="234">
        <v>19704.599999999999</v>
      </c>
      <c r="S502" s="234" t="s">
        <v>1842</v>
      </c>
      <c r="T502" s="236">
        <v>45912</v>
      </c>
    </row>
    <row r="503" spans="1:20" ht="51" hidden="1">
      <c r="A503" s="239" t="s">
        <v>1797</v>
      </c>
      <c r="B503" s="240">
        <v>1566</v>
      </c>
      <c r="C503" s="241">
        <v>37320</v>
      </c>
      <c r="D503" s="239" t="s">
        <v>3819</v>
      </c>
      <c r="E503" s="239" t="s">
        <v>372</v>
      </c>
      <c r="F503" s="239" t="s">
        <v>373</v>
      </c>
      <c r="G503" s="239" t="s">
        <v>955</v>
      </c>
      <c r="H503" s="239" t="s">
        <v>51</v>
      </c>
      <c r="I503" s="239" t="s">
        <v>1580</v>
      </c>
      <c r="J503" s="233"/>
      <c r="K503" s="235">
        <v>45911</v>
      </c>
      <c r="L503" s="233">
        <v>1.2</v>
      </c>
      <c r="M503" s="234" t="s">
        <v>955</v>
      </c>
      <c r="N503" s="234">
        <v>38520</v>
      </c>
      <c r="O503" s="234">
        <v>14850</v>
      </c>
      <c r="P503" s="242">
        <v>7</v>
      </c>
      <c r="Q503" s="234">
        <v>23670</v>
      </c>
      <c r="R503" s="234">
        <v>22013.1</v>
      </c>
      <c r="S503" s="234" t="s">
        <v>1843</v>
      </c>
      <c r="T503" s="236">
        <v>45912</v>
      </c>
    </row>
    <row r="504" spans="1:20" ht="51" hidden="1">
      <c r="A504" s="239" t="s">
        <v>1798</v>
      </c>
      <c r="B504" s="240">
        <v>1567</v>
      </c>
      <c r="C504" s="241">
        <v>37322</v>
      </c>
      <c r="D504" s="239" t="s">
        <v>3819</v>
      </c>
      <c r="E504" s="239" t="s">
        <v>369</v>
      </c>
      <c r="F504" s="239" t="s">
        <v>370</v>
      </c>
      <c r="G504" s="239" t="s">
        <v>955</v>
      </c>
      <c r="H504" s="239" t="s">
        <v>51</v>
      </c>
      <c r="I504" s="239" t="s">
        <v>1580</v>
      </c>
      <c r="J504" s="233"/>
      <c r="K504" s="235">
        <v>45911</v>
      </c>
      <c r="L504" s="233">
        <v>1.2</v>
      </c>
      <c r="M504" s="234" t="s">
        <v>955</v>
      </c>
      <c r="N504" s="234">
        <v>38600</v>
      </c>
      <c r="O504" s="234">
        <v>15070</v>
      </c>
      <c r="P504" s="242">
        <v>14</v>
      </c>
      <c r="Q504" s="234">
        <v>23530</v>
      </c>
      <c r="R504" s="234">
        <v>20235.8</v>
      </c>
      <c r="S504" s="234" t="s">
        <v>1844</v>
      </c>
      <c r="T504" s="236">
        <v>45912</v>
      </c>
    </row>
    <row r="505" spans="1:20" ht="51" hidden="1">
      <c r="A505" s="239" t="s">
        <v>1801</v>
      </c>
      <c r="B505" s="240">
        <v>1568</v>
      </c>
      <c r="C505" s="241">
        <v>37324</v>
      </c>
      <c r="D505" s="239" t="s">
        <v>3819</v>
      </c>
      <c r="E505" s="239" t="s">
        <v>386</v>
      </c>
      <c r="F505" s="239" t="s">
        <v>387</v>
      </c>
      <c r="G505" s="239" t="s">
        <v>955</v>
      </c>
      <c r="H505" s="239" t="s">
        <v>51</v>
      </c>
      <c r="I505" s="239" t="s">
        <v>1580</v>
      </c>
      <c r="J505" s="233"/>
      <c r="K505" s="235">
        <v>45911</v>
      </c>
      <c r="L505" s="233">
        <v>1.2</v>
      </c>
      <c r="M505" s="234" t="s">
        <v>955</v>
      </c>
      <c r="N505" s="234">
        <v>39790</v>
      </c>
      <c r="O505" s="234">
        <v>15420</v>
      </c>
      <c r="P505" s="242">
        <v>11</v>
      </c>
      <c r="Q505" s="234">
        <v>24370</v>
      </c>
      <c r="R505" s="234">
        <v>21689.3</v>
      </c>
      <c r="S505" s="234" t="s">
        <v>1845</v>
      </c>
      <c r="T505" s="236">
        <v>45912</v>
      </c>
    </row>
    <row r="506" spans="1:20" ht="51" hidden="1">
      <c r="A506" s="239" t="s">
        <v>1802</v>
      </c>
      <c r="B506" s="240">
        <v>1570</v>
      </c>
      <c r="C506" s="241">
        <v>37344</v>
      </c>
      <c r="D506" s="239" t="s">
        <v>3819</v>
      </c>
      <c r="E506" s="239" t="s">
        <v>1397</v>
      </c>
      <c r="F506" s="239" t="s">
        <v>1398</v>
      </c>
      <c r="G506" s="239" t="s">
        <v>955</v>
      </c>
      <c r="H506" s="239" t="s">
        <v>51</v>
      </c>
      <c r="I506" s="239" t="s">
        <v>1580</v>
      </c>
      <c r="J506" s="233"/>
      <c r="K506" s="235">
        <v>45911</v>
      </c>
      <c r="L506" s="233">
        <v>1.3</v>
      </c>
      <c r="M506" s="234" t="s">
        <v>955</v>
      </c>
      <c r="N506" s="234">
        <v>41800</v>
      </c>
      <c r="O506" s="234">
        <v>16740</v>
      </c>
      <c r="P506" s="242">
        <v>9</v>
      </c>
      <c r="Q506" s="234">
        <v>25060</v>
      </c>
      <c r="R506" s="234">
        <v>22804.6</v>
      </c>
      <c r="S506" s="234" t="s">
        <v>1846</v>
      </c>
      <c r="T506" s="236">
        <v>45912</v>
      </c>
    </row>
    <row r="507" spans="1:20" ht="51" hidden="1">
      <c r="A507" s="239" t="s">
        <v>1803</v>
      </c>
      <c r="B507" s="240">
        <v>1569</v>
      </c>
      <c r="C507" s="241">
        <v>37346</v>
      </c>
      <c r="D507" s="239" t="s">
        <v>3819</v>
      </c>
      <c r="E507" s="239" t="s">
        <v>1403</v>
      </c>
      <c r="F507" s="239" t="s">
        <v>1404</v>
      </c>
      <c r="G507" s="239" t="s">
        <v>955</v>
      </c>
      <c r="H507" s="239" t="s">
        <v>51</v>
      </c>
      <c r="I507" s="239" t="s">
        <v>1580</v>
      </c>
      <c r="J507" s="233"/>
      <c r="K507" s="235">
        <v>45911</v>
      </c>
      <c r="L507" s="233">
        <v>1.2</v>
      </c>
      <c r="M507" s="234" t="s">
        <v>955</v>
      </c>
      <c r="N507" s="234">
        <v>38410</v>
      </c>
      <c r="O507" s="234">
        <v>14950</v>
      </c>
      <c r="P507" s="242">
        <v>5</v>
      </c>
      <c r="Q507" s="234">
        <v>23460</v>
      </c>
      <c r="R507" s="234">
        <v>22287</v>
      </c>
      <c r="S507" s="234" t="s">
        <v>1847</v>
      </c>
      <c r="T507" s="236">
        <v>45912</v>
      </c>
    </row>
    <row r="508" spans="1:20" ht="51" hidden="1">
      <c r="A508" s="239" t="s">
        <v>1805</v>
      </c>
      <c r="B508" s="240">
        <v>1571</v>
      </c>
      <c r="C508" s="241">
        <v>37348</v>
      </c>
      <c r="D508" s="239" t="s">
        <v>3819</v>
      </c>
      <c r="E508" s="239" t="s">
        <v>1400</v>
      </c>
      <c r="F508" s="239" t="s">
        <v>1401</v>
      </c>
      <c r="G508" s="239" t="s">
        <v>955</v>
      </c>
      <c r="H508" s="239" t="s">
        <v>51</v>
      </c>
      <c r="I508" s="239" t="s">
        <v>1580</v>
      </c>
      <c r="J508" s="233"/>
      <c r="K508" s="235">
        <v>45911</v>
      </c>
      <c r="L508" s="233">
        <v>1.1000000000000001</v>
      </c>
      <c r="M508" s="234" t="s">
        <v>955</v>
      </c>
      <c r="N508" s="234">
        <v>36940</v>
      </c>
      <c r="O508" s="234">
        <v>14740</v>
      </c>
      <c r="P508" s="242">
        <v>13</v>
      </c>
      <c r="Q508" s="234">
        <v>22200</v>
      </c>
      <c r="R508" s="234">
        <v>19314</v>
      </c>
      <c r="S508" s="234" t="s">
        <v>1848</v>
      </c>
      <c r="T508" s="236">
        <v>45912</v>
      </c>
    </row>
    <row r="509" spans="1:20" ht="51" hidden="1">
      <c r="A509" s="239" t="s">
        <v>1789</v>
      </c>
      <c r="B509" s="240">
        <v>1572</v>
      </c>
      <c r="C509" s="241">
        <v>37318</v>
      </c>
      <c r="D509" s="239" t="s">
        <v>3819</v>
      </c>
      <c r="E509" s="239" t="s">
        <v>453</v>
      </c>
      <c r="F509" s="239" t="s">
        <v>454</v>
      </c>
      <c r="G509" s="239" t="s">
        <v>955</v>
      </c>
      <c r="H509" s="239" t="s">
        <v>51</v>
      </c>
      <c r="I509" s="239" t="s">
        <v>1580</v>
      </c>
      <c r="J509" s="233"/>
      <c r="K509" s="235">
        <v>45911</v>
      </c>
      <c r="L509" s="233">
        <v>1.6</v>
      </c>
      <c r="M509" s="234" t="s">
        <v>955</v>
      </c>
      <c r="N509" s="234">
        <v>54940</v>
      </c>
      <c r="O509" s="234">
        <v>24080</v>
      </c>
      <c r="P509" s="242">
        <v>18</v>
      </c>
      <c r="Q509" s="234">
        <v>30860</v>
      </c>
      <c r="R509" s="234">
        <v>25305.200000000001</v>
      </c>
      <c r="S509" s="234" t="s">
        <v>1840</v>
      </c>
      <c r="T509" s="236">
        <v>45912</v>
      </c>
    </row>
    <row r="510" spans="1:20" ht="51" hidden="1">
      <c r="A510" s="239" t="s">
        <v>1792</v>
      </c>
      <c r="B510" s="240">
        <v>1576</v>
      </c>
      <c r="C510" s="241">
        <v>37326</v>
      </c>
      <c r="D510" s="239" t="s">
        <v>3819</v>
      </c>
      <c r="E510" s="239" t="s">
        <v>456</v>
      </c>
      <c r="F510" s="239" t="s">
        <v>457</v>
      </c>
      <c r="G510" s="239" t="s">
        <v>947</v>
      </c>
      <c r="H510" s="239" t="s">
        <v>51</v>
      </c>
      <c r="I510" s="239" t="s">
        <v>1580</v>
      </c>
      <c r="J510" s="233"/>
      <c r="K510" s="235">
        <v>45912</v>
      </c>
      <c r="L510" s="233">
        <v>2</v>
      </c>
      <c r="M510" s="234" t="s">
        <v>947</v>
      </c>
      <c r="N510" s="234">
        <v>44390</v>
      </c>
      <c r="O510" s="234">
        <v>15590</v>
      </c>
      <c r="P510" s="242">
        <v>11</v>
      </c>
      <c r="Q510" s="234">
        <v>28800</v>
      </c>
      <c r="R510" s="234">
        <v>25632</v>
      </c>
      <c r="S510" s="234" t="s">
        <v>1850</v>
      </c>
      <c r="T510" s="236">
        <v>45912</v>
      </c>
    </row>
    <row r="511" spans="1:20" ht="51" hidden="1">
      <c r="A511" s="239" t="s">
        <v>1793</v>
      </c>
      <c r="B511" s="240">
        <v>1577</v>
      </c>
      <c r="C511" s="241">
        <v>37257</v>
      </c>
      <c r="D511" s="239" t="s">
        <v>3819</v>
      </c>
      <c r="E511" s="239" t="s">
        <v>794</v>
      </c>
      <c r="F511" s="239" t="s">
        <v>795</v>
      </c>
      <c r="G511" s="239" t="s">
        <v>947</v>
      </c>
      <c r="H511" s="239" t="s">
        <v>51</v>
      </c>
      <c r="I511" s="239" t="s">
        <v>1580</v>
      </c>
      <c r="J511" s="233"/>
      <c r="K511" s="235">
        <v>45912</v>
      </c>
      <c r="L511" s="233">
        <v>1.8</v>
      </c>
      <c r="M511" s="234" t="s">
        <v>947</v>
      </c>
      <c r="N511" s="234">
        <v>42170</v>
      </c>
      <c r="O511" s="234">
        <v>16050</v>
      </c>
      <c r="P511" s="242">
        <v>12</v>
      </c>
      <c r="Q511" s="234">
        <v>26120</v>
      </c>
      <c r="R511" s="234">
        <v>22985.599999999999</v>
      </c>
      <c r="S511" s="234" t="s">
        <v>1851</v>
      </c>
      <c r="T511" s="236">
        <v>45912</v>
      </c>
    </row>
    <row r="512" spans="1:20" ht="51" hidden="1">
      <c r="A512" s="239" t="s">
        <v>1794</v>
      </c>
      <c r="B512" s="240">
        <v>1578</v>
      </c>
      <c r="C512" s="241">
        <v>37330</v>
      </c>
      <c r="D512" s="239" t="s">
        <v>3819</v>
      </c>
      <c r="E512" s="239" t="s">
        <v>403</v>
      </c>
      <c r="F512" s="239" t="s">
        <v>404</v>
      </c>
      <c r="G512" s="239" t="s">
        <v>947</v>
      </c>
      <c r="H512" s="239" t="s">
        <v>51</v>
      </c>
      <c r="I512" s="239" t="s">
        <v>1580</v>
      </c>
      <c r="J512" s="233"/>
      <c r="K512" s="235">
        <v>45912</v>
      </c>
      <c r="L512" s="233">
        <v>1.8</v>
      </c>
      <c r="M512" s="234" t="s">
        <v>947</v>
      </c>
      <c r="N512" s="234">
        <v>40000</v>
      </c>
      <c r="O512" s="234">
        <v>14510</v>
      </c>
      <c r="P512" s="242">
        <v>14</v>
      </c>
      <c r="Q512" s="234">
        <v>25490</v>
      </c>
      <c r="R512" s="234">
        <v>21921.4</v>
      </c>
      <c r="S512" s="234" t="s">
        <v>1852</v>
      </c>
      <c r="T512" s="236">
        <v>45912</v>
      </c>
    </row>
    <row r="513" spans="1:20" ht="51" hidden="1">
      <c r="A513" s="239" t="s">
        <v>1795</v>
      </c>
      <c r="B513" s="240">
        <v>1579</v>
      </c>
      <c r="C513" s="241">
        <v>37332</v>
      </c>
      <c r="D513" s="239" t="s">
        <v>3819</v>
      </c>
      <c r="E513" s="239" t="s">
        <v>406</v>
      </c>
      <c r="F513" s="239" t="s">
        <v>407</v>
      </c>
      <c r="G513" s="239" t="s">
        <v>947</v>
      </c>
      <c r="H513" s="239" t="s">
        <v>51</v>
      </c>
      <c r="I513" s="239" t="s">
        <v>1580</v>
      </c>
      <c r="J513" s="233"/>
      <c r="K513" s="235">
        <v>45912</v>
      </c>
      <c r="L513" s="233">
        <v>1.7</v>
      </c>
      <c r="M513" s="234" t="s">
        <v>947</v>
      </c>
      <c r="N513" s="234">
        <v>39680</v>
      </c>
      <c r="O513" s="234">
        <v>14970</v>
      </c>
      <c r="P513" s="242">
        <v>20</v>
      </c>
      <c r="Q513" s="234">
        <v>24710</v>
      </c>
      <c r="R513" s="234">
        <v>19768</v>
      </c>
      <c r="S513" s="234" t="s">
        <v>1853</v>
      </c>
      <c r="T513" s="236">
        <v>45912</v>
      </c>
    </row>
    <row r="514" spans="1:20" ht="51" hidden="1">
      <c r="A514" s="239" t="s">
        <v>1796</v>
      </c>
      <c r="B514" s="240">
        <v>1580</v>
      </c>
      <c r="C514" s="241">
        <v>37334</v>
      </c>
      <c r="D514" s="239" t="s">
        <v>3819</v>
      </c>
      <c r="E514" s="239" t="s">
        <v>392</v>
      </c>
      <c r="F514" s="239" t="s">
        <v>393</v>
      </c>
      <c r="G514" s="239" t="s">
        <v>947</v>
      </c>
      <c r="H514" s="239" t="s">
        <v>51</v>
      </c>
      <c r="I514" s="239" t="s">
        <v>1580</v>
      </c>
      <c r="J514" s="233"/>
      <c r="K514" s="235">
        <v>45912</v>
      </c>
      <c r="L514" s="233">
        <v>2.8</v>
      </c>
      <c r="M514" s="234" t="s">
        <v>947</v>
      </c>
      <c r="N514" s="234">
        <v>64250</v>
      </c>
      <c r="O514" s="234">
        <v>23990</v>
      </c>
      <c r="P514" s="242">
        <v>19</v>
      </c>
      <c r="Q514" s="234">
        <v>40260</v>
      </c>
      <c r="R514" s="234">
        <v>32610.6</v>
      </c>
      <c r="S514" s="234" t="s">
        <v>1849</v>
      </c>
      <c r="T514" s="236">
        <v>45912</v>
      </c>
    </row>
    <row r="515" spans="1:20" ht="51" hidden="1">
      <c r="A515" s="239" t="s">
        <v>1799</v>
      </c>
      <c r="B515" s="240">
        <v>1583</v>
      </c>
      <c r="C515" s="241">
        <v>37338</v>
      </c>
      <c r="D515" s="239" t="s">
        <v>3819</v>
      </c>
      <c r="E515" s="239" t="s">
        <v>791</v>
      </c>
      <c r="F515" s="239" t="s">
        <v>792</v>
      </c>
      <c r="G515" s="239" t="s">
        <v>947</v>
      </c>
      <c r="H515" s="239" t="s">
        <v>51</v>
      </c>
      <c r="I515" s="239" t="s">
        <v>1580</v>
      </c>
      <c r="J515" s="233"/>
      <c r="K515" s="235">
        <v>45912</v>
      </c>
      <c r="L515" s="233">
        <v>1.6</v>
      </c>
      <c r="M515" s="234" t="s">
        <v>947</v>
      </c>
      <c r="N515" s="234">
        <v>37600</v>
      </c>
      <c r="O515" s="234">
        <v>14890</v>
      </c>
      <c r="P515" s="242">
        <v>9</v>
      </c>
      <c r="Q515" s="234">
        <v>22710</v>
      </c>
      <c r="R515" s="234">
        <v>20666.099999999999</v>
      </c>
      <c r="S515" s="234" t="s">
        <v>1854</v>
      </c>
      <c r="T515" s="236">
        <v>45912</v>
      </c>
    </row>
    <row r="516" spans="1:20" ht="51" hidden="1">
      <c r="A516" s="239" t="s">
        <v>1800</v>
      </c>
      <c r="B516" s="240">
        <v>1584</v>
      </c>
      <c r="C516" s="241">
        <v>37336</v>
      </c>
      <c r="D516" s="239" t="s">
        <v>3819</v>
      </c>
      <c r="E516" s="239" t="s">
        <v>841</v>
      </c>
      <c r="F516" s="239" t="s">
        <v>845</v>
      </c>
      <c r="G516" s="239" t="s">
        <v>947</v>
      </c>
      <c r="H516" s="239" t="s">
        <v>51</v>
      </c>
      <c r="I516" s="239" t="s">
        <v>1580</v>
      </c>
      <c r="J516" s="233"/>
      <c r="K516" s="235">
        <v>45912</v>
      </c>
      <c r="L516" s="233">
        <v>1.8</v>
      </c>
      <c r="M516" s="234" t="s">
        <v>947</v>
      </c>
      <c r="N516" s="234">
        <v>41560</v>
      </c>
      <c r="O516" s="234">
        <v>15840</v>
      </c>
      <c r="P516" s="242">
        <v>8</v>
      </c>
      <c r="Q516" s="234">
        <v>25720</v>
      </c>
      <c r="R516" s="234">
        <v>23662.400000000001</v>
      </c>
      <c r="S516" s="234" t="s">
        <v>1855</v>
      </c>
      <c r="T516" s="236">
        <v>45912</v>
      </c>
    </row>
    <row r="517" spans="1:20" ht="51" hidden="1">
      <c r="A517" s="239" t="s">
        <v>1804</v>
      </c>
      <c r="B517" s="240">
        <v>1585</v>
      </c>
      <c r="C517" s="241">
        <v>37350</v>
      </c>
      <c r="D517" s="239" t="s">
        <v>3819</v>
      </c>
      <c r="E517" s="239" t="s">
        <v>462</v>
      </c>
      <c r="F517" s="239" t="s">
        <v>463</v>
      </c>
      <c r="G517" s="239" t="s">
        <v>947</v>
      </c>
      <c r="H517" s="239" t="s">
        <v>51</v>
      </c>
      <c r="I517" s="239" t="s">
        <v>1580</v>
      </c>
      <c r="J517" s="233"/>
      <c r="K517" s="235">
        <v>45912</v>
      </c>
      <c r="L517" s="233">
        <v>1.7</v>
      </c>
      <c r="M517" s="234" t="s">
        <v>947</v>
      </c>
      <c r="N517" s="234">
        <v>40250</v>
      </c>
      <c r="O517" s="234">
        <v>16260</v>
      </c>
      <c r="P517" s="242">
        <v>9</v>
      </c>
      <c r="Q517" s="234">
        <v>23990</v>
      </c>
      <c r="R517" s="234">
        <v>21830.9</v>
      </c>
      <c r="S517" s="234" t="s">
        <v>1856</v>
      </c>
      <c r="T517" s="236">
        <v>45912</v>
      </c>
    </row>
    <row r="518" spans="1:20" ht="51" hidden="1">
      <c r="A518" s="239" t="s">
        <v>1806</v>
      </c>
      <c r="B518" s="240">
        <v>1587</v>
      </c>
      <c r="C518" s="241">
        <v>37342</v>
      </c>
      <c r="D518" s="239" t="s">
        <v>3819</v>
      </c>
      <c r="E518" s="239" t="s">
        <v>439</v>
      </c>
      <c r="F518" s="239" t="s">
        <v>440</v>
      </c>
      <c r="G518" s="239" t="s">
        <v>947</v>
      </c>
      <c r="H518" s="239" t="s">
        <v>51</v>
      </c>
      <c r="I518" s="239" t="s">
        <v>1580</v>
      </c>
      <c r="J518" s="233"/>
      <c r="K518" s="235">
        <v>45912</v>
      </c>
      <c r="L518" s="233">
        <v>1.8</v>
      </c>
      <c r="M518" s="234" t="s">
        <v>947</v>
      </c>
      <c r="N518" s="234">
        <v>40020</v>
      </c>
      <c r="O518" s="234">
        <v>14930</v>
      </c>
      <c r="P518" s="242">
        <v>10</v>
      </c>
      <c r="Q518" s="234">
        <v>25090</v>
      </c>
      <c r="R518" s="234">
        <v>22581</v>
      </c>
      <c r="S518" s="234" t="s">
        <v>1857</v>
      </c>
      <c r="T518" s="236">
        <v>45913</v>
      </c>
    </row>
    <row r="519" spans="1:20" ht="51" hidden="1">
      <c r="A519" s="239" t="s">
        <v>1810</v>
      </c>
      <c r="B519" s="240">
        <v>1588</v>
      </c>
      <c r="C519" s="241">
        <v>37340</v>
      </c>
      <c r="D519" s="239" t="s">
        <v>3819</v>
      </c>
      <c r="E519" s="239" t="s">
        <v>1410</v>
      </c>
      <c r="F519" s="239" t="s">
        <v>437</v>
      </c>
      <c r="G519" s="239" t="s">
        <v>947</v>
      </c>
      <c r="H519" s="239" t="s">
        <v>51</v>
      </c>
      <c r="I519" s="239" t="s">
        <v>1580</v>
      </c>
      <c r="J519" s="233"/>
      <c r="K519" s="235">
        <v>45912</v>
      </c>
      <c r="L519" s="233">
        <v>1.7</v>
      </c>
      <c r="M519" s="234" t="s">
        <v>947</v>
      </c>
      <c r="N519" s="234">
        <v>39610</v>
      </c>
      <c r="O519" s="234">
        <v>14750</v>
      </c>
      <c r="P519" s="242">
        <v>9</v>
      </c>
      <c r="Q519" s="234">
        <v>24860</v>
      </c>
      <c r="R519" s="234">
        <v>22622.6</v>
      </c>
      <c r="S519" s="234" t="s">
        <v>1861</v>
      </c>
      <c r="T519" s="236">
        <v>45913</v>
      </c>
    </row>
    <row r="520" spans="1:20" ht="51" hidden="1">
      <c r="A520" s="239" t="s">
        <v>1811</v>
      </c>
      <c r="B520" s="240">
        <v>1594</v>
      </c>
      <c r="C520" s="241">
        <v>37352</v>
      </c>
      <c r="D520" s="239" t="s">
        <v>3819</v>
      </c>
      <c r="E520" s="239" t="s">
        <v>472</v>
      </c>
      <c r="F520" s="239" t="s">
        <v>473</v>
      </c>
      <c r="G520" s="239" t="s">
        <v>947</v>
      </c>
      <c r="H520" s="239" t="s">
        <v>51</v>
      </c>
      <c r="I520" s="239" t="s">
        <v>1580</v>
      </c>
      <c r="J520" s="233"/>
      <c r="K520" s="235">
        <v>45912</v>
      </c>
      <c r="L520" s="233">
        <v>1.6</v>
      </c>
      <c r="M520" s="234" t="s">
        <v>947</v>
      </c>
      <c r="N520" s="234">
        <v>39680</v>
      </c>
      <c r="O520" s="234">
        <v>16390</v>
      </c>
      <c r="P520" s="242">
        <v>8</v>
      </c>
      <c r="Q520" s="234">
        <v>23290</v>
      </c>
      <c r="R520" s="234">
        <v>21426.799999999999</v>
      </c>
      <c r="S520" s="234" t="s">
        <v>1862</v>
      </c>
      <c r="T520" s="236">
        <v>45913</v>
      </c>
    </row>
    <row r="521" spans="1:20" ht="51" hidden="1">
      <c r="A521" s="239" t="s">
        <v>1814</v>
      </c>
      <c r="B521" s="240">
        <v>1599</v>
      </c>
      <c r="C521" s="241">
        <v>37359</v>
      </c>
      <c r="D521" s="239" t="s">
        <v>3819</v>
      </c>
      <c r="E521" s="239" t="s">
        <v>780</v>
      </c>
      <c r="F521" s="239" t="s">
        <v>781</v>
      </c>
      <c r="G521" s="239" t="s">
        <v>947</v>
      </c>
      <c r="H521" s="239" t="s">
        <v>51</v>
      </c>
      <c r="I521" s="239" t="s">
        <v>1580</v>
      </c>
      <c r="J521" s="233"/>
      <c r="K521" s="235">
        <v>45912</v>
      </c>
      <c r="L521" s="233">
        <v>1.5</v>
      </c>
      <c r="M521" s="234" t="s">
        <v>947</v>
      </c>
      <c r="N521" s="234">
        <v>36500</v>
      </c>
      <c r="O521" s="234">
        <v>14810</v>
      </c>
      <c r="P521" s="242">
        <v>14</v>
      </c>
      <c r="Q521" s="234">
        <v>21690</v>
      </c>
      <c r="R521" s="234">
        <v>18653.400000000001</v>
      </c>
      <c r="S521" s="234" t="s">
        <v>1865</v>
      </c>
      <c r="T521" s="236">
        <v>45913</v>
      </c>
    </row>
    <row r="522" spans="1:20" ht="51" hidden="1">
      <c r="A522" s="239" t="s">
        <v>1815</v>
      </c>
      <c r="B522" s="240">
        <v>1600</v>
      </c>
      <c r="C522" s="241">
        <v>37361</v>
      </c>
      <c r="D522" s="239" t="s">
        <v>3819</v>
      </c>
      <c r="E522" s="239" t="s">
        <v>442</v>
      </c>
      <c r="F522" s="239" t="s">
        <v>443</v>
      </c>
      <c r="G522" s="239" t="s">
        <v>947</v>
      </c>
      <c r="H522" s="239" t="s">
        <v>51</v>
      </c>
      <c r="I522" s="239" t="s">
        <v>1580</v>
      </c>
      <c r="J522" s="233"/>
      <c r="K522" s="235">
        <v>45912</v>
      </c>
      <c r="L522" s="233">
        <v>1.5</v>
      </c>
      <c r="M522" s="234" t="s">
        <v>947</v>
      </c>
      <c r="N522" s="234">
        <v>36620</v>
      </c>
      <c r="O522" s="234">
        <v>14440</v>
      </c>
      <c r="P522" s="242">
        <v>18</v>
      </c>
      <c r="Q522" s="234">
        <v>22180</v>
      </c>
      <c r="R522" s="234">
        <v>18187.599999999999</v>
      </c>
      <c r="S522" s="234" t="s">
        <v>1866</v>
      </c>
      <c r="T522" s="236">
        <v>45913</v>
      </c>
    </row>
    <row r="523" spans="1:20" ht="51" hidden="1">
      <c r="A523" s="239" t="s">
        <v>1818</v>
      </c>
      <c r="B523" s="240">
        <v>1603</v>
      </c>
      <c r="C523" s="241">
        <v>37365</v>
      </c>
      <c r="D523" s="239" t="s">
        <v>3819</v>
      </c>
      <c r="E523" s="239" t="s">
        <v>866</v>
      </c>
      <c r="F523" s="239" t="s">
        <v>867</v>
      </c>
      <c r="G523" s="239" t="s">
        <v>947</v>
      </c>
      <c r="H523" s="239" t="s">
        <v>51</v>
      </c>
      <c r="I523" s="239" t="s">
        <v>1580</v>
      </c>
      <c r="J523" s="233"/>
      <c r="K523" s="235">
        <v>45912</v>
      </c>
      <c r="L523" s="233">
        <v>1.6</v>
      </c>
      <c r="M523" s="234" t="s">
        <v>947</v>
      </c>
      <c r="N523" s="234">
        <v>37810</v>
      </c>
      <c r="O523" s="234">
        <v>14430</v>
      </c>
      <c r="P523" s="242">
        <v>10</v>
      </c>
      <c r="Q523" s="234">
        <v>23380</v>
      </c>
      <c r="R523" s="234">
        <v>21042</v>
      </c>
      <c r="S523" s="234" t="s">
        <v>1869</v>
      </c>
      <c r="T523" s="236">
        <v>45913</v>
      </c>
    </row>
    <row r="524" spans="1:20" ht="51" hidden="1">
      <c r="A524" s="239" t="s">
        <v>1820</v>
      </c>
      <c r="B524" s="240">
        <v>1604</v>
      </c>
      <c r="C524" s="241">
        <v>37363</v>
      </c>
      <c r="D524" s="239" t="s">
        <v>3819</v>
      </c>
      <c r="E524" s="239" t="s">
        <v>380</v>
      </c>
      <c r="F524" s="239" t="s">
        <v>381</v>
      </c>
      <c r="G524" s="239" t="s">
        <v>947</v>
      </c>
      <c r="H524" s="239" t="s">
        <v>51</v>
      </c>
      <c r="I524" s="239" t="s">
        <v>1580</v>
      </c>
      <c r="J524" s="233"/>
      <c r="K524" s="235">
        <v>45913</v>
      </c>
      <c r="L524" s="233">
        <v>1.5</v>
      </c>
      <c r="M524" s="234" t="s">
        <v>947</v>
      </c>
      <c r="N524" s="234">
        <v>40390</v>
      </c>
      <c r="O524" s="234">
        <v>15010</v>
      </c>
      <c r="P524" s="242">
        <v>19</v>
      </c>
      <c r="Q524" s="234">
        <v>25380</v>
      </c>
      <c r="R524" s="234">
        <v>20557.8</v>
      </c>
      <c r="S524" s="234" t="s">
        <v>1871</v>
      </c>
      <c r="T524" s="236">
        <v>45913</v>
      </c>
    </row>
    <row r="525" spans="1:20" ht="51" hidden="1">
      <c r="A525" s="239" t="s">
        <v>1821</v>
      </c>
      <c r="B525" s="240">
        <v>1616</v>
      </c>
      <c r="C525" s="241">
        <v>37432</v>
      </c>
      <c r="D525" s="239" t="s">
        <v>3819</v>
      </c>
      <c r="E525" s="239" t="s">
        <v>410</v>
      </c>
      <c r="F525" s="239" t="s">
        <v>411</v>
      </c>
      <c r="G525" s="239" t="s">
        <v>952</v>
      </c>
      <c r="H525" s="239" t="s">
        <v>51</v>
      </c>
      <c r="I525" s="239" t="s">
        <v>1580</v>
      </c>
      <c r="J525" s="233"/>
      <c r="K525" s="235">
        <v>45913</v>
      </c>
      <c r="L525" s="233">
        <v>1.5</v>
      </c>
      <c r="M525" s="234" t="s">
        <v>952</v>
      </c>
      <c r="N525" s="234">
        <v>38410</v>
      </c>
      <c r="O525" s="234">
        <v>15020</v>
      </c>
      <c r="P525" s="242">
        <v>6</v>
      </c>
      <c r="Q525" s="234">
        <v>23390</v>
      </c>
      <c r="R525" s="234">
        <v>21986.6</v>
      </c>
      <c r="S525" s="234" t="s">
        <v>1872</v>
      </c>
      <c r="T525" s="236">
        <v>45913</v>
      </c>
    </row>
    <row r="526" spans="1:20" ht="51" hidden="1">
      <c r="A526" s="239" t="s">
        <v>1822</v>
      </c>
      <c r="B526" s="240">
        <v>1606</v>
      </c>
      <c r="C526" s="241">
        <v>37367</v>
      </c>
      <c r="D526" s="239" t="s">
        <v>3819</v>
      </c>
      <c r="E526" s="239" t="s">
        <v>374</v>
      </c>
      <c r="F526" s="239" t="s">
        <v>375</v>
      </c>
      <c r="G526" s="239" t="s">
        <v>947</v>
      </c>
      <c r="H526" s="239" t="s">
        <v>51</v>
      </c>
      <c r="I526" s="239" t="s">
        <v>1580</v>
      </c>
      <c r="J526" s="233"/>
      <c r="K526" s="235">
        <v>45913</v>
      </c>
      <c r="L526" s="233">
        <v>1.3</v>
      </c>
      <c r="M526" s="234" t="s">
        <v>947</v>
      </c>
      <c r="N526" s="234">
        <v>37980</v>
      </c>
      <c r="O526" s="234">
        <v>15520</v>
      </c>
      <c r="P526" s="242">
        <v>19</v>
      </c>
      <c r="Q526" s="234">
        <v>22460</v>
      </c>
      <c r="R526" s="234">
        <v>18192.599999999999</v>
      </c>
      <c r="S526" s="234" t="s">
        <v>1873</v>
      </c>
      <c r="T526" s="236">
        <v>45913</v>
      </c>
    </row>
    <row r="527" spans="1:20" ht="51" hidden="1">
      <c r="A527" s="239" t="s">
        <v>1807</v>
      </c>
      <c r="B527" s="240">
        <v>1607</v>
      </c>
      <c r="C527" s="241">
        <v>37369</v>
      </c>
      <c r="D527" s="239" t="s">
        <v>3819</v>
      </c>
      <c r="E527" s="239" t="s">
        <v>388</v>
      </c>
      <c r="F527" s="239" t="s">
        <v>389</v>
      </c>
      <c r="G527" s="239" t="s">
        <v>947</v>
      </c>
      <c r="H527" s="239" t="s">
        <v>51</v>
      </c>
      <c r="I527" s="239" t="s">
        <v>1580</v>
      </c>
      <c r="J527" s="233"/>
      <c r="K527" s="235">
        <v>45912</v>
      </c>
      <c r="L527" s="233">
        <v>2.2999999999999998</v>
      </c>
      <c r="M527" s="234" t="s">
        <v>947</v>
      </c>
      <c r="N527" s="234">
        <v>53780</v>
      </c>
      <c r="O527" s="234">
        <v>20920</v>
      </c>
      <c r="P527" s="242">
        <v>15</v>
      </c>
      <c r="Q527" s="234">
        <v>32860</v>
      </c>
      <c r="R527" s="234">
        <v>27931</v>
      </c>
      <c r="S527" s="234" t="s">
        <v>1858</v>
      </c>
      <c r="T527" s="236">
        <v>45913</v>
      </c>
    </row>
    <row r="528" spans="1:20" ht="51" hidden="1">
      <c r="A528" s="239" t="s">
        <v>1808</v>
      </c>
      <c r="B528" s="240">
        <v>1608</v>
      </c>
      <c r="C528" s="241">
        <v>37380</v>
      </c>
      <c r="D528" s="239" t="s">
        <v>3819</v>
      </c>
      <c r="E528" s="239" t="s">
        <v>475</v>
      </c>
      <c r="F528" s="239" t="s">
        <v>476</v>
      </c>
      <c r="G528" s="239" t="s">
        <v>947</v>
      </c>
      <c r="H528" s="239" t="s">
        <v>51</v>
      </c>
      <c r="I528" s="239" t="s">
        <v>1580</v>
      </c>
      <c r="J528" s="233"/>
      <c r="K528" s="235">
        <v>45912</v>
      </c>
      <c r="L528" s="233">
        <v>1.6</v>
      </c>
      <c r="M528" s="234" t="s">
        <v>947</v>
      </c>
      <c r="N528" s="234">
        <v>39180</v>
      </c>
      <c r="O528" s="234">
        <v>16310</v>
      </c>
      <c r="P528" s="242">
        <v>16</v>
      </c>
      <c r="Q528" s="234">
        <v>22870</v>
      </c>
      <c r="R528" s="234">
        <v>19210.8</v>
      </c>
      <c r="S528" s="234" t="s">
        <v>1859</v>
      </c>
      <c r="T528" s="236">
        <v>45913</v>
      </c>
    </row>
    <row r="529" spans="1:20" ht="51" hidden="1">
      <c r="A529" s="239" t="s">
        <v>1809</v>
      </c>
      <c r="B529" s="240">
        <v>1609</v>
      </c>
      <c r="C529" s="241">
        <v>37372</v>
      </c>
      <c r="D529" s="239" t="s">
        <v>3819</v>
      </c>
      <c r="E529" s="239" t="s">
        <v>420</v>
      </c>
      <c r="F529" s="239" t="s">
        <v>421</v>
      </c>
      <c r="G529" s="239" t="s">
        <v>947</v>
      </c>
      <c r="H529" s="239" t="s">
        <v>51</v>
      </c>
      <c r="I529" s="239" t="s">
        <v>1580</v>
      </c>
      <c r="J529" s="233"/>
      <c r="K529" s="235">
        <v>45913</v>
      </c>
      <c r="L529" s="233">
        <v>1.3</v>
      </c>
      <c r="M529" s="234" t="s">
        <v>947</v>
      </c>
      <c r="N529" s="234">
        <v>36680</v>
      </c>
      <c r="O529" s="234">
        <v>14790</v>
      </c>
      <c r="P529" s="242">
        <v>19</v>
      </c>
      <c r="Q529" s="234">
        <v>21890</v>
      </c>
      <c r="R529" s="234">
        <v>17730.900000000001</v>
      </c>
      <c r="S529" s="234" t="s">
        <v>1860</v>
      </c>
      <c r="T529" s="236">
        <v>45913</v>
      </c>
    </row>
    <row r="530" spans="1:20" ht="51" hidden="1">
      <c r="A530" s="239" t="s">
        <v>1812</v>
      </c>
      <c r="B530" s="240">
        <v>1612</v>
      </c>
      <c r="C530" s="241">
        <v>37382</v>
      </c>
      <c r="D530" s="239" t="s">
        <v>3819</v>
      </c>
      <c r="E530" s="239" t="s">
        <v>400</v>
      </c>
      <c r="F530" s="239" t="s">
        <v>401</v>
      </c>
      <c r="G530" s="239" t="s">
        <v>947</v>
      </c>
      <c r="H530" s="239" t="s">
        <v>51</v>
      </c>
      <c r="I530" s="239" t="s">
        <v>1580</v>
      </c>
      <c r="J530" s="233"/>
      <c r="K530" s="235">
        <v>45913</v>
      </c>
      <c r="L530" s="233">
        <v>1.4</v>
      </c>
      <c r="M530" s="234" t="s">
        <v>947</v>
      </c>
      <c r="N530" s="234">
        <v>38450</v>
      </c>
      <c r="O530" s="234">
        <v>14680</v>
      </c>
      <c r="P530" s="242">
        <v>11</v>
      </c>
      <c r="Q530" s="234">
        <v>23770</v>
      </c>
      <c r="R530" s="234">
        <v>21155.3</v>
      </c>
      <c r="S530" s="234" t="s">
        <v>1863</v>
      </c>
      <c r="T530" s="236">
        <v>45913</v>
      </c>
    </row>
    <row r="531" spans="1:20" ht="51" hidden="1">
      <c r="A531" s="239" t="s">
        <v>1813</v>
      </c>
      <c r="B531" s="240">
        <v>1613</v>
      </c>
      <c r="C531" s="241">
        <v>37384</v>
      </c>
      <c r="D531" s="239" t="s">
        <v>3819</v>
      </c>
      <c r="E531" s="239" t="s">
        <v>382</v>
      </c>
      <c r="F531" s="239" t="s">
        <v>383</v>
      </c>
      <c r="G531" s="239" t="s">
        <v>947</v>
      </c>
      <c r="H531" s="239" t="s">
        <v>51</v>
      </c>
      <c r="I531" s="239" t="s">
        <v>1580</v>
      </c>
      <c r="J531" s="233"/>
      <c r="K531" s="235">
        <v>45912</v>
      </c>
      <c r="L531" s="233">
        <v>1.6</v>
      </c>
      <c r="M531" s="234" t="s">
        <v>947</v>
      </c>
      <c r="N531" s="234">
        <v>38130</v>
      </c>
      <c r="O531" s="234">
        <v>14540</v>
      </c>
      <c r="P531" s="242">
        <v>11</v>
      </c>
      <c r="Q531" s="234">
        <v>23590</v>
      </c>
      <c r="R531" s="234">
        <v>20995.1</v>
      </c>
      <c r="S531" s="234" t="s">
        <v>1864</v>
      </c>
      <c r="T531" s="236">
        <v>45913</v>
      </c>
    </row>
    <row r="532" spans="1:20" ht="51" hidden="1">
      <c r="A532" s="239" t="s">
        <v>1823</v>
      </c>
      <c r="B532" s="240">
        <v>1622</v>
      </c>
      <c r="C532" s="241">
        <v>37458</v>
      </c>
      <c r="D532" s="239" t="s">
        <v>3819</v>
      </c>
      <c r="E532" s="239" t="s">
        <v>369</v>
      </c>
      <c r="F532" s="239" t="s">
        <v>370</v>
      </c>
      <c r="G532" s="239" t="s">
        <v>950</v>
      </c>
      <c r="H532" s="239" t="s">
        <v>51</v>
      </c>
      <c r="I532" s="239" t="s">
        <v>1580</v>
      </c>
      <c r="J532" s="233"/>
      <c r="K532" s="235">
        <v>45913</v>
      </c>
      <c r="L532" s="233">
        <v>1.5</v>
      </c>
      <c r="M532" s="234" t="s">
        <v>950</v>
      </c>
      <c r="N532" s="234">
        <v>38350</v>
      </c>
      <c r="O532" s="234">
        <v>15060</v>
      </c>
      <c r="P532" s="242">
        <v>16</v>
      </c>
      <c r="Q532" s="234">
        <v>23290</v>
      </c>
      <c r="R532" s="234">
        <v>19563.599999999999</v>
      </c>
      <c r="S532" s="234" t="s">
        <v>1874</v>
      </c>
      <c r="T532" s="236">
        <v>45914</v>
      </c>
    </row>
    <row r="533" spans="1:20" ht="51" hidden="1">
      <c r="A533" s="239" t="s">
        <v>1816</v>
      </c>
      <c r="B533" s="240">
        <v>1614</v>
      </c>
      <c r="C533" s="241">
        <v>37421</v>
      </c>
      <c r="D533" s="239" t="s">
        <v>3819</v>
      </c>
      <c r="E533" s="239" t="s">
        <v>783</v>
      </c>
      <c r="F533" s="239" t="s">
        <v>784</v>
      </c>
      <c r="G533" s="239" t="s">
        <v>947</v>
      </c>
      <c r="H533" s="239" t="s">
        <v>51</v>
      </c>
      <c r="I533" s="239" t="s">
        <v>1580</v>
      </c>
      <c r="J533" s="233"/>
      <c r="K533" s="235">
        <v>45913</v>
      </c>
      <c r="L533" s="233">
        <v>1.5</v>
      </c>
      <c r="M533" s="234" t="s">
        <v>947</v>
      </c>
      <c r="N533" s="234">
        <v>39780</v>
      </c>
      <c r="O533" s="234">
        <v>14510</v>
      </c>
      <c r="P533" s="242">
        <v>21</v>
      </c>
      <c r="Q533" s="234">
        <v>25270</v>
      </c>
      <c r="R533" s="234">
        <v>19963.3</v>
      </c>
      <c r="S533" s="234" t="s">
        <v>1867</v>
      </c>
      <c r="T533" s="236">
        <v>45913</v>
      </c>
    </row>
    <row r="534" spans="1:20" ht="51" hidden="1">
      <c r="A534" s="239" t="s">
        <v>1817</v>
      </c>
      <c r="B534" s="240">
        <v>1615</v>
      </c>
      <c r="C534" s="241">
        <v>37399</v>
      </c>
      <c r="D534" s="239" t="s">
        <v>3819</v>
      </c>
      <c r="E534" s="239" t="s">
        <v>786</v>
      </c>
      <c r="F534" s="239" t="s">
        <v>787</v>
      </c>
      <c r="G534" s="239" t="s">
        <v>947</v>
      </c>
      <c r="H534" s="239" t="s">
        <v>51</v>
      </c>
      <c r="I534" s="239" t="s">
        <v>1580</v>
      </c>
      <c r="J534" s="233"/>
      <c r="K534" s="235">
        <v>45912</v>
      </c>
      <c r="L534" s="233">
        <v>1.5</v>
      </c>
      <c r="M534" s="234" t="s">
        <v>947</v>
      </c>
      <c r="N534" s="234">
        <v>35640</v>
      </c>
      <c r="O534" s="234">
        <v>13890</v>
      </c>
      <c r="P534" s="242">
        <v>21</v>
      </c>
      <c r="Q534" s="234">
        <v>21750</v>
      </c>
      <c r="R534" s="234">
        <v>17182.5</v>
      </c>
      <c r="S534" s="234" t="s">
        <v>1868</v>
      </c>
      <c r="T534" s="236">
        <v>45913</v>
      </c>
    </row>
    <row r="535" spans="1:20" ht="51" hidden="1">
      <c r="A535" s="239" t="s">
        <v>1819</v>
      </c>
      <c r="B535" s="240">
        <v>1618</v>
      </c>
      <c r="C535" s="241">
        <v>37423</v>
      </c>
      <c r="D535" s="239" t="s">
        <v>3819</v>
      </c>
      <c r="E535" s="239" t="s">
        <v>377</v>
      </c>
      <c r="F535" s="239" t="s">
        <v>378</v>
      </c>
      <c r="G535" s="239" t="s">
        <v>947</v>
      </c>
      <c r="H535" s="239" t="s">
        <v>51</v>
      </c>
      <c r="I535" s="239" t="s">
        <v>1580</v>
      </c>
      <c r="J535" s="233"/>
      <c r="K535" s="235">
        <v>45912</v>
      </c>
      <c r="L535" s="233">
        <v>1.9</v>
      </c>
      <c r="M535" s="234" t="s">
        <v>947</v>
      </c>
      <c r="N535" s="234">
        <v>42270</v>
      </c>
      <c r="O535" s="234">
        <v>15050</v>
      </c>
      <c r="P535" s="242">
        <v>14</v>
      </c>
      <c r="Q535" s="234">
        <v>27220</v>
      </c>
      <c r="R535" s="234">
        <v>23409.200000000001</v>
      </c>
      <c r="S535" s="234" t="s">
        <v>1870</v>
      </c>
      <c r="T535" s="236">
        <v>45913</v>
      </c>
    </row>
    <row r="536" spans="1:20" ht="51" hidden="1">
      <c r="A536" s="239" t="s">
        <v>1828</v>
      </c>
      <c r="B536" s="240">
        <v>1619</v>
      </c>
      <c r="C536" s="241">
        <v>37428</v>
      </c>
      <c r="D536" s="239" t="s">
        <v>3819</v>
      </c>
      <c r="E536" s="239" t="s">
        <v>1305</v>
      </c>
      <c r="F536" s="239" t="s">
        <v>1306</v>
      </c>
      <c r="G536" s="239" t="s">
        <v>947</v>
      </c>
      <c r="H536" s="239" t="s">
        <v>51</v>
      </c>
      <c r="I536" s="239" t="s">
        <v>1580</v>
      </c>
      <c r="J536" s="233"/>
      <c r="K536" s="235">
        <v>45913</v>
      </c>
      <c r="L536" s="233">
        <v>1.4</v>
      </c>
      <c r="M536" s="234" t="s">
        <v>947</v>
      </c>
      <c r="N536" s="234">
        <v>38540</v>
      </c>
      <c r="O536" s="234">
        <v>14780</v>
      </c>
      <c r="P536" s="242">
        <v>14</v>
      </c>
      <c r="Q536" s="234">
        <v>23760</v>
      </c>
      <c r="R536" s="234">
        <v>20433.599999999999</v>
      </c>
      <c r="S536" s="234" t="s">
        <v>1879</v>
      </c>
      <c r="T536" s="236">
        <v>45914</v>
      </c>
    </row>
    <row r="537" spans="1:20" ht="51" hidden="1">
      <c r="A537" s="239" t="s">
        <v>1832</v>
      </c>
      <c r="B537" s="240">
        <v>1620</v>
      </c>
      <c r="C537" s="241">
        <v>37426</v>
      </c>
      <c r="D537" s="239" t="s">
        <v>3819</v>
      </c>
      <c r="E537" s="239" t="s">
        <v>1648</v>
      </c>
      <c r="F537" s="239" t="s">
        <v>1649</v>
      </c>
      <c r="G537" s="239" t="s">
        <v>947</v>
      </c>
      <c r="H537" s="239" t="s">
        <v>51</v>
      </c>
      <c r="I537" s="239" t="s">
        <v>1580</v>
      </c>
      <c r="J537" s="233"/>
      <c r="K537" s="235">
        <v>45913</v>
      </c>
      <c r="L537" s="233">
        <v>1.5</v>
      </c>
      <c r="M537" s="234" t="s">
        <v>947</v>
      </c>
      <c r="N537" s="234">
        <v>40350</v>
      </c>
      <c r="O537" s="234">
        <v>15760</v>
      </c>
      <c r="P537" s="242">
        <v>17</v>
      </c>
      <c r="Q537" s="234">
        <v>24590</v>
      </c>
      <c r="R537" s="234">
        <v>20409.7</v>
      </c>
      <c r="S537" s="234" t="s">
        <v>1883</v>
      </c>
      <c r="T537" s="236">
        <v>45914</v>
      </c>
    </row>
    <row r="538" spans="1:20" ht="51" hidden="1">
      <c r="A538" s="239" t="s">
        <v>1833</v>
      </c>
      <c r="B538" s="240">
        <v>1621</v>
      </c>
      <c r="C538" s="241">
        <v>37430</v>
      </c>
      <c r="D538" s="239" t="s">
        <v>3819</v>
      </c>
      <c r="E538" s="239" t="s">
        <v>1663</v>
      </c>
      <c r="F538" s="239" t="s">
        <v>1733</v>
      </c>
      <c r="G538" s="239" t="s">
        <v>947</v>
      </c>
      <c r="H538" s="239" t="s">
        <v>51</v>
      </c>
      <c r="I538" s="239" t="s">
        <v>1580</v>
      </c>
      <c r="J538" s="233"/>
      <c r="K538" s="235">
        <v>45913</v>
      </c>
      <c r="L538" s="233">
        <v>1.4</v>
      </c>
      <c r="M538" s="234" t="s">
        <v>947</v>
      </c>
      <c r="N538" s="234">
        <v>39490</v>
      </c>
      <c r="O538" s="234">
        <v>15530</v>
      </c>
      <c r="P538" s="242">
        <v>14</v>
      </c>
      <c r="Q538" s="234">
        <v>23960</v>
      </c>
      <c r="R538" s="234">
        <v>20605.599999999999</v>
      </c>
      <c r="S538" s="234" t="s">
        <v>1884</v>
      </c>
      <c r="T538" s="236">
        <v>45914</v>
      </c>
    </row>
    <row r="539" spans="1:20" ht="51" hidden="1">
      <c r="A539" s="239" t="s">
        <v>1834</v>
      </c>
      <c r="B539" s="240">
        <v>1625</v>
      </c>
      <c r="C539" s="241">
        <v>37434</v>
      </c>
      <c r="D539" s="239" t="s">
        <v>3819</v>
      </c>
      <c r="E539" s="239" t="s">
        <v>858</v>
      </c>
      <c r="F539" s="239" t="s">
        <v>859</v>
      </c>
      <c r="G539" s="239" t="s">
        <v>947</v>
      </c>
      <c r="H539" s="239" t="s">
        <v>51</v>
      </c>
      <c r="I539" s="239" t="s">
        <v>1580</v>
      </c>
      <c r="J539" s="233"/>
      <c r="K539" s="235">
        <v>45913</v>
      </c>
      <c r="L539" s="233">
        <v>1.4</v>
      </c>
      <c r="M539" s="234" t="s">
        <v>947</v>
      </c>
      <c r="N539" s="234">
        <v>38860</v>
      </c>
      <c r="O539" s="234">
        <v>14700</v>
      </c>
      <c r="P539" s="242">
        <v>11</v>
      </c>
      <c r="Q539" s="234">
        <v>24160</v>
      </c>
      <c r="R539" s="234">
        <v>21502.400000000001</v>
      </c>
      <c r="S539" s="234" t="s">
        <v>1885</v>
      </c>
      <c r="T539" s="236">
        <v>45914</v>
      </c>
    </row>
    <row r="540" spans="1:20" ht="51" hidden="1">
      <c r="A540" s="239" t="s">
        <v>1835</v>
      </c>
      <c r="B540" s="240">
        <v>1626</v>
      </c>
      <c r="C540" s="241">
        <v>37456</v>
      </c>
      <c r="D540" s="239" t="s">
        <v>3819</v>
      </c>
      <c r="E540" s="239" t="s">
        <v>429</v>
      </c>
      <c r="F540" s="239" t="s">
        <v>430</v>
      </c>
      <c r="G540" s="239" t="s">
        <v>947</v>
      </c>
      <c r="H540" s="239" t="s">
        <v>51</v>
      </c>
      <c r="I540" s="239" t="s">
        <v>1580</v>
      </c>
      <c r="J540" s="233"/>
      <c r="K540" s="235">
        <v>45913</v>
      </c>
      <c r="L540" s="233">
        <v>1.5</v>
      </c>
      <c r="M540" s="234" t="s">
        <v>947</v>
      </c>
      <c r="N540" s="234">
        <v>39090</v>
      </c>
      <c r="O540" s="234">
        <v>14170</v>
      </c>
      <c r="P540" s="242">
        <v>17</v>
      </c>
      <c r="Q540" s="234">
        <v>24920</v>
      </c>
      <c r="R540" s="234">
        <v>20683.599999999999</v>
      </c>
      <c r="S540" s="234" t="s">
        <v>1886</v>
      </c>
      <c r="T540" s="236">
        <v>45914</v>
      </c>
    </row>
    <row r="541" spans="1:20" ht="51" hidden="1">
      <c r="A541" s="239" t="s">
        <v>1836</v>
      </c>
      <c r="B541" s="240">
        <v>1627</v>
      </c>
      <c r="C541" s="241">
        <v>37436</v>
      </c>
      <c r="D541" s="239" t="s">
        <v>3819</v>
      </c>
      <c r="E541" s="239" t="s">
        <v>447</v>
      </c>
      <c r="F541" s="239" t="s">
        <v>448</v>
      </c>
      <c r="G541" s="239" t="s">
        <v>947</v>
      </c>
      <c r="H541" s="239" t="s">
        <v>51</v>
      </c>
      <c r="I541" s="239" t="s">
        <v>1580</v>
      </c>
      <c r="J541" s="233"/>
      <c r="K541" s="235">
        <v>45913</v>
      </c>
      <c r="L541" s="233">
        <v>1.5</v>
      </c>
      <c r="M541" s="234" t="s">
        <v>947</v>
      </c>
      <c r="N541" s="234">
        <v>44800</v>
      </c>
      <c r="O541" s="234">
        <v>19280</v>
      </c>
      <c r="P541" s="242">
        <v>15</v>
      </c>
      <c r="Q541" s="234">
        <v>25520</v>
      </c>
      <c r="R541" s="234">
        <v>21692</v>
      </c>
      <c r="S541" s="234" t="s">
        <v>1887</v>
      </c>
      <c r="T541" s="236">
        <v>45914</v>
      </c>
    </row>
    <row r="542" spans="1:20" ht="51" hidden="1">
      <c r="A542" s="239" t="s">
        <v>1837</v>
      </c>
      <c r="B542" s="240">
        <v>1629</v>
      </c>
      <c r="C542" s="241">
        <v>37460</v>
      </c>
      <c r="D542" s="239" t="s">
        <v>3819</v>
      </c>
      <c r="E542" s="239" t="s">
        <v>1397</v>
      </c>
      <c r="F542" s="239" t="s">
        <v>1398</v>
      </c>
      <c r="G542" s="239" t="s">
        <v>947</v>
      </c>
      <c r="H542" s="239" t="s">
        <v>51</v>
      </c>
      <c r="I542" s="239" t="s">
        <v>1580</v>
      </c>
      <c r="J542" s="233"/>
      <c r="K542" s="235">
        <v>45913</v>
      </c>
      <c r="L542" s="233">
        <v>1.5</v>
      </c>
      <c r="M542" s="234" t="s">
        <v>947</v>
      </c>
      <c r="N542" s="234">
        <v>42170</v>
      </c>
      <c r="O542" s="234">
        <v>17020</v>
      </c>
      <c r="P542" s="242">
        <v>11</v>
      </c>
      <c r="Q542" s="234">
        <v>25150</v>
      </c>
      <c r="R542" s="234">
        <v>22383.5</v>
      </c>
      <c r="S542" s="234" t="s">
        <v>1888</v>
      </c>
      <c r="T542" s="236">
        <v>45914</v>
      </c>
    </row>
    <row r="543" spans="1:20" ht="51" hidden="1">
      <c r="A543" s="239" t="s">
        <v>1838</v>
      </c>
      <c r="B543" s="240">
        <v>1630</v>
      </c>
      <c r="C543" s="241">
        <v>37462</v>
      </c>
      <c r="D543" s="239" t="s">
        <v>3819</v>
      </c>
      <c r="E543" s="239" t="s">
        <v>1400</v>
      </c>
      <c r="F543" s="239" t="s">
        <v>1401</v>
      </c>
      <c r="G543" s="239" t="s">
        <v>947</v>
      </c>
      <c r="H543" s="239" t="s">
        <v>51</v>
      </c>
      <c r="I543" s="239" t="s">
        <v>1580</v>
      </c>
      <c r="J543" s="233"/>
      <c r="K543" s="235">
        <v>45913</v>
      </c>
      <c r="L543" s="233">
        <v>1.3</v>
      </c>
      <c r="M543" s="234" t="s">
        <v>947</v>
      </c>
      <c r="N543" s="234">
        <v>36030</v>
      </c>
      <c r="O543" s="234">
        <v>14810</v>
      </c>
      <c r="P543" s="242">
        <v>14</v>
      </c>
      <c r="Q543" s="234">
        <v>21220</v>
      </c>
      <c r="R543" s="234">
        <v>18249.2</v>
      </c>
      <c r="S543" s="234" t="s">
        <v>1889</v>
      </c>
      <c r="T543" s="236">
        <v>45914</v>
      </c>
    </row>
    <row r="544" spans="1:20" ht="51" hidden="1">
      <c r="A544" s="239" t="s">
        <v>1839</v>
      </c>
      <c r="B544" s="240">
        <v>1631</v>
      </c>
      <c r="C544" s="241">
        <v>37464</v>
      </c>
      <c r="D544" s="239" t="s">
        <v>3819</v>
      </c>
      <c r="E544" s="239" t="s">
        <v>1403</v>
      </c>
      <c r="F544" s="239" t="s">
        <v>1404</v>
      </c>
      <c r="G544" s="239" t="s">
        <v>947</v>
      </c>
      <c r="H544" s="239" t="s">
        <v>51</v>
      </c>
      <c r="I544" s="239" t="s">
        <v>1580</v>
      </c>
      <c r="J544" s="233"/>
      <c r="K544" s="235">
        <v>45913</v>
      </c>
      <c r="L544" s="233">
        <v>1.4</v>
      </c>
      <c r="M544" s="234" t="s">
        <v>947</v>
      </c>
      <c r="N544" s="234">
        <v>38530</v>
      </c>
      <c r="O544" s="234">
        <v>14920</v>
      </c>
      <c r="P544" s="242">
        <v>20</v>
      </c>
      <c r="Q544" s="234">
        <v>23610</v>
      </c>
      <c r="R544" s="234">
        <v>18888</v>
      </c>
      <c r="S544" s="234" t="s">
        <v>1890</v>
      </c>
      <c r="T544" s="236">
        <v>45914</v>
      </c>
    </row>
    <row r="545" spans="1:20" ht="51" hidden="1">
      <c r="A545" s="239" t="s">
        <v>1825</v>
      </c>
      <c r="B545" s="240">
        <v>1633</v>
      </c>
      <c r="C545" s="241">
        <v>37480</v>
      </c>
      <c r="D545" s="239" t="s">
        <v>3819</v>
      </c>
      <c r="E545" s="239" t="s">
        <v>453</v>
      </c>
      <c r="F545" s="239" t="s">
        <v>454</v>
      </c>
      <c r="G545" s="239" t="s">
        <v>947</v>
      </c>
      <c r="H545" s="239" t="s">
        <v>51</v>
      </c>
      <c r="I545" s="239" t="s">
        <v>1580</v>
      </c>
      <c r="J545" s="233"/>
      <c r="K545" s="235">
        <v>45913</v>
      </c>
      <c r="L545" s="233">
        <v>1.6</v>
      </c>
      <c r="M545" s="234" t="s">
        <v>947</v>
      </c>
      <c r="N545" s="234">
        <v>50980</v>
      </c>
      <c r="O545" s="234">
        <v>24120</v>
      </c>
      <c r="P545" s="242">
        <v>12</v>
      </c>
      <c r="Q545" s="234">
        <v>26860</v>
      </c>
      <c r="R545" s="234">
        <v>23636.799999999999</v>
      </c>
      <c r="S545" s="234" t="s">
        <v>1876</v>
      </c>
      <c r="T545" s="236">
        <v>45914</v>
      </c>
    </row>
    <row r="546" spans="1:20" ht="51" hidden="1">
      <c r="A546" s="239" t="s">
        <v>1824</v>
      </c>
      <c r="B546" s="240">
        <v>1632</v>
      </c>
      <c r="C546" s="241">
        <v>37486</v>
      </c>
      <c r="D546" s="239" t="s">
        <v>3819</v>
      </c>
      <c r="E546" s="239" t="s">
        <v>456</v>
      </c>
      <c r="F546" s="239" t="s">
        <v>457</v>
      </c>
      <c r="G546" s="239" t="s">
        <v>947</v>
      </c>
      <c r="H546" s="239" t="s">
        <v>51</v>
      </c>
      <c r="I546" s="239" t="s">
        <v>1580</v>
      </c>
      <c r="J546" s="233"/>
      <c r="K546" s="235">
        <v>45913</v>
      </c>
      <c r="L546" s="233">
        <v>1.6</v>
      </c>
      <c r="M546" s="234" t="s">
        <v>947</v>
      </c>
      <c r="N546" s="234">
        <v>43180</v>
      </c>
      <c r="O546" s="234">
        <v>15610</v>
      </c>
      <c r="P546" s="242">
        <v>12</v>
      </c>
      <c r="Q546" s="234">
        <v>27570</v>
      </c>
      <c r="R546" s="234">
        <v>24261.599999999999</v>
      </c>
      <c r="S546" s="234" t="s">
        <v>1875</v>
      </c>
      <c r="T546" s="236">
        <v>45914</v>
      </c>
    </row>
    <row r="547" spans="1:20" ht="51" hidden="1">
      <c r="A547" s="239" t="s">
        <v>1826</v>
      </c>
      <c r="B547" s="240">
        <v>1637</v>
      </c>
      <c r="C547" s="241">
        <v>37494</v>
      </c>
      <c r="D547" s="239" t="s">
        <v>3819</v>
      </c>
      <c r="E547" s="239" t="s">
        <v>386</v>
      </c>
      <c r="F547" s="239" t="s">
        <v>387</v>
      </c>
      <c r="G547" s="239" t="s">
        <v>947</v>
      </c>
      <c r="H547" s="239" t="s">
        <v>51</v>
      </c>
      <c r="I547" s="239" t="s">
        <v>1580</v>
      </c>
      <c r="J547" s="233"/>
      <c r="K547" s="235">
        <v>45913</v>
      </c>
      <c r="L547" s="233">
        <v>1.5</v>
      </c>
      <c r="M547" s="234" t="s">
        <v>947</v>
      </c>
      <c r="N547" s="234">
        <v>39910</v>
      </c>
      <c r="O547" s="234">
        <v>15310</v>
      </c>
      <c r="P547" s="242">
        <v>12</v>
      </c>
      <c r="Q547" s="234">
        <v>24600</v>
      </c>
      <c r="R547" s="234">
        <v>21648</v>
      </c>
      <c r="S547" s="234" t="s">
        <v>1877</v>
      </c>
      <c r="T547" s="236">
        <v>45914</v>
      </c>
    </row>
    <row r="548" spans="1:20" ht="51" hidden="1">
      <c r="A548" s="239" t="s">
        <v>1827</v>
      </c>
      <c r="B548" s="240">
        <v>1639</v>
      </c>
      <c r="C548" s="241">
        <v>37492</v>
      </c>
      <c r="D548" s="239" t="s">
        <v>3819</v>
      </c>
      <c r="E548" s="239" t="s">
        <v>372</v>
      </c>
      <c r="F548" s="239" t="s">
        <v>373</v>
      </c>
      <c r="G548" s="239" t="s">
        <v>947</v>
      </c>
      <c r="H548" s="239" t="s">
        <v>51</v>
      </c>
      <c r="I548" s="239" t="s">
        <v>1580</v>
      </c>
      <c r="J548" s="233"/>
      <c r="K548" s="235">
        <v>45913</v>
      </c>
      <c r="L548" s="233">
        <v>1.5</v>
      </c>
      <c r="M548" s="234" t="s">
        <v>947</v>
      </c>
      <c r="N548" s="234">
        <v>39710</v>
      </c>
      <c r="O548" s="234">
        <v>14840</v>
      </c>
      <c r="P548" s="242">
        <v>13</v>
      </c>
      <c r="Q548" s="234">
        <v>24870</v>
      </c>
      <c r="R548" s="234">
        <v>21636.9</v>
      </c>
      <c r="S548" s="234" t="s">
        <v>1878</v>
      </c>
      <c r="T548" s="236">
        <v>45914</v>
      </c>
    </row>
    <row r="549" spans="1:20" ht="51" hidden="1">
      <c r="A549" s="239" t="s">
        <v>1829</v>
      </c>
      <c r="B549" s="240">
        <v>1640</v>
      </c>
      <c r="C549" s="241">
        <v>37499</v>
      </c>
      <c r="D549" s="239" t="s">
        <v>3819</v>
      </c>
      <c r="E549" s="239" t="s">
        <v>413</v>
      </c>
      <c r="F549" s="239" t="s">
        <v>414</v>
      </c>
      <c r="G549" s="239" t="s">
        <v>947</v>
      </c>
      <c r="H549" s="239" t="s">
        <v>51</v>
      </c>
      <c r="I549" s="239" t="s">
        <v>1580</v>
      </c>
      <c r="J549" s="233"/>
      <c r="K549" s="235">
        <v>45913</v>
      </c>
      <c r="L549" s="233">
        <v>1.7</v>
      </c>
      <c r="M549" s="234" t="s">
        <v>947</v>
      </c>
      <c r="N549" s="234">
        <v>42770</v>
      </c>
      <c r="O549" s="234">
        <v>14850</v>
      </c>
      <c r="P549" s="242">
        <v>7</v>
      </c>
      <c r="Q549" s="234">
        <v>27920</v>
      </c>
      <c r="R549" s="234">
        <v>25965.599999999999</v>
      </c>
      <c r="S549" s="234" t="s">
        <v>1880</v>
      </c>
      <c r="T549" s="236">
        <v>45914</v>
      </c>
    </row>
    <row r="550" spans="1:20" ht="51" hidden="1">
      <c r="A550" s="239" t="s">
        <v>1830</v>
      </c>
      <c r="B550" s="240">
        <v>1641</v>
      </c>
      <c r="C550" s="241">
        <v>37501</v>
      </c>
      <c r="D550" s="239" t="s">
        <v>3819</v>
      </c>
      <c r="E550" s="239" t="s">
        <v>403</v>
      </c>
      <c r="F550" s="239" t="s">
        <v>404</v>
      </c>
      <c r="G550" s="239" t="s">
        <v>947</v>
      </c>
      <c r="H550" s="239" t="s">
        <v>51</v>
      </c>
      <c r="I550" s="239" t="s">
        <v>1580</v>
      </c>
      <c r="J550" s="233"/>
      <c r="K550" s="235">
        <v>45913</v>
      </c>
      <c r="L550" s="233">
        <v>1.5</v>
      </c>
      <c r="M550" s="234" t="s">
        <v>947</v>
      </c>
      <c r="N550" s="234">
        <v>39480</v>
      </c>
      <c r="O550" s="234">
        <v>14490</v>
      </c>
      <c r="P550" s="242">
        <v>8</v>
      </c>
      <c r="Q550" s="234">
        <v>24990</v>
      </c>
      <c r="R550" s="234">
        <v>22990.799999999999</v>
      </c>
      <c r="S550" s="234" t="s">
        <v>1881</v>
      </c>
      <c r="T550" s="236">
        <v>45914</v>
      </c>
    </row>
    <row r="551" spans="1:20" ht="51" hidden="1">
      <c r="A551" s="239" t="s">
        <v>1831</v>
      </c>
      <c r="B551" s="240">
        <v>1642</v>
      </c>
      <c r="C551" s="241">
        <v>37503</v>
      </c>
      <c r="D551" s="239" t="s">
        <v>3819</v>
      </c>
      <c r="E551" s="239" t="s">
        <v>406</v>
      </c>
      <c r="F551" s="239" t="s">
        <v>407</v>
      </c>
      <c r="G551" s="239" t="s">
        <v>947</v>
      </c>
      <c r="H551" s="239" t="s">
        <v>51</v>
      </c>
      <c r="I551" s="239" t="s">
        <v>1580</v>
      </c>
      <c r="J551" s="233"/>
      <c r="K551" s="235">
        <v>45913</v>
      </c>
      <c r="L551" s="233">
        <v>1.4</v>
      </c>
      <c r="M551" s="234" t="s">
        <v>947</v>
      </c>
      <c r="N551" s="234">
        <v>39400</v>
      </c>
      <c r="O551" s="234">
        <v>15090</v>
      </c>
      <c r="P551" s="242">
        <v>7</v>
      </c>
      <c r="Q551" s="234">
        <v>24310</v>
      </c>
      <c r="R551" s="234">
        <v>22608.3</v>
      </c>
      <c r="S551" s="234" t="s">
        <v>1882</v>
      </c>
      <c r="T551" s="236">
        <v>45914</v>
      </c>
    </row>
    <row r="552" spans="1:20" ht="51" hidden="1">
      <c r="A552" s="239" t="s">
        <v>1912</v>
      </c>
      <c r="B552" s="240">
        <v>1644</v>
      </c>
      <c r="C552" s="241">
        <v>37521</v>
      </c>
      <c r="D552" s="239" t="s">
        <v>3819</v>
      </c>
      <c r="E552" s="239" t="s">
        <v>416</v>
      </c>
      <c r="F552" s="239" t="s">
        <v>417</v>
      </c>
      <c r="G552" s="239" t="s">
        <v>947</v>
      </c>
      <c r="H552" s="239" t="s">
        <v>51</v>
      </c>
      <c r="I552" s="239" t="s">
        <v>1580</v>
      </c>
      <c r="J552" s="233"/>
      <c r="K552" s="235">
        <v>45913</v>
      </c>
      <c r="L552" s="233">
        <v>1.4</v>
      </c>
      <c r="M552" s="234" t="s">
        <v>947</v>
      </c>
      <c r="N552" s="234">
        <v>37600</v>
      </c>
      <c r="O552" s="234">
        <v>14670</v>
      </c>
      <c r="P552" s="242">
        <v>11</v>
      </c>
      <c r="Q552" s="234">
        <v>22930</v>
      </c>
      <c r="R552" s="234">
        <v>20407.7</v>
      </c>
      <c r="S552" s="234" t="s">
        <v>1953</v>
      </c>
      <c r="T552" s="236">
        <v>45914</v>
      </c>
    </row>
    <row r="553" spans="1:20" ht="51" hidden="1">
      <c r="A553" s="239" t="s">
        <v>1913</v>
      </c>
      <c r="B553" s="240">
        <v>1646</v>
      </c>
      <c r="C553" s="241">
        <v>37517</v>
      </c>
      <c r="D553" s="239" t="s">
        <v>3819</v>
      </c>
      <c r="E553" s="239" t="s">
        <v>390</v>
      </c>
      <c r="F553" s="239" t="s">
        <v>391</v>
      </c>
      <c r="G553" s="239" t="s">
        <v>947</v>
      </c>
      <c r="H553" s="239" t="s">
        <v>51</v>
      </c>
      <c r="I553" s="239" t="s">
        <v>1580</v>
      </c>
      <c r="J553" s="233"/>
      <c r="K553" s="235">
        <v>45914</v>
      </c>
      <c r="L553" s="233">
        <v>0.9</v>
      </c>
      <c r="M553" s="234" t="s">
        <v>947</v>
      </c>
      <c r="N553" s="234">
        <v>40200</v>
      </c>
      <c r="O553" s="234">
        <v>14990</v>
      </c>
      <c r="P553" s="242">
        <v>12</v>
      </c>
      <c r="Q553" s="234">
        <v>25210</v>
      </c>
      <c r="R553" s="234">
        <v>22184.799999999999</v>
      </c>
      <c r="S553" s="234" t="s">
        <v>1954</v>
      </c>
      <c r="T553" s="236">
        <v>45914</v>
      </c>
    </row>
    <row r="554" spans="1:20" ht="51" hidden="1">
      <c r="A554" s="239" t="s">
        <v>1914</v>
      </c>
      <c r="B554" s="240">
        <v>1647</v>
      </c>
      <c r="C554" s="241">
        <v>37515</v>
      </c>
      <c r="D554" s="239" t="s">
        <v>3819</v>
      </c>
      <c r="E554" s="239" t="s">
        <v>392</v>
      </c>
      <c r="F554" s="239" t="s">
        <v>393</v>
      </c>
      <c r="G554" s="239" t="s">
        <v>947</v>
      </c>
      <c r="H554" s="239" t="s">
        <v>51</v>
      </c>
      <c r="I554" s="239" t="s">
        <v>1580</v>
      </c>
      <c r="J554" s="233"/>
      <c r="K554" s="235">
        <v>45914</v>
      </c>
      <c r="L554" s="233">
        <v>1.2</v>
      </c>
      <c r="M554" s="234" t="s">
        <v>947</v>
      </c>
      <c r="N554" s="234">
        <v>57060</v>
      </c>
      <c r="O554" s="234">
        <v>24040</v>
      </c>
      <c r="P554" s="242">
        <v>11</v>
      </c>
      <c r="Q554" s="234">
        <v>33020</v>
      </c>
      <c r="R554" s="234">
        <v>29387.8</v>
      </c>
      <c r="S554" s="234" t="s">
        <v>1955</v>
      </c>
      <c r="T554" s="236">
        <v>45914</v>
      </c>
    </row>
    <row r="555" spans="1:20" ht="51" hidden="1">
      <c r="A555" s="239" t="s">
        <v>1915</v>
      </c>
      <c r="B555" s="240">
        <v>1649</v>
      </c>
      <c r="C555" s="241">
        <v>37523</v>
      </c>
      <c r="D555" s="239" t="s">
        <v>3819</v>
      </c>
      <c r="E555" s="239" t="s">
        <v>791</v>
      </c>
      <c r="F555" s="239" t="s">
        <v>792</v>
      </c>
      <c r="G555" s="239" t="s">
        <v>947</v>
      </c>
      <c r="H555" s="239" t="s">
        <v>51</v>
      </c>
      <c r="I555" s="239" t="s">
        <v>1580</v>
      </c>
      <c r="J555" s="233"/>
      <c r="K555" s="235">
        <v>45914</v>
      </c>
      <c r="L555" s="233">
        <v>0.9</v>
      </c>
      <c r="M555" s="234" t="s">
        <v>947</v>
      </c>
      <c r="N555" s="234">
        <v>38800</v>
      </c>
      <c r="O555" s="234">
        <v>14880</v>
      </c>
      <c r="P555" s="242">
        <v>19</v>
      </c>
      <c r="Q555" s="234">
        <v>23920</v>
      </c>
      <c r="R555" s="234">
        <v>19375.2</v>
      </c>
      <c r="S555" s="234" t="s">
        <v>1956</v>
      </c>
      <c r="T555" s="236">
        <v>45914</v>
      </c>
    </row>
    <row r="556" spans="1:20" ht="51" hidden="1">
      <c r="A556" s="239" t="s">
        <v>1916</v>
      </c>
      <c r="B556" s="240">
        <v>1651</v>
      </c>
      <c r="C556" s="241">
        <v>37527</v>
      </c>
      <c r="D556" s="239" t="s">
        <v>3819</v>
      </c>
      <c r="E556" s="239" t="s">
        <v>462</v>
      </c>
      <c r="F556" s="239" t="s">
        <v>463</v>
      </c>
      <c r="G556" s="239" t="s">
        <v>947</v>
      </c>
      <c r="H556" s="239" t="s">
        <v>51</v>
      </c>
      <c r="I556" s="239" t="s">
        <v>1580</v>
      </c>
      <c r="J556" s="233"/>
      <c r="K556" s="235">
        <v>45914</v>
      </c>
      <c r="L556" s="233">
        <v>0.9</v>
      </c>
      <c r="M556" s="234" t="s">
        <v>947</v>
      </c>
      <c r="N556" s="234">
        <v>40980</v>
      </c>
      <c r="O556" s="234">
        <v>16250</v>
      </c>
      <c r="P556" s="242">
        <v>10</v>
      </c>
      <c r="Q556" s="234">
        <v>24730</v>
      </c>
      <c r="R556" s="234">
        <v>22257</v>
      </c>
      <c r="S556" s="234" t="s">
        <v>1957</v>
      </c>
      <c r="T556" s="236">
        <v>45914</v>
      </c>
    </row>
    <row r="557" spans="1:20" ht="51" hidden="1">
      <c r="A557" s="239" t="s">
        <v>1927</v>
      </c>
      <c r="B557" s="240">
        <v>1652</v>
      </c>
      <c r="C557" s="241">
        <v>37529</v>
      </c>
      <c r="D557" s="239" t="s">
        <v>3819</v>
      </c>
      <c r="E557" s="239" t="s">
        <v>794</v>
      </c>
      <c r="F557" s="239" t="s">
        <v>795</v>
      </c>
      <c r="G557" s="239" t="s">
        <v>947</v>
      </c>
      <c r="H557" s="239" t="s">
        <v>51</v>
      </c>
      <c r="I557" s="239" t="s">
        <v>1580</v>
      </c>
      <c r="J557" s="233"/>
      <c r="K557" s="235">
        <v>45914</v>
      </c>
      <c r="L557" s="233">
        <v>1</v>
      </c>
      <c r="M557" s="234" t="s">
        <v>947</v>
      </c>
      <c r="N557" s="234">
        <v>41580</v>
      </c>
      <c r="O557" s="234">
        <v>16050</v>
      </c>
      <c r="P557" s="242">
        <v>20</v>
      </c>
      <c r="Q557" s="234">
        <v>25530</v>
      </c>
      <c r="R557" s="234">
        <v>20424</v>
      </c>
      <c r="S557" s="234" t="s">
        <v>1968</v>
      </c>
      <c r="T557" s="236">
        <v>45915</v>
      </c>
    </row>
    <row r="558" spans="1:20" ht="51" hidden="1">
      <c r="A558" s="239" t="s">
        <v>1928</v>
      </c>
      <c r="B558" s="240">
        <v>1653</v>
      </c>
      <c r="C558" s="241">
        <v>37533</v>
      </c>
      <c r="D558" s="239" t="s">
        <v>3819</v>
      </c>
      <c r="E558" s="239" t="s">
        <v>432</v>
      </c>
      <c r="F558" s="239" t="s">
        <v>433</v>
      </c>
      <c r="G558" s="239" t="s">
        <v>947</v>
      </c>
      <c r="H558" s="239" t="s">
        <v>51</v>
      </c>
      <c r="I558" s="239" t="s">
        <v>1580</v>
      </c>
      <c r="J558" s="233"/>
      <c r="K558" s="235">
        <v>45914</v>
      </c>
      <c r="L558" s="233">
        <v>1.2</v>
      </c>
      <c r="M558" s="234" t="s">
        <v>947</v>
      </c>
      <c r="N558" s="234">
        <v>42660</v>
      </c>
      <c r="O558" s="234">
        <v>15580</v>
      </c>
      <c r="P558" s="242">
        <v>8</v>
      </c>
      <c r="Q558" s="234">
        <v>27080</v>
      </c>
      <c r="R558" s="234">
        <v>24913.599999999999</v>
      </c>
      <c r="S558" s="234" t="s">
        <v>1969</v>
      </c>
      <c r="T558" s="236">
        <v>45915</v>
      </c>
    </row>
    <row r="559" spans="1:20" ht="51" hidden="1">
      <c r="A559" s="239" t="s">
        <v>1930</v>
      </c>
      <c r="B559" s="240">
        <v>1654</v>
      </c>
      <c r="C559" s="241">
        <v>37535</v>
      </c>
      <c r="D559" s="239" t="s">
        <v>3819</v>
      </c>
      <c r="E559" s="239" t="s">
        <v>439</v>
      </c>
      <c r="F559" s="239" t="s">
        <v>440</v>
      </c>
      <c r="G559" s="239" t="s">
        <v>950</v>
      </c>
      <c r="H559" s="239" t="s">
        <v>51</v>
      </c>
      <c r="I559" s="239" t="s">
        <v>1580</v>
      </c>
      <c r="J559" s="233"/>
      <c r="K559" s="235">
        <v>45914</v>
      </c>
      <c r="L559" s="233">
        <v>1.4</v>
      </c>
      <c r="M559" s="234" t="s">
        <v>950</v>
      </c>
      <c r="N559" s="234">
        <v>39050</v>
      </c>
      <c r="O559" s="234">
        <v>14870</v>
      </c>
      <c r="P559" s="242">
        <v>16</v>
      </c>
      <c r="Q559" s="234">
        <v>24180</v>
      </c>
      <c r="R559" s="234">
        <v>20311.2</v>
      </c>
      <c r="S559" s="234" t="s">
        <v>1971</v>
      </c>
      <c r="T559" s="236">
        <v>45915</v>
      </c>
    </row>
    <row r="560" spans="1:20" ht="51" hidden="1">
      <c r="A560" s="239" t="s">
        <v>1931</v>
      </c>
      <c r="B560" s="240">
        <v>1675</v>
      </c>
      <c r="C560" s="241">
        <v>37559</v>
      </c>
      <c r="D560" s="239" t="s">
        <v>3819</v>
      </c>
      <c r="E560" s="239" t="s">
        <v>384</v>
      </c>
      <c r="F560" s="239" t="s">
        <v>385</v>
      </c>
      <c r="G560" s="239" t="s">
        <v>952</v>
      </c>
      <c r="H560" s="239" t="s">
        <v>51</v>
      </c>
      <c r="I560" s="239" t="s">
        <v>1580</v>
      </c>
      <c r="J560" s="233"/>
      <c r="K560" s="235">
        <v>45915</v>
      </c>
      <c r="L560" s="233">
        <v>1.5</v>
      </c>
      <c r="M560" s="234" t="s">
        <v>952</v>
      </c>
      <c r="N560" s="234">
        <v>36360</v>
      </c>
      <c r="O560" s="234">
        <v>13850</v>
      </c>
      <c r="P560" s="242">
        <v>12</v>
      </c>
      <c r="Q560" s="234">
        <v>22510</v>
      </c>
      <c r="R560" s="234">
        <v>19808.8</v>
      </c>
      <c r="S560" s="234" t="s">
        <v>1972</v>
      </c>
      <c r="T560" s="236">
        <v>45915</v>
      </c>
    </row>
    <row r="561" spans="1:20" ht="51" hidden="1">
      <c r="A561" s="239" t="s">
        <v>1929</v>
      </c>
      <c r="B561" s="240">
        <v>1676</v>
      </c>
      <c r="C561" s="241">
        <v>37561</v>
      </c>
      <c r="D561" s="239" t="s">
        <v>3819</v>
      </c>
      <c r="E561" s="239" t="s">
        <v>369</v>
      </c>
      <c r="F561" s="239" t="s">
        <v>370</v>
      </c>
      <c r="G561" s="239" t="s">
        <v>953</v>
      </c>
      <c r="H561" s="239" t="s">
        <v>51</v>
      </c>
      <c r="I561" s="239" t="s">
        <v>1580</v>
      </c>
      <c r="J561" s="233"/>
      <c r="K561" s="235">
        <v>45915</v>
      </c>
      <c r="L561" s="233">
        <v>1.5</v>
      </c>
      <c r="M561" s="234" t="s">
        <v>953</v>
      </c>
      <c r="N561" s="234">
        <v>38050</v>
      </c>
      <c r="O561" s="234">
        <v>15000</v>
      </c>
      <c r="P561" s="242">
        <v>8</v>
      </c>
      <c r="Q561" s="234">
        <v>23050</v>
      </c>
      <c r="R561" s="234">
        <v>21206</v>
      </c>
      <c r="S561" s="234" t="s">
        <v>1970</v>
      </c>
      <c r="T561" s="236">
        <v>45915</v>
      </c>
    </row>
    <row r="562" spans="1:20" ht="51" hidden="1">
      <c r="A562" s="239" t="s">
        <v>1917</v>
      </c>
      <c r="B562" s="240">
        <v>1655</v>
      </c>
      <c r="C562" s="241">
        <v>37537</v>
      </c>
      <c r="D562" s="239" t="s">
        <v>3819</v>
      </c>
      <c r="E562" s="239" t="s">
        <v>472</v>
      </c>
      <c r="F562" s="239" t="s">
        <v>473</v>
      </c>
      <c r="G562" s="239" t="s">
        <v>950</v>
      </c>
      <c r="H562" s="239" t="s">
        <v>51</v>
      </c>
      <c r="I562" s="239" t="s">
        <v>1580</v>
      </c>
      <c r="J562" s="233"/>
      <c r="K562" s="235">
        <v>45914</v>
      </c>
      <c r="L562" s="233">
        <v>1.3</v>
      </c>
      <c r="M562" s="234" t="s">
        <v>950</v>
      </c>
      <c r="N562" s="234">
        <v>39470</v>
      </c>
      <c r="O562" s="234">
        <v>16330</v>
      </c>
      <c r="P562" s="242">
        <v>14</v>
      </c>
      <c r="Q562" s="234">
        <v>23140</v>
      </c>
      <c r="R562" s="234">
        <v>19900.400000000001</v>
      </c>
      <c r="S562" s="234" t="s">
        <v>1958</v>
      </c>
      <c r="T562" s="236">
        <v>45915</v>
      </c>
    </row>
    <row r="563" spans="1:20" ht="51" hidden="1">
      <c r="A563" s="239" t="s">
        <v>1918</v>
      </c>
      <c r="B563" s="240">
        <v>1656</v>
      </c>
      <c r="C563" s="241">
        <v>37539</v>
      </c>
      <c r="D563" s="239" t="s">
        <v>3819</v>
      </c>
      <c r="E563" s="239" t="s">
        <v>475</v>
      </c>
      <c r="F563" s="239" t="s">
        <v>476</v>
      </c>
      <c r="G563" s="239" t="s">
        <v>950</v>
      </c>
      <c r="H563" s="239" t="s">
        <v>51</v>
      </c>
      <c r="I563" s="239" t="s">
        <v>1580</v>
      </c>
      <c r="J563" s="233"/>
      <c r="K563" s="235">
        <v>45914</v>
      </c>
      <c r="L563" s="233">
        <v>1.3</v>
      </c>
      <c r="M563" s="234" t="s">
        <v>950</v>
      </c>
      <c r="N563" s="234">
        <v>39250</v>
      </c>
      <c r="O563" s="234">
        <v>16320</v>
      </c>
      <c r="P563" s="242">
        <v>23</v>
      </c>
      <c r="Q563" s="234">
        <v>22930</v>
      </c>
      <c r="R563" s="234">
        <v>17656.099999999999</v>
      </c>
      <c r="S563" s="234" t="s">
        <v>1959</v>
      </c>
      <c r="T563" s="236">
        <v>45915</v>
      </c>
    </row>
    <row r="564" spans="1:20" ht="51" hidden="1">
      <c r="A564" s="239" t="s">
        <v>1919</v>
      </c>
      <c r="B564" s="240">
        <v>1657</v>
      </c>
      <c r="C564" s="241">
        <v>37541</v>
      </c>
      <c r="D564" s="239" t="s">
        <v>3819</v>
      </c>
      <c r="E564" s="239" t="s">
        <v>841</v>
      </c>
      <c r="F564" s="239" t="s">
        <v>845</v>
      </c>
      <c r="G564" s="239" t="s">
        <v>950</v>
      </c>
      <c r="H564" s="239" t="s">
        <v>51</v>
      </c>
      <c r="I564" s="239" t="s">
        <v>1580</v>
      </c>
      <c r="J564" s="233"/>
      <c r="K564" s="235">
        <v>45914</v>
      </c>
      <c r="L564" s="233">
        <v>1.6</v>
      </c>
      <c r="M564" s="234" t="s">
        <v>950</v>
      </c>
      <c r="N564" s="234">
        <v>42870</v>
      </c>
      <c r="O564" s="234">
        <v>15830</v>
      </c>
      <c r="P564" s="242">
        <v>17</v>
      </c>
      <c r="Q564" s="234">
        <v>27040</v>
      </c>
      <c r="R564" s="234">
        <v>22443.200000000001</v>
      </c>
      <c r="S564" s="234" t="s">
        <v>1960</v>
      </c>
      <c r="T564" s="236">
        <v>45915</v>
      </c>
    </row>
    <row r="565" spans="1:20" ht="51" hidden="1">
      <c r="A565" s="239" t="s">
        <v>1920</v>
      </c>
      <c r="B565" s="240">
        <v>1658</v>
      </c>
      <c r="C565" s="241">
        <v>37543</v>
      </c>
      <c r="D565" s="239" t="s">
        <v>3819</v>
      </c>
      <c r="E565" s="239" t="s">
        <v>866</v>
      </c>
      <c r="F565" s="239" t="s">
        <v>867</v>
      </c>
      <c r="G565" s="239" t="s">
        <v>950</v>
      </c>
      <c r="H565" s="239" t="s">
        <v>51</v>
      </c>
      <c r="I565" s="239" t="s">
        <v>1580</v>
      </c>
      <c r="J565" s="233"/>
      <c r="K565" s="235">
        <v>45914</v>
      </c>
      <c r="L565" s="233">
        <v>1.4</v>
      </c>
      <c r="M565" s="234" t="s">
        <v>950</v>
      </c>
      <c r="N565" s="234">
        <v>39170</v>
      </c>
      <c r="O565" s="234">
        <v>14420</v>
      </c>
      <c r="P565" s="242">
        <v>5</v>
      </c>
      <c r="Q565" s="234">
        <v>24750</v>
      </c>
      <c r="R565" s="234">
        <v>23512.5</v>
      </c>
      <c r="S565" s="234" t="s">
        <v>1961</v>
      </c>
      <c r="T565" s="236">
        <v>45915</v>
      </c>
    </row>
    <row r="566" spans="1:20" ht="51" hidden="1">
      <c r="A566" s="239" t="s">
        <v>1921</v>
      </c>
      <c r="B566" s="240">
        <v>1660</v>
      </c>
      <c r="C566" s="241">
        <v>37545</v>
      </c>
      <c r="D566" s="239" t="s">
        <v>3819</v>
      </c>
      <c r="E566" s="239" t="s">
        <v>388</v>
      </c>
      <c r="F566" s="239" t="s">
        <v>389</v>
      </c>
      <c r="G566" s="239" t="s">
        <v>950</v>
      </c>
      <c r="H566" s="239" t="s">
        <v>51</v>
      </c>
      <c r="I566" s="239" t="s">
        <v>1580</v>
      </c>
      <c r="J566" s="233"/>
      <c r="K566" s="235">
        <v>45914</v>
      </c>
      <c r="L566" s="233">
        <v>1.9</v>
      </c>
      <c r="M566" s="234" t="s">
        <v>950</v>
      </c>
      <c r="N566" s="234">
        <v>53280</v>
      </c>
      <c r="O566" s="234">
        <v>20830</v>
      </c>
      <c r="P566" s="242">
        <v>9</v>
      </c>
      <c r="Q566" s="234">
        <v>32450</v>
      </c>
      <c r="R566" s="234">
        <v>29529.5</v>
      </c>
      <c r="S566" s="234" t="s">
        <v>1962</v>
      </c>
      <c r="T566" s="236">
        <v>45915</v>
      </c>
    </row>
    <row r="567" spans="1:20" ht="51" hidden="1">
      <c r="A567" s="239" t="s">
        <v>1922</v>
      </c>
      <c r="B567" s="240">
        <v>1662</v>
      </c>
      <c r="C567" s="241">
        <v>37547</v>
      </c>
      <c r="D567" s="239" t="s">
        <v>3819</v>
      </c>
      <c r="E567" s="239" t="s">
        <v>400</v>
      </c>
      <c r="F567" s="239" t="s">
        <v>401</v>
      </c>
      <c r="G567" s="239" t="s">
        <v>950</v>
      </c>
      <c r="H567" s="239" t="s">
        <v>51</v>
      </c>
      <c r="I567" s="239" t="s">
        <v>1580</v>
      </c>
      <c r="J567" s="233"/>
      <c r="K567" s="235">
        <v>45914</v>
      </c>
      <c r="L567" s="233">
        <v>1.4</v>
      </c>
      <c r="M567" s="234" t="s">
        <v>950</v>
      </c>
      <c r="N567" s="234">
        <v>38160</v>
      </c>
      <c r="O567" s="234">
        <v>14690</v>
      </c>
      <c r="P567" s="242">
        <v>14</v>
      </c>
      <c r="Q567" s="234">
        <v>23470</v>
      </c>
      <c r="R567" s="234">
        <v>20184.2</v>
      </c>
      <c r="S567" s="234" t="s">
        <v>1963</v>
      </c>
      <c r="T567" s="236">
        <v>45915</v>
      </c>
    </row>
    <row r="568" spans="1:20" ht="51" hidden="1">
      <c r="A568" s="239" t="s">
        <v>1923</v>
      </c>
      <c r="B568" s="240">
        <v>1663</v>
      </c>
      <c r="C568" s="241">
        <v>37549</v>
      </c>
      <c r="D568" s="239" t="s">
        <v>3819</v>
      </c>
      <c r="E568" s="239" t="s">
        <v>382</v>
      </c>
      <c r="F568" s="239" t="s">
        <v>383</v>
      </c>
      <c r="G568" s="239" t="s">
        <v>950</v>
      </c>
      <c r="H568" s="239" t="s">
        <v>51</v>
      </c>
      <c r="I568" s="239" t="s">
        <v>1580</v>
      </c>
      <c r="J568" s="233"/>
      <c r="K568" s="235">
        <v>45914</v>
      </c>
      <c r="L568" s="233">
        <v>1.3</v>
      </c>
      <c r="M568" s="234" t="s">
        <v>950</v>
      </c>
      <c r="N568" s="234">
        <v>37000</v>
      </c>
      <c r="O568" s="234">
        <v>14540</v>
      </c>
      <c r="P568" s="242">
        <v>19</v>
      </c>
      <c r="Q568" s="234">
        <v>22460</v>
      </c>
      <c r="R568" s="234">
        <v>18192.599999999999</v>
      </c>
      <c r="S568" s="234" t="s">
        <v>1964</v>
      </c>
      <c r="T568" s="236">
        <v>45915</v>
      </c>
    </row>
    <row r="569" spans="1:20" ht="51" hidden="1">
      <c r="A569" s="239" t="s">
        <v>1924</v>
      </c>
      <c r="B569" s="240">
        <v>1666</v>
      </c>
      <c r="C569" s="241">
        <v>37551</v>
      </c>
      <c r="D569" s="239" t="s">
        <v>3819</v>
      </c>
      <c r="E569" s="239" t="s">
        <v>374</v>
      </c>
      <c r="F569" s="239" t="s">
        <v>375</v>
      </c>
      <c r="G569" s="239" t="s">
        <v>950</v>
      </c>
      <c r="H569" s="239" t="s">
        <v>51</v>
      </c>
      <c r="I569" s="239" t="s">
        <v>1580</v>
      </c>
      <c r="J569" s="233"/>
      <c r="K569" s="235">
        <v>45914</v>
      </c>
      <c r="L569" s="233">
        <v>1.3</v>
      </c>
      <c r="M569" s="234" t="s">
        <v>950</v>
      </c>
      <c r="N569" s="234">
        <v>38670</v>
      </c>
      <c r="O569" s="234">
        <v>15500</v>
      </c>
      <c r="P569" s="242">
        <v>9</v>
      </c>
      <c r="Q569" s="234">
        <v>23170</v>
      </c>
      <c r="R569" s="234">
        <v>21084.7</v>
      </c>
      <c r="S569" s="234" t="s">
        <v>1965</v>
      </c>
      <c r="T569" s="236">
        <v>45915</v>
      </c>
    </row>
    <row r="570" spans="1:20" ht="51" hidden="1">
      <c r="A570" s="239" t="s">
        <v>1925</v>
      </c>
      <c r="B570" s="240">
        <v>1667</v>
      </c>
      <c r="C570" s="241">
        <v>37553</v>
      </c>
      <c r="D570" s="239" t="s">
        <v>3819</v>
      </c>
      <c r="E570" s="239" t="s">
        <v>377</v>
      </c>
      <c r="F570" s="239" t="s">
        <v>378</v>
      </c>
      <c r="G570" s="239" t="s">
        <v>950</v>
      </c>
      <c r="H570" s="239" t="s">
        <v>51</v>
      </c>
      <c r="I570" s="239" t="s">
        <v>1580</v>
      </c>
      <c r="J570" s="233"/>
      <c r="K570" s="235">
        <v>45914</v>
      </c>
      <c r="L570" s="233">
        <v>1.5</v>
      </c>
      <c r="M570" s="234" t="s">
        <v>950</v>
      </c>
      <c r="N570" s="234">
        <v>41710</v>
      </c>
      <c r="O570" s="234">
        <v>15130</v>
      </c>
      <c r="P570" s="242">
        <v>10</v>
      </c>
      <c r="Q570" s="234">
        <v>26580</v>
      </c>
      <c r="R570" s="234">
        <v>23922</v>
      </c>
      <c r="S570" s="234" t="s">
        <v>1966</v>
      </c>
      <c r="T570" s="236">
        <v>45915</v>
      </c>
    </row>
    <row r="571" spans="1:20" ht="51" hidden="1">
      <c r="A571" s="239" t="s">
        <v>1926</v>
      </c>
      <c r="B571" s="240">
        <v>1671</v>
      </c>
      <c r="C571" s="241">
        <v>37555</v>
      </c>
      <c r="D571" s="239" t="s">
        <v>3819</v>
      </c>
      <c r="E571" s="239" t="s">
        <v>442</v>
      </c>
      <c r="F571" s="239" t="s">
        <v>443</v>
      </c>
      <c r="G571" s="239" t="s">
        <v>950</v>
      </c>
      <c r="H571" s="239" t="s">
        <v>51</v>
      </c>
      <c r="I571" s="239" t="s">
        <v>1580</v>
      </c>
      <c r="J571" s="233"/>
      <c r="K571" s="235">
        <v>45914</v>
      </c>
      <c r="L571" s="233">
        <v>1.2</v>
      </c>
      <c r="M571" s="234" t="s">
        <v>950</v>
      </c>
      <c r="N571" s="234">
        <v>35140</v>
      </c>
      <c r="O571" s="234">
        <v>14430</v>
      </c>
      <c r="P571" s="242">
        <v>18</v>
      </c>
      <c r="Q571" s="234">
        <v>20710</v>
      </c>
      <c r="R571" s="234">
        <v>16982.2</v>
      </c>
      <c r="S571" s="234" t="s">
        <v>1967</v>
      </c>
      <c r="T571" s="236">
        <v>45915</v>
      </c>
    </row>
    <row r="572" spans="1:20" ht="51" hidden="1">
      <c r="A572" s="239" t="s">
        <v>1973</v>
      </c>
      <c r="B572" s="240">
        <v>1674</v>
      </c>
      <c r="C572" s="241">
        <v>37557</v>
      </c>
      <c r="D572" s="239" t="s">
        <v>3819</v>
      </c>
      <c r="E572" s="239" t="s">
        <v>780</v>
      </c>
      <c r="F572" s="239" t="s">
        <v>781</v>
      </c>
      <c r="G572" s="239" t="s">
        <v>950</v>
      </c>
      <c r="H572" s="239" t="s">
        <v>51</v>
      </c>
      <c r="I572" s="239" t="s">
        <v>1580</v>
      </c>
      <c r="J572" s="233"/>
      <c r="K572" s="235">
        <v>45915</v>
      </c>
      <c r="L572" s="233">
        <v>1.5</v>
      </c>
      <c r="M572" s="234" t="s">
        <v>950</v>
      </c>
      <c r="N572" s="234">
        <v>36190</v>
      </c>
      <c r="O572" s="234">
        <v>14790</v>
      </c>
      <c r="P572" s="242">
        <v>13</v>
      </c>
      <c r="Q572" s="234">
        <v>21400</v>
      </c>
      <c r="R572" s="234">
        <v>18618</v>
      </c>
      <c r="S572" s="234" t="s">
        <v>1974</v>
      </c>
      <c r="T572" s="236">
        <v>45915</v>
      </c>
    </row>
    <row r="573" spans="1:20" ht="38.25" hidden="1">
      <c r="A573" s="239" t="s">
        <v>1977</v>
      </c>
      <c r="B573" s="240">
        <v>1682</v>
      </c>
      <c r="C573" s="241">
        <v>136</v>
      </c>
      <c r="D573" s="239" t="s">
        <v>591</v>
      </c>
      <c r="E573" s="239" t="s">
        <v>1978</v>
      </c>
      <c r="F573" s="239" t="s">
        <v>1979</v>
      </c>
      <c r="G573" s="239" t="s">
        <v>966</v>
      </c>
      <c r="H573" s="239" t="s">
        <v>254</v>
      </c>
      <c r="I573" s="239" t="s">
        <v>371</v>
      </c>
      <c r="J573" s="233"/>
      <c r="K573" s="235">
        <v>45916</v>
      </c>
      <c r="L573" s="233">
        <v>0.8</v>
      </c>
      <c r="M573" s="234" t="s">
        <v>966</v>
      </c>
      <c r="N573" s="234">
        <v>23210</v>
      </c>
      <c r="O573" s="234">
        <v>14110</v>
      </c>
      <c r="P573" s="242">
        <v>18</v>
      </c>
      <c r="Q573" s="234">
        <v>9100</v>
      </c>
      <c r="R573" s="234">
        <v>7462</v>
      </c>
      <c r="S573" s="234" t="s">
        <v>1985</v>
      </c>
      <c r="T573" s="236">
        <v>45916</v>
      </c>
    </row>
    <row r="574" spans="1:20" ht="38.25" hidden="1">
      <c r="A574" s="239" t="s">
        <v>1980</v>
      </c>
      <c r="B574" s="240">
        <v>1684</v>
      </c>
      <c r="C574" s="241">
        <v>137</v>
      </c>
      <c r="D574" s="239" t="s">
        <v>591</v>
      </c>
      <c r="E574" s="239" t="s">
        <v>377</v>
      </c>
      <c r="F574" s="239" t="s">
        <v>378</v>
      </c>
      <c r="G574" s="239" t="s">
        <v>966</v>
      </c>
      <c r="H574" s="239" t="s">
        <v>254</v>
      </c>
      <c r="I574" s="239" t="s">
        <v>371</v>
      </c>
      <c r="J574" s="233"/>
      <c r="K574" s="235">
        <v>45916</v>
      </c>
      <c r="L574" s="233">
        <v>2</v>
      </c>
      <c r="M574" s="234" t="s">
        <v>966</v>
      </c>
      <c r="N574" s="234">
        <v>38560</v>
      </c>
      <c r="O574" s="234">
        <v>15090</v>
      </c>
      <c r="P574" s="242">
        <v>23</v>
      </c>
      <c r="Q574" s="234">
        <v>23470</v>
      </c>
      <c r="R574" s="234">
        <v>18071.900000000001</v>
      </c>
      <c r="S574" s="234" t="s">
        <v>1986</v>
      </c>
      <c r="T574" s="236">
        <v>45916</v>
      </c>
    </row>
    <row r="575" spans="1:20" ht="38.25" hidden="1">
      <c r="A575" s="239" t="s">
        <v>1981</v>
      </c>
      <c r="B575" s="240">
        <v>1685</v>
      </c>
      <c r="C575" s="241">
        <v>138</v>
      </c>
      <c r="D575" s="239" t="s">
        <v>591</v>
      </c>
      <c r="E575" s="239" t="s">
        <v>400</v>
      </c>
      <c r="F575" s="239" t="s">
        <v>401</v>
      </c>
      <c r="G575" s="239" t="s">
        <v>966</v>
      </c>
      <c r="H575" s="239" t="s">
        <v>254</v>
      </c>
      <c r="I575" s="239" t="s">
        <v>371</v>
      </c>
      <c r="J575" s="233"/>
      <c r="K575" s="235">
        <v>45916</v>
      </c>
      <c r="L575" s="233">
        <v>1.5</v>
      </c>
      <c r="M575" s="234" t="s">
        <v>966</v>
      </c>
      <c r="N575" s="234">
        <v>32100</v>
      </c>
      <c r="O575" s="234">
        <v>14880</v>
      </c>
      <c r="P575" s="242">
        <v>22</v>
      </c>
      <c r="Q575" s="234">
        <v>17220</v>
      </c>
      <c r="R575" s="234">
        <v>13431.6</v>
      </c>
      <c r="S575" s="234" t="s">
        <v>1987</v>
      </c>
      <c r="T575" s="236">
        <v>45916</v>
      </c>
    </row>
    <row r="576" spans="1:20" ht="38.25" hidden="1">
      <c r="A576" s="239" t="s">
        <v>1982</v>
      </c>
      <c r="B576" s="240">
        <v>1686</v>
      </c>
      <c r="C576" s="241">
        <v>139</v>
      </c>
      <c r="D576" s="239" t="s">
        <v>591</v>
      </c>
      <c r="E576" s="239" t="s">
        <v>1978</v>
      </c>
      <c r="F576" s="239" t="s">
        <v>1979</v>
      </c>
      <c r="G576" s="239" t="s">
        <v>966</v>
      </c>
      <c r="H576" s="239" t="s">
        <v>254</v>
      </c>
      <c r="I576" s="239" t="s">
        <v>371</v>
      </c>
      <c r="J576" s="233"/>
      <c r="K576" s="235">
        <v>45916</v>
      </c>
      <c r="L576" s="233">
        <v>1.3</v>
      </c>
      <c r="M576" s="234" t="s">
        <v>966</v>
      </c>
      <c r="N576" s="234">
        <v>28680</v>
      </c>
      <c r="O576" s="234">
        <v>14180</v>
      </c>
      <c r="P576" s="242">
        <v>28</v>
      </c>
      <c r="Q576" s="234">
        <v>14500</v>
      </c>
      <c r="R576" s="234">
        <v>10440</v>
      </c>
      <c r="S576" s="234" t="s">
        <v>1988</v>
      </c>
      <c r="T576" s="236">
        <v>45917</v>
      </c>
    </row>
    <row r="577" spans="1:20" ht="38.25" hidden="1">
      <c r="A577" s="239" t="s">
        <v>1983</v>
      </c>
      <c r="B577" s="240">
        <v>1687</v>
      </c>
      <c r="C577" s="241">
        <v>140</v>
      </c>
      <c r="D577" s="239" t="s">
        <v>591</v>
      </c>
      <c r="E577" s="239" t="s">
        <v>377</v>
      </c>
      <c r="F577" s="239" t="s">
        <v>378</v>
      </c>
      <c r="G577" s="239" t="s">
        <v>966</v>
      </c>
      <c r="H577" s="239" t="s">
        <v>254</v>
      </c>
      <c r="I577" s="239" t="s">
        <v>371</v>
      </c>
      <c r="J577" s="233"/>
      <c r="K577" s="235">
        <v>45916</v>
      </c>
      <c r="L577" s="233">
        <v>1.5</v>
      </c>
      <c r="M577" s="234" t="s">
        <v>966</v>
      </c>
      <c r="N577" s="234">
        <v>32420</v>
      </c>
      <c r="O577" s="234">
        <v>15070</v>
      </c>
      <c r="P577" s="242">
        <v>24</v>
      </c>
      <c r="Q577" s="234">
        <v>17350</v>
      </c>
      <c r="R577" s="234">
        <v>13186</v>
      </c>
      <c r="S577" s="234" t="s">
        <v>1989</v>
      </c>
      <c r="T577" s="236">
        <v>45917</v>
      </c>
    </row>
    <row r="578" spans="1:20" ht="38.25" hidden="1">
      <c r="A578" s="239" t="s">
        <v>1984</v>
      </c>
      <c r="B578" s="240">
        <v>1688</v>
      </c>
      <c r="C578" s="241">
        <v>141</v>
      </c>
      <c r="D578" s="239" t="s">
        <v>591</v>
      </c>
      <c r="E578" s="239" t="s">
        <v>1978</v>
      </c>
      <c r="F578" s="239" t="s">
        <v>1979</v>
      </c>
      <c r="G578" s="239" t="s">
        <v>966</v>
      </c>
      <c r="H578" s="239" t="s">
        <v>254</v>
      </c>
      <c r="I578" s="239" t="s">
        <v>371</v>
      </c>
      <c r="J578" s="233"/>
      <c r="K578" s="235">
        <v>45916</v>
      </c>
      <c r="L578" s="233">
        <v>0.9</v>
      </c>
      <c r="M578" s="234" t="s">
        <v>966</v>
      </c>
      <c r="N578" s="234">
        <v>24510</v>
      </c>
      <c r="O578" s="234">
        <v>14170</v>
      </c>
      <c r="P578" s="242">
        <v>26</v>
      </c>
      <c r="Q578" s="234">
        <v>10340</v>
      </c>
      <c r="R578" s="234">
        <v>7651.6</v>
      </c>
      <c r="S578" s="234" t="s">
        <v>1990</v>
      </c>
      <c r="T578" s="236">
        <v>45917</v>
      </c>
    </row>
    <row r="579" spans="1:20" ht="51" hidden="1">
      <c r="A579" s="239" t="s">
        <v>1992</v>
      </c>
      <c r="B579" s="240">
        <v>1691</v>
      </c>
      <c r="C579" s="241">
        <v>142</v>
      </c>
      <c r="D579" s="239" t="s">
        <v>591</v>
      </c>
      <c r="E579" s="239" t="s">
        <v>382</v>
      </c>
      <c r="F579" s="239" t="s">
        <v>383</v>
      </c>
      <c r="G579" s="239" t="s">
        <v>966</v>
      </c>
      <c r="H579" s="239" t="s">
        <v>254</v>
      </c>
      <c r="I579" s="239" t="s">
        <v>371</v>
      </c>
      <c r="J579" s="233"/>
      <c r="K579" s="235">
        <v>45917</v>
      </c>
      <c r="L579" s="233">
        <v>1.3</v>
      </c>
      <c r="M579" s="234" t="s">
        <v>966</v>
      </c>
      <c r="N579" s="234">
        <v>28250</v>
      </c>
      <c r="O579" s="234">
        <v>14750</v>
      </c>
      <c r="P579" s="242">
        <v>21</v>
      </c>
      <c r="Q579" s="234">
        <v>13500</v>
      </c>
      <c r="R579" s="234">
        <v>10665</v>
      </c>
      <c r="S579" s="234" t="s">
        <v>2066</v>
      </c>
      <c r="T579" s="236">
        <v>45917</v>
      </c>
    </row>
    <row r="580" spans="1:20" ht="38.25" hidden="1">
      <c r="A580" s="239" t="s">
        <v>1993</v>
      </c>
      <c r="B580" s="240">
        <v>1692</v>
      </c>
      <c r="C580" s="241">
        <v>143</v>
      </c>
      <c r="D580" s="239" t="s">
        <v>591</v>
      </c>
      <c r="E580" s="239" t="s">
        <v>384</v>
      </c>
      <c r="F580" s="239" t="s">
        <v>385</v>
      </c>
      <c r="G580" s="239" t="s">
        <v>966</v>
      </c>
      <c r="H580" s="239" t="s">
        <v>254</v>
      </c>
      <c r="I580" s="239" t="s">
        <v>371</v>
      </c>
      <c r="J580" s="233"/>
      <c r="K580" s="235">
        <v>45917</v>
      </c>
      <c r="L580" s="233">
        <v>1.3</v>
      </c>
      <c r="M580" s="234" t="s">
        <v>966</v>
      </c>
      <c r="N580" s="234">
        <v>27900</v>
      </c>
      <c r="O580" s="234">
        <v>14020</v>
      </c>
      <c r="P580" s="242">
        <v>18</v>
      </c>
      <c r="Q580" s="234">
        <v>13880</v>
      </c>
      <c r="R580" s="234">
        <v>11381.6</v>
      </c>
      <c r="S580" s="234" t="s">
        <v>2067</v>
      </c>
      <c r="T580" s="236">
        <v>45917</v>
      </c>
    </row>
    <row r="581" spans="1:20" ht="51" hidden="1">
      <c r="A581" s="239" t="s">
        <v>1994</v>
      </c>
      <c r="B581" s="240">
        <v>1694</v>
      </c>
      <c r="C581" s="241">
        <v>144</v>
      </c>
      <c r="D581" s="239" t="s">
        <v>591</v>
      </c>
      <c r="E581" s="239" t="s">
        <v>382</v>
      </c>
      <c r="F581" s="239" t="s">
        <v>383</v>
      </c>
      <c r="G581" s="239" t="s">
        <v>966</v>
      </c>
      <c r="H581" s="239" t="s">
        <v>254</v>
      </c>
      <c r="I581" s="239" t="s">
        <v>371</v>
      </c>
      <c r="J581" s="233"/>
      <c r="K581" s="235">
        <v>45917</v>
      </c>
      <c r="L581" s="233">
        <v>1</v>
      </c>
      <c r="M581" s="234" t="s">
        <v>966</v>
      </c>
      <c r="N581" s="234">
        <v>25200</v>
      </c>
      <c r="O581" s="234">
        <v>14730</v>
      </c>
      <c r="P581" s="242">
        <v>16</v>
      </c>
      <c r="Q581" s="234">
        <v>10470</v>
      </c>
      <c r="R581" s="234">
        <v>8794.7999999999993</v>
      </c>
      <c r="S581" s="234" t="s">
        <v>2068</v>
      </c>
      <c r="T581" s="236">
        <v>45917</v>
      </c>
    </row>
    <row r="582" spans="1:20" ht="38.25" hidden="1">
      <c r="A582" s="239" t="s">
        <v>1995</v>
      </c>
      <c r="B582" s="240">
        <v>1697</v>
      </c>
      <c r="C582" s="241">
        <v>145</v>
      </c>
      <c r="D582" s="239" t="s">
        <v>591</v>
      </c>
      <c r="E582" s="239" t="s">
        <v>384</v>
      </c>
      <c r="F582" s="239" t="s">
        <v>385</v>
      </c>
      <c r="G582" s="239" t="s">
        <v>966</v>
      </c>
      <c r="H582" s="239" t="s">
        <v>254</v>
      </c>
      <c r="I582" s="239" t="s">
        <v>371</v>
      </c>
      <c r="J582" s="233"/>
      <c r="K582" s="235">
        <v>45917</v>
      </c>
      <c r="L582" s="233">
        <v>1.5</v>
      </c>
      <c r="M582" s="234" t="s">
        <v>966</v>
      </c>
      <c r="N582" s="234">
        <v>29610</v>
      </c>
      <c r="O582" s="234">
        <v>14010</v>
      </c>
      <c r="P582" s="242">
        <v>25</v>
      </c>
      <c r="Q582" s="234">
        <v>15600</v>
      </c>
      <c r="R582" s="234">
        <v>11700</v>
      </c>
      <c r="S582" s="234" t="s">
        <v>2069</v>
      </c>
      <c r="T582" s="236">
        <v>45917</v>
      </c>
    </row>
    <row r="583" spans="1:20" ht="51" hidden="1">
      <c r="A583" s="239" t="s">
        <v>1996</v>
      </c>
      <c r="B583" s="240">
        <v>1698</v>
      </c>
      <c r="C583" s="241">
        <v>146</v>
      </c>
      <c r="D583" s="239" t="s">
        <v>591</v>
      </c>
      <c r="E583" s="239" t="s">
        <v>382</v>
      </c>
      <c r="F583" s="239" t="s">
        <v>383</v>
      </c>
      <c r="G583" s="239" t="s">
        <v>966</v>
      </c>
      <c r="H583" s="239" t="s">
        <v>254</v>
      </c>
      <c r="I583" s="239" t="s">
        <v>371</v>
      </c>
      <c r="J583" s="233"/>
      <c r="K583" s="235">
        <v>45917</v>
      </c>
      <c r="L583" s="233">
        <v>1.3</v>
      </c>
      <c r="M583" s="234" t="s">
        <v>966</v>
      </c>
      <c r="N583" s="234">
        <v>28690</v>
      </c>
      <c r="O583" s="234">
        <v>14720</v>
      </c>
      <c r="P583" s="242">
        <v>24</v>
      </c>
      <c r="Q583" s="234">
        <v>13970</v>
      </c>
      <c r="R583" s="234">
        <v>10617.2</v>
      </c>
      <c r="S583" s="234" t="s">
        <v>2070</v>
      </c>
      <c r="T583" s="236">
        <v>45917</v>
      </c>
    </row>
    <row r="584" spans="1:20" ht="38.25" hidden="1">
      <c r="A584" s="239" t="s">
        <v>1997</v>
      </c>
      <c r="B584" s="240">
        <v>1699</v>
      </c>
      <c r="C584" s="241">
        <v>147</v>
      </c>
      <c r="D584" s="239" t="s">
        <v>591</v>
      </c>
      <c r="E584" s="239" t="s">
        <v>384</v>
      </c>
      <c r="F584" s="239" t="s">
        <v>385</v>
      </c>
      <c r="G584" s="239" t="s">
        <v>966</v>
      </c>
      <c r="H584" s="239" t="s">
        <v>254</v>
      </c>
      <c r="I584" s="239" t="s">
        <v>371</v>
      </c>
      <c r="J584" s="233"/>
      <c r="K584" s="235">
        <v>45917</v>
      </c>
      <c r="L584" s="233">
        <v>1.7</v>
      </c>
      <c r="M584" s="234" t="s">
        <v>966</v>
      </c>
      <c r="N584" s="234">
        <v>32120</v>
      </c>
      <c r="O584" s="234">
        <v>14000</v>
      </c>
      <c r="P584" s="242">
        <v>25</v>
      </c>
      <c r="Q584" s="234">
        <v>18120</v>
      </c>
      <c r="R584" s="234">
        <v>13590</v>
      </c>
      <c r="S584" s="234" t="s">
        <v>2071</v>
      </c>
      <c r="T584" s="236">
        <v>45917</v>
      </c>
    </row>
    <row r="585" spans="1:20" ht="51" hidden="1">
      <c r="A585" s="239" t="s">
        <v>1998</v>
      </c>
      <c r="B585" s="240">
        <v>1700</v>
      </c>
      <c r="C585" s="241">
        <v>148</v>
      </c>
      <c r="D585" s="239" t="s">
        <v>591</v>
      </c>
      <c r="E585" s="239" t="s">
        <v>382</v>
      </c>
      <c r="F585" s="239" t="s">
        <v>383</v>
      </c>
      <c r="G585" s="239" t="s">
        <v>966</v>
      </c>
      <c r="H585" s="239" t="s">
        <v>254</v>
      </c>
      <c r="I585" s="239" t="s">
        <v>371</v>
      </c>
      <c r="J585" s="233"/>
      <c r="K585" s="235">
        <v>45917</v>
      </c>
      <c r="L585" s="233">
        <v>1.8</v>
      </c>
      <c r="M585" s="234" t="s">
        <v>966</v>
      </c>
      <c r="N585" s="234">
        <v>33450</v>
      </c>
      <c r="O585" s="234">
        <v>14720</v>
      </c>
      <c r="P585" s="242">
        <v>19</v>
      </c>
      <c r="Q585" s="234">
        <v>18730</v>
      </c>
      <c r="R585" s="234">
        <v>15171.3</v>
      </c>
      <c r="S585" s="234" t="s">
        <v>2072</v>
      </c>
      <c r="T585" s="236">
        <v>45917</v>
      </c>
    </row>
    <row r="586" spans="1:20" ht="51" hidden="1">
      <c r="A586" s="239" t="s">
        <v>1999</v>
      </c>
      <c r="B586" s="240">
        <v>1701</v>
      </c>
      <c r="C586" s="241">
        <v>149</v>
      </c>
      <c r="D586" s="239" t="s">
        <v>591</v>
      </c>
      <c r="E586" s="239" t="s">
        <v>369</v>
      </c>
      <c r="F586" s="239" t="s">
        <v>370</v>
      </c>
      <c r="G586" s="239" t="s">
        <v>966</v>
      </c>
      <c r="H586" s="239" t="s">
        <v>254</v>
      </c>
      <c r="I586" s="239" t="s">
        <v>371</v>
      </c>
      <c r="J586" s="233"/>
      <c r="K586" s="235">
        <v>45917</v>
      </c>
      <c r="L586" s="233">
        <v>1.5</v>
      </c>
      <c r="M586" s="234" t="s">
        <v>966</v>
      </c>
      <c r="N586" s="234">
        <v>30660</v>
      </c>
      <c r="O586" s="234">
        <v>15130</v>
      </c>
      <c r="P586" s="242">
        <v>23</v>
      </c>
      <c r="Q586" s="234">
        <v>15530</v>
      </c>
      <c r="R586" s="234">
        <v>11958.1</v>
      </c>
      <c r="S586" s="234" t="s">
        <v>2073</v>
      </c>
      <c r="T586" s="236">
        <v>45917</v>
      </c>
    </row>
    <row r="587" spans="1:20" ht="38.25" hidden="1">
      <c r="A587" s="239" t="s">
        <v>2000</v>
      </c>
      <c r="B587" s="240">
        <v>1702</v>
      </c>
      <c r="C587" s="241">
        <v>150</v>
      </c>
      <c r="D587" s="239" t="s">
        <v>591</v>
      </c>
      <c r="E587" s="239" t="s">
        <v>384</v>
      </c>
      <c r="F587" s="239" t="s">
        <v>385</v>
      </c>
      <c r="G587" s="239" t="s">
        <v>966</v>
      </c>
      <c r="H587" s="239" t="s">
        <v>254</v>
      </c>
      <c r="I587" s="239" t="s">
        <v>371</v>
      </c>
      <c r="J587" s="233"/>
      <c r="K587" s="235">
        <v>45917</v>
      </c>
      <c r="L587" s="233">
        <v>1.4</v>
      </c>
      <c r="M587" s="234" t="s">
        <v>966</v>
      </c>
      <c r="N587" s="234">
        <v>28770</v>
      </c>
      <c r="O587" s="234">
        <v>13990</v>
      </c>
      <c r="P587" s="242">
        <v>24</v>
      </c>
      <c r="Q587" s="234">
        <v>14780</v>
      </c>
      <c r="R587" s="234">
        <v>11232.8</v>
      </c>
      <c r="S587" s="234" t="s">
        <v>2074</v>
      </c>
      <c r="T587" s="236">
        <v>45917</v>
      </c>
    </row>
    <row r="588" spans="1:20" ht="51" hidden="1">
      <c r="A588" s="239" t="s">
        <v>2001</v>
      </c>
      <c r="B588" s="240">
        <v>1704</v>
      </c>
      <c r="C588" s="241">
        <v>151</v>
      </c>
      <c r="D588" s="239" t="s">
        <v>591</v>
      </c>
      <c r="E588" s="239" t="s">
        <v>382</v>
      </c>
      <c r="F588" s="239" t="s">
        <v>383</v>
      </c>
      <c r="G588" s="239" t="s">
        <v>966</v>
      </c>
      <c r="H588" s="239" t="s">
        <v>254</v>
      </c>
      <c r="I588" s="239" t="s">
        <v>371</v>
      </c>
      <c r="J588" s="233"/>
      <c r="K588" s="235">
        <v>45917</v>
      </c>
      <c r="L588" s="233">
        <v>1.2</v>
      </c>
      <c r="M588" s="234" t="s">
        <v>966</v>
      </c>
      <c r="N588" s="234">
        <v>27380</v>
      </c>
      <c r="O588" s="234">
        <v>14700</v>
      </c>
      <c r="P588" s="242">
        <v>25</v>
      </c>
      <c r="Q588" s="234">
        <v>12680</v>
      </c>
      <c r="R588" s="234">
        <v>9510</v>
      </c>
      <c r="S588" s="234" t="s">
        <v>2075</v>
      </c>
      <c r="T588" s="236">
        <v>45918</v>
      </c>
    </row>
    <row r="589" spans="1:20" ht="38.25" hidden="1">
      <c r="A589" s="239" t="s">
        <v>2002</v>
      </c>
      <c r="B589" s="240">
        <v>1705</v>
      </c>
      <c r="C589" s="241">
        <v>152</v>
      </c>
      <c r="D589" s="239" t="s">
        <v>591</v>
      </c>
      <c r="E589" s="239" t="s">
        <v>384</v>
      </c>
      <c r="F589" s="239" t="s">
        <v>385</v>
      </c>
      <c r="G589" s="239" t="s">
        <v>966</v>
      </c>
      <c r="H589" s="239" t="s">
        <v>254</v>
      </c>
      <c r="I589" s="239" t="s">
        <v>371</v>
      </c>
      <c r="J589" s="233"/>
      <c r="K589" s="235">
        <v>45917</v>
      </c>
      <c r="L589" s="233">
        <v>1.3</v>
      </c>
      <c r="M589" s="234" t="s">
        <v>966</v>
      </c>
      <c r="N589" s="234">
        <v>28110</v>
      </c>
      <c r="O589" s="234">
        <v>13990</v>
      </c>
      <c r="P589" s="242">
        <v>28</v>
      </c>
      <c r="Q589" s="234">
        <v>14120</v>
      </c>
      <c r="R589" s="234">
        <v>10166.4</v>
      </c>
      <c r="S589" s="234" t="s">
        <v>2076</v>
      </c>
      <c r="T589" s="236">
        <v>45918</v>
      </c>
    </row>
    <row r="590" spans="1:20" ht="51" hidden="1">
      <c r="A590" s="239" t="s">
        <v>2003</v>
      </c>
      <c r="B590" s="240">
        <v>1706</v>
      </c>
      <c r="C590" s="241">
        <v>153</v>
      </c>
      <c r="D590" s="239" t="s">
        <v>591</v>
      </c>
      <c r="E590" s="239" t="s">
        <v>382</v>
      </c>
      <c r="F590" s="239" t="s">
        <v>383</v>
      </c>
      <c r="G590" s="239" t="s">
        <v>966</v>
      </c>
      <c r="H590" s="239" t="s">
        <v>254</v>
      </c>
      <c r="I590" s="239" t="s">
        <v>371</v>
      </c>
      <c r="J590" s="233"/>
      <c r="K590" s="235">
        <v>45917</v>
      </c>
      <c r="L590" s="233">
        <v>1.3</v>
      </c>
      <c r="M590" s="234" t="s">
        <v>966</v>
      </c>
      <c r="N590" s="234">
        <v>28410</v>
      </c>
      <c r="O590" s="234">
        <v>14700</v>
      </c>
      <c r="P590" s="242">
        <v>34</v>
      </c>
      <c r="Q590" s="234">
        <v>13710</v>
      </c>
      <c r="R590" s="234">
        <v>9048.6</v>
      </c>
      <c r="S590" s="234" t="s">
        <v>2077</v>
      </c>
      <c r="T590" s="236">
        <v>45918</v>
      </c>
    </row>
    <row r="591" spans="1:20" ht="38.25" hidden="1">
      <c r="A591" s="239" t="s">
        <v>2004</v>
      </c>
      <c r="B591" s="240">
        <v>1707</v>
      </c>
      <c r="C591" s="241">
        <v>154</v>
      </c>
      <c r="D591" s="239" t="s">
        <v>591</v>
      </c>
      <c r="E591" s="239" t="s">
        <v>384</v>
      </c>
      <c r="F591" s="239" t="s">
        <v>385</v>
      </c>
      <c r="G591" s="239" t="s">
        <v>966</v>
      </c>
      <c r="H591" s="239" t="s">
        <v>254</v>
      </c>
      <c r="I591" s="239" t="s">
        <v>371</v>
      </c>
      <c r="J591" s="233"/>
      <c r="K591" s="235">
        <v>45917</v>
      </c>
      <c r="L591" s="233">
        <v>1.5</v>
      </c>
      <c r="M591" s="234" t="s">
        <v>966</v>
      </c>
      <c r="N591" s="234">
        <v>29600</v>
      </c>
      <c r="O591" s="234">
        <v>13970</v>
      </c>
      <c r="P591" s="242">
        <v>32</v>
      </c>
      <c r="Q591" s="234">
        <v>15630</v>
      </c>
      <c r="R591" s="234">
        <v>10628.4</v>
      </c>
      <c r="S591" s="234" t="s">
        <v>2078</v>
      </c>
      <c r="T591" s="236">
        <v>45918</v>
      </c>
    </row>
    <row r="592" spans="1:20" ht="51" hidden="1">
      <c r="A592" s="239" t="s">
        <v>2005</v>
      </c>
      <c r="B592" s="240">
        <v>1708</v>
      </c>
      <c r="C592" s="241">
        <v>37563</v>
      </c>
      <c r="D592" s="239" t="s">
        <v>3819</v>
      </c>
      <c r="E592" s="239" t="s">
        <v>1663</v>
      </c>
      <c r="F592" s="239" t="s">
        <v>1733</v>
      </c>
      <c r="G592" s="239" t="s">
        <v>953</v>
      </c>
      <c r="H592" s="239" t="s">
        <v>51</v>
      </c>
      <c r="I592" s="239" t="s">
        <v>1580</v>
      </c>
      <c r="J592" s="233"/>
      <c r="K592" s="235">
        <v>45917</v>
      </c>
      <c r="L592" s="233">
        <v>1.5</v>
      </c>
      <c r="M592" s="234" t="s">
        <v>953</v>
      </c>
      <c r="N592" s="234">
        <v>39270</v>
      </c>
      <c r="O592" s="234">
        <v>15480</v>
      </c>
      <c r="P592" s="242">
        <v>24</v>
      </c>
      <c r="Q592" s="234">
        <v>23790</v>
      </c>
      <c r="R592" s="234">
        <v>18080.400000000001</v>
      </c>
      <c r="S592" s="234" t="s">
        <v>2079</v>
      </c>
      <c r="T592" s="236">
        <v>45918</v>
      </c>
    </row>
    <row r="593" spans="1:20" ht="51" hidden="1">
      <c r="A593" s="239" t="s">
        <v>2006</v>
      </c>
      <c r="B593" s="240">
        <v>1710</v>
      </c>
      <c r="C593" s="241">
        <v>37565</v>
      </c>
      <c r="D593" s="239" t="s">
        <v>3819</v>
      </c>
      <c r="E593" s="239" t="s">
        <v>1305</v>
      </c>
      <c r="F593" s="239" t="s">
        <v>1306</v>
      </c>
      <c r="G593" s="239" t="s">
        <v>953</v>
      </c>
      <c r="H593" s="239" t="s">
        <v>51</v>
      </c>
      <c r="I593" s="239" t="s">
        <v>1580</v>
      </c>
      <c r="J593" s="233"/>
      <c r="K593" s="235">
        <v>45917</v>
      </c>
      <c r="L593" s="233">
        <v>1.5</v>
      </c>
      <c r="M593" s="234" t="s">
        <v>953</v>
      </c>
      <c r="N593" s="234">
        <v>37930</v>
      </c>
      <c r="O593" s="234">
        <v>14740</v>
      </c>
      <c r="P593" s="242">
        <v>14</v>
      </c>
      <c r="Q593" s="234">
        <v>23190</v>
      </c>
      <c r="R593" s="234">
        <v>19943.400000000001</v>
      </c>
      <c r="S593" s="234" t="s">
        <v>2080</v>
      </c>
      <c r="T593" s="236">
        <v>45918</v>
      </c>
    </row>
    <row r="594" spans="1:20" ht="51" hidden="1">
      <c r="A594" s="239" t="s">
        <v>2007</v>
      </c>
      <c r="B594" s="240">
        <v>1711</v>
      </c>
      <c r="C594" s="241">
        <v>37567</v>
      </c>
      <c r="D594" s="239" t="s">
        <v>3819</v>
      </c>
      <c r="E594" s="239" t="s">
        <v>1648</v>
      </c>
      <c r="F594" s="239" t="s">
        <v>1649</v>
      </c>
      <c r="G594" s="239" t="s">
        <v>953</v>
      </c>
      <c r="H594" s="239" t="s">
        <v>51</v>
      </c>
      <c r="I594" s="239" t="s">
        <v>1580</v>
      </c>
      <c r="J594" s="233"/>
      <c r="K594" s="235">
        <v>45917</v>
      </c>
      <c r="L594" s="233">
        <v>1.4</v>
      </c>
      <c r="M594" s="234" t="s">
        <v>953</v>
      </c>
      <c r="N594" s="234">
        <v>38430</v>
      </c>
      <c r="O594" s="234">
        <v>15700</v>
      </c>
      <c r="P594" s="242">
        <v>8</v>
      </c>
      <c r="Q594" s="234">
        <v>22730</v>
      </c>
      <c r="R594" s="234">
        <v>20911.599999999999</v>
      </c>
      <c r="S594" s="234" t="s">
        <v>2081</v>
      </c>
      <c r="T594" s="236">
        <v>45918</v>
      </c>
    </row>
    <row r="595" spans="1:20" ht="51" hidden="1">
      <c r="A595" s="239" t="s">
        <v>2008</v>
      </c>
      <c r="B595" s="240">
        <v>1712</v>
      </c>
      <c r="C595" s="241">
        <v>37569</v>
      </c>
      <c r="D595" s="239" t="s">
        <v>3819</v>
      </c>
      <c r="E595" s="239" t="s">
        <v>429</v>
      </c>
      <c r="F595" s="239" t="s">
        <v>430</v>
      </c>
      <c r="G595" s="239" t="s">
        <v>953</v>
      </c>
      <c r="H595" s="239" t="s">
        <v>51</v>
      </c>
      <c r="I595" s="239" t="s">
        <v>1580</v>
      </c>
      <c r="J595" s="233"/>
      <c r="K595" s="235">
        <v>45917</v>
      </c>
      <c r="L595" s="233">
        <v>1.4</v>
      </c>
      <c r="M595" s="234" t="s">
        <v>953</v>
      </c>
      <c r="N595" s="234">
        <v>36030</v>
      </c>
      <c r="O595" s="234">
        <v>14160</v>
      </c>
      <c r="P595" s="242">
        <v>8</v>
      </c>
      <c r="Q595" s="234">
        <v>21870</v>
      </c>
      <c r="R595" s="234">
        <v>20120.400000000001</v>
      </c>
      <c r="S595" s="234" t="s">
        <v>2082</v>
      </c>
      <c r="T595" s="236">
        <v>45918</v>
      </c>
    </row>
    <row r="596" spans="1:20" ht="51" hidden="1">
      <c r="A596" s="239" t="s">
        <v>2009</v>
      </c>
      <c r="B596" s="240">
        <v>1713</v>
      </c>
      <c r="C596" s="241">
        <v>37571</v>
      </c>
      <c r="D596" s="239" t="s">
        <v>3819</v>
      </c>
      <c r="E596" s="239" t="s">
        <v>447</v>
      </c>
      <c r="F596" s="239" t="s">
        <v>448</v>
      </c>
      <c r="G596" s="239" t="s">
        <v>953</v>
      </c>
      <c r="H596" s="239" t="s">
        <v>51</v>
      </c>
      <c r="I596" s="239" t="s">
        <v>1580</v>
      </c>
      <c r="J596" s="233"/>
      <c r="K596" s="235">
        <v>45917</v>
      </c>
      <c r="L596" s="233">
        <v>1.7</v>
      </c>
      <c r="M596" s="234" t="s">
        <v>953</v>
      </c>
      <c r="N596" s="234">
        <v>46400</v>
      </c>
      <c r="O596" s="234">
        <v>19180</v>
      </c>
      <c r="P596" s="242">
        <v>12</v>
      </c>
      <c r="Q596" s="234">
        <v>27220</v>
      </c>
      <c r="R596" s="234">
        <v>23953.599999999999</v>
      </c>
      <c r="S596" s="234" t="s">
        <v>2083</v>
      </c>
      <c r="T596" s="236">
        <v>45918</v>
      </c>
    </row>
    <row r="597" spans="1:20" ht="51" hidden="1">
      <c r="A597" s="239" t="s">
        <v>2010</v>
      </c>
      <c r="B597" s="240">
        <v>1714</v>
      </c>
      <c r="C597" s="241">
        <v>37573</v>
      </c>
      <c r="D597" s="239" t="s">
        <v>3819</v>
      </c>
      <c r="E597" s="239" t="s">
        <v>1397</v>
      </c>
      <c r="F597" s="239" t="s">
        <v>1398</v>
      </c>
      <c r="G597" s="239" t="s">
        <v>953</v>
      </c>
      <c r="H597" s="239" t="s">
        <v>51</v>
      </c>
      <c r="I597" s="239" t="s">
        <v>1580</v>
      </c>
      <c r="J597" s="233"/>
      <c r="K597" s="235">
        <v>45917</v>
      </c>
      <c r="L597" s="233">
        <v>1.6</v>
      </c>
      <c r="M597" s="234" t="s">
        <v>953</v>
      </c>
      <c r="N597" s="234">
        <v>42250</v>
      </c>
      <c r="O597" s="234">
        <v>17000</v>
      </c>
      <c r="P597" s="242">
        <v>8</v>
      </c>
      <c r="Q597" s="234">
        <v>25250</v>
      </c>
      <c r="R597" s="234">
        <v>23230</v>
      </c>
      <c r="S597" s="234" t="s">
        <v>2084</v>
      </c>
      <c r="T597" s="236">
        <v>45918</v>
      </c>
    </row>
    <row r="598" spans="1:20" ht="51" hidden="1">
      <c r="A598" s="239" t="s">
        <v>2011</v>
      </c>
      <c r="B598" s="240">
        <v>1715</v>
      </c>
      <c r="C598" s="241">
        <v>37577</v>
      </c>
      <c r="D598" s="239" t="s">
        <v>3819</v>
      </c>
      <c r="E598" s="239" t="s">
        <v>1403</v>
      </c>
      <c r="F598" s="239" t="s">
        <v>1404</v>
      </c>
      <c r="G598" s="239" t="s">
        <v>953</v>
      </c>
      <c r="H598" s="239" t="s">
        <v>51</v>
      </c>
      <c r="I598" s="239" t="s">
        <v>1580</v>
      </c>
      <c r="J598" s="233"/>
      <c r="K598" s="235">
        <v>45917</v>
      </c>
      <c r="L598" s="233">
        <v>1.4</v>
      </c>
      <c r="M598" s="234" t="s">
        <v>953</v>
      </c>
      <c r="N598" s="234">
        <v>36960</v>
      </c>
      <c r="O598" s="234">
        <v>14920</v>
      </c>
      <c r="P598" s="242">
        <v>8</v>
      </c>
      <c r="Q598" s="234">
        <v>22040</v>
      </c>
      <c r="R598" s="234">
        <v>20276.8</v>
      </c>
      <c r="S598" s="234" t="s">
        <v>2085</v>
      </c>
      <c r="T598" s="236">
        <v>45918</v>
      </c>
    </row>
    <row r="599" spans="1:20" ht="51" hidden="1">
      <c r="A599" s="239" t="s">
        <v>2012</v>
      </c>
      <c r="B599" s="240">
        <v>1716</v>
      </c>
      <c r="C599" s="241">
        <v>37575</v>
      </c>
      <c r="D599" s="239" t="s">
        <v>3819</v>
      </c>
      <c r="E599" s="239" t="s">
        <v>1400</v>
      </c>
      <c r="F599" s="239" t="s">
        <v>1401</v>
      </c>
      <c r="G599" s="239" t="s">
        <v>953</v>
      </c>
      <c r="H599" s="239" t="s">
        <v>51</v>
      </c>
      <c r="I599" s="239" t="s">
        <v>1580</v>
      </c>
      <c r="J599" s="233"/>
      <c r="K599" s="235">
        <v>45917</v>
      </c>
      <c r="L599" s="233">
        <v>1.3</v>
      </c>
      <c r="M599" s="234" t="s">
        <v>953</v>
      </c>
      <c r="N599" s="234">
        <v>35480</v>
      </c>
      <c r="O599" s="234">
        <v>14820</v>
      </c>
      <c r="P599" s="242">
        <v>8</v>
      </c>
      <c r="Q599" s="234">
        <v>20660</v>
      </c>
      <c r="R599" s="234">
        <v>19007.2</v>
      </c>
      <c r="S599" s="234" t="s">
        <v>2086</v>
      </c>
      <c r="T599" s="236">
        <v>45918</v>
      </c>
    </row>
    <row r="600" spans="1:20" ht="51" hidden="1">
      <c r="A600" s="239" t="s">
        <v>2013</v>
      </c>
      <c r="B600" s="240">
        <v>1718</v>
      </c>
      <c r="C600" s="241">
        <v>37581</v>
      </c>
      <c r="D600" s="239" t="s">
        <v>3819</v>
      </c>
      <c r="E600" s="239" t="s">
        <v>420</v>
      </c>
      <c r="F600" s="239" t="s">
        <v>421</v>
      </c>
      <c r="G600" s="239" t="s">
        <v>953</v>
      </c>
      <c r="H600" s="239" t="s">
        <v>51</v>
      </c>
      <c r="I600" s="239" t="s">
        <v>1580</v>
      </c>
      <c r="J600" s="233"/>
      <c r="K600" s="235">
        <v>45918</v>
      </c>
      <c r="L600" s="233">
        <v>1.2</v>
      </c>
      <c r="M600" s="234" t="s">
        <v>953</v>
      </c>
      <c r="N600" s="234">
        <v>34990</v>
      </c>
      <c r="O600" s="234">
        <v>14800</v>
      </c>
      <c r="P600" s="242">
        <v>22</v>
      </c>
      <c r="Q600" s="234">
        <v>20190</v>
      </c>
      <c r="R600" s="234">
        <v>15748.2</v>
      </c>
      <c r="S600" s="234" t="s">
        <v>2087</v>
      </c>
      <c r="T600" s="236">
        <v>45918</v>
      </c>
    </row>
    <row r="601" spans="1:20" ht="51" hidden="1">
      <c r="A601" s="239" t="s">
        <v>2014</v>
      </c>
      <c r="B601" s="240">
        <v>1719</v>
      </c>
      <c r="C601" s="241">
        <v>37579</v>
      </c>
      <c r="D601" s="239" t="s">
        <v>3819</v>
      </c>
      <c r="E601" s="239" t="s">
        <v>858</v>
      </c>
      <c r="F601" s="239" t="s">
        <v>859</v>
      </c>
      <c r="G601" s="239" t="s">
        <v>953</v>
      </c>
      <c r="H601" s="239" t="s">
        <v>51</v>
      </c>
      <c r="I601" s="239" t="s">
        <v>1580</v>
      </c>
      <c r="J601" s="233"/>
      <c r="K601" s="235">
        <v>45918</v>
      </c>
      <c r="L601" s="233">
        <v>1.3</v>
      </c>
      <c r="M601" s="234" t="s">
        <v>953</v>
      </c>
      <c r="N601" s="234">
        <v>36500</v>
      </c>
      <c r="O601" s="234">
        <v>14710</v>
      </c>
      <c r="P601" s="242">
        <v>30</v>
      </c>
      <c r="Q601" s="234">
        <v>21790</v>
      </c>
      <c r="R601" s="234">
        <v>15253</v>
      </c>
      <c r="S601" s="234" t="s">
        <v>2088</v>
      </c>
      <c r="T601" s="236">
        <v>45918</v>
      </c>
    </row>
    <row r="602" spans="1:20" ht="51" hidden="1">
      <c r="A602" s="239" t="s">
        <v>2015</v>
      </c>
      <c r="B602" s="240">
        <v>1720</v>
      </c>
      <c r="C602" s="241">
        <v>37590</v>
      </c>
      <c r="D602" s="239" t="s">
        <v>3819</v>
      </c>
      <c r="E602" s="239" t="s">
        <v>372</v>
      </c>
      <c r="F602" s="239" t="s">
        <v>373</v>
      </c>
      <c r="G602" s="239" t="s">
        <v>953</v>
      </c>
      <c r="H602" s="239" t="s">
        <v>51</v>
      </c>
      <c r="I602" s="239" t="s">
        <v>1580</v>
      </c>
      <c r="J602" s="233"/>
      <c r="K602" s="235">
        <v>45918</v>
      </c>
      <c r="L602" s="233">
        <v>1.4</v>
      </c>
      <c r="M602" s="234" t="s">
        <v>953</v>
      </c>
      <c r="N602" s="234">
        <v>38540</v>
      </c>
      <c r="O602" s="234">
        <v>14900</v>
      </c>
      <c r="P602" s="242">
        <v>17</v>
      </c>
      <c r="Q602" s="234">
        <v>23640</v>
      </c>
      <c r="R602" s="234">
        <v>19621.2</v>
      </c>
      <c r="S602" s="234" t="s">
        <v>2089</v>
      </c>
      <c r="T602" s="236">
        <v>45918</v>
      </c>
    </row>
    <row r="603" spans="1:20" ht="51" hidden="1">
      <c r="A603" s="239" t="s">
        <v>2016</v>
      </c>
      <c r="B603" s="240">
        <v>1721</v>
      </c>
      <c r="C603" s="241">
        <v>37593</v>
      </c>
      <c r="D603" s="239" t="s">
        <v>3819</v>
      </c>
      <c r="E603" s="239" t="s">
        <v>386</v>
      </c>
      <c r="F603" s="239" t="s">
        <v>387</v>
      </c>
      <c r="G603" s="239" t="s">
        <v>953</v>
      </c>
      <c r="H603" s="239" t="s">
        <v>51</v>
      </c>
      <c r="I603" s="239" t="s">
        <v>1580</v>
      </c>
      <c r="J603" s="233"/>
      <c r="K603" s="235">
        <v>45918</v>
      </c>
      <c r="L603" s="233">
        <v>1.4</v>
      </c>
      <c r="M603" s="234" t="s">
        <v>953</v>
      </c>
      <c r="N603" s="234">
        <v>37810</v>
      </c>
      <c r="O603" s="234">
        <v>15380</v>
      </c>
      <c r="P603" s="242">
        <v>9</v>
      </c>
      <c r="Q603" s="234">
        <v>22430</v>
      </c>
      <c r="R603" s="234">
        <v>20411.3</v>
      </c>
      <c r="S603" s="234" t="s">
        <v>2090</v>
      </c>
      <c r="T603" s="236">
        <v>45918</v>
      </c>
    </row>
    <row r="604" spans="1:20" ht="51" hidden="1">
      <c r="A604" s="239" t="s">
        <v>2017</v>
      </c>
      <c r="B604" s="240">
        <v>1722</v>
      </c>
      <c r="C604" s="241">
        <v>37595</v>
      </c>
      <c r="D604" s="239" t="s">
        <v>3819</v>
      </c>
      <c r="E604" s="239" t="s">
        <v>453</v>
      </c>
      <c r="F604" s="239" t="s">
        <v>454</v>
      </c>
      <c r="G604" s="239" t="s">
        <v>953</v>
      </c>
      <c r="H604" s="239" t="s">
        <v>51</v>
      </c>
      <c r="I604" s="239" t="s">
        <v>1580</v>
      </c>
      <c r="J604" s="233"/>
      <c r="K604" s="235">
        <v>45918</v>
      </c>
      <c r="L604" s="233">
        <v>1.7</v>
      </c>
      <c r="M604" s="234" t="s">
        <v>953</v>
      </c>
      <c r="N604" s="234">
        <v>51930</v>
      </c>
      <c r="O604" s="234">
        <v>24090</v>
      </c>
      <c r="P604" s="242">
        <v>9</v>
      </c>
      <c r="Q604" s="234">
        <v>27840</v>
      </c>
      <c r="R604" s="234">
        <v>25334.400000000001</v>
      </c>
      <c r="S604" s="234" t="s">
        <v>2091</v>
      </c>
      <c r="T604" s="236">
        <v>45918</v>
      </c>
    </row>
    <row r="605" spans="1:20" ht="51" hidden="1">
      <c r="A605" s="239" t="s">
        <v>2018</v>
      </c>
      <c r="B605" s="240">
        <v>1723</v>
      </c>
      <c r="C605" s="241">
        <v>37602</v>
      </c>
      <c r="D605" s="239" t="s">
        <v>3819</v>
      </c>
      <c r="E605" s="239" t="s">
        <v>413</v>
      </c>
      <c r="F605" s="239" t="s">
        <v>414</v>
      </c>
      <c r="G605" s="239" t="s">
        <v>953</v>
      </c>
      <c r="H605" s="239" t="s">
        <v>51</v>
      </c>
      <c r="I605" s="239" t="s">
        <v>1580</v>
      </c>
      <c r="J605" s="233"/>
      <c r="K605" s="235">
        <v>45918</v>
      </c>
      <c r="L605" s="233">
        <v>1.6</v>
      </c>
      <c r="M605" s="234" t="s">
        <v>953</v>
      </c>
      <c r="N605" s="234">
        <v>40860</v>
      </c>
      <c r="O605" s="234">
        <v>14910</v>
      </c>
      <c r="P605" s="242">
        <v>7</v>
      </c>
      <c r="Q605" s="234">
        <v>25950</v>
      </c>
      <c r="R605" s="234">
        <v>24133.5</v>
      </c>
      <c r="S605" s="234" t="s">
        <v>2092</v>
      </c>
      <c r="T605" s="236">
        <v>45918</v>
      </c>
    </row>
    <row r="606" spans="1:20" ht="51" hidden="1">
      <c r="A606" s="239" t="s">
        <v>2019</v>
      </c>
      <c r="B606" s="240">
        <v>1724</v>
      </c>
      <c r="C606" s="241">
        <v>37616</v>
      </c>
      <c r="D606" s="239" t="s">
        <v>3819</v>
      </c>
      <c r="E606" s="239" t="s">
        <v>380</v>
      </c>
      <c r="F606" s="239" t="s">
        <v>381</v>
      </c>
      <c r="G606" s="239" t="s">
        <v>953</v>
      </c>
      <c r="H606" s="239" t="s">
        <v>51</v>
      </c>
      <c r="I606" s="239" t="s">
        <v>1580</v>
      </c>
      <c r="J606" s="233"/>
      <c r="K606" s="235">
        <v>45918</v>
      </c>
      <c r="L606" s="233">
        <v>1.5</v>
      </c>
      <c r="M606" s="234" t="s">
        <v>953</v>
      </c>
      <c r="N606" s="234">
        <v>39270</v>
      </c>
      <c r="O606" s="234">
        <v>15040</v>
      </c>
      <c r="P606" s="242">
        <v>12</v>
      </c>
      <c r="Q606" s="234">
        <v>24230</v>
      </c>
      <c r="R606" s="234">
        <v>21322.400000000001</v>
      </c>
      <c r="S606" s="234" t="s">
        <v>2093</v>
      </c>
      <c r="T606" s="236">
        <v>45918</v>
      </c>
    </row>
    <row r="607" spans="1:20" ht="51" hidden="1">
      <c r="A607" s="239" t="s">
        <v>2020</v>
      </c>
      <c r="B607" s="240">
        <v>1725</v>
      </c>
      <c r="C607" s="241">
        <v>37618</v>
      </c>
      <c r="D607" s="239" t="s">
        <v>3819</v>
      </c>
      <c r="E607" s="239" t="s">
        <v>786</v>
      </c>
      <c r="F607" s="239" t="s">
        <v>787</v>
      </c>
      <c r="G607" s="239" t="s">
        <v>953</v>
      </c>
      <c r="H607" s="239" t="s">
        <v>51</v>
      </c>
      <c r="I607" s="239" t="s">
        <v>1580</v>
      </c>
      <c r="J607" s="233"/>
      <c r="K607" s="235">
        <v>45918</v>
      </c>
      <c r="L607" s="233">
        <v>1.3</v>
      </c>
      <c r="M607" s="234" t="s">
        <v>953</v>
      </c>
      <c r="N607" s="234">
        <v>35090</v>
      </c>
      <c r="O607" s="234">
        <v>13970</v>
      </c>
      <c r="P607" s="242">
        <v>13</v>
      </c>
      <c r="Q607" s="234">
        <v>21120</v>
      </c>
      <c r="R607" s="234">
        <v>18374.400000000001</v>
      </c>
      <c r="S607" s="234" t="s">
        <v>2094</v>
      </c>
      <c r="T607" s="236">
        <v>45918</v>
      </c>
    </row>
    <row r="608" spans="1:20" ht="51" hidden="1">
      <c r="A608" s="239" t="s">
        <v>2021</v>
      </c>
      <c r="B608" s="240">
        <v>1726</v>
      </c>
      <c r="C608" s="241">
        <v>37624</v>
      </c>
      <c r="D608" s="239" t="s">
        <v>3819</v>
      </c>
      <c r="E608" s="239" t="s">
        <v>403</v>
      </c>
      <c r="F608" s="239" t="s">
        <v>404</v>
      </c>
      <c r="G608" s="239" t="s">
        <v>953</v>
      </c>
      <c r="H608" s="239" t="s">
        <v>51</v>
      </c>
      <c r="I608" s="239" t="s">
        <v>1580</v>
      </c>
      <c r="J608" s="233"/>
      <c r="K608" s="235">
        <v>45918</v>
      </c>
      <c r="L608" s="233">
        <v>1.5</v>
      </c>
      <c r="M608" s="234" t="s">
        <v>953</v>
      </c>
      <c r="N608" s="234">
        <v>39280</v>
      </c>
      <c r="O608" s="234">
        <v>14530</v>
      </c>
      <c r="P608" s="242">
        <v>8</v>
      </c>
      <c r="Q608" s="234">
        <v>24750</v>
      </c>
      <c r="R608" s="234">
        <v>22770</v>
      </c>
      <c r="S608" s="234" t="s">
        <v>2095</v>
      </c>
      <c r="T608" s="236">
        <v>45918</v>
      </c>
    </row>
    <row r="609" spans="1:20" ht="51" hidden="1">
      <c r="A609" s="239" t="s">
        <v>2022</v>
      </c>
      <c r="B609" s="240">
        <v>1727</v>
      </c>
      <c r="C609" s="241">
        <v>37626</v>
      </c>
      <c r="D609" s="239" t="s">
        <v>3819</v>
      </c>
      <c r="E609" s="239" t="s">
        <v>406</v>
      </c>
      <c r="F609" s="239" t="s">
        <v>407</v>
      </c>
      <c r="G609" s="239" t="s">
        <v>953</v>
      </c>
      <c r="H609" s="239" t="s">
        <v>51</v>
      </c>
      <c r="I609" s="239" t="s">
        <v>1580</v>
      </c>
      <c r="J609" s="233"/>
      <c r="K609" s="235">
        <v>45918</v>
      </c>
      <c r="L609" s="233">
        <v>1.5</v>
      </c>
      <c r="M609" s="234" t="s">
        <v>953</v>
      </c>
      <c r="N609" s="234">
        <v>39690</v>
      </c>
      <c r="O609" s="234">
        <v>15120</v>
      </c>
      <c r="P609" s="242">
        <v>5</v>
      </c>
      <c r="Q609" s="234">
        <v>24570</v>
      </c>
      <c r="R609" s="234">
        <v>23341.5</v>
      </c>
      <c r="S609" s="234" t="s">
        <v>2096</v>
      </c>
      <c r="T609" s="236">
        <v>45918</v>
      </c>
    </row>
    <row r="610" spans="1:20" ht="51" hidden="1">
      <c r="A610" s="239" t="s">
        <v>2023</v>
      </c>
      <c r="B610" s="240">
        <v>1728</v>
      </c>
      <c r="C610" s="241">
        <v>37622</v>
      </c>
      <c r="D610" s="239" t="s">
        <v>3819</v>
      </c>
      <c r="E610" s="239" t="s">
        <v>410</v>
      </c>
      <c r="F610" s="239" t="s">
        <v>411</v>
      </c>
      <c r="G610" s="239" t="s">
        <v>953</v>
      </c>
      <c r="H610" s="239" t="s">
        <v>51</v>
      </c>
      <c r="I610" s="239" t="s">
        <v>1580</v>
      </c>
      <c r="J610" s="233"/>
      <c r="K610" s="235">
        <v>45918</v>
      </c>
      <c r="L610" s="233">
        <v>1.3</v>
      </c>
      <c r="M610" s="234" t="s">
        <v>953</v>
      </c>
      <c r="N610" s="234">
        <v>38880</v>
      </c>
      <c r="O610" s="234">
        <v>14980</v>
      </c>
      <c r="P610" s="242">
        <v>7</v>
      </c>
      <c r="Q610" s="234">
        <v>23900</v>
      </c>
      <c r="R610" s="234">
        <v>22227</v>
      </c>
      <c r="S610" s="234" t="s">
        <v>2097</v>
      </c>
      <c r="T610" s="236">
        <v>45918</v>
      </c>
    </row>
    <row r="611" spans="1:20" ht="51" hidden="1">
      <c r="A611" s="239" t="s">
        <v>2024</v>
      </c>
      <c r="B611" s="240">
        <v>1730</v>
      </c>
      <c r="C611" s="241">
        <v>37693</v>
      </c>
      <c r="D611" s="239" t="s">
        <v>3819</v>
      </c>
      <c r="E611" s="239" t="s">
        <v>392</v>
      </c>
      <c r="F611" s="239" t="s">
        <v>393</v>
      </c>
      <c r="G611" s="239" t="s">
        <v>950</v>
      </c>
      <c r="H611" s="239" t="s">
        <v>51</v>
      </c>
      <c r="I611" s="239" t="s">
        <v>1580</v>
      </c>
      <c r="J611" s="233"/>
      <c r="K611" s="235">
        <v>45918</v>
      </c>
      <c r="L611" s="233">
        <v>2.7</v>
      </c>
      <c r="M611" s="234" t="s">
        <v>950</v>
      </c>
      <c r="N611" s="234">
        <v>56660</v>
      </c>
      <c r="O611" s="234">
        <v>24020</v>
      </c>
      <c r="P611" s="242">
        <v>12</v>
      </c>
      <c r="Q611" s="234">
        <v>32640</v>
      </c>
      <c r="R611" s="234">
        <v>28723.200000000001</v>
      </c>
      <c r="S611" s="234" t="s">
        <v>2098</v>
      </c>
      <c r="T611" s="236">
        <v>45919</v>
      </c>
    </row>
    <row r="612" spans="1:20" ht="51" hidden="1">
      <c r="A612" s="239" t="s">
        <v>2025</v>
      </c>
      <c r="B612" s="240">
        <v>1731</v>
      </c>
      <c r="C612" s="241">
        <v>37695</v>
      </c>
      <c r="D612" s="239" t="s">
        <v>3819</v>
      </c>
      <c r="E612" s="239" t="s">
        <v>390</v>
      </c>
      <c r="F612" s="239" t="s">
        <v>391</v>
      </c>
      <c r="G612" s="239" t="s">
        <v>950</v>
      </c>
      <c r="H612" s="239" t="s">
        <v>51</v>
      </c>
      <c r="I612" s="239" t="s">
        <v>1580</v>
      </c>
      <c r="J612" s="233"/>
      <c r="K612" s="235">
        <v>45918</v>
      </c>
      <c r="L612" s="233">
        <v>2</v>
      </c>
      <c r="M612" s="234" t="s">
        <v>950</v>
      </c>
      <c r="N612" s="234">
        <v>39540</v>
      </c>
      <c r="O612" s="234">
        <v>15060</v>
      </c>
      <c r="P612" s="242">
        <v>8</v>
      </c>
      <c r="Q612" s="234">
        <v>24480</v>
      </c>
      <c r="R612" s="234">
        <v>22521.599999999999</v>
      </c>
      <c r="S612" s="234" t="s">
        <v>2099</v>
      </c>
      <c r="T612" s="236">
        <v>45919</v>
      </c>
    </row>
    <row r="613" spans="1:20" ht="51" hidden="1">
      <c r="A613" s="239" t="s">
        <v>2026</v>
      </c>
      <c r="B613" s="240">
        <v>1732</v>
      </c>
      <c r="C613" s="241">
        <v>37628</v>
      </c>
      <c r="D613" s="239" t="s">
        <v>3819</v>
      </c>
      <c r="E613" s="239" t="s">
        <v>783</v>
      </c>
      <c r="F613" s="239" t="s">
        <v>784</v>
      </c>
      <c r="G613" s="239" t="s">
        <v>950</v>
      </c>
      <c r="H613" s="239" t="s">
        <v>51</v>
      </c>
      <c r="I613" s="239" t="s">
        <v>1580</v>
      </c>
      <c r="J613" s="233"/>
      <c r="K613" s="235">
        <v>45918</v>
      </c>
      <c r="L613" s="233">
        <v>2.1</v>
      </c>
      <c r="M613" s="234" t="s">
        <v>950</v>
      </c>
      <c r="N613" s="234">
        <v>39670</v>
      </c>
      <c r="O613" s="234">
        <v>14570</v>
      </c>
      <c r="P613" s="242">
        <v>7</v>
      </c>
      <c r="Q613" s="234">
        <v>25100</v>
      </c>
      <c r="R613" s="234">
        <v>23343</v>
      </c>
      <c r="S613" s="234" t="s">
        <v>2100</v>
      </c>
      <c r="T613" s="236">
        <v>45919</v>
      </c>
    </row>
    <row r="614" spans="1:20" ht="51" hidden="1">
      <c r="A614" s="239" t="s">
        <v>2027</v>
      </c>
      <c r="B614" s="240">
        <v>1733</v>
      </c>
      <c r="C614" s="241">
        <v>37683</v>
      </c>
      <c r="D614" s="239" t="s">
        <v>3819</v>
      </c>
      <c r="E614" s="239" t="s">
        <v>432</v>
      </c>
      <c r="F614" s="239" t="s">
        <v>433</v>
      </c>
      <c r="G614" s="239" t="s">
        <v>950</v>
      </c>
      <c r="H614" s="239" t="s">
        <v>51</v>
      </c>
      <c r="I614" s="239" t="s">
        <v>1580</v>
      </c>
      <c r="J614" s="233"/>
      <c r="K614" s="235">
        <v>45918</v>
      </c>
      <c r="L614" s="233">
        <v>2.2000000000000002</v>
      </c>
      <c r="M614" s="234" t="s">
        <v>950</v>
      </c>
      <c r="N614" s="234">
        <v>41470</v>
      </c>
      <c r="O614" s="234">
        <v>15550</v>
      </c>
      <c r="P614" s="242">
        <v>11</v>
      </c>
      <c r="Q614" s="234">
        <v>25920</v>
      </c>
      <c r="R614" s="234">
        <v>23068.799999999999</v>
      </c>
      <c r="S614" s="234" t="s">
        <v>2101</v>
      </c>
      <c r="T614" s="236">
        <v>45919</v>
      </c>
    </row>
    <row r="615" spans="1:20" ht="51" hidden="1">
      <c r="A615" s="239" t="s">
        <v>2028</v>
      </c>
      <c r="B615" s="240">
        <v>1734</v>
      </c>
      <c r="C615" s="241">
        <v>37689</v>
      </c>
      <c r="D615" s="239" t="s">
        <v>3819</v>
      </c>
      <c r="E615" s="239" t="s">
        <v>456</v>
      </c>
      <c r="F615" s="239" t="s">
        <v>457</v>
      </c>
      <c r="G615" s="239" t="s">
        <v>950</v>
      </c>
      <c r="H615" s="239" t="s">
        <v>51</v>
      </c>
      <c r="I615" s="239" t="s">
        <v>1580</v>
      </c>
      <c r="J615" s="233"/>
      <c r="K615" s="235">
        <v>45918</v>
      </c>
      <c r="L615" s="233">
        <v>2.2999999999999998</v>
      </c>
      <c r="M615" s="234" t="s">
        <v>950</v>
      </c>
      <c r="N615" s="234">
        <v>42850</v>
      </c>
      <c r="O615" s="234">
        <v>15520</v>
      </c>
      <c r="P615" s="242">
        <v>14</v>
      </c>
      <c r="Q615" s="234">
        <v>27330</v>
      </c>
      <c r="R615" s="234">
        <v>23503.8</v>
      </c>
      <c r="S615" s="234" t="s">
        <v>2102</v>
      </c>
      <c r="T615" s="236">
        <v>45919</v>
      </c>
    </row>
    <row r="616" spans="1:20" ht="51" hidden="1">
      <c r="A616" s="239" t="s">
        <v>2029</v>
      </c>
      <c r="B616" s="240">
        <v>1735</v>
      </c>
      <c r="C616" s="241">
        <v>37697</v>
      </c>
      <c r="D616" s="239" t="s">
        <v>3819</v>
      </c>
      <c r="E616" s="239" t="s">
        <v>462</v>
      </c>
      <c r="F616" s="239" t="s">
        <v>463</v>
      </c>
      <c r="G616" s="239" t="s">
        <v>950</v>
      </c>
      <c r="H616" s="239" t="s">
        <v>51</v>
      </c>
      <c r="I616" s="239" t="s">
        <v>1580</v>
      </c>
      <c r="J616" s="233"/>
      <c r="K616" s="235">
        <v>45918</v>
      </c>
      <c r="L616" s="233">
        <v>2.1</v>
      </c>
      <c r="M616" s="234" t="s">
        <v>950</v>
      </c>
      <c r="N616" s="234">
        <v>41270</v>
      </c>
      <c r="O616" s="234">
        <v>16310</v>
      </c>
      <c r="P616" s="242">
        <v>4</v>
      </c>
      <c r="Q616" s="234">
        <v>24960</v>
      </c>
      <c r="R616" s="234">
        <v>23961.599999999999</v>
      </c>
      <c r="S616" s="234" t="s">
        <v>2103</v>
      </c>
      <c r="T616" s="236">
        <v>45919</v>
      </c>
    </row>
    <row r="617" spans="1:20" ht="51" hidden="1">
      <c r="A617" s="239" t="s">
        <v>2030</v>
      </c>
      <c r="B617" s="240">
        <v>1737</v>
      </c>
      <c r="C617" s="241">
        <v>37699</v>
      </c>
      <c r="D617" s="239" t="s">
        <v>3819</v>
      </c>
      <c r="E617" s="239" t="s">
        <v>472</v>
      </c>
      <c r="F617" s="239" t="s">
        <v>473</v>
      </c>
      <c r="G617" s="239" t="s">
        <v>950</v>
      </c>
      <c r="H617" s="239" t="s">
        <v>51</v>
      </c>
      <c r="I617" s="239" t="s">
        <v>1580</v>
      </c>
      <c r="J617" s="233"/>
      <c r="K617" s="235">
        <v>45918</v>
      </c>
      <c r="L617" s="233">
        <v>1.9</v>
      </c>
      <c r="M617" s="234" t="s">
        <v>950</v>
      </c>
      <c r="N617" s="234">
        <v>39830</v>
      </c>
      <c r="O617" s="234">
        <v>16410</v>
      </c>
      <c r="P617" s="242">
        <v>8</v>
      </c>
      <c r="Q617" s="234">
        <v>23420</v>
      </c>
      <c r="R617" s="234">
        <v>21546.400000000001</v>
      </c>
      <c r="S617" s="234" t="s">
        <v>2104</v>
      </c>
      <c r="T617" s="236">
        <v>45919</v>
      </c>
    </row>
    <row r="618" spans="1:20" ht="51" hidden="1">
      <c r="A618" s="239" t="s">
        <v>2031</v>
      </c>
      <c r="B618" s="240">
        <v>1738</v>
      </c>
      <c r="C618" s="241">
        <v>37701</v>
      </c>
      <c r="D618" s="239" t="s">
        <v>3819</v>
      </c>
      <c r="E618" s="239" t="s">
        <v>475</v>
      </c>
      <c r="F618" s="239" t="s">
        <v>476</v>
      </c>
      <c r="G618" s="239" t="s">
        <v>952</v>
      </c>
      <c r="H618" s="239" t="s">
        <v>51</v>
      </c>
      <c r="I618" s="239" t="s">
        <v>1580</v>
      </c>
      <c r="J618" s="233"/>
      <c r="K618" s="235">
        <v>45918</v>
      </c>
      <c r="L618" s="233">
        <v>2</v>
      </c>
      <c r="M618" s="234" t="s">
        <v>952</v>
      </c>
      <c r="N618" s="234">
        <v>40400</v>
      </c>
      <c r="O618" s="234">
        <v>16310</v>
      </c>
      <c r="P618" s="242">
        <v>4</v>
      </c>
      <c r="Q618" s="234">
        <v>24090</v>
      </c>
      <c r="R618" s="234">
        <v>23126.400000000001</v>
      </c>
      <c r="S618" s="234" t="s">
        <v>2105</v>
      </c>
      <c r="T618" s="236">
        <v>45919</v>
      </c>
    </row>
    <row r="619" spans="1:20" ht="51" hidden="1">
      <c r="A619" s="239" t="s">
        <v>2032</v>
      </c>
      <c r="B619" s="240">
        <v>1739</v>
      </c>
      <c r="C619" s="241">
        <v>37703</v>
      </c>
      <c r="D619" s="239" t="s">
        <v>3819</v>
      </c>
      <c r="E619" s="239" t="s">
        <v>841</v>
      </c>
      <c r="F619" s="239" t="s">
        <v>845</v>
      </c>
      <c r="G619" s="239" t="s">
        <v>952</v>
      </c>
      <c r="H619" s="239" t="s">
        <v>51</v>
      </c>
      <c r="I619" s="239" t="s">
        <v>1580</v>
      </c>
      <c r="J619" s="233"/>
      <c r="K619" s="235">
        <v>45918</v>
      </c>
      <c r="L619" s="233">
        <v>2</v>
      </c>
      <c r="M619" s="234" t="s">
        <v>952</v>
      </c>
      <c r="N619" s="234">
        <v>40680</v>
      </c>
      <c r="O619" s="234">
        <v>15850</v>
      </c>
      <c r="P619" s="242">
        <v>9</v>
      </c>
      <c r="Q619" s="234">
        <v>24830</v>
      </c>
      <c r="R619" s="234">
        <v>22595.3</v>
      </c>
      <c r="S619" s="234" t="s">
        <v>2106</v>
      </c>
      <c r="T619" s="236">
        <v>45919</v>
      </c>
    </row>
    <row r="620" spans="1:20" ht="51" hidden="1">
      <c r="A620" s="239" t="s">
        <v>2033</v>
      </c>
      <c r="B620" s="240">
        <v>1740</v>
      </c>
      <c r="C620" s="241">
        <v>37705</v>
      </c>
      <c r="D620" s="239" t="s">
        <v>3819</v>
      </c>
      <c r="E620" s="239" t="s">
        <v>791</v>
      </c>
      <c r="F620" s="239" t="s">
        <v>792</v>
      </c>
      <c r="G620" s="239" t="s">
        <v>952</v>
      </c>
      <c r="H620" s="239" t="s">
        <v>51</v>
      </c>
      <c r="I620" s="239" t="s">
        <v>1580</v>
      </c>
      <c r="J620" s="233"/>
      <c r="K620" s="235">
        <v>45918</v>
      </c>
      <c r="L620" s="233">
        <v>2.1</v>
      </c>
      <c r="M620" s="234" t="s">
        <v>952</v>
      </c>
      <c r="N620" s="234">
        <v>39970</v>
      </c>
      <c r="O620" s="234">
        <v>14930</v>
      </c>
      <c r="P620" s="242">
        <v>10</v>
      </c>
      <c r="Q620" s="234">
        <v>25040</v>
      </c>
      <c r="R620" s="234">
        <v>22536</v>
      </c>
      <c r="S620" s="234" t="s">
        <v>2107</v>
      </c>
      <c r="T620" s="236">
        <v>45919</v>
      </c>
    </row>
    <row r="621" spans="1:20" ht="51" hidden="1">
      <c r="A621" s="239" t="s">
        <v>2034</v>
      </c>
      <c r="B621" s="240">
        <v>1743</v>
      </c>
      <c r="C621" s="241">
        <v>37709</v>
      </c>
      <c r="D621" s="239" t="s">
        <v>3819</v>
      </c>
      <c r="E621" s="239" t="s">
        <v>416</v>
      </c>
      <c r="F621" s="239" t="s">
        <v>417</v>
      </c>
      <c r="G621" s="239" t="s">
        <v>952</v>
      </c>
      <c r="H621" s="239" t="s">
        <v>51</v>
      </c>
      <c r="I621" s="239" t="s">
        <v>1580</v>
      </c>
      <c r="J621" s="233"/>
      <c r="K621" s="235">
        <v>45918</v>
      </c>
      <c r="L621" s="233">
        <v>1.9</v>
      </c>
      <c r="M621" s="234" t="s">
        <v>952</v>
      </c>
      <c r="N621" s="234">
        <v>37740</v>
      </c>
      <c r="O621" s="234">
        <v>14670</v>
      </c>
      <c r="P621" s="242">
        <v>4</v>
      </c>
      <c r="Q621" s="234">
        <v>23070</v>
      </c>
      <c r="R621" s="234">
        <v>22147.200000000001</v>
      </c>
      <c r="S621" s="234" t="s">
        <v>2108</v>
      </c>
      <c r="T621" s="236">
        <v>45919</v>
      </c>
    </row>
    <row r="622" spans="1:20" ht="51" hidden="1">
      <c r="A622" s="239" t="s">
        <v>2035</v>
      </c>
      <c r="B622" s="240">
        <v>1745</v>
      </c>
      <c r="C622" s="241">
        <v>37711</v>
      </c>
      <c r="D622" s="239" t="s">
        <v>3819</v>
      </c>
      <c r="E622" s="239" t="s">
        <v>1410</v>
      </c>
      <c r="F622" s="239" t="s">
        <v>437</v>
      </c>
      <c r="G622" s="239" t="s">
        <v>950</v>
      </c>
      <c r="H622" s="239" t="s">
        <v>51</v>
      </c>
      <c r="I622" s="239" t="s">
        <v>1580</v>
      </c>
      <c r="J622" s="233"/>
      <c r="K622" s="235">
        <v>45918</v>
      </c>
      <c r="L622" s="233">
        <v>2.1</v>
      </c>
      <c r="M622" s="234" t="s">
        <v>950</v>
      </c>
      <c r="N622" s="234">
        <v>38820</v>
      </c>
      <c r="O622" s="234">
        <v>14760</v>
      </c>
      <c r="P622" s="242">
        <v>5</v>
      </c>
      <c r="Q622" s="234">
        <v>24060</v>
      </c>
      <c r="R622" s="234">
        <v>22857</v>
      </c>
      <c r="S622" s="234" t="s">
        <v>2109</v>
      </c>
      <c r="T622" s="236">
        <v>45919</v>
      </c>
    </row>
    <row r="623" spans="1:20" ht="51" hidden="1">
      <c r="A623" s="239" t="s">
        <v>2036</v>
      </c>
      <c r="B623" s="240">
        <v>1746</v>
      </c>
      <c r="C623" s="241">
        <v>37715</v>
      </c>
      <c r="D623" s="239" t="s">
        <v>3819</v>
      </c>
      <c r="E623" s="239" t="s">
        <v>374</v>
      </c>
      <c r="F623" s="239" t="s">
        <v>375</v>
      </c>
      <c r="G623" s="239" t="s">
        <v>952</v>
      </c>
      <c r="H623" s="239" t="s">
        <v>51</v>
      </c>
      <c r="I623" s="239" t="s">
        <v>1580</v>
      </c>
      <c r="J623" s="233"/>
      <c r="K623" s="235">
        <v>45919</v>
      </c>
      <c r="L623" s="233">
        <v>1.3</v>
      </c>
      <c r="M623" s="234" t="s">
        <v>952</v>
      </c>
      <c r="N623" s="234">
        <v>38620</v>
      </c>
      <c r="O623" s="234">
        <v>15550</v>
      </c>
      <c r="P623" s="242">
        <v>9</v>
      </c>
      <c r="Q623" s="234">
        <v>23070</v>
      </c>
      <c r="R623" s="234">
        <v>20993.7</v>
      </c>
      <c r="S623" s="234" t="s">
        <v>2110</v>
      </c>
      <c r="T623" s="236">
        <v>45919</v>
      </c>
    </row>
    <row r="624" spans="1:20" ht="51" hidden="1">
      <c r="A624" s="239" t="s">
        <v>2037</v>
      </c>
      <c r="B624" s="240">
        <v>1747</v>
      </c>
      <c r="C624" s="241">
        <v>37719</v>
      </c>
      <c r="D624" s="239" t="s">
        <v>3819</v>
      </c>
      <c r="E624" s="239" t="s">
        <v>377</v>
      </c>
      <c r="F624" s="239" t="s">
        <v>378</v>
      </c>
      <c r="G624" s="239" t="s">
        <v>952</v>
      </c>
      <c r="H624" s="239" t="s">
        <v>51</v>
      </c>
      <c r="I624" s="239" t="s">
        <v>1580</v>
      </c>
      <c r="J624" s="233"/>
      <c r="K624" s="235">
        <v>45919</v>
      </c>
      <c r="L624" s="233">
        <v>1.5</v>
      </c>
      <c r="M624" s="234" t="s">
        <v>952</v>
      </c>
      <c r="N624" s="234">
        <v>42670</v>
      </c>
      <c r="O624" s="234">
        <v>15080</v>
      </c>
      <c r="P624" s="242">
        <v>4</v>
      </c>
      <c r="Q624" s="234">
        <v>27590</v>
      </c>
      <c r="R624" s="234">
        <v>26486.400000000001</v>
      </c>
      <c r="S624" s="234" t="s">
        <v>2111</v>
      </c>
      <c r="T624" s="236">
        <v>45919</v>
      </c>
    </row>
    <row r="625" spans="1:20" ht="51" hidden="1">
      <c r="A625" s="239" t="s">
        <v>2038</v>
      </c>
      <c r="B625" s="240">
        <v>1748</v>
      </c>
      <c r="C625" s="241">
        <v>37724</v>
      </c>
      <c r="D625" s="239" t="s">
        <v>3819</v>
      </c>
      <c r="E625" s="239" t="s">
        <v>447</v>
      </c>
      <c r="F625" s="239" t="s">
        <v>448</v>
      </c>
      <c r="G625" s="239" t="s">
        <v>952</v>
      </c>
      <c r="H625" s="239" t="s">
        <v>51</v>
      </c>
      <c r="I625" s="239" t="s">
        <v>1580</v>
      </c>
      <c r="J625" s="233"/>
      <c r="K625" s="235">
        <v>45919</v>
      </c>
      <c r="L625" s="233">
        <v>1.9</v>
      </c>
      <c r="M625" s="234" t="s">
        <v>952</v>
      </c>
      <c r="N625" s="234">
        <v>53330</v>
      </c>
      <c r="O625" s="234">
        <v>19220</v>
      </c>
      <c r="P625" s="242">
        <v>9</v>
      </c>
      <c r="Q625" s="234">
        <v>34110</v>
      </c>
      <c r="R625" s="234">
        <v>31040.1</v>
      </c>
      <c r="S625" s="234" t="s">
        <v>2112</v>
      </c>
      <c r="T625" s="236">
        <v>45919</v>
      </c>
    </row>
    <row r="626" spans="1:20" ht="51" hidden="1">
      <c r="A626" s="239" t="s">
        <v>2039</v>
      </c>
      <c r="B626" s="240">
        <v>1749</v>
      </c>
      <c r="C626" s="241" t="s">
        <v>2040</v>
      </c>
      <c r="D626" s="239" t="s">
        <v>3819</v>
      </c>
      <c r="E626" s="239" t="s">
        <v>388</v>
      </c>
      <c r="F626" s="239" t="s">
        <v>389</v>
      </c>
      <c r="G626" s="239" t="s">
        <v>952</v>
      </c>
      <c r="H626" s="239" t="s">
        <v>51</v>
      </c>
      <c r="I626" s="239" t="s">
        <v>1580</v>
      </c>
      <c r="J626" s="233"/>
      <c r="K626" s="235">
        <v>45919</v>
      </c>
      <c r="L626" s="233">
        <v>1.9</v>
      </c>
      <c r="M626" s="234" t="s">
        <v>952</v>
      </c>
      <c r="N626" s="234">
        <v>55380</v>
      </c>
      <c r="O626" s="234">
        <v>20890</v>
      </c>
      <c r="P626" s="242">
        <v>8</v>
      </c>
      <c r="Q626" s="234">
        <v>34490</v>
      </c>
      <c r="R626" s="234">
        <v>31730.799999999999</v>
      </c>
      <c r="S626" s="234" t="s">
        <v>2113</v>
      </c>
      <c r="T626" s="236">
        <v>45919</v>
      </c>
    </row>
    <row r="627" spans="1:20" ht="51" hidden="1">
      <c r="A627" s="239" t="s">
        <v>2041</v>
      </c>
      <c r="B627" s="240">
        <v>1751</v>
      </c>
      <c r="C627" s="241">
        <v>37728</v>
      </c>
      <c r="D627" s="239" t="s">
        <v>3819</v>
      </c>
      <c r="E627" s="239" t="s">
        <v>1397</v>
      </c>
      <c r="F627" s="239" t="s">
        <v>1398</v>
      </c>
      <c r="G627" s="239" t="s">
        <v>952</v>
      </c>
      <c r="H627" s="239" t="s">
        <v>51</v>
      </c>
      <c r="I627" s="239" t="s">
        <v>1580</v>
      </c>
      <c r="J627" s="233"/>
      <c r="K627" s="235">
        <v>45919</v>
      </c>
      <c r="L627" s="233">
        <v>1.5</v>
      </c>
      <c r="M627" s="234" t="s">
        <v>952</v>
      </c>
      <c r="N627" s="234">
        <v>44420</v>
      </c>
      <c r="O627" s="234">
        <v>17030</v>
      </c>
      <c r="P627" s="242">
        <v>5</v>
      </c>
      <c r="Q627" s="234">
        <v>27390</v>
      </c>
      <c r="R627" s="234">
        <v>26020.5</v>
      </c>
      <c r="S627" s="234" t="s">
        <v>2114</v>
      </c>
      <c r="T627" s="236">
        <v>45919</v>
      </c>
    </row>
    <row r="628" spans="1:20" ht="51" hidden="1">
      <c r="A628" s="239" t="s">
        <v>2042</v>
      </c>
      <c r="B628" s="240">
        <v>1752</v>
      </c>
      <c r="C628" s="241">
        <v>37726</v>
      </c>
      <c r="D628" s="239" t="s">
        <v>3819</v>
      </c>
      <c r="E628" s="239" t="s">
        <v>1403</v>
      </c>
      <c r="F628" s="239" t="s">
        <v>1404</v>
      </c>
      <c r="G628" s="239" t="s">
        <v>952</v>
      </c>
      <c r="H628" s="239" t="s">
        <v>51</v>
      </c>
      <c r="I628" s="239" t="s">
        <v>1580</v>
      </c>
      <c r="J628" s="233"/>
      <c r="K628" s="235">
        <v>45919</v>
      </c>
      <c r="L628" s="233">
        <v>1.4</v>
      </c>
      <c r="M628" s="234" t="s">
        <v>952</v>
      </c>
      <c r="N628" s="234">
        <v>39350</v>
      </c>
      <c r="O628" s="234">
        <v>14940</v>
      </c>
      <c r="P628" s="242">
        <v>5</v>
      </c>
      <c r="Q628" s="234">
        <v>24410</v>
      </c>
      <c r="R628" s="234">
        <v>23189.5</v>
      </c>
      <c r="S628" s="234" t="s">
        <v>2115</v>
      </c>
      <c r="T628" s="236">
        <v>45919</v>
      </c>
    </row>
    <row r="629" spans="1:20" ht="51" hidden="1">
      <c r="A629" s="239" t="s">
        <v>2043</v>
      </c>
      <c r="B629" s="240">
        <v>1753</v>
      </c>
      <c r="C629" s="241">
        <v>37730</v>
      </c>
      <c r="D629" s="239" t="s">
        <v>3819</v>
      </c>
      <c r="E629" s="239" t="s">
        <v>1400</v>
      </c>
      <c r="F629" s="239" t="s">
        <v>1401</v>
      </c>
      <c r="G629" s="239" t="s">
        <v>952</v>
      </c>
      <c r="H629" s="239" t="s">
        <v>51</v>
      </c>
      <c r="I629" s="239" t="s">
        <v>1580</v>
      </c>
      <c r="J629" s="233"/>
      <c r="K629" s="235">
        <v>45919</v>
      </c>
      <c r="L629" s="233">
        <v>1.2</v>
      </c>
      <c r="M629" s="234" t="s">
        <v>952</v>
      </c>
      <c r="N629" s="234">
        <v>36890</v>
      </c>
      <c r="O629" s="234">
        <v>14720</v>
      </c>
      <c r="P629" s="242">
        <v>10</v>
      </c>
      <c r="Q629" s="234">
        <v>22170</v>
      </c>
      <c r="R629" s="234">
        <v>19953</v>
      </c>
      <c r="S629" s="234" t="s">
        <v>2116</v>
      </c>
      <c r="T629" s="236">
        <v>45919</v>
      </c>
    </row>
    <row r="630" spans="1:20" ht="51" hidden="1">
      <c r="A630" s="239" t="s">
        <v>2044</v>
      </c>
      <c r="B630" s="240">
        <v>1754</v>
      </c>
      <c r="C630" s="241">
        <v>37736</v>
      </c>
      <c r="D630" s="239" t="s">
        <v>3819</v>
      </c>
      <c r="E630" s="239" t="s">
        <v>453</v>
      </c>
      <c r="F630" s="239" t="s">
        <v>454</v>
      </c>
      <c r="G630" s="239" t="s">
        <v>952</v>
      </c>
      <c r="H630" s="239" t="s">
        <v>51</v>
      </c>
      <c r="I630" s="239" t="s">
        <v>1580</v>
      </c>
      <c r="J630" s="233"/>
      <c r="K630" s="235">
        <v>45919</v>
      </c>
      <c r="L630" s="233">
        <v>2</v>
      </c>
      <c r="M630" s="234" t="s">
        <v>952</v>
      </c>
      <c r="N630" s="234">
        <v>58870</v>
      </c>
      <c r="O630" s="234">
        <v>24080</v>
      </c>
      <c r="P630" s="242">
        <v>12</v>
      </c>
      <c r="Q630" s="234">
        <v>34790</v>
      </c>
      <c r="R630" s="234">
        <v>30615.200000000001</v>
      </c>
      <c r="S630" s="234" t="s">
        <v>2117</v>
      </c>
      <c r="T630" s="236">
        <v>45920</v>
      </c>
    </row>
    <row r="631" spans="1:20" ht="51" hidden="1">
      <c r="A631" s="239" t="s">
        <v>2045</v>
      </c>
      <c r="B631" s="240">
        <v>1755</v>
      </c>
      <c r="C631" s="241">
        <v>37738</v>
      </c>
      <c r="D631" s="239" t="s">
        <v>3819</v>
      </c>
      <c r="E631" s="239" t="s">
        <v>439</v>
      </c>
      <c r="F631" s="239" t="s">
        <v>440</v>
      </c>
      <c r="G631" s="239" t="s">
        <v>952</v>
      </c>
      <c r="H631" s="239" t="s">
        <v>51</v>
      </c>
      <c r="I631" s="239" t="s">
        <v>1580</v>
      </c>
      <c r="J631" s="233"/>
      <c r="K631" s="235">
        <v>45919</v>
      </c>
      <c r="L631" s="233">
        <v>1.5</v>
      </c>
      <c r="M631" s="234" t="s">
        <v>952</v>
      </c>
      <c r="N631" s="234">
        <v>42430</v>
      </c>
      <c r="O631" s="234">
        <v>14930</v>
      </c>
      <c r="P631" s="242">
        <v>10</v>
      </c>
      <c r="Q631" s="234">
        <v>27500</v>
      </c>
      <c r="R631" s="234">
        <v>24750</v>
      </c>
      <c r="S631" s="234" t="s">
        <v>2118</v>
      </c>
      <c r="T631" s="236">
        <v>45920</v>
      </c>
    </row>
    <row r="632" spans="1:20" ht="51" hidden="1">
      <c r="A632" s="239" t="s">
        <v>2046</v>
      </c>
      <c r="B632" s="240">
        <v>1756</v>
      </c>
      <c r="C632" s="241">
        <v>37742</v>
      </c>
      <c r="D632" s="239" t="s">
        <v>3819</v>
      </c>
      <c r="E632" s="239" t="s">
        <v>429</v>
      </c>
      <c r="F632" s="239" t="s">
        <v>430</v>
      </c>
      <c r="G632" s="239" t="s">
        <v>952</v>
      </c>
      <c r="H632" s="239" t="s">
        <v>51</v>
      </c>
      <c r="I632" s="239" t="s">
        <v>1580</v>
      </c>
      <c r="J632" s="233"/>
      <c r="K632" s="235">
        <v>45919</v>
      </c>
      <c r="L632" s="233">
        <v>1.4</v>
      </c>
      <c r="M632" s="234" t="s">
        <v>952</v>
      </c>
      <c r="N632" s="234">
        <v>39630</v>
      </c>
      <c r="O632" s="234">
        <v>14170</v>
      </c>
      <c r="P632" s="242">
        <v>12</v>
      </c>
      <c r="Q632" s="234">
        <v>25460</v>
      </c>
      <c r="R632" s="234">
        <v>22404.799999999999</v>
      </c>
      <c r="S632" s="234" t="s">
        <v>2119</v>
      </c>
      <c r="T632" s="236">
        <v>45920</v>
      </c>
    </row>
    <row r="633" spans="1:20" ht="51" hidden="1">
      <c r="A633" s="239" t="s">
        <v>2047</v>
      </c>
      <c r="B633" s="240">
        <v>1757</v>
      </c>
      <c r="C633" s="241">
        <v>37744</v>
      </c>
      <c r="D633" s="239" t="s">
        <v>3819</v>
      </c>
      <c r="E633" s="239" t="s">
        <v>420</v>
      </c>
      <c r="F633" s="239" t="s">
        <v>421</v>
      </c>
      <c r="G633" s="239" t="s">
        <v>952</v>
      </c>
      <c r="H633" s="239" t="s">
        <v>51</v>
      </c>
      <c r="I633" s="239" t="s">
        <v>1580</v>
      </c>
      <c r="J633" s="233"/>
      <c r="K633" s="235">
        <v>45919</v>
      </c>
      <c r="L633" s="233">
        <v>1.3</v>
      </c>
      <c r="M633" s="234" t="s">
        <v>952</v>
      </c>
      <c r="N633" s="234">
        <v>38110</v>
      </c>
      <c r="O633" s="234">
        <v>14860</v>
      </c>
      <c r="P633" s="242">
        <v>5</v>
      </c>
      <c r="Q633" s="234">
        <v>23250</v>
      </c>
      <c r="R633" s="234">
        <v>22087.5</v>
      </c>
      <c r="S633" s="234" t="s">
        <v>2120</v>
      </c>
      <c r="T633" s="236">
        <v>45920</v>
      </c>
    </row>
    <row r="634" spans="1:20" ht="51" hidden="1">
      <c r="A634" s="239" t="s">
        <v>2048</v>
      </c>
      <c r="B634" s="240">
        <v>1758</v>
      </c>
      <c r="C634" s="241">
        <v>37747</v>
      </c>
      <c r="D634" s="239" t="s">
        <v>3819</v>
      </c>
      <c r="E634" s="239" t="s">
        <v>456</v>
      </c>
      <c r="F634" s="239" t="s">
        <v>457</v>
      </c>
      <c r="G634" s="239" t="s">
        <v>952</v>
      </c>
      <c r="H634" s="239" t="s">
        <v>51</v>
      </c>
      <c r="I634" s="239" t="s">
        <v>1580</v>
      </c>
      <c r="J634" s="233"/>
      <c r="K634" s="235">
        <v>45919</v>
      </c>
      <c r="L634" s="233">
        <v>1.6</v>
      </c>
      <c r="M634" s="234" t="s">
        <v>952</v>
      </c>
      <c r="N634" s="234">
        <v>44560</v>
      </c>
      <c r="O634" s="234">
        <v>15750</v>
      </c>
      <c r="P634" s="242">
        <v>6</v>
      </c>
      <c r="Q634" s="234">
        <v>28810</v>
      </c>
      <c r="R634" s="234">
        <v>27081.4</v>
      </c>
      <c r="S634" s="234" t="s">
        <v>2121</v>
      </c>
      <c r="T634" s="236">
        <v>45920</v>
      </c>
    </row>
    <row r="635" spans="1:20" ht="51" hidden="1">
      <c r="A635" s="239" t="s">
        <v>2049</v>
      </c>
      <c r="B635" s="240">
        <v>1759</v>
      </c>
      <c r="C635" s="241">
        <v>37749</v>
      </c>
      <c r="D635" s="239" t="s">
        <v>3819</v>
      </c>
      <c r="E635" s="239" t="s">
        <v>786</v>
      </c>
      <c r="F635" s="239" t="s">
        <v>787</v>
      </c>
      <c r="G635" s="239" t="s">
        <v>952</v>
      </c>
      <c r="H635" s="239" t="s">
        <v>51</v>
      </c>
      <c r="I635" s="239" t="s">
        <v>1580</v>
      </c>
      <c r="J635" s="233"/>
      <c r="K635" s="235">
        <v>45919</v>
      </c>
      <c r="L635" s="233">
        <v>1.2</v>
      </c>
      <c r="M635" s="234" t="s">
        <v>952</v>
      </c>
      <c r="N635" s="234">
        <v>36170</v>
      </c>
      <c r="O635" s="234">
        <v>13990</v>
      </c>
      <c r="P635" s="242">
        <v>8</v>
      </c>
      <c r="Q635" s="234">
        <v>22180</v>
      </c>
      <c r="R635" s="234">
        <v>20405.599999999999</v>
      </c>
      <c r="S635" s="234" t="s">
        <v>2122</v>
      </c>
      <c r="T635" s="236">
        <v>45920</v>
      </c>
    </row>
    <row r="636" spans="1:20" ht="51" hidden="1">
      <c r="A636" s="239" t="s">
        <v>2050</v>
      </c>
      <c r="B636" s="240">
        <v>1761</v>
      </c>
      <c r="C636" s="241">
        <v>37755</v>
      </c>
      <c r="D636" s="239" t="s">
        <v>3819</v>
      </c>
      <c r="E636" s="239" t="s">
        <v>462</v>
      </c>
      <c r="F636" s="239" t="s">
        <v>463</v>
      </c>
      <c r="G636" s="239" t="s">
        <v>952</v>
      </c>
      <c r="H636" s="239" t="s">
        <v>51</v>
      </c>
      <c r="I636" s="239" t="s">
        <v>1580</v>
      </c>
      <c r="J636" s="233"/>
      <c r="K636" s="235">
        <v>45919</v>
      </c>
      <c r="L636" s="233">
        <v>1.4</v>
      </c>
      <c r="M636" s="234" t="s">
        <v>952</v>
      </c>
      <c r="N636" s="234">
        <v>41690</v>
      </c>
      <c r="O636" s="234">
        <v>16310</v>
      </c>
      <c r="P636" s="242">
        <v>6</v>
      </c>
      <c r="Q636" s="234">
        <v>25380</v>
      </c>
      <c r="R636" s="234">
        <v>23857.200000000001</v>
      </c>
      <c r="S636" s="234" t="s">
        <v>2123</v>
      </c>
      <c r="T636" s="236">
        <v>45920</v>
      </c>
    </row>
    <row r="637" spans="1:20" ht="51" hidden="1">
      <c r="A637" s="239" t="s">
        <v>2051</v>
      </c>
      <c r="B637" s="240">
        <v>1764</v>
      </c>
      <c r="C637" s="241">
        <v>37753</v>
      </c>
      <c r="D637" s="239" t="s">
        <v>3819</v>
      </c>
      <c r="E637" s="239" t="s">
        <v>791</v>
      </c>
      <c r="F637" s="239" t="s">
        <v>792</v>
      </c>
      <c r="G637" s="239" t="s">
        <v>952</v>
      </c>
      <c r="H637" s="239" t="s">
        <v>51</v>
      </c>
      <c r="I637" s="239" t="s">
        <v>1580</v>
      </c>
      <c r="J637" s="233"/>
      <c r="K637" s="235">
        <v>45920</v>
      </c>
      <c r="L637" s="233">
        <v>1.4</v>
      </c>
      <c r="M637" s="234" t="s">
        <v>952</v>
      </c>
      <c r="N637" s="234">
        <v>40790</v>
      </c>
      <c r="O637" s="234">
        <v>14950</v>
      </c>
      <c r="P637" s="242">
        <v>8</v>
      </c>
      <c r="Q637" s="234">
        <v>25840</v>
      </c>
      <c r="R637" s="234">
        <v>23772.799999999999</v>
      </c>
      <c r="S637" s="234" t="s">
        <v>2124</v>
      </c>
      <c r="T637" s="236">
        <v>45920</v>
      </c>
    </row>
    <row r="638" spans="1:20" ht="38.25" hidden="1">
      <c r="A638" s="239" t="s">
        <v>2052</v>
      </c>
      <c r="B638" s="240">
        <v>1768</v>
      </c>
      <c r="C638" s="241">
        <v>155</v>
      </c>
      <c r="D638" s="239" t="s">
        <v>591</v>
      </c>
      <c r="E638" s="239" t="s">
        <v>2053</v>
      </c>
      <c r="F638" s="239" t="s">
        <v>2054</v>
      </c>
      <c r="G638" s="239" t="s">
        <v>966</v>
      </c>
      <c r="H638" s="239" t="s">
        <v>254</v>
      </c>
      <c r="I638" s="239" t="s">
        <v>371</v>
      </c>
      <c r="J638" s="233"/>
      <c r="K638" s="235">
        <v>45920</v>
      </c>
      <c r="L638" s="233">
        <v>1.5</v>
      </c>
      <c r="M638" s="234" t="s">
        <v>966</v>
      </c>
      <c r="N638" s="234">
        <v>24080</v>
      </c>
      <c r="O638" s="234">
        <v>14330</v>
      </c>
      <c r="P638" s="242">
        <v>30</v>
      </c>
      <c r="Q638" s="234">
        <v>9750</v>
      </c>
      <c r="R638" s="234">
        <v>6825</v>
      </c>
      <c r="S638" s="234" t="s">
        <v>2125</v>
      </c>
      <c r="T638" s="236">
        <v>45920</v>
      </c>
    </row>
    <row r="639" spans="1:20" ht="51" hidden="1">
      <c r="A639" s="239" t="s">
        <v>2055</v>
      </c>
      <c r="B639" s="240">
        <v>1769</v>
      </c>
      <c r="C639" s="241">
        <v>156</v>
      </c>
      <c r="D639" s="239" t="s">
        <v>591</v>
      </c>
      <c r="E639" s="239" t="s">
        <v>369</v>
      </c>
      <c r="F639" s="239" t="s">
        <v>370</v>
      </c>
      <c r="G639" s="239" t="s">
        <v>966</v>
      </c>
      <c r="H639" s="239" t="s">
        <v>254</v>
      </c>
      <c r="I639" s="239" t="s">
        <v>371</v>
      </c>
      <c r="J639" s="233"/>
      <c r="K639" s="235">
        <v>45920</v>
      </c>
      <c r="L639" s="233">
        <v>3.1</v>
      </c>
      <c r="M639" s="234" t="s">
        <v>966</v>
      </c>
      <c r="N639" s="234">
        <v>34840</v>
      </c>
      <c r="O639" s="234">
        <v>15140</v>
      </c>
      <c r="P639" s="242">
        <v>21</v>
      </c>
      <c r="Q639" s="234">
        <v>19700</v>
      </c>
      <c r="R639" s="234">
        <v>15563</v>
      </c>
      <c r="S639" s="234" t="s">
        <v>2126</v>
      </c>
      <c r="T639" s="236">
        <v>45920</v>
      </c>
    </row>
    <row r="640" spans="1:20" ht="51" hidden="1">
      <c r="A640" s="239" t="s">
        <v>2057</v>
      </c>
      <c r="B640" s="240">
        <v>1771</v>
      </c>
      <c r="C640" s="241">
        <v>157</v>
      </c>
      <c r="D640" s="239" t="s">
        <v>591</v>
      </c>
      <c r="E640" s="239" t="s">
        <v>386</v>
      </c>
      <c r="F640" s="239" t="s">
        <v>387</v>
      </c>
      <c r="G640" s="239" t="s">
        <v>966</v>
      </c>
      <c r="H640" s="239" t="s">
        <v>254</v>
      </c>
      <c r="I640" s="239" t="s">
        <v>371</v>
      </c>
      <c r="J640" s="233"/>
      <c r="K640" s="235">
        <v>45920</v>
      </c>
      <c r="L640" s="233">
        <v>3.5</v>
      </c>
      <c r="M640" s="234" t="s">
        <v>966</v>
      </c>
      <c r="N640" s="234">
        <v>37700</v>
      </c>
      <c r="O640" s="234">
        <v>15500</v>
      </c>
      <c r="P640" s="242">
        <v>32</v>
      </c>
      <c r="Q640" s="234">
        <v>22200</v>
      </c>
      <c r="R640" s="234">
        <v>15096</v>
      </c>
      <c r="S640" s="234" t="s">
        <v>2128</v>
      </c>
      <c r="T640" s="236">
        <v>45920</v>
      </c>
    </row>
    <row r="641" spans="1:20" ht="38.25" hidden="1">
      <c r="A641" s="239" t="s">
        <v>2058</v>
      </c>
      <c r="B641" s="240">
        <v>1772</v>
      </c>
      <c r="C641" s="241">
        <v>158</v>
      </c>
      <c r="D641" s="239" t="s">
        <v>591</v>
      </c>
      <c r="E641" s="239" t="s">
        <v>866</v>
      </c>
      <c r="F641" s="239" t="s">
        <v>867</v>
      </c>
      <c r="G641" s="239" t="s">
        <v>966</v>
      </c>
      <c r="H641" s="239" t="s">
        <v>254</v>
      </c>
      <c r="I641" s="239" t="s">
        <v>371</v>
      </c>
      <c r="J641" s="233"/>
      <c r="K641" s="235">
        <v>45920</v>
      </c>
      <c r="L641" s="233">
        <v>3.5</v>
      </c>
      <c r="M641" s="234" t="s">
        <v>966</v>
      </c>
      <c r="N641" s="234">
        <v>37170</v>
      </c>
      <c r="O641" s="234">
        <v>14620</v>
      </c>
      <c r="P641" s="242">
        <v>33</v>
      </c>
      <c r="Q641" s="234">
        <v>22550</v>
      </c>
      <c r="R641" s="234">
        <v>15108.5</v>
      </c>
      <c r="S641" s="234" t="s">
        <v>2129</v>
      </c>
      <c r="T641" s="236">
        <v>45920</v>
      </c>
    </row>
    <row r="642" spans="1:20" ht="38.25" hidden="1">
      <c r="A642" s="239" t="s">
        <v>2059</v>
      </c>
      <c r="B642" s="240">
        <v>1773</v>
      </c>
      <c r="C642" s="241">
        <v>159</v>
      </c>
      <c r="D642" s="239" t="s">
        <v>591</v>
      </c>
      <c r="E642" s="239" t="s">
        <v>2053</v>
      </c>
      <c r="F642" s="239" t="s">
        <v>2054</v>
      </c>
      <c r="G642" s="239" t="s">
        <v>966</v>
      </c>
      <c r="H642" s="239" t="s">
        <v>254</v>
      </c>
      <c r="I642" s="239" t="s">
        <v>371</v>
      </c>
      <c r="J642" s="233"/>
      <c r="K642" s="235">
        <v>45920</v>
      </c>
      <c r="L642" s="233">
        <v>1.7</v>
      </c>
      <c r="M642" s="234" t="s">
        <v>966</v>
      </c>
      <c r="N642" s="234">
        <v>25480</v>
      </c>
      <c r="O642" s="234">
        <v>14600</v>
      </c>
      <c r="P642" s="242">
        <v>27</v>
      </c>
      <c r="Q642" s="234">
        <v>10880</v>
      </c>
      <c r="R642" s="234">
        <v>7942.4</v>
      </c>
      <c r="S642" s="234" t="s">
        <v>2130</v>
      </c>
      <c r="T642" s="236">
        <v>45920</v>
      </c>
    </row>
    <row r="643" spans="1:20" ht="51" hidden="1">
      <c r="A643" s="239" t="s">
        <v>2060</v>
      </c>
      <c r="B643" s="240">
        <v>1774</v>
      </c>
      <c r="C643" s="241">
        <v>160</v>
      </c>
      <c r="D643" s="239" t="s">
        <v>591</v>
      </c>
      <c r="E643" s="239" t="s">
        <v>369</v>
      </c>
      <c r="F643" s="239" t="s">
        <v>370</v>
      </c>
      <c r="G643" s="239" t="s">
        <v>966</v>
      </c>
      <c r="H643" s="239" t="s">
        <v>254</v>
      </c>
      <c r="I643" s="239" t="s">
        <v>371</v>
      </c>
      <c r="J643" s="233"/>
      <c r="K643" s="235">
        <v>45920</v>
      </c>
      <c r="L643" s="233">
        <v>3.5</v>
      </c>
      <c r="M643" s="234" t="s">
        <v>966</v>
      </c>
      <c r="N643" s="234">
        <v>37590</v>
      </c>
      <c r="O643" s="234">
        <v>15380</v>
      </c>
      <c r="P643" s="242">
        <v>22</v>
      </c>
      <c r="Q643" s="234">
        <v>22210</v>
      </c>
      <c r="R643" s="234">
        <v>17323.8</v>
      </c>
      <c r="S643" s="234" t="s">
        <v>2131</v>
      </c>
      <c r="T643" s="236">
        <v>45920</v>
      </c>
    </row>
    <row r="644" spans="1:20" ht="51" hidden="1">
      <c r="A644" s="239" t="s">
        <v>2062</v>
      </c>
      <c r="B644" s="240">
        <v>1776</v>
      </c>
      <c r="C644" s="241">
        <v>161</v>
      </c>
      <c r="D644" s="239" t="s">
        <v>591</v>
      </c>
      <c r="E644" s="239" t="s">
        <v>386</v>
      </c>
      <c r="F644" s="239" t="s">
        <v>387</v>
      </c>
      <c r="G644" s="239" t="s">
        <v>966</v>
      </c>
      <c r="H644" s="239" t="s">
        <v>254</v>
      </c>
      <c r="I644" s="239" t="s">
        <v>371</v>
      </c>
      <c r="J644" s="233"/>
      <c r="K644" s="235">
        <v>45920</v>
      </c>
      <c r="L644" s="233">
        <v>2.7</v>
      </c>
      <c r="M644" s="234" t="s">
        <v>966</v>
      </c>
      <c r="N644" s="234">
        <v>33080</v>
      </c>
      <c r="O644" s="234">
        <v>15820</v>
      </c>
      <c r="P644" s="242">
        <v>31</v>
      </c>
      <c r="Q644" s="234">
        <v>17260</v>
      </c>
      <c r="R644" s="234">
        <v>11909.4</v>
      </c>
      <c r="S644" s="234" t="s">
        <v>2133</v>
      </c>
      <c r="T644" s="236">
        <v>45920</v>
      </c>
    </row>
    <row r="645" spans="1:20" ht="51" hidden="1">
      <c r="A645" s="239" t="s">
        <v>2056</v>
      </c>
      <c r="B645" s="240">
        <v>1770</v>
      </c>
      <c r="C645" s="241">
        <v>37751</v>
      </c>
      <c r="D645" s="239" t="s">
        <v>3819</v>
      </c>
      <c r="E645" s="239" t="s">
        <v>1978</v>
      </c>
      <c r="F645" s="239" t="s">
        <v>1979</v>
      </c>
      <c r="G645" s="239" t="s">
        <v>952</v>
      </c>
      <c r="H645" s="239" t="s">
        <v>51</v>
      </c>
      <c r="I645" s="239" t="s">
        <v>1580</v>
      </c>
      <c r="J645" s="233"/>
      <c r="K645" s="235">
        <v>45920</v>
      </c>
      <c r="L645" s="233">
        <v>0.6</v>
      </c>
      <c r="M645" s="234" t="s">
        <v>952</v>
      </c>
      <c r="N645" s="234">
        <v>24020</v>
      </c>
      <c r="O645" s="234">
        <v>14170</v>
      </c>
      <c r="P645" s="242">
        <v>4</v>
      </c>
      <c r="Q645" s="234">
        <v>9850</v>
      </c>
      <c r="R645" s="234">
        <v>9456</v>
      </c>
      <c r="S645" s="234" t="s">
        <v>2127</v>
      </c>
      <c r="T645" s="236">
        <v>45920</v>
      </c>
    </row>
    <row r="646" spans="1:20" ht="51" hidden="1">
      <c r="A646" s="239" t="s">
        <v>2061</v>
      </c>
      <c r="B646" s="240">
        <v>1775</v>
      </c>
      <c r="C646" s="241">
        <v>37740</v>
      </c>
      <c r="D646" s="239" t="s">
        <v>3819</v>
      </c>
      <c r="E646" s="239" t="s">
        <v>447</v>
      </c>
      <c r="F646" s="239" t="s">
        <v>448</v>
      </c>
      <c r="G646" s="239" t="s">
        <v>952</v>
      </c>
      <c r="H646" s="239" t="s">
        <v>51</v>
      </c>
      <c r="I646" s="239" t="s">
        <v>1580</v>
      </c>
      <c r="J646" s="233"/>
      <c r="K646" s="235">
        <v>45919</v>
      </c>
      <c r="L646" s="233">
        <v>1.9</v>
      </c>
      <c r="M646" s="234" t="s">
        <v>952</v>
      </c>
      <c r="N646" s="234">
        <v>48500</v>
      </c>
      <c r="O646" s="234">
        <v>19270</v>
      </c>
      <c r="P646" s="242">
        <v>4</v>
      </c>
      <c r="Q646" s="234">
        <v>29230</v>
      </c>
      <c r="R646" s="234">
        <v>28060.799999999999</v>
      </c>
      <c r="S646" s="234" t="s">
        <v>2132</v>
      </c>
      <c r="T646" s="236">
        <v>45920</v>
      </c>
    </row>
    <row r="647" spans="1:20" ht="38.25" hidden="1">
      <c r="A647" s="239" t="s">
        <v>2063</v>
      </c>
      <c r="B647" s="240">
        <v>1777</v>
      </c>
      <c r="C647" s="241">
        <v>162</v>
      </c>
      <c r="D647" s="239" t="s">
        <v>591</v>
      </c>
      <c r="E647" s="239" t="s">
        <v>866</v>
      </c>
      <c r="F647" s="239" t="s">
        <v>867</v>
      </c>
      <c r="G647" s="239" t="s">
        <v>966</v>
      </c>
      <c r="H647" s="239" t="s">
        <v>254</v>
      </c>
      <c r="I647" s="239" t="s">
        <v>371</v>
      </c>
      <c r="J647" s="233"/>
      <c r="K647" s="235">
        <v>45921</v>
      </c>
      <c r="L647" s="233">
        <v>1.6</v>
      </c>
      <c r="M647" s="234" t="s">
        <v>966</v>
      </c>
      <c r="N647" s="234">
        <v>37650</v>
      </c>
      <c r="O647" s="234">
        <v>14710</v>
      </c>
      <c r="P647" s="242">
        <v>16</v>
      </c>
      <c r="Q647" s="234">
        <v>22940</v>
      </c>
      <c r="R647" s="234">
        <v>19269.599999999999</v>
      </c>
      <c r="S647" s="234" t="s">
        <v>2134</v>
      </c>
      <c r="T647" s="236">
        <v>45921</v>
      </c>
    </row>
    <row r="648" spans="1:20" ht="38.25" hidden="1">
      <c r="A648" s="239" t="s">
        <v>2064</v>
      </c>
      <c r="B648" s="240">
        <v>1778</v>
      </c>
      <c r="C648" s="241">
        <v>163</v>
      </c>
      <c r="D648" s="239" t="s">
        <v>591</v>
      </c>
      <c r="E648" s="239" t="s">
        <v>1978</v>
      </c>
      <c r="F648" s="239" t="s">
        <v>1979</v>
      </c>
      <c r="G648" s="239" t="s">
        <v>966</v>
      </c>
      <c r="H648" s="239" t="s">
        <v>254</v>
      </c>
      <c r="I648" s="239" t="s">
        <v>371</v>
      </c>
      <c r="J648" s="233"/>
      <c r="K648" s="235">
        <v>45921</v>
      </c>
      <c r="L648" s="233">
        <v>1.3</v>
      </c>
      <c r="M648" s="234" t="s">
        <v>966</v>
      </c>
      <c r="N648" s="234">
        <v>32320</v>
      </c>
      <c r="O648" s="234">
        <v>14210</v>
      </c>
      <c r="P648" s="242">
        <v>15</v>
      </c>
      <c r="Q648" s="234">
        <v>18110</v>
      </c>
      <c r="R648" s="234">
        <v>15393.5</v>
      </c>
      <c r="S648" s="234" t="s">
        <v>2135</v>
      </c>
      <c r="T648" s="236">
        <v>45921</v>
      </c>
    </row>
    <row r="649" spans="1:20" ht="70.150000000000006" hidden="1" customHeight="1">
      <c r="A649" s="239" t="s">
        <v>2065</v>
      </c>
      <c r="B649" s="240">
        <v>1779</v>
      </c>
      <c r="C649" s="241">
        <v>164</v>
      </c>
      <c r="D649" s="239" t="s">
        <v>591</v>
      </c>
      <c r="E649" s="239" t="s">
        <v>369</v>
      </c>
      <c r="F649" s="239" t="s">
        <v>370</v>
      </c>
      <c r="G649" s="239" t="s">
        <v>966</v>
      </c>
      <c r="H649" s="239" t="s">
        <v>254</v>
      </c>
      <c r="I649" s="239" t="s">
        <v>371</v>
      </c>
      <c r="J649" s="233"/>
      <c r="K649" s="235">
        <v>45921</v>
      </c>
      <c r="L649" s="233">
        <v>1.5</v>
      </c>
      <c r="M649" s="234" t="s">
        <v>966</v>
      </c>
      <c r="N649" s="234">
        <v>38100</v>
      </c>
      <c r="O649" s="234">
        <v>15150</v>
      </c>
      <c r="P649" s="242">
        <v>8</v>
      </c>
      <c r="Q649" s="234">
        <v>22950</v>
      </c>
      <c r="R649" s="234">
        <v>21114</v>
      </c>
      <c r="S649" s="234" t="s">
        <v>2136</v>
      </c>
      <c r="T649" s="236">
        <v>45921</v>
      </c>
    </row>
    <row r="650" spans="1:20" ht="70.150000000000006" hidden="1" customHeight="1">
      <c r="A650" s="239" t="s">
        <v>2137</v>
      </c>
      <c r="B650" s="240">
        <v>1780</v>
      </c>
      <c r="C650" s="241">
        <v>165</v>
      </c>
      <c r="D650" s="239" t="s">
        <v>591</v>
      </c>
      <c r="E650" s="239" t="s">
        <v>866</v>
      </c>
      <c r="F650" s="239" t="s">
        <v>867</v>
      </c>
      <c r="G650" s="239" t="s">
        <v>968</v>
      </c>
      <c r="H650" s="239" t="s">
        <v>163</v>
      </c>
      <c r="I650" s="239" t="s">
        <v>371</v>
      </c>
      <c r="J650" s="233"/>
      <c r="K650" s="235">
        <v>45921</v>
      </c>
      <c r="L650" s="233">
        <v>6.2</v>
      </c>
      <c r="M650" s="234" t="s">
        <v>968</v>
      </c>
      <c r="N650" s="234">
        <v>37510</v>
      </c>
      <c r="O650" s="234">
        <v>14680</v>
      </c>
      <c r="P650" s="242">
        <v>4</v>
      </c>
      <c r="Q650" s="234">
        <v>22830</v>
      </c>
      <c r="R650" s="234">
        <v>21916.799999999999</v>
      </c>
      <c r="S650" s="234" t="s">
        <v>2139</v>
      </c>
      <c r="T650" s="236">
        <v>45921</v>
      </c>
    </row>
    <row r="651" spans="1:20" ht="70.150000000000006" hidden="1" customHeight="1">
      <c r="A651" s="239" t="s">
        <v>2138</v>
      </c>
      <c r="B651" s="240">
        <v>1781</v>
      </c>
      <c r="C651" s="241">
        <v>166</v>
      </c>
      <c r="D651" s="239" t="s">
        <v>591</v>
      </c>
      <c r="E651" s="239" t="s">
        <v>1978</v>
      </c>
      <c r="F651" s="239" t="s">
        <v>1979</v>
      </c>
      <c r="G651" s="239" t="s">
        <v>968</v>
      </c>
      <c r="H651" s="239" t="s">
        <v>163</v>
      </c>
      <c r="I651" s="239" t="s">
        <v>371</v>
      </c>
      <c r="J651" s="233"/>
      <c r="K651" s="235">
        <v>45921</v>
      </c>
      <c r="L651" s="233">
        <v>2.2999999999999998</v>
      </c>
      <c r="M651" s="234" t="s">
        <v>2143</v>
      </c>
      <c r="N651" s="234">
        <v>22380</v>
      </c>
      <c r="O651" s="234">
        <v>14190</v>
      </c>
      <c r="P651" s="242">
        <v>10</v>
      </c>
      <c r="Q651" s="234">
        <v>8190</v>
      </c>
      <c r="R651" s="234">
        <v>7371</v>
      </c>
      <c r="S651" s="234" t="s">
        <v>2140</v>
      </c>
      <c r="T651" s="236">
        <v>45921</v>
      </c>
    </row>
    <row r="652" spans="1:20" ht="38.25" hidden="1">
      <c r="A652" s="239" t="s">
        <v>2147</v>
      </c>
      <c r="B652" s="240">
        <v>1789</v>
      </c>
      <c r="C652" s="241">
        <v>167</v>
      </c>
      <c r="D652" s="239" t="s">
        <v>591</v>
      </c>
      <c r="E652" s="239" t="s">
        <v>400</v>
      </c>
      <c r="F652" s="239" t="s">
        <v>401</v>
      </c>
      <c r="G652" s="239" t="s">
        <v>117</v>
      </c>
      <c r="H652" s="239" t="s">
        <v>41</v>
      </c>
      <c r="I652" s="239" t="s">
        <v>379</v>
      </c>
      <c r="J652" s="233"/>
      <c r="K652" s="235">
        <v>45925</v>
      </c>
      <c r="L652" s="233">
        <v>1.8</v>
      </c>
      <c r="M652" s="234" t="s">
        <v>117</v>
      </c>
      <c r="N652" s="234">
        <v>37340</v>
      </c>
      <c r="O652" s="234">
        <v>14870</v>
      </c>
      <c r="P652" s="242">
        <v>17</v>
      </c>
      <c r="Q652" s="234">
        <v>22470</v>
      </c>
      <c r="R652" s="234">
        <v>18650.099999999999</v>
      </c>
      <c r="S652" s="234" t="s">
        <v>2170</v>
      </c>
      <c r="T652" s="236">
        <v>45925</v>
      </c>
    </row>
    <row r="653" spans="1:20" ht="25.5" hidden="1">
      <c r="A653" s="239" t="s">
        <v>2148</v>
      </c>
      <c r="B653" s="240">
        <v>1790</v>
      </c>
      <c r="C653" s="241">
        <v>168</v>
      </c>
      <c r="D653" s="239" t="s">
        <v>591</v>
      </c>
      <c r="E653" s="239" t="s">
        <v>384</v>
      </c>
      <c r="F653" s="239" t="s">
        <v>385</v>
      </c>
      <c r="G653" s="239" t="s">
        <v>117</v>
      </c>
      <c r="H653" s="239" t="s">
        <v>41</v>
      </c>
      <c r="I653" s="239" t="s">
        <v>379</v>
      </c>
      <c r="J653" s="233"/>
      <c r="K653" s="235">
        <v>45925</v>
      </c>
      <c r="L653" s="233">
        <v>1.6</v>
      </c>
      <c r="M653" s="234" t="s">
        <v>117</v>
      </c>
      <c r="N653" s="234">
        <v>34150</v>
      </c>
      <c r="O653" s="234">
        <v>13950</v>
      </c>
      <c r="P653" s="242">
        <v>26</v>
      </c>
      <c r="Q653" s="234">
        <v>20200</v>
      </c>
      <c r="R653" s="234">
        <v>14948</v>
      </c>
      <c r="S653" s="234" t="s">
        <v>2171</v>
      </c>
      <c r="T653" s="236">
        <v>45925</v>
      </c>
    </row>
    <row r="654" spans="1:20" ht="51" hidden="1">
      <c r="A654" s="239" t="s">
        <v>2149</v>
      </c>
      <c r="B654" s="240">
        <v>1791</v>
      </c>
      <c r="C654" s="241">
        <v>169</v>
      </c>
      <c r="D654" s="239" t="s">
        <v>591</v>
      </c>
      <c r="E654" s="239" t="s">
        <v>382</v>
      </c>
      <c r="F654" s="239" t="s">
        <v>383</v>
      </c>
      <c r="G654" s="239" t="s">
        <v>117</v>
      </c>
      <c r="H654" s="239" t="s">
        <v>41</v>
      </c>
      <c r="I654" s="239" t="s">
        <v>379</v>
      </c>
      <c r="J654" s="233"/>
      <c r="K654" s="235">
        <v>45925</v>
      </c>
      <c r="L654" s="233">
        <v>1.6</v>
      </c>
      <c r="M654" s="234" t="s">
        <v>117</v>
      </c>
      <c r="N654" s="234">
        <v>34070</v>
      </c>
      <c r="O654" s="234">
        <v>14710</v>
      </c>
      <c r="P654" s="242">
        <v>10</v>
      </c>
      <c r="Q654" s="234">
        <v>19360</v>
      </c>
      <c r="R654" s="234">
        <v>17424</v>
      </c>
      <c r="S654" s="234" t="s">
        <v>2172</v>
      </c>
      <c r="T654" s="236">
        <v>45925</v>
      </c>
    </row>
    <row r="655" spans="1:20" ht="38.25" hidden="1">
      <c r="A655" s="239" t="s">
        <v>2150</v>
      </c>
      <c r="B655" s="240">
        <v>1792</v>
      </c>
      <c r="C655" s="241">
        <v>170</v>
      </c>
      <c r="D655" s="239" t="s">
        <v>591</v>
      </c>
      <c r="E655" s="239" t="s">
        <v>400</v>
      </c>
      <c r="F655" s="239" t="s">
        <v>401</v>
      </c>
      <c r="G655" s="239" t="s">
        <v>117</v>
      </c>
      <c r="H655" s="239" t="s">
        <v>41</v>
      </c>
      <c r="I655" s="239" t="s">
        <v>379</v>
      </c>
      <c r="J655" s="233"/>
      <c r="K655" s="235">
        <v>45925</v>
      </c>
      <c r="L655" s="233">
        <v>1.8</v>
      </c>
      <c r="M655" s="234" t="s">
        <v>117</v>
      </c>
      <c r="N655" s="234">
        <v>37180</v>
      </c>
      <c r="O655" s="234">
        <v>14860</v>
      </c>
      <c r="P655" s="242">
        <v>8</v>
      </c>
      <c r="Q655" s="234">
        <v>22320</v>
      </c>
      <c r="R655" s="234">
        <v>20534.400000000001</v>
      </c>
      <c r="S655" s="234" t="s">
        <v>2173</v>
      </c>
      <c r="T655" s="236">
        <v>45925</v>
      </c>
    </row>
    <row r="656" spans="1:20" ht="51" hidden="1">
      <c r="A656" s="239" t="s">
        <v>2151</v>
      </c>
      <c r="B656" s="240">
        <v>1793</v>
      </c>
      <c r="C656" s="241">
        <v>54984</v>
      </c>
      <c r="D656" s="239" t="s">
        <v>2152</v>
      </c>
      <c r="E656" s="239" t="s">
        <v>380</v>
      </c>
      <c r="F656" s="239" t="s">
        <v>381</v>
      </c>
      <c r="G656" s="239" t="s">
        <v>946</v>
      </c>
      <c r="H656" s="239" t="s">
        <v>51</v>
      </c>
      <c r="I656" s="239" t="s">
        <v>2153</v>
      </c>
      <c r="J656" s="233"/>
      <c r="K656" s="235">
        <v>45925</v>
      </c>
      <c r="L656" s="233">
        <v>1.3</v>
      </c>
      <c r="M656" s="234" t="s">
        <v>946</v>
      </c>
      <c r="N656" s="234">
        <v>39420</v>
      </c>
      <c r="O656" s="234">
        <v>15110</v>
      </c>
      <c r="P656" s="242">
        <v>5</v>
      </c>
      <c r="Q656" s="234">
        <v>24310</v>
      </c>
      <c r="R656" s="234">
        <v>23094.5</v>
      </c>
      <c r="S656" s="234" t="s">
        <v>2174</v>
      </c>
      <c r="T656" s="236">
        <v>45925</v>
      </c>
    </row>
    <row r="657" spans="1:20" ht="25.5" hidden="1">
      <c r="A657" s="239" t="s">
        <v>2154</v>
      </c>
      <c r="B657" s="240">
        <v>1794</v>
      </c>
      <c r="C657" s="241">
        <v>171</v>
      </c>
      <c r="D657" s="239" t="s">
        <v>591</v>
      </c>
      <c r="E657" s="239" t="s">
        <v>384</v>
      </c>
      <c r="F657" s="239" t="s">
        <v>385</v>
      </c>
      <c r="G657" s="239" t="s">
        <v>117</v>
      </c>
      <c r="H657" s="239" t="s">
        <v>41</v>
      </c>
      <c r="I657" s="239" t="s">
        <v>379</v>
      </c>
      <c r="J657" s="233"/>
      <c r="K657" s="235">
        <v>45925</v>
      </c>
      <c r="L657" s="233">
        <v>1.7</v>
      </c>
      <c r="M657" s="234" t="s">
        <v>117</v>
      </c>
      <c r="N657" s="234">
        <v>34930</v>
      </c>
      <c r="O657" s="234">
        <v>13940</v>
      </c>
      <c r="P657" s="242">
        <v>8</v>
      </c>
      <c r="Q657" s="234">
        <v>20990</v>
      </c>
      <c r="R657" s="234">
        <v>19310.8</v>
      </c>
      <c r="S657" s="234" t="s">
        <v>2175</v>
      </c>
      <c r="T657" s="236">
        <v>45925</v>
      </c>
    </row>
    <row r="658" spans="1:20" ht="51" hidden="1">
      <c r="A658" s="239" t="s">
        <v>2155</v>
      </c>
      <c r="B658" s="240">
        <v>1795</v>
      </c>
      <c r="C658" s="241">
        <v>172</v>
      </c>
      <c r="D658" s="239" t="s">
        <v>591</v>
      </c>
      <c r="E658" s="239" t="s">
        <v>382</v>
      </c>
      <c r="F658" s="239" t="s">
        <v>383</v>
      </c>
      <c r="G658" s="239" t="s">
        <v>117</v>
      </c>
      <c r="H658" s="239" t="s">
        <v>41</v>
      </c>
      <c r="I658" s="239" t="s">
        <v>379</v>
      </c>
      <c r="J658" s="233"/>
      <c r="K658" s="235">
        <v>45925</v>
      </c>
      <c r="L658" s="233">
        <v>1.5</v>
      </c>
      <c r="M658" s="234" t="s">
        <v>117</v>
      </c>
      <c r="N658" s="234">
        <v>32550</v>
      </c>
      <c r="O658" s="234">
        <v>14700</v>
      </c>
      <c r="P658" s="242">
        <v>7</v>
      </c>
      <c r="Q658" s="234">
        <v>17850</v>
      </c>
      <c r="R658" s="234">
        <v>16600.5</v>
      </c>
      <c r="S658" s="234" t="s">
        <v>2176</v>
      </c>
      <c r="T658" s="236">
        <v>45925</v>
      </c>
    </row>
    <row r="659" spans="1:20" ht="38.25" hidden="1">
      <c r="A659" s="239" t="s">
        <v>2156</v>
      </c>
      <c r="B659" s="240">
        <v>1797</v>
      </c>
      <c r="C659" s="241">
        <v>173</v>
      </c>
      <c r="D659" s="239" t="s">
        <v>591</v>
      </c>
      <c r="E659" s="239" t="s">
        <v>400</v>
      </c>
      <c r="F659" s="239" t="s">
        <v>401</v>
      </c>
      <c r="G659" s="239" t="s">
        <v>117</v>
      </c>
      <c r="H659" s="239" t="s">
        <v>41</v>
      </c>
      <c r="I659" s="239" t="s">
        <v>379</v>
      </c>
      <c r="J659" s="233"/>
      <c r="K659" s="235">
        <v>45925</v>
      </c>
      <c r="L659" s="233">
        <v>1.7</v>
      </c>
      <c r="M659" s="234" t="s">
        <v>117</v>
      </c>
      <c r="N659" s="234">
        <v>36110</v>
      </c>
      <c r="O659" s="234">
        <v>14840</v>
      </c>
      <c r="P659" s="242">
        <v>14</v>
      </c>
      <c r="Q659" s="234">
        <v>21270</v>
      </c>
      <c r="R659" s="234">
        <v>18292.2</v>
      </c>
      <c r="S659" s="234" t="s">
        <v>2177</v>
      </c>
      <c r="T659" s="236">
        <v>45925</v>
      </c>
    </row>
    <row r="660" spans="1:20" ht="51" hidden="1">
      <c r="A660" s="239" t="s">
        <v>2157</v>
      </c>
      <c r="B660" s="240">
        <v>1799</v>
      </c>
      <c r="C660" s="241">
        <v>174</v>
      </c>
      <c r="D660" s="239" t="s">
        <v>591</v>
      </c>
      <c r="E660" s="239" t="s">
        <v>380</v>
      </c>
      <c r="F660" s="239" t="s">
        <v>381</v>
      </c>
      <c r="G660" s="239" t="s">
        <v>117</v>
      </c>
      <c r="H660" s="239" t="s">
        <v>41</v>
      </c>
      <c r="I660" s="239" t="s">
        <v>379</v>
      </c>
      <c r="J660" s="233"/>
      <c r="K660" s="235">
        <v>45925</v>
      </c>
      <c r="L660" s="233">
        <v>1.8</v>
      </c>
      <c r="M660" s="234" t="s">
        <v>117</v>
      </c>
      <c r="N660" s="234">
        <v>37490</v>
      </c>
      <c r="O660" s="234">
        <v>15110</v>
      </c>
      <c r="P660" s="242">
        <v>11</v>
      </c>
      <c r="Q660" s="234">
        <v>22380</v>
      </c>
      <c r="R660" s="234">
        <v>19918.2</v>
      </c>
      <c r="S660" s="234" t="s">
        <v>2178</v>
      </c>
      <c r="T660" s="236">
        <v>45925</v>
      </c>
    </row>
    <row r="661" spans="1:20" ht="25.5" hidden="1">
      <c r="A661" s="239" t="s">
        <v>2158</v>
      </c>
      <c r="B661" s="240">
        <v>1801</v>
      </c>
      <c r="C661" s="241">
        <v>175</v>
      </c>
      <c r="D661" s="239" t="s">
        <v>591</v>
      </c>
      <c r="E661" s="239" t="s">
        <v>384</v>
      </c>
      <c r="F661" s="239" t="s">
        <v>385</v>
      </c>
      <c r="G661" s="239" t="s">
        <v>117</v>
      </c>
      <c r="H661" s="239" t="s">
        <v>41</v>
      </c>
      <c r="I661" s="239" t="s">
        <v>379</v>
      </c>
      <c r="J661" s="233"/>
      <c r="K661" s="235">
        <v>45925</v>
      </c>
      <c r="L661" s="233">
        <v>1.8</v>
      </c>
      <c r="M661" s="234" t="s">
        <v>117</v>
      </c>
      <c r="N661" s="234">
        <v>35850</v>
      </c>
      <c r="O661" s="234">
        <v>13930</v>
      </c>
      <c r="P661" s="242">
        <v>20</v>
      </c>
      <c r="Q661" s="234">
        <v>21920</v>
      </c>
      <c r="R661" s="234">
        <v>17536</v>
      </c>
      <c r="S661" s="234" t="s">
        <v>2179</v>
      </c>
      <c r="T661" s="236">
        <v>45925</v>
      </c>
    </row>
    <row r="662" spans="1:20" ht="51" hidden="1">
      <c r="A662" s="239" t="s">
        <v>2159</v>
      </c>
      <c r="B662" s="240">
        <v>1802</v>
      </c>
      <c r="C662" s="241">
        <v>176</v>
      </c>
      <c r="D662" s="239" t="s">
        <v>591</v>
      </c>
      <c r="E662" s="239" t="s">
        <v>382</v>
      </c>
      <c r="F662" s="239" t="s">
        <v>383</v>
      </c>
      <c r="G662" s="239" t="s">
        <v>117</v>
      </c>
      <c r="H662" s="239" t="s">
        <v>41</v>
      </c>
      <c r="I662" s="239" t="s">
        <v>379</v>
      </c>
      <c r="J662" s="233"/>
      <c r="K662" s="235">
        <v>45925</v>
      </c>
      <c r="L662" s="233">
        <v>1.3</v>
      </c>
      <c r="M662" s="234" t="s">
        <v>117</v>
      </c>
      <c r="N662" s="234">
        <v>30940</v>
      </c>
      <c r="O662" s="234">
        <v>14690</v>
      </c>
      <c r="P662" s="242">
        <v>8</v>
      </c>
      <c r="Q662" s="234">
        <v>16250</v>
      </c>
      <c r="R662" s="234">
        <v>14950</v>
      </c>
      <c r="S662" s="234" t="s">
        <v>2180</v>
      </c>
      <c r="T662" s="236">
        <v>45925</v>
      </c>
    </row>
    <row r="663" spans="1:20" ht="38.25" hidden="1">
      <c r="A663" s="239" t="s">
        <v>2160</v>
      </c>
      <c r="B663" s="240">
        <v>1803</v>
      </c>
      <c r="C663" s="241">
        <v>177</v>
      </c>
      <c r="D663" s="239" t="s">
        <v>591</v>
      </c>
      <c r="E663" s="239" t="s">
        <v>400</v>
      </c>
      <c r="F663" s="239" t="s">
        <v>401</v>
      </c>
      <c r="G663" s="239" t="s">
        <v>117</v>
      </c>
      <c r="H663" s="239" t="s">
        <v>41</v>
      </c>
      <c r="I663" s="239" t="s">
        <v>379</v>
      </c>
      <c r="J663" s="233"/>
      <c r="K663" s="235">
        <v>45925</v>
      </c>
      <c r="L663" s="233">
        <v>1.8</v>
      </c>
      <c r="M663" s="234" t="s">
        <v>117</v>
      </c>
      <c r="N663" s="234">
        <v>37140</v>
      </c>
      <c r="O663" s="234">
        <v>14830</v>
      </c>
      <c r="P663" s="242">
        <v>13</v>
      </c>
      <c r="Q663" s="234">
        <v>22310</v>
      </c>
      <c r="R663" s="234">
        <v>19409.7</v>
      </c>
      <c r="S663" s="234" t="s">
        <v>2181</v>
      </c>
      <c r="T663" s="236">
        <v>45925</v>
      </c>
    </row>
    <row r="664" spans="1:20" ht="51" hidden="1">
      <c r="A664" s="239" t="s">
        <v>2161</v>
      </c>
      <c r="B664" s="240">
        <v>1804</v>
      </c>
      <c r="C664" s="241">
        <v>178</v>
      </c>
      <c r="D664" s="239" t="s">
        <v>591</v>
      </c>
      <c r="E664" s="239" t="s">
        <v>380</v>
      </c>
      <c r="F664" s="239" t="s">
        <v>381</v>
      </c>
      <c r="G664" s="239" t="s">
        <v>117</v>
      </c>
      <c r="H664" s="239" t="s">
        <v>41</v>
      </c>
      <c r="I664" s="239" t="s">
        <v>379</v>
      </c>
      <c r="J664" s="233"/>
      <c r="K664" s="235">
        <v>45925</v>
      </c>
      <c r="L664" s="233">
        <v>1.9</v>
      </c>
      <c r="M664" s="234" t="s">
        <v>117</v>
      </c>
      <c r="N664" s="234">
        <v>38710</v>
      </c>
      <c r="O664" s="234">
        <v>15090</v>
      </c>
      <c r="P664" s="242">
        <v>6</v>
      </c>
      <c r="Q664" s="234">
        <v>23620</v>
      </c>
      <c r="R664" s="234">
        <v>22202.799999999999</v>
      </c>
      <c r="S664" s="234" t="s">
        <v>2182</v>
      </c>
      <c r="T664" s="236">
        <v>45925</v>
      </c>
    </row>
    <row r="665" spans="1:20" ht="25.5" hidden="1">
      <c r="A665" s="239" t="s">
        <v>2162</v>
      </c>
      <c r="B665" s="240">
        <v>1806</v>
      </c>
      <c r="C665" s="241">
        <v>179</v>
      </c>
      <c r="D665" s="239" t="s">
        <v>591</v>
      </c>
      <c r="E665" s="239" t="s">
        <v>384</v>
      </c>
      <c r="F665" s="239" t="s">
        <v>385</v>
      </c>
      <c r="G665" s="239" t="s">
        <v>117</v>
      </c>
      <c r="H665" s="239" t="s">
        <v>41</v>
      </c>
      <c r="I665" s="239" t="s">
        <v>379</v>
      </c>
      <c r="J665" s="233"/>
      <c r="K665" s="235">
        <v>45925</v>
      </c>
      <c r="L665" s="233">
        <v>1.6</v>
      </c>
      <c r="M665" s="234" t="s">
        <v>117</v>
      </c>
      <c r="N665" s="234">
        <v>34160</v>
      </c>
      <c r="O665" s="234">
        <v>13920</v>
      </c>
      <c r="P665" s="242">
        <v>8</v>
      </c>
      <c r="Q665" s="234">
        <v>20240</v>
      </c>
      <c r="R665" s="234">
        <v>18620.8</v>
      </c>
      <c r="S665" s="234" t="s">
        <v>2183</v>
      </c>
      <c r="T665" s="236">
        <v>45925</v>
      </c>
    </row>
    <row r="666" spans="1:20" ht="51" hidden="1">
      <c r="A666" s="239" t="s">
        <v>2163</v>
      </c>
      <c r="B666" s="240">
        <v>1808</v>
      </c>
      <c r="C666" s="241">
        <v>180</v>
      </c>
      <c r="D666" s="239" t="s">
        <v>591</v>
      </c>
      <c r="E666" s="239" t="s">
        <v>382</v>
      </c>
      <c r="F666" s="239" t="s">
        <v>383</v>
      </c>
      <c r="G666" s="239" t="s">
        <v>117</v>
      </c>
      <c r="H666" s="239" t="s">
        <v>41</v>
      </c>
      <c r="I666" s="239" t="s">
        <v>379</v>
      </c>
      <c r="J666" s="233"/>
      <c r="K666" s="235">
        <v>45925</v>
      </c>
      <c r="L666" s="233">
        <v>1.4</v>
      </c>
      <c r="M666" s="234" t="s">
        <v>117</v>
      </c>
      <c r="N666" s="234">
        <v>32270</v>
      </c>
      <c r="O666" s="234">
        <v>14680</v>
      </c>
      <c r="P666" s="242">
        <v>8</v>
      </c>
      <c r="Q666" s="234">
        <v>17590</v>
      </c>
      <c r="R666" s="234">
        <v>16182.8</v>
      </c>
      <c r="S666" s="234" t="s">
        <v>2184</v>
      </c>
      <c r="T666" s="236">
        <v>45925</v>
      </c>
    </row>
    <row r="667" spans="1:20" ht="38.25" hidden="1">
      <c r="A667" s="239" t="s">
        <v>2164</v>
      </c>
      <c r="B667" s="240">
        <v>1809</v>
      </c>
      <c r="C667" s="241">
        <v>181</v>
      </c>
      <c r="D667" s="239" t="s">
        <v>591</v>
      </c>
      <c r="E667" s="239" t="s">
        <v>400</v>
      </c>
      <c r="F667" s="239" t="s">
        <v>401</v>
      </c>
      <c r="G667" s="239" t="s">
        <v>117</v>
      </c>
      <c r="H667" s="239" t="s">
        <v>41</v>
      </c>
      <c r="I667" s="239" t="s">
        <v>379</v>
      </c>
      <c r="J667" s="233"/>
      <c r="K667" s="235">
        <v>45925</v>
      </c>
      <c r="L667" s="233">
        <v>1.9</v>
      </c>
      <c r="M667" s="234" t="s">
        <v>117</v>
      </c>
      <c r="N667" s="234">
        <v>37840</v>
      </c>
      <c r="O667" s="234">
        <v>14820</v>
      </c>
      <c r="P667" s="242">
        <v>29</v>
      </c>
      <c r="Q667" s="234">
        <v>23020</v>
      </c>
      <c r="R667" s="234">
        <v>16344.2</v>
      </c>
      <c r="S667" s="234" t="s">
        <v>2185</v>
      </c>
      <c r="T667" s="236">
        <v>45925</v>
      </c>
    </row>
    <row r="668" spans="1:20" ht="51" hidden="1">
      <c r="A668" s="239" t="s">
        <v>2165</v>
      </c>
      <c r="B668" s="240">
        <v>1811</v>
      </c>
      <c r="C668" s="241">
        <v>182</v>
      </c>
      <c r="D668" s="239" t="s">
        <v>591</v>
      </c>
      <c r="E668" s="239" t="s">
        <v>380</v>
      </c>
      <c r="F668" s="239" t="s">
        <v>381</v>
      </c>
      <c r="G668" s="239" t="s">
        <v>117</v>
      </c>
      <c r="H668" s="239" t="s">
        <v>41</v>
      </c>
      <c r="I668" s="239" t="s">
        <v>379</v>
      </c>
      <c r="J668" s="233"/>
      <c r="K668" s="235">
        <v>45925</v>
      </c>
      <c r="L668" s="233">
        <v>1.8</v>
      </c>
      <c r="M668" s="234" t="s">
        <v>117</v>
      </c>
      <c r="N668" s="234">
        <v>37150</v>
      </c>
      <c r="O668" s="234">
        <v>15080</v>
      </c>
      <c r="P668" s="242">
        <v>19</v>
      </c>
      <c r="Q668" s="234">
        <v>22070</v>
      </c>
      <c r="R668" s="234">
        <v>17876.7</v>
      </c>
      <c r="S668" s="234" t="s">
        <v>2186</v>
      </c>
      <c r="T668" s="236">
        <v>45925</v>
      </c>
    </row>
    <row r="669" spans="1:20" ht="25.5" hidden="1">
      <c r="A669" s="239" t="s">
        <v>2166</v>
      </c>
      <c r="B669" s="240">
        <v>1812</v>
      </c>
      <c r="C669" s="241">
        <v>183</v>
      </c>
      <c r="D669" s="239" t="s">
        <v>591</v>
      </c>
      <c r="E669" s="239" t="s">
        <v>384</v>
      </c>
      <c r="F669" s="239" t="s">
        <v>385</v>
      </c>
      <c r="G669" s="239" t="s">
        <v>117</v>
      </c>
      <c r="H669" s="239" t="s">
        <v>41</v>
      </c>
      <c r="I669" s="239" t="s">
        <v>379</v>
      </c>
      <c r="J669" s="233"/>
      <c r="K669" s="235">
        <v>45925</v>
      </c>
      <c r="L669" s="233">
        <v>1.7</v>
      </c>
      <c r="M669" s="234" t="s">
        <v>117</v>
      </c>
      <c r="N669" s="234">
        <v>34900</v>
      </c>
      <c r="O669" s="234">
        <v>13920</v>
      </c>
      <c r="P669" s="242">
        <v>18</v>
      </c>
      <c r="Q669" s="234">
        <v>20980</v>
      </c>
      <c r="R669" s="234">
        <v>17203.599999999999</v>
      </c>
      <c r="S669" s="234" t="s">
        <v>2187</v>
      </c>
      <c r="T669" s="236">
        <v>45925</v>
      </c>
    </row>
    <row r="670" spans="1:20" ht="51" hidden="1">
      <c r="A670" s="239" t="s">
        <v>2167</v>
      </c>
      <c r="B670" s="240">
        <v>1813</v>
      </c>
      <c r="C670" s="241">
        <v>184</v>
      </c>
      <c r="D670" s="239" t="s">
        <v>591</v>
      </c>
      <c r="E670" s="239" t="s">
        <v>382</v>
      </c>
      <c r="F670" s="239" t="s">
        <v>383</v>
      </c>
      <c r="G670" s="239" t="s">
        <v>117</v>
      </c>
      <c r="H670" s="239" t="s">
        <v>41</v>
      </c>
      <c r="I670" s="239" t="s">
        <v>379</v>
      </c>
      <c r="J670" s="233"/>
      <c r="K670" s="235">
        <v>45925</v>
      </c>
      <c r="L670" s="233">
        <v>1.5</v>
      </c>
      <c r="M670" s="234" t="s">
        <v>117</v>
      </c>
      <c r="N670" s="234">
        <v>33330</v>
      </c>
      <c r="O670" s="234">
        <v>14700</v>
      </c>
      <c r="P670" s="242">
        <v>20</v>
      </c>
      <c r="Q670" s="234">
        <v>18630</v>
      </c>
      <c r="R670" s="234">
        <v>14904</v>
      </c>
      <c r="S670" s="234" t="s">
        <v>2188</v>
      </c>
      <c r="T670" s="236">
        <v>45925</v>
      </c>
    </row>
    <row r="671" spans="1:20" ht="38.25" hidden="1">
      <c r="A671" s="239" t="s">
        <v>2168</v>
      </c>
      <c r="B671" s="240">
        <v>1814</v>
      </c>
      <c r="C671" s="241">
        <v>185</v>
      </c>
      <c r="D671" s="239" t="s">
        <v>591</v>
      </c>
      <c r="E671" s="239" t="s">
        <v>400</v>
      </c>
      <c r="F671" s="239" t="s">
        <v>401</v>
      </c>
      <c r="G671" s="239" t="s">
        <v>117</v>
      </c>
      <c r="H671" s="239" t="s">
        <v>41</v>
      </c>
      <c r="I671" s="239" t="s">
        <v>379</v>
      </c>
      <c r="J671" s="233"/>
      <c r="K671" s="235">
        <v>45925</v>
      </c>
      <c r="L671" s="233">
        <v>1.7</v>
      </c>
      <c r="M671" s="234" t="s">
        <v>117</v>
      </c>
      <c r="N671" s="234">
        <v>36210</v>
      </c>
      <c r="O671" s="234">
        <v>14860</v>
      </c>
      <c r="P671" s="242">
        <v>30</v>
      </c>
      <c r="Q671" s="234">
        <v>21350</v>
      </c>
      <c r="R671" s="234">
        <v>14945</v>
      </c>
      <c r="S671" s="234" t="s">
        <v>2189</v>
      </c>
      <c r="T671" s="236">
        <v>45926</v>
      </c>
    </row>
    <row r="672" spans="1:20" ht="51" hidden="1">
      <c r="A672" s="239" t="s">
        <v>2169</v>
      </c>
      <c r="B672" s="240">
        <v>1815</v>
      </c>
      <c r="C672" s="241">
        <v>186</v>
      </c>
      <c r="D672" s="239" t="s">
        <v>591</v>
      </c>
      <c r="E672" s="239" t="s">
        <v>380</v>
      </c>
      <c r="F672" s="239" t="s">
        <v>381</v>
      </c>
      <c r="G672" s="239" t="s">
        <v>117</v>
      </c>
      <c r="H672" s="239" t="s">
        <v>41</v>
      </c>
      <c r="I672" s="239" t="s">
        <v>379</v>
      </c>
      <c r="J672" s="233"/>
      <c r="K672" s="235">
        <v>45925</v>
      </c>
      <c r="L672" s="233">
        <v>1.9</v>
      </c>
      <c r="M672" s="234" t="s">
        <v>117</v>
      </c>
      <c r="N672" s="234">
        <v>38190</v>
      </c>
      <c r="O672" s="234">
        <v>15160</v>
      </c>
      <c r="P672" s="242">
        <v>18</v>
      </c>
      <c r="Q672" s="234">
        <v>23030</v>
      </c>
      <c r="R672" s="234">
        <v>18884.599999999999</v>
      </c>
      <c r="S672" s="234" t="s">
        <v>2190</v>
      </c>
      <c r="T672" s="236">
        <v>45926</v>
      </c>
    </row>
    <row r="673" spans="1:20" ht="51" hidden="1">
      <c r="A673" s="239" t="s">
        <v>2192</v>
      </c>
      <c r="B673" s="240">
        <v>1819</v>
      </c>
      <c r="C673" s="241">
        <v>187</v>
      </c>
      <c r="D673" s="239" t="s">
        <v>591</v>
      </c>
      <c r="E673" s="239" t="s">
        <v>369</v>
      </c>
      <c r="F673" s="239" t="s">
        <v>370</v>
      </c>
      <c r="G673" s="239" t="s">
        <v>117</v>
      </c>
      <c r="H673" s="239" t="s">
        <v>41</v>
      </c>
      <c r="I673" s="239" t="s">
        <v>379</v>
      </c>
      <c r="J673" s="233"/>
      <c r="K673" s="235">
        <v>45926</v>
      </c>
      <c r="L673" s="233">
        <v>1.6</v>
      </c>
      <c r="M673" s="234" t="s">
        <v>117</v>
      </c>
      <c r="N673" s="234">
        <v>36530</v>
      </c>
      <c r="O673" s="234">
        <v>15110</v>
      </c>
      <c r="P673" s="242">
        <v>15</v>
      </c>
      <c r="Q673" s="234">
        <v>21420</v>
      </c>
      <c r="R673" s="234">
        <v>18207</v>
      </c>
      <c r="S673" s="234" t="s">
        <v>2237</v>
      </c>
      <c r="T673" s="236">
        <v>45926</v>
      </c>
    </row>
    <row r="674" spans="1:20" ht="38.25" hidden="1">
      <c r="A674" s="239" t="s">
        <v>2193</v>
      </c>
      <c r="B674" s="240">
        <v>1823</v>
      </c>
      <c r="C674" s="241">
        <v>188</v>
      </c>
      <c r="D674" s="239" t="s">
        <v>591</v>
      </c>
      <c r="E674" s="239" t="s">
        <v>377</v>
      </c>
      <c r="F674" s="239" t="s">
        <v>378</v>
      </c>
      <c r="G674" s="239" t="s">
        <v>117</v>
      </c>
      <c r="H674" s="239" t="s">
        <v>41</v>
      </c>
      <c r="I674" s="239" t="s">
        <v>379</v>
      </c>
      <c r="J674" s="233"/>
      <c r="K674" s="235">
        <v>45926</v>
      </c>
      <c r="L674" s="233">
        <v>1.7</v>
      </c>
      <c r="M674" s="234" t="s">
        <v>117</v>
      </c>
      <c r="N674" s="234">
        <v>37710</v>
      </c>
      <c r="O674" s="234">
        <v>15140</v>
      </c>
      <c r="P674" s="242">
        <v>17</v>
      </c>
      <c r="Q674" s="234">
        <v>22570</v>
      </c>
      <c r="R674" s="234">
        <v>18733.099999999999</v>
      </c>
      <c r="S674" s="234" t="s">
        <v>2238</v>
      </c>
      <c r="T674" s="236">
        <v>45926</v>
      </c>
    </row>
    <row r="675" spans="1:20" ht="25.5" hidden="1">
      <c r="A675" s="239" t="s">
        <v>2194</v>
      </c>
      <c r="B675" s="240">
        <v>1824</v>
      </c>
      <c r="C675" s="241">
        <v>189</v>
      </c>
      <c r="D675" s="239" t="s">
        <v>591</v>
      </c>
      <c r="E675" s="239" t="s">
        <v>374</v>
      </c>
      <c r="F675" s="239" t="s">
        <v>375</v>
      </c>
      <c r="G675" s="239" t="s">
        <v>117</v>
      </c>
      <c r="H675" s="239" t="s">
        <v>41</v>
      </c>
      <c r="I675" s="239" t="s">
        <v>379</v>
      </c>
      <c r="J675" s="233"/>
      <c r="K675" s="235">
        <v>45926</v>
      </c>
      <c r="L675" s="233">
        <v>1.9</v>
      </c>
      <c r="M675" s="234" t="s">
        <v>117</v>
      </c>
      <c r="N675" s="234">
        <v>38000</v>
      </c>
      <c r="O675" s="234">
        <v>15760</v>
      </c>
      <c r="P675" s="242">
        <v>16</v>
      </c>
      <c r="Q675" s="234">
        <v>22240</v>
      </c>
      <c r="R675" s="234">
        <v>18681.599999999999</v>
      </c>
      <c r="S675" s="234" t="s">
        <v>2239</v>
      </c>
      <c r="T675" s="236">
        <v>45926</v>
      </c>
    </row>
    <row r="676" spans="1:20" ht="38.25" hidden="1">
      <c r="A676" s="239" t="s">
        <v>2195</v>
      </c>
      <c r="B676" s="240">
        <v>1825</v>
      </c>
      <c r="C676" s="241">
        <v>190</v>
      </c>
      <c r="D676" s="239" t="s">
        <v>591</v>
      </c>
      <c r="E676" s="239" t="s">
        <v>866</v>
      </c>
      <c r="F676" s="239" t="s">
        <v>867</v>
      </c>
      <c r="G676" s="239" t="s">
        <v>117</v>
      </c>
      <c r="H676" s="239" t="s">
        <v>51</v>
      </c>
      <c r="I676" s="239" t="s">
        <v>379</v>
      </c>
      <c r="J676" s="233"/>
      <c r="K676" s="235">
        <v>45926</v>
      </c>
      <c r="L676" s="233">
        <v>1.4</v>
      </c>
      <c r="M676" s="234" t="s">
        <v>117</v>
      </c>
      <c r="N676" s="234">
        <v>34460</v>
      </c>
      <c r="O676" s="234">
        <v>14560</v>
      </c>
      <c r="P676" s="242">
        <v>15</v>
      </c>
      <c r="Q676" s="234">
        <v>19900</v>
      </c>
      <c r="R676" s="234">
        <v>16915</v>
      </c>
      <c r="S676" s="234" t="s">
        <v>2240</v>
      </c>
      <c r="T676" s="236">
        <v>45926</v>
      </c>
    </row>
    <row r="677" spans="1:20" ht="51" hidden="1">
      <c r="A677" s="239" t="s">
        <v>2196</v>
      </c>
      <c r="B677" s="240">
        <v>1827</v>
      </c>
      <c r="C677" s="241">
        <v>191</v>
      </c>
      <c r="D677" s="239" t="s">
        <v>591</v>
      </c>
      <c r="E677" s="239" t="s">
        <v>369</v>
      </c>
      <c r="F677" s="239" t="s">
        <v>370</v>
      </c>
      <c r="G677" s="239" t="s">
        <v>117</v>
      </c>
      <c r="H677" s="239" t="s">
        <v>51</v>
      </c>
      <c r="I677" s="239" t="s">
        <v>379</v>
      </c>
      <c r="J677" s="233"/>
      <c r="K677" s="235">
        <v>45926</v>
      </c>
      <c r="L677" s="233">
        <v>1.4</v>
      </c>
      <c r="M677" s="234" t="s">
        <v>117</v>
      </c>
      <c r="N677" s="234">
        <v>34560</v>
      </c>
      <c r="O677" s="234">
        <v>15070</v>
      </c>
      <c r="P677" s="242">
        <v>15</v>
      </c>
      <c r="Q677" s="234">
        <v>19490</v>
      </c>
      <c r="R677" s="234">
        <v>16566.5</v>
      </c>
      <c r="S677" s="234" t="s">
        <v>2241</v>
      </c>
      <c r="T677" s="236">
        <v>45926</v>
      </c>
    </row>
    <row r="678" spans="1:20" ht="38.25" hidden="1">
      <c r="A678" s="239" t="s">
        <v>2197</v>
      </c>
      <c r="B678" s="240">
        <v>1829</v>
      </c>
      <c r="C678" s="241">
        <v>192</v>
      </c>
      <c r="D678" s="239" t="s">
        <v>591</v>
      </c>
      <c r="E678" s="239" t="s">
        <v>377</v>
      </c>
      <c r="F678" s="239" t="s">
        <v>378</v>
      </c>
      <c r="G678" s="239" t="s">
        <v>117</v>
      </c>
      <c r="H678" s="239" t="s">
        <v>51</v>
      </c>
      <c r="I678" s="239" t="s">
        <v>379</v>
      </c>
      <c r="J678" s="233"/>
      <c r="K678" s="235">
        <v>45926</v>
      </c>
      <c r="L678" s="233">
        <v>1.8</v>
      </c>
      <c r="M678" s="234" t="s">
        <v>117</v>
      </c>
      <c r="N678" s="234">
        <v>39260</v>
      </c>
      <c r="O678" s="234">
        <v>15130</v>
      </c>
      <c r="P678" s="242">
        <v>13</v>
      </c>
      <c r="Q678" s="234">
        <v>24130</v>
      </c>
      <c r="R678" s="234">
        <v>20993.1</v>
      </c>
      <c r="S678" s="234" t="s">
        <v>2242</v>
      </c>
      <c r="T678" s="236">
        <v>45926</v>
      </c>
    </row>
    <row r="679" spans="1:20" ht="25.5" hidden="1">
      <c r="A679" s="239" t="s">
        <v>2198</v>
      </c>
      <c r="B679" s="240">
        <v>1830</v>
      </c>
      <c r="C679" s="241">
        <v>193</v>
      </c>
      <c r="D679" s="239" t="s">
        <v>591</v>
      </c>
      <c r="E679" s="239" t="s">
        <v>374</v>
      </c>
      <c r="F679" s="239" t="s">
        <v>375</v>
      </c>
      <c r="G679" s="239" t="s">
        <v>117</v>
      </c>
      <c r="H679" s="239" t="s">
        <v>51</v>
      </c>
      <c r="I679" s="239" t="s">
        <v>379</v>
      </c>
      <c r="J679" s="233"/>
      <c r="K679" s="235">
        <v>45926</v>
      </c>
      <c r="L679" s="233">
        <v>1.4</v>
      </c>
      <c r="M679" s="234" t="s">
        <v>117</v>
      </c>
      <c r="N679" s="234">
        <v>35360</v>
      </c>
      <c r="O679" s="234">
        <v>15750</v>
      </c>
      <c r="P679" s="242">
        <v>26</v>
      </c>
      <c r="Q679" s="234">
        <v>19610</v>
      </c>
      <c r="R679" s="234">
        <v>14511.4</v>
      </c>
      <c r="S679" s="234" t="s">
        <v>2243</v>
      </c>
      <c r="T679" s="236">
        <v>45926</v>
      </c>
    </row>
    <row r="680" spans="1:20" ht="38.25" hidden="1">
      <c r="A680" s="239" t="s">
        <v>2199</v>
      </c>
      <c r="B680" s="240">
        <v>1831</v>
      </c>
      <c r="C680" s="241">
        <v>194</v>
      </c>
      <c r="D680" s="239" t="s">
        <v>591</v>
      </c>
      <c r="E680" s="239" t="s">
        <v>866</v>
      </c>
      <c r="F680" s="239" t="s">
        <v>867</v>
      </c>
      <c r="G680" s="239" t="s">
        <v>117</v>
      </c>
      <c r="H680" s="239" t="s">
        <v>51</v>
      </c>
      <c r="I680" s="239" t="s">
        <v>379</v>
      </c>
      <c r="J680" s="233"/>
      <c r="K680" s="235">
        <v>45926</v>
      </c>
      <c r="L680" s="233">
        <v>1.6</v>
      </c>
      <c r="M680" s="234" t="s">
        <v>117</v>
      </c>
      <c r="N680" s="234">
        <v>37220</v>
      </c>
      <c r="O680" s="234">
        <v>14540</v>
      </c>
      <c r="P680" s="242">
        <v>19</v>
      </c>
      <c r="Q680" s="234">
        <v>22680</v>
      </c>
      <c r="R680" s="234">
        <v>18370.8</v>
      </c>
      <c r="S680" s="234" t="s">
        <v>2244</v>
      </c>
      <c r="T680" s="236">
        <v>45926</v>
      </c>
    </row>
    <row r="681" spans="1:20" ht="51" hidden="1">
      <c r="A681" s="239" t="s">
        <v>2200</v>
      </c>
      <c r="B681" s="240">
        <v>1832</v>
      </c>
      <c r="C681" s="241">
        <v>195</v>
      </c>
      <c r="D681" s="239" t="s">
        <v>591</v>
      </c>
      <c r="E681" s="239" t="s">
        <v>369</v>
      </c>
      <c r="F681" s="239" t="s">
        <v>370</v>
      </c>
      <c r="G681" s="239" t="s">
        <v>117</v>
      </c>
      <c r="H681" s="239" t="s">
        <v>51</v>
      </c>
      <c r="I681" s="239" t="s">
        <v>379</v>
      </c>
      <c r="J681" s="233"/>
      <c r="K681" s="235">
        <v>45926</v>
      </c>
      <c r="L681" s="233">
        <v>1.5</v>
      </c>
      <c r="M681" s="234" t="s">
        <v>117</v>
      </c>
      <c r="N681" s="234">
        <v>35380</v>
      </c>
      <c r="O681" s="234">
        <v>15060</v>
      </c>
      <c r="P681" s="242">
        <v>16</v>
      </c>
      <c r="Q681" s="234">
        <v>20320</v>
      </c>
      <c r="R681" s="234">
        <v>17068.8</v>
      </c>
      <c r="S681" s="234" t="s">
        <v>2245</v>
      </c>
      <c r="T681" s="236">
        <v>45926</v>
      </c>
    </row>
    <row r="682" spans="1:20" ht="38.25" hidden="1">
      <c r="A682" s="239" t="s">
        <v>2201</v>
      </c>
      <c r="B682" s="240">
        <v>1833</v>
      </c>
      <c r="C682" s="241">
        <v>196</v>
      </c>
      <c r="D682" s="239" t="s">
        <v>591</v>
      </c>
      <c r="E682" s="239" t="s">
        <v>377</v>
      </c>
      <c r="F682" s="239" t="s">
        <v>378</v>
      </c>
      <c r="G682" s="239" t="s">
        <v>117</v>
      </c>
      <c r="H682" s="239" t="s">
        <v>51</v>
      </c>
      <c r="I682" s="239" t="s">
        <v>379</v>
      </c>
      <c r="J682" s="233"/>
      <c r="K682" s="235">
        <v>45926</v>
      </c>
      <c r="L682" s="233">
        <v>1.7</v>
      </c>
      <c r="M682" s="234" t="s">
        <v>117</v>
      </c>
      <c r="N682" s="234">
        <v>38820</v>
      </c>
      <c r="O682" s="234">
        <v>15110</v>
      </c>
      <c r="P682" s="242">
        <v>9</v>
      </c>
      <c r="Q682" s="234">
        <v>23710</v>
      </c>
      <c r="R682" s="234">
        <v>21576.1</v>
      </c>
      <c r="S682" s="234" t="s">
        <v>2246</v>
      </c>
      <c r="T682" s="236">
        <v>45926</v>
      </c>
    </row>
    <row r="683" spans="1:20" ht="25.5" hidden="1">
      <c r="A683" s="239" t="s">
        <v>2202</v>
      </c>
      <c r="B683" s="240">
        <v>1834</v>
      </c>
      <c r="C683" s="241">
        <v>197</v>
      </c>
      <c r="D683" s="239" t="s">
        <v>591</v>
      </c>
      <c r="E683" s="239" t="s">
        <v>374</v>
      </c>
      <c r="F683" s="239" t="s">
        <v>375</v>
      </c>
      <c r="G683" s="239" t="s">
        <v>117</v>
      </c>
      <c r="H683" s="239" t="s">
        <v>51</v>
      </c>
      <c r="I683" s="239" t="s">
        <v>379</v>
      </c>
      <c r="J683" s="233"/>
      <c r="K683" s="235">
        <v>45926</v>
      </c>
      <c r="L683" s="233">
        <v>1.7</v>
      </c>
      <c r="M683" s="234" t="s">
        <v>117</v>
      </c>
      <c r="N683" s="234">
        <v>39130</v>
      </c>
      <c r="O683" s="234">
        <v>15730</v>
      </c>
      <c r="P683" s="242">
        <v>10</v>
      </c>
      <c r="Q683" s="234">
        <v>23400</v>
      </c>
      <c r="R683" s="234">
        <v>21060</v>
      </c>
      <c r="S683" s="234" t="s">
        <v>2247</v>
      </c>
      <c r="T683" s="236">
        <v>45926</v>
      </c>
    </row>
    <row r="684" spans="1:20" ht="38.25" hidden="1">
      <c r="A684" s="239" t="s">
        <v>2203</v>
      </c>
      <c r="B684" s="240">
        <v>1835</v>
      </c>
      <c r="C684" s="241">
        <v>198</v>
      </c>
      <c r="D684" s="239" t="s">
        <v>591</v>
      </c>
      <c r="E684" s="239" t="s">
        <v>866</v>
      </c>
      <c r="F684" s="239" t="s">
        <v>867</v>
      </c>
      <c r="G684" s="239" t="s">
        <v>117</v>
      </c>
      <c r="H684" s="239" t="s">
        <v>51</v>
      </c>
      <c r="I684" s="239" t="s">
        <v>379</v>
      </c>
      <c r="J684" s="233"/>
      <c r="K684" s="235">
        <v>45926</v>
      </c>
      <c r="L684" s="233">
        <v>1.6</v>
      </c>
      <c r="M684" s="234" t="s">
        <v>117</v>
      </c>
      <c r="N684" s="234">
        <v>36560</v>
      </c>
      <c r="O684" s="234">
        <v>14530</v>
      </c>
      <c r="P684" s="242">
        <v>6</v>
      </c>
      <c r="Q684" s="234">
        <v>22030</v>
      </c>
      <c r="R684" s="234">
        <v>20708.2</v>
      </c>
      <c r="S684" s="234" t="s">
        <v>2248</v>
      </c>
      <c r="T684" s="236">
        <v>45926</v>
      </c>
    </row>
    <row r="685" spans="1:20" ht="51" hidden="1">
      <c r="A685" s="239" t="s">
        <v>2204</v>
      </c>
      <c r="B685" s="240">
        <v>1837</v>
      </c>
      <c r="C685" s="241">
        <v>199</v>
      </c>
      <c r="D685" s="239" t="s">
        <v>591</v>
      </c>
      <c r="E685" s="239" t="s">
        <v>369</v>
      </c>
      <c r="F685" s="239" t="s">
        <v>370</v>
      </c>
      <c r="G685" s="239" t="s">
        <v>117</v>
      </c>
      <c r="H685" s="239" t="s">
        <v>51</v>
      </c>
      <c r="I685" s="239" t="s">
        <v>379</v>
      </c>
      <c r="J685" s="233"/>
      <c r="K685" s="235">
        <v>45926</v>
      </c>
      <c r="L685" s="233">
        <v>1.4</v>
      </c>
      <c r="M685" s="234" t="s">
        <v>117</v>
      </c>
      <c r="N685" s="234">
        <v>34850</v>
      </c>
      <c r="O685" s="234">
        <v>15040</v>
      </c>
      <c r="P685" s="242">
        <v>17</v>
      </c>
      <c r="Q685" s="234">
        <v>19810</v>
      </c>
      <c r="R685" s="234">
        <v>16442.3</v>
      </c>
      <c r="S685" s="234" t="s">
        <v>2249</v>
      </c>
      <c r="T685" s="236">
        <v>45926</v>
      </c>
    </row>
    <row r="686" spans="1:20" ht="38.25" hidden="1">
      <c r="A686" s="239" t="s">
        <v>2205</v>
      </c>
      <c r="B686" s="240">
        <v>1839</v>
      </c>
      <c r="C686" s="241">
        <v>200</v>
      </c>
      <c r="D686" s="239" t="s">
        <v>591</v>
      </c>
      <c r="E686" s="239" t="s">
        <v>377</v>
      </c>
      <c r="F686" s="239" t="s">
        <v>378</v>
      </c>
      <c r="G686" s="239" t="s">
        <v>117</v>
      </c>
      <c r="H686" s="239" t="s">
        <v>51</v>
      </c>
      <c r="I686" s="239" t="s">
        <v>379</v>
      </c>
      <c r="J686" s="233"/>
      <c r="K686" s="235">
        <v>45926</v>
      </c>
      <c r="L686" s="233">
        <v>1.7</v>
      </c>
      <c r="M686" s="234" t="s">
        <v>117</v>
      </c>
      <c r="N686" s="234">
        <v>38420</v>
      </c>
      <c r="O686" s="234">
        <v>15180</v>
      </c>
      <c r="P686" s="242">
        <v>12</v>
      </c>
      <c r="Q686" s="234">
        <v>23240</v>
      </c>
      <c r="R686" s="234">
        <v>20451.2</v>
      </c>
      <c r="S686" s="234" t="s">
        <v>2250</v>
      </c>
      <c r="T686" s="236">
        <v>45926</v>
      </c>
    </row>
    <row r="687" spans="1:20" ht="25.5" hidden="1">
      <c r="A687" s="239" t="s">
        <v>2206</v>
      </c>
      <c r="B687" s="240">
        <v>1840</v>
      </c>
      <c r="C687" s="241">
        <v>201</v>
      </c>
      <c r="D687" s="239" t="s">
        <v>591</v>
      </c>
      <c r="E687" s="239" t="s">
        <v>374</v>
      </c>
      <c r="F687" s="239" t="s">
        <v>375</v>
      </c>
      <c r="G687" s="239" t="s">
        <v>117</v>
      </c>
      <c r="H687" s="239" t="s">
        <v>51</v>
      </c>
      <c r="I687" s="239" t="s">
        <v>379</v>
      </c>
      <c r="J687" s="233"/>
      <c r="K687" s="235">
        <v>45926</v>
      </c>
      <c r="L687" s="233">
        <v>1.7</v>
      </c>
      <c r="M687" s="234" t="s">
        <v>117</v>
      </c>
      <c r="N687" s="234">
        <v>38790</v>
      </c>
      <c r="O687" s="234">
        <v>15750</v>
      </c>
      <c r="P687" s="242">
        <v>6</v>
      </c>
      <c r="Q687" s="234">
        <v>23040</v>
      </c>
      <c r="R687" s="234">
        <v>21657.599999999999</v>
      </c>
      <c r="S687" s="234" t="s">
        <v>2251</v>
      </c>
      <c r="T687" s="236">
        <v>45926</v>
      </c>
    </row>
    <row r="688" spans="1:20" ht="38.25" hidden="1">
      <c r="A688" s="239" t="s">
        <v>2207</v>
      </c>
      <c r="B688" s="240">
        <v>1841</v>
      </c>
      <c r="C688" s="241">
        <v>202</v>
      </c>
      <c r="D688" s="239" t="s">
        <v>591</v>
      </c>
      <c r="E688" s="239" t="s">
        <v>866</v>
      </c>
      <c r="F688" s="239" t="s">
        <v>867</v>
      </c>
      <c r="G688" s="239" t="s">
        <v>117</v>
      </c>
      <c r="H688" s="239" t="s">
        <v>51</v>
      </c>
      <c r="I688" s="239" t="s">
        <v>379</v>
      </c>
      <c r="J688" s="233"/>
      <c r="K688" s="235">
        <v>45926</v>
      </c>
      <c r="L688" s="233">
        <v>1.6</v>
      </c>
      <c r="M688" s="234" t="s">
        <v>117</v>
      </c>
      <c r="N688" s="234">
        <v>36040</v>
      </c>
      <c r="O688" s="234">
        <v>14510</v>
      </c>
      <c r="P688" s="242">
        <v>12</v>
      </c>
      <c r="Q688" s="234">
        <v>21530</v>
      </c>
      <c r="R688" s="234">
        <v>18946.400000000001</v>
      </c>
      <c r="S688" s="234" t="s">
        <v>2252</v>
      </c>
      <c r="T688" s="236">
        <v>45926</v>
      </c>
    </row>
    <row r="689" spans="1:20" ht="51" hidden="1">
      <c r="A689" s="239" t="s">
        <v>2208</v>
      </c>
      <c r="B689" s="240">
        <v>1842</v>
      </c>
      <c r="C689" s="241">
        <v>203</v>
      </c>
      <c r="D689" s="239" t="s">
        <v>591</v>
      </c>
      <c r="E689" s="239" t="s">
        <v>369</v>
      </c>
      <c r="F689" s="239" t="s">
        <v>370</v>
      </c>
      <c r="G689" s="239" t="s">
        <v>117</v>
      </c>
      <c r="H689" s="239" t="s">
        <v>51</v>
      </c>
      <c r="I689" s="239" t="s">
        <v>379</v>
      </c>
      <c r="J689" s="233"/>
      <c r="K689" s="235">
        <v>45926</v>
      </c>
      <c r="L689" s="233">
        <v>1.6</v>
      </c>
      <c r="M689" s="234" t="s">
        <v>117</v>
      </c>
      <c r="N689" s="234">
        <v>36800</v>
      </c>
      <c r="O689" s="234">
        <v>15070</v>
      </c>
      <c r="P689" s="242">
        <v>7</v>
      </c>
      <c r="Q689" s="234">
        <v>21730</v>
      </c>
      <c r="R689" s="234">
        <v>20208.900000000001</v>
      </c>
      <c r="S689" s="234" t="s">
        <v>2253</v>
      </c>
      <c r="T689" s="236">
        <v>45926</v>
      </c>
    </row>
    <row r="690" spans="1:20" ht="38.25" hidden="1">
      <c r="A690" s="239" t="s">
        <v>2209</v>
      </c>
      <c r="B690" s="240">
        <v>1843</v>
      </c>
      <c r="C690" s="241">
        <v>204</v>
      </c>
      <c r="D690" s="239" t="s">
        <v>591</v>
      </c>
      <c r="E690" s="239" t="s">
        <v>377</v>
      </c>
      <c r="F690" s="239" t="s">
        <v>378</v>
      </c>
      <c r="G690" s="239" t="s">
        <v>117</v>
      </c>
      <c r="H690" s="239" t="s">
        <v>51</v>
      </c>
      <c r="I690" s="239" t="s">
        <v>379</v>
      </c>
      <c r="J690" s="233"/>
      <c r="K690" s="235">
        <v>45926</v>
      </c>
      <c r="L690" s="233">
        <v>1.7</v>
      </c>
      <c r="M690" s="234" t="s">
        <v>117</v>
      </c>
      <c r="N690" s="234">
        <v>39100</v>
      </c>
      <c r="O690" s="234">
        <v>15090</v>
      </c>
      <c r="P690" s="242">
        <v>8</v>
      </c>
      <c r="Q690" s="234">
        <v>24010</v>
      </c>
      <c r="R690" s="234">
        <v>22089.200000000001</v>
      </c>
      <c r="S690" s="234" t="s">
        <v>2254</v>
      </c>
      <c r="T690" s="236">
        <v>45927</v>
      </c>
    </row>
    <row r="691" spans="1:20" ht="25.5" hidden="1">
      <c r="A691" s="239" t="s">
        <v>2210</v>
      </c>
      <c r="B691" s="240">
        <v>1846</v>
      </c>
      <c r="C691" s="241">
        <v>205</v>
      </c>
      <c r="D691" s="239" t="s">
        <v>591</v>
      </c>
      <c r="E691" s="239" t="s">
        <v>374</v>
      </c>
      <c r="F691" s="239" t="s">
        <v>375</v>
      </c>
      <c r="G691" s="239" t="s">
        <v>117</v>
      </c>
      <c r="H691" s="239" t="s">
        <v>51</v>
      </c>
      <c r="I691" s="239" t="s">
        <v>379</v>
      </c>
      <c r="J691" s="233"/>
      <c r="K691" s="235">
        <v>45926</v>
      </c>
      <c r="L691" s="233">
        <v>1.6</v>
      </c>
      <c r="M691" s="234" t="s">
        <v>117</v>
      </c>
      <c r="N691" s="234">
        <v>37920</v>
      </c>
      <c r="O691" s="234">
        <v>15720</v>
      </c>
      <c r="P691" s="242">
        <v>11</v>
      </c>
      <c r="Q691" s="234">
        <v>22200</v>
      </c>
      <c r="R691" s="234">
        <v>19758</v>
      </c>
      <c r="S691" s="234" t="s">
        <v>2255</v>
      </c>
      <c r="T691" s="236">
        <v>45927</v>
      </c>
    </row>
    <row r="692" spans="1:20" ht="38.25" hidden="1">
      <c r="A692" s="239" t="s">
        <v>2211</v>
      </c>
      <c r="B692" s="240">
        <v>1847</v>
      </c>
      <c r="C692" s="241">
        <v>206</v>
      </c>
      <c r="D692" s="239" t="s">
        <v>591</v>
      </c>
      <c r="E692" s="239" t="s">
        <v>866</v>
      </c>
      <c r="F692" s="239" t="s">
        <v>867</v>
      </c>
      <c r="G692" s="239" t="s">
        <v>117</v>
      </c>
      <c r="H692" s="239" t="s">
        <v>51</v>
      </c>
      <c r="I692" s="239" t="s">
        <v>379</v>
      </c>
      <c r="J692" s="233"/>
      <c r="K692" s="235">
        <v>45926</v>
      </c>
      <c r="L692" s="233">
        <v>1.6</v>
      </c>
      <c r="M692" s="234" t="s">
        <v>117</v>
      </c>
      <c r="N692" s="234">
        <v>37070</v>
      </c>
      <c r="O692" s="234">
        <v>14510</v>
      </c>
      <c r="P692" s="242">
        <v>8</v>
      </c>
      <c r="Q692" s="234">
        <v>22560</v>
      </c>
      <c r="R692" s="234">
        <v>20755.2</v>
      </c>
      <c r="S692" s="234" t="s">
        <v>2256</v>
      </c>
      <c r="T692" s="236">
        <v>45927</v>
      </c>
    </row>
    <row r="693" spans="1:20" ht="51" hidden="1">
      <c r="A693" s="239" t="s">
        <v>2212</v>
      </c>
      <c r="B693" s="240">
        <v>1848</v>
      </c>
      <c r="C693" s="241">
        <v>207</v>
      </c>
      <c r="D693" s="239" t="s">
        <v>591</v>
      </c>
      <c r="E693" s="239" t="s">
        <v>369</v>
      </c>
      <c r="F693" s="239" t="s">
        <v>370</v>
      </c>
      <c r="G693" s="239" t="s">
        <v>117</v>
      </c>
      <c r="H693" s="239" t="s">
        <v>51</v>
      </c>
      <c r="I693" s="239" t="s">
        <v>379</v>
      </c>
      <c r="J693" s="233"/>
      <c r="K693" s="235">
        <v>45926</v>
      </c>
      <c r="L693" s="233">
        <v>1.6</v>
      </c>
      <c r="M693" s="234" t="s">
        <v>117</v>
      </c>
      <c r="N693" s="234">
        <v>36570</v>
      </c>
      <c r="O693" s="234">
        <v>15050</v>
      </c>
      <c r="P693" s="242">
        <v>10</v>
      </c>
      <c r="Q693" s="234">
        <v>21520</v>
      </c>
      <c r="R693" s="234">
        <v>19368</v>
      </c>
      <c r="S693" s="234" t="s">
        <v>2257</v>
      </c>
      <c r="T693" s="236">
        <v>45927</v>
      </c>
    </row>
    <row r="694" spans="1:20" ht="25.5" hidden="1">
      <c r="A694" s="239" t="s">
        <v>2213</v>
      </c>
      <c r="B694" s="240">
        <v>1849</v>
      </c>
      <c r="C694" s="241">
        <v>208</v>
      </c>
      <c r="D694" s="239" t="s">
        <v>591</v>
      </c>
      <c r="E694" s="239" t="s">
        <v>374</v>
      </c>
      <c r="F694" s="239" t="s">
        <v>375</v>
      </c>
      <c r="G694" s="239" t="s">
        <v>117</v>
      </c>
      <c r="H694" s="239" t="s">
        <v>51</v>
      </c>
      <c r="I694" s="239" t="s">
        <v>379</v>
      </c>
      <c r="J694" s="233"/>
      <c r="K694" s="235">
        <v>45926</v>
      </c>
      <c r="L694" s="233">
        <v>1.7</v>
      </c>
      <c r="M694" s="234" t="s">
        <v>117</v>
      </c>
      <c r="N694" s="234">
        <v>39150</v>
      </c>
      <c r="O694" s="234">
        <v>15720</v>
      </c>
      <c r="P694" s="242">
        <v>9</v>
      </c>
      <c r="Q694" s="234">
        <v>23430</v>
      </c>
      <c r="R694" s="234">
        <v>21321.3</v>
      </c>
      <c r="S694" s="234" t="s">
        <v>2258</v>
      </c>
      <c r="T694" s="236">
        <v>45927</v>
      </c>
    </row>
    <row r="695" spans="1:20" ht="38.25" hidden="1">
      <c r="A695" s="239" t="s">
        <v>2214</v>
      </c>
      <c r="B695" s="240">
        <v>1850</v>
      </c>
      <c r="C695" s="241">
        <v>209</v>
      </c>
      <c r="D695" s="239" t="s">
        <v>591</v>
      </c>
      <c r="E695" s="239" t="s">
        <v>866</v>
      </c>
      <c r="F695" s="239" t="s">
        <v>867</v>
      </c>
      <c r="G695" s="239" t="s">
        <v>117</v>
      </c>
      <c r="H695" s="239" t="s">
        <v>51</v>
      </c>
      <c r="I695" s="239" t="s">
        <v>379</v>
      </c>
      <c r="J695" s="233"/>
      <c r="K695" s="235">
        <v>45926</v>
      </c>
      <c r="L695" s="233">
        <v>1.6</v>
      </c>
      <c r="M695" s="234" t="s">
        <v>117</v>
      </c>
      <c r="N695" s="234">
        <v>36270</v>
      </c>
      <c r="O695" s="234">
        <v>14510</v>
      </c>
      <c r="P695" s="242">
        <v>8</v>
      </c>
      <c r="Q695" s="234">
        <v>21760</v>
      </c>
      <c r="R695" s="234">
        <v>20019.2</v>
      </c>
      <c r="S695" s="234" t="s">
        <v>2259</v>
      </c>
      <c r="T695" s="236">
        <v>45927</v>
      </c>
    </row>
    <row r="696" spans="1:20" ht="38.25" hidden="1">
      <c r="A696" s="239" t="s">
        <v>2215</v>
      </c>
      <c r="B696" s="240">
        <v>1852</v>
      </c>
      <c r="C696" s="241">
        <v>210</v>
      </c>
      <c r="D696" s="239" t="s">
        <v>591</v>
      </c>
      <c r="E696" s="239" t="s">
        <v>442</v>
      </c>
      <c r="F696" s="239" t="s">
        <v>443</v>
      </c>
      <c r="G696" s="239" t="s">
        <v>117</v>
      </c>
      <c r="H696" s="239" t="s">
        <v>51</v>
      </c>
      <c r="I696" s="239" t="s">
        <v>379</v>
      </c>
      <c r="J696" s="233"/>
      <c r="K696" s="235">
        <v>45927</v>
      </c>
      <c r="L696" s="233">
        <v>1.3</v>
      </c>
      <c r="M696" s="234" t="s">
        <v>117</v>
      </c>
      <c r="N696" s="234">
        <v>33980</v>
      </c>
      <c r="O696" s="234">
        <v>14560</v>
      </c>
      <c r="P696" s="242">
        <v>14</v>
      </c>
      <c r="Q696" s="234">
        <v>19420</v>
      </c>
      <c r="R696" s="234">
        <v>16701.2</v>
      </c>
      <c r="S696" s="234" t="s">
        <v>2260</v>
      </c>
      <c r="T696" s="236">
        <v>45927</v>
      </c>
    </row>
    <row r="697" spans="1:20" ht="25.5" hidden="1">
      <c r="A697" s="239" t="s">
        <v>2216</v>
      </c>
      <c r="B697" s="240">
        <v>1854</v>
      </c>
      <c r="C697" s="241">
        <v>211</v>
      </c>
      <c r="D697" s="239" t="s">
        <v>591</v>
      </c>
      <c r="E697" s="239" t="s">
        <v>780</v>
      </c>
      <c r="F697" s="239" t="s">
        <v>781</v>
      </c>
      <c r="G697" s="239" t="s">
        <v>117</v>
      </c>
      <c r="H697" s="239" t="s">
        <v>51</v>
      </c>
      <c r="I697" s="239" t="s">
        <v>379</v>
      </c>
      <c r="J697" s="233"/>
      <c r="K697" s="235">
        <v>45927</v>
      </c>
      <c r="L697" s="233">
        <v>1.4</v>
      </c>
      <c r="M697" s="234" t="s">
        <v>117</v>
      </c>
      <c r="N697" s="234">
        <v>34820</v>
      </c>
      <c r="O697" s="234">
        <v>14890</v>
      </c>
      <c r="P697" s="242">
        <v>18</v>
      </c>
      <c r="Q697" s="234">
        <v>19930</v>
      </c>
      <c r="R697" s="234">
        <v>16342.6</v>
      </c>
      <c r="S697" s="234" t="s">
        <v>2261</v>
      </c>
      <c r="T697" s="236">
        <v>45927</v>
      </c>
    </row>
    <row r="698" spans="1:20" ht="25.5" hidden="1">
      <c r="A698" s="239" t="s">
        <v>2217</v>
      </c>
      <c r="B698" s="240">
        <v>1856</v>
      </c>
      <c r="C698" s="241">
        <v>212</v>
      </c>
      <c r="D698" s="239" t="s">
        <v>591</v>
      </c>
      <c r="E698" s="239" t="s">
        <v>410</v>
      </c>
      <c r="F698" s="239" t="s">
        <v>411</v>
      </c>
      <c r="G698" s="239" t="s">
        <v>117</v>
      </c>
      <c r="H698" s="239" t="s">
        <v>51</v>
      </c>
      <c r="I698" s="239" t="s">
        <v>379</v>
      </c>
      <c r="J698" s="233"/>
      <c r="K698" s="235">
        <v>45927</v>
      </c>
      <c r="L698" s="233">
        <v>1.5</v>
      </c>
      <c r="M698" s="234" t="s">
        <v>117</v>
      </c>
      <c r="N698" s="234">
        <v>36510</v>
      </c>
      <c r="O698" s="234">
        <v>15250</v>
      </c>
      <c r="P698" s="242">
        <v>21</v>
      </c>
      <c r="Q698" s="234">
        <v>21260</v>
      </c>
      <c r="R698" s="234">
        <v>16795.400000000001</v>
      </c>
      <c r="S698" s="234" t="s">
        <v>2262</v>
      </c>
      <c r="T698" s="236">
        <v>45927</v>
      </c>
    </row>
    <row r="699" spans="1:20" ht="38.25" hidden="1">
      <c r="A699" s="239" t="s">
        <v>2218</v>
      </c>
      <c r="B699" s="240">
        <v>1857</v>
      </c>
      <c r="C699" s="241">
        <v>213</v>
      </c>
      <c r="D699" s="239" t="s">
        <v>591</v>
      </c>
      <c r="E699" s="239" t="s">
        <v>372</v>
      </c>
      <c r="F699" s="239" t="s">
        <v>373</v>
      </c>
      <c r="G699" s="239" t="s">
        <v>117</v>
      </c>
      <c r="H699" s="239" t="s">
        <v>51</v>
      </c>
      <c r="I699" s="239" t="s">
        <v>379</v>
      </c>
      <c r="J699" s="233"/>
      <c r="K699" s="235">
        <v>45927</v>
      </c>
      <c r="L699" s="233">
        <v>1.5</v>
      </c>
      <c r="M699" s="234" t="s">
        <v>117</v>
      </c>
      <c r="N699" s="234">
        <v>36110</v>
      </c>
      <c r="O699" s="234">
        <v>15090</v>
      </c>
      <c r="P699" s="242">
        <v>23</v>
      </c>
      <c r="Q699" s="234">
        <v>21020</v>
      </c>
      <c r="R699" s="234">
        <v>16185.4</v>
      </c>
      <c r="S699" s="234" t="s">
        <v>2263</v>
      </c>
      <c r="T699" s="236">
        <v>45927</v>
      </c>
    </row>
    <row r="700" spans="1:20" ht="38.25" hidden="1">
      <c r="A700" s="239" t="s">
        <v>2219</v>
      </c>
      <c r="B700" s="240">
        <v>1858</v>
      </c>
      <c r="C700" s="241">
        <v>214</v>
      </c>
      <c r="D700" s="239" t="s">
        <v>591</v>
      </c>
      <c r="E700" s="239" t="s">
        <v>442</v>
      </c>
      <c r="F700" s="239" t="s">
        <v>443</v>
      </c>
      <c r="G700" s="239" t="s">
        <v>117</v>
      </c>
      <c r="H700" s="239" t="s">
        <v>51</v>
      </c>
      <c r="I700" s="239" t="s">
        <v>379</v>
      </c>
      <c r="J700" s="233"/>
      <c r="K700" s="235">
        <v>45927</v>
      </c>
      <c r="L700" s="233">
        <v>1.4</v>
      </c>
      <c r="M700" s="234" t="s">
        <v>117</v>
      </c>
      <c r="N700" s="234">
        <v>34360</v>
      </c>
      <c r="O700" s="234">
        <v>14550</v>
      </c>
      <c r="P700" s="242">
        <v>23</v>
      </c>
      <c r="Q700" s="234">
        <v>19810</v>
      </c>
      <c r="R700" s="234">
        <v>15253.7</v>
      </c>
      <c r="S700" s="234" t="s">
        <v>2264</v>
      </c>
      <c r="T700" s="236">
        <v>45927</v>
      </c>
    </row>
    <row r="701" spans="1:20" ht="25.5" hidden="1">
      <c r="A701" s="239" t="s">
        <v>2220</v>
      </c>
      <c r="B701" s="240">
        <v>1861</v>
      </c>
      <c r="C701" s="241">
        <v>215</v>
      </c>
      <c r="D701" s="239" t="s">
        <v>591</v>
      </c>
      <c r="E701" s="239" t="s">
        <v>780</v>
      </c>
      <c r="F701" s="239" t="s">
        <v>781</v>
      </c>
      <c r="G701" s="239" t="s">
        <v>117</v>
      </c>
      <c r="H701" s="239" t="s">
        <v>51</v>
      </c>
      <c r="I701" s="239" t="s">
        <v>379</v>
      </c>
      <c r="J701" s="233"/>
      <c r="K701" s="235">
        <v>45927</v>
      </c>
      <c r="L701" s="233">
        <v>1.4</v>
      </c>
      <c r="M701" s="234" t="s">
        <v>117</v>
      </c>
      <c r="N701" s="234">
        <v>34830</v>
      </c>
      <c r="O701" s="234">
        <v>14880</v>
      </c>
      <c r="P701" s="242">
        <v>16</v>
      </c>
      <c r="Q701" s="234">
        <v>19950</v>
      </c>
      <c r="R701" s="234">
        <v>16758</v>
      </c>
      <c r="S701" s="234" t="s">
        <v>2265</v>
      </c>
      <c r="T701" s="236">
        <v>45927</v>
      </c>
    </row>
    <row r="702" spans="1:20" ht="25.5" hidden="1">
      <c r="A702" s="239" t="s">
        <v>2221</v>
      </c>
      <c r="B702" s="240">
        <v>1862</v>
      </c>
      <c r="C702" s="241">
        <v>216</v>
      </c>
      <c r="D702" s="239" t="s">
        <v>591</v>
      </c>
      <c r="E702" s="239" t="s">
        <v>410</v>
      </c>
      <c r="F702" s="239" t="s">
        <v>411</v>
      </c>
      <c r="G702" s="239" t="s">
        <v>117</v>
      </c>
      <c r="H702" s="239" t="s">
        <v>51</v>
      </c>
      <c r="I702" s="239" t="s">
        <v>379</v>
      </c>
      <c r="J702" s="233"/>
      <c r="K702" s="235">
        <v>45927</v>
      </c>
      <c r="L702" s="233">
        <v>1.5</v>
      </c>
      <c r="M702" s="234" t="s">
        <v>117</v>
      </c>
      <c r="N702" s="234">
        <v>37530</v>
      </c>
      <c r="O702" s="234">
        <v>15230</v>
      </c>
      <c r="P702" s="242">
        <v>14</v>
      </c>
      <c r="Q702" s="234">
        <v>22300</v>
      </c>
      <c r="R702" s="234">
        <v>19178</v>
      </c>
      <c r="S702" s="234" t="s">
        <v>2266</v>
      </c>
      <c r="T702" s="236">
        <v>45927</v>
      </c>
    </row>
    <row r="703" spans="1:20" ht="38.25" hidden="1">
      <c r="A703" s="239" t="s">
        <v>2222</v>
      </c>
      <c r="B703" s="240">
        <v>1863</v>
      </c>
      <c r="C703" s="241">
        <v>217</v>
      </c>
      <c r="D703" s="239" t="s">
        <v>591</v>
      </c>
      <c r="E703" s="239" t="s">
        <v>372</v>
      </c>
      <c r="F703" s="239" t="s">
        <v>373</v>
      </c>
      <c r="G703" s="239" t="s">
        <v>117</v>
      </c>
      <c r="H703" s="239" t="s">
        <v>51</v>
      </c>
      <c r="I703" s="239" t="s">
        <v>379</v>
      </c>
      <c r="J703" s="233"/>
      <c r="K703" s="235">
        <v>45927</v>
      </c>
      <c r="L703" s="233">
        <v>1.4</v>
      </c>
      <c r="M703" s="234" t="s">
        <v>117</v>
      </c>
      <c r="N703" s="234">
        <v>34840</v>
      </c>
      <c r="O703" s="234">
        <v>15070</v>
      </c>
      <c r="P703" s="242">
        <v>22</v>
      </c>
      <c r="Q703" s="234">
        <v>19770</v>
      </c>
      <c r="R703" s="234">
        <v>15420.6</v>
      </c>
      <c r="S703" s="234" t="s">
        <v>2267</v>
      </c>
      <c r="T703" s="236">
        <v>45927</v>
      </c>
    </row>
    <row r="704" spans="1:20" ht="38.25" hidden="1">
      <c r="A704" s="239" t="s">
        <v>2223</v>
      </c>
      <c r="B704" s="240">
        <v>1864</v>
      </c>
      <c r="C704" s="241">
        <v>218</v>
      </c>
      <c r="D704" s="239" t="s">
        <v>591</v>
      </c>
      <c r="E704" s="239" t="s">
        <v>442</v>
      </c>
      <c r="F704" s="239" t="s">
        <v>443</v>
      </c>
      <c r="G704" s="239" t="s">
        <v>117</v>
      </c>
      <c r="H704" s="239" t="s">
        <v>51</v>
      </c>
      <c r="I704" s="239" t="s">
        <v>379</v>
      </c>
      <c r="J704" s="233"/>
      <c r="K704" s="235">
        <v>45927</v>
      </c>
      <c r="L704" s="233">
        <v>1.4</v>
      </c>
      <c r="M704" s="234" t="s">
        <v>117</v>
      </c>
      <c r="N704" s="234">
        <v>34370</v>
      </c>
      <c r="O704" s="234">
        <v>14550</v>
      </c>
      <c r="P704" s="242">
        <v>19</v>
      </c>
      <c r="Q704" s="234">
        <v>19820</v>
      </c>
      <c r="R704" s="234">
        <v>16054.2</v>
      </c>
      <c r="S704" s="234" t="s">
        <v>2268</v>
      </c>
      <c r="T704" s="236">
        <v>45927</v>
      </c>
    </row>
    <row r="705" spans="1:20" ht="25.5" hidden="1">
      <c r="A705" s="239" t="s">
        <v>2224</v>
      </c>
      <c r="B705" s="240">
        <v>1865</v>
      </c>
      <c r="C705" s="241">
        <v>219</v>
      </c>
      <c r="D705" s="239" t="s">
        <v>591</v>
      </c>
      <c r="E705" s="239" t="s">
        <v>780</v>
      </c>
      <c r="F705" s="239" t="s">
        <v>781</v>
      </c>
      <c r="G705" s="239" t="s">
        <v>117</v>
      </c>
      <c r="H705" s="239" t="s">
        <v>51</v>
      </c>
      <c r="I705" s="239" t="s">
        <v>379</v>
      </c>
      <c r="J705" s="233"/>
      <c r="K705" s="235">
        <v>45927</v>
      </c>
      <c r="L705" s="233">
        <v>1.4</v>
      </c>
      <c r="M705" s="234" t="s">
        <v>117</v>
      </c>
      <c r="N705" s="234">
        <v>35060</v>
      </c>
      <c r="O705" s="234">
        <v>14880</v>
      </c>
      <c r="P705" s="242">
        <v>18</v>
      </c>
      <c r="Q705" s="234">
        <v>20180</v>
      </c>
      <c r="R705" s="234">
        <v>16547.599999999999</v>
      </c>
      <c r="S705" s="234" t="s">
        <v>2269</v>
      </c>
      <c r="T705" s="236">
        <v>45927</v>
      </c>
    </row>
    <row r="706" spans="1:20" ht="25.5" hidden="1">
      <c r="A706" s="239" t="s">
        <v>2225</v>
      </c>
      <c r="B706" s="240">
        <v>1867</v>
      </c>
      <c r="C706" s="241">
        <v>220</v>
      </c>
      <c r="D706" s="239" t="s">
        <v>591</v>
      </c>
      <c r="E706" s="239" t="s">
        <v>410</v>
      </c>
      <c r="F706" s="239" t="s">
        <v>411</v>
      </c>
      <c r="G706" s="239" t="s">
        <v>117</v>
      </c>
      <c r="H706" s="239" t="s">
        <v>51</v>
      </c>
      <c r="I706" s="239" t="s">
        <v>379</v>
      </c>
      <c r="J706" s="233"/>
      <c r="K706" s="235">
        <v>45927</v>
      </c>
      <c r="L706" s="233">
        <v>1.6</v>
      </c>
      <c r="M706" s="234" t="s">
        <v>117</v>
      </c>
      <c r="N706" s="234">
        <v>37830</v>
      </c>
      <c r="O706" s="234">
        <v>15230</v>
      </c>
      <c r="P706" s="242">
        <v>20</v>
      </c>
      <c r="Q706" s="234">
        <v>22600</v>
      </c>
      <c r="R706" s="234">
        <v>18080</v>
      </c>
      <c r="S706" s="234" t="s">
        <v>2270</v>
      </c>
      <c r="T706" s="236">
        <v>45927</v>
      </c>
    </row>
    <row r="707" spans="1:20" ht="38.25" hidden="1">
      <c r="A707" s="239" t="s">
        <v>2226</v>
      </c>
      <c r="B707" s="240">
        <v>1868</v>
      </c>
      <c r="C707" s="241">
        <v>221</v>
      </c>
      <c r="D707" s="239" t="s">
        <v>591</v>
      </c>
      <c r="E707" s="239" t="s">
        <v>372</v>
      </c>
      <c r="F707" s="239" t="s">
        <v>373</v>
      </c>
      <c r="G707" s="239" t="s">
        <v>117</v>
      </c>
      <c r="H707" s="239" t="s">
        <v>51</v>
      </c>
      <c r="I707" s="239" t="s">
        <v>379</v>
      </c>
      <c r="J707" s="233"/>
      <c r="K707" s="235">
        <v>45927</v>
      </c>
      <c r="L707" s="233">
        <v>1.5</v>
      </c>
      <c r="M707" s="234" t="s">
        <v>117</v>
      </c>
      <c r="N707" s="234">
        <v>36440</v>
      </c>
      <c r="O707" s="234">
        <v>15070</v>
      </c>
      <c r="P707" s="242">
        <v>16</v>
      </c>
      <c r="Q707" s="234">
        <v>21370</v>
      </c>
      <c r="R707" s="234">
        <v>17950.8</v>
      </c>
      <c r="S707" s="234" t="s">
        <v>2271</v>
      </c>
      <c r="T707" s="236">
        <v>45927</v>
      </c>
    </row>
    <row r="708" spans="1:20" ht="38.25" hidden="1">
      <c r="A708" s="239" t="s">
        <v>2227</v>
      </c>
      <c r="B708" s="240">
        <v>1869</v>
      </c>
      <c r="C708" s="241">
        <v>222</v>
      </c>
      <c r="D708" s="239" t="s">
        <v>591</v>
      </c>
      <c r="E708" s="239" t="s">
        <v>442</v>
      </c>
      <c r="F708" s="239" t="s">
        <v>443</v>
      </c>
      <c r="G708" s="239" t="s">
        <v>117</v>
      </c>
      <c r="H708" s="239" t="s">
        <v>51</v>
      </c>
      <c r="I708" s="239" t="s">
        <v>379</v>
      </c>
      <c r="J708" s="233"/>
      <c r="K708" s="235">
        <v>45927</v>
      </c>
      <c r="L708" s="233">
        <v>1.4</v>
      </c>
      <c r="M708" s="234" t="s">
        <v>117</v>
      </c>
      <c r="N708" s="234">
        <v>34030</v>
      </c>
      <c r="O708" s="234">
        <v>14520</v>
      </c>
      <c r="P708" s="242">
        <v>20</v>
      </c>
      <c r="Q708" s="234">
        <v>19510</v>
      </c>
      <c r="R708" s="234">
        <v>15608</v>
      </c>
      <c r="S708" s="234" t="s">
        <v>2272</v>
      </c>
      <c r="T708" s="236">
        <v>45927</v>
      </c>
    </row>
    <row r="709" spans="1:20" ht="25.5" hidden="1">
      <c r="A709" s="239" t="s">
        <v>2228</v>
      </c>
      <c r="B709" s="240">
        <v>1870</v>
      </c>
      <c r="C709" s="241">
        <v>223</v>
      </c>
      <c r="D709" s="239" t="s">
        <v>591</v>
      </c>
      <c r="E709" s="239" t="s">
        <v>780</v>
      </c>
      <c r="F709" s="239" t="s">
        <v>781</v>
      </c>
      <c r="G709" s="239" t="s">
        <v>117</v>
      </c>
      <c r="H709" s="239" t="s">
        <v>51</v>
      </c>
      <c r="I709" s="239" t="s">
        <v>379</v>
      </c>
      <c r="J709" s="233"/>
      <c r="K709" s="235">
        <v>45927</v>
      </c>
      <c r="L709" s="233">
        <v>1.4</v>
      </c>
      <c r="M709" s="234" t="s">
        <v>117</v>
      </c>
      <c r="N709" s="234">
        <v>34410</v>
      </c>
      <c r="O709" s="234">
        <v>14860</v>
      </c>
      <c r="P709" s="242">
        <v>16</v>
      </c>
      <c r="Q709" s="234">
        <v>19550</v>
      </c>
      <c r="R709" s="234">
        <v>16422</v>
      </c>
      <c r="S709" s="234" t="s">
        <v>2273</v>
      </c>
      <c r="T709" s="236">
        <v>45927</v>
      </c>
    </row>
    <row r="710" spans="1:20" ht="25.5" hidden="1">
      <c r="A710" s="239" t="s">
        <v>2229</v>
      </c>
      <c r="B710" s="240">
        <v>1871</v>
      </c>
      <c r="C710" s="241">
        <v>224</v>
      </c>
      <c r="D710" s="239" t="s">
        <v>591</v>
      </c>
      <c r="E710" s="239" t="s">
        <v>410</v>
      </c>
      <c r="F710" s="239" t="s">
        <v>411</v>
      </c>
      <c r="G710" s="239" t="s">
        <v>117</v>
      </c>
      <c r="H710" s="239" t="s">
        <v>51</v>
      </c>
      <c r="I710" s="239" t="s">
        <v>379</v>
      </c>
      <c r="J710" s="233"/>
      <c r="K710" s="235">
        <v>45927</v>
      </c>
      <c r="L710" s="233">
        <v>1.3</v>
      </c>
      <c r="M710" s="234" t="s">
        <v>117</v>
      </c>
      <c r="N710" s="234">
        <v>33930</v>
      </c>
      <c r="O710" s="234">
        <v>15210</v>
      </c>
      <c r="P710" s="242">
        <v>16</v>
      </c>
      <c r="Q710" s="234">
        <v>18720</v>
      </c>
      <c r="R710" s="234">
        <v>15724.8</v>
      </c>
      <c r="S710" s="234" t="s">
        <v>2274</v>
      </c>
      <c r="T710" s="236">
        <v>45927</v>
      </c>
    </row>
    <row r="711" spans="1:20" ht="38.25" hidden="1">
      <c r="A711" s="239" t="s">
        <v>2231</v>
      </c>
      <c r="B711" s="240">
        <v>1875</v>
      </c>
      <c r="C711" s="241">
        <v>226</v>
      </c>
      <c r="D711" s="239" t="s">
        <v>591</v>
      </c>
      <c r="E711" s="239" t="s">
        <v>442</v>
      </c>
      <c r="F711" s="239" t="s">
        <v>443</v>
      </c>
      <c r="G711" s="239" t="s">
        <v>117</v>
      </c>
      <c r="H711" s="239" t="s">
        <v>51</v>
      </c>
      <c r="I711" s="239" t="s">
        <v>379</v>
      </c>
      <c r="J711" s="233"/>
      <c r="K711" s="235">
        <v>45927</v>
      </c>
      <c r="L711" s="233">
        <v>1.3</v>
      </c>
      <c r="M711" s="234" t="s">
        <v>117</v>
      </c>
      <c r="N711" s="234">
        <v>33100</v>
      </c>
      <c r="O711" s="234">
        <v>14530</v>
      </c>
      <c r="P711" s="242">
        <v>6</v>
      </c>
      <c r="Q711" s="234">
        <v>18570</v>
      </c>
      <c r="R711" s="234">
        <v>17455.8</v>
      </c>
      <c r="S711" s="234" t="s">
        <v>2276</v>
      </c>
      <c r="T711" s="236">
        <v>45927</v>
      </c>
    </row>
    <row r="712" spans="1:20" ht="25.5" hidden="1">
      <c r="A712" s="239" t="s">
        <v>2232</v>
      </c>
      <c r="B712" s="240">
        <v>1876</v>
      </c>
      <c r="C712" s="241">
        <v>227</v>
      </c>
      <c r="D712" s="239" t="s">
        <v>591</v>
      </c>
      <c r="E712" s="239" t="s">
        <v>780</v>
      </c>
      <c r="F712" s="239" t="s">
        <v>781</v>
      </c>
      <c r="G712" s="239" t="s">
        <v>117</v>
      </c>
      <c r="H712" s="239" t="s">
        <v>51</v>
      </c>
      <c r="I712" s="239" t="s">
        <v>379</v>
      </c>
      <c r="J712" s="233"/>
      <c r="K712" s="235">
        <v>45927</v>
      </c>
      <c r="L712" s="233">
        <v>1.4</v>
      </c>
      <c r="M712" s="234" t="s">
        <v>117</v>
      </c>
      <c r="N712" s="234">
        <v>34630</v>
      </c>
      <c r="O712" s="234">
        <v>14860</v>
      </c>
      <c r="P712" s="242">
        <v>8</v>
      </c>
      <c r="Q712" s="234">
        <v>19770</v>
      </c>
      <c r="R712" s="234">
        <v>18188.400000000001</v>
      </c>
      <c r="S712" s="234" t="s">
        <v>2277</v>
      </c>
      <c r="T712" s="236">
        <v>45927</v>
      </c>
    </row>
    <row r="713" spans="1:20" ht="25.5" hidden="1">
      <c r="A713" s="239" t="s">
        <v>2233</v>
      </c>
      <c r="B713" s="240">
        <v>1877</v>
      </c>
      <c r="C713" s="241">
        <v>228</v>
      </c>
      <c r="D713" s="239" t="s">
        <v>591</v>
      </c>
      <c r="E713" s="239" t="s">
        <v>410</v>
      </c>
      <c r="F713" s="239" t="s">
        <v>411</v>
      </c>
      <c r="G713" s="239" t="s">
        <v>117</v>
      </c>
      <c r="H713" s="239" t="s">
        <v>51</v>
      </c>
      <c r="I713" s="239" t="s">
        <v>379</v>
      </c>
      <c r="J713" s="233"/>
      <c r="K713" s="235">
        <v>45927</v>
      </c>
      <c r="L713" s="233">
        <v>1.4</v>
      </c>
      <c r="M713" s="234" t="s">
        <v>117</v>
      </c>
      <c r="N713" s="234">
        <v>35390</v>
      </c>
      <c r="O713" s="234">
        <v>15230</v>
      </c>
      <c r="P713" s="242">
        <v>10</v>
      </c>
      <c r="Q713" s="234">
        <v>20160</v>
      </c>
      <c r="R713" s="234">
        <v>18144</v>
      </c>
      <c r="S713" s="234" t="s">
        <v>2278</v>
      </c>
      <c r="T713" s="236">
        <v>45927</v>
      </c>
    </row>
    <row r="714" spans="1:20" ht="38.25" hidden="1">
      <c r="A714" s="239" t="s">
        <v>2234</v>
      </c>
      <c r="B714" s="240">
        <v>1878</v>
      </c>
      <c r="C714" s="241">
        <v>229</v>
      </c>
      <c r="D714" s="239" t="s">
        <v>591</v>
      </c>
      <c r="E714" s="239" t="s">
        <v>372</v>
      </c>
      <c r="F714" s="239" t="s">
        <v>373</v>
      </c>
      <c r="G714" s="239" t="s">
        <v>117</v>
      </c>
      <c r="H714" s="239" t="s">
        <v>51</v>
      </c>
      <c r="I714" s="239" t="s">
        <v>379</v>
      </c>
      <c r="J714" s="233"/>
      <c r="K714" s="235">
        <v>45927</v>
      </c>
      <c r="L714" s="233">
        <v>1.5</v>
      </c>
      <c r="M714" s="234" t="s">
        <v>117</v>
      </c>
      <c r="N714" s="234">
        <v>36180</v>
      </c>
      <c r="O714" s="234">
        <v>15050</v>
      </c>
      <c r="P714" s="242">
        <v>6</v>
      </c>
      <c r="Q714" s="234">
        <v>21130</v>
      </c>
      <c r="R714" s="234">
        <v>19862.2</v>
      </c>
      <c r="S714" s="234" t="s">
        <v>2279</v>
      </c>
      <c r="T714" s="236">
        <v>45927</v>
      </c>
    </row>
    <row r="715" spans="1:20" ht="38.25" hidden="1">
      <c r="A715" s="239" t="s">
        <v>2235</v>
      </c>
      <c r="B715" s="240">
        <v>1879</v>
      </c>
      <c r="C715" s="241">
        <v>230</v>
      </c>
      <c r="D715" s="239" t="s">
        <v>591</v>
      </c>
      <c r="E715" s="239" t="s">
        <v>442</v>
      </c>
      <c r="F715" s="239" t="s">
        <v>443</v>
      </c>
      <c r="G715" s="239" t="s">
        <v>117</v>
      </c>
      <c r="H715" s="239" t="s">
        <v>51</v>
      </c>
      <c r="I715" s="239" t="s">
        <v>379</v>
      </c>
      <c r="J715" s="233"/>
      <c r="K715" s="235">
        <v>45927</v>
      </c>
      <c r="L715" s="233">
        <v>1.3</v>
      </c>
      <c r="M715" s="234" t="s">
        <v>117</v>
      </c>
      <c r="N715" s="234">
        <v>33520</v>
      </c>
      <c r="O715" s="234">
        <v>14510</v>
      </c>
      <c r="P715" s="242">
        <v>22</v>
      </c>
      <c r="Q715" s="234">
        <v>19010</v>
      </c>
      <c r="R715" s="234">
        <v>14827.8</v>
      </c>
      <c r="S715" s="234" t="s">
        <v>2280</v>
      </c>
      <c r="T715" s="236">
        <v>45928</v>
      </c>
    </row>
    <row r="716" spans="1:20" ht="25.5" hidden="1">
      <c r="A716" s="239" t="s">
        <v>2236</v>
      </c>
      <c r="B716" s="240">
        <v>1881</v>
      </c>
      <c r="C716" s="241">
        <v>231</v>
      </c>
      <c r="D716" s="239" t="s">
        <v>591</v>
      </c>
      <c r="E716" s="239" t="s">
        <v>780</v>
      </c>
      <c r="F716" s="239" t="s">
        <v>781</v>
      </c>
      <c r="G716" s="239" t="s">
        <v>117</v>
      </c>
      <c r="H716" s="239" t="s">
        <v>51</v>
      </c>
      <c r="I716" s="239" t="s">
        <v>379</v>
      </c>
      <c r="J716" s="233"/>
      <c r="K716" s="235">
        <v>45927</v>
      </c>
      <c r="L716" s="233">
        <v>1.4</v>
      </c>
      <c r="M716" s="234" t="s">
        <v>117</v>
      </c>
      <c r="N716" s="234">
        <v>34290</v>
      </c>
      <c r="O716" s="234">
        <v>14850</v>
      </c>
      <c r="P716" s="242">
        <v>14</v>
      </c>
      <c r="Q716" s="234">
        <v>19440</v>
      </c>
      <c r="R716" s="234">
        <v>16718.400000000001</v>
      </c>
      <c r="S716" s="234" t="s">
        <v>2281</v>
      </c>
      <c r="T716" s="236">
        <v>45928</v>
      </c>
    </row>
    <row r="717" spans="1:20" ht="30" hidden="1" customHeight="1">
      <c r="A717" s="239" t="s">
        <v>2230</v>
      </c>
      <c r="B717" s="240">
        <v>1874</v>
      </c>
      <c r="C717" s="241">
        <v>225</v>
      </c>
      <c r="D717" s="239" t="s">
        <v>591</v>
      </c>
      <c r="E717" s="239" t="s">
        <v>372</v>
      </c>
      <c r="F717" s="239" t="s">
        <v>373</v>
      </c>
      <c r="G717" s="239" t="s">
        <v>117</v>
      </c>
      <c r="H717" s="239" t="s">
        <v>51</v>
      </c>
      <c r="I717" s="239" t="s">
        <v>379</v>
      </c>
      <c r="J717" s="233"/>
      <c r="K717" s="235">
        <v>45927</v>
      </c>
      <c r="L717" s="233">
        <v>1.4</v>
      </c>
      <c r="M717" s="234" t="s">
        <v>117</v>
      </c>
      <c r="N717" s="234">
        <v>37910</v>
      </c>
      <c r="O717" s="234">
        <v>15050</v>
      </c>
      <c r="P717" s="242">
        <v>21</v>
      </c>
      <c r="Q717" s="234">
        <v>22860</v>
      </c>
      <c r="R717" s="234">
        <v>18059.400000000001</v>
      </c>
      <c r="S717" s="234" t="s">
        <v>2275</v>
      </c>
      <c r="T717" s="236">
        <v>45927</v>
      </c>
    </row>
    <row r="718" spans="1:20" ht="30" hidden="1" customHeight="1">
      <c r="A718" s="239" t="s">
        <v>2303</v>
      </c>
      <c r="B718" s="240">
        <v>1917</v>
      </c>
      <c r="C718" s="241">
        <v>253</v>
      </c>
      <c r="D718" s="239" t="s">
        <v>591</v>
      </c>
      <c r="E718" s="239" t="s">
        <v>369</v>
      </c>
      <c r="F718" s="239" t="s">
        <v>370</v>
      </c>
      <c r="G718" s="239" t="s">
        <v>968</v>
      </c>
      <c r="H718" s="239" t="s">
        <v>394</v>
      </c>
      <c r="I718" s="239" t="s">
        <v>371</v>
      </c>
      <c r="J718" s="233"/>
      <c r="K718" s="235">
        <v>45929</v>
      </c>
      <c r="L718" s="233">
        <v>1.5</v>
      </c>
      <c r="M718" s="234" t="s">
        <v>968</v>
      </c>
      <c r="N718" s="234">
        <v>34200</v>
      </c>
      <c r="O718" s="234">
        <v>15090</v>
      </c>
      <c r="P718" s="242">
        <v>16</v>
      </c>
      <c r="Q718" s="234">
        <v>19110</v>
      </c>
      <c r="R718" s="234">
        <v>16052.4</v>
      </c>
      <c r="S718" s="234" t="s">
        <v>2337</v>
      </c>
      <c r="T718" s="236">
        <v>45929</v>
      </c>
    </row>
    <row r="719" spans="1:20" ht="30" hidden="1" customHeight="1">
      <c r="A719" s="239" t="s">
        <v>2304</v>
      </c>
      <c r="B719" s="240">
        <v>1921</v>
      </c>
      <c r="C719" s="241">
        <v>54990</v>
      </c>
      <c r="D719" s="239" t="s">
        <v>2152</v>
      </c>
      <c r="E719" s="239" t="s">
        <v>866</v>
      </c>
      <c r="F719" s="239" t="s">
        <v>867</v>
      </c>
      <c r="G719" s="239" t="s">
        <v>946</v>
      </c>
      <c r="H719" s="239" t="s">
        <v>51</v>
      </c>
      <c r="I719" s="239" t="s">
        <v>2153</v>
      </c>
      <c r="J719" s="233"/>
      <c r="K719" s="235">
        <v>45929</v>
      </c>
      <c r="L719" s="233">
        <v>1.4</v>
      </c>
      <c r="M719" s="234" t="s">
        <v>946</v>
      </c>
      <c r="N719" s="234">
        <v>38510</v>
      </c>
      <c r="O719" s="234">
        <v>14580</v>
      </c>
      <c r="P719" s="242">
        <v>5</v>
      </c>
      <c r="Q719" s="234">
        <v>23930</v>
      </c>
      <c r="R719" s="234">
        <v>22733.5</v>
      </c>
      <c r="S719" s="234" t="s">
        <v>2338</v>
      </c>
      <c r="T719" s="236">
        <v>45929</v>
      </c>
    </row>
    <row r="720" spans="1:20" ht="30" hidden="1" customHeight="1">
      <c r="A720" s="239" t="s">
        <v>2305</v>
      </c>
      <c r="B720" s="240">
        <v>1922</v>
      </c>
      <c r="C720" s="241">
        <v>54991</v>
      </c>
      <c r="D720" s="239" t="s">
        <v>2152</v>
      </c>
      <c r="E720" s="239" t="s">
        <v>372</v>
      </c>
      <c r="F720" s="239" t="s">
        <v>373</v>
      </c>
      <c r="G720" s="239" t="s">
        <v>946</v>
      </c>
      <c r="H720" s="239" t="s">
        <v>51</v>
      </c>
      <c r="I720" s="239" t="s">
        <v>2153</v>
      </c>
      <c r="J720" s="233"/>
      <c r="K720" s="235">
        <v>45929</v>
      </c>
      <c r="L720" s="233">
        <v>1.3</v>
      </c>
      <c r="M720" s="234" t="s">
        <v>946</v>
      </c>
      <c r="N720" s="234">
        <v>38390</v>
      </c>
      <c r="O720" s="234">
        <v>14970</v>
      </c>
      <c r="P720" s="242">
        <v>6</v>
      </c>
      <c r="Q720" s="234">
        <v>23420</v>
      </c>
      <c r="R720" s="234">
        <v>22014.799999999999</v>
      </c>
      <c r="S720" s="234" t="s">
        <v>2339</v>
      </c>
      <c r="T720" s="236">
        <v>45929</v>
      </c>
    </row>
    <row r="721" spans="1:20" ht="30" hidden="1" customHeight="1">
      <c r="A721" s="239" t="s">
        <v>2306</v>
      </c>
      <c r="B721" s="240">
        <v>1923</v>
      </c>
      <c r="C721" s="241">
        <v>54992</v>
      </c>
      <c r="D721" s="239" t="s">
        <v>2152</v>
      </c>
      <c r="E721" s="239" t="s">
        <v>374</v>
      </c>
      <c r="F721" s="239" t="s">
        <v>375</v>
      </c>
      <c r="G721" s="239" t="s">
        <v>946</v>
      </c>
      <c r="H721" s="239" t="s">
        <v>51</v>
      </c>
      <c r="I721" s="239" t="s">
        <v>2153</v>
      </c>
      <c r="J721" s="233"/>
      <c r="K721" s="235">
        <v>45929</v>
      </c>
      <c r="L721" s="233">
        <v>1.4</v>
      </c>
      <c r="M721" s="234" t="s">
        <v>946</v>
      </c>
      <c r="N721" s="234">
        <v>40940</v>
      </c>
      <c r="O721" s="234">
        <v>15730</v>
      </c>
      <c r="P721" s="242">
        <v>6</v>
      </c>
      <c r="Q721" s="234">
        <v>25210</v>
      </c>
      <c r="R721" s="234">
        <v>23697.4</v>
      </c>
      <c r="S721" s="234" t="s">
        <v>2340</v>
      </c>
      <c r="T721" s="236">
        <v>45929</v>
      </c>
    </row>
    <row r="722" spans="1:20" ht="30" hidden="1" customHeight="1">
      <c r="A722" s="239" t="s">
        <v>2282</v>
      </c>
      <c r="B722" s="240">
        <v>1882</v>
      </c>
      <c r="C722" s="241">
        <v>232</v>
      </c>
      <c r="D722" s="239" t="s">
        <v>591</v>
      </c>
      <c r="E722" s="239" t="s">
        <v>410</v>
      </c>
      <c r="F722" s="239" t="s">
        <v>411</v>
      </c>
      <c r="G722" s="239" t="s">
        <v>969</v>
      </c>
      <c r="H722" s="239" t="s">
        <v>41</v>
      </c>
      <c r="I722" s="239" t="s">
        <v>379</v>
      </c>
      <c r="J722" s="233"/>
      <c r="K722" s="235">
        <v>45927</v>
      </c>
      <c r="L722" s="233">
        <v>2.5</v>
      </c>
      <c r="M722" s="234" t="s">
        <v>969</v>
      </c>
      <c r="N722" s="234">
        <v>36800</v>
      </c>
      <c r="O722" s="234">
        <v>15180</v>
      </c>
      <c r="P722" s="242">
        <v>24</v>
      </c>
      <c r="Q722" s="234">
        <v>21620</v>
      </c>
      <c r="R722" s="234">
        <v>16431.2</v>
      </c>
      <c r="S722" s="234" t="s">
        <v>2316</v>
      </c>
      <c r="T722" s="236">
        <v>45928</v>
      </c>
    </row>
    <row r="723" spans="1:20" ht="30" hidden="1" customHeight="1">
      <c r="A723" s="239" t="s">
        <v>2283</v>
      </c>
      <c r="B723" s="240">
        <v>1883</v>
      </c>
      <c r="C723" s="241">
        <v>233</v>
      </c>
      <c r="D723" s="239" t="s">
        <v>591</v>
      </c>
      <c r="E723" s="239" t="s">
        <v>372</v>
      </c>
      <c r="F723" s="239" t="s">
        <v>373</v>
      </c>
      <c r="G723" s="239" t="s">
        <v>969</v>
      </c>
      <c r="H723" s="239" t="s">
        <v>41</v>
      </c>
      <c r="I723" s="239" t="s">
        <v>379</v>
      </c>
      <c r="J723" s="233"/>
      <c r="K723" s="235">
        <v>45927</v>
      </c>
      <c r="L723" s="233">
        <v>2.5</v>
      </c>
      <c r="M723" s="234" t="s">
        <v>969</v>
      </c>
      <c r="N723" s="234">
        <v>36630</v>
      </c>
      <c r="O723" s="234">
        <v>15020</v>
      </c>
      <c r="P723" s="242">
        <v>15</v>
      </c>
      <c r="Q723" s="234">
        <v>21610</v>
      </c>
      <c r="R723" s="234">
        <v>18368.5</v>
      </c>
      <c r="S723" s="234" t="s">
        <v>2317</v>
      </c>
      <c r="T723" s="236">
        <v>45928</v>
      </c>
    </row>
    <row r="724" spans="1:20" ht="30" hidden="1" customHeight="1">
      <c r="A724" s="239" t="s">
        <v>2307</v>
      </c>
      <c r="B724" s="240">
        <v>1924</v>
      </c>
      <c r="C724" s="241">
        <v>54992</v>
      </c>
      <c r="D724" s="239" t="s">
        <v>2152</v>
      </c>
      <c r="E724" s="239" t="s">
        <v>382</v>
      </c>
      <c r="F724" s="239" t="s">
        <v>383</v>
      </c>
      <c r="G724" s="239" t="s">
        <v>946</v>
      </c>
      <c r="H724" s="239" t="s">
        <v>51</v>
      </c>
      <c r="I724" s="239" t="s">
        <v>2153</v>
      </c>
      <c r="J724" s="233"/>
      <c r="K724" s="235">
        <v>45929</v>
      </c>
      <c r="L724" s="233">
        <v>1.4</v>
      </c>
      <c r="M724" s="234" t="s">
        <v>946</v>
      </c>
      <c r="N724" s="234">
        <v>39870</v>
      </c>
      <c r="O724" s="234">
        <v>14700</v>
      </c>
      <c r="P724" s="242">
        <v>6</v>
      </c>
      <c r="Q724" s="234">
        <v>25170</v>
      </c>
      <c r="R724" s="234">
        <v>23659.8</v>
      </c>
      <c r="S724" s="234" t="s">
        <v>2341</v>
      </c>
      <c r="T724" s="236">
        <v>45929</v>
      </c>
    </row>
    <row r="725" spans="1:20" ht="30" hidden="1" customHeight="1">
      <c r="A725" s="239" t="s">
        <v>2284</v>
      </c>
      <c r="B725" s="240">
        <v>1884</v>
      </c>
      <c r="C725" s="241">
        <v>234</v>
      </c>
      <c r="D725" s="239" t="s">
        <v>591</v>
      </c>
      <c r="E725" s="239" t="s">
        <v>442</v>
      </c>
      <c r="F725" s="239" t="s">
        <v>443</v>
      </c>
      <c r="G725" s="239" t="s">
        <v>969</v>
      </c>
      <c r="H725" s="239" t="s">
        <v>41</v>
      </c>
      <c r="I725" s="239" t="s">
        <v>379</v>
      </c>
      <c r="J725" s="233"/>
      <c r="K725" s="235">
        <v>45927</v>
      </c>
      <c r="L725" s="233">
        <v>2.2000000000000002</v>
      </c>
      <c r="M725" s="234" t="s">
        <v>969</v>
      </c>
      <c r="N725" s="234">
        <v>33650</v>
      </c>
      <c r="O725" s="234">
        <v>14490</v>
      </c>
      <c r="P725" s="242">
        <v>24</v>
      </c>
      <c r="Q725" s="234">
        <v>19160</v>
      </c>
      <c r="R725" s="234">
        <v>14561.6</v>
      </c>
      <c r="S725" s="234" t="s">
        <v>2318</v>
      </c>
      <c r="T725" s="236">
        <v>45928</v>
      </c>
    </row>
    <row r="726" spans="1:20" ht="25.5" hidden="1">
      <c r="A726" s="239" t="s">
        <v>2285</v>
      </c>
      <c r="B726" s="240">
        <v>1885</v>
      </c>
      <c r="C726" s="241">
        <v>235</v>
      </c>
      <c r="D726" s="239" t="s">
        <v>591</v>
      </c>
      <c r="E726" s="239" t="s">
        <v>780</v>
      </c>
      <c r="F726" s="239" t="s">
        <v>781</v>
      </c>
      <c r="G726" s="239" t="s">
        <v>969</v>
      </c>
      <c r="H726" s="239" t="s">
        <v>41</v>
      </c>
      <c r="I726" s="239" t="s">
        <v>379</v>
      </c>
      <c r="J726" s="233"/>
      <c r="K726" s="235">
        <v>45927</v>
      </c>
      <c r="L726" s="233">
        <v>2.2000000000000002</v>
      </c>
      <c r="M726" s="234" t="s">
        <v>969</v>
      </c>
      <c r="N726" s="234">
        <v>33770</v>
      </c>
      <c r="O726" s="234">
        <v>14840</v>
      </c>
      <c r="P726" s="242">
        <v>24</v>
      </c>
      <c r="Q726" s="234">
        <v>18930</v>
      </c>
      <c r="R726" s="234">
        <v>14386.8</v>
      </c>
      <c r="S726" s="234" t="s">
        <v>2319</v>
      </c>
      <c r="T726" s="236">
        <v>45928</v>
      </c>
    </row>
    <row r="727" spans="1:20" ht="25.5" hidden="1">
      <c r="A727" s="239" t="s">
        <v>2286</v>
      </c>
      <c r="B727" s="240">
        <v>1886</v>
      </c>
      <c r="C727" s="241">
        <v>236</v>
      </c>
      <c r="D727" s="239" t="s">
        <v>591</v>
      </c>
      <c r="E727" s="239" t="s">
        <v>410</v>
      </c>
      <c r="F727" s="239" t="s">
        <v>411</v>
      </c>
      <c r="G727" s="239" t="s">
        <v>969</v>
      </c>
      <c r="H727" s="239" t="s">
        <v>41</v>
      </c>
      <c r="I727" s="239" t="s">
        <v>379</v>
      </c>
      <c r="J727" s="233"/>
      <c r="K727" s="235">
        <v>45927</v>
      </c>
      <c r="L727" s="233">
        <v>2.6</v>
      </c>
      <c r="M727" s="234" t="s">
        <v>969</v>
      </c>
      <c r="N727" s="234">
        <v>38150</v>
      </c>
      <c r="O727" s="234">
        <v>15170</v>
      </c>
      <c r="P727" s="242">
        <v>23</v>
      </c>
      <c r="Q727" s="234">
        <v>22980</v>
      </c>
      <c r="R727" s="234">
        <v>17694.599999999999</v>
      </c>
      <c r="S727" s="234" t="s">
        <v>2320</v>
      </c>
      <c r="T727" s="236">
        <v>45928</v>
      </c>
    </row>
    <row r="728" spans="1:20" ht="25.5" hidden="1">
      <c r="A728" s="239" t="s">
        <v>2302</v>
      </c>
      <c r="B728" s="240">
        <v>1915</v>
      </c>
      <c r="C728" s="241">
        <v>252</v>
      </c>
      <c r="D728" s="239" t="s">
        <v>591</v>
      </c>
      <c r="E728" s="239" t="s">
        <v>384</v>
      </c>
      <c r="F728" s="239" t="s">
        <v>385</v>
      </c>
      <c r="G728" s="239" t="s">
        <v>969</v>
      </c>
      <c r="H728" s="239" t="s">
        <v>41</v>
      </c>
      <c r="I728" s="239" t="s">
        <v>379</v>
      </c>
      <c r="J728" s="233"/>
      <c r="K728" s="235">
        <v>45928</v>
      </c>
      <c r="L728" s="233">
        <v>1.7</v>
      </c>
      <c r="M728" s="234" t="s">
        <v>969</v>
      </c>
      <c r="N728" s="234">
        <v>27540</v>
      </c>
      <c r="O728" s="234">
        <v>14050</v>
      </c>
      <c r="P728" s="242">
        <v>28</v>
      </c>
      <c r="Q728" s="234">
        <v>13490</v>
      </c>
      <c r="R728" s="234">
        <v>9712.7999999999993</v>
      </c>
      <c r="S728" s="234" t="s">
        <v>2336</v>
      </c>
      <c r="T728" s="236">
        <v>45928</v>
      </c>
    </row>
    <row r="729" spans="1:20" ht="38.25" hidden="1">
      <c r="A729" s="239" t="s">
        <v>2287</v>
      </c>
      <c r="B729" s="240">
        <v>1888</v>
      </c>
      <c r="C729" s="241">
        <v>237</v>
      </c>
      <c r="D729" s="239" t="s">
        <v>591</v>
      </c>
      <c r="E729" s="239" t="s">
        <v>372</v>
      </c>
      <c r="F729" s="239" t="s">
        <v>373</v>
      </c>
      <c r="G729" s="239" t="s">
        <v>969</v>
      </c>
      <c r="H729" s="239" t="s">
        <v>41</v>
      </c>
      <c r="I729" s="239" t="s">
        <v>379</v>
      </c>
      <c r="J729" s="233"/>
      <c r="K729" s="235">
        <v>45928</v>
      </c>
      <c r="L729" s="233">
        <v>2.6</v>
      </c>
      <c r="M729" s="234" t="s">
        <v>969</v>
      </c>
      <c r="N729" s="234">
        <v>36220</v>
      </c>
      <c r="O729" s="234">
        <v>15010</v>
      </c>
      <c r="P729" s="242">
        <v>34</v>
      </c>
      <c r="Q729" s="234">
        <v>21210</v>
      </c>
      <c r="R729" s="234">
        <v>13998.6</v>
      </c>
      <c r="S729" s="234" t="s">
        <v>2321</v>
      </c>
      <c r="T729" s="236">
        <v>45928</v>
      </c>
    </row>
    <row r="730" spans="1:20" ht="38.25" hidden="1">
      <c r="A730" s="239" t="s">
        <v>2288</v>
      </c>
      <c r="B730" s="240">
        <v>1890</v>
      </c>
      <c r="C730" s="241">
        <v>238</v>
      </c>
      <c r="D730" s="239" t="s">
        <v>591</v>
      </c>
      <c r="E730" s="239" t="s">
        <v>400</v>
      </c>
      <c r="F730" s="239" t="s">
        <v>401</v>
      </c>
      <c r="G730" s="239" t="s">
        <v>969</v>
      </c>
      <c r="H730" s="239" t="s">
        <v>41</v>
      </c>
      <c r="I730" s="239" t="s">
        <v>379</v>
      </c>
      <c r="J730" s="233"/>
      <c r="K730" s="235">
        <v>45928</v>
      </c>
      <c r="L730" s="233">
        <v>2.7</v>
      </c>
      <c r="M730" s="234" t="s">
        <v>969</v>
      </c>
      <c r="N730" s="234">
        <v>36180</v>
      </c>
      <c r="O730" s="234">
        <v>14810</v>
      </c>
      <c r="P730" s="242">
        <v>27</v>
      </c>
      <c r="Q730" s="234">
        <v>21370</v>
      </c>
      <c r="R730" s="234">
        <v>15600.1</v>
      </c>
      <c r="S730" s="234" t="s">
        <v>2322</v>
      </c>
      <c r="T730" s="236">
        <v>45928</v>
      </c>
    </row>
    <row r="731" spans="1:20" ht="51" hidden="1">
      <c r="A731" s="239" t="s">
        <v>2301</v>
      </c>
      <c r="B731" s="240">
        <v>1914</v>
      </c>
      <c r="C731" s="241">
        <v>251</v>
      </c>
      <c r="D731" s="239" t="s">
        <v>591</v>
      </c>
      <c r="E731" s="239" t="s">
        <v>380</v>
      </c>
      <c r="F731" s="239" t="s">
        <v>381</v>
      </c>
      <c r="G731" s="239" t="s">
        <v>969</v>
      </c>
      <c r="H731" s="239" t="s">
        <v>41</v>
      </c>
      <c r="I731" s="239" t="s">
        <v>379</v>
      </c>
      <c r="J731" s="233"/>
      <c r="K731" s="235">
        <v>45928</v>
      </c>
      <c r="L731" s="233">
        <v>2.8</v>
      </c>
      <c r="M731" s="234" t="s">
        <v>969</v>
      </c>
      <c r="N731" s="234">
        <v>37650</v>
      </c>
      <c r="O731" s="234">
        <v>15140</v>
      </c>
      <c r="P731" s="242">
        <v>32</v>
      </c>
      <c r="Q731" s="234">
        <v>22510</v>
      </c>
      <c r="R731" s="234">
        <v>15306.8</v>
      </c>
      <c r="S731" s="234" t="s">
        <v>2335</v>
      </c>
      <c r="T731" s="236">
        <v>45928</v>
      </c>
    </row>
    <row r="732" spans="1:20" ht="51" hidden="1">
      <c r="A732" s="239" t="s">
        <v>2289</v>
      </c>
      <c r="B732" s="240">
        <v>1892</v>
      </c>
      <c r="C732" s="241">
        <v>239</v>
      </c>
      <c r="D732" s="239" t="s">
        <v>591</v>
      </c>
      <c r="E732" s="239" t="s">
        <v>380</v>
      </c>
      <c r="F732" s="239" t="s">
        <v>381</v>
      </c>
      <c r="G732" s="239" t="s">
        <v>969</v>
      </c>
      <c r="H732" s="239" t="s">
        <v>41</v>
      </c>
      <c r="I732" s="239" t="s">
        <v>379</v>
      </c>
      <c r="J732" s="233"/>
      <c r="K732" s="235">
        <v>45928</v>
      </c>
      <c r="L732" s="233">
        <v>2.7</v>
      </c>
      <c r="M732" s="234" t="s">
        <v>969</v>
      </c>
      <c r="N732" s="234">
        <v>36890</v>
      </c>
      <c r="O732" s="234">
        <v>15050</v>
      </c>
      <c r="P732" s="242">
        <v>30</v>
      </c>
      <c r="Q732" s="234">
        <v>21840</v>
      </c>
      <c r="R732" s="234">
        <v>15288</v>
      </c>
      <c r="S732" s="234" t="s">
        <v>2323</v>
      </c>
      <c r="T732" s="236">
        <v>45928</v>
      </c>
    </row>
    <row r="733" spans="1:20" ht="38.25" hidden="1">
      <c r="A733" s="239" t="s">
        <v>2300</v>
      </c>
      <c r="B733" s="240">
        <v>1913</v>
      </c>
      <c r="C733" s="241">
        <v>250</v>
      </c>
      <c r="D733" s="239" t="s">
        <v>591</v>
      </c>
      <c r="E733" s="239" t="s">
        <v>400</v>
      </c>
      <c r="F733" s="239" t="s">
        <v>401</v>
      </c>
      <c r="G733" s="239" t="s">
        <v>969</v>
      </c>
      <c r="H733" s="239" t="s">
        <v>41</v>
      </c>
      <c r="I733" s="239" t="s">
        <v>379</v>
      </c>
      <c r="J733" s="233"/>
      <c r="K733" s="235">
        <v>45928</v>
      </c>
      <c r="L733" s="233">
        <v>2.6</v>
      </c>
      <c r="M733" s="234" t="s">
        <v>969</v>
      </c>
      <c r="N733" s="234">
        <v>35520</v>
      </c>
      <c r="O733" s="234">
        <v>14730</v>
      </c>
      <c r="P733" s="242">
        <v>31</v>
      </c>
      <c r="Q733" s="234">
        <v>20790</v>
      </c>
      <c r="R733" s="234">
        <v>14345.1</v>
      </c>
      <c r="S733" s="234" t="s">
        <v>2334</v>
      </c>
      <c r="T733" s="236">
        <v>45928</v>
      </c>
    </row>
    <row r="734" spans="1:20" ht="25.5" hidden="1">
      <c r="A734" s="239" t="s">
        <v>2290</v>
      </c>
      <c r="B734" s="240">
        <v>1896</v>
      </c>
      <c r="C734" s="241">
        <v>240</v>
      </c>
      <c r="D734" s="239" t="s">
        <v>591</v>
      </c>
      <c r="E734" s="239" t="s">
        <v>384</v>
      </c>
      <c r="F734" s="239" t="s">
        <v>385</v>
      </c>
      <c r="G734" s="239" t="s">
        <v>969</v>
      </c>
      <c r="H734" s="239" t="s">
        <v>41</v>
      </c>
      <c r="I734" s="239" t="s">
        <v>379</v>
      </c>
      <c r="J734" s="233"/>
      <c r="K734" s="235">
        <v>45928</v>
      </c>
      <c r="L734" s="233">
        <v>2.5</v>
      </c>
      <c r="M734" s="234" t="s">
        <v>969</v>
      </c>
      <c r="N734" s="234">
        <v>33960</v>
      </c>
      <c r="O734" s="234">
        <v>14000</v>
      </c>
      <c r="P734" s="242">
        <v>27</v>
      </c>
      <c r="Q734" s="234">
        <v>19960</v>
      </c>
      <c r="R734" s="234">
        <v>14570.8</v>
      </c>
      <c r="S734" s="234" t="s">
        <v>2324</v>
      </c>
      <c r="T734" s="236">
        <v>45928</v>
      </c>
    </row>
    <row r="735" spans="1:20" ht="51" hidden="1">
      <c r="A735" s="239" t="s">
        <v>2291</v>
      </c>
      <c r="B735" s="240">
        <v>1897</v>
      </c>
      <c r="C735" s="241">
        <v>241</v>
      </c>
      <c r="D735" s="239" t="s">
        <v>591</v>
      </c>
      <c r="E735" s="239" t="s">
        <v>369</v>
      </c>
      <c r="F735" s="239" t="s">
        <v>370</v>
      </c>
      <c r="G735" s="239" t="s">
        <v>969</v>
      </c>
      <c r="H735" s="239" t="s">
        <v>41</v>
      </c>
      <c r="I735" s="239" t="s">
        <v>379</v>
      </c>
      <c r="J735" s="233"/>
      <c r="K735" s="235">
        <v>45928</v>
      </c>
      <c r="L735" s="233">
        <v>2.6</v>
      </c>
      <c r="M735" s="234" t="s">
        <v>969</v>
      </c>
      <c r="N735" s="234">
        <v>36370</v>
      </c>
      <c r="O735" s="234">
        <v>15120</v>
      </c>
      <c r="P735" s="242">
        <v>31</v>
      </c>
      <c r="Q735" s="234">
        <v>21250</v>
      </c>
      <c r="R735" s="234">
        <v>14662.5</v>
      </c>
      <c r="S735" s="234" t="s">
        <v>2325</v>
      </c>
      <c r="T735" s="236">
        <v>45928</v>
      </c>
    </row>
    <row r="736" spans="1:20" ht="51" hidden="1">
      <c r="A736" s="239" t="s">
        <v>2299</v>
      </c>
      <c r="B736" s="240">
        <v>1911</v>
      </c>
      <c r="C736" s="241">
        <v>249</v>
      </c>
      <c r="D736" s="239" t="s">
        <v>591</v>
      </c>
      <c r="E736" s="239" t="s">
        <v>369</v>
      </c>
      <c r="F736" s="239" t="s">
        <v>370</v>
      </c>
      <c r="G736" s="239" t="s">
        <v>969</v>
      </c>
      <c r="H736" s="239" t="s">
        <v>41</v>
      </c>
      <c r="I736" s="239" t="s">
        <v>379</v>
      </c>
      <c r="J736" s="233"/>
      <c r="K736" s="235">
        <v>45928</v>
      </c>
      <c r="L736" s="233">
        <v>2.5</v>
      </c>
      <c r="M736" s="234" t="s">
        <v>969</v>
      </c>
      <c r="N736" s="234">
        <v>35330</v>
      </c>
      <c r="O736" s="234">
        <v>15100</v>
      </c>
      <c r="P736" s="242">
        <v>25</v>
      </c>
      <c r="Q736" s="234">
        <v>20230</v>
      </c>
      <c r="R736" s="234">
        <v>15172.5</v>
      </c>
      <c r="S736" s="234" t="s">
        <v>2333</v>
      </c>
      <c r="T736" s="236">
        <v>45928</v>
      </c>
    </row>
    <row r="737" spans="1:20" ht="38.25" hidden="1">
      <c r="A737" s="239" t="s">
        <v>2292</v>
      </c>
      <c r="B737" s="240">
        <v>1900</v>
      </c>
      <c r="C737" s="241">
        <v>242</v>
      </c>
      <c r="D737" s="239" t="s">
        <v>591</v>
      </c>
      <c r="E737" s="239" t="s">
        <v>400</v>
      </c>
      <c r="F737" s="239" t="s">
        <v>401</v>
      </c>
      <c r="G737" s="239" t="s">
        <v>969</v>
      </c>
      <c r="H737" s="239" t="s">
        <v>41</v>
      </c>
      <c r="I737" s="239" t="s">
        <v>379</v>
      </c>
      <c r="J737" s="233"/>
      <c r="K737" s="235">
        <v>45928</v>
      </c>
      <c r="L737" s="233">
        <v>2.8</v>
      </c>
      <c r="M737" s="234" t="s">
        <v>969</v>
      </c>
      <c r="N737" s="234">
        <v>37630</v>
      </c>
      <c r="O737" s="234">
        <v>14780</v>
      </c>
      <c r="P737" s="242">
        <v>22</v>
      </c>
      <c r="Q737" s="234">
        <v>22850</v>
      </c>
      <c r="R737" s="234">
        <v>17823</v>
      </c>
      <c r="S737" s="234" t="s">
        <v>2326</v>
      </c>
      <c r="T737" s="236">
        <v>45928</v>
      </c>
    </row>
    <row r="738" spans="1:20" ht="25.5" hidden="1">
      <c r="A738" s="239" t="s">
        <v>2298</v>
      </c>
      <c r="B738" s="240">
        <v>1908</v>
      </c>
      <c r="C738" s="241">
        <v>248</v>
      </c>
      <c r="D738" s="239" t="s">
        <v>591</v>
      </c>
      <c r="E738" s="239" t="s">
        <v>384</v>
      </c>
      <c r="F738" s="239" t="s">
        <v>385</v>
      </c>
      <c r="G738" s="239" t="s">
        <v>969</v>
      </c>
      <c r="H738" s="239" t="s">
        <v>41</v>
      </c>
      <c r="I738" s="239" t="s">
        <v>379</v>
      </c>
      <c r="J738" s="233"/>
      <c r="K738" s="235">
        <v>45928</v>
      </c>
      <c r="L738" s="233">
        <v>2.7</v>
      </c>
      <c r="M738" s="234" t="s">
        <v>969</v>
      </c>
      <c r="N738" s="234">
        <v>35450</v>
      </c>
      <c r="O738" s="234">
        <v>13970</v>
      </c>
      <c r="P738" s="242">
        <v>32</v>
      </c>
      <c r="Q738" s="234">
        <v>21480</v>
      </c>
      <c r="R738" s="234">
        <v>14606.4</v>
      </c>
      <c r="S738" s="234" t="s">
        <v>2332</v>
      </c>
      <c r="T738" s="236">
        <v>45928</v>
      </c>
    </row>
    <row r="739" spans="1:20" ht="51" hidden="1">
      <c r="A739" s="239" t="s">
        <v>2293</v>
      </c>
      <c r="B739" s="240">
        <v>1901</v>
      </c>
      <c r="C739" s="241">
        <v>243</v>
      </c>
      <c r="D739" s="239" t="s">
        <v>591</v>
      </c>
      <c r="E739" s="239" t="s">
        <v>380</v>
      </c>
      <c r="F739" s="239" t="s">
        <v>381</v>
      </c>
      <c r="G739" s="239" t="s">
        <v>969</v>
      </c>
      <c r="H739" s="239" t="s">
        <v>41</v>
      </c>
      <c r="I739" s="239" t="s">
        <v>379</v>
      </c>
      <c r="J739" s="233"/>
      <c r="K739" s="235">
        <v>45928</v>
      </c>
      <c r="L739" s="233">
        <v>3</v>
      </c>
      <c r="M739" s="234" t="s">
        <v>969</v>
      </c>
      <c r="N739" s="234">
        <v>39250</v>
      </c>
      <c r="O739" s="234">
        <v>15170</v>
      </c>
      <c r="P739" s="242">
        <v>29</v>
      </c>
      <c r="Q739" s="234">
        <v>24080</v>
      </c>
      <c r="R739" s="234">
        <v>17096.8</v>
      </c>
      <c r="S739" s="234" t="s">
        <v>2327</v>
      </c>
      <c r="T739" s="236">
        <v>45928</v>
      </c>
    </row>
    <row r="740" spans="1:20" ht="25.5" hidden="1">
      <c r="A740" s="239" t="s">
        <v>2294</v>
      </c>
      <c r="B740" s="240">
        <v>1902</v>
      </c>
      <c r="C740" s="241">
        <v>244</v>
      </c>
      <c r="D740" s="239" t="s">
        <v>591</v>
      </c>
      <c r="E740" s="239" t="s">
        <v>384</v>
      </c>
      <c r="F740" s="239" t="s">
        <v>385</v>
      </c>
      <c r="G740" s="239" t="s">
        <v>969</v>
      </c>
      <c r="H740" s="239" t="s">
        <v>41</v>
      </c>
      <c r="I740" s="239" t="s">
        <v>379</v>
      </c>
      <c r="J740" s="233"/>
      <c r="K740" s="235">
        <v>45928</v>
      </c>
      <c r="L740" s="233">
        <v>2.6</v>
      </c>
      <c r="M740" s="234" t="s">
        <v>969</v>
      </c>
      <c r="N740" s="234">
        <v>35190</v>
      </c>
      <c r="O740" s="234">
        <v>13980</v>
      </c>
      <c r="P740" s="242">
        <v>29</v>
      </c>
      <c r="Q740" s="234">
        <v>21210</v>
      </c>
      <c r="R740" s="234">
        <v>15059.1</v>
      </c>
      <c r="S740" s="234" t="s">
        <v>2328</v>
      </c>
      <c r="T740" s="236">
        <v>45928</v>
      </c>
    </row>
    <row r="741" spans="1:20" ht="51" hidden="1">
      <c r="A741" s="239" t="s">
        <v>2297</v>
      </c>
      <c r="B741" s="240">
        <v>1907</v>
      </c>
      <c r="C741" s="241">
        <v>247</v>
      </c>
      <c r="D741" s="239" t="s">
        <v>591</v>
      </c>
      <c r="E741" s="239" t="s">
        <v>380</v>
      </c>
      <c r="F741" s="239" t="s">
        <v>381</v>
      </c>
      <c r="G741" s="239" t="s">
        <v>969</v>
      </c>
      <c r="H741" s="239" t="s">
        <v>41</v>
      </c>
      <c r="I741" s="239" t="s">
        <v>379</v>
      </c>
      <c r="J741" s="233"/>
      <c r="K741" s="235">
        <v>45928</v>
      </c>
      <c r="L741" s="233">
        <v>2.7</v>
      </c>
      <c r="M741" s="234" t="s">
        <v>969</v>
      </c>
      <c r="N741" s="234">
        <v>36860</v>
      </c>
      <c r="O741" s="234">
        <v>15150</v>
      </c>
      <c r="P741" s="242">
        <v>33</v>
      </c>
      <c r="Q741" s="234">
        <v>21710</v>
      </c>
      <c r="R741" s="234">
        <v>14545.7</v>
      </c>
      <c r="S741" s="234" t="s">
        <v>2331</v>
      </c>
      <c r="T741" s="236">
        <v>45928</v>
      </c>
    </row>
    <row r="742" spans="1:20" ht="51" hidden="1">
      <c r="A742" s="239" t="s">
        <v>2295</v>
      </c>
      <c r="B742" s="240">
        <v>1903</v>
      </c>
      <c r="C742" s="241">
        <v>245</v>
      </c>
      <c r="D742" s="239" t="s">
        <v>591</v>
      </c>
      <c r="E742" s="239" t="s">
        <v>369</v>
      </c>
      <c r="F742" s="239" t="s">
        <v>370</v>
      </c>
      <c r="G742" s="239" t="s">
        <v>969</v>
      </c>
      <c r="H742" s="239" t="s">
        <v>41</v>
      </c>
      <c r="I742" s="239" t="s">
        <v>379</v>
      </c>
      <c r="J742" s="233"/>
      <c r="K742" s="235">
        <v>45928</v>
      </c>
      <c r="L742" s="233">
        <v>2.7</v>
      </c>
      <c r="M742" s="234" t="s">
        <v>969</v>
      </c>
      <c r="N742" s="234">
        <v>36680</v>
      </c>
      <c r="O742" s="234">
        <v>15100</v>
      </c>
      <c r="P742" s="242">
        <v>16</v>
      </c>
      <c r="Q742" s="234">
        <v>21580</v>
      </c>
      <c r="R742" s="234">
        <v>18127.2</v>
      </c>
      <c r="S742" s="234" t="s">
        <v>2329</v>
      </c>
      <c r="T742" s="236">
        <v>45928</v>
      </c>
    </row>
    <row r="743" spans="1:20" ht="38.25" hidden="1">
      <c r="A743" s="239" t="s">
        <v>2296</v>
      </c>
      <c r="B743" s="240">
        <v>1904</v>
      </c>
      <c r="C743" s="241">
        <v>246</v>
      </c>
      <c r="D743" s="239" t="s">
        <v>591</v>
      </c>
      <c r="E743" s="239" t="s">
        <v>400</v>
      </c>
      <c r="F743" s="239" t="s">
        <v>401</v>
      </c>
      <c r="G743" s="239" t="s">
        <v>969</v>
      </c>
      <c r="H743" s="239" t="s">
        <v>41</v>
      </c>
      <c r="I743" s="239" t="s">
        <v>379</v>
      </c>
      <c r="J743" s="233"/>
      <c r="K743" s="235">
        <v>45928</v>
      </c>
      <c r="L743" s="233">
        <v>2.8</v>
      </c>
      <c r="M743" s="234" t="s">
        <v>969</v>
      </c>
      <c r="N743" s="234">
        <v>36630</v>
      </c>
      <c r="O743" s="234">
        <v>14770</v>
      </c>
      <c r="P743" s="242">
        <v>31</v>
      </c>
      <c r="Q743" s="234">
        <v>21860</v>
      </c>
      <c r="R743" s="234">
        <v>15083.4</v>
      </c>
      <c r="S743" s="234" t="s">
        <v>2330</v>
      </c>
      <c r="T743" s="236">
        <v>45928</v>
      </c>
    </row>
    <row r="744" spans="1:20" ht="25.5" hidden="1">
      <c r="A744" s="239" t="s">
        <v>2308</v>
      </c>
      <c r="B744" s="240">
        <v>1927</v>
      </c>
      <c r="C744" s="241">
        <v>54993</v>
      </c>
      <c r="D744" s="239" t="s">
        <v>2152</v>
      </c>
      <c r="E744" s="239" t="s">
        <v>403</v>
      </c>
      <c r="F744" s="239" t="s">
        <v>404</v>
      </c>
      <c r="G744" s="239" t="s">
        <v>946</v>
      </c>
      <c r="H744" s="239" t="s">
        <v>51</v>
      </c>
      <c r="I744" s="239" t="s">
        <v>2153</v>
      </c>
      <c r="J744" s="233"/>
      <c r="K744" s="235">
        <v>45929</v>
      </c>
      <c r="L744" s="233">
        <v>1.5</v>
      </c>
      <c r="M744" s="234" t="s">
        <v>946</v>
      </c>
      <c r="N744" s="234">
        <v>41110</v>
      </c>
      <c r="O744" s="234">
        <v>14700</v>
      </c>
      <c r="P744" s="242">
        <v>5</v>
      </c>
      <c r="Q744" s="234">
        <v>26410</v>
      </c>
      <c r="R744" s="234">
        <v>25089.5</v>
      </c>
      <c r="S744" s="234" t="s">
        <v>2342</v>
      </c>
      <c r="T744" s="236">
        <v>45929</v>
      </c>
    </row>
    <row r="745" spans="1:20" ht="38.25" hidden="1">
      <c r="A745" s="239" t="s">
        <v>2309</v>
      </c>
      <c r="B745" s="240">
        <v>1928</v>
      </c>
      <c r="C745" s="241">
        <v>54993</v>
      </c>
      <c r="D745" s="239" t="s">
        <v>2152</v>
      </c>
      <c r="E745" s="239" t="s">
        <v>406</v>
      </c>
      <c r="F745" s="239" t="s">
        <v>407</v>
      </c>
      <c r="G745" s="239" t="s">
        <v>946</v>
      </c>
      <c r="H745" s="239" t="s">
        <v>51</v>
      </c>
      <c r="I745" s="239" t="s">
        <v>2153</v>
      </c>
      <c r="J745" s="233"/>
      <c r="K745" s="235">
        <v>45929</v>
      </c>
      <c r="L745" s="233">
        <v>1.5</v>
      </c>
      <c r="M745" s="234" t="s">
        <v>946</v>
      </c>
      <c r="N745" s="234">
        <v>40780</v>
      </c>
      <c r="O745" s="234">
        <v>15030</v>
      </c>
      <c r="P745" s="242">
        <v>5</v>
      </c>
      <c r="Q745" s="234">
        <v>25750</v>
      </c>
      <c r="R745" s="234">
        <v>24462.5</v>
      </c>
      <c r="S745" s="234" t="s">
        <v>2343</v>
      </c>
      <c r="T745" s="236">
        <v>45929</v>
      </c>
    </row>
    <row r="746" spans="1:20" ht="38.25" hidden="1">
      <c r="A746" s="239" t="s">
        <v>2310</v>
      </c>
      <c r="B746" s="240">
        <v>1929</v>
      </c>
      <c r="C746" s="241">
        <v>54994</v>
      </c>
      <c r="D746" s="239" t="s">
        <v>2152</v>
      </c>
      <c r="E746" s="239" t="s">
        <v>392</v>
      </c>
      <c r="F746" s="239" t="s">
        <v>393</v>
      </c>
      <c r="G746" s="239" t="s">
        <v>946</v>
      </c>
      <c r="H746" s="239" t="s">
        <v>51</v>
      </c>
      <c r="I746" s="239" t="s">
        <v>2153</v>
      </c>
      <c r="J746" s="233"/>
      <c r="K746" s="235">
        <v>45929</v>
      </c>
      <c r="L746" s="233">
        <v>2.4</v>
      </c>
      <c r="M746" s="234" t="s">
        <v>946</v>
      </c>
      <c r="N746" s="234">
        <v>66060</v>
      </c>
      <c r="O746" s="234">
        <v>24280</v>
      </c>
      <c r="P746" s="242">
        <v>7</v>
      </c>
      <c r="Q746" s="234">
        <v>41780</v>
      </c>
      <c r="R746" s="234">
        <v>38855.4</v>
      </c>
      <c r="S746" s="234" t="s">
        <v>2344</v>
      </c>
      <c r="T746" s="236">
        <v>45929</v>
      </c>
    </row>
    <row r="747" spans="1:20" ht="38.25" hidden="1">
      <c r="A747" s="239" t="s">
        <v>2311</v>
      </c>
      <c r="B747" s="240">
        <v>1930</v>
      </c>
      <c r="C747" s="241">
        <v>54995</v>
      </c>
      <c r="D747" s="239" t="s">
        <v>2152</v>
      </c>
      <c r="E747" s="239" t="s">
        <v>390</v>
      </c>
      <c r="F747" s="239" t="s">
        <v>391</v>
      </c>
      <c r="G747" s="239" t="s">
        <v>946</v>
      </c>
      <c r="H747" s="239" t="s">
        <v>51</v>
      </c>
      <c r="I747" s="239" t="s">
        <v>2153</v>
      </c>
      <c r="J747" s="233"/>
      <c r="K747" s="235">
        <v>45929</v>
      </c>
      <c r="L747" s="233">
        <v>1.5</v>
      </c>
      <c r="M747" s="234" t="s">
        <v>946</v>
      </c>
      <c r="N747" s="234">
        <v>41340</v>
      </c>
      <c r="O747" s="234">
        <v>15180</v>
      </c>
      <c r="P747" s="242">
        <v>8</v>
      </c>
      <c r="Q747" s="234">
        <v>26160</v>
      </c>
      <c r="R747" s="234">
        <v>24067.200000000001</v>
      </c>
      <c r="S747" s="234" t="s">
        <v>2345</v>
      </c>
      <c r="T747" s="236">
        <v>45929</v>
      </c>
    </row>
    <row r="748" spans="1:20" ht="38.25" hidden="1">
      <c r="A748" s="239" t="s">
        <v>2312</v>
      </c>
      <c r="B748" s="240">
        <v>1932</v>
      </c>
      <c r="C748" s="241">
        <v>54996</v>
      </c>
      <c r="D748" s="239" t="s">
        <v>2152</v>
      </c>
      <c r="E748" s="239" t="s">
        <v>388</v>
      </c>
      <c r="F748" s="239" t="s">
        <v>389</v>
      </c>
      <c r="G748" s="239" t="s">
        <v>946</v>
      </c>
      <c r="H748" s="239" t="s">
        <v>51</v>
      </c>
      <c r="I748" s="239" t="s">
        <v>2153</v>
      </c>
      <c r="J748" s="233"/>
      <c r="K748" s="235">
        <v>45929</v>
      </c>
      <c r="L748" s="233">
        <v>2</v>
      </c>
      <c r="M748" s="234" t="s">
        <v>946</v>
      </c>
      <c r="N748" s="234">
        <v>55580</v>
      </c>
      <c r="O748" s="234">
        <v>21120</v>
      </c>
      <c r="P748" s="242">
        <v>7</v>
      </c>
      <c r="Q748" s="234">
        <v>34460</v>
      </c>
      <c r="R748" s="234">
        <v>32047.8</v>
      </c>
      <c r="S748" s="234" t="s">
        <v>2346</v>
      </c>
      <c r="T748" s="236">
        <v>45929</v>
      </c>
    </row>
    <row r="749" spans="1:20" ht="38.25" hidden="1">
      <c r="A749" s="239" t="s">
        <v>2313</v>
      </c>
      <c r="B749" s="240">
        <v>1933</v>
      </c>
      <c r="C749" s="241"/>
      <c r="D749" s="239" t="s">
        <v>2152</v>
      </c>
      <c r="E749" s="239" t="s">
        <v>400</v>
      </c>
      <c r="F749" s="239" t="s">
        <v>401</v>
      </c>
      <c r="G749" s="239" t="s">
        <v>946</v>
      </c>
      <c r="H749" s="239" t="s">
        <v>51</v>
      </c>
      <c r="I749" s="239" t="s">
        <v>2153</v>
      </c>
      <c r="J749" s="233"/>
      <c r="K749" s="235">
        <v>45929</v>
      </c>
      <c r="L749" s="233">
        <v>1.4</v>
      </c>
      <c r="M749" s="234" t="s">
        <v>946</v>
      </c>
      <c r="N749" s="234">
        <v>39360</v>
      </c>
      <c r="O749" s="234">
        <v>14970</v>
      </c>
      <c r="P749" s="242">
        <v>7</v>
      </c>
      <c r="Q749" s="234">
        <v>24390</v>
      </c>
      <c r="R749" s="234">
        <v>22682.7</v>
      </c>
      <c r="S749" s="234" t="s">
        <v>2347</v>
      </c>
      <c r="T749" s="236">
        <v>45929</v>
      </c>
    </row>
    <row r="750" spans="1:20" ht="38.25" hidden="1">
      <c r="A750" s="239" t="s">
        <v>2314</v>
      </c>
      <c r="B750" s="240">
        <v>1934</v>
      </c>
      <c r="C750" s="241"/>
      <c r="D750" s="239" t="s">
        <v>2152</v>
      </c>
      <c r="E750" s="239" t="s">
        <v>858</v>
      </c>
      <c r="F750" s="239" t="s">
        <v>859</v>
      </c>
      <c r="G750" s="239" t="s">
        <v>946</v>
      </c>
      <c r="H750" s="239" t="s">
        <v>51</v>
      </c>
      <c r="I750" s="239" t="s">
        <v>2153</v>
      </c>
      <c r="J750" s="233"/>
      <c r="K750" s="235">
        <v>45929</v>
      </c>
      <c r="L750" s="233">
        <v>1.5</v>
      </c>
      <c r="M750" s="234" t="s">
        <v>946</v>
      </c>
      <c r="N750" s="234">
        <v>41090</v>
      </c>
      <c r="O750" s="234">
        <v>15090</v>
      </c>
      <c r="P750" s="242">
        <v>7</v>
      </c>
      <c r="Q750" s="234">
        <v>26000</v>
      </c>
      <c r="R750" s="234">
        <v>24180</v>
      </c>
      <c r="S750" s="234" t="s">
        <v>2348</v>
      </c>
      <c r="T750" s="236">
        <v>45929</v>
      </c>
    </row>
    <row r="751" spans="1:20" ht="25.5" hidden="1">
      <c r="A751" s="239" t="s">
        <v>2315</v>
      </c>
      <c r="B751" s="240">
        <v>1935</v>
      </c>
      <c r="C751" s="241"/>
      <c r="D751" s="239" t="s">
        <v>2152</v>
      </c>
      <c r="E751" s="239" t="s">
        <v>410</v>
      </c>
      <c r="F751" s="239" t="s">
        <v>411</v>
      </c>
      <c r="G751" s="239" t="s">
        <v>946</v>
      </c>
      <c r="H751" s="239" t="s">
        <v>51</v>
      </c>
      <c r="I751" s="239" t="s">
        <v>2153</v>
      </c>
      <c r="J751" s="233"/>
      <c r="K751" s="235">
        <v>45929</v>
      </c>
      <c r="L751" s="233">
        <v>1.5</v>
      </c>
      <c r="M751" s="234" t="s">
        <v>946</v>
      </c>
      <c r="N751" s="234">
        <v>40960</v>
      </c>
      <c r="O751" s="234">
        <v>15210</v>
      </c>
      <c r="P751" s="242">
        <v>7</v>
      </c>
      <c r="Q751" s="234">
        <v>25750</v>
      </c>
      <c r="R751" s="234">
        <v>23947.5</v>
      </c>
      <c r="S751" s="234" t="s">
        <v>2349</v>
      </c>
      <c r="T751" s="236">
        <v>45929</v>
      </c>
    </row>
    <row r="752" spans="1:20" ht="38.25" hidden="1">
      <c r="A752" s="239" t="s">
        <v>2352</v>
      </c>
      <c r="B752" s="240">
        <v>1955</v>
      </c>
      <c r="C752" s="241">
        <v>254</v>
      </c>
      <c r="D752" s="239" t="s">
        <v>591</v>
      </c>
      <c r="E752" s="239" t="s">
        <v>2053</v>
      </c>
      <c r="F752" s="239" t="s">
        <v>2054</v>
      </c>
      <c r="G752" s="239" t="s">
        <v>968</v>
      </c>
      <c r="H752" s="239" t="s">
        <v>394</v>
      </c>
      <c r="I752" s="239" t="s">
        <v>371</v>
      </c>
      <c r="J752" s="233"/>
      <c r="K752" s="235">
        <v>45931</v>
      </c>
      <c r="L752" s="233">
        <v>1.5</v>
      </c>
      <c r="M752" s="234" t="s">
        <v>968</v>
      </c>
      <c r="N752" s="234">
        <v>28750</v>
      </c>
      <c r="O752" s="234">
        <v>14420</v>
      </c>
      <c r="P752" s="242">
        <v>31</v>
      </c>
      <c r="Q752" s="234">
        <v>14330</v>
      </c>
      <c r="R752" s="234">
        <v>9887.7000000000007</v>
      </c>
      <c r="S752" s="234" t="s">
        <v>2354</v>
      </c>
      <c r="T752" s="236">
        <v>45931</v>
      </c>
    </row>
    <row r="753" spans="1:20" ht="38.25" hidden="1">
      <c r="A753" s="239" t="s">
        <v>2353</v>
      </c>
      <c r="B753" s="240">
        <v>1956</v>
      </c>
      <c r="C753" s="241">
        <v>255</v>
      </c>
      <c r="D753" s="239" t="s">
        <v>591</v>
      </c>
      <c r="E753" s="239" t="s">
        <v>1978</v>
      </c>
      <c r="F753" s="239" t="s">
        <v>1979</v>
      </c>
      <c r="G753" s="239" t="s">
        <v>968</v>
      </c>
      <c r="H753" s="239" t="s">
        <v>394</v>
      </c>
      <c r="I753" s="239" t="s">
        <v>371</v>
      </c>
      <c r="J753" s="233"/>
      <c r="K753" s="235">
        <v>45931</v>
      </c>
      <c r="L753" s="233">
        <v>1.5</v>
      </c>
      <c r="M753" s="234" t="s">
        <v>968</v>
      </c>
      <c r="N753" s="234">
        <v>29430</v>
      </c>
      <c r="O753" s="234">
        <v>14250</v>
      </c>
      <c r="P753" s="242">
        <v>48</v>
      </c>
      <c r="Q753" s="234">
        <v>15180</v>
      </c>
      <c r="R753" s="234">
        <v>7893.6</v>
      </c>
      <c r="S753" s="234" t="s">
        <v>2355</v>
      </c>
      <c r="T753" s="236">
        <v>45931</v>
      </c>
    </row>
    <row r="754" spans="1:20" ht="51" hidden="1">
      <c r="A754" s="239" t="s">
        <v>2356</v>
      </c>
      <c r="B754" s="240">
        <v>1957</v>
      </c>
      <c r="C754" s="241" t="s">
        <v>2357</v>
      </c>
      <c r="D754" s="239" t="s">
        <v>2152</v>
      </c>
      <c r="E754" s="239" t="s">
        <v>380</v>
      </c>
      <c r="F754" s="239" t="s">
        <v>381</v>
      </c>
      <c r="G754" s="239" t="s">
        <v>946</v>
      </c>
      <c r="H754" s="239" t="s">
        <v>51</v>
      </c>
      <c r="I754" s="239" t="s">
        <v>2153</v>
      </c>
      <c r="J754" s="233"/>
      <c r="K754" s="235">
        <v>45931</v>
      </c>
      <c r="L754" s="233">
        <v>0.8</v>
      </c>
      <c r="M754" s="234" t="s">
        <v>946</v>
      </c>
      <c r="N754" s="234">
        <v>39690</v>
      </c>
      <c r="O754" s="234">
        <v>15100</v>
      </c>
      <c r="P754" s="242">
        <v>20</v>
      </c>
      <c r="Q754" s="234">
        <v>24590</v>
      </c>
      <c r="R754" s="234">
        <v>19672</v>
      </c>
      <c r="S754" s="234" t="s">
        <v>2364</v>
      </c>
      <c r="T754" s="236">
        <v>45931</v>
      </c>
    </row>
    <row r="755" spans="1:20" ht="38.25" hidden="1">
      <c r="A755" s="239" t="s">
        <v>2358</v>
      </c>
      <c r="B755" s="240">
        <v>1958</v>
      </c>
      <c r="C755" s="241" t="s">
        <v>2357</v>
      </c>
      <c r="D755" s="239" t="s">
        <v>2152</v>
      </c>
      <c r="E755" s="239" t="s">
        <v>866</v>
      </c>
      <c r="F755" s="239" t="s">
        <v>867</v>
      </c>
      <c r="G755" s="239" t="s">
        <v>946</v>
      </c>
      <c r="H755" s="239" t="s">
        <v>51</v>
      </c>
      <c r="I755" s="239" t="s">
        <v>2153</v>
      </c>
      <c r="J755" s="233"/>
      <c r="K755" s="235">
        <v>45931</v>
      </c>
      <c r="L755" s="233">
        <v>0.9</v>
      </c>
      <c r="M755" s="234" t="s">
        <v>946</v>
      </c>
      <c r="N755" s="234">
        <v>39460</v>
      </c>
      <c r="O755" s="234">
        <v>14590</v>
      </c>
      <c r="P755" s="242">
        <v>11</v>
      </c>
      <c r="Q755" s="234">
        <v>24870</v>
      </c>
      <c r="R755" s="234">
        <v>22134.3</v>
      </c>
      <c r="S755" s="234" t="s">
        <v>2365</v>
      </c>
      <c r="T755" s="236">
        <v>45931</v>
      </c>
    </row>
    <row r="756" spans="1:20" ht="38.25" hidden="1">
      <c r="A756" s="239" t="s">
        <v>2359</v>
      </c>
      <c r="B756" s="240">
        <v>1959</v>
      </c>
      <c r="C756" s="241" t="s">
        <v>2357</v>
      </c>
      <c r="D756" s="239" t="s">
        <v>2152</v>
      </c>
      <c r="E756" s="239" t="s">
        <v>858</v>
      </c>
      <c r="F756" s="239" t="s">
        <v>859</v>
      </c>
      <c r="G756" s="239" t="s">
        <v>946</v>
      </c>
      <c r="H756" s="239" t="s">
        <v>51</v>
      </c>
      <c r="I756" s="239" t="s">
        <v>2153</v>
      </c>
      <c r="J756" s="233"/>
      <c r="K756" s="235">
        <v>45931</v>
      </c>
      <c r="L756" s="233">
        <v>0.9</v>
      </c>
      <c r="M756" s="234" t="s">
        <v>946</v>
      </c>
      <c r="N756" s="234">
        <v>41130</v>
      </c>
      <c r="O756" s="234">
        <v>14980</v>
      </c>
      <c r="P756" s="242">
        <v>11</v>
      </c>
      <c r="Q756" s="234">
        <v>26150</v>
      </c>
      <c r="R756" s="234">
        <v>23273.5</v>
      </c>
      <c r="S756" s="234" t="s">
        <v>2366</v>
      </c>
      <c r="T756" s="236">
        <v>45931</v>
      </c>
    </row>
    <row r="757" spans="1:20" ht="38.25" hidden="1">
      <c r="A757" s="239" t="s">
        <v>2360</v>
      </c>
      <c r="B757" s="240">
        <v>1961</v>
      </c>
      <c r="C757" s="241" t="s">
        <v>2357</v>
      </c>
      <c r="D757" s="239" t="s">
        <v>2152</v>
      </c>
      <c r="E757" s="239" t="s">
        <v>372</v>
      </c>
      <c r="F757" s="239" t="s">
        <v>373</v>
      </c>
      <c r="G757" s="239" t="s">
        <v>946</v>
      </c>
      <c r="H757" s="239" t="s">
        <v>51</v>
      </c>
      <c r="I757" s="239" t="s">
        <v>2153</v>
      </c>
      <c r="J757" s="233"/>
      <c r="K757" s="235">
        <v>45931</v>
      </c>
      <c r="L757" s="233">
        <v>0.8</v>
      </c>
      <c r="M757" s="234" t="s">
        <v>946</v>
      </c>
      <c r="N757" s="234">
        <v>39410</v>
      </c>
      <c r="O757" s="234">
        <v>14860</v>
      </c>
      <c r="P757" s="242">
        <v>6</v>
      </c>
      <c r="Q757" s="234">
        <v>24550</v>
      </c>
      <c r="R757" s="234">
        <v>23077</v>
      </c>
      <c r="S757" s="234" t="s">
        <v>2367</v>
      </c>
      <c r="T757" s="236">
        <v>45931</v>
      </c>
    </row>
    <row r="758" spans="1:20" ht="25.5" hidden="1">
      <c r="A758" s="239" t="s">
        <v>2361</v>
      </c>
      <c r="B758" s="240">
        <v>1962</v>
      </c>
      <c r="C758" s="241" t="s">
        <v>2357</v>
      </c>
      <c r="D758" s="239" t="s">
        <v>2152</v>
      </c>
      <c r="E758" s="239" t="s">
        <v>384</v>
      </c>
      <c r="F758" s="239" t="s">
        <v>385</v>
      </c>
      <c r="G758" s="239" t="s">
        <v>946</v>
      </c>
      <c r="H758" s="239" t="s">
        <v>51</v>
      </c>
      <c r="I758" s="239" t="s">
        <v>2153</v>
      </c>
      <c r="J758" s="233"/>
      <c r="K758" s="235">
        <v>45931</v>
      </c>
      <c r="L758" s="233">
        <v>0.8</v>
      </c>
      <c r="M758" s="234" t="s">
        <v>946</v>
      </c>
      <c r="N758" s="234">
        <v>36920</v>
      </c>
      <c r="O758" s="234">
        <v>13920</v>
      </c>
      <c r="P758" s="242">
        <v>12</v>
      </c>
      <c r="Q758" s="234">
        <v>23000</v>
      </c>
      <c r="R758" s="234">
        <v>20240</v>
      </c>
      <c r="S758" s="234" t="s">
        <v>2368</v>
      </c>
      <c r="T758" s="236">
        <v>45931</v>
      </c>
    </row>
    <row r="759" spans="1:20" ht="25.5" hidden="1">
      <c r="A759" s="239" t="s">
        <v>2362</v>
      </c>
      <c r="B759" s="240">
        <v>1963</v>
      </c>
      <c r="C759" s="241" t="s">
        <v>2357</v>
      </c>
      <c r="D759" s="239" t="s">
        <v>2152</v>
      </c>
      <c r="E759" s="239" t="s">
        <v>374</v>
      </c>
      <c r="F759" s="239" t="s">
        <v>375</v>
      </c>
      <c r="G759" s="239" t="s">
        <v>946</v>
      </c>
      <c r="H759" s="239" t="s">
        <v>51</v>
      </c>
      <c r="I759" s="239" t="s">
        <v>2153</v>
      </c>
      <c r="J759" s="233"/>
      <c r="K759" s="235">
        <v>45931</v>
      </c>
      <c r="L759" s="233">
        <v>0.9</v>
      </c>
      <c r="M759" s="234" t="s">
        <v>946</v>
      </c>
      <c r="N759" s="234">
        <v>41340</v>
      </c>
      <c r="O759" s="234">
        <v>15650</v>
      </c>
      <c r="P759" s="242">
        <v>19</v>
      </c>
      <c r="Q759" s="234">
        <v>25690</v>
      </c>
      <c r="R759" s="234">
        <v>20808.900000000001</v>
      </c>
      <c r="S759" s="234" t="s">
        <v>2369</v>
      </c>
      <c r="T759" s="236">
        <v>45931</v>
      </c>
    </row>
    <row r="760" spans="1:20" ht="51" hidden="1">
      <c r="A760" s="239" t="s">
        <v>2363</v>
      </c>
      <c r="B760" s="240">
        <v>1964</v>
      </c>
      <c r="C760" s="241" t="s">
        <v>2357</v>
      </c>
      <c r="D760" s="239" t="s">
        <v>2152</v>
      </c>
      <c r="E760" s="239" t="s">
        <v>382</v>
      </c>
      <c r="F760" s="239" t="s">
        <v>383</v>
      </c>
      <c r="G760" s="239" t="s">
        <v>946</v>
      </c>
      <c r="H760" s="239" t="s">
        <v>51</v>
      </c>
      <c r="I760" s="239" t="s">
        <v>2153</v>
      </c>
      <c r="J760" s="233"/>
      <c r="K760" s="235">
        <v>45931</v>
      </c>
      <c r="L760" s="233">
        <v>0.8</v>
      </c>
      <c r="M760" s="234" t="s">
        <v>946</v>
      </c>
      <c r="N760" s="234">
        <v>39930</v>
      </c>
      <c r="O760" s="234">
        <v>14660</v>
      </c>
      <c r="P760" s="242">
        <v>17</v>
      </c>
      <c r="Q760" s="234">
        <v>25270</v>
      </c>
      <c r="R760" s="234">
        <v>20974.1</v>
      </c>
      <c r="S760" s="234" t="s">
        <v>2370</v>
      </c>
      <c r="T760" s="236">
        <v>45931</v>
      </c>
    </row>
    <row r="761" spans="1:20" ht="38.25" hidden="1">
      <c r="A761" s="239" t="s">
        <v>2372</v>
      </c>
      <c r="B761" s="240">
        <v>1966</v>
      </c>
      <c r="C761" s="241">
        <v>57726</v>
      </c>
      <c r="D761" s="239" t="s">
        <v>2152</v>
      </c>
      <c r="E761" s="239" t="s">
        <v>400</v>
      </c>
      <c r="F761" s="239" t="s">
        <v>401</v>
      </c>
      <c r="G761" s="239" t="s">
        <v>943</v>
      </c>
      <c r="H761" s="239" t="s">
        <v>51</v>
      </c>
      <c r="I761" s="239" t="s">
        <v>2153</v>
      </c>
      <c r="J761" s="233"/>
      <c r="K761" s="235">
        <v>45931</v>
      </c>
      <c r="L761" s="233">
        <v>1.8</v>
      </c>
      <c r="M761" s="234" t="s">
        <v>943</v>
      </c>
      <c r="N761" s="234">
        <v>40340</v>
      </c>
      <c r="O761" s="234">
        <v>14820</v>
      </c>
      <c r="P761" s="242">
        <v>27</v>
      </c>
      <c r="Q761" s="234">
        <v>25520</v>
      </c>
      <c r="R761" s="234">
        <v>18629.599999999999</v>
      </c>
      <c r="S761" s="234" t="s">
        <v>2386</v>
      </c>
      <c r="T761" s="236">
        <v>45931</v>
      </c>
    </row>
    <row r="762" spans="1:20" ht="38.25" hidden="1">
      <c r="A762" s="239" t="s">
        <v>2375</v>
      </c>
      <c r="B762" s="240">
        <v>1969</v>
      </c>
      <c r="C762" s="241" t="s">
        <v>2376</v>
      </c>
      <c r="D762" s="239" t="s">
        <v>2152</v>
      </c>
      <c r="E762" s="239" t="s">
        <v>390</v>
      </c>
      <c r="F762" s="239" t="s">
        <v>391</v>
      </c>
      <c r="G762" s="239" t="s">
        <v>943</v>
      </c>
      <c r="H762" s="239" t="s">
        <v>51</v>
      </c>
      <c r="I762" s="239" t="s">
        <v>2153</v>
      </c>
      <c r="J762" s="233"/>
      <c r="K762" s="235">
        <v>45931</v>
      </c>
      <c r="L762" s="233">
        <v>1.9</v>
      </c>
      <c r="M762" s="234" t="s">
        <v>943</v>
      </c>
      <c r="N762" s="234">
        <v>41690</v>
      </c>
      <c r="O762" s="234">
        <v>15080</v>
      </c>
      <c r="P762" s="242">
        <v>9</v>
      </c>
      <c r="Q762" s="234">
        <v>26610</v>
      </c>
      <c r="R762" s="234">
        <v>24215.1</v>
      </c>
      <c r="S762" s="234" t="s">
        <v>2389</v>
      </c>
      <c r="T762" s="236">
        <v>45931</v>
      </c>
    </row>
    <row r="763" spans="1:20" ht="38.25" hidden="1">
      <c r="A763" s="239" t="s">
        <v>2371</v>
      </c>
      <c r="B763" s="240">
        <v>1970</v>
      </c>
      <c r="C763" s="241" t="s">
        <v>2357</v>
      </c>
      <c r="D763" s="239" t="s">
        <v>2152</v>
      </c>
      <c r="E763" s="239" t="s">
        <v>392</v>
      </c>
      <c r="F763" s="239" t="s">
        <v>393</v>
      </c>
      <c r="G763" s="239" t="s">
        <v>943</v>
      </c>
      <c r="H763" s="239" t="s">
        <v>51</v>
      </c>
      <c r="I763" s="239" t="s">
        <v>2153</v>
      </c>
      <c r="J763" s="233"/>
      <c r="K763" s="235">
        <v>45931</v>
      </c>
      <c r="L763" s="233">
        <v>2.9</v>
      </c>
      <c r="M763" s="234" t="s">
        <v>943</v>
      </c>
      <c r="N763" s="234">
        <v>66000</v>
      </c>
      <c r="O763" s="234">
        <v>24150</v>
      </c>
      <c r="P763" s="242">
        <v>15</v>
      </c>
      <c r="Q763" s="234">
        <v>41850</v>
      </c>
      <c r="R763" s="234">
        <v>35572.5</v>
      </c>
      <c r="S763" s="234" t="s">
        <v>2385</v>
      </c>
      <c r="T763" s="236">
        <v>45931</v>
      </c>
    </row>
    <row r="764" spans="1:20" ht="25.5" hidden="1">
      <c r="A764" s="239" t="s">
        <v>2374</v>
      </c>
      <c r="B764" s="240">
        <v>1973</v>
      </c>
      <c r="C764" s="241" t="s">
        <v>2357</v>
      </c>
      <c r="D764" s="239" t="s">
        <v>2152</v>
      </c>
      <c r="E764" s="239" t="s">
        <v>403</v>
      </c>
      <c r="F764" s="239" t="s">
        <v>404</v>
      </c>
      <c r="G764" s="239" t="s">
        <v>943</v>
      </c>
      <c r="H764" s="239" t="s">
        <v>51</v>
      </c>
      <c r="I764" s="239" t="s">
        <v>2153</v>
      </c>
      <c r="J764" s="233"/>
      <c r="K764" s="235">
        <v>45931</v>
      </c>
      <c r="L764" s="233">
        <v>1.8</v>
      </c>
      <c r="M764" s="234" t="s">
        <v>943</v>
      </c>
      <c r="N764" s="234">
        <v>40200</v>
      </c>
      <c r="O764" s="234">
        <v>14620</v>
      </c>
      <c r="P764" s="242">
        <v>10</v>
      </c>
      <c r="Q764" s="234">
        <v>25580</v>
      </c>
      <c r="R764" s="234">
        <v>23022</v>
      </c>
      <c r="S764" s="234" t="s">
        <v>2388</v>
      </c>
      <c r="T764" s="236">
        <v>45931</v>
      </c>
    </row>
    <row r="765" spans="1:20" ht="25.5" hidden="1">
      <c r="A765" s="239" t="s">
        <v>2377</v>
      </c>
      <c r="B765" s="240">
        <v>1974</v>
      </c>
      <c r="C765" s="241" t="s">
        <v>2357</v>
      </c>
      <c r="D765" s="239" t="s">
        <v>2152</v>
      </c>
      <c r="E765" s="239" t="s">
        <v>780</v>
      </c>
      <c r="F765" s="239" t="s">
        <v>781</v>
      </c>
      <c r="G765" s="239" t="s">
        <v>943</v>
      </c>
      <c r="H765" s="239" t="s">
        <v>51</v>
      </c>
      <c r="I765" s="239" t="s">
        <v>2153</v>
      </c>
      <c r="J765" s="233"/>
      <c r="K765" s="235">
        <v>45931</v>
      </c>
      <c r="L765" s="233">
        <v>1.6</v>
      </c>
      <c r="M765" s="234" t="s">
        <v>943</v>
      </c>
      <c r="N765" s="234">
        <v>37610</v>
      </c>
      <c r="O765" s="234">
        <v>14930</v>
      </c>
      <c r="P765" s="242">
        <v>10</v>
      </c>
      <c r="Q765" s="234">
        <v>22680</v>
      </c>
      <c r="R765" s="234">
        <v>20412</v>
      </c>
      <c r="S765" s="234" t="s">
        <v>2390</v>
      </c>
      <c r="T765" s="236">
        <v>45931</v>
      </c>
    </row>
    <row r="766" spans="1:20" ht="38.25" hidden="1">
      <c r="A766" s="239" t="s">
        <v>2378</v>
      </c>
      <c r="B766" s="240">
        <v>1975</v>
      </c>
      <c r="C766" s="241" t="s">
        <v>2357</v>
      </c>
      <c r="D766" s="239" t="s">
        <v>2152</v>
      </c>
      <c r="E766" s="239" t="s">
        <v>442</v>
      </c>
      <c r="F766" s="239" t="s">
        <v>443</v>
      </c>
      <c r="G766" s="239" t="s">
        <v>943</v>
      </c>
      <c r="H766" s="239" t="s">
        <v>51</v>
      </c>
      <c r="I766" s="239" t="s">
        <v>2153</v>
      </c>
      <c r="J766" s="233"/>
      <c r="K766" s="235">
        <v>45931</v>
      </c>
      <c r="L766" s="233">
        <v>1.5</v>
      </c>
      <c r="M766" s="234" t="s">
        <v>943</v>
      </c>
      <c r="N766" s="234">
        <v>35620</v>
      </c>
      <c r="O766" s="234">
        <v>14550</v>
      </c>
      <c r="P766" s="242">
        <v>13</v>
      </c>
      <c r="Q766" s="234">
        <v>21070</v>
      </c>
      <c r="R766" s="234">
        <v>18330.900000000001</v>
      </c>
      <c r="S766" s="234" t="s">
        <v>2391</v>
      </c>
      <c r="T766" s="236">
        <v>45931</v>
      </c>
    </row>
    <row r="767" spans="1:20" ht="51" hidden="1">
      <c r="A767" s="239" t="s">
        <v>2379</v>
      </c>
      <c r="B767" s="240">
        <v>1976</v>
      </c>
      <c r="C767" s="241" t="s">
        <v>2357</v>
      </c>
      <c r="D767" s="239" t="s">
        <v>2152</v>
      </c>
      <c r="E767" s="239" t="s">
        <v>380</v>
      </c>
      <c r="F767" s="239" t="s">
        <v>381</v>
      </c>
      <c r="G767" s="239" t="s">
        <v>943</v>
      </c>
      <c r="H767" s="239" t="s">
        <v>51</v>
      </c>
      <c r="I767" s="239" t="s">
        <v>2153</v>
      </c>
      <c r="J767" s="233"/>
      <c r="K767" s="235">
        <v>45931</v>
      </c>
      <c r="L767" s="233">
        <v>1.8</v>
      </c>
      <c r="M767" s="234" t="s">
        <v>943</v>
      </c>
      <c r="N767" s="234">
        <v>40780</v>
      </c>
      <c r="O767" s="234">
        <v>15160</v>
      </c>
      <c r="P767" s="242">
        <v>10</v>
      </c>
      <c r="Q767" s="234">
        <v>25620</v>
      </c>
      <c r="R767" s="234">
        <v>23058</v>
      </c>
      <c r="S767" s="234" t="s">
        <v>2392</v>
      </c>
      <c r="T767" s="236">
        <v>45932</v>
      </c>
    </row>
    <row r="768" spans="1:20" ht="38.25" hidden="1">
      <c r="A768" s="239" t="s">
        <v>2380</v>
      </c>
      <c r="B768" s="240">
        <v>1978</v>
      </c>
      <c r="C768" s="241" t="s">
        <v>2357</v>
      </c>
      <c r="D768" s="239" t="s">
        <v>2152</v>
      </c>
      <c r="E768" s="239" t="s">
        <v>866</v>
      </c>
      <c r="F768" s="239" t="s">
        <v>867</v>
      </c>
      <c r="G768" s="239" t="s">
        <v>943</v>
      </c>
      <c r="H768" s="239" t="s">
        <v>51</v>
      </c>
      <c r="I768" s="239" t="s">
        <v>2153</v>
      </c>
      <c r="J768" s="233"/>
      <c r="K768" s="235">
        <v>45931</v>
      </c>
      <c r="L768" s="233">
        <v>1.7</v>
      </c>
      <c r="M768" s="234" t="s">
        <v>943</v>
      </c>
      <c r="N768" s="234">
        <v>38860</v>
      </c>
      <c r="O768" s="234">
        <v>14600</v>
      </c>
      <c r="P768" s="242">
        <v>10</v>
      </c>
      <c r="Q768" s="234">
        <v>24260</v>
      </c>
      <c r="R768" s="234">
        <v>21834</v>
      </c>
      <c r="S768" s="234" t="s">
        <v>2393</v>
      </c>
      <c r="T768" s="236">
        <v>45932</v>
      </c>
    </row>
    <row r="769" spans="1:20" ht="25.5" hidden="1">
      <c r="A769" s="239" t="s">
        <v>2381</v>
      </c>
      <c r="B769" s="240">
        <v>1979</v>
      </c>
      <c r="C769" s="241" t="s">
        <v>2357</v>
      </c>
      <c r="D769" s="239" t="s">
        <v>2152</v>
      </c>
      <c r="E769" s="239" t="s">
        <v>410</v>
      </c>
      <c r="F769" s="239" t="s">
        <v>411</v>
      </c>
      <c r="G769" s="239" t="s">
        <v>943</v>
      </c>
      <c r="H769" s="239" t="s">
        <v>51</v>
      </c>
      <c r="I769" s="239" t="s">
        <v>2153</v>
      </c>
      <c r="J769" s="233"/>
      <c r="K769" s="235">
        <v>45931</v>
      </c>
      <c r="L769" s="233">
        <v>1.7</v>
      </c>
      <c r="M769" s="234" t="s">
        <v>943</v>
      </c>
      <c r="N769" s="234">
        <v>39950</v>
      </c>
      <c r="O769" s="234">
        <v>15260</v>
      </c>
      <c r="P769" s="242">
        <v>10</v>
      </c>
      <c r="Q769" s="234">
        <v>24690</v>
      </c>
      <c r="R769" s="234">
        <v>22221</v>
      </c>
      <c r="S769" s="234" t="s">
        <v>2394</v>
      </c>
      <c r="T769" s="236">
        <v>45932</v>
      </c>
    </row>
    <row r="770" spans="1:20" ht="38.25" hidden="1">
      <c r="A770" s="239" t="s">
        <v>2382</v>
      </c>
      <c r="B770" s="240">
        <v>1980</v>
      </c>
      <c r="C770" s="241" t="s">
        <v>2357</v>
      </c>
      <c r="D770" s="239" t="s">
        <v>2152</v>
      </c>
      <c r="E770" s="239" t="s">
        <v>388</v>
      </c>
      <c r="F770" s="239" t="s">
        <v>389</v>
      </c>
      <c r="G770" s="239" t="s">
        <v>943</v>
      </c>
      <c r="H770" s="239" t="s">
        <v>51</v>
      </c>
      <c r="I770" s="239" t="s">
        <v>2153</v>
      </c>
      <c r="J770" s="233"/>
      <c r="K770" s="235">
        <v>45931</v>
      </c>
      <c r="L770" s="233">
        <v>2.4</v>
      </c>
      <c r="M770" s="234" t="s">
        <v>943</v>
      </c>
      <c r="N770" s="234">
        <v>55700</v>
      </c>
      <c r="O770" s="234">
        <v>21030</v>
      </c>
      <c r="P770" s="242">
        <v>9</v>
      </c>
      <c r="Q770" s="234">
        <v>34670</v>
      </c>
      <c r="R770" s="234">
        <v>31549.7</v>
      </c>
      <c r="S770" s="234" t="s">
        <v>2395</v>
      </c>
      <c r="T770" s="236">
        <v>45932</v>
      </c>
    </row>
    <row r="771" spans="1:20" ht="38.25" hidden="1">
      <c r="A771" s="239" t="s">
        <v>2383</v>
      </c>
      <c r="B771" s="240">
        <v>1981</v>
      </c>
      <c r="C771" s="241">
        <v>57727</v>
      </c>
      <c r="D771" s="239" t="s">
        <v>2152</v>
      </c>
      <c r="E771" s="239" t="s">
        <v>858</v>
      </c>
      <c r="F771" s="239" t="s">
        <v>859</v>
      </c>
      <c r="G771" s="239" t="s">
        <v>943</v>
      </c>
      <c r="H771" s="239" t="s">
        <v>51</v>
      </c>
      <c r="I771" s="239" t="s">
        <v>2153</v>
      </c>
      <c r="J771" s="233"/>
      <c r="K771" s="235">
        <v>45931</v>
      </c>
      <c r="L771" s="233">
        <v>1.7</v>
      </c>
      <c r="M771" s="234" t="s">
        <v>943</v>
      </c>
      <c r="N771" s="234">
        <v>39090</v>
      </c>
      <c r="O771" s="234">
        <v>14900</v>
      </c>
      <c r="P771" s="242">
        <v>10</v>
      </c>
      <c r="Q771" s="234">
        <v>24190</v>
      </c>
      <c r="R771" s="234">
        <v>21771</v>
      </c>
      <c r="S771" s="234" t="s">
        <v>2396</v>
      </c>
      <c r="T771" s="236">
        <v>45932</v>
      </c>
    </row>
    <row r="772" spans="1:20" ht="38.25" hidden="1">
      <c r="A772" s="239" t="s">
        <v>2373</v>
      </c>
      <c r="B772" s="240">
        <v>1972</v>
      </c>
      <c r="C772" s="241" t="s">
        <v>2357</v>
      </c>
      <c r="D772" s="239" t="s">
        <v>2152</v>
      </c>
      <c r="E772" s="239" t="s">
        <v>406</v>
      </c>
      <c r="F772" s="239" t="s">
        <v>407</v>
      </c>
      <c r="G772" s="239" t="s">
        <v>943</v>
      </c>
      <c r="H772" s="239" t="s">
        <v>51</v>
      </c>
      <c r="I772" s="239" t="s">
        <v>2153</v>
      </c>
      <c r="J772" s="233"/>
      <c r="K772" s="235">
        <v>45931</v>
      </c>
      <c r="L772" s="233">
        <v>1.7</v>
      </c>
      <c r="M772" s="234" t="s">
        <v>943</v>
      </c>
      <c r="N772" s="234">
        <v>40140</v>
      </c>
      <c r="O772" s="234">
        <v>15210</v>
      </c>
      <c r="P772" s="242">
        <v>10</v>
      </c>
      <c r="Q772" s="234">
        <v>24930</v>
      </c>
      <c r="R772" s="234">
        <v>22437</v>
      </c>
      <c r="S772" s="234" t="s">
        <v>2387</v>
      </c>
      <c r="T772" s="236">
        <v>45931</v>
      </c>
    </row>
    <row r="773" spans="1:20" ht="38.25" hidden="1">
      <c r="A773" s="239" t="s">
        <v>2384</v>
      </c>
      <c r="B773" s="240">
        <v>1983</v>
      </c>
      <c r="C773" s="241">
        <v>57728</v>
      </c>
      <c r="D773" s="239" t="s">
        <v>2152</v>
      </c>
      <c r="E773" s="239" t="s">
        <v>372</v>
      </c>
      <c r="F773" s="239" t="s">
        <v>373</v>
      </c>
      <c r="G773" s="239" t="s">
        <v>943</v>
      </c>
      <c r="H773" s="239" t="s">
        <v>51</v>
      </c>
      <c r="I773" s="239" t="s">
        <v>2153</v>
      </c>
      <c r="J773" s="233"/>
      <c r="K773" s="235">
        <v>45931</v>
      </c>
      <c r="L773" s="233">
        <v>1.6</v>
      </c>
      <c r="M773" s="234" t="s">
        <v>943</v>
      </c>
      <c r="N773" s="234">
        <v>38010</v>
      </c>
      <c r="O773" s="234">
        <v>14820</v>
      </c>
      <c r="P773" s="242">
        <v>8</v>
      </c>
      <c r="Q773" s="234">
        <v>23190</v>
      </c>
      <c r="R773" s="234">
        <v>21334.799999999999</v>
      </c>
      <c r="S773" s="234" t="s">
        <v>2397</v>
      </c>
      <c r="T773" s="236">
        <v>45932</v>
      </c>
    </row>
    <row r="774" spans="1:20" ht="38.25" hidden="1">
      <c r="A774" s="239" t="s">
        <v>2398</v>
      </c>
      <c r="B774" s="240">
        <v>1984</v>
      </c>
      <c r="C774" s="241">
        <v>57729</v>
      </c>
      <c r="D774" s="239" t="s">
        <v>2152</v>
      </c>
      <c r="E774" s="239" t="s">
        <v>377</v>
      </c>
      <c r="F774" s="239" t="s">
        <v>378</v>
      </c>
      <c r="G774" s="239" t="s">
        <v>943</v>
      </c>
      <c r="H774" s="239" t="s">
        <v>51</v>
      </c>
      <c r="I774" s="239" t="s">
        <v>2153</v>
      </c>
      <c r="J774" s="233"/>
      <c r="K774" s="235">
        <v>45931</v>
      </c>
      <c r="L774" s="233">
        <v>1.9</v>
      </c>
      <c r="M774" s="234" t="s">
        <v>943</v>
      </c>
      <c r="N774" s="234">
        <v>41820</v>
      </c>
      <c r="O774" s="234">
        <v>15120</v>
      </c>
      <c r="P774" s="242">
        <v>8</v>
      </c>
      <c r="Q774" s="234">
        <v>26700</v>
      </c>
      <c r="R774" s="234">
        <v>24564</v>
      </c>
      <c r="S774" s="234" t="s">
        <v>2400</v>
      </c>
      <c r="T774" s="236">
        <v>45932</v>
      </c>
    </row>
    <row r="775" spans="1:20" ht="51" hidden="1">
      <c r="A775" s="239" t="s">
        <v>2399</v>
      </c>
      <c r="B775" s="240">
        <v>1987</v>
      </c>
      <c r="C775" s="241">
        <v>57730</v>
      </c>
      <c r="D775" s="239" t="s">
        <v>2152</v>
      </c>
      <c r="E775" s="239" t="s">
        <v>382</v>
      </c>
      <c r="F775" s="239" t="s">
        <v>383</v>
      </c>
      <c r="G775" s="239" t="s">
        <v>943</v>
      </c>
      <c r="H775" s="239" t="s">
        <v>51</v>
      </c>
      <c r="I775" s="239" t="s">
        <v>2153</v>
      </c>
      <c r="J775" s="233"/>
      <c r="K775" s="235">
        <v>45931</v>
      </c>
      <c r="L775" s="233">
        <v>1.7</v>
      </c>
      <c r="M775" s="234" t="s">
        <v>943</v>
      </c>
      <c r="N775" s="234">
        <v>38420</v>
      </c>
      <c r="O775" s="234">
        <v>14580</v>
      </c>
      <c r="P775" s="242">
        <v>7</v>
      </c>
      <c r="Q775" s="234">
        <v>23840</v>
      </c>
      <c r="R775" s="234">
        <v>22171.200000000001</v>
      </c>
      <c r="S775" s="234" t="s">
        <v>2401</v>
      </c>
      <c r="T775" s="236">
        <v>45932</v>
      </c>
    </row>
    <row r="776" spans="1:20" ht="38.25" hidden="1">
      <c r="A776" s="239" t="s">
        <v>2402</v>
      </c>
      <c r="B776" s="240">
        <v>1992</v>
      </c>
      <c r="C776" s="241">
        <v>57730</v>
      </c>
      <c r="D776" s="239" t="s">
        <v>2152</v>
      </c>
      <c r="E776" s="239" t="s">
        <v>400</v>
      </c>
      <c r="F776" s="239" t="s">
        <v>401</v>
      </c>
      <c r="G776" s="239" t="s">
        <v>945</v>
      </c>
      <c r="H776" s="239" t="s">
        <v>51</v>
      </c>
      <c r="I776" s="239" t="s">
        <v>2153</v>
      </c>
      <c r="J776" s="233"/>
      <c r="K776" s="235">
        <v>45932</v>
      </c>
      <c r="L776" s="233">
        <v>2</v>
      </c>
      <c r="M776" s="234" t="s">
        <v>945</v>
      </c>
      <c r="N776" s="234">
        <v>39900</v>
      </c>
      <c r="O776" s="234">
        <v>14740</v>
      </c>
      <c r="P776" s="242">
        <v>14</v>
      </c>
      <c r="Q776" s="234">
        <v>25160</v>
      </c>
      <c r="R776" s="234">
        <v>21637.599999999999</v>
      </c>
      <c r="S776" s="234" t="s">
        <v>2420</v>
      </c>
      <c r="T776" s="236">
        <v>45932</v>
      </c>
    </row>
    <row r="777" spans="1:20" ht="25.5" hidden="1">
      <c r="A777" s="239" t="s">
        <v>2403</v>
      </c>
      <c r="B777" s="240">
        <v>1993</v>
      </c>
      <c r="C777" s="241">
        <v>57731</v>
      </c>
      <c r="D777" s="239" t="s">
        <v>2152</v>
      </c>
      <c r="E777" s="239" t="s">
        <v>403</v>
      </c>
      <c r="F777" s="239" t="s">
        <v>404</v>
      </c>
      <c r="G777" s="239" t="s">
        <v>945</v>
      </c>
      <c r="H777" s="239" t="s">
        <v>51</v>
      </c>
      <c r="I777" s="239" t="s">
        <v>2153</v>
      </c>
      <c r="J777" s="233"/>
      <c r="K777" s="235">
        <v>45932</v>
      </c>
      <c r="L777" s="233">
        <v>2.1</v>
      </c>
      <c r="M777" s="234" t="s">
        <v>945</v>
      </c>
      <c r="N777" s="234">
        <v>39830</v>
      </c>
      <c r="O777" s="234">
        <v>14550</v>
      </c>
      <c r="P777" s="242">
        <v>6</v>
      </c>
      <c r="Q777" s="234">
        <v>25280</v>
      </c>
      <c r="R777" s="234">
        <v>23763.200000000001</v>
      </c>
      <c r="S777" s="234" t="s">
        <v>2421</v>
      </c>
      <c r="T777" s="236">
        <v>45932</v>
      </c>
    </row>
    <row r="778" spans="1:20" ht="38.25" hidden="1">
      <c r="A778" s="239" t="s">
        <v>2404</v>
      </c>
      <c r="B778" s="240">
        <v>1994</v>
      </c>
      <c r="C778" s="241" t="s">
        <v>2376</v>
      </c>
      <c r="D778" s="239" t="s">
        <v>2152</v>
      </c>
      <c r="E778" s="239" t="s">
        <v>390</v>
      </c>
      <c r="F778" s="239" t="s">
        <v>391</v>
      </c>
      <c r="G778" s="239" t="s">
        <v>945</v>
      </c>
      <c r="H778" s="239" t="s">
        <v>51</v>
      </c>
      <c r="I778" s="239" t="s">
        <v>2153</v>
      </c>
      <c r="J778" s="233"/>
      <c r="K778" s="235">
        <v>45932</v>
      </c>
      <c r="L778" s="233">
        <v>2.1</v>
      </c>
      <c r="M778" s="234" t="s">
        <v>945</v>
      </c>
      <c r="N778" s="234">
        <v>40780</v>
      </c>
      <c r="O778" s="234">
        <v>15150</v>
      </c>
      <c r="P778" s="242">
        <v>7</v>
      </c>
      <c r="Q778" s="234">
        <v>25630</v>
      </c>
      <c r="R778" s="234">
        <v>23835.9</v>
      </c>
      <c r="S778" s="234" t="s">
        <v>2422</v>
      </c>
      <c r="T778" s="236">
        <v>45932</v>
      </c>
    </row>
    <row r="779" spans="1:20" ht="38.25" hidden="1">
      <c r="A779" s="239" t="s">
        <v>2408</v>
      </c>
      <c r="B779" s="240">
        <v>1995</v>
      </c>
      <c r="C779" s="241" t="s">
        <v>2357</v>
      </c>
      <c r="D779" s="239" t="s">
        <v>2152</v>
      </c>
      <c r="E779" s="239" t="s">
        <v>392</v>
      </c>
      <c r="F779" s="239" t="s">
        <v>393</v>
      </c>
      <c r="G779" s="239" t="s">
        <v>945</v>
      </c>
      <c r="H779" s="239" t="s">
        <v>51</v>
      </c>
      <c r="I779" s="239" t="s">
        <v>2153</v>
      </c>
      <c r="J779" s="233"/>
      <c r="K779" s="235">
        <v>45932</v>
      </c>
      <c r="L779" s="233">
        <v>3.3</v>
      </c>
      <c r="M779" s="234" t="s">
        <v>945</v>
      </c>
      <c r="N779" s="234">
        <v>65180</v>
      </c>
      <c r="O779" s="234">
        <v>24220</v>
      </c>
      <c r="P779" s="242">
        <v>6</v>
      </c>
      <c r="Q779" s="234">
        <v>40960</v>
      </c>
      <c r="R779" s="234">
        <v>38502.400000000001</v>
      </c>
      <c r="S779" s="234" t="s">
        <v>2426</v>
      </c>
      <c r="T779" s="236">
        <v>45932</v>
      </c>
    </row>
    <row r="780" spans="1:20" ht="25.5" hidden="1">
      <c r="A780" s="239" t="s">
        <v>2409</v>
      </c>
      <c r="B780" s="240">
        <v>1996</v>
      </c>
      <c r="C780" s="241" t="s">
        <v>2357</v>
      </c>
      <c r="D780" s="239" t="s">
        <v>2152</v>
      </c>
      <c r="E780" s="239" t="s">
        <v>374</v>
      </c>
      <c r="F780" s="239" t="s">
        <v>375</v>
      </c>
      <c r="G780" s="239" t="s">
        <v>945</v>
      </c>
      <c r="H780" s="239" t="s">
        <v>51</v>
      </c>
      <c r="I780" s="239" t="s">
        <v>2153</v>
      </c>
      <c r="J780" s="233"/>
      <c r="K780" s="235">
        <v>45932</v>
      </c>
      <c r="L780" s="233">
        <v>2.1</v>
      </c>
      <c r="M780" s="234" t="s">
        <v>945</v>
      </c>
      <c r="N780" s="234">
        <v>41130</v>
      </c>
      <c r="O780" s="234">
        <v>15710</v>
      </c>
      <c r="P780" s="242">
        <v>11</v>
      </c>
      <c r="Q780" s="234">
        <v>25420</v>
      </c>
      <c r="R780" s="234">
        <v>22623.8</v>
      </c>
      <c r="S780" s="234" t="s">
        <v>2427</v>
      </c>
      <c r="T780" s="236">
        <v>45932</v>
      </c>
    </row>
    <row r="781" spans="1:20" ht="38.25" hidden="1">
      <c r="A781" s="239" t="s">
        <v>2411</v>
      </c>
      <c r="B781" s="240">
        <v>1998</v>
      </c>
      <c r="C781" s="241" t="s">
        <v>2357</v>
      </c>
      <c r="D781" s="239" t="s">
        <v>2152</v>
      </c>
      <c r="E781" s="239" t="s">
        <v>866</v>
      </c>
      <c r="F781" s="239" t="s">
        <v>867</v>
      </c>
      <c r="G781" s="239" t="s">
        <v>945</v>
      </c>
      <c r="H781" s="239" t="s">
        <v>51</v>
      </c>
      <c r="I781" s="239" t="s">
        <v>2153</v>
      </c>
      <c r="J781" s="233"/>
      <c r="K781" s="235">
        <v>45932</v>
      </c>
      <c r="L781" s="233">
        <v>2</v>
      </c>
      <c r="M781" s="234" t="s">
        <v>945</v>
      </c>
      <c r="N781" s="234">
        <v>39340</v>
      </c>
      <c r="O781" s="234">
        <v>14580</v>
      </c>
      <c r="P781" s="242">
        <v>6</v>
      </c>
      <c r="Q781" s="234">
        <v>24760</v>
      </c>
      <c r="R781" s="234">
        <v>23274.400000000001</v>
      </c>
      <c r="S781" s="234" t="s">
        <v>2429</v>
      </c>
      <c r="T781" s="236">
        <v>45932</v>
      </c>
    </row>
    <row r="782" spans="1:20" ht="51" hidden="1">
      <c r="A782" s="239" t="s">
        <v>2414</v>
      </c>
      <c r="B782" s="240">
        <v>2000</v>
      </c>
      <c r="C782" s="241" t="s">
        <v>2357</v>
      </c>
      <c r="D782" s="239" t="s">
        <v>2152</v>
      </c>
      <c r="E782" s="239" t="s">
        <v>380</v>
      </c>
      <c r="F782" s="239" t="s">
        <v>381</v>
      </c>
      <c r="G782" s="239" t="s">
        <v>945</v>
      </c>
      <c r="H782" s="239" t="s">
        <v>51</v>
      </c>
      <c r="I782" s="239" t="s">
        <v>2153</v>
      </c>
      <c r="J782" s="233"/>
      <c r="K782" s="235">
        <v>45932</v>
      </c>
      <c r="L782" s="233">
        <v>2.1</v>
      </c>
      <c r="M782" s="234" t="s">
        <v>945</v>
      </c>
      <c r="N782" s="234">
        <v>40640</v>
      </c>
      <c r="O782" s="234">
        <v>15090</v>
      </c>
      <c r="P782" s="242">
        <v>11</v>
      </c>
      <c r="Q782" s="234">
        <v>25550</v>
      </c>
      <c r="R782" s="234">
        <v>22739.5</v>
      </c>
      <c r="S782" s="234" t="s">
        <v>2432</v>
      </c>
      <c r="T782" s="236">
        <v>45932</v>
      </c>
    </row>
    <row r="783" spans="1:20" ht="38.25" hidden="1">
      <c r="A783" s="239" t="s">
        <v>2415</v>
      </c>
      <c r="B783" s="240">
        <v>2001</v>
      </c>
      <c r="C783" s="241" t="s">
        <v>2357</v>
      </c>
      <c r="D783" s="239" t="s">
        <v>2152</v>
      </c>
      <c r="E783" s="239" t="s">
        <v>388</v>
      </c>
      <c r="F783" s="239" t="s">
        <v>389</v>
      </c>
      <c r="G783" s="239" t="s">
        <v>945</v>
      </c>
      <c r="H783" s="239" t="s">
        <v>51</v>
      </c>
      <c r="I783" s="239" t="s">
        <v>2153</v>
      </c>
      <c r="J783" s="233"/>
      <c r="K783" s="235">
        <v>45932</v>
      </c>
      <c r="L783" s="233">
        <v>2.9</v>
      </c>
      <c r="M783" s="234" t="s">
        <v>945</v>
      </c>
      <c r="N783" s="234">
        <v>56280</v>
      </c>
      <c r="O783" s="234">
        <v>20970</v>
      </c>
      <c r="P783" s="242">
        <v>11</v>
      </c>
      <c r="Q783" s="234">
        <v>35310</v>
      </c>
      <c r="R783" s="234">
        <v>31425.9</v>
      </c>
      <c r="S783" s="234" t="s">
        <v>2433</v>
      </c>
      <c r="T783" s="236">
        <v>45932</v>
      </c>
    </row>
    <row r="784" spans="1:20" ht="38.25" hidden="1">
      <c r="A784" s="239" t="s">
        <v>2419</v>
      </c>
      <c r="B784" s="240">
        <v>2003</v>
      </c>
      <c r="C784" s="241" t="s">
        <v>2357</v>
      </c>
      <c r="D784" s="239" t="s">
        <v>2152</v>
      </c>
      <c r="E784" s="239" t="s">
        <v>442</v>
      </c>
      <c r="F784" s="239" t="s">
        <v>443</v>
      </c>
      <c r="G784" s="239" t="s">
        <v>945</v>
      </c>
      <c r="H784" s="239" t="s">
        <v>51</v>
      </c>
      <c r="I784" s="239" t="s">
        <v>2153</v>
      </c>
      <c r="J784" s="233"/>
      <c r="K784" s="235">
        <v>45932</v>
      </c>
      <c r="L784" s="233">
        <v>1.7</v>
      </c>
      <c r="M784" s="234" t="s">
        <v>945</v>
      </c>
      <c r="N784" s="234">
        <v>35970</v>
      </c>
      <c r="O784" s="234">
        <v>14490</v>
      </c>
      <c r="P784" s="242">
        <v>6</v>
      </c>
      <c r="Q784" s="234">
        <v>21480</v>
      </c>
      <c r="R784" s="234">
        <v>20191.2</v>
      </c>
      <c r="S784" s="234" t="s">
        <v>2437</v>
      </c>
      <c r="T784" s="236">
        <v>45932</v>
      </c>
    </row>
    <row r="785" spans="1:20" ht="25.5" hidden="1">
      <c r="A785" s="239" t="s">
        <v>2405</v>
      </c>
      <c r="B785" s="240">
        <v>2004</v>
      </c>
      <c r="C785" s="241" t="s">
        <v>2357</v>
      </c>
      <c r="D785" s="239" t="s">
        <v>2152</v>
      </c>
      <c r="E785" s="239" t="s">
        <v>780</v>
      </c>
      <c r="F785" s="239" t="s">
        <v>781</v>
      </c>
      <c r="G785" s="239" t="s">
        <v>945</v>
      </c>
      <c r="H785" s="239" t="s">
        <v>51</v>
      </c>
      <c r="I785" s="239" t="s">
        <v>2153</v>
      </c>
      <c r="J785" s="233"/>
      <c r="K785" s="235">
        <v>45932</v>
      </c>
      <c r="L785" s="233">
        <v>1.6</v>
      </c>
      <c r="M785" s="234" t="s">
        <v>945</v>
      </c>
      <c r="N785" s="234">
        <v>34630</v>
      </c>
      <c r="O785" s="234">
        <v>14870</v>
      </c>
      <c r="P785" s="242">
        <v>14</v>
      </c>
      <c r="Q785" s="234">
        <v>19760</v>
      </c>
      <c r="R785" s="234">
        <v>16993.599999999999</v>
      </c>
      <c r="S785" s="234" t="s">
        <v>2423</v>
      </c>
      <c r="T785" s="236">
        <v>45932</v>
      </c>
    </row>
    <row r="786" spans="1:20" ht="38.25" hidden="1">
      <c r="A786" s="239" t="s">
        <v>2406</v>
      </c>
      <c r="B786" s="240">
        <v>2005</v>
      </c>
      <c r="C786" s="241" t="s">
        <v>2357</v>
      </c>
      <c r="D786" s="239" t="s">
        <v>2152</v>
      </c>
      <c r="E786" s="239" t="s">
        <v>372</v>
      </c>
      <c r="F786" s="239" t="s">
        <v>373</v>
      </c>
      <c r="G786" s="239" t="s">
        <v>945</v>
      </c>
      <c r="H786" s="239" t="s">
        <v>51</v>
      </c>
      <c r="I786" s="239" t="s">
        <v>2153</v>
      </c>
      <c r="J786" s="233"/>
      <c r="K786" s="235">
        <v>45932</v>
      </c>
      <c r="L786" s="233">
        <v>1.9</v>
      </c>
      <c r="M786" s="234" t="s">
        <v>945</v>
      </c>
      <c r="N786" s="234">
        <v>38450</v>
      </c>
      <c r="O786" s="234">
        <v>14940</v>
      </c>
      <c r="P786" s="242">
        <v>21</v>
      </c>
      <c r="Q786" s="234">
        <v>23510</v>
      </c>
      <c r="R786" s="234">
        <v>18572.900000000001</v>
      </c>
      <c r="S786" s="234" t="s">
        <v>2424</v>
      </c>
      <c r="T786" s="236">
        <v>45932</v>
      </c>
    </row>
    <row r="787" spans="1:20" ht="38.25" hidden="1">
      <c r="A787" s="239" t="s">
        <v>2407</v>
      </c>
      <c r="B787" s="240">
        <v>2006</v>
      </c>
      <c r="C787" s="241" t="s">
        <v>2357</v>
      </c>
      <c r="D787" s="239" t="s">
        <v>2152</v>
      </c>
      <c r="E787" s="239" t="s">
        <v>858</v>
      </c>
      <c r="F787" s="239" t="s">
        <v>859</v>
      </c>
      <c r="G787" s="239" t="s">
        <v>945</v>
      </c>
      <c r="H787" s="239" t="s">
        <v>51</v>
      </c>
      <c r="I787" s="239" t="s">
        <v>2153</v>
      </c>
      <c r="J787" s="233"/>
      <c r="K787" s="235">
        <v>45932</v>
      </c>
      <c r="L787" s="233">
        <v>2</v>
      </c>
      <c r="M787" s="234" t="s">
        <v>945</v>
      </c>
      <c r="N787" s="234">
        <v>39040</v>
      </c>
      <c r="O787" s="234">
        <v>14790</v>
      </c>
      <c r="P787" s="242">
        <v>9</v>
      </c>
      <c r="Q787" s="234">
        <v>24250</v>
      </c>
      <c r="R787" s="234">
        <v>22067.5</v>
      </c>
      <c r="S787" s="234" t="s">
        <v>2425</v>
      </c>
      <c r="T787" s="236">
        <v>45932</v>
      </c>
    </row>
    <row r="788" spans="1:20" ht="38.25" hidden="1">
      <c r="A788" s="239" t="s">
        <v>2410</v>
      </c>
      <c r="B788" s="240">
        <v>2007</v>
      </c>
      <c r="C788" s="241" t="s">
        <v>2357</v>
      </c>
      <c r="D788" s="239" t="s">
        <v>2152</v>
      </c>
      <c r="E788" s="239" t="s">
        <v>377</v>
      </c>
      <c r="F788" s="239" t="s">
        <v>378</v>
      </c>
      <c r="G788" s="239" t="s">
        <v>945</v>
      </c>
      <c r="H788" s="239" t="s">
        <v>51</v>
      </c>
      <c r="I788" s="239" t="s">
        <v>2153</v>
      </c>
      <c r="J788" s="233"/>
      <c r="K788" s="235">
        <v>45932</v>
      </c>
      <c r="L788" s="233">
        <v>2.2999999999999998</v>
      </c>
      <c r="M788" s="234" t="s">
        <v>945</v>
      </c>
      <c r="N788" s="234">
        <v>43570</v>
      </c>
      <c r="O788" s="234">
        <v>15200</v>
      </c>
      <c r="P788" s="242">
        <v>12</v>
      </c>
      <c r="Q788" s="234">
        <v>28370</v>
      </c>
      <c r="R788" s="234">
        <v>24965.599999999999</v>
      </c>
      <c r="S788" s="234" t="s">
        <v>2428</v>
      </c>
      <c r="T788" s="236">
        <v>45932</v>
      </c>
    </row>
    <row r="789" spans="1:20" ht="25.5" hidden="1">
      <c r="A789" s="239" t="s">
        <v>2412</v>
      </c>
      <c r="B789" s="240">
        <v>2008</v>
      </c>
      <c r="C789" s="241" t="s">
        <v>2357</v>
      </c>
      <c r="D789" s="239" t="s">
        <v>2152</v>
      </c>
      <c r="E789" s="239" t="s">
        <v>410</v>
      </c>
      <c r="F789" s="239" t="s">
        <v>411</v>
      </c>
      <c r="G789" s="239" t="s">
        <v>945</v>
      </c>
      <c r="H789" s="239" t="s">
        <v>51</v>
      </c>
      <c r="I789" s="239" t="s">
        <v>2153</v>
      </c>
      <c r="J789" s="233"/>
      <c r="K789" s="235">
        <v>45932</v>
      </c>
      <c r="L789" s="233">
        <v>2</v>
      </c>
      <c r="M789" s="234" t="s">
        <v>945</v>
      </c>
      <c r="N789" s="234">
        <v>39790</v>
      </c>
      <c r="O789" s="234">
        <v>15190</v>
      </c>
      <c r="P789" s="242">
        <v>13</v>
      </c>
      <c r="Q789" s="234">
        <v>24600</v>
      </c>
      <c r="R789" s="234">
        <v>21402</v>
      </c>
      <c r="S789" s="234" t="s">
        <v>2430</v>
      </c>
      <c r="T789" s="236">
        <v>45932</v>
      </c>
    </row>
    <row r="790" spans="1:20" ht="25.5" hidden="1">
      <c r="A790" s="239" t="s">
        <v>2413</v>
      </c>
      <c r="B790" s="240">
        <v>2009</v>
      </c>
      <c r="C790" s="241" t="s">
        <v>2357</v>
      </c>
      <c r="D790" s="239" t="s">
        <v>2152</v>
      </c>
      <c r="E790" s="239" t="s">
        <v>384</v>
      </c>
      <c r="F790" s="239" t="s">
        <v>385</v>
      </c>
      <c r="G790" s="239" t="s">
        <v>945</v>
      </c>
      <c r="H790" s="239" t="s">
        <v>51</v>
      </c>
      <c r="I790" s="239" t="s">
        <v>2153</v>
      </c>
      <c r="J790" s="233"/>
      <c r="K790" s="235">
        <v>45932</v>
      </c>
      <c r="L790" s="233">
        <v>1.8</v>
      </c>
      <c r="M790" s="234" t="s">
        <v>945</v>
      </c>
      <c r="N790" s="234">
        <v>36600</v>
      </c>
      <c r="O790" s="234">
        <v>13980</v>
      </c>
      <c r="P790" s="242">
        <v>12</v>
      </c>
      <c r="Q790" s="234">
        <v>22620</v>
      </c>
      <c r="R790" s="234">
        <v>19905.599999999999</v>
      </c>
      <c r="S790" s="234" t="s">
        <v>2431</v>
      </c>
      <c r="T790" s="236">
        <v>45932</v>
      </c>
    </row>
    <row r="791" spans="1:20" ht="25.5" hidden="1">
      <c r="A791" s="239" t="s">
        <v>2416</v>
      </c>
      <c r="B791" s="240">
        <v>2010</v>
      </c>
      <c r="C791" s="241" t="s">
        <v>2357</v>
      </c>
      <c r="D791" s="239" t="s">
        <v>2152</v>
      </c>
      <c r="E791" s="239" t="s">
        <v>403</v>
      </c>
      <c r="F791" s="239" t="s">
        <v>404</v>
      </c>
      <c r="G791" s="239" t="s">
        <v>945</v>
      </c>
      <c r="H791" s="239" t="s">
        <v>51</v>
      </c>
      <c r="I791" s="239" t="s">
        <v>2153</v>
      </c>
      <c r="J791" s="233"/>
      <c r="K791" s="235">
        <v>45932</v>
      </c>
      <c r="L791" s="233">
        <v>2</v>
      </c>
      <c r="M791" s="234" t="s">
        <v>945</v>
      </c>
      <c r="N791" s="234">
        <v>38560</v>
      </c>
      <c r="O791" s="234">
        <v>14490</v>
      </c>
      <c r="P791" s="242">
        <v>11</v>
      </c>
      <c r="Q791" s="234">
        <v>24070</v>
      </c>
      <c r="R791" s="234">
        <v>21422.3</v>
      </c>
      <c r="S791" s="234" t="s">
        <v>2434</v>
      </c>
      <c r="T791" s="236">
        <v>45932</v>
      </c>
    </row>
    <row r="792" spans="1:20" ht="38.25" hidden="1">
      <c r="A792" s="239" t="s">
        <v>2417</v>
      </c>
      <c r="B792" s="240">
        <v>2011</v>
      </c>
      <c r="C792" s="241" t="s">
        <v>2357</v>
      </c>
      <c r="D792" s="239" t="s">
        <v>2152</v>
      </c>
      <c r="E792" s="239" t="s">
        <v>400</v>
      </c>
      <c r="F792" s="239" t="s">
        <v>401</v>
      </c>
      <c r="G792" s="239" t="s">
        <v>945</v>
      </c>
      <c r="H792" s="239" t="s">
        <v>51</v>
      </c>
      <c r="I792" s="239" t="s">
        <v>2153</v>
      </c>
      <c r="J792" s="233"/>
      <c r="K792" s="235">
        <v>45932</v>
      </c>
      <c r="L792" s="233">
        <v>1.9</v>
      </c>
      <c r="M792" s="234" t="s">
        <v>945</v>
      </c>
      <c r="N792" s="234">
        <v>38730</v>
      </c>
      <c r="O792" s="234">
        <v>14840</v>
      </c>
      <c r="P792" s="242">
        <v>17</v>
      </c>
      <c r="Q792" s="234">
        <v>23890</v>
      </c>
      <c r="R792" s="234">
        <v>19828.7</v>
      </c>
      <c r="S792" s="234" t="s">
        <v>2435</v>
      </c>
      <c r="T792" s="236">
        <v>45932</v>
      </c>
    </row>
    <row r="793" spans="1:20" ht="51" hidden="1">
      <c r="A793" s="239" t="s">
        <v>2418</v>
      </c>
      <c r="B793" s="240">
        <v>2012</v>
      </c>
      <c r="C793" s="241" t="s">
        <v>2357</v>
      </c>
      <c r="D793" s="239" t="s">
        <v>2152</v>
      </c>
      <c r="E793" s="239" t="s">
        <v>382</v>
      </c>
      <c r="F793" s="239" t="s">
        <v>383</v>
      </c>
      <c r="G793" s="239" t="s">
        <v>945</v>
      </c>
      <c r="H793" s="239" t="s">
        <v>51</v>
      </c>
      <c r="I793" s="239" t="s">
        <v>2153</v>
      </c>
      <c r="J793" s="233"/>
      <c r="K793" s="235">
        <v>45932</v>
      </c>
      <c r="L793" s="233">
        <v>1.9</v>
      </c>
      <c r="M793" s="234" t="s">
        <v>945</v>
      </c>
      <c r="N793" s="234">
        <v>38530</v>
      </c>
      <c r="O793" s="234">
        <v>14660</v>
      </c>
      <c r="P793" s="242">
        <v>16</v>
      </c>
      <c r="Q793" s="234">
        <v>23870</v>
      </c>
      <c r="R793" s="234">
        <v>20050.8</v>
      </c>
      <c r="S793" s="234" t="s">
        <v>2436</v>
      </c>
      <c r="T793" s="236">
        <v>45932</v>
      </c>
    </row>
    <row r="794" spans="1:20" ht="38.25" hidden="1">
      <c r="A794" s="239" t="s">
        <v>2438</v>
      </c>
      <c r="B794" s="240">
        <v>2013</v>
      </c>
      <c r="C794" s="241" t="s">
        <v>2357</v>
      </c>
      <c r="D794" s="239" t="s">
        <v>2152</v>
      </c>
      <c r="E794" s="239" t="s">
        <v>392</v>
      </c>
      <c r="F794" s="239" t="s">
        <v>393</v>
      </c>
      <c r="G794" s="239" t="s">
        <v>945</v>
      </c>
      <c r="H794" s="239" t="s">
        <v>51</v>
      </c>
      <c r="I794" s="239" t="s">
        <v>2153</v>
      </c>
      <c r="J794" s="233"/>
      <c r="K794" s="235">
        <v>45932</v>
      </c>
      <c r="L794" s="233">
        <v>3.3</v>
      </c>
      <c r="M794" s="234" t="s">
        <v>945</v>
      </c>
      <c r="N794" s="234">
        <v>63840</v>
      </c>
      <c r="O794" s="234">
        <v>24140</v>
      </c>
      <c r="P794" s="242">
        <v>15</v>
      </c>
      <c r="Q794" s="234">
        <v>39700</v>
      </c>
      <c r="R794" s="234">
        <v>33745</v>
      </c>
      <c r="S794" s="234" t="s">
        <v>2439</v>
      </c>
      <c r="T794" s="236">
        <v>45933</v>
      </c>
    </row>
    <row r="795" spans="1:20" ht="38.25" hidden="1">
      <c r="A795" s="239" t="s">
        <v>2441</v>
      </c>
      <c r="B795" s="240">
        <v>2017</v>
      </c>
      <c r="C795" s="241" t="s">
        <v>2357</v>
      </c>
      <c r="D795" s="239" t="s">
        <v>2152</v>
      </c>
      <c r="E795" s="239" t="s">
        <v>390</v>
      </c>
      <c r="F795" s="239" t="s">
        <v>391</v>
      </c>
      <c r="G795" s="239" t="s">
        <v>943</v>
      </c>
      <c r="H795" s="239" t="s">
        <v>51</v>
      </c>
      <c r="I795" s="239" t="s">
        <v>2153</v>
      </c>
      <c r="J795" s="233"/>
      <c r="K795" s="235">
        <v>45932</v>
      </c>
      <c r="L795" s="233">
        <v>1.6</v>
      </c>
      <c r="M795" s="234" t="s">
        <v>943</v>
      </c>
      <c r="N795" s="234">
        <v>38600</v>
      </c>
      <c r="O795" s="234">
        <v>15070</v>
      </c>
      <c r="P795" s="242">
        <v>18</v>
      </c>
      <c r="Q795" s="234">
        <v>23530</v>
      </c>
      <c r="R795" s="234">
        <v>19294.599999999999</v>
      </c>
      <c r="S795" s="234" t="s">
        <v>2442</v>
      </c>
      <c r="T795" s="236">
        <v>45933</v>
      </c>
    </row>
    <row r="796" spans="1:20" ht="25.5" hidden="1">
      <c r="A796" s="239" t="s">
        <v>2443</v>
      </c>
      <c r="B796" s="240">
        <v>2018</v>
      </c>
      <c r="C796" s="241" t="s">
        <v>2357</v>
      </c>
      <c r="D796" s="239" t="s">
        <v>2152</v>
      </c>
      <c r="E796" s="239" t="s">
        <v>374</v>
      </c>
      <c r="F796" s="239" t="s">
        <v>375</v>
      </c>
      <c r="G796" s="239" t="s">
        <v>943</v>
      </c>
      <c r="H796" s="239" t="s">
        <v>51</v>
      </c>
      <c r="I796" s="239" t="s">
        <v>2153</v>
      </c>
      <c r="J796" s="233"/>
      <c r="K796" s="235">
        <v>45932</v>
      </c>
      <c r="L796" s="233">
        <v>1.7</v>
      </c>
      <c r="M796" s="234" t="s">
        <v>943</v>
      </c>
      <c r="N796" s="234">
        <v>40640</v>
      </c>
      <c r="O796" s="234">
        <v>15650</v>
      </c>
      <c r="P796" s="242">
        <v>12</v>
      </c>
      <c r="Q796" s="234">
        <v>24990</v>
      </c>
      <c r="R796" s="234">
        <v>21991.200000000001</v>
      </c>
      <c r="S796" s="234" t="s">
        <v>2444</v>
      </c>
      <c r="T796" s="236">
        <v>45933</v>
      </c>
    </row>
    <row r="797" spans="1:20" ht="38.25" hidden="1">
      <c r="A797" s="239" t="s">
        <v>2445</v>
      </c>
      <c r="B797" s="240">
        <v>2019</v>
      </c>
      <c r="C797" s="241" t="s">
        <v>2357</v>
      </c>
      <c r="D797" s="239" t="s">
        <v>2152</v>
      </c>
      <c r="E797" s="239" t="s">
        <v>866</v>
      </c>
      <c r="F797" s="239" t="s">
        <v>867</v>
      </c>
      <c r="G797" s="239" t="s">
        <v>943</v>
      </c>
      <c r="H797" s="239" t="s">
        <v>51</v>
      </c>
      <c r="I797" s="239" t="s">
        <v>2153</v>
      </c>
      <c r="J797" s="233"/>
      <c r="K797" s="235">
        <v>45932</v>
      </c>
      <c r="L797" s="233">
        <v>1.7</v>
      </c>
      <c r="M797" s="234" t="s">
        <v>943</v>
      </c>
      <c r="N797" s="234">
        <v>38770</v>
      </c>
      <c r="O797" s="234">
        <v>14580</v>
      </c>
      <c r="P797" s="242">
        <v>13</v>
      </c>
      <c r="Q797" s="234">
        <v>24190</v>
      </c>
      <c r="R797" s="234">
        <v>21045.3</v>
      </c>
      <c r="S797" s="234" t="s">
        <v>2446</v>
      </c>
      <c r="T797" s="236">
        <v>45933</v>
      </c>
    </row>
    <row r="798" spans="1:20" ht="51" hidden="1">
      <c r="A798" s="258" t="s">
        <v>2450</v>
      </c>
      <c r="B798" s="240">
        <v>2026</v>
      </c>
      <c r="C798" s="241" t="s">
        <v>2357</v>
      </c>
      <c r="D798" s="239" t="s">
        <v>2152</v>
      </c>
      <c r="E798" s="239" t="s">
        <v>380</v>
      </c>
      <c r="F798" s="239" t="s">
        <v>381</v>
      </c>
      <c r="G798" s="239" t="s">
        <v>943</v>
      </c>
      <c r="H798" s="239" t="s">
        <v>51</v>
      </c>
      <c r="I798" s="239" t="s">
        <v>2153</v>
      </c>
      <c r="J798" s="233"/>
      <c r="K798" s="235">
        <v>45933</v>
      </c>
      <c r="L798" s="233">
        <v>1.7</v>
      </c>
      <c r="M798" s="234" t="s">
        <v>943</v>
      </c>
      <c r="N798" s="234">
        <v>39840</v>
      </c>
      <c r="O798" s="234">
        <v>15050</v>
      </c>
      <c r="P798" s="242">
        <v>10</v>
      </c>
      <c r="Q798" s="234">
        <v>24790</v>
      </c>
      <c r="R798" s="234">
        <v>22311</v>
      </c>
      <c r="S798" s="234" t="s">
        <v>2466</v>
      </c>
      <c r="T798" s="236">
        <v>45933</v>
      </c>
    </row>
    <row r="799" spans="1:20" ht="38.25" hidden="1">
      <c r="A799" s="239" t="s">
        <v>2451</v>
      </c>
      <c r="B799" s="240">
        <v>2027</v>
      </c>
      <c r="C799" s="241" t="s">
        <v>2357</v>
      </c>
      <c r="D799" s="239" t="s">
        <v>2152</v>
      </c>
      <c r="E799" s="239" t="s">
        <v>372</v>
      </c>
      <c r="F799" s="239" t="s">
        <v>373</v>
      </c>
      <c r="G799" s="239" t="s">
        <v>943</v>
      </c>
      <c r="H799" s="239" t="s">
        <v>51</v>
      </c>
      <c r="I799" s="239" t="s">
        <v>2153</v>
      </c>
      <c r="J799" s="233"/>
      <c r="K799" s="235">
        <v>45933</v>
      </c>
      <c r="L799" s="233">
        <v>1.7</v>
      </c>
      <c r="M799" s="234" t="s">
        <v>943</v>
      </c>
      <c r="N799" s="234">
        <v>39140</v>
      </c>
      <c r="O799" s="234">
        <v>14870</v>
      </c>
      <c r="P799" s="242">
        <v>7</v>
      </c>
      <c r="Q799" s="234">
        <v>24270</v>
      </c>
      <c r="R799" s="234">
        <v>22571.1</v>
      </c>
      <c r="S799" s="234" t="s">
        <v>2467</v>
      </c>
      <c r="T799" s="236">
        <v>45933</v>
      </c>
    </row>
    <row r="800" spans="1:20" ht="38.25" hidden="1">
      <c r="A800" s="239" t="s">
        <v>2452</v>
      </c>
      <c r="B800" s="240">
        <v>2028</v>
      </c>
      <c r="C800" s="241" t="s">
        <v>2357</v>
      </c>
      <c r="D800" s="239" t="s">
        <v>2152</v>
      </c>
      <c r="E800" s="239" t="s">
        <v>388</v>
      </c>
      <c r="F800" s="239" t="s">
        <v>389</v>
      </c>
      <c r="G800" s="239" t="s">
        <v>943</v>
      </c>
      <c r="H800" s="239" t="s">
        <v>51</v>
      </c>
      <c r="I800" s="239" t="s">
        <v>2153</v>
      </c>
      <c r="J800" s="233"/>
      <c r="K800" s="235">
        <v>45933</v>
      </c>
      <c r="L800" s="233">
        <v>2.2999999999999998</v>
      </c>
      <c r="M800" s="234" t="s">
        <v>943</v>
      </c>
      <c r="N800" s="234">
        <v>54420</v>
      </c>
      <c r="O800" s="234">
        <v>20910</v>
      </c>
      <c r="P800" s="242">
        <v>8</v>
      </c>
      <c r="Q800" s="234">
        <v>33510</v>
      </c>
      <c r="R800" s="234">
        <v>30829.200000000001</v>
      </c>
      <c r="S800" s="234" t="s">
        <v>2468</v>
      </c>
      <c r="T800" s="236">
        <v>45933</v>
      </c>
    </row>
    <row r="801" spans="1:20" ht="38.25" hidden="1">
      <c r="A801" s="239" t="s">
        <v>2459</v>
      </c>
      <c r="B801" s="240">
        <v>2030</v>
      </c>
      <c r="C801" s="241" t="s">
        <v>2357</v>
      </c>
      <c r="D801" s="239" t="s">
        <v>2152</v>
      </c>
      <c r="E801" s="239" t="s">
        <v>377</v>
      </c>
      <c r="F801" s="239" t="s">
        <v>378</v>
      </c>
      <c r="G801" s="239" t="s">
        <v>943</v>
      </c>
      <c r="H801" s="239" t="s">
        <v>51</v>
      </c>
      <c r="I801" s="239" t="s">
        <v>2153</v>
      </c>
      <c r="J801" s="233"/>
      <c r="K801" s="235">
        <v>45933</v>
      </c>
      <c r="L801" s="233">
        <v>1.9</v>
      </c>
      <c r="M801" s="234" t="s">
        <v>943</v>
      </c>
      <c r="N801" s="234">
        <v>42320</v>
      </c>
      <c r="O801" s="234">
        <v>15130</v>
      </c>
      <c r="P801" s="242">
        <v>7</v>
      </c>
      <c r="Q801" s="234">
        <v>27190</v>
      </c>
      <c r="R801" s="234">
        <v>25286.7</v>
      </c>
      <c r="S801" s="234" t="s">
        <v>2475</v>
      </c>
      <c r="T801" s="236">
        <v>45933</v>
      </c>
    </row>
    <row r="802" spans="1:20" ht="38.25" hidden="1">
      <c r="A802" s="239" t="s">
        <v>2460</v>
      </c>
      <c r="B802" s="240">
        <v>2031</v>
      </c>
      <c r="C802" s="241" t="s">
        <v>2357</v>
      </c>
      <c r="D802" s="239" t="s">
        <v>2152</v>
      </c>
      <c r="E802" s="239" t="s">
        <v>858</v>
      </c>
      <c r="F802" s="239" t="s">
        <v>859</v>
      </c>
      <c r="G802" s="239" t="s">
        <v>943</v>
      </c>
      <c r="H802" s="239" t="s">
        <v>51</v>
      </c>
      <c r="I802" s="239" t="s">
        <v>2153</v>
      </c>
      <c r="J802" s="233"/>
      <c r="K802" s="235">
        <v>45933</v>
      </c>
      <c r="L802" s="233">
        <v>1.8</v>
      </c>
      <c r="M802" s="234" t="s">
        <v>943</v>
      </c>
      <c r="N802" s="234">
        <v>40530</v>
      </c>
      <c r="O802" s="234">
        <v>14720</v>
      </c>
      <c r="P802" s="242">
        <v>10</v>
      </c>
      <c r="Q802" s="234">
        <v>25810</v>
      </c>
      <c r="R802" s="234">
        <v>23229</v>
      </c>
      <c r="S802" s="234" t="s">
        <v>2476</v>
      </c>
      <c r="T802" s="236">
        <v>45933</v>
      </c>
    </row>
    <row r="803" spans="1:20" ht="25.5" hidden="1">
      <c r="A803" s="239" t="s">
        <v>2461</v>
      </c>
      <c r="B803" s="240">
        <v>2032</v>
      </c>
      <c r="C803" s="241" t="s">
        <v>2357</v>
      </c>
      <c r="D803" s="239" t="s">
        <v>2152</v>
      </c>
      <c r="E803" s="239" t="s">
        <v>403</v>
      </c>
      <c r="F803" s="239" t="s">
        <v>404</v>
      </c>
      <c r="G803" s="239" t="s">
        <v>943</v>
      </c>
      <c r="H803" s="239" t="s">
        <v>51</v>
      </c>
      <c r="I803" s="239" t="s">
        <v>2153</v>
      </c>
      <c r="J803" s="233"/>
      <c r="K803" s="235">
        <v>45933</v>
      </c>
      <c r="L803" s="233">
        <v>1.8</v>
      </c>
      <c r="M803" s="234" t="s">
        <v>943</v>
      </c>
      <c r="N803" s="234">
        <v>40010</v>
      </c>
      <c r="O803" s="234">
        <v>14520</v>
      </c>
      <c r="P803" s="242">
        <v>12</v>
      </c>
      <c r="Q803" s="234">
        <v>25490</v>
      </c>
      <c r="R803" s="234">
        <v>22431.200000000001</v>
      </c>
      <c r="S803" s="234" t="s">
        <v>2477</v>
      </c>
      <c r="T803" s="236">
        <v>45933</v>
      </c>
    </row>
    <row r="804" spans="1:20" ht="25.5" hidden="1">
      <c r="A804" s="239" t="s">
        <v>2462</v>
      </c>
      <c r="B804" s="240">
        <v>2035</v>
      </c>
      <c r="C804" s="241" t="s">
        <v>2357</v>
      </c>
      <c r="D804" s="239" t="s">
        <v>2152</v>
      </c>
      <c r="E804" s="239" t="s">
        <v>410</v>
      </c>
      <c r="F804" s="239" t="s">
        <v>411</v>
      </c>
      <c r="G804" s="239" t="s">
        <v>943</v>
      </c>
      <c r="H804" s="239" t="s">
        <v>51</v>
      </c>
      <c r="I804" s="239" t="s">
        <v>2153</v>
      </c>
      <c r="J804" s="233"/>
      <c r="K804" s="235">
        <v>45933</v>
      </c>
      <c r="L804" s="233">
        <v>1.8</v>
      </c>
      <c r="M804" s="234" t="s">
        <v>943</v>
      </c>
      <c r="N804" s="234">
        <v>40370</v>
      </c>
      <c r="O804" s="234">
        <v>15120</v>
      </c>
      <c r="P804" s="242">
        <v>14</v>
      </c>
      <c r="Q804" s="234">
        <v>25250</v>
      </c>
      <c r="R804" s="234">
        <v>21715</v>
      </c>
      <c r="S804" s="234" t="s">
        <v>2478</v>
      </c>
      <c r="T804" s="236">
        <v>45933</v>
      </c>
    </row>
    <row r="805" spans="1:20" ht="51" hidden="1">
      <c r="A805" s="239" t="s">
        <v>2453</v>
      </c>
      <c r="B805" s="240">
        <v>2036</v>
      </c>
      <c r="C805" s="241" t="s">
        <v>2357</v>
      </c>
      <c r="D805" s="239" t="s">
        <v>2152</v>
      </c>
      <c r="E805" s="239" t="s">
        <v>382</v>
      </c>
      <c r="F805" s="239" t="s">
        <v>383</v>
      </c>
      <c r="G805" s="239" t="s">
        <v>943</v>
      </c>
      <c r="H805" s="239" t="s">
        <v>51</v>
      </c>
      <c r="I805" s="239" t="s">
        <v>2153</v>
      </c>
      <c r="J805" s="233"/>
      <c r="K805" s="235">
        <v>45933</v>
      </c>
      <c r="L805" s="233">
        <v>1.6</v>
      </c>
      <c r="M805" s="234" t="s">
        <v>943</v>
      </c>
      <c r="N805" s="234">
        <v>38250</v>
      </c>
      <c r="O805" s="234">
        <v>14760</v>
      </c>
      <c r="P805" s="242">
        <v>16</v>
      </c>
      <c r="Q805" s="234">
        <v>23490</v>
      </c>
      <c r="R805" s="234">
        <v>19731.599999999999</v>
      </c>
      <c r="S805" s="234" t="s">
        <v>2469</v>
      </c>
      <c r="T805" s="236">
        <v>45933</v>
      </c>
    </row>
    <row r="806" spans="1:20" ht="25.5" hidden="1">
      <c r="A806" s="239" t="s">
        <v>2454</v>
      </c>
      <c r="B806" s="240">
        <v>2037</v>
      </c>
      <c r="C806" s="241" t="s">
        <v>2357</v>
      </c>
      <c r="D806" s="239" t="s">
        <v>2152</v>
      </c>
      <c r="E806" s="239" t="s">
        <v>384</v>
      </c>
      <c r="F806" s="239" t="s">
        <v>385</v>
      </c>
      <c r="G806" s="239" t="s">
        <v>943</v>
      </c>
      <c r="H806" s="239" t="s">
        <v>51</v>
      </c>
      <c r="I806" s="239" t="s">
        <v>2153</v>
      </c>
      <c r="J806" s="233"/>
      <c r="K806" s="235">
        <v>45933</v>
      </c>
      <c r="L806" s="233">
        <v>1.6</v>
      </c>
      <c r="M806" s="234" t="s">
        <v>943</v>
      </c>
      <c r="N806" s="234">
        <v>37280</v>
      </c>
      <c r="O806" s="234">
        <v>13910</v>
      </c>
      <c r="P806" s="242">
        <v>9</v>
      </c>
      <c r="Q806" s="234">
        <v>23370</v>
      </c>
      <c r="R806" s="234">
        <v>21266.7</v>
      </c>
      <c r="S806" s="234" t="s">
        <v>2470</v>
      </c>
      <c r="T806" s="236">
        <v>45933</v>
      </c>
    </row>
    <row r="807" spans="1:20" ht="38.25" hidden="1">
      <c r="A807" s="239" t="s">
        <v>2455</v>
      </c>
      <c r="B807" s="240">
        <v>2039</v>
      </c>
      <c r="C807" s="241" t="s">
        <v>2357</v>
      </c>
      <c r="D807" s="239" t="s">
        <v>2152</v>
      </c>
      <c r="E807" s="239" t="s">
        <v>442</v>
      </c>
      <c r="F807" s="239" t="s">
        <v>443</v>
      </c>
      <c r="G807" s="239" t="s">
        <v>943</v>
      </c>
      <c r="H807" s="239" t="s">
        <v>51</v>
      </c>
      <c r="I807" s="239" t="s">
        <v>2153</v>
      </c>
      <c r="J807" s="233"/>
      <c r="K807" s="235">
        <v>45933</v>
      </c>
      <c r="L807" s="233">
        <v>1.4</v>
      </c>
      <c r="M807" s="234" t="s">
        <v>943</v>
      </c>
      <c r="N807" s="234">
        <v>35150</v>
      </c>
      <c r="O807" s="234">
        <v>14490</v>
      </c>
      <c r="P807" s="242">
        <v>15</v>
      </c>
      <c r="Q807" s="234">
        <v>20660</v>
      </c>
      <c r="R807" s="234">
        <v>17561</v>
      </c>
      <c r="S807" s="234" t="s">
        <v>2471</v>
      </c>
      <c r="T807" s="236">
        <v>45933</v>
      </c>
    </row>
    <row r="808" spans="1:20" ht="38.25" hidden="1">
      <c r="A808" s="239" t="s">
        <v>2456</v>
      </c>
      <c r="B808" s="240">
        <v>2042</v>
      </c>
      <c r="C808" s="241" t="s">
        <v>2357</v>
      </c>
      <c r="D808" s="239" t="s">
        <v>2152</v>
      </c>
      <c r="E808" s="239" t="s">
        <v>406</v>
      </c>
      <c r="F808" s="239" t="s">
        <v>407</v>
      </c>
      <c r="G808" s="239" t="s">
        <v>943</v>
      </c>
      <c r="H808" s="239" t="s">
        <v>51</v>
      </c>
      <c r="I808" s="239" t="s">
        <v>2153</v>
      </c>
      <c r="J808" s="233"/>
      <c r="K808" s="235">
        <v>45933</v>
      </c>
      <c r="L808" s="233">
        <v>1.8</v>
      </c>
      <c r="M808" s="234" t="s">
        <v>943</v>
      </c>
      <c r="N808" s="234">
        <v>40170</v>
      </c>
      <c r="O808" s="234">
        <v>15120</v>
      </c>
      <c r="P808" s="242">
        <v>13</v>
      </c>
      <c r="Q808" s="234">
        <v>25050</v>
      </c>
      <c r="R808" s="234">
        <v>21793.5</v>
      </c>
      <c r="S808" s="234" t="s">
        <v>2472</v>
      </c>
      <c r="T808" s="236">
        <v>45933</v>
      </c>
    </row>
    <row r="809" spans="1:20" ht="38.25" hidden="1">
      <c r="A809" s="239" t="s">
        <v>2458</v>
      </c>
      <c r="B809" s="240">
        <v>2044</v>
      </c>
      <c r="C809" s="241" t="s">
        <v>2357</v>
      </c>
      <c r="D809" s="239" t="s">
        <v>2152</v>
      </c>
      <c r="E809" s="239" t="s">
        <v>392</v>
      </c>
      <c r="F809" s="239" t="s">
        <v>393</v>
      </c>
      <c r="G809" s="239" t="s">
        <v>943</v>
      </c>
      <c r="H809" s="239" t="s">
        <v>51</v>
      </c>
      <c r="I809" s="239" t="s">
        <v>2153</v>
      </c>
      <c r="J809" s="233"/>
      <c r="K809" s="235">
        <v>45933</v>
      </c>
      <c r="L809" s="233">
        <v>2.8</v>
      </c>
      <c r="M809" s="234" t="s">
        <v>943</v>
      </c>
      <c r="N809" s="234">
        <v>64730</v>
      </c>
      <c r="O809" s="234">
        <v>24080</v>
      </c>
      <c r="P809" s="242">
        <v>12</v>
      </c>
      <c r="Q809" s="234">
        <v>40650</v>
      </c>
      <c r="R809" s="234">
        <v>35772</v>
      </c>
      <c r="S809" s="234" t="s">
        <v>2474</v>
      </c>
      <c r="T809" s="236">
        <v>45933</v>
      </c>
    </row>
    <row r="810" spans="1:20" ht="38.25" hidden="1">
      <c r="A810" s="239" t="s">
        <v>2457</v>
      </c>
      <c r="B810" s="240">
        <v>2043</v>
      </c>
      <c r="C810" s="241" t="s">
        <v>2357</v>
      </c>
      <c r="D810" s="239" t="s">
        <v>2152</v>
      </c>
      <c r="E810" s="239" t="s">
        <v>390</v>
      </c>
      <c r="F810" s="239" t="s">
        <v>391</v>
      </c>
      <c r="G810" s="239" t="s">
        <v>943</v>
      </c>
      <c r="H810" s="239" t="s">
        <v>51</v>
      </c>
      <c r="I810" s="239" t="s">
        <v>2153</v>
      </c>
      <c r="J810" s="233"/>
      <c r="K810" s="235">
        <v>45933</v>
      </c>
      <c r="L810" s="233">
        <v>1.8</v>
      </c>
      <c r="M810" s="234" t="s">
        <v>943</v>
      </c>
      <c r="N810" s="234">
        <v>40950</v>
      </c>
      <c r="O810" s="234">
        <v>15020</v>
      </c>
      <c r="P810" s="242">
        <v>17</v>
      </c>
      <c r="Q810" s="234">
        <v>25930</v>
      </c>
      <c r="R810" s="234">
        <v>21521.9</v>
      </c>
      <c r="S810" s="234" t="s">
        <v>2473</v>
      </c>
      <c r="T810" s="236">
        <v>45933</v>
      </c>
    </row>
    <row r="811" spans="1:20" ht="25.5" hidden="1">
      <c r="A811" s="239" t="s">
        <v>2463</v>
      </c>
      <c r="B811" s="240">
        <v>2045</v>
      </c>
      <c r="C811" s="241">
        <v>57732</v>
      </c>
      <c r="D811" s="239" t="s">
        <v>2152</v>
      </c>
      <c r="E811" s="239" t="s">
        <v>374</v>
      </c>
      <c r="F811" s="239" t="s">
        <v>375</v>
      </c>
      <c r="G811" s="239" t="s">
        <v>943</v>
      </c>
      <c r="H811" s="239" t="s">
        <v>51</v>
      </c>
      <c r="I811" s="239" t="s">
        <v>2153</v>
      </c>
      <c r="J811" s="233"/>
      <c r="K811" s="235">
        <v>45933</v>
      </c>
      <c r="L811" s="233">
        <v>1.3</v>
      </c>
      <c r="M811" s="234" t="s">
        <v>943</v>
      </c>
      <c r="N811" s="234">
        <v>31590</v>
      </c>
      <c r="O811" s="234">
        <v>15570</v>
      </c>
      <c r="P811" s="242">
        <v>13</v>
      </c>
      <c r="Q811" s="234">
        <v>16020</v>
      </c>
      <c r="R811" s="234">
        <v>13937.4</v>
      </c>
      <c r="S811" s="234" t="s">
        <v>2479</v>
      </c>
      <c r="T811" s="236">
        <v>45934</v>
      </c>
    </row>
    <row r="812" spans="1:20" ht="51" hidden="1">
      <c r="A812" s="239" t="s">
        <v>2481</v>
      </c>
      <c r="B812" s="240">
        <v>2047</v>
      </c>
      <c r="C812" s="241">
        <v>1</v>
      </c>
      <c r="D812" s="239" t="s">
        <v>2482</v>
      </c>
      <c r="E812" s="239" t="s">
        <v>1410</v>
      </c>
      <c r="F812" s="239" t="s">
        <v>437</v>
      </c>
      <c r="G812" s="239" t="s">
        <v>958</v>
      </c>
      <c r="H812" s="239" t="s">
        <v>51</v>
      </c>
      <c r="I812" s="239" t="s">
        <v>2465</v>
      </c>
      <c r="J812" s="233"/>
      <c r="K812" s="235">
        <v>45934</v>
      </c>
      <c r="L812" s="233">
        <v>2.2999999999999998</v>
      </c>
      <c r="M812" s="234" t="s">
        <v>958</v>
      </c>
      <c r="N812" s="234">
        <v>40570</v>
      </c>
      <c r="O812" s="234">
        <v>14980</v>
      </c>
      <c r="P812" s="242">
        <v>27</v>
      </c>
      <c r="Q812" s="234">
        <v>25590</v>
      </c>
      <c r="R812" s="234">
        <v>18680.7</v>
      </c>
      <c r="S812" s="234" t="s">
        <v>2513</v>
      </c>
      <c r="T812" s="236">
        <v>45934</v>
      </c>
    </row>
    <row r="813" spans="1:20" ht="38.25" hidden="1">
      <c r="A813" s="239" t="s">
        <v>2483</v>
      </c>
      <c r="B813" s="240">
        <v>2048</v>
      </c>
      <c r="C813" s="241">
        <v>2</v>
      </c>
      <c r="D813" s="239" t="s">
        <v>2482</v>
      </c>
      <c r="E813" s="239" t="s">
        <v>439</v>
      </c>
      <c r="F813" s="239" t="s">
        <v>440</v>
      </c>
      <c r="G813" s="239" t="s">
        <v>958</v>
      </c>
      <c r="H813" s="239" t="s">
        <v>51</v>
      </c>
      <c r="I813" s="239" t="s">
        <v>2465</v>
      </c>
      <c r="J813" s="233"/>
      <c r="K813" s="235">
        <v>45934</v>
      </c>
      <c r="L813" s="233">
        <v>2.5</v>
      </c>
      <c r="M813" s="234" t="s">
        <v>958</v>
      </c>
      <c r="N813" s="234">
        <v>42870</v>
      </c>
      <c r="O813" s="234">
        <v>15190</v>
      </c>
      <c r="P813" s="242">
        <v>15</v>
      </c>
      <c r="Q813" s="234">
        <v>27680</v>
      </c>
      <c r="R813" s="234">
        <v>23528</v>
      </c>
      <c r="S813" s="234" t="s">
        <v>2514</v>
      </c>
      <c r="T813" s="236">
        <v>45934</v>
      </c>
    </row>
    <row r="814" spans="1:20" ht="38.25" hidden="1">
      <c r="A814" s="239" t="s">
        <v>2484</v>
      </c>
      <c r="B814" s="240">
        <v>2049</v>
      </c>
      <c r="C814" s="241">
        <v>3</v>
      </c>
      <c r="D814" s="239" t="s">
        <v>2482</v>
      </c>
      <c r="E814" s="239" t="s">
        <v>413</v>
      </c>
      <c r="F814" s="239" t="s">
        <v>414</v>
      </c>
      <c r="G814" s="239" t="s">
        <v>958</v>
      </c>
      <c r="H814" s="239" t="s">
        <v>51</v>
      </c>
      <c r="I814" s="239" t="s">
        <v>2465</v>
      </c>
      <c r="J814" s="233"/>
      <c r="K814" s="235">
        <v>45934</v>
      </c>
      <c r="L814" s="233">
        <v>2.5</v>
      </c>
      <c r="M814" s="234" t="s">
        <v>958</v>
      </c>
      <c r="N814" s="234">
        <v>43320</v>
      </c>
      <c r="O814" s="234">
        <v>15070</v>
      </c>
      <c r="P814" s="242">
        <v>15</v>
      </c>
      <c r="Q814" s="234">
        <v>28250</v>
      </c>
      <c r="R814" s="234">
        <v>24012.5</v>
      </c>
      <c r="S814" s="234" t="s">
        <v>2515</v>
      </c>
      <c r="T814" s="236">
        <v>45934</v>
      </c>
    </row>
    <row r="815" spans="1:20" ht="38.25" hidden="1">
      <c r="A815" s="239" t="s">
        <v>2485</v>
      </c>
      <c r="B815" s="240">
        <v>2050</v>
      </c>
      <c r="C815" s="241">
        <v>4</v>
      </c>
      <c r="D815" s="239" t="s">
        <v>2482</v>
      </c>
      <c r="E815" s="239" t="s">
        <v>432</v>
      </c>
      <c r="F815" s="239" t="s">
        <v>433</v>
      </c>
      <c r="G815" s="239" t="s">
        <v>958</v>
      </c>
      <c r="H815" s="239" t="s">
        <v>51</v>
      </c>
      <c r="I815" s="239" t="s">
        <v>2465</v>
      </c>
      <c r="J815" s="233"/>
      <c r="K815" s="235">
        <v>45934</v>
      </c>
      <c r="L815" s="233">
        <v>2.4</v>
      </c>
      <c r="M815" s="234" t="s">
        <v>958</v>
      </c>
      <c r="N815" s="234">
        <v>43110</v>
      </c>
      <c r="O815" s="234">
        <v>15750</v>
      </c>
      <c r="P815" s="242">
        <v>14</v>
      </c>
      <c r="Q815" s="234">
        <v>27360</v>
      </c>
      <c r="R815" s="234">
        <v>23529.599999999999</v>
      </c>
      <c r="S815" s="234" t="s">
        <v>2516</v>
      </c>
      <c r="T815" s="236">
        <v>45934</v>
      </c>
    </row>
    <row r="816" spans="1:20" ht="38.25" hidden="1">
      <c r="A816" s="239" t="s">
        <v>2486</v>
      </c>
      <c r="B816" s="240">
        <v>2051</v>
      </c>
      <c r="C816" s="241">
        <v>5</v>
      </c>
      <c r="D816" s="239" t="s">
        <v>2482</v>
      </c>
      <c r="E816" s="239" t="s">
        <v>447</v>
      </c>
      <c r="F816" s="239" t="s">
        <v>448</v>
      </c>
      <c r="G816" s="239" t="s">
        <v>958</v>
      </c>
      <c r="H816" s="239" t="s">
        <v>51</v>
      </c>
      <c r="I816" s="239" t="s">
        <v>2465</v>
      </c>
      <c r="J816" s="233"/>
      <c r="K816" s="235">
        <v>45934</v>
      </c>
      <c r="L816" s="233">
        <v>2.7</v>
      </c>
      <c r="M816" s="234" t="s">
        <v>958</v>
      </c>
      <c r="N816" s="234">
        <v>49980</v>
      </c>
      <c r="O816" s="234">
        <v>19530</v>
      </c>
      <c r="P816" s="242">
        <v>29</v>
      </c>
      <c r="Q816" s="234">
        <v>30450</v>
      </c>
      <c r="R816" s="234">
        <v>21619.5</v>
      </c>
      <c r="S816" s="234" t="s">
        <v>2517</v>
      </c>
      <c r="T816" s="236">
        <v>45934</v>
      </c>
    </row>
    <row r="817" spans="1:20" ht="38.25" hidden="1">
      <c r="A817" s="239" t="s">
        <v>2487</v>
      </c>
      <c r="B817" s="240">
        <v>2056</v>
      </c>
      <c r="C817" s="241">
        <v>6</v>
      </c>
      <c r="D817" s="239" t="s">
        <v>2482</v>
      </c>
      <c r="E817" s="239" t="s">
        <v>453</v>
      </c>
      <c r="F817" s="239" t="s">
        <v>454</v>
      </c>
      <c r="G817" s="239" t="s">
        <v>958</v>
      </c>
      <c r="H817" s="239" t="s">
        <v>51</v>
      </c>
      <c r="I817" s="239" t="s">
        <v>2465</v>
      </c>
      <c r="J817" s="233"/>
      <c r="K817" s="235">
        <v>45934</v>
      </c>
      <c r="L817" s="233">
        <v>3</v>
      </c>
      <c r="M817" s="234" t="s">
        <v>958</v>
      </c>
      <c r="N817" s="234">
        <v>57850</v>
      </c>
      <c r="O817" s="234">
        <v>24260</v>
      </c>
      <c r="P817" s="242">
        <v>15</v>
      </c>
      <c r="Q817" s="234">
        <v>33590</v>
      </c>
      <c r="R817" s="234">
        <v>28551.5</v>
      </c>
      <c r="S817" s="234" t="s">
        <v>2518</v>
      </c>
      <c r="T817" s="236">
        <v>45934</v>
      </c>
    </row>
    <row r="818" spans="1:20" ht="38.25" hidden="1">
      <c r="A818" s="239" t="s">
        <v>2488</v>
      </c>
      <c r="B818" s="240">
        <v>2057</v>
      </c>
      <c r="C818" s="241">
        <v>7</v>
      </c>
      <c r="D818" s="239" t="s">
        <v>2482</v>
      </c>
      <c r="E818" s="239" t="s">
        <v>456</v>
      </c>
      <c r="F818" s="239" t="s">
        <v>457</v>
      </c>
      <c r="G818" s="239" t="s">
        <v>958</v>
      </c>
      <c r="H818" s="239" t="s">
        <v>51</v>
      </c>
      <c r="I818" s="239" t="s">
        <v>2465</v>
      </c>
      <c r="J818" s="233"/>
      <c r="K818" s="235">
        <v>45934</v>
      </c>
      <c r="L818" s="233">
        <v>2.5</v>
      </c>
      <c r="M818" s="234" t="s">
        <v>958</v>
      </c>
      <c r="N818" s="234">
        <v>43910</v>
      </c>
      <c r="O818" s="234">
        <v>15720</v>
      </c>
      <c r="P818" s="242">
        <v>22</v>
      </c>
      <c r="Q818" s="234">
        <v>28190</v>
      </c>
      <c r="R818" s="234">
        <v>21988.2</v>
      </c>
      <c r="S818" s="234" t="s">
        <v>2519</v>
      </c>
      <c r="T818" s="236">
        <v>45934</v>
      </c>
    </row>
    <row r="819" spans="1:20" ht="38.25" hidden="1">
      <c r="A819" s="239" t="s">
        <v>2490</v>
      </c>
      <c r="B819" s="240">
        <v>2061</v>
      </c>
      <c r="C819" s="241">
        <v>9</v>
      </c>
      <c r="D819" s="239" t="s">
        <v>2482</v>
      </c>
      <c r="E819" s="239" t="s">
        <v>416</v>
      </c>
      <c r="F819" s="239" t="s">
        <v>417</v>
      </c>
      <c r="G819" s="239" t="s">
        <v>958</v>
      </c>
      <c r="H819" s="239" t="s">
        <v>51</v>
      </c>
      <c r="I819" s="239" t="s">
        <v>2465</v>
      </c>
      <c r="J819" s="233"/>
      <c r="K819" s="235">
        <v>45934</v>
      </c>
      <c r="L819" s="233">
        <v>2</v>
      </c>
      <c r="M819" s="234" t="s">
        <v>958</v>
      </c>
      <c r="N819" s="234">
        <v>37380</v>
      </c>
      <c r="O819" s="234">
        <v>14800</v>
      </c>
      <c r="P819" s="242">
        <v>23</v>
      </c>
      <c r="Q819" s="234">
        <v>22580</v>
      </c>
      <c r="R819" s="234">
        <v>17386.599999999999</v>
      </c>
      <c r="S819" s="234" t="s">
        <v>2521</v>
      </c>
      <c r="T819" s="236">
        <v>45934</v>
      </c>
    </row>
    <row r="820" spans="1:20" ht="38.25" hidden="1">
      <c r="A820" s="239" t="s">
        <v>2489</v>
      </c>
      <c r="B820" s="240">
        <v>2060</v>
      </c>
      <c r="C820" s="241">
        <v>8</v>
      </c>
      <c r="D820" s="239" t="s">
        <v>2482</v>
      </c>
      <c r="E820" s="239" t="s">
        <v>406</v>
      </c>
      <c r="F820" s="239" t="s">
        <v>407</v>
      </c>
      <c r="G820" s="239" t="s">
        <v>958</v>
      </c>
      <c r="H820" s="239" t="s">
        <v>51</v>
      </c>
      <c r="I820" s="239" t="s">
        <v>2465</v>
      </c>
      <c r="J820" s="233"/>
      <c r="K820" s="235">
        <v>45934</v>
      </c>
      <c r="L820" s="233">
        <v>2.2999999999999998</v>
      </c>
      <c r="M820" s="234" t="s">
        <v>958</v>
      </c>
      <c r="N820" s="234">
        <v>40440</v>
      </c>
      <c r="O820" s="234">
        <v>15020</v>
      </c>
      <c r="P820" s="242">
        <v>19</v>
      </c>
      <c r="Q820" s="234">
        <v>25420</v>
      </c>
      <c r="R820" s="234">
        <v>20590.2</v>
      </c>
      <c r="S820" s="234" t="s">
        <v>2520</v>
      </c>
      <c r="T820" s="236">
        <v>45934</v>
      </c>
    </row>
    <row r="821" spans="1:20" ht="38.25" hidden="1">
      <c r="A821" s="239" t="s">
        <v>2491</v>
      </c>
      <c r="B821" s="240">
        <v>2064</v>
      </c>
      <c r="C821" s="241">
        <v>2</v>
      </c>
      <c r="D821" s="239" t="s">
        <v>2482</v>
      </c>
      <c r="E821" s="239" t="s">
        <v>372</v>
      </c>
      <c r="F821" s="239" t="s">
        <v>373</v>
      </c>
      <c r="G821" s="239" t="s">
        <v>958</v>
      </c>
      <c r="H821" s="239" t="s">
        <v>51</v>
      </c>
      <c r="I821" s="239" t="s">
        <v>2465</v>
      </c>
      <c r="J821" s="233"/>
      <c r="K821" s="235">
        <v>45934</v>
      </c>
      <c r="L821" s="233">
        <v>2.2000000000000002</v>
      </c>
      <c r="M821" s="234" t="s">
        <v>958</v>
      </c>
      <c r="N821" s="234">
        <v>39350</v>
      </c>
      <c r="O821" s="234">
        <v>15010</v>
      </c>
      <c r="P821" s="242">
        <v>12</v>
      </c>
      <c r="Q821" s="234">
        <v>24340</v>
      </c>
      <c r="R821" s="234">
        <v>21419.200000000001</v>
      </c>
      <c r="S821" s="234" t="s">
        <v>2522</v>
      </c>
      <c r="T821" s="236">
        <v>45934</v>
      </c>
    </row>
    <row r="822" spans="1:20" ht="38.25" hidden="1">
      <c r="A822" s="239" t="s">
        <v>2492</v>
      </c>
      <c r="B822" s="240">
        <v>2066</v>
      </c>
      <c r="C822" s="241">
        <v>1</v>
      </c>
      <c r="D822" s="239" t="s">
        <v>2482</v>
      </c>
      <c r="E822" s="239" t="s">
        <v>388</v>
      </c>
      <c r="F822" s="239" t="s">
        <v>389</v>
      </c>
      <c r="G822" s="239" t="s">
        <v>958</v>
      </c>
      <c r="H822" s="239" t="s">
        <v>51</v>
      </c>
      <c r="I822" s="239" t="s">
        <v>2465</v>
      </c>
      <c r="J822" s="233"/>
      <c r="K822" s="235">
        <v>45934</v>
      </c>
      <c r="L822" s="233">
        <v>3.1</v>
      </c>
      <c r="M822" s="234" t="s">
        <v>958</v>
      </c>
      <c r="N822" s="234">
        <v>55700</v>
      </c>
      <c r="O822" s="234">
        <v>21000</v>
      </c>
      <c r="P822" s="242">
        <v>9</v>
      </c>
      <c r="Q822" s="234">
        <v>34700</v>
      </c>
      <c r="R822" s="234">
        <v>31577</v>
      </c>
      <c r="S822" s="234" t="s">
        <v>2523</v>
      </c>
      <c r="T822" s="236">
        <v>45934</v>
      </c>
    </row>
    <row r="823" spans="1:20" ht="38.25" hidden="1">
      <c r="A823" s="239" t="s">
        <v>2493</v>
      </c>
      <c r="B823" s="240">
        <v>2067</v>
      </c>
      <c r="C823" s="241">
        <v>3</v>
      </c>
      <c r="D823" s="239" t="s">
        <v>2482</v>
      </c>
      <c r="E823" s="239" t="s">
        <v>858</v>
      </c>
      <c r="F823" s="239" t="s">
        <v>859</v>
      </c>
      <c r="G823" s="239" t="s">
        <v>958</v>
      </c>
      <c r="H823" s="239" t="s">
        <v>51</v>
      </c>
      <c r="I823" s="239" t="s">
        <v>2465</v>
      </c>
      <c r="J823" s="233"/>
      <c r="K823" s="235">
        <v>45934</v>
      </c>
      <c r="L823" s="233">
        <v>2.2999999999999998</v>
      </c>
      <c r="M823" s="234" t="s">
        <v>958</v>
      </c>
      <c r="N823" s="234">
        <v>41050</v>
      </c>
      <c r="O823" s="234">
        <v>14940</v>
      </c>
      <c r="P823" s="242">
        <v>7</v>
      </c>
      <c r="Q823" s="234">
        <v>26110</v>
      </c>
      <c r="R823" s="234">
        <v>24282.3</v>
      </c>
      <c r="S823" s="234" t="s">
        <v>2524</v>
      </c>
      <c r="T823" s="236">
        <v>45934</v>
      </c>
    </row>
    <row r="824" spans="1:20" ht="38.25" hidden="1">
      <c r="A824" s="239" t="s">
        <v>2494</v>
      </c>
      <c r="B824" s="240">
        <v>2068</v>
      </c>
      <c r="C824" s="241">
        <v>4</v>
      </c>
      <c r="D824" s="239" t="s">
        <v>2482</v>
      </c>
      <c r="E824" s="239" t="s">
        <v>400</v>
      </c>
      <c r="F824" s="239" t="s">
        <v>401</v>
      </c>
      <c r="G824" s="239" t="s">
        <v>958</v>
      </c>
      <c r="H824" s="239" t="s">
        <v>51</v>
      </c>
      <c r="I824" s="239" t="s">
        <v>2465</v>
      </c>
      <c r="J824" s="233"/>
      <c r="K824" s="235">
        <v>45934</v>
      </c>
      <c r="L824" s="233">
        <v>2.2000000000000002</v>
      </c>
      <c r="M824" s="234" t="s">
        <v>958</v>
      </c>
      <c r="N824" s="234">
        <v>39460</v>
      </c>
      <c r="O824" s="234">
        <v>14810</v>
      </c>
      <c r="P824" s="242">
        <v>12</v>
      </c>
      <c r="Q824" s="234">
        <v>24650</v>
      </c>
      <c r="R824" s="234">
        <v>21692</v>
      </c>
      <c r="S824" s="234" t="s">
        <v>2525</v>
      </c>
      <c r="T824" s="236">
        <v>45934</v>
      </c>
    </row>
    <row r="825" spans="1:20" ht="38.25" hidden="1">
      <c r="A825" s="239" t="s">
        <v>2495</v>
      </c>
      <c r="B825" s="240">
        <v>2069</v>
      </c>
      <c r="C825" s="241">
        <v>8</v>
      </c>
      <c r="D825" s="239" t="s">
        <v>2482</v>
      </c>
      <c r="E825" s="239" t="s">
        <v>866</v>
      </c>
      <c r="F825" s="239" t="s">
        <v>867</v>
      </c>
      <c r="G825" s="239" t="s">
        <v>958</v>
      </c>
      <c r="H825" s="239" t="s">
        <v>51</v>
      </c>
      <c r="I825" s="239" t="s">
        <v>2465</v>
      </c>
      <c r="J825" s="233"/>
      <c r="K825" s="235">
        <v>45934</v>
      </c>
      <c r="L825" s="233">
        <v>2.2000000000000002</v>
      </c>
      <c r="M825" s="234" t="s">
        <v>958</v>
      </c>
      <c r="N825" s="234">
        <v>38800</v>
      </c>
      <c r="O825" s="234">
        <v>14550</v>
      </c>
      <c r="P825" s="242">
        <v>8</v>
      </c>
      <c r="Q825" s="234">
        <v>24250</v>
      </c>
      <c r="R825" s="234">
        <v>22310</v>
      </c>
      <c r="S825" s="234" t="s">
        <v>2526</v>
      </c>
      <c r="T825" s="236">
        <v>45934</v>
      </c>
    </row>
    <row r="826" spans="1:20" ht="51" hidden="1">
      <c r="A826" s="239" t="s">
        <v>2496</v>
      </c>
      <c r="B826" s="240">
        <v>2070</v>
      </c>
      <c r="C826" s="241">
        <v>9</v>
      </c>
      <c r="D826" s="239" t="s">
        <v>2482</v>
      </c>
      <c r="E826" s="239" t="s">
        <v>380</v>
      </c>
      <c r="F826" s="239" t="s">
        <v>381</v>
      </c>
      <c r="G826" s="239" t="s">
        <v>958</v>
      </c>
      <c r="H826" s="239" t="s">
        <v>51</v>
      </c>
      <c r="I826" s="239" t="s">
        <v>2465</v>
      </c>
      <c r="J826" s="233"/>
      <c r="K826" s="235">
        <v>45934</v>
      </c>
      <c r="L826" s="233">
        <v>2.2999999999999998</v>
      </c>
      <c r="M826" s="234" t="s">
        <v>958</v>
      </c>
      <c r="N826" s="234">
        <v>40960</v>
      </c>
      <c r="O826" s="234">
        <v>15130</v>
      </c>
      <c r="P826" s="242">
        <v>12</v>
      </c>
      <c r="Q826" s="234">
        <v>25830</v>
      </c>
      <c r="R826" s="234">
        <v>22730.400000000001</v>
      </c>
      <c r="S826" s="234" t="s">
        <v>2527</v>
      </c>
      <c r="T826" s="236">
        <v>45934</v>
      </c>
    </row>
    <row r="827" spans="1:20" ht="38.25" hidden="1">
      <c r="A827" s="239" t="s">
        <v>2497</v>
      </c>
      <c r="B827" s="240">
        <v>2071</v>
      </c>
      <c r="C827" s="241">
        <v>5</v>
      </c>
      <c r="D827" s="239" t="s">
        <v>2482</v>
      </c>
      <c r="E827" s="239" t="s">
        <v>392</v>
      </c>
      <c r="F827" s="239" t="s">
        <v>393</v>
      </c>
      <c r="G827" s="239" t="s">
        <v>958</v>
      </c>
      <c r="H827" s="239" t="s">
        <v>51</v>
      </c>
      <c r="I827" s="239" t="s">
        <v>2465</v>
      </c>
      <c r="J827" s="233"/>
      <c r="K827" s="235">
        <v>45934</v>
      </c>
      <c r="L827" s="233">
        <v>3.6</v>
      </c>
      <c r="M827" s="234" t="s">
        <v>958</v>
      </c>
      <c r="N827" s="234">
        <v>65020</v>
      </c>
      <c r="O827" s="234">
        <v>24160</v>
      </c>
      <c r="P827" s="242">
        <v>12</v>
      </c>
      <c r="Q827" s="234">
        <v>40860</v>
      </c>
      <c r="R827" s="234">
        <v>35956.800000000003</v>
      </c>
      <c r="S827" s="234" t="s">
        <v>2528</v>
      </c>
      <c r="T827" s="236">
        <v>45934</v>
      </c>
    </row>
    <row r="828" spans="1:20" ht="38.25" hidden="1">
      <c r="A828" s="239" t="s">
        <v>2498</v>
      </c>
      <c r="B828" s="240">
        <v>2072</v>
      </c>
      <c r="C828" s="241">
        <v>6</v>
      </c>
      <c r="D828" s="239" t="s">
        <v>2482</v>
      </c>
      <c r="E828" s="239" t="s">
        <v>374</v>
      </c>
      <c r="F828" s="239" t="s">
        <v>375</v>
      </c>
      <c r="G828" s="239" t="s">
        <v>958</v>
      </c>
      <c r="H828" s="239" t="s">
        <v>51</v>
      </c>
      <c r="I828" s="239" t="s">
        <v>2465</v>
      </c>
      <c r="J828" s="233"/>
      <c r="K828" s="235">
        <v>45934</v>
      </c>
      <c r="L828" s="233">
        <v>2.2000000000000002</v>
      </c>
      <c r="M828" s="234" t="s">
        <v>958</v>
      </c>
      <c r="N828" s="234">
        <v>40330</v>
      </c>
      <c r="O828" s="234">
        <v>15700</v>
      </c>
      <c r="P828" s="242">
        <v>6</v>
      </c>
      <c r="Q828" s="234">
        <v>24630</v>
      </c>
      <c r="R828" s="234">
        <v>23152.2</v>
      </c>
      <c r="S828" s="234" t="s">
        <v>2529</v>
      </c>
      <c r="T828" s="236">
        <v>45934</v>
      </c>
    </row>
    <row r="829" spans="1:20" ht="38.25" hidden="1">
      <c r="A829" s="239" t="s">
        <v>2499</v>
      </c>
      <c r="B829" s="240">
        <v>2073</v>
      </c>
      <c r="C829" s="241">
        <v>7</v>
      </c>
      <c r="D829" s="239" t="s">
        <v>2482</v>
      </c>
      <c r="E829" s="239" t="s">
        <v>384</v>
      </c>
      <c r="F829" s="239" t="s">
        <v>385</v>
      </c>
      <c r="G829" s="239" t="s">
        <v>958</v>
      </c>
      <c r="H829" s="239" t="s">
        <v>51</v>
      </c>
      <c r="I829" s="239" t="s">
        <v>2465</v>
      </c>
      <c r="J829" s="233"/>
      <c r="K829" s="235">
        <v>45934</v>
      </c>
      <c r="L829" s="233">
        <v>2.1</v>
      </c>
      <c r="M829" s="234" t="s">
        <v>958</v>
      </c>
      <c r="N829" s="234">
        <v>37300</v>
      </c>
      <c r="O829" s="234">
        <v>13890</v>
      </c>
      <c r="P829" s="242">
        <v>11</v>
      </c>
      <c r="Q829" s="234">
        <v>23410</v>
      </c>
      <c r="R829" s="234">
        <v>20834.900000000001</v>
      </c>
      <c r="S829" s="234" t="s">
        <v>2530</v>
      </c>
      <c r="T829" s="236">
        <v>45934</v>
      </c>
    </row>
    <row r="830" spans="1:20" ht="51" hidden="1">
      <c r="A830" s="239" t="s">
        <v>2500</v>
      </c>
      <c r="B830" s="240">
        <v>2074</v>
      </c>
      <c r="C830" s="241">
        <v>13</v>
      </c>
      <c r="D830" s="239" t="s">
        <v>2482</v>
      </c>
      <c r="E830" s="239" t="s">
        <v>1410</v>
      </c>
      <c r="F830" s="239" t="s">
        <v>437</v>
      </c>
      <c r="G830" s="239" t="s">
        <v>958</v>
      </c>
      <c r="H830" s="239" t="s">
        <v>51</v>
      </c>
      <c r="I830" s="239" t="s">
        <v>2465</v>
      </c>
      <c r="J830" s="233"/>
      <c r="K830" s="235">
        <v>45934</v>
      </c>
      <c r="L830" s="233">
        <v>2.2000000000000002</v>
      </c>
      <c r="M830" s="234" t="s">
        <v>958</v>
      </c>
      <c r="N830" s="234">
        <v>40380</v>
      </c>
      <c r="O830" s="234">
        <v>14890</v>
      </c>
      <c r="P830" s="242">
        <v>5</v>
      </c>
      <c r="Q830" s="234">
        <v>25490</v>
      </c>
      <c r="R830" s="234">
        <v>24215.5</v>
      </c>
      <c r="S830" s="234" t="s">
        <v>2531</v>
      </c>
      <c r="T830" s="236">
        <v>45935</v>
      </c>
    </row>
    <row r="831" spans="1:20" ht="38.25" hidden="1">
      <c r="A831" s="239" t="s">
        <v>2501</v>
      </c>
      <c r="B831" s="240">
        <v>2075</v>
      </c>
      <c r="C831" s="241">
        <v>15</v>
      </c>
      <c r="D831" s="239" t="s">
        <v>2482</v>
      </c>
      <c r="E831" s="239" t="s">
        <v>439</v>
      </c>
      <c r="F831" s="239" t="s">
        <v>440</v>
      </c>
      <c r="G831" s="239" t="s">
        <v>958</v>
      </c>
      <c r="H831" s="239" t="s">
        <v>51</v>
      </c>
      <c r="I831" s="239" t="s">
        <v>2465</v>
      </c>
      <c r="J831" s="233"/>
      <c r="K831" s="235">
        <v>45934</v>
      </c>
      <c r="L831" s="233">
        <v>2.4</v>
      </c>
      <c r="M831" s="234" t="s">
        <v>958</v>
      </c>
      <c r="N831" s="234">
        <v>43210</v>
      </c>
      <c r="O831" s="234">
        <v>15110</v>
      </c>
      <c r="P831" s="242">
        <v>18</v>
      </c>
      <c r="Q831" s="234">
        <v>28100</v>
      </c>
      <c r="R831" s="234">
        <v>23042</v>
      </c>
      <c r="S831" s="234" t="s">
        <v>2532</v>
      </c>
      <c r="T831" s="236">
        <v>45935</v>
      </c>
    </row>
    <row r="832" spans="1:20" ht="38.25" hidden="1">
      <c r="A832" s="239" t="s">
        <v>2502</v>
      </c>
      <c r="B832" s="240">
        <v>2077</v>
      </c>
      <c r="C832" s="241">
        <v>10</v>
      </c>
      <c r="D832" s="239" t="s">
        <v>2482</v>
      </c>
      <c r="E832" s="239" t="s">
        <v>432</v>
      </c>
      <c r="F832" s="239" t="s">
        <v>433</v>
      </c>
      <c r="G832" s="239" t="s">
        <v>958</v>
      </c>
      <c r="H832" s="239" t="s">
        <v>51</v>
      </c>
      <c r="I832" s="239" t="s">
        <v>2465</v>
      </c>
      <c r="J832" s="233"/>
      <c r="K832" s="235">
        <v>45934</v>
      </c>
      <c r="L832" s="233">
        <v>2.4</v>
      </c>
      <c r="M832" s="234" t="s">
        <v>958</v>
      </c>
      <c r="N832" s="234">
        <v>43730</v>
      </c>
      <c r="O832" s="234">
        <v>15760</v>
      </c>
      <c r="P832" s="242">
        <v>8</v>
      </c>
      <c r="Q832" s="234">
        <v>27970</v>
      </c>
      <c r="R832" s="234">
        <v>25732.400000000001</v>
      </c>
      <c r="S832" s="234" t="s">
        <v>2533</v>
      </c>
      <c r="T832" s="236">
        <v>45935</v>
      </c>
    </row>
    <row r="833" spans="1:20" ht="38.25" hidden="1">
      <c r="A833" s="239" t="s">
        <v>2503</v>
      </c>
      <c r="B833" s="240">
        <v>2078</v>
      </c>
      <c r="C833" s="241">
        <v>11</v>
      </c>
      <c r="D833" s="239" t="s">
        <v>2482</v>
      </c>
      <c r="E833" s="239" t="s">
        <v>377</v>
      </c>
      <c r="F833" s="239" t="s">
        <v>378</v>
      </c>
      <c r="G833" s="239" t="s">
        <v>960</v>
      </c>
      <c r="H833" s="239" t="s">
        <v>51</v>
      </c>
      <c r="I833" s="239" t="s">
        <v>2465</v>
      </c>
      <c r="J833" s="233"/>
      <c r="K833" s="235">
        <v>45934</v>
      </c>
      <c r="L833" s="233">
        <v>1.8</v>
      </c>
      <c r="M833" s="234" t="s">
        <v>960</v>
      </c>
      <c r="N833" s="234">
        <v>42740</v>
      </c>
      <c r="O833" s="234">
        <v>15120</v>
      </c>
      <c r="P833" s="242">
        <v>16</v>
      </c>
      <c r="Q833" s="234">
        <v>27620</v>
      </c>
      <c r="R833" s="234">
        <v>23200.799999999999</v>
      </c>
      <c r="S833" s="234" t="s">
        <v>2534</v>
      </c>
      <c r="T833" s="236">
        <v>45935</v>
      </c>
    </row>
    <row r="834" spans="1:20" ht="38.25" hidden="1">
      <c r="A834" s="239" t="s">
        <v>2504</v>
      </c>
      <c r="B834" s="240">
        <v>2079</v>
      </c>
      <c r="C834" s="241">
        <v>12</v>
      </c>
      <c r="D834" s="239" t="s">
        <v>2482</v>
      </c>
      <c r="E834" s="239" t="s">
        <v>447</v>
      </c>
      <c r="F834" s="239" t="s">
        <v>448</v>
      </c>
      <c r="G834" s="239" t="s">
        <v>960</v>
      </c>
      <c r="H834" s="239" t="s">
        <v>51</v>
      </c>
      <c r="I834" s="239" t="s">
        <v>2465</v>
      </c>
      <c r="J834" s="233"/>
      <c r="K834" s="235">
        <v>45934</v>
      </c>
      <c r="L834" s="233">
        <v>2.2999999999999998</v>
      </c>
      <c r="M834" s="234" t="s">
        <v>960</v>
      </c>
      <c r="N834" s="234">
        <v>54350</v>
      </c>
      <c r="O834" s="234">
        <v>19420</v>
      </c>
      <c r="P834" s="242">
        <v>21</v>
      </c>
      <c r="Q834" s="234">
        <v>34930</v>
      </c>
      <c r="R834" s="234">
        <v>27594.7</v>
      </c>
      <c r="S834" s="234" t="s">
        <v>2535</v>
      </c>
      <c r="T834" s="236">
        <v>45935</v>
      </c>
    </row>
    <row r="835" spans="1:20" ht="38.25" hidden="1">
      <c r="A835" s="239" t="s">
        <v>2464</v>
      </c>
      <c r="B835" s="240">
        <v>2080</v>
      </c>
      <c r="C835" s="241">
        <v>14</v>
      </c>
      <c r="D835" s="239" t="s">
        <v>2482</v>
      </c>
      <c r="E835" s="239" t="s">
        <v>410</v>
      </c>
      <c r="F835" s="239" t="s">
        <v>411</v>
      </c>
      <c r="G835" s="239" t="s">
        <v>960</v>
      </c>
      <c r="H835" s="239" t="s">
        <v>51</v>
      </c>
      <c r="I835" s="239" t="s">
        <v>2465</v>
      </c>
      <c r="J835" s="233"/>
      <c r="K835" s="235">
        <v>45934</v>
      </c>
      <c r="L835" s="233">
        <v>1.5</v>
      </c>
      <c r="M835" s="234" t="s">
        <v>960</v>
      </c>
      <c r="N835" s="234">
        <v>38630</v>
      </c>
      <c r="O835" s="234">
        <v>15240</v>
      </c>
      <c r="P835" s="242">
        <v>26</v>
      </c>
      <c r="Q835" s="234">
        <v>23390</v>
      </c>
      <c r="R835" s="234">
        <v>17308.599999999999</v>
      </c>
      <c r="S835" s="234" t="s">
        <v>2480</v>
      </c>
      <c r="T835" s="236">
        <v>45935</v>
      </c>
    </row>
    <row r="836" spans="1:20" ht="38.25" hidden="1">
      <c r="A836" s="239" t="s">
        <v>2505</v>
      </c>
      <c r="B836" s="240">
        <v>2082</v>
      </c>
      <c r="C836" s="241">
        <v>18</v>
      </c>
      <c r="D836" s="239" t="s">
        <v>2482</v>
      </c>
      <c r="E836" s="239" t="s">
        <v>416</v>
      </c>
      <c r="F836" s="239" t="s">
        <v>417</v>
      </c>
      <c r="G836" s="239" t="s">
        <v>960</v>
      </c>
      <c r="H836" s="239" t="s">
        <v>51</v>
      </c>
      <c r="I836" s="239" t="s">
        <v>2465</v>
      </c>
      <c r="J836" s="233"/>
      <c r="K836" s="235">
        <v>45934</v>
      </c>
      <c r="L836" s="233">
        <v>1.5</v>
      </c>
      <c r="M836" s="234" t="s">
        <v>960</v>
      </c>
      <c r="N836" s="234">
        <v>38520</v>
      </c>
      <c r="O836" s="234">
        <v>14740</v>
      </c>
      <c r="P836" s="242">
        <v>51</v>
      </c>
      <c r="Q836" s="234">
        <v>23780</v>
      </c>
      <c r="R836" s="234">
        <v>11652.2</v>
      </c>
      <c r="S836" s="234" t="s">
        <v>2536</v>
      </c>
      <c r="T836" s="236">
        <v>45935</v>
      </c>
    </row>
    <row r="837" spans="1:20" ht="38.25" hidden="1">
      <c r="A837" s="239" t="s">
        <v>2507</v>
      </c>
      <c r="B837" s="240">
        <v>2085</v>
      </c>
      <c r="C837" s="241">
        <v>16</v>
      </c>
      <c r="D837" s="239" t="s">
        <v>2482</v>
      </c>
      <c r="E837" s="239" t="s">
        <v>453</v>
      </c>
      <c r="F837" s="239" t="s">
        <v>454</v>
      </c>
      <c r="G837" s="239" t="s">
        <v>960</v>
      </c>
      <c r="H837" s="239" t="s">
        <v>51</v>
      </c>
      <c r="I837" s="239" t="s">
        <v>2465</v>
      </c>
      <c r="J837" s="233"/>
      <c r="K837" s="235">
        <v>45934</v>
      </c>
      <c r="L837" s="233">
        <v>2.2000000000000002</v>
      </c>
      <c r="M837" s="234" t="s">
        <v>960</v>
      </c>
      <c r="N837" s="234">
        <v>58110</v>
      </c>
      <c r="O837" s="234">
        <v>24240</v>
      </c>
      <c r="P837" s="242">
        <v>21</v>
      </c>
      <c r="Q837" s="234">
        <v>33870</v>
      </c>
      <c r="R837" s="234">
        <v>26757.3</v>
      </c>
      <c r="S837" s="234" t="s">
        <v>2538</v>
      </c>
      <c r="T837" s="236">
        <v>45935</v>
      </c>
    </row>
    <row r="838" spans="1:20" ht="38.25" hidden="1">
      <c r="A838" s="239" t="s">
        <v>2506</v>
      </c>
      <c r="B838" s="240">
        <v>2084</v>
      </c>
      <c r="C838" s="241">
        <v>17</v>
      </c>
      <c r="D838" s="239" t="s">
        <v>2482</v>
      </c>
      <c r="E838" s="239" t="s">
        <v>456</v>
      </c>
      <c r="F838" s="239" t="s">
        <v>457</v>
      </c>
      <c r="G838" s="239" t="s">
        <v>960</v>
      </c>
      <c r="H838" s="239" t="s">
        <v>51</v>
      </c>
      <c r="I838" s="239" t="s">
        <v>2465</v>
      </c>
      <c r="J838" s="233"/>
      <c r="K838" s="235">
        <v>45934</v>
      </c>
      <c r="L838" s="233">
        <v>1.8</v>
      </c>
      <c r="M838" s="234" t="s">
        <v>960</v>
      </c>
      <c r="N838" s="234">
        <v>44230</v>
      </c>
      <c r="O838" s="234">
        <v>15680</v>
      </c>
      <c r="P838" s="242">
        <v>30</v>
      </c>
      <c r="Q838" s="234">
        <v>28550</v>
      </c>
      <c r="R838" s="234">
        <v>19985</v>
      </c>
      <c r="S838" s="234" t="s">
        <v>2537</v>
      </c>
      <c r="T838" s="236">
        <v>45935</v>
      </c>
    </row>
    <row r="839" spans="1:20" ht="38.25" hidden="1">
      <c r="A839" s="239" t="s">
        <v>2508</v>
      </c>
      <c r="B839" s="240">
        <v>2086</v>
      </c>
      <c r="C839" s="241">
        <v>19</v>
      </c>
      <c r="D839" s="239" t="s">
        <v>2482</v>
      </c>
      <c r="E839" s="239" t="s">
        <v>403</v>
      </c>
      <c r="F839" s="239" t="s">
        <v>404</v>
      </c>
      <c r="G839" s="239" t="s">
        <v>960</v>
      </c>
      <c r="H839" s="239" t="s">
        <v>51</v>
      </c>
      <c r="I839" s="239" t="s">
        <v>2465</v>
      </c>
      <c r="J839" s="233"/>
      <c r="K839" s="235">
        <v>45934</v>
      </c>
      <c r="L839" s="233">
        <v>1.6</v>
      </c>
      <c r="M839" s="234" t="s">
        <v>960</v>
      </c>
      <c r="N839" s="234">
        <v>39990</v>
      </c>
      <c r="O839" s="234">
        <v>14650</v>
      </c>
      <c r="P839" s="242">
        <v>28</v>
      </c>
      <c r="Q839" s="234">
        <v>25340</v>
      </c>
      <c r="R839" s="234">
        <v>18244.8</v>
      </c>
      <c r="S839" s="234" t="s">
        <v>2539</v>
      </c>
      <c r="T839" s="236">
        <v>45935</v>
      </c>
    </row>
    <row r="840" spans="1:20" ht="38.25" hidden="1">
      <c r="A840" s="239" t="s">
        <v>2509</v>
      </c>
      <c r="B840" s="240">
        <v>2087</v>
      </c>
      <c r="C840" s="241">
        <v>20</v>
      </c>
      <c r="D840" s="239" t="s">
        <v>2482</v>
      </c>
      <c r="E840" s="239" t="s">
        <v>406</v>
      </c>
      <c r="F840" s="239" t="s">
        <v>407</v>
      </c>
      <c r="G840" s="239" t="s">
        <v>960</v>
      </c>
      <c r="H840" s="239" t="s">
        <v>51</v>
      </c>
      <c r="I840" s="239" t="s">
        <v>2465</v>
      </c>
      <c r="J840" s="233"/>
      <c r="K840" s="235">
        <v>45934</v>
      </c>
      <c r="L840" s="233">
        <v>1.6</v>
      </c>
      <c r="M840" s="234" t="s">
        <v>960</v>
      </c>
      <c r="N840" s="234">
        <v>39750</v>
      </c>
      <c r="O840" s="234">
        <v>14980</v>
      </c>
      <c r="P840" s="242">
        <v>12</v>
      </c>
      <c r="Q840" s="234">
        <v>24770</v>
      </c>
      <c r="R840" s="234">
        <v>21797.599999999999</v>
      </c>
      <c r="S840" s="234" t="s">
        <v>2540</v>
      </c>
      <c r="T840" s="236">
        <v>45935</v>
      </c>
    </row>
    <row r="841" spans="1:20" ht="51" hidden="1">
      <c r="A841" s="239" t="s">
        <v>2545</v>
      </c>
      <c r="B841" s="240">
        <v>2092</v>
      </c>
      <c r="C841" s="241">
        <v>1</v>
      </c>
      <c r="D841" s="239" t="s">
        <v>2482</v>
      </c>
      <c r="E841" s="239" t="s">
        <v>382</v>
      </c>
      <c r="F841" s="239" t="s">
        <v>383</v>
      </c>
      <c r="G841" s="239" t="s">
        <v>962</v>
      </c>
      <c r="H841" s="239" t="s">
        <v>971</v>
      </c>
      <c r="I841" s="239" t="s">
        <v>2465</v>
      </c>
      <c r="J841" s="233"/>
      <c r="K841" s="235">
        <v>45935</v>
      </c>
      <c r="L841" s="233">
        <v>1.5</v>
      </c>
      <c r="M841" s="234" t="s">
        <v>962</v>
      </c>
      <c r="N841" s="234">
        <v>38960</v>
      </c>
      <c r="O841" s="234">
        <v>14640</v>
      </c>
      <c r="P841" s="242">
        <v>11</v>
      </c>
      <c r="Q841" s="234">
        <v>24320</v>
      </c>
      <c r="R841" s="234">
        <v>21644.799999999999</v>
      </c>
      <c r="S841" s="234" t="s">
        <v>2577</v>
      </c>
      <c r="T841" s="236">
        <v>45935</v>
      </c>
    </row>
    <row r="842" spans="1:20" ht="38.25" hidden="1">
      <c r="A842" s="239" t="s">
        <v>2546</v>
      </c>
      <c r="B842" s="240">
        <v>2094</v>
      </c>
      <c r="C842" s="241">
        <v>8</v>
      </c>
      <c r="D842" s="239" t="s">
        <v>2482</v>
      </c>
      <c r="E842" s="239" t="s">
        <v>858</v>
      </c>
      <c r="F842" s="239" t="s">
        <v>859</v>
      </c>
      <c r="G842" s="239" t="s">
        <v>962</v>
      </c>
      <c r="H842" s="239" t="s">
        <v>971</v>
      </c>
      <c r="I842" s="239" t="s">
        <v>2465</v>
      </c>
      <c r="J842" s="233"/>
      <c r="K842" s="235">
        <v>45935</v>
      </c>
      <c r="L842" s="233">
        <v>1.6</v>
      </c>
      <c r="M842" s="234" t="s">
        <v>962</v>
      </c>
      <c r="N842" s="234">
        <v>40580</v>
      </c>
      <c r="O842" s="234">
        <v>14900</v>
      </c>
      <c r="P842" s="242">
        <v>11</v>
      </c>
      <c r="Q842" s="234">
        <v>25680</v>
      </c>
      <c r="R842" s="234">
        <v>22855.200000000001</v>
      </c>
      <c r="S842" s="234" t="s">
        <v>2578</v>
      </c>
      <c r="T842" s="236">
        <v>45935</v>
      </c>
    </row>
    <row r="843" spans="1:20" ht="38.25" hidden="1">
      <c r="A843" s="239" t="s">
        <v>2547</v>
      </c>
      <c r="B843" s="240">
        <v>2095</v>
      </c>
      <c r="C843" s="241">
        <v>9</v>
      </c>
      <c r="D843" s="239" t="s">
        <v>2482</v>
      </c>
      <c r="E843" s="239" t="s">
        <v>388</v>
      </c>
      <c r="F843" s="239" t="s">
        <v>389</v>
      </c>
      <c r="G843" s="239" t="s">
        <v>962</v>
      </c>
      <c r="H843" s="239" t="s">
        <v>971</v>
      </c>
      <c r="I843" s="239" t="s">
        <v>2465</v>
      </c>
      <c r="J843" s="233"/>
      <c r="K843" s="235">
        <v>45935</v>
      </c>
      <c r="L843" s="233">
        <v>2.7</v>
      </c>
      <c r="M843" s="234" t="s">
        <v>962</v>
      </c>
      <c r="N843" s="234">
        <v>63510</v>
      </c>
      <c r="O843" s="234">
        <v>21300</v>
      </c>
      <c r="P843" s="242">
        <v>10</v>
      </c>
      <c r="Q843" s="234">
        <v>42210</v>
      </c>
      <c r="R843" s="234">
        <v>37989</v>
      </c>
      <c r="S843" s="234" t="s">
        <v>2579</v>
      </c>
      <c r="T843" s="236">
        <v>45935</v>
      </c>
    </row>
    <row r="844" spans="1:20" ht="38.25" hidden="1">
      <c r="A844" s="239" t="s">
        <v>2510</v>
      </c>
      <c r="B844" s="240">
        <v>2102</v>
      </c>
      <c r="C844" s="241">
        <v>7776</v>
      </c>
      <c r="D844" s="239" t="s">
        <v>2511</v>
      </c>
      <c r="E844" s="239" t="s">
        <v>783</v>
      </c>
      <c r="F844" s="239" t="s">
        <v>784</v>
      </c>
      <c r="G844" s="239" t="s">
        <v>933</v>
      </c>
      <c r="H844" s="239" t="s">
        <v>51</v>
      </c>
      <c r="I844" s="239" t="s">
        <v>2512</v>
      </c>
      <c r="J844" s="233"/>
      <c r="K844" s="235">
        <v>45935</v>
      </c>
      <c r="L844" s="233">
        <v>1.5</v>
      </c>
      <c r="M844" s="234" t="s">
        <v>933</v>
      </c>
      <c r="N844" s="234">
        <v>40310</v>
      </c>
      <c r="O844" s="234">
        <v>14620</v>
      </c>
      <c r="P844" s="242">
        <v>11</v>
      </c>
      <c r="Q844" s="234">
        <v>25690</v>
      </c>
      <c r="R844" s="234">
        <v>22864.1</v>
      </c>
      <c r="S844" s="234" t="s">
        <v>2541</v>
      </c>
      <c r="T844" s="236">
        <v>45935</v>
      </c>
    </row>
    <row r="845" spans="1:20" ht="38.25" hidden="1">
      <c r="A845" s="239" t="s">
        <v>2548</v>
      </c>
      <c r="B845" s="240">
        <v>2096</v>
      </c>
      <c r="C845" s="241">
        <v>2</v>
      </c>
      <c r="D845" s="239" t="s">
        <v>2482</v>
      </c>
      <c r="E845" s="239" t="s">
        <v>400</v>
      </c>
      <c r="F845" s="239" t="s">
        <v>401</v>
      </c>
      <c r="G845" s="239" t="s">
        <v>962</v>
      </c>
      <c r="H845" s="239" t="s">
        <v>971</v>
      </c>
      <c r="I845" s="239" t="s">
        <v>2465</v>
      </c>
      <c r="J845" s="233"/>
      <c r="K845" s="235">
        <v>45935</v>
      </c>
      <c r="L845" s="233">
        <v>1.6</v>
      </c>
      <c r="M845" s="234" t="s">
        <v>962</v>
      </c>
      <c r="N845" s="234">
        <v>39540</v>
      </c>
      <c r="O845" s="234">
        <v>14900</v>
      </c>
      <c r="P845" s="242">
        <v>18</v>
      </c>
      <c r="Q845" s="234">
        <v>24640</v>
      </c>
      <c r="R845" s="234">
        <v>20204.8</v>
      </c>
      <c r="S845" s="234" t="s">
        <v>2580</v>
      </c>
      <c r="T845" s="236">
        <v>45935</v>
      </c>
    </row>
    <row r="846" spans="1:20" ht="38.25" hidden="1">
      <c r="A846" s="239" t="s">
        <v>2549</v>
      </c>
      <c r="B846" s="240">
        <v>2097</v>
      </c>
      <c r="C846" s="241">
        <v>3</v>
      </c>
      <c r="D846" s="239" t="s">
        <v>2482</v>
      </c>
      <c r="E846" s="239" t="s">
        <v>390</v>
      </c>
      <c r="F846" s="239" t="s">
        <v>391</v>
      </c>
      <c r="G846" s="239" t="s">
        <v>962</v>
      </c>
      <c r="H846" s="239" t="s">
        <v>971</v>
      </c>
      <c r="I846" s="239" t="s">
        <v>2465</v>
      </c>
      <c r="J846" s="233"/>
      <c r="K846" s="235">
        <v>45935</v>
      </c>
      <c r="L846" s="233">
        <v>1.7</v>
      </c>
      <c r="M846" s="234" t="s">
        <v>962</v>
      </c>
      <c r="N846" s="234">
        <v>41540</v>
      </c>
      <c r="O846" s="234">
        <v>15150</v>
      </c>
      <c r="P846" s="242">
        <v>7</v>
      </c>
      <c r="Q846" s="234">
        <v>26390</v>
      </c>
      <c r="R846" s="234">
        <v>24542.7</v>
      </c>
      <c r="S846" s="234" t="s">
        <v>2581</v>
      </c>
      <c r="T846" s="236">
        <v>45935</v>
      </c>
    </row>
    <row r="847" spans="1:20" ht="38.25" hidden="1">
      <c r="A847" s="239" t="s">
        <v>2550</v>
      </c>
      <c r="B847" s="240">
        <v>2098</v>
      </c>
      <c r="C847" s="241">
        <v>4</v>
      </c>
      <c r="D847" s="239" t="s">
        <v>2482</v>
      </c>
      <c r="E847" s="239" t="s">
        <v>432</v>
      </c>
      <c r="F847" s="239" t="s">
        <v>433</v>
      </c>
      <c r="G847" s="239" t="s">
        <v>962</v>
      </c>
      <c r="H847" s="239" t="s">
        <v>971</v>
      </c>
      <c r="I847" s="239" t="s">
        <v>2465</v>
      </c>
      <c r="J847" s="233"/>
      <c r="K847" s="235">
        <v>45935</v>
      </c>
      <c r="L847" s="233">
        <v>1.7</v>
      </c>
      <c r="M847" s="234" t="s">
        <v>962</v>
      </c>
      <c r="N847" s="234">
        <v>42660</v>
      </c>
      <c r="O847" s="234">
        <v>15800</v>
      </c>
      <c r="P847" s="242">
        <v>13</v>
      </c>
      <c r="Q847" s="234">
        <v>26860</v>
      </c>
      <c r="R847" s="234">
        <v>23368.2</v>
      </c>
      <c r="S847" s="234" t="s">
        <v>2582</v>
      </c>
      <c r="T847" s="236">
        <v>45935</v>
      </c>
    </row>
    <row r="848" spans="1:20" ht="38.25" hidden="1">
      <c r="A848" s="239" t="s">
        <v>2551</v>
      </c>
      <c r="B848" s="240">
        <v>2099</v>
      </c>
      <c r="C848" s="241">
        <v>7</v>
      </c>
      <c r="D848" s="239" t="s">
        <v>2482</v>
      </c>
      <c r="E848" s="239" t="s">
        <v>372</v>
      </c>
      <c r="F848" s="239" t="s">
        <v>373</v>
      </c>
      <c r="G848" s="239" t="s">
        <v>962</v>
      </c>
      <c r="H848" s="239" t="s">
        <v>971</v>
      </c>
      <c r="I848" s="239" t="s">
        <v>2465</v>
      </c>
      <c r="J848" s="233"/>
      <c r="K848" s="235">
        <v>45935</v>
      </c>
      <c r="L848" s="233">
        <v>1.5</v>
      </c>
      <c r="M848" s="234" t="s">
        <v>962</v>
      </c>
      <c r="N848" s="234">
        <v>39450</v>
      </c>
      <c r="O848" s="234">
        <v>15010</v>
      </c>
      <c r="P848" s="242">
        <v>16</v>
      </c>
      <c r="Q848" s="234">
        <v>24440</v>
      </c>
      <c r="R848" s="234">
        <v>20529.599999999999</v>
      </c>
      <c r="S848" s="234" t="s">
        <v>2583</v>
      </c>
      <c r="T848" s="236">
        <v>45935</v>
      </c>
    </row>
    <row r="849" spans="1:20" ht="51" hidden="1">
      <c r="A849" s="239" t="s">
        <v>2552</v>
      </c>
      <c r="B849" s="240">
        <v>2100</v>
      </c>
      <c r="C849" s="241">
        <v>5</v>
      </c>
      <c r="D849" s="239" t="s">
        <v>2482</v>
      </c>
      <c r="E849" s="239" t="s">
        <v>1410</v>
      </c>
      <c r="F849" s="239" t="s">
        <v>437</v>
      </c>
      <c r="G849" s="239" t="s">
        <v>962</v>
      </c>
      <c r="H849" s="239" t="s">
        <v>971</v>
      </c>
      <c r="I849" s="239" t="s">
        <v>2465</v>
      </c>
      <c r="J849" s="233"/>
      <c r="K849" s="235">
        <v>45935</v>
      </c>
      <c r="L849" s="233">
        <v>1.6</v>
      </c>
      <c r="M849" s="234" t="s">
        <v>962</v>
      </c>
      <c r="N849" s="234">
        <v>40810</v>
      </c>
      <c r="O849" s="234">
        <v>15010</v>
      </c>
      <c r="P849" s="242">
        <v>8</v>
      </c>
      <c r="Q849" s="234">
        <v>25800</v>
      </c>
      <c r="R849" s="234">
        <v>23736</v>
      </c>
      <c r="S849" s="234" t="s">
        <v>2584</v>
      </c>
      <c r="T849" s="236">
        <v>45935</v>
      </c>
    </row>
    <row r="850" spans="1:20" ht="38.25" hidden="1">
      <c r="A850" s="239" t="s">
        <v>2553</v>
      </c>
      <c r="B850" s="240">
        <v>2101</v>
      </c>
      <c r="C850" s="241">
        <v>6</v>
      </c>
      <c r="D850" s="239" t="s">
        <v>2482</v>
      </c>
      <c r="E850" s="239" t="s">
        <v>439</v>
      </c>
      <c r="F850" s="239" t="s">
        <v>440</v>
      </c>
      <c r="G850" s="239" t="s">
        <v>962</v>
      </c>
      <c r="H850" s="239" t="s">
        <v>971</v>
      </c>
      <c r="I850" s="239" t="s">
        <v>2465</v>
      </c>
      <c r="J850" s="233"/>
      <c r="K850" s="235">
        <v>45935</v>
      </c>
      <c r="L850" s="233">
        <v>1.7</v>
      </c>
      <c r="M850" s="234" t="s">
        <v>962</v>
      </c>
      <c r="N850" s="234">
        <v>42010</v>
      </c>
      <c r="O850" s="234">
        <v>15260</v>
      </c>
      <c r="P850" s="242">
        <v>8</v>
      </c>
      <c r="Q850" s="234">
        <v>26750</v>
      </c>
      <c r="R850" s="234">
        <v>24610</v>
      </c>
      <c r="S850" s="234" t="s">
        <v>2585</v>
      </c>
      <c r="T850" s="236">
        <v>45935</v>
      </c>
    </row>
    <row r="851" spans="1:20" ht="38.25" hidden="1">
      <c r="A851" s="239" t="s">
        <v>2556</v>
      </c>
      <c r="B851" s="240">
        <v>2107</v>
      </c>
      <c r="C851" s="241">
        <v>12</v>
      </c>
      <c r="D851" s="239" t="s">
        <v>2482</v>
      </c>
      <c r="E851" s="239" t="s">
        <v>410</v>
      </c>
      <c r="F851" s="239" t="s">
        <v>411</v>
      </c>
      <c r="G851" s="239" t="s">
        <v>962</v>
      </c>
      <c r="H851" s="239" t="s">
        <v>971</v>
      </c>
      <c r="I851" s="239" t="s">
        <v>2465</v>
      </c>
      <c r="J851" s="233"/>
      <c r="K851" s="235">
        <v>45935</v>
      </c>
      <c r="L851" s="233">
        <v>1.6</v>
      </c>
      <c r="M851" s="234" t="s">
        <v>962</v>
      </c>
      <c r="N851" s="234">
        <v>40000</v>
      </c>
      <c r="O851" s="234">
        <v>15290</v>
      </c>
      <c r="P851" s="242">
        <v>22</v>
      </c>
      <c r="Q851" s="234">
        <v>24710</v>
      </c>
      <c r="R851" s="234">
        <v>19273.8</v>
      </c>
      <c r="S851" s="234" t="s">
        <v>2588</v>
      </c>
      <c r="T851" s="236">
        <v>45936</v>
      </c>
    </row>
    <row r="852" spans="1:20" ht="38.25" hidden="1">
      <c r="A852" s="239" t="s">
        <v>2555</v>
      </c>
      <c r="B852" s="240">
        <v>2105</v>
      </c>
      <c r="C852" s="241">
        <v>11</v>
      </c>
      <c r="D852" s="239" t="s">
        <v>2482</v>
      </c>
      <c r="E852" s="239" t="s">
        <v>377</v>
      </c>
      <c r="F852" s="239" t="s">
        <v>378</v>
      </c>
      <c r="G852" s="239" t="s">
        <v>962</v>
      </c>
      <c r="H852" s="239" t="s">
        <v>971</v>
      </c>
      <c r="I852" s="239" t="s">
        <v>2465</v>
      </c>
      <c r="J852" s="233"/>
      <c r="K852" s="235">
        <v>45935</v>
      </c>
      <c r="L852" s="233">
        <v>1.7</v>
      </c>
      <c r="M852" s="234" t="s">
        <v>962</v>
      </c>
      <c r="N852" s="234">
        <v>42790</v>
      </c>
      <c r="O852" s="234">
        <v>15190</v>
      </c>
      <c r="P852" s="242">
        <v>9</v>
      </c>
      <c r="Q852" s="234">
        <v>27600</v>
      </c>
      <c r="R852" s="234">
        <v>25116</v>
      </c>
      <c r="S852" s="234" t="s">
        <v>2587</v>
      </c>
      <c r="T852" s="236">
        <v>45935</v>
      </c>
    </row>
    <row r="853" spans="1:20" ht="38.25" hidden="1">
      <c r="A853" s="239" t="s">
        <v>2554</v>
      </c>
      <c r="B853" s="240">
        <v>2104</v>
      </c>
      <c r="C853" s="241">
        <v>10</v>
      </c>
      <c r="D853" s="239" t="s">
        <v>2482</v>
      </c>
      <c r="E853" s="239" t="s">
        <v>392</v>
      </c>
      <c r="F853" s="239" t="s">
        <v>393</v>
      </c>
      <c r="G853" s="239" t="s">
        <v>962</v>
      </c>
      <c r="H853" s="239" t="s">
        <v>971</v>
      </c>
      <c r="I853" s="239" t="s">
        <v>2465</v>
      </c>
      <c r="J853" s="233"/>
      <c r="K853" s="235">
        <v>45935</v>
      </c>
      <c r="L853" s="233">
        <v>2.6</v>
      </c>
      <c r="M853" s="234" t="s">
        <v>962</v>
      </c>
      <c r="N853" s="234">
        <v>65350</v>
      </c>
      <c r="O853" s="234">
        <v>24070</v>
      </c>
      <c r="P853" s="242">
        <v>8</v>
      </c>
      <c r="Q853" s="234">
        <v>41280</v>
      </c>
      <c r="R853" s="234">
        <v>37977.599999999999</v>
      </c>
      <c r="S853" s="234" t="s">
        <v>2586</v>
      </c>
      <c r="T853" s="236">
        <v>45935</v>
      </c>
    </row>
    <row r="854" spans="1:20" ht="38.25" hidden="1">
      <c r="A854" s="239" t="s">
        <v>2557</v>
      </c>
      <c r="B854" s="240">
        <v>2108</v>
      </c>
      <c r="C854" s="241">
        <v>13</v>
      </c>
      <c r="D854" s="239" t="s">
        <v>2482</v>
      </c>
      <c r="E854" s="239" t="s">
        <v>447</v>
      </c>
      <c r="F854" s="239" t="s">
        <v>448</v>
      </c>
      <c r="G854" s="239" t="s">
        <v>962</v>
      </c>
      <c r="H854" s="239" t="s">
        <v>971</v>
      </c>
      <c r="I854" s="239" t="s">
        <v>2465</v>
      </c>
      <c r="J854" s="233"/>
      <c r="K854" s="235">
        <v>45935</v>
      </c>
      <c r="L854" s="233">
        <v>2.1</v>
      </c>
      <c r="M854" s="234" t="s">
        <v>962</v>
      </c>
      <c r="N854" s="234">
        <v>53310</v>
      </c>
      <c r="O854" s="234">
        <v>19420</v>
      </c>
      <c r="P854" s="242">
        <v>7</v>
      </c>
      <c r="Q854" s="234">
        <v>33890</v>
      </c>
      <c r="R854" s="234">
        <v>31517.7</v>
      </c>
      <c r="S854" s="234" t="s">
        <v>2589</v>
      </c>
      <c r="T854" s="236">
        <v>45936</v>
      </c>
    </row>
    <row r="855" spans="1:20" ht="38.25" hidden="1">
      <c r="A855" s="239" t="s">
        <v>2558</v>
      </c>
      <c r="B855" s="240">
        <v>2109</v>
      </c>
      <c r="C855" s="241">
        <v>14</v>
      </c>
      <c r="D855" s="239" t="s">
        <v>2482</v>
      </c>
      <c r="E855" s="239" t="s">
        <v>453</v>
      </c>
      <c r="F855" s="239" t="s">
        <v>454</v>
      </c>
      <c r="G855" s="239" t="s">
        <v>962</v>
      </c>
      <c r="H855" s="239" t="s">
        <v>971</v>
      </c>
      <c r="I855" s="239" t="s">
        <v>2465</v>
      </c>
      <c r="J855" s="233"/>
      <c r="K855" s="235">
        <v>45935</v>
      </c>
      <c r="L855" s="233">
        <v>2.1</v>
      </c>
      <c r="M855" s="234" t="s">
        <v>962</v>
      </c>
      <c r="N855" s="234">
        <v>57980</v>
      </c>
      <c r="O855" s="234">
        <v>24220</v>
      </c>
      <c r="P855" s="242">
        <v>12</v>
      </c>
      <c r="Q855" s="234">
        <v>33760</v>
      </c>
      <c r="R855" s="234">
        <v>29708.799999999999</v>
      </c>
      <c r="S855" s="234" t="s">
        <v>2590</v>
      </c>
      <c r="T855" s="236">
        <v>45936</v>
      </c>
    </row>
    <row r="856" spans="1:20" ht="38.25" hidden="1">
      <c r="A856" s="239" t="s">
        <v>2559</v>
      </c>
      <c r="B856" s="240">
        <v>2110</v>
      </c>
      <c r="C856" s="241">
        <v>15</v>
      </c>
      <c r="D856" s="239" t="s">
        <v>2482</v>
      </c>
      <c r="E856" s="239" t="s">
        <v>456</v>
      </c>
      <c r="F856" s="239" t="s">
        <v>457</v>
      </c>
      <c r="G856" s="239" t="s">
        <v>962</v>
      </c>
      <c r="H856" s="239" t="s">
        <v>971</v>
      </c>
      <c r="I856" s="239" t="s">
        <v>2465</v>
      </c>
      <c r="J856" s="233"/>
      <c r="K856" s="235">
        <v>45935</v>
      </c>
      <c r="L856" s="233">
        <v>1.8</v>
      </c>
      <c r="M856" s="234" t="s">
        <v>962</v>
      </c>
      <c r="N856" s="234">
        <v>44690</v>
      </c>
      <c r="O856" s="234">
        <v>15670</v>
      </c>
      <c r="P856" s="242">
        <v>11</v>
      </c>
      <c r="Q856" s="234">
        <v>29020</v>
      </c>
      <c r="R856" s="234">
        <v>25827.8</v>
      </c>
      <c r="S856" s="234" t="s">
        <v>2591</v>
      </c>
      <c r="T856" s="236">
        <v>45936</v>
      </c>
    </row>
    <row r="857" spans="1:20" ht="38.25" hidden="1">
      <c r="A857" s="239" t="s">
        <v>2560</v>
      </c>
      <c r="B857" s="240">
        <v>2111</v>
      </c>
      <c r="C857" s="241">
        <v>16</v>
      </c>
      <c r="D857" s="239" t="s">
        <v>2482</v>
      </c>
      <c r="E857" s="239" t="s">
        <v>416</v>
      </c>
      <c r="F857" s="239" t="s">
        <v>417</v>
      </c>
      <c r="G857" s="239" t="s">
        <v>962</v>
      </c>
      <c r="H857" s="239" t="s">
        <v>971</v>
      </c>
      <c r="I857" s="239" t="s">
        <v>2465</v>
      </c>
      <c r="J857" s="233"/>
      <c r="K857" s="235">
        <v>45935</v>
      </c>
      <c r="L857" s="233">
        <v>1.5</v>
      </c>
      <c r="M857" s="234" t="s">
        <v>962</v>
      </c>
      <c r="N857" s="234">
        <v>39120</v>
      </c>
      <c r="O857" s="234">
        <v>14710</v>
      </c>
      <c r="P857" s="242">
        <v>12</v>
      </c>
      <c r="Q857" s="234">
        <v>24410</v>
      </c>
      <c r="R857" s="234">
        <v>21480.799999999999</v>
      </c>
      <c r="S857" s="234" t="s">
        <v>2592</v>
      </c>
      <c r="T857" s="236">
        <v>45936</v>
      </c>
    </row>
    <row r="858" spans="1:20" ht="38.25" hidden="1">
      <c r="A858" s="239" t="s">
        <v>2561</v>
      </c>
      <c r="B858" s="240">
        <v>2113</v>
      </c>
      <c r="C858" s="241">
        <v>17</v>
      </c>
      <c r="D858" s="239" t="s">
        <v>2482</v>
      </c>
      <c r="E858" s="239" t="s">
        <v>403</v>
      </c>
      <c r="F858" s="239" t="s">
        <v>404</v>
      </c>
      <c r="G858" s="239" t="s">
        <v>962</v>
      </c>
      <c r="H858" s="239" t="s">
        <v>971</v>
      </c>
      <c r="I858" s="239" t="s">
        <v>2465</v>
      </c>
      <c r="J858" s="233"/>
      <c r="K858" s="235">
        <v>45935</v>
      </c>
      <c r="L858" s="233">
        <v>1.6</v>
      </c>
      <c r="M858" s="234" t="s">
        <v>962</v>
      </c>
      <c r="N858" s="234">
        <v>39800</v>
      </c>
      <c r="O858" s="234">
        <v>14640</v>
      </c>
      <c r="P858" s="242">
        <v>15</v>
      </c>
      <c r="Q858" s="234">
        <v>25160</v>
      </c>
      <c r="R858" s="234">
        <v>21386</v>
      </c>
      <c r="S858" s="234" t="s">
        <v>2593</v>
      </c>
      <c r="T858" s="236">
        <v>45936</v>
      </c>
    </row>
    <row r="859" spans="1:20" ht="38.25" hidden="1">
      <c r="A859" s="239" t="s">
        <v>2562</v>
      </c>
      <c r="B859" s="240">
        <v>2114</v>
      </c>
      <c r="C859" s="241">
        <v>18</v>
      </c>
      <c r="D859" s="239" t="s">
        <v>2482</v>
      </c>
      <c r="E859" s="239" t="s">
        <v>406</v>
      </c>
      <c r="F859" s="239" t="s">
        <v>407</v>
      </c>
      <c r="G859" s="239" t="s">
        <v>962</v>
      </c>
      <c r="H859" s="239" t="s">
        <v>971</v>
      </c>
      <c r="I859" s="239" t="s">
        <v>2465</v>
      </c>
      <c r="J859" s="233"/>
      <c r="K859" s="235">
        <v>45935</v>
      </c>
      <c r="L859" s="233">
        <v>1.7</v>
      </c>
      <c r="M859" s="234" t="s">
        <v>962</v>
      </c>
      <c r="N859" s="234">
        <v>39980</v>
      </c>
      <c r="O859" s="234">
        <v>15230</v>
      </c>
      <c r="P859" s="242">
        <v>9</v>
      </c>
      <c r="Q859" s="234">
        <v>24750</v>
      </c>
      <c r="R859" s="234">
        <v>22522.5</v>
      </c>
      <c r="S859" s="234" t="s">
        <v>2594</v>
      </c>
      <c r="T859" s="236">
        <v>45936</v>
      </c>
    </row>
    <row r="860" spans="1:20" ht="38.25" hidden="1">
      <c r="A860" s="239" t="s">
        <v>2563</v>
      </c>
      <c r="B860" s="240">
        <v>2115</v>
      </c>
      <c r="C860" s="241">
        <v>19</v>
      </c>
      <c r="D860" s="239" t="s">
        <v>2482</v>
      </c>
      <c r="E860" s="239" t="s">
        <v>780</v>
      </c>
      <c r="F860" s="239" t="s">
        <v>781</v>
      </c>
      <c r="G860" s="239" t="s">
        <v>962</v>
      </c>
      <c r="H860" s="239" t="s">
        <v>42</v>
      </c>
      <c r="I860" s="239" t="s">
        <v>2465</v>
      </c>
      <c r="J860" s="233"/>
      <c r="K860" s="235">
        <v>45935</v>
      </c>
      <c r="L860" s="233">
        <v>3.4</v>
      </c>
      <c r="M860" s="234" t="s">
        <v>962</v>
      </c>
      <c r="N860" s="234">
        <v>37540</v>
      </c>
      <c r="O860" s="234">
        <v>14980</v>
      </c>
      <c r="P860" s="242">
        <v>15</v>
      </c>
      <c r="Q860" s="234">
        <v>22560</v>
      </c>
      <c r="R860" s="234">
        <v>19176</v>
      </c>
      <c r="S860" s="234" t="s">
        <v>2595</v>
      </c>
      <c r="T860" s="236">
        <v>45936</v>
      </c>
    </row>
    <row r="861" spans="1:20" ht="38.25" hidden="1">
      <c r="A861" s="239" t="s">
        <v>2564</v>
      </c>
      <c r="B861" s="240">
        <v>2116</v>
      </c>
      <c r="C861" s="241">
        <v>20</v>
      </c>
      <c r="D861" s="239" t="s">
        <v>2482</v>
      </c>
      <c r="E861" s="239" t="s">
        <v>442</v>
      </c>
      <c r="F861" s="239" t="s">
        <v>443</v>
      </c>
      <c r="G861" s="239" t="s">
        <v>962</v>
      </c>
      <c r="H861" s="239" t="s">
        <v>42</v>
      </c>
      <c r="I861" s="239" t="s">
        <v>2465</v>
      </c>
      <c r="J861" s="233"/>
      <c r="K861" s="235">
        <v>45935</v>
      </c>
      <c r="L861" s="233">
        <v>3.2</v>
      </c>
      <c r="M861" s="234" t="s">
        <v>962</v>
      </c>
      <c r="N861" s="234">
        <v>35640</v>
      </c>
      <c r="O861" s="234">
        <v>14560</v>
      </c>
      <c r="P861" s="242">
        <v>9</v>
      </c>
      <c r="Q861" s="234">
        <v>21080</v>
      </c>
      <c r="R861" s="234">
        <v>19182.8</v>
      </c>
      <c r="S861" s="234" t="s">
        <v>2596</v>
      </c>
      <c r="T861" s="236">
        <v>45936</v>
      </c>
    </row>
    <row r="862" spans="1:20" ht="38.25" hidden="1">
      <c r="A862" s="239" t="s">
        <v>2565</v>
      </c>
      <c r="B862" s="240">
        <v>2120</v>
      </c>
      <c r="C862" s="241">
        <v>21</v>
      </c>
      <c r="D862" s="239" t="s">
        <v>2482</v>
      </c>
      <c r="E862" s="239" t="s">
        <v>374</v>
      </c>
      <c r="F862" s="239" t="s">
        <v>375</v>
      </c>
      <c r="G862" s="239" t="s">
        <v>962</v>
      </c>
      <c r="H862" s="239" t="s">
        <v>42</v>
      </c>
      <c r="I862" s="239" t="s">
        <v>2465</v>
      </c>
      <c r="J862" s="233"/>
      <c r="K862" s="235">
        <v>45935</v>
      </c>
      <c r="L862" s="233">
        <v>4</v>
      </c>
      <c r="M862" s="234" t="s">
        <v>962</v>
      </c>
      <c r="N862" s="234">
        <v>42180</v>
      </c>
      <c r="O862" s="234">
        <v>15570</v>
      </c>
      <c r="P862" s="242">
        <v>7</v>
      </c>
      <c r="Q862" s="234">
        <v>26610</v>
      </c>
      <c r="R862" s="234">
        <v>24747.3</v>
      </c>
      <c r="S862" s="234" t="s">
        <v>2597</v>
      </c>
      <c r="T862" s="236">
        <v>45936</v>
      </c>
    </row>
    <row r="863" spans="1:20" ht="38.25" hidden="1">
      <c r="A863" s="239" t="s">
        <v>2569</v>
      </c>
      <c r="B863" s="240">
        <v>2131</v>
      </c>
      <c r="C863" s="241">
        <v>7810</v>
      </c>
      <c r="D863" s="239" t="s">
        <v>2511</v>
      </c>
      <c r="E863" s="239" t="s">
        <v>388</v>
      </c>
      <c r="F863" s="239" t="s">
        <v>389</v>
      </c>
      <c r="G863" s="239" t="s">
        <v>933</v>
      </c>
      <c r="H863" s="239" t="s">
        <v>51</v>
      </c>
      <c r="I863" s="239" t="s">
        <v>2512</v>
      </c>
      <c r="J863" s="233"/>
      <c r="K863" s="235">
        <v>45936</v>
      </c>
      <c r="L863" s="233">
        <v>2.5</v>
      </c>
      <c r="M863" s="234" t="s">
        <v>933</v>
      </c>
      <c r="N863" s="234">
        <v>62860</v>
      </c>
      <c r="O863" s="234">
        <v>21250</v>
      </c>
      <c r="P863" s="242">
        <v>1</v>
      </c>
      <c r="Q863" s="234">
        <v>41610</v>
      </c>
      <c r="R863" s="234">
        <v>41193.9</v>
      </c>
      <c r="S863" s="234" t="s">
        <v>2601</v>
      </c>
      <c r="T863" s="236">
        <v>45936</v>
      </c>
    </row>
    <row r="864" spans="1:20" ht="38.25" hidden="1">
      <c r="A864" s="239" t="s">
        <v>2572</v>
      </c>
      <c r="B864" s="240">
        <v>2132</v>
      </c>
      <c r="C864" s="241">
        <v>7811</v>
      </c>
      <c r="D864" s="239" t="s">
        <v>2511</v>
      </c>
      <c r="E864" s="239" t="s">
        <v>841</v>
      </c>
      <c r="F864" s="239" t="s">
        <v>845</v>
      </c>
      <c r="G864" s="239" t="s">
        <v>933</v>
      </c>
      <c r="H864" s="239" t="s">
        <v>51</v>
      </c>
      <c r="I864" s="239" t="s">
        <v>2512</v>
      </c>
      <c r="J864" s="233"/>
      <c r="K864" s="235">
        <v>45936</v>
      </c>
      <c r="L864" s="233">
        <v>1.7</v>
      </c>
      <c r="M864" s="234" t="s">
        <v>933</v>
      </c>
      <c r="N864" s="234">
        <v>43480</v>
      </c>
      <c r="O864" s="234">
        <v>15890</v>
      </c>
      <c r="P864" s="242">
        <v>4</v>
      </c>
      <c r="Q864" s="234">
        <v>27590</v>
      </c>
      <c r="R864" s="234">
        <v>26486.400000000001</v>
      </c>
      <c r="S864" s="234" t="s">
        <v>2604</v>
      </c>
      <c r="T864" s="236">
        <v>45936</v>
      </c>
    </row>
    <row r="865" spans="1:20" ht="38.25" hidden="1">
      <c r="A865" s="239" t="s">
        <v>2566</v>
      </c>
      <c r="B865" s="240">
        <v>2133</v>
      </c>
      <c r="C865" s="241">
        <v>7812</v>
      </c>
      <c r="D865" s="239" t="s">
        <v>2511</v>
      </c>
      <c r="E865" s="239" t="s">
        <v>794</v>
      </c>
      <c r="F865" s="239" t="s">
        <v>795</v>
      </c>
      <c r="G865" s="239" t="s">
        <v>933</v>
      </c>
      <c r="H865" s="239" t="s">
        <v>51</v>
      </c>
      <c r="I865" s="239" t="s">
        <v>2512</v>
      </c>
      <c r="J865" s="233"/>
      <c r="K865" s="235">
        <v>45936</v>
      </c>
      <c r="L865" s="233">
        <v>1.6</v>
      </c>
      <c r="M865" s="234" t="s">
        <v>933</v>
      </c>
      <c r="N865" s="234">
        <v>42180</v>
      </c>
      <c r="O865" s="234">
        <v>16120</v>
      </c>
      <c r="P865" s="242">
        <v>5</v>
      </c>
      <c r="Q865" s="234">
        <v>26060</v>
      </c>
      <c r="R865" s="234">
        <v>24757</v>
      </c>
      <c r="S865" s="234" t="s">
        <v>2598</v>
      </c>
      <c r="T865" s="236">
        <v>45936</v>
      </c>
    </row>
    <row r="866" spans="1:20" ht="38.25" hidden="1">
      <c r="A866" s="239" t="s">
        <v>2567</v>
      </c>
      <c r="B866" s="240">
        <v>2135</v>
      </c>
      <c r="C866" s="241">
        <v>7814</v>
      </c>
      <c r="D866" s="239" t="s">
        <v>2511</v>
      </c>
      <c r="E866" s="239" t="s">
        <v>791</v>
      </c>
      <c r="F866" s="239" t="s">
        <v>792</v>
      </c>
      <c r="G866" s="239" t="s">
        <v>933</v>
      </c>
      <c r="H866" s="239" t="s">
        <v>51</v>
      </c>
      <c r="I866" s="239" t="s">
        <v>2512</v>
      </c>
      <c r="J866" s="233"/>
      <c r="K866" s="235">
        <v>45936</v>
      </c>
      <c r="L866" s="233">
        <v>1.6</v>
      </c>
      <c r="M866" s="234" t="s">
        <v>933</v>
      </c>
      <c r="N866" s="234">
        <v>41270</v>
      </c>
      <c r="O866" s="234">
        <v>14960</v>
      </c>
      <c r="P866" s="242">
        <v>5</v>
      </c>
      <c r="Q866" s="234">
        <v>26310</v>
      </c>
      <c r="R866" s="234">
        <v>24994.5</v>
      </c>
      <c r="S866" s="234" t="s">
        <v>2599</v>
      </c>
      <c r="T866" s="236">
        <v>45936</v>
      </c>
    </row>
    <row r="867" spans="1:20" ht="38.25" hidden="1">
      <c r="A867" s="239" t="s">
        <v>2568</v>
      </c>
      <c r="B867" s="240">
        <v>2136</v>
      </c>
      <c r="C867" s="241">
        <v>7815</v>
      </c>
      <c r="D867" s="239" t="s">
        <v>2511</v>
      </c>
      <c r="E867" s="239" t="s">
        <v>786</v>
      </c>
      <c r="F867" s="239" t="s">
        <v>787</v>
      </c>
      <c r="G867" s="239" t="s">
        <v>933</v>
      </c>
      <c r="H867" s="239" t="s">
        <v>51</v>
      </c>
      <c r="I867" s="239" t="s">
        <v>2512</v>
      </c>
      <c r="J867" s="233"/>
      <c r="K867" s="235">
        <v>45936</v>
      </c>
      <c r="L867" s="233">
        <v>1.4</v>
      </c>
      <c r="M867" s="234" t="s">
        <v>933</v>
      </c>
      <c r="N867" s="234">
        <v>36090</v>
      </c>
      <c r="O867" s="234">
        <v>13980</v>
      </c>
      <c r="P867" s="242">
        <v>5</v>
      </c>
      <c r="Q867" s="234">
        <v>22110</v>
      </c>
      <c r="R867" s="234">
        <v>21004.5</v>
      </c>
      <c r="S867" s="234" t="s">
        <v>2600</v>
      </c>
      <c r="T867" s="236">
        <v>45936</v>
      </c>
    </row>
    <row r="868" spans="1:20" ht="38.25" hidden="1">
      <c r="A868" s="239" t="s">
        <v>2570</v>
      </c>
      <c r="B868" s="240">
        <v>2139</v>
      </c>
      <c r="C868" s="241">
        <v>7823</v>
      </c>
      <c r="D868" s="239" t="s">
        <v>2511</v>
      </c>
      <c r="E868" s="239" t="s">
        <v>400</v>
      </c>
      <c r="F868" s="239" t="s">
        <v>401</v>
      </c>
      <c r="G868" s="239" t="s">
        <v>933</v>
      </c>
      <c r="H868" s="239" t="s">
        <v>51</v>
      </c>
      <c r="I868" s="239" t="s">
        <v>2512</v>
      </c>
      <c r="J868" s="233"/>
      <c r="K868" s="235">
        <v>45936</v>
      </c>
      <c r="L868" s="233">
        <v>1.4</v>
      </c>
      <c r="M868" s="234" t="s">
        <v>933</v>
      </c>
      <c r="N868" s="234">
        <v>37970</v>
      </c>
      <c r="O868" s="234">
        <v>14720</v>
      </c>
      <c r="P868" s="242">
        <v>4</v>
      </c>
      <c r="Q868" s="234">
        <v>23250</v>
      </c>
      <c r="R868" s="234">
        <v>22320</v>
      </c>
      <c r="S868" s="234" t="s">
        <v>2602</v>
      </c>
      <c r="T868" s="236">
        <v>45936</v>
      </c>
    </row>
    <row r="869" spans="1:20" ht="51" hidden="1">
      <c r="A869" s="239" t="s">
        <v>2571</v>
      </c>
      <c r="B869" s="240">
        <v>2140</v>
      </c>
      <c r="C869" s="241">
        <v>7824</v>
      </c>
      <c r="D869" s="239" t="s">
        <v>2511</v>
      </c>
      <c r="E869" s="239" t="s">
        <v>382</v>
      </c>
      <c r="F869" s="239" t="s">
        <v>383</v>
      </c>
      <c r="G869" s="239" t="s">
        <v>933</v>
      </c>
      <c r="H869" s="239" t="s">
        <v>51</v>
      </c>
      <c r="I869" s="239" t="s">
        <v>2512</v>
      </c>
      <c r="J869" s="233"/>
      <c r="K869" s="235">
        <v>45936</v>
      </c>
      <c r="L869" s="233">
        <v>1.4</v>
      </c>
      <c r="M869" s="234" t="s">
        <v>933</v>
      </c>
      <c r="N869" s="234">
        <v>37130</v>
      </c>
      <c r="O869" s="234">
        <v>14560</v>
      </c>
      <c r="P869" s="242">
        <v>4</v>
      </c>
      <c r="Q869" s="234">
        <v>22570</v>
      </c>
      <c r="R869" s="234">
        <v>21667.200000000001</v>
      </c>
      <c r="S869" s="234" t="s">
        <v>2603</v>
      </c>
      <c r="T869" s="236">
        <v>45936</v>
      </c>
    </row>
    <row r="870" spans="1:20" ht="38.25" hidden="1">
      <c r="A870" s="239" t="s">
        <v>2573</v>
      </c>
      <c r="B870" s="240">
        <v>2142</v>
      </c>
      <c r="C870" s="241">
        <v>7829</v>
      </c>
      <c r="D870" s="239" t="s">
        <v>2511</v>
      </c>
      <c r="E870" s="239" t="s">
        <v>462</v>
      </c>
      <c r="F870" s="239" t="s">
        <v>463</v>
      </c>
      <c r="G870" s="239" t="s">
        <v>933</v>
      </c>
      <c r="H870" s="239" t="s">
        <v>51</v>
      </c>
      <c r="I870" s="239" t="s">
        <v>2512</v>
      </c>
      <c r="J870" s="233"/>
      <c r="K870" s="235">
        <v>45936</v>
      </c>
      <c r="L870" s="233">
        <v>1.5</v>
      </c>
      <c r="M870" s="234" t="s">
        <v>933</v>
      </c>
      <c r="N870" s="234">
        <v>40780</v>
      </c>
      <c r="O870" s="234">
        <v>16330</v>
      </c>
      <c r="P870" s="242">
        <v>6</v>
      </c>
      <c r="Q870" s="234">
        <v>24450</v>
      </c>
      <c r="R870" s="234">
        <v>22983</v>
      </c>
      <c r="S870" s="234" t="s">
        <v>2605</v>
      </c>
      <c r="T870" s="236">
        <v>45937</v>
      </c>
    </row>
    <row r="871" spans="1:20" ht="38.25" hidden="1">
      <c r="A871" s="239" t="s">
        <v>2574</v>
      </c>
      <c r="B871" s="240">
        <v>2143</v>
      </c>
      <c r="C871" s="241">
        <v>7828</v>
      </c>
      <c r="D871" s="239" t="s">
        <v>2511</v>
      </c>
      <c r="E871" s="239" t="s">
        <v>432</v>
      </c>
      <c r="F871" s="239" t="s">
        <v>433</v>
      </c>
      <c r="G871" s="239" t="s">
        <v>933</v>
      </c>
      <c r="H871" s="239" t="s">
        <v>51</v>
      </c>
      <c r="I871" s="239" t="s">
        <v>2512</v>
      </c>
      <c r="J871" s="233"/>
      <c r="K871" s="235">
        <v>45936</v>
      </c>
      <c r="L871" s="233">
        <v>1.7</v>
      </c>
      <c r="M871" s="234" t="s">
        <v>933</v>
      </c>
      <c r="N871" s="234">
        <v>42870</v>
      </c>
      <c r="O871" s="234">
        <v>15700</v>
      </c>
      <c r="P871" s="242">
        <v>5</v>
      </c>
      <c r="Q871" s="234">
        <v>27170</v>
      </c>
      <c r="R871" s="234">
        <v>25811.5</v>
      </c>
      <c r="S871" s="234" t="s">
        <v>2606</v>
      </c>
      <c r="T871" s="236">
        <v>45937</v>
      </c>
    </row>
    <row r="872" spans="1:20" ht="38.25" hidden="1">
      <c r="A872" s="239" t="s">
        <v>2575</v>
      </c>
      <c r="B872" s="240">
        <v>2144</v>
      </c>
      <c r="C872" s="241">
        <v>7776</v>
      </c>
      <c r="D872" s="239" t="s">
        <v>2511</v>
      </c>
      <c r="E872" s="239" t="s">
        <v>783</v>
      </c>
      <c r="F872" s="239" t="s">
        <v>784</v>
      </c>
      <c r="G872" s="239" t="s">
        <v>933</v>
      </c>
      <c r="H872" s="239" t="s">
        <v>51</v>
      </c>
      <c r="I872" s="239" t="s">
        <v>2512</v>
      </c>
      <c r="J872" s="233"/>
      <c r="K872" s="235">
        <v>45936</v>
      </c>
      <c r="L872" s="233">
        <v>1.5</v>
      </c>
      <c r="M872" s="234" t="s">
        <v>933</v>
      </c>
      <c r="N872" s="234">
        <v>39200</v>
      </c>
      <c r="O872" s="234">
        <v>14380</v>
      </c>
      <c r="P872" s="242">
        <v>7</v>
      </c>
      <c r="Q872" s="234">
        <v>24820</v>
      </c>
      <c r="R872" s="234">
        <v>23082.6</v>
      </c>
      <c r="S872" s="234" t="s">
        <v>2607</v>
      </c>
      <c r="T872" s="236">
        <v>45937</v>
      </c>
    </row>
    <row r="873" spans="1:20" ht="38.25" hidden="1">
      <c r="A873" s="239" t="s">
        <v>2576</v>
      </c>
      <c r="B873" s="240">
        <v>2145</v>
      </c>
      <c r="C873" s="241">
        <v>7843</v>
      </c>
      <c r="D873" s="239" t="s">
        <v>2511</v>
      </c>
      <c r="E873" s="239" t="s">
        <v>377</v>
      </c>
      <c r="F873" s="239" t="s">
        <v>378</v>
      </c>
      <c r="G873" s="239" t="s">
        <v>933</v>
      </c>
      <c r="H873" s="239" t="s">
        <v>51</v>
      </c>
      <c r="I873" s="239" t="s">
        <v>2512</v>
      </c>
      <c r="J873" s="233"/>
      <c r="K873" s="235">
        <v>45936</v>
      </c>
      <c r="L873" s="233">
        <v>1.7</v>
      </c>
      <c r="M873" s="234" t="s">
        <v>933</v>
      </c>
      <c r="N873" s="234">
        <v>42760</v>
      </c>
      <c r="O873" s="234">
        <v>15080</v>
      </c>
      <c r="P873" s="242">
        <v>6</v>
      </c>
      <c r="Q873" s="234">
        <v>27680</v>
      </c>
      <c r="R873" s="234">
        <v>26019.200000000001</v>
      </c>
      <c r="S873" s="234" t="s">
        <v>2608</v>
      </c>
      <c r="T873" s="236">
        <v>45937</v>
      </c>
    </row>
    <row r="874" spans="1:20" ht="38.25" hidden="1">
      <c r="A874" s="239" t="s">
        <v>2609</v>
      </c>
      <c r="B874" s="240">
        <v>2147</v>
      </c>
      <c r="C874" s="241">
        <v>7847</v>
      </c>
      <c r="D874" s="239" t="s">
        <v>2511</v>
      </c>
      <c r="E874" s="239" t="s">
        <v>472</v>
      </c>
      <c r="F874" s="239" t="s">
        <v>473</v>
      </c>
      <c r="G874" s="239" t="s">
        <v>933</v>
      </c>
      <c r="H874" s="239" t="s">
        <v>51</v>
      </c>
      <c r="I874" s="239" t="s">
        <v>2512</v>
      </c>
      <c r="J874" s="233"/>
      <c r="K874" s="235">
        <v>45936</v>
      </c>
      <c r="L874" s="233">
        <v>1.5</v>
      </c>
      <c r="M874" s="234" t="s">
        <v>933</v>
      </c>
      <c r="N874" s="234">
        <v>41170</v>
      </c>
      <c r="O874" s="234">
        <v>16480</v>
      </c>
      <c r="P874" s="242">
        <v>6</v>
      </c>
      <c r="Q874" s="234">
        <v>24690</v>
      </c>
      <c r="R874" s="234">
        <v>23208.6</v>
      </c>
      <c r="S874" s="234" t="s">
        <v>2610</v>
      </c>
      <c r="T874" s="236">
        <v>45937</v>
      </c>
    </row>
    <row r="875" spans="1:20" ht="51" hidden="1">
      <c r="A875" s="239" t="s">
        <v>2611</v>
      </c>
      <c r="B875" s="240">
        <v>2148</v>
      </c>
      <c r="C875" s="241">
        <v>7848</v>
      </c>
      <c r="D875" s="239" t="s">
        <v>2511</v>
      </c>
      <c r="E875" s="239" t="s">
        <v>475</v>
      </c>
      <c r="F875" s="239" t="s">
        <v>476</v>
      </c>
      <c r="G875" s="239" t="s">
        <v>933</v>
      </c>
      <c r="H875" s="239" t="s">
        <v>51</v>
      </c>
      <c r="I875" s="239" t="s">
        <v>2512</v>
      </c>
      <c r="J875" s="233"/>
      <c r="K875" s="235">
        <v>45936</v>
      </c>
      <c r="L875" s="233">
        <v>1.5</v>
      </c>
      <c r="M875" s="234" t="s">
        <v>933</v>
      </c>
      <c r="N875" s="234">
        <v>41130</v>
      </c>
      <c r="O875" s="234">
        <v>16370</v>
      </c>
      <c r="P875" s="242">
        <v>4</v>
      </c>
      <c r="Q875" s="234">
        <v>24760</v>
      </c>
      <c r="R875" s="234">
        <v>23769.599999999999</v>
      </c>
      <c r="S875" s="234" t="s">
        <v>2612</v>
      </c>
      <c r="T875" s="236">
        <v>45937</v>
      </c>
    </row>
    <row r="876" spans="1:20" ht="38.25" hidden="1">
      <c r="A876" s="239" t="s">
        <v>2613</v>
      </c>
      <c r="B876" s="240">
        <v>2156</v>
      </c>
      <c r="C876" s="241">
        <v>1</v>
      </c>
      <c r="D876" s="239" t="s">
        <v>2482</v>
      </c>
      <c r="E876" s="239" t="s">
        <v>392</v>
      </c>
      <c r="F876" s="239" t="s">
        <v>393</v>
      </c>
      <c r="G876" s="239" t="s">
        <v>960</v>
      </c>
      <c r="H876" s="239" t="s">
        <v>51</v>
      </c>
      <c r="I876" s="239" t="s">
        <v>2465</v>
      </c>
      <c r="J876" s="233"/>
      <c r="K876" s="235">
        <v>45937</v>
      </c>
      <c r="L876" s="233">
        <v>2.6</v>
      </c>
      <c r="M876" s="234" t="s">
        <v>960</v>
      </c>
      <c r="N876" s="234">
        <v>64650</v>
      </c>
      <c r="O876" s="234">
        <v>24150</v>
      </c>
      <c r="P876" s="242">
        <v>4</v>
      </c>
      <c r="Q876" s="234">
        <v>40500</v>
      </c>
      <c r="R876" s="234">
        <v>38880</v>
      </c>
      <c r="S876" s="234" t="s">
        <v>2631</v>
      </c>
      <c r="T876" s="236">
        <v>45937</v>
      </c>
    </row>
    <row r="877" spans="1:20" ht="38.25" hidden="1">
      <c r="A877" s="239" t="s">
        <v>2614</v>
      </c>
      <c r="B877" s="240">
        <v>2157</v>
      </c>
      <c r="C877" s="241">
        <v>2</v>
      </c>
      <c r="D877" s="239" t="s">
        <v>2482</v>
      </c>
      <c r="E877" s="239" t="s">
        <v>390</v>
      </c>
      <c r="F877" s="239" t="s">
        <v>391</v>
      </c>
      <c r="G877" s="239" t="s">
        <v>960</v>
      </c>
      <c r="H877" s="239" t="s">
        <v>51</v>
      </c>
      <c r="I877" s="239" t="s">
        <v>2465</v>
      </c>
      <c r="J877" s="233"/>
      <c r="K877" s="235">
        <v>45937</v>
      </c>
      <c r="L877" s="233">
        <v>1.7</v>
      </c>
      <c r="M877" s="234" t="s">
        <v>960</v>
      </c>
      <c r="N877" s="234">
        <v>40870</v>
      </c>
      <c r="O877" s="234">
        <v>15130</v>
      </c>
      <c r="P877" s="242">
        <v>6</v>
      </c>
      <c r="Q877" s="234">
        <v>25740</v>
      </c>
      <c r="R877" s="234">
        <v>24195.599999999999</v>
      </c>
      <c r="S877" s="234" t="s">
        <v>2632</v>
      </c>
      <c r="T877" s="236">
        <v>45937</v>
      </c>
    </row>
    <row r="878" spans="1:20" ht="38.25" hidden="1">
      <c r="A878" s="239" t="s">
        <v>2615</v>
      </c>
      <c r="B878" s="240">
        <v>2159</v>
      </c>
      <c r="C878" s="241">
        <v>3</v>
      </c>
      <c r="D878" s="239" t="s">
        <v>2482</v>
      </c>
      <c r="E878" s="239" t="s">
        <v>858</v>
      </c>
      <c r="F878" s="239" t="s">
        <v>859</v>
      </c>
      <c r="G878" s="239" t="s">
        <v>960</v>
      </c>
      <c r="H878" s="239" t="s">
        <v>51</v>
      </c>
      <c r="I878" s="239" t="s">
        <v>2465</v>
      </c>
      <c r="J878" s="233"/>
      <c r="K878" s="235">
        <v>45937</v>
      </c>
      <c r="L878" s="233">
        <v>1.7</v>
      </c>
      <c r="M878" s="234" t="s">
        <v>960</v>
      </c>
      <c r="N878" s="234">
        <v>40600</v>
      </c>
      <c r="O878" s="234">
        <v>14960</v>
      </c>
      <c r="P878" s="242">
        <v>9</v>
      </c>
      <c r="Q878" s="234">
        <v>25640</v>
      </c>
      <c r="R878" s="234">
        <v>23332.400000000001</v>
      </c>
      <c r="S878" s="234" t="s">
        <v>2633</v>
      </c>
      <c r="T878" s="236">
        <v>45937</v>
      </c>
    </row>
    <row r="879" spans="1:20" ht="38.25" hidden="1">
      <c r="A879" s="239" t="s">
        <v>2616</v>
      </c>
      <c r="B879" s="240">
        <v>2164</v>
      </c>
      <c r="C879" s="241">
        <v>4</v>
      </c>
      <c r="D879" s="239" t="s">
        <v>2482</v>
      </c>
      <c r="E879" s="239" t="s">
        <v>456</v>
      </c>
      <c r="F879" s="239" t="s">
        <v>457</v>
      </c>
      <c r="G879" s="239" t="s">
        <v>960</v>
      </c>
      <c r="H879" s="239" t="s">
        <v>51</v>
      </c>
      <c r="I879" s="239" t="s">
        <v>2465</v>
      </c>
      <c r="J879" s="233"/>
      <c r="K879" s="235">
        <v>45937</v>
      </c>
      <c r="L879" s="233">
        <v>1.9</v>
      </c>
      <c r="M879" s="234" t="s">
        <v>960</v>
      </c>
      <c r="N879" s="234">
        <v>45180</v>
      </c>
      <c r="O879" s="234">
        <v>15840</v>
      </c>
      <c r="P879" s="242">
        <v>5</v>
      </c>
      <c r="Q879" s="234">
        <v>29340</v>
      </c>
      <c r="R879" s="234">
        <v>27873</v>
      </c>
      <c r="S879" s="234" t="s">
        <v>2634</v>
      </c>
      <c r="T879" s="236">
        <v>45937</v>
      </c>
    </row>
    <row r="880" spans="1:20" ht="38.25" hidden="1">
      <c r="A880" s="239" t="s">
        <v>2617</v>
      </c>
      <c r="B880" s="240">
        <v>2165</v>
      </c>
      <c r="C880" s="241">
        <v>5</v>
      </c>
      <c r="D880" s="239" t="s">
        <v>2482</v>
      </c>
      <c r="E880" s="239" t="s">
        <v>413</v>
      </c>
      <c r="F880" s="239" t="s">
        <v>414</v>
      </c>
      <c r="G880" s="239" t="s">
        <v>960</v>
      </c>
      <c r="H880" s="239" t="s">
        <v>51</v>
      </c>
      <c r="I880" s="239" t="s">
        <v>2465</v>
      </c>
      <c r="J880" s="233"/>
      <c r="K880" s="235">
        <v>45937</v>
      </c>
      <c r="L880" s="233">
        <v>1.9</v>
      </c>
      <c r="M880" s="234" t="s">
        <v>960</v>
      </c>
      <c r="N880" s="234">
        <v>44360</v>
      </c>
      <c r="O880" s="234">
        <v>15080</v>
      </c>
      <c r="P880" s="242">
        <v>10</v>
      </c>
      <c r="Q880" s="234">
        <v>29280</v>
      </c>
      <c r="R880" s="234">
        <v>26352</v>
      </c>
      <c r="S880" s="234" t="s">
        <v>2635</v>
      </c>
      <c r="T880" s="236">
        <v>45937</v>
      </c>
    </row>
    <row r="881" spans="1:20" ht="38.25" hidden="1">
      <c r="A881" s="239" t="s">
        <v>2618</v>
      </c>
      <c r="B881" s="240">
        <v>2166</v>
      </c>
      <c r="C881" s="241">
        <v>6</v>
      </c>
      <c r="D881" s="239" t="s">
        <v>2482</v>
      </c>
      <c r="E881" s="239" t="s">
        <v>429</v>
      </c>
      <c r="F881" s="239" t="s">
        <v>430</v>
      </c>
      <c r="G881" s="239" t="s">
        <v>960</v>
      </c>
      <c r="H881" s="239" t="s">
        <v>51</v>
      </c>
      <c r="I881" s="239" t="s">
        <v>2465</v>
      </c>
      <c r="J881" s="233"/>
      <c r="K881" s="235">
        <v>45937</v>
      </c>
      <c r="L881" s="233">
        <v>1.6</v>
      </c>
      <c r="M881" s="234" t="s">
        <v>960</v>
      </c>
      <c r="N881" s="234">
        <v>39660</v>
      </c>
      <c r="O881" s="234">
        <v>14410</v>
      </c>
      <c r="P881" s="242">
        <v>14</v>
      </c>
      <c r="Q881" s="234">
        <v>25250</v>
      </c>
      <c r="R881" s="234">
        <v>21715</v>
      </c>
      <c r="S881" s="234" t="s">
        <v>2636</v>
      </c>
      <c r="T881" s="236">
        <v>45937</v>
      </c>
    </row>
    <row r="882" spans="1:20" ht="38.25" hidden="1">
      <c r="A882" s="239" t="s">
        <v>2619</v>
      </c>
      <c r="B882" s="240">
        <v>2169</v>
      </c>
      <c r="C882" s="241">
        <v>7</v>
      </c>
      <c r="D882" s="239" t="s">
        <v>2482</v>
      </c>
      <c r="E882" s="239" t="s">
        <v>447</v>
      </c>
      <c r="F882" s="239" t="s">
        <v>448</v>
      </c>
      <c r="G882" s="239" t="s">
        <v>960</v>
      </c>
      <c r="H882" s="239" t="s">
        <v>51</v>
      </c>
      <c r="I882" s="239" t="s">
        <v>2465</v>
      </c>
      <c r="J882" s="233"/>
      <c r="K882" s="235">
        <v>45937</v>
      </c>
      <c r="L882" s="233">
        <v>2.1</v>
      </c>
      <c r="M882" s="234" t="s">
        <v>960</v>
      </c>
      <c r="N882" s="234">
        <v>51660</v>
      </c>
      <c r="O882" s="234">
        <v>19570</v>
      </c>
      <c r="P882" s="242">
        <v>8</v>
      </c>
      <c r="Q882" s="234">
        <v>32090</v>
      </c>
      <c r="R882" s="234">
        <v>29522.799999999999</v>
      </c>
      <c r="S882" s="234" t="s">
        <v>2637</v>
      </c>
      <c r="T882" s="236">
        <v>45937</v>
      </c>
    </row>
    <row r="883" spans="1:20" ht="38.25" hidden="1">
      <c r="A883" s="239" t="s">
        <v>2623</v>
      </c>
      <c r="B883" s="240">
        <v>2170</v>
      </c>
      <c r="C883" s="241">
        <v>8</v>
      </c>
      <c r="D883" s="239" t="s">
        <v>2482</v>
      </c>
      <c r="E883" s="239" t="s">
        <v>416</v>
      </c>
      <c r="F883" s="239" t="s">
        <v>417</v>
      </c>
      <c r="G883" s="239" t="s">
        <v>960</v>
      </c>
      <c r="H883" s="239" t="s">
        <v>51</v>
      </c>
      <c r="I883" s="239" t="s">
        <v>2465</v>
      </c>
      <c r="J883" s="233"/>
      <c r="K883" s="235">
        <v>45937</v>
      </c>
      <c r="L883" s="233">
        <v>1.6</v>
      </c>
      <c r="M883" s="234" t="s">
        <v>960</v>
      </c>
      <c r="N883" s="234">
        <v>40270</v>
      </c>
      <c r="O883" s="234">
        <v>14800</v>
      </c>
      <c r="P883" s="242">
        <v>15</v>
      </c>
      <c r="Q883" s="234">
        <v>25470</v>
      </c>
      <c r="R883" s="234">
        <v>21649.5</v>
      </c>
      <c r="S883" s="234" t="s">
        <v>2641</v>
      </c>
      <c r="T883" s="236">
        <v>45937</v>
      </c>
    </row>
    <row r="884" spans="1:20" ht="38.25" hidden="1">
      <c r="A884" s="239" t="s">
        <v>2624</v>
      </c>
      <c r="B884" s="240">
        <v>2172</v>
      </c>
      <c r="C884" s="241">
        <v>9</v>
      </c>
      <c r="D884" s="239" t="s">
        <v>2482</v>
      </c>
      <c r="E884" s="239" t="s">
        <v>420</v>
      </c>
      <c r="F884" s="239" t="s">
        <v>421</v>
      </c>
      <c r="G884" s="239" t="s">
        <v>960</v>
      </c>
      <c r="H884" s="239" t="s">
        <v>51</v>
      </c>
      <c r="I884" s="239" t="s">
        <v>2465</v>
      </c>
      <c r="J884" s="233"/>
      <c r="K884" s="235">
        <v>45937</v>
      </c>
      <c r="L884" s="233">
        <v>1.5</v>
      </c>
      <c r="M884" s="234" t="s">
        <v>960</v>
      </c>
      <c r="N884" s="234">
        <v>38530</v>
      </c>
      <c r="O884" s="234">
        <v>14940</v>
      </c>
      <c r="P884" s="242">
        <v>7</v>
      </c>
      <c r="Q884" s="234">
        <v>23590</v>
      </c>
      <c r="R884" s="234">
        <v>21938.7</v>
      </c>
      <c r="S884" s="234" t="s">
        <v>2642</v>
      </c>
      <c r="T884" s="236">
        <v>45937</v>
      </c>
    </row>
    <row r="885" spans="1:20" ht="38.25" hidden="1">
      <c r="A885" s="239" t="s">
        <v>2625</v>
      </c>
      <c r="B885" s="240">
        <v>2174</v>
      </c>
      <c r="C885" s="241">
        <v>10</v>
      </c>
      <c r="D885" s="239" t="s">
        <v>2482</v>
      </c>
      <c r="E885" s="239" t="s">
        <v>403</v>
      </c>
      <c r="F885" s="239" t="s">
        <v>404</v>
      </c>
      <c r="G885" s="239" t="s">
        <v>960</v>
      </c>
      <c r="H885" s="239" t="s">
        <v>51</v>
      </c>
      <c r="I885" s="239" t="s">
        <v>2465</v>
      </c>
      <c r="J885" s="233"/>
      <c r="K885" s="235">
        <v>45937</v>
      </c>
      <c r="L885" s="233">
        <v>1.7</v>
      </c>
      <c r="M885" s="234" t="s">
        <v>960</v>
      </c>
      <c r="N885" s="234">
        <v>40510</v>
      </c>
      <c r="O885" s="234">
        <v>14550</v>
      </c>
      <c r="P885" s="242">
        <v>12</v>
      </c>
      <c r="Q885" s="234">
        <v>25960</v>
      </c>
      <c r="R885" s="234">
        <v>22844.799999999999</v>
      </c>
      <c r="S885" s="234" t="s">
        <v>2643</v>
      </c>
      <c r="T885" s="236">
        <v>45937</v>
      </c>
    </row>
    <row r="886" spans="1:20" ht="38.25" hidden="1">
      <c r="A886" s="239" t="s">
        <v>2620</v>
      </c>
      <c r="B886" s="240">
        <v>2175</v>
      </c>
      <c r="C886" s="241">
        <v>12</v>
      </c>
      <c r="D886" s="239" t="s">
        <v>2482</v>
      </c>
      <c r="E886" s="239" t="s">
        <v>866</v>
      </c>
      <c r="F886" s="239" t="s">
        <v>867</v>
      </c>
      <c r="G886" s="239" t="s">
        <v>960</v>
      </c>
      <c r="H886" s="239" t="s">
        <v>51</v>
      </c>
      <c r="I886" s="239" t="s">
        <v>2465</v>
      </c>
      <c r="J886" s="233"/>
      <c r="K886" s="235">
        <v>45937</v>
      </c>
      <c r="L886" s="233">
        <v>1.5</v>
      </c>
      <c r="M886" s="234" t="s">
        <v>960</v>
      </c>
      <c r="N886" s="234">
        <v>37170</v>
      </c>
      <c r="O886" s="234">
        <v>14570</v>
      </c>
      <c r="P886" s="242">
        <v>8</v>
      </c>
      <c r="Q886" s="234">
        <v>22600</v>
      </c>
      <c r="R886" s="234">
        <v>20792</v>
      </c>
      <c r="S886" s="234" t="s">
        <v>2638</v>
      </c>
      <c r="T886" s="236">
        <v>45937</v>
      </c>
    </row>
    <row r="887" spans="1:20" ht="38.25" hidden="1">
      <c r="A887" s="239" t="s">
        <v>2621</v>
      </c>
      <c r="B887" s="240">
        <v>2176</v>
      </c>
      <c r="C887" s="241">
        <v>11</v>
      </c>
      <c r="D887" s="239" t="s">
        <v>2482</v>
      </c>
      <c r="E887" s="239" t="s">
        <v>406</v>
      </c>
      <c r="F887" s="239" t="s">
        <v>407</v>
      </c>
      <c r="G887" s="239" t="s">
        <v>960</v>
      </c>
      <c r="H887" s="239" t="s">
        <v>51</v>
      </c>
      <c r="I887" s="239" t="s">
        <v>2465</v>
      </c>
      <c r="J887" s="233"/>
      <c r="K887" s="235">
        <v>45937</v>
      </c>
      <c r="L887" s="233">
        <v>1.6</v>
      </c>
      <c r="M887" s="234" t="s">
        <v>960</v>
      </c>
      <c r="N887" s="234">
        <v>39720</v>
      </c>
      <c r="O887" s="234">
        <v>15120</v>
      </c>
      <c r="P887" s="242">
        <v>16</v>
      </c>
      <c r="Q887" s="234">
        <v>24600</v>
      </c>
      <c r="R887" s="234">
        <v>20664</v>
      </c>
      <c r="S887" s="234" t="s">
        <v>2639</v>
      </c>
      <c r="T887" s="236">
        <v>45937</v>
      </c>
    </row>
    <row r="888" spans="1:20" ht="51" hidden="1">
      <c r="A888" s="239" t="s">
        <v>2622</v>
      </c>
      <c r="B888" s="240">
        <v>2177</v>
      </c>
      <c r="C888" s="241">
        <v>13</v>
      </c>
      <c r="D888" s="239" t="s">
        <v>2482</v>
      </c>
      <c r="E888" s="239" t="s">
        <v>380</v>
      </c>
      <c r="F888" s="239" t="s">
        <v>381</v>
      </c>
      <c r="G888" s="239" t="s">
        <v>960</v>
      </c>
      <c r="H888" s="239" t="s">
        <v>51</v>
      </c>
      <c r="I888" s="239" t="s">
        <v>2465</v>
      </c>
      <c r="J888" s="233"/>
      <c r="K888" s="235">
        <v>45937</v>
      </c>
      <c r="L888" s="233">
        <v>1.6</v>
      </c>
      <c r="M888" s="234" t="s">
        <v>960</v>
      </c>
      <c r="N888" s="234">
        <v>39490</v>
      </c>
      <c r="O888" s="234">
        <v>15120</v>
      </c>
      <c r="P888" s="242">
        <v>15</v>
      </c>
      <c r="Q888" s="234">
        <v>24370</v>
      </c>
      <c r="R888" s="234">
        <v>20714.5</v>
      </c>
      <c r="S888" s="234" t="s">
        <v>2640</v>
      </c>
      <c r="T888" s="236">
        <v>45937</v>
      </c>
    </row>
    <row r="889" spans="1:20" ht="38.25" hidden="1">
      <c r="A889" s="239" t="s">
        <v>2626</v>
      </c>
      <c r="B889" s="240">
        <v>2179</v>
      </c>
      <c r="C889" s="241">
        <v>14</v>
      </c>
      <c r="D889" s="239" t="s">
        <v>2482</v>
      </c>
      <c r="E889" s="239" t="s">
        <v>453</v>
      </c>
      <c r="F889" s="239" t="s">
        <v>454</v>
      </c>
      <c r="G889" s="239" t="s">
        <v>960</v>
      </c>
      <c r="H889" s="239" t="s">
        <v>51</v>
      </c>
      <c r="I889" s="239" t="s">
        <v>2465</v>
      </c>
      <c r="J889" s="233"/>
      <c r="K889" s="235">
        <v>45937</v>
      </c>
      <c r="L889" s="233">
        <v>2.6</v>
      </c>
      <c r="M889" s="234" t="s">
        <v>960</v>
      </c>
      <c r="N889" s="234">
        <v>64150</v>
      </c>
      <c r="O889" s="234">
        <v>24560</v>
      </c>
      <c r="P889" s="242">
        <v>17</v>
      </c>
      <c r="Q889" s="234">
        <v>39590</v>
      </c>
      <c r="R889" s="234">
        <v>32859.699999999997</v>
      </c>
      <c r="S889" s="234" t="s">
        <v>2644</v>
      </c>
      <c r="T889" s="236">
        <v>45937</v>
      </c>
    </row>
    <row r="890" spans="1:20" ht="38.25" hidden="1">
      <c r="A890" s="239" t="s">
        <v>2627</v>
      </c>
      <c r="B890" s="240">
        <v>2180</v>
      </c>
      <c r="C890" s="241">
        <v>15</v>
      </c>
      <c r="D890" s="239" t="s">
        <v>2482</v>
      </c>
      <c r="E890" s="239" t="s">
        <v>388</v>
      </c>
      <c r="F890" s="239" t="s">
        <v>389</v>
      </c>
      <c r="G890" s="239" t="s">
        <v>960</v>
      </c>
      <c r="H890" s="239" t="s">
        <v>51</v>
      </c>
      <c r="I890" s="239" t="s">
        <v>2465</v>
      </c>
      <c r="J890" s="233"/>
      <c r="K890" s="235">
        <v>45937</v>
      </c>
      <c r="L890" s="233">
        <v>2.7</v>
      </c>
      <c r="M890" s="234" t="s">
        <v>960</v>
      </c>
      <c r="N890" s="234">
        <v>62530</v>
      </c>
      <c r="O890" s="234">
        <v>21380</v>
      </c>
      <c r="P890" s="242">
        <v>20</v>
      </c>
      <c r="Q890" s="234">
        <v>41150</v>
      </c>
      <c r="R890" s="234">
        <v>32920</v>
      </c>
      <c r="S890" s="234" t="s">
        <v>2645</v>
      </c>
      <c r="T890" s="236">
        <v>45937</v>
      </c>
    </row>
    <row r="891" spans="1:20" ht="38.25" hidden="1">
      <c r="A891" s="239" t="s">
        <v>2628</v>
      </c>
      <c r="B891" s="240">
        <v>2181</v>
      </c>
      <c r="C891" s="241">
        <v>16</v>
      </c>
      <c r="D891" s="239" t="s">
        <v>2482</v>
      </c>
      <c r="E891" s="239" t="s">
        <v>1305</v>
      </c>
      <c r="F891" s="239" t="s">
        <v>1306</v>
      </c>
      <c r="G891" s="239" t="s">
        <v>960</v>
      </c>
      <c r="H891" s="239" t="s">
        <v>51</v>
      </c>
      <c r="I891" s="239" t="s">
        <v>2465</v>
      </c>
      <c r="J891" s="233"/>
      <c r="K891" s="235">
        <v>45937</v>
      </c>
      <c r="L891" s="233">
        <v>1.4</v>
      </c>
      <c r="M891" s="234" t="s">
        <v>960</v>
      </c>
      <c r="N891" s="234">
        <v>36870</v>
      </c>
      <c r="O891" s="234">
        <v>14780</v>
      </c>
      <c r="P891" s="242">
        <v>19</v>
      </c>
      <c r="Q891" s="234">
        <v>22090</v>
      </c>
      <c r="R891" s="234">
        <v>17892.900000000001</v>
      </c>
      <c r="S891" s="234" t="s">
        <v>2646</v>
      </c>
      <c r="T891" s="236">
        <v>45938</v>
      </c>
    </row>
    <row r="892" spans="1:20" ht="38.25" hidden="1">
      <c r="A892" s="239" t="s">
        <v>2629</v>
      </c>
      <c r="B892" s="240">
        <v>2182</v>
      </c>
      <c r="C892" s="241">
        <v>17</v>
      </c>
      <c r="D892" s="239" t="s">
        <v>2482</v>
      </c>
      <c r="E892" s="239" t="s">
        <v>432</v>
      </c>
      <c r="F892" s="239" t="s">
        <v>433</v>
      </c>
      <c r="G892" s="239" t="s">
        <v>960</v>
      </c>
      <c r="H892" s="239" t="s">
        <v>51</v>
      </c>
      <c r="I892" s="239" t="s">
        <v>2465</v>
      </c>
      <c r="J892" s="233"/>
      <c r="K892" s="235">
        <v>45937</v>
      </c>
      <c r="L892" s="233">
        <v>1.7</v>
      </c>
      <c r="M892" s="234" t="s">
        <v>960</v>
      </c>
      <c r="N892" s="234">
        <v>41690</v>
      </c>
      <c r="O892" s="234">
        <v>15810</v>
      </c>
      <c r="P892" s="242">
        <v>9</v>
      </c>
      <c r="Q892" s="234">
        <v>25880</v>
      </c>
      <c r="R892" s="234">
        <v>23550.799999999999</v>
      </c>
      <c r="S892" s="234" t="s">
        <v>2647</v>
      </c>
      <c r="T892" s="236">
        <v>45938</v>
      </c>
    </row>
    <row r="893" spans="1:20" ht="38.25" hidden="1">
      <c r="A893" s="239" t="s">
        <v>2630</v>
      </c>
      <c r="B893" s="240">
        <v>2184</v>
      </c>
      <c r="C893" s="241">
        <v>18</v>
      </c>
      <c r="D893" s="239" t="s">
        <v>2482</v>
      </c>
      <c r="E893" s="239" t="s">
        <v>377</v>
      </c>
      <c r="F893" s="239" t="s">
        <v>378</v>
      </c>
      <c r="G893" s="239" t="s">
        <v>960</v>
      </c>
      <c r="H893" s="239" t="s">
        <v>51</v>
      </c>
      <c r="I893" s="239" t="s">
        <v>2465</v>
      </c>
      <c r="J893" s="233"/>
      <c r="K893" s="235">
        <v>45937</v>
      </c>
      <c r="L893" s="233">
        <v>1.7</v>
      </c>
      <c r="M893" s="234" t="s">
        <v>960</v>
      </c>
      <c r="N893" s="234">
        <v>41670</v>
      </c>
      <c r="O893" s="234">
        <v>15240</v>
      </c>
      <c r="P893" s="242">
        <v>22</v>
      </c>
      <c r="Q893" s="234">
        <v>26430</v>
      </c>
      <c r="R893" s="234">
        <v>20615.400000000001</v>
      </c>
      <c r="S893" s="234" t="s">
        <v>2648</v>
      </c>
      <c r="T893" s="236">
        <v>45938</v>
      </c>
    </row>
    <row r="894" spans="1:20" ht="38.25" hidden="1">
      <c r="A894" s="239" t="s">
        <v>2650</v>
      </c>
      <c r="B894" s="240">
        <v>2185</v>
      </c>
      <c r="C894" s="241">
        <v>19</v>
      </c>
      <c r="D894" s="239" t="s">
        <v>2482</v>
      </c>
      <c r="E894" s="239" t="s">
        <v>400</v>
      </c>
      <c r="F894" s="239" t="s">
        <v>401</v>
      </c>
      <c r="G894" s="239" t="s">
        <v>960</v>
      </c>
      <c r="H894" s="239" t="s">
        <v>51</v>
      </c>
      <c r="I894" s="239" t="s">
        <v>2465</v>
      </c>
      <c r="J894" s="233"/>
      <c r="K894" s="235">
        <v>45937</v>
      </c>
      <c r="L894" s="233">
        <v>1.6</v>
      </c>
      <c r="M894" s="234" t="s">
        <v>960</v>
      </c>
      <c r="N894" s="234">
        <v>39650</v>
      </c>
      <c r="O894" s="234">
        <v>14830</v>
      </c>
      <c r="P894" s="242">
        <v>16</v>
      </c>
      <c r="Q894" s="234">
        <v>24820</v>
      </c>
      <c r="R894" s="234">
        <v>20848.8</v>
      </c>
      <c r="S894" s="234" t="s">
        <v>2651</v>
      </c>
      <c r="T894" s="236">
        <v>45938</v>
      </c>
    </row>
    <row r="895" spans="1:20" ht="56.25" hidden="1" customHeight="1">
      <c r="A895" s="239" t="s">
        <v>2658</v>
      </c>
      <c r="B895" s="240">
        <v>2186</v>
      </c>
      <c r="C895" s="241">
        <v>21</v>
      </c>
      <c r="D895" s="239" t="s">
        <v>2482</v>
      </c>
      <c r="E895" s="239" t="s">
        <v>442</v>
      </c>
      <c r="F895" s="239" t="s">
        <v>443</v>
      </c>
      <c r="G895" s="239" t="s">
        <v>960</v>
      </c>
      <c r="H895" s="239" t="s">
        <v>51</v>
      </c>
      <c r="I895" s="239" t="s">
        <v>2465</v>
      </c>
      <c r="J895" s="233"/>
      <c r="K895" s="235">
        <v>45937</v>
      </c>
      <c r="L895" s="233">
        <v>1.3</v>
      </c>
      <c r="M895" s="234" t="s">
        <v>960</v>
      </c>
      <c r="N895" s="234">
        <v>34960</v>
      </c>
      <c r="O895" s="234">
        <v>14490</v>
      </c>
      <c r="P895" s="242">
        <v>24</v>
      </c>
      <c r="Q895" s="234">
        <v>20470</v>
      </c>
      <c r="R895" s="234">
        <v>15557.2</v>
      </c>
      <c r="S895" s="234" t="s">
        <v>2659</v>
      </c>
      <c r="T895" s="236">
        <v>45938</v>
      </c>
    </row>
    <row r="896" spans="1:20" ht="56.25" hidden="1" customHeight="1">
      <c r="A896" s="239" t="s">
        <v>2652</v>
      </c>
      <c r="B896" s="240">
        <v>2188</v>
      </c>
      <c r="C896" s="241">
        <v>20</v>
      </c>
      <c r="D896" s="239" t="s">
        <v>2482</v>
      </c>
      <c r="E896" s="239" t="s">
        <v>382</v>
      </c>
      <c r="F896" s="239" t="s">
        <v>383</v>
      </c>
      <c r="G896" s="239" t="s">
        <v>960</v>
      </c>
      <c r="H896" s="239" t="s">
        <v>51</v>
      </c>
      <c r="I896" s="239" t="s">
        <v>2465</v>
      </c>
      <c r="J896" s="233"/>
      <c r="K896" s="235">
        <v>45937</v>
      </c>
      <c r="L896" s="233">
        <v>1.2</v>
      </c>
      <c r="M896" s="234" t="s">
        <v>960</v>
      </c>
      <c r="N896" s="234">
        <v>36690</v>
      </c>
      <c r="O896" s="234">
        <v>14680</v>
      </c>
      <c r="P896" s="242">
        <v>12</v>
      </c>
      <c r="Q896" s="234">
        <v>22010</v>
      </c>
      <c r="R896" s="234">
        <v>19368.8</v>
      </c>
      <c r="S896" s="234" t="s">
        <v>2653</v>
      </c>
      <c r="T896" s="236">
        <v>45938</v>
      </c>
    </row>
    <row r="897" spans="1:20" ht="56.25" hidden="1" customHeight="1">
      <c r="A897" s="239" t="s">
        <v>2654</v>
      </c>
      <c r="B897" s="240">
        <v>2187</v>
      </c>
      <c r="C897" s="241">
        <v>22</v>
      </c>
      <c r="D897" s="239" t="s">
        <v>2482</v>
      </c>
      <c r="E897" s="239" t="s">
        <v>780</v>
      </c>
      <c r="F897" s="239" t="s">
        <v>781</v>
      </c>
      <c r="G897" s="239" t="s">
        <v>962</v>
      </c>
      <c r="H897" s="239" t="s">
        <v>42</v>
      </c>
      <c r="I897" s="239" t="s">
        <v>2465</v>
      </c>
      <c r="J897" s="233"/>
      <c r="K897" s="235">
        <v>45937</v>
      </c>
      <c r="L897" s="233">
        <v>3.4</v>
      </c>
      <c r="M897" s="234" t="s">
        <v>962</v>
      </c>
      <c r="N897" s="234">
        <v>37310</v>
      </c>
      <c r="O897" s="234">
        <v>14970</v>
      </c>
      <c r="P897" s="242">
        <v>13</v>
      </c>
      <c r="Q897" s="234">
        <v>22340</v>
      </c>
      <c r="R897" s="234">
        <v>19435.8</v>
      </c>
      <c r="S897" s="234" t="s">
        <v>2655</v>
      </c>
      <c r="T897" s="236">
        <v>45938</v>
      </c>
    </row>
    <row r="898" spans="1:20" ht="38.25" hidden="1">
      <c r="A898" s="239" t="s">
        <v>2656</v>
      </c>
      <c r="B898" s="240">
        <v>2189</v>
      </c>
      <c r="C898" s="241">
        <v>23</v>
      </c>
      <c r="D898" s="239" t="s">
        <v>2482</v>
      </c>
      <c r="E898" s="239" t="s">
        <v>384</v>
      </c>
      <c r="F898" s="239" t="s">
        <v>385</v>
      </c>
      <c r="G898" s="239" t="s">
        <v>962</v>
      </c>
      <c r="H898" s="239" t="s">
        <v>42</v>
      </c>
      <c r="I898" s="239" t="s">
        <v>2465</v>
      </c>
      <c r="J898" s="233"/>
      <c r="K898" s="235">
        <v>45937</v>
      </c>
      <c r="L898" s="233">
        <v>3.5</v>
      </c>
      <c r="M898" s="234" t="s">
        <v>962</v>
      </c>
      <c r="N898" s="234">
        <v>36970</v>
      </c>
      <c r="O898" s="234">
        <v>13930</v>
      </c>
      <c r="P898" s="242">
        <v>18</v>
      </c>
      <c r="Q898" s="234">
        <v>23040</v>
      </c>
      <c r="R898" s="234">
        <v>18892.8</v>
      </c>
      <c r="S898" s="234" t="s">
        <v>2657</v>
      </c>
      <c r="T898" s="236">
        <v>45938</v>
      </c>
    </row>
    <row r="899" spans="1:20" ht="38.25" hidden="1">
      <c r="A899" s="239" t="s">
        <v>2660</v>
      </c>
      <c r="B899" s="240">
        <v>2191</v>
      </c>
      <c r="C899" s="241">
        <v>24</v>
      </c>
      <c r="D899" s="239" t="s">
        <v>2482</v>
      </c>
      <c r="E899" s="239" t="s">
        <v>372</v>
      </c>
      <c r="F899" s="239" t="s">
        <v>373</v>
      </c>
      <c r="G899" s="239" t="s">
        <v>962</v>
      </c>
      <c r="H899" s="239" t="s">
        <v>42</v>
      </c>
      <c r="I899" s="239" t="s">
        <v>2465</v>
      </c>
      <c r="J899" s="233"/>
      <c r="K899" s="235">
        <v>45937</v>
      </c>
      <c r="L899" s="233">
        <v>3.7</v>
      </c>
      <c r="M899" s="234" t="s">
        <v>962</v>
      </c>
      <c r="N899" s="234">
        <v>39190</v>
      </c>
      <c r="O899" s="234">
        <v>15110</v>
      </c>
      <c r="P899" s="242">
        <v>9</v>
      </c>
      <c r="Q899" s="234">
        <v>24080</v>
      </c>
      <c r="R899" s="234">
        <v>21912.799999999999</v>
      </c>
      <c r="S899" s="234" t="s">
        <v>2683</v>
      </c>
      <c r="T899" s="236">
        <v>45938</v>
      </c>
    </row>
    <row r="900" spans="1:20" ht="38.25" hidden="1">
      <c r="A900" s="239" t="s">
        <v>2661</v>
      </c>
      <c r="B900" s="240">
        <v>2192</v>
      </c>
      <c r="C900" s="241">
        <v>25</v>
      </c>
      <c r="D900" s="239" t="s">
        <v>2482</v>
      </c>
      <c r="E900" s="239" t="s">
        <v>858</v>
      </c>
      <c r="F900" s="239" t="s">
        <v>859</v>
      </c>
      <c r="G900" s="239" t="s">
        <v>962</v>
      </c>
      <c r="H900" s="239" t="s">
        <v>42</v>
      </c>
      <c r="I900" s="239" t="s">
        <v>2465</v>
      </c>
      <c r="J900" s="233"/>
      <c r="K900" s="235">
        <v>45937</v>
      </c>
      <c r="L900" s="233">
        <v>4.0999999999999996</v>
      </c>
      <c r="M900" s="234" t="s">
        <v>962</v>
      </c>
      <c r="N900" s="234">
        <v>42070</v>
      </c>
      <c r="O900" s="234">
        <v>14900</v>
      </c>
      <c r="P900" s="242">
        <v>9</v>
      </c>
      <c r="Q900" s="234">
        <v>27170</v>
      </c>
      <c r="R900" s="234">
        <v>24724.7</v>
      </c>
      <c r="S900" s="234" t="s">
        <v>2684</v>
      </c>
      <c r="T900" s="236">
        <v>45938</v>
      </c>
    </row>
    <row r="901" spans="1:20" ht="38.25" hidden="1">
      <c r="A901" s="239" t="s">
        <v>2662</v>
      </c>
      <c r="B901" s="240">
        <v>2198</v>
      </c>
      <c r="C901" s="241">
        <v>27</v>
      </c>
      <c r="D901" s="239" t="s">
        <v>2482</v>
      </c>
      <c r="E901" s="239" t="s">
        <v>410</v>
      </c>
      <c r="F901" s="239" t="s">
        <v>411</v>
      </c>
      <c r="G901" s="239" t="s">
        <v>962</v>
      </c>
      <c r="H901" s="239" t="s">
        <v>42</v>
      </c>
      <c r="I901" s="239" t="s">
        <v>2465</v>
      </c>
      <c r="J901" s="233"/>
      <c r="K901" s="235">
        <v>45938</v>
      </c>
      <c r="L901" s="233">
        <v>4.2</v>
      </c>
      <c r="M901" s="234" t="s">
        <v>962</v>
      </c>
      <c r="N901" s="234">
        <v>42650</v>
      </c>
      <c r="O901" s="234">
        <v>15250</v>
      </c>
      <c r="P901" s="242">
        <v>10</v>
      </c>
      <c r="Q901" s="234">
        <v>27400</v>
      </c>
      <c r="R901" s="234">
        <v>24660</v>
      </c>
      <c r="S901" s="234" t="s">
        <v>2685</v>
      </c>
      <c r="T901" s="236">
        <v>45938</v>
      </c>
    </row>
    <row r="902" spans="1:20" ht="38.25" hidden="1">
      <c r="A902" s="239" t="s">
        <v>2664</v>
      </c>
      <c r="B902" s="240">
        <v>2200</v>
      </c>
      <c r="C902" s="241">
        <v>26</v>
      </c>
      <c r="D902" s="239" t="s">
        <v>2482</v>
      </c>
      <c r="E902" s="239" t="s">
        <v>374</v>
      </c>
      <c r="F902" s="239" t="s">
        <v>375</v>
      </c>
      <c r="G902" s="239" t="s">
        <v>962</v>
      </c>
      <c r="H902" s="239" t="s">
        <v>42</v>
      </c>
      <c r="I902" s="239" t="s">
        <v>2465</v>
      </c>
      <c r="J902" s="233"/>
      <c r="K902" s="235">
        <v>45938</v>
      </c>
      <c r="L902" s="233">
        <v>3.7</v>
      </c>
      <c r="M902" s="234" t="s">
        <v>962</v>
      </c>
      <c r="N902" s="234">
        <v>40100</v>
      </c>
      <c r="O902" s="234">
        <v>15720</v>
      </c>
      <c r="P902" s="242">
        <v>9</v>
      </c>
      <c r="Q902" s="234">
        <v>24380</v>
      </c>
      <c r="R902" s="234">
        <v>22185.8</v>
      </c>
      <c r="S902" s="234" t="s">
        <v>2687</v>
      </c>
      <c r="T902" s="236">
        <v>45938</v>
      </c>
    </row>
    <row r="903" spans="1:20" ht="38.25" hidden="1">
      <c r="A903" s="239" t="s">
        <v>2667</v>
      </c>
      <c r="B903" s="240">
        <v>2201</v>
      </c>
      <c r="C903" s="241">
        <v>28</v>
      </c>
      <c r="D903" s="239" t="s">
        <v>2482</v>
      </c>
      <c r="E903" s="239" t="s">
        <v>456</v>
      </c>
      <c r="F903" s="239" t="s">
        <v>457</v>
      </c>
      <c r="G903" s="239" t="s">
        <v>962</v>
      </c>
      <c r="H903" s="239" t="s">
        <v>42</v>
      </c>
      <c r="I903" s="239" t="s">
        <v>2465</v>
      </c>
      <c r="J903" s="233">
        <f>Таблица24[[#This Row],[Вес нетто]]</f>
        <v>29910</v>
      </c>
      <c r="K903" s="235">
        <v>45938</v>
      </c>
      <c r="L903" s="233">
        <v>0.7</v>
      </c>
      <c r="M903" s="234" t="s">
        <v>2709</v>
      </c>
      <c r="N903" s="234">
        <v>45650</v>
      </c>
      <c r="O903" s="234">
        <v>15740</v>
      </c>
      <c r="P903" s="242">
        <v>9</v>
      </c>
      <c r="Q903" s="234">
        <v>29910</v>
      </c>
      <c r="R903" s="234">
        <v>27218.1</v>
      </c>
      <c r="S903" s="234" t="s">
        <v>2690</v>
      </c>
      <c r="T903" s="236">
        <v>45938</v>
      </c>
    </row>
    <row r="904" spans="1:20" ht="51" hidden="1">
      <c r="A904" s="239" t="s">
        <v>2670</v>
      </c>
      <c r="B904" s="240">
        <v>2205</v>
      </c>
      <c r="C904" s="241">
        <v>29</v>
      </c>
      <c r="D904" s="239" t="s">
        <v>2482</v>
      </c>
      <c r="E904" s="239" t="s">
        <v>1410</v>
      </c>
      <c r="F904" s="239" t="s">
        <v>437</v>
      </c>
      <c r="G904" s="239" t="s">
        <v>962</v>
      </c>
      <c r="H904" s="239" t="s">
        <v>42</v>
      </c>
      <c r="I904" s="239" t="s">
        <v>2465</v>
      </c>
      <c r="J904" s="233">
        <f>Таблица24[[#This Row],[Вес нетто]]</f>
        <v>27180</v>
      </c>
      <c r="K904" s="235">
        <v>45938</v>
      </c>
      <c r="L904" s="233">
        <v>0.7</v>
      </c>
      <c r="M904" s="234" t="s">
        <v>2709</v>
      </c>
      <c r="N904" s="234">
        <v>42240</v>
      </c>
      <c r="O904" s="234">
        <v>15060</v>
      </c>
      <c r="P904" s="242">
        <v>6</v>
      </c>
      <c r="Q904" s="234">
        <v>27180</v>
      </c>
      <c r="R904" s="234">
        <v>25549.200000000001</v>
      </c>
      <c r="S904" s="234" t="s">
        <v>2693</v>
      </c>
      <c r="T904" s="236">
        <v>45938</v>
      </c>
    </row>
    <row r="905" spans="1:20" ht="38.25" hidden="1">
      <c r="A905" s="239" t="s">
        <v>2672</v>
      </c>
      <c r="B905" s="240">
        <v>2206</v>
      </c>
      <c r="C905" s="241">
        <v>1</v>
      </c>
      <c r="D905" s="239" t="s">
        <v>2482</v>
      </c>
      <c r="E905" s="239" t="s">
        <v>439</v>
      </c>
      <c r="F905" s="239" t="s">
        <v>440</v>
      </c>
      <c r="G905" s="239" t="s">
        <v>962</v>
      </c>
      <c r="H905" s="239" t="s">
        <v>42</v>
      </c>
      <c r="I905" s="239" t="s">
        <v>2465</v>
      </c>
      <c r="J905" s="233">
        <f>Таблица24[[#This Row],[Вес нетто]]</f>
        <v>28850</v>
      </c>
      <c r="K905" s="235">
        <v>45938</v>
      </c>
      <c r="L905" s="233">
        <v>0.7</v>
      </c>
      <c r="M905" s="234" t="s">
        <v>2709</v>
      </c>
      <c r="N905" s="234">
        <v>44060</v>
      </c>
      <c r="O905" s="234">
        <v>15210</v>
      </c>
      <c r="P905" s="242">
        <v>9</v>
      </c>
      <c r="Q905" s="234">
        <v>28850</v>
      </c>
      <c r="R905" s="234">
        <v>26253.5</v>
      </c>
      <c r="S905" s="234" t="s">
        <v>2695</v>
      </c>
      <c r="T905" s="236">
        <v>45938</v>
      </c>
    </row>
    <row r="906" spans="1:20" ht="38.25" hidden="1">
      <c r="A906" s="239" t="s">
        <v>2675</v>
      </c>
      <c r="B906" s="240">
        <v>2207</v>
      </c>
      <c r="C906" s="241">
        <v>2</v>
      </c>
      <c r="D906" s="239" t="s">
        <v>2482</v>
      </c>
      <c r="E906" s="239" t="s">
        <v>413</v>
      </c>
      <c r="F906" s="239" t="s">
        <v>414</v>
      </c>
      <c r="G906" s="239" t="s">
        <v>962</v>
      </c>
      <c r="H906" s="239" t="s">
        <v>42</v>
      </c>
      <c r="I906" s="239" t="s">
        <v>2465</v>
      </c>
      <c r="J906" s="233">
        <f>Таблица24[[#This Row],[Вес нетто]]</f>
        <v>28930</v>
      </c>
      <c r="K906" s="235">
        <v>45938</v>
      </c>
      <c r="L906" s="233">
        <v>0.7</v>
      </c>
      <c r="M906" s="234" t="s">
        <v>2709</v>
      </c>
      <c r="N906" s="234">
        <v>43910</v>
      </c>
      <c r="O906" s="234">
        <v>14980</v>
      </c>
      <c r="P906" s="242">
        <v>7</v>
      </c>
      <c r="Q906" s="234">
        <v>28930</v>
      </c>
      <c r="R906" s="234">
        <v>26904.9</v>
      </c>
      <c r="S906" s="234" t="s">
        <v>2697</v>
      </c>
      <c r="T906" s="236">
        <v>45938</v>
      </c>
    </row>
    <row r="907" spans="1:20" ht="38.25" hidden="1">
      <c r="A907" s="239" t="s">
        <v>2663</v>
      </c>
      <c r="B907" s="240">
        <v>2209</v>
      </c>
      <c r="C907" s="241">
        <v>4</v>
      </c>
      <c r="D907" s="239" t="s">
        <v>2482</v>
      </c>
      <c r="E907" s="239" t="s">
        <v>447</v>
      </c>
      <c r="F907" s="239" t="s">
        <v>448</v>
      </c>
      <c r="G907" s="239" t="s">
        <v>962</v>
      </c>
      <c r="H907" s="239" t="s">
        <v>42</v>
      </c>
      <c r="I907" s="239" t="s">
        <v>2465</v>
      </c>
      <c r="J907" s="233"/>
      <c r="K907" s="235">
        <v>45938</v>
      </c>
      <c r="L907" s="233">
        <v>3.6</v>
      </c>
      <c r="M907" s="234" t="s">
        <v>962</v>
      </c>
      <c r="N907" s="234">
        <v>43020</v>
      </c>
      <c r="O907" s="234">
        <v>19460</v>
      </c>
      <c r="P907" s="242">
        <v>8</v>
      </c>
      <c r="Q907" s="234">
        <v>23560</v>
      </c>
      <c r="R907" s="234">
        <v>21675.200000000001</v>
      </c>
      <c r="S907" s="234" t="s">
        <v>2686</v>
      </c>
      <c r="T907" s="236">
        <v>45938</v>
      </c>
    </row>
    <row r="908" spans="1:20" ht="38.25" hidden="1">
      <c r="A908" s="239" t="s">
        <v>2665</v>
      </c>
      <c r="B908" s="240">
        <v>2210</v>
      </c>
      <c r="C908" s="241">
        <v>3</v>
      </c>
      <c r="D908" s="239" t="s">
        <v>2482</v>
      </c>
      <c r="E908" s="239" t="s">
        <v>429</v>
      </c>
      <c r="F908" s="239" t="s">
        <v>430</v>
      </c>
      <c r="G908" s="239" t="s">
        <v>962</v>
      </c>
      <c r="H908" s="239" t="s">
        <v>42</v>
      </c>
      <c r="I908" s="239" t="s">
        <v>2465</v>
      </c>
      <c r="J908" s="233"/>
      <c r="K908" s="235">
        <v>45938</v>
      </c>
      <c r="L908" s="233">
        <v>4.0999999999999996</v>
      </c>
      <c r="M908" s="234" t="s">
        <v>962</v>
      </c>
      <c r="N908" s="234">
        <v>41080</v>
      </c>
      <c r="O908" s="234">
        <v>14320</v>
      </c>
      <c r="P908" s="242">
        <v>11</v>
      </c>
      <c r="Q908" s="234">
        <v>26760</v>
      </c>
      <c r="R908" s="234">
        <v>23816.400000000001</v>
      </c>
      <c r="S908" s="234" t="s">
        <v>2688</v>
      </c>
      <c r="T908" s="236">
        <v>45938</v>
      </c>
    </row>
    <row r="909" spans="1:20" ht="38.25" hidden="1">
      <c r="A909" s="239" t="s">
        <v>2666</v>
      </c>
      <c r="B909" s="240">
        <v>2212</v>
      </c>
      <c r="C909" s="241">
        <v>5</v>
      </c>
      <c r="D909" s="239" t="s">
        <v>2482</v>
      </c>
      <c r="E909" s="239" t="s">
        <v>392</v>
      </c>
      <c r="F909" s="239" t="s">
        <v>393</v>
      </c>
      <c r="G909" s="239" t="s">
        <v>962</v>
      </c>
      <c r="H909" s="239" t="s">
        <v>42</v>
      </c>
      <c r="I909" s="239" t="s">
        <v>2465</v>
      </c>
      <c r="J909" s="233"/>
      <c r="K909" s="235">
        <v>45938</v>
      </c>
      <c r="L909" s="233">
        <v>3.9</v>
      </c>
      <c r="M909" s="234" t="s">
        <v>962</v>
      </c>
      <c r="N909" s="234">
        <v>49570</v>
      </c>
      <c r="O909" s="234">
        <v>24060</v>
      </c>
      <c r="P909" s="242">
        <v>11</v>
      </c>
      <c r="Q909" s="234">
        <v>25510</v>
      </c>
      <c r="R909" s="234">
        <v>22703.9</v>
      </c>
      <c r="S909" s="234" t="s">
        <v>2689</v>
      </c>
      <c r="T909" s="236">
        <v>45938</v>
      </c>
    </row>
    <row r="910" spans="1:20" ht="38.25" hidden="1">
      <c r="A910" s="239" t="s">
        <v>2668</v>
      </c>
      <c r="B910" s="240">
        <v>2213</v>
      </c>
      <c r="C910" s="241">
        <v>6</v>
      </c>
      <c r="D910" s="239" t="s">
        <v>2482</v>
      </c>
      <c r="E910" s="239" t="s">
        <v>416</v>
      </c>
      <c r="F910" s="239" t="s">
        <v>417</v>
      </c>
      <c r="G910" s="239" t="s">
        <v>962</v>
      </c>
      <c r="H910" s="239" t="s">
        <v>42</v>
      </c>
      <c r="I910" s="239" t="s">
        <v>2465</v>
      </c>
      <c r="J910" s="233">
        <f>Таблица24[[#This Row],[Вес нетто]]</f>
        <v>25680</v>
      </c>
      <c r="K910" s="235">
        <v>45938</v>
      </c>
      <c r="L910" s="233">
        <v>0.6</v>
      </c>
      <c r="M910" s="234" t="s">
        <v>2709</v>
      </c>
      <c r="N910" s="234">
        <v>40390</v>
      </c>
      <c r="O910" s="234">
        <v>14710</v>
      </c>
      <c r="P910" s="242">
        <v>8</v>
      </c>
      <c r="Q910" s="234">
        <v>25680</v>
      </c>
      <c r="R910" s="234">
        <v>23625.599999999999</v>
      </c>
      <c r="S910" s="234" t="s">
        <v>2691</v>
      </c>
      <c r="T910" s="236">
        <v>45938</v>
      </c>
    </row>
    <row r="911" spans="1:20" ht="38.25" hidden="1">
      <c r="A911" s="239" t="s">
        <v>2669</v>
      </c>
      <c r="B911" s="240">
        <v>2214</v>
      </c>
      <c r="C911" s="241">
        <v>7</v>
      </c>
      <c r="D911" s="239" t="s">
        <v>2482</v>
      </c>
      <c r="E911" s="239" t="s">
        <v>420</v>
      </c>
      <c r="F911" s="239" t="s">
        <v>421</v>
      </c>
      <c r="G911" s="239" t="s">
        <v>962</v>
      </c>
      <c r="H911" s="239" t="s">
        <v>42</v>
      </c>
      <c r="I911" s="239" t="s">
        <v>2465</v>
      </c>
      <c r="J911" s="233">
        <f>Таблица24[[#This Row],[Вес нетто]]</f>
        <v>22560</v>
      </c>
      <c r="K911" s="235">
        <v>45938</v>
      </c>
      <c r="L911" s="233">
        <v>0.6</v>
      </c>
      <c r="M911" s="234" t="s">
        <v>2709</v>
      </c>
      <c r="N911" s="234">
        <v>37450</v>
      </c>
      <c r="O911" s="234">
        <v>14890</v>
      </c>
      <c r="P911" s="242">
        <v>13</v>
      </c>
      <c r="Q911" s="234">
        <v>22560</v>
      </c>
      <c r="R911" s="234">
        <v>19627.2</v>
      </c>
      <c r="S911" s="234" t="s">
        <v>2692</v>
      </c>
      <c r="T911" s="236">
        <v>45938</v>
      </c>
    </row>
    <row r="912" spans="1:20" ht="38.25" hidden="1">
      <c r="A912" s="239" t="s">
        <v>2671</v>
      </c>
      <c r="B912" s="240">
        <v>2215</v>
      </c>
      <c r="C912" s="241">
        <v>8</v>
      </c>
      <c r="D912" s="239" t="s">
        <v>2482</v>
      </c>
      <c r="E912" s="239" t="s">
        <v>453</v>
      </c>
      <c r="F912" s="239" t="s">
        <v>454</v>
      </c>
      <c r="G912" s="239" t="s">
        <v>962</v>
      </c>
      <c r="H912" s="239" t="s">
        <v>42</v>
      </c>
      <c r="I912" s="239" t="s">
        <v>2465</v>
      </c>
      <c r="J912" s="233">
        <f>Таблица24[[#This Row],[Вес нетто]]</f>
        <v>30390</v>
      </c>
      <c r="K912" s="235">
        <v>45938</v>
      </c>
      <c r="L912" s="233">
        <v>0.7</v>
      </c>
      <c r="M912" s="234" t="s">
        <v>2709</v>
      </c>
      <c r="N912" s="234">
        <v>54820</v>
      </c>
      <c r="O912" s="234">
        <v>24430</v>
      </c>
      <c r="P912" s="242">
        <v>9</v>
      </c>
      <c r="Q912" s="234">
        <v>30390</v>
      </c>
      <c r="R912" s="234">
        <v>27654.9</v>
      </c>
      <c r="S912" s="234" t="s">
        <v>2694</v>
      </c>
      <c r="T912" s="236">
        <v>45938</v>
      </c>
    </row>
    <row r="913" spans="1:20" ht="38.25" hidden="1">
      <c r="A913" s="239" t="s">
        <v>2673</v>
      </c>
      <c r="B913" s="240">
        <v>2216</v>
      </c>
      <c r="C913" s="241" t="s">
        <v>2674</v>
      </c>
      <c r="D913" s="239" t="s">
        <v>2482</v>
      </c>
      <c r="E913" s="239" t="s">
        <v>403</v>
      </c>
      <c r="F913" s="239" t="s">
        <v>404</v>
      </c>
      <c r="G913" s="239" t="s">
        <v>962</v>
      </c>
      <c r="H913" s="239" t="s">
        <v>42</v>
      </c>
      <c r="I913" s="239" t="s">
        <v>2465</v>
      </c>
      <c r="J913" s="233">
        <f>Таблица24[[#This Row],[Вес нетто]]</f>
        <v>21610</v>
      </c>
      <c r="K913" s="235">
        <v>45938</v>
      </c>
      <c r="L913" s="233">
        <v>0.5</v>
      </c>
      <c r="M913" s="234" t="s">
        <v>2709</v>
      </c>
      <c r="N913" s="234">
        <v>36240</v>
      </c>
      <c r="O913" s="234">
        <v>14630</v>
      </c>
      <c r="P913" s="242">
        <v>10</v>
      </c>
      <c r="Q913" s="234">
        <v>21610</v>
      </c>
      <c r="R913" s="234">
        <v>19449</v>
      </c>
      <c r="S913" s="234" t="s">
        <v>2696</v>
      </c>
      <c r="T913" s="236">
        <v>45938</v>
      </c>
    </row>
    <row r="914" spans="1:20" ht="38.25" hidden="1">
      <c r="A914" s="239" t="s">
        <v>2676</v>
      </c>
      <c r="B914" s="240">
        <v>2217</v>
      </c>
      <c r="C914" s="241">
        <v>11</v>
      </c>
      <c r="D914" s="239" t="s">
        <v>2482</v>
      </c>
      <c r="E914" s="239" t="s">
        <v>432</v>
      </c>
      <c r="F914" s="239" t="s">
        <v>433</v>
      </c>
      <c r="G914" s="239" t="s">
        <v>962</v>
      </c>
      <c r="H914" s="239" t="s">
        <v>42</v>
      </c>
      <c r="I914" s="239" t="s">
        <v>2465</v>
      </c>
      <c r="J914" s="233">
        <f>Таблица24[[#This Row],[Вес нетто]]</f>
        <v>20720</v>
      </c>
      <c r="K914" s="235">
        <v>45938</v>
      </c>
      <c r="L914" s="233">
        <v>0.5</v>
      </c>
      <c r="M914" s="234" t="s">
        <v>2709</v>
      </c>
      <c r="N914" s="234">
        <v>36620</v>
      </c>
      <c r="O914" s="234">
        <v>15900</v>
      </c>
      <c r="P914" s="242">
        <v>16</v>
      </c>
      <c r="Q914" s="234">
        <v>20720</v>
      </c>
      <c r="R914" s="234">
        <v>17404.8</v>
      </c>
      <c r="S914" s="234" t="s">
        <v>2698</v>
      </c>
      <c r="T914" s="236">
        <v>45938</v>
      </c>
    </row>
    <row r="915" spans="1:20" ht="38.25" hidden="1">
      <c r="A915" s="239" t="s">
        <v>2677</v>
      </c>
      <c r="B915" s="240">
        <v>2218</v>
      </c>
      <c r="C915" s="241">
        <v>10</v>
      </c>
      <c r="D915" s="239" t="s">
        <v>2482</v>
      </c>
      <c r="E915" s="239" t="s">
        <v>406</v>
      </c>
      <c r="F915" s="239" t="s">
        <v>407</v>
      </c>
      <c r="G915" s="239" t="s">
        <v>962</v>
      </c>
      <c r="H915" s="239" t="s">
        <v>42</v>
      </c>
      <c r="I915" s="239" t="s">
        <v>2465</v>
      </c>
      <c r="J915" s="233">
        <f>Таблица24[[#This Row],[Вес нетто]]</f>
        <v>21540</v>
      </c>
      <c r="K915" s="235">
        <v>45938</v>
      </c>
      <c r="L915" s="233">
        <v>0.5</v>
      </c>
      <c r="M915" s="234" t="s">
        <v>2709</v>
      </c>
      <c r="N915" s="234">
        <v>36600</v>
      </c>
      <c r="O915" s="234">
        <v>15060</v>
      </c>
      <c r="P915" s="242">
        <v>8</v>
      </c>
      <c r="Q915" s="234">
        <v>21540</v>
      </c>
      <c r="R915" s="234">
        <v>19816.8</v>
      </c>
      <c r="S915" s="234" t="s">
        <v>2699</v>
      </c>
      <c r="T915" s="236">
        <v>45938</v>
      </c>
    </row>
    <row r="916" spans="1:20" ht="38.25" hidden="1">
      <c r="A916" s="239" t="s">
        <v>2678</v>
      </c>
      <c r="B916" s="240">
        <v>2220</v>
      </c>
      <c r="C916" s="241">
        <v>12</v>
      </c>
      <c r="D916" s="239" t="s">
        <v>2482</v>
      </c>
      <c r="E916" s="239" t="s">
        <v>1305</v>
      </c>
      <c r="F916" s="239" t="s">
        <v>1306</v>
      </c>
      <c r="G916" s="239" t="s">
        <v>962</v>
      </c>
      <c r="H916" s="239" t="s">
        <v>42</v>
      </c>
      <c r="I916" s="239" t="s">
        <v>2465</v>
      </c>
      <c r="J916" s="233">
        <f>Таблица24[[#This Row],[Вес нетто]]</f>
        <v>19230</v>
      </c>
      <c r="K916" s="235">
        <v>45938</v>
      </c>
      <c r="L916" s="233">
        <v>0.5</v>
      </c>
      <c r="M916" s="234" t="s">
        <v>2709</v>
      </c>
      <c r="N916" s="234">
        <v>33910</v>
      </c>
      <c r="O916" s="234">
        <v>14680</v>
      </c>
      <c r="P916" s="242">
        <v>5</v>
      </c>
      <c r="Q916" s="234">
        <v>19230</v>
      </c>
      <c r="R916" s="234">
        <v>18268.5</v>
      </c>
      <c r="S916" s="234" t="s">
        <v>2700</v>
      </c>
      <c r="T916" s="236">
        <v>45938</v>
      </c>
    </row>
    <row r="917" spans="1:20" ht="38.25" hidden="1">
      <c r="A917" s="239" t="s">
        <v>2679</v>
      </c>
      <c r="B917" s="240">
        <v>2221</v>
      </c>
      <c r="C917" s="241">
        <v>19</v>
      </c>
      <c r="D917" s="239" t="s">
        <v>2482</v>
      </c>
      <c r="E917" s="239" t="s">
        <v>400</v>
      </c>
      <c r="F917" s="239" t="s">
        <v>401</v>
      </c>
      <c r="G917" s="239" t="s">
        <v>962</v>
      </c>
      <c r="H917" s="239" t="s">
        <v>42</v>
      </c>
      <c r="I917" s="239" t="s">
        <v>2465</v>
      </c>
      <c r="J917" s="233">
        <f>Таблица24[[#This Row],[Вес нетто]]</f>
        <v>16210</v>
      </c>
      <c r="K917" s="235">
        <v>45938</v>
      </c>
      <c r="L917" s="233">
        <v>0.4</v>
      </c>
      <c r="M917" s="234" t="s">
        <v>2709</v>
      </c>
      <c r="N917" s="234">
        <v>30970</v>
      </c>
      <c r="O917" s="234">
        <v>14760</v>
      </c>
      <c r="P917" s="242">
        <v>12</v>
      </c>
      <c r="Q917" s="234">
        <v>16210</v>
      </c>
      <c r="R917" s="234">
        <v>14264.8</v>
      </c>
      <c r="S917" s="234" t="s">
        <v>2701</v>
      </c>
      <c r="T917" s="236">
        <v>45938</v>
      </c>
    </row>
    <row r="918" spans="1:20" ht="38.25" hidden="1">
      <c r="A918" s="239" t="s">
        <v>2680</v>
      </c>
      <c r="B918" s="240">
        <v>2222</v>
      </c>
      <c r="C918" s="241">
        <v>18</v>
      </c>
      <c r="D918" s="239" t="s">
        <v>2482</v>
      </c>
      <c r="E918" s="239" t="s">
        <v>377</v>
      </c>
      <c r="F918" s="239" t="s">
        <v>378</v>
      </c>
      <c r="G918" s="239" t="s">
        <v>962</v>
      </c>
      <c r="H918" s="239" t="s">
        <v>42</v>
      </c>
      <c r="I918" s="239" t="s">
        <v>2465</v>
      </c>
      <c r="J918" s="233">
        <f>Таблица24[[#This Row],[Вес нетто]]</f>
        <v>19900</v>
      </c>
      <c r="K918" s="235">
        <v>45938</v>
      </c>
      <c r="L918" s="233">
        <v>0.5</v>
      </c>
      <c r="M918" s="234" t="s">
        <v>2709</v>
      </c>
      <c r="N918" s="234">
        <v>35060</v>
      </c>
      <c r="O918" s="234">
        <v>15160</v>
      </c>
      <c r="P918" s="242">
        <v>17</v>
      </c>
      <c r="Q918" s="234">
        <v>19900</v>
      </c>
      <c r="R918" s="234">
        <v>16517</v>
      </c>
      <c r="S918" s="234" t="s">
        <v>2702</v>
      </c>
      <c r="T918" s="236">
        <v>45938</v>
      </c>
    </row>
    <row r="919" spans="1:20" ht="38.25" hidden="1">
      <c r="A919" s="239" t="s">
        <v>2681</v>
      </c>
      <c r="B919" s="240">
        <v>2224</v>
      </c>
      <c r="C919" s="241">
        <v>7951</v>
      </c>
      <c r="D919" s="239" t="s">
        <v>2511</v>
      </c>
      <c r="E919" s="239" t="s">
        <v>794</v>
      </c>
      <c r="F919" s="239" t="s">
        <v>795</v>
      </c>
      <c r="G919" s="239" t="s">
        <v>933</v>
      </c>
      <c r="H919" s="239" t="s">
        <v>51</v>
      </c>
      <c r="I919" s="239" t="s">
        <v>2512</v>
      </c>
      <c r="J919" s="233"/>
      <c r="K919" s="235">
        <v>45938</v>
      </c>
      <c r="L919" s="233">
        <v>1.6</v>
      </c>
      <c r="M919" s="234" t="s">
        <v>933</v>
      </c>
      <c r="N919" s="234">
        <v>43310</v>
      </c>
      <c r="O919" s="234">
        <v>16150</v>
      </c>
      <c r="P919" s="242">
        <v>5</v>
      </c>
      <c r="Q919" s="234">
        <v>27160</v>
      </c>
      <c r="R919" s="234">
        <v>25802</v>
      </c>
      <c r="S919" s="234" t="s">
        <v>2703</v>
      </c>
      <c r="T919" s="236">
        <v>45939</v>
      </c>
    </row>
    <row r="920" spans="1:20" ht="38.25" hidden="1">
      <c r="A920" s="239" t="s">
        <v>2682</v>
      </c>
      <c r="B920" s="240">
        <v>2225</v>
      </c>
      <c r="C920" s="241">
        <v>7952</v>
      </c>
      <c r="D920" s="239" t="s">
        <v>2511</v>
      </c>
      <c r="E920" s="239" t="s">
        <v>841</v>
      </c>
      <c r="F920" s="239" t="s">
        <v>845</v>
      </c>
      <c r="G920" s="239" t="s">
        <v>933</v>
      </c>
      <c r="H920" s="239" t="s">
        <v>51</v>
      </c>
      <c r="I920" s="239" t="s">
        <v>2512</v>
      </c>
      <c r="J920" s="233"/>
      <c r="K920" s="235">
        <v>45938</v>
      </c>
      <c r="L920" s="233">
        <v>1.6</v>
      </c>
      <c r="M920" s="234" t="s">
        <v>933</v>
      </c>
      <c r="N920" s="234">
        <v>43110</v>
      </c>
      <c r="O920" s="234">
        <v>15940</v>
      </c>
      <c r="P920" s="242">
        <v>5</v>
      </c>
      <c r="Q920" s="234">
        <v>27170</v>
      </c>
      <c r="R920" s="234">
        <v>25811.5</v>
      </c>
      <c r="S920" s="234" t="s">
        <v>2704</v>
      </c>
      <c r="T920" s="236">
        <v>45939</v>
      </c>
    </row>
    <row r="921" spans="1:20" ht="38.25" hidden="1">
      <c r="A921" s="239" t="s">
        <v>2705</v>
      </c>
      <c r="B921" s="240">
        <v>2227</v>
      </c>
      <c r="C921" s="241">
        <v>7853</v>
      </c>
      <c r="D921" s="239" t="s">
        <v>2511</v>
      </c>
      <c r="E921" s="239" t="s">
        <v>786</v>
      </c>
      <c r="F921" s="239" t="s">
        <v>787</v>
      </c>
      <c r="G921" s="239" t="s">
        <v>933</v>
      </c>
      <c r="H921" s="239" t="s">
        <v>51</v>
      </c>
      <c r="I921" s="239" t="s">
        <v>2512</v>
      </c>
      <c r="J921" s="233"/>
      <c r="K921" s="235">
        <v>45938</v>
      </c>
      <c r="L921" s="233">
        <v>1.3</v>
      </c>
      <c r="M921" s="234" t="s">
        <v>933</v>
      </c>
      <c r="N921" s="234">
        <v>36340</v>
      </c>
      <c r="O921" s="234">
        <v>14030</v>
      </c>
      <c r="P921" s="242">
        <v>10</v>
      </c>
      <c r="Q921" s="234">
        <v>22310</v>
      </c>
      <c r="R921" s="234">
        <v>20079</v>
      </c>
      <c r="S921" s="234" t="s">
        <v>2707</v>
      </c>
      <c r="T921" s="236">
        <v>45939</v>
      </c>
    </row>
    <row r="922" spans="1:20" ht="38.25" hidden="1">
      <c r="A922" s="239" t="s">
        <v>2706</v>
      </c>
      <c r="B922" s="240">
        <v>2231</v>
      </c>
      <c r="C922" s="241">
        <v>7955</v>
      </c>
      <c r="D922" s="239" t="s">
        <v>2511</v>
      </c>
      <c r="E922" s="239" t="s">
        <v>783</v>
      </c>
      <c r="F922" s="239" t="s">
        <v>784</v>
      </c>
      <c r="G922" s="239" t="s">
        <v>933</v>
      </c>
      <c r="H922" s="239" t="s">
        <v>51</v>
      </c>
      <c r="I922" s="239" t="s">
        <v>2512</v>
      </c>
      <c r="J922" s="233"/>
      <c r="K922" s="235">
        <v>45938</v>
      </c>
      <c r="L922" s="233">
        <v>1.5</v>
      </c>
      <c r="M922" s="234" t="s">
        <v>933</v>
      </c>
      <c r="N922" s="234">
        <v>39920</v>
      </c>
      <c r="O922" s="234">
        <v>14700</v>
      </c>
      <c r="P922" s="242">
        <v>10</v>
      </c>
      <c r="Q922" s="234">
        <v>25220</v>
      </c>
      <c r="R922" s="234">
        <v>22698</v>
      </c>
      <c r="S922" s="234" t="s">
        <v>2708</v>
      </c>
      <c r="T922" s="236">
        <v>45939</v>
      </c>
    </row>
    <row r="923" spans="1:20" ht="38.25" hidden="1">
      <c r="A923" s="239" t="s">
        <v>2713</v>
      </c>
      <c r="B923" s="240">
        <v>2232</v>
      </c>
      <c r="C923" s="241">
        <v>7954</v>
      </c>
      <c r="D923" s="239" t="s">
        <v>2511</v>
      </c>
      <c r="E923" s="239" t="s">
        <v>791</v>
      </c>
      <c r="F923" s="239" t="s">
        <v>792</v>
      </c>
      <c r="G923" s="239" t="s">
        <v>933</v>
      </c>
      <c r="H923" s="239" t="s">
        <v>51</v>
      </c>
      <c r="I923" s="239" t="s">
        <v>2512</v>
      </c>
      <c r="J923" s="233"/>
      <c r="K923" s="235">
        <v>45938</v>
      </c>
      <c r="L923" s="233">
        <v>1.5</v>
      </c>
      <c r="M923" s="234" t="s">
        <v>933</v>
      </c>
      <c r="N923" s="234">
        <v>41100</v>
      </c>
      <c r="O923" s="234">
        <v>15060</v>
      </c>
      <c r="P923" s="242">
        <v>5</v>
      </c>
      <c r="Q923" s="234">
        <v>26040</v>
      </c>
      <c r="R923" s="234">
        <v>24738</v>
      </c>
      <c r="S923" s="234" t="s">
        <v>2714</v>
      </c>
      <c r="T923" s="236">
        <v>45939</v>
      </c>
    </row>
    <row r="924" spans="1:20" ht="38.25" hidden="1">
      <c r="A924" s="239" t="s">
        <v>2715</v>
      </c>
      <c r="B924" s="240">
        <v>2234</v>
      </c>
      <c r="C924" s="241">
        <v>7958</v>
      </c>
      <c r="D924" s="239" t="s">
        <v>2511</v>
      </c>
      <c r="E924" s="239" t="s">
        <v>1397</v>
      </c>
      <c r="F924" s="239" t="s">
        <v>1398</v>
      </c>
      <c r="G924" s="239" t="s">
        <v>933</v>
      </c>
      <c r="H924" s="239" t="s">
        <v>51</v>
      </c>
      <c r="I924" s="239" t="s">
        <v>2512</v>
      </c>
      <c r="J924" s="233"/>
      <c r="K924" s="235">
        <v>45938</v>
      </c>
      <c r="L924" s="233">
        <v>1.5</v>
      </c>
      <c r="M924" s="234" t="s">
        <v>933</v>
      </c>
      <c r="N924" s="234">
        <v>42410</v>
      </c>
      <c r="O924" s="234">
        <v>17130</v>
      </c>
      <c r="P924" s="242">
        <v>10</v>
      </c>
      <c r="Q924" s="234">
        <v>25280</v>
      </c>
      <c r="R924" s="234">
        <v>22752</v>
      </c>
      <c r="S924" s="234" t="s">
        <v>2716</v>
      </c>
      <c r="T924" s="236">
        <v>45939</v>
      </c>
    </row>
    <row r="925" spans="1:20" ht="38.25" hidden="1">
      <c r="A925" s="239" t="s">
        <v>2717</v>
      </c>
      <c r="B925" s="240">
        <v>2236</v>
      </c>
      <c r="C925" s="241">
        <v>7959</v>
      </c>
      <c r="D925" s="239" t="s">
        <v>2511</v>
      </c>
      <c r="E925" s="239" t="s">
        <v>1403</v>
      </c>
      <c r="F925" s="239" t="s">
        <v>1404</v>
      </c>
      <c r="G925" s="239" t="s">
        <v>933</v>
      </c>
      <c r="H925" s="239" t="s">
        <v>51</v>
      </c>
      <c r="I925" s="239" t="s">
        <v>2512</v>
      </c>
      <c r="J925" s="233"/>
      <c r="K925" s="235">
        <v>45938</v>
      </c>
      <c r="L925" s="233">
        <v>1.5</v>
      </c>
      <c r="M925" s="234" t="s">
        <v>933</v>
      </c>
      <c r="N925" s="234">
        <v>39830</v>
      </c>
      <c r="O925" s="234">
        <v>14980</v>
      </c>
      <c r="P925" s="242">
        <v>9</v>
      </c>
      <c r="Q925" s="234">
        <v>24850</v>
      </c>
      <c r="R925" s="234">
        <v>22613.5</v>
      </c>
      <c r="S925" s="234" t="s">
        <v>2718</v>
      </c>
      <c r="T925" s="236">
        <v>45939</v>
      </c>
    </row>
    <row r="926" spans="1:20" ht="38.25" hidden="1">
      <c r="A926" s="239" t="s">
        <v>2719</v>
      </c>
      <c r="B926" s="240">
        <v>2237</v>
      </c>
      <c r="C926" s="241">
        <v>7960</v>
      </c>
      <c r="D926" s="239" t="s">
        <v>2511</v>
      </c>
      <c r="E926" s="239" t="s">
        <v>1400</v>
      </c>
      <c r="F926" s="239" t="s">
        <v>1401</v>
      </c>
      <c r="G926" s="239" t="s">
        <v>933</v>
      </c>
      <c r="H926" s="239" t="s">
        <v>51</v>
      </c>
      <c r="I926" s="239" t="s">
        <v>2512</v>
      </c>
      <c r="J926" s="233"/>
      <c r="K926" s="235">
        <v>45939</v>
      </c>
      <c r="L926" s="233">
        <v>1.4</v>
      </c>
      <c r="M926" s="234" t="s">
        <v>933</v>
      </c>
      <c r="N926" s="234">
        <v>37100</v>
      </c>
      <c r="O926" s="234">
        <v>14760</v>
      </c>
      <c r="P926" s="242">
        <v>5</v>
      </c>
      <c r="Q926" s="234">
        <v>22340</v>
      </c>
      <c r="R926" s="234">
        <v>21223</v>
      </c>
      <c r="S926" s="234" t="s">
        <v>2720</v>
      </c>
      <c r="T926" s="236">
        <v>45939</v>
      </c>
    </row>
    <row r="927" spans="1:20" ht="38.25" hidden="1">
      <c r="A927" s="239" t="s">
        <v>2721</v>
      </c>
      <c r="B927" s="240">
        <v>2238</v>
      </c>
      <c r="C927" s="241">
        <v>7961</v>
      </c>
      <c r="D927" s="239" t="s">
        <v>2511</v>
      </c>
      <c r="E927" s="239" t="s">
        <v>462</v>
      </c>
      <c r="F927" s="239" t="s">
        <v>463</v>
      </c>
      <c r="G927" s="239" t="s">
        <v>933</v>
      </c>
      <c r="H927" s="239" t="s">
        <v>51</v>
      </c>
      <c r="I927" s="239" t="s">
        <v>2512</v>
      </c>
      <c r="J927" s="233"/>
      <c r="K927" s="235">
        <v>45939</v>
      </c>
      <c r="L927" s="233">
        <v>1.5</v>
      </c>
      <c r="M927" s="234" t="s">
        <v>933</v>
      </c>
      <c r="N927" s="234">
        <v>40670</v>
      </c>
      <c r="O927" s="234">
        <v>16330</v>
      </c>
      <c r="P927" s="242">
        <v>11</v>
      </c>
      <c r="Q927" s="234">
        <v>24340</v>
      </c>
      <c r="R927" s="234">
        <v>21662.6</v>
      </c>
      <c r="S927" s="234" t="s">
        <v>2722</v>
      </c>
      <c r="T927" s="236">
        <v>45939</v>
      </c>
    </row>
    <row r="928" spans="1:20" ht="38.25" hidden="1">
      <c r="A928" s="239" t="s">
        <v>2723</v>
      </c>
      <c r="B928" s="240">
        <v>2240</v>
      </c>
      <c r="C928" s="241">
        <v>7962</v>
      </c>
      <c r="D928" s="239" t="s">
        <v>2511</v>
      </c>
      <c r="E928" s="239" t="s">
        <v>472</v>
      </c>
      <c r="F928" s="239" t="s">
        <v>473</v>
      </c>
      <c r="G928" s="239" t="s">
        <v>933</v>
      </c>
      <c r="H928" s="239" t="s">
        <v>51</v>
      </c>
      <c r="I928" s="239" t="s">
        <v>2512</v>
      </c>
      <c r="J928" s="233"/>
      <c r="K928" s="235">
        <v>45939</v>
      </c>
      <c r="L928" s="233">
        <v>1.4</v>
      </c>
      <c r="M928" s="234" t="s">
        <v>933</v>
      </c>
      <c r="N928" s="234">
        <v>39060</v>
      </c>
      <c r="O928" s="234">
        <v>16560</v>
      </c>
      <c r="P928" s="242">
        <v>13</v>
      </c>
      <c r="Q928" s="234">
        <v>22500</v>
      </c>
      <c r="R928" s="234">
        <v>19575</v>
      </c>
      <c r="S928" s="234" t="s">
        <v>2724</v>
      </c>
      <c r="T928" s="236">
        <v>45939</v>
      </c>
    </row>
    <row r="929" spans="1:20" ht="51" hidden="1">
      <c r="A929" s="239" t="s">
        <v>2725</v>
      </c>
      <c r="B929" s="240">
        <v>2241</v>
      </c>
      <c r="C929" s="241">
        <v>7963</v>
      </c>
      <c r="D929" s="239" t="s">
        <v>2511</v>
      </c>
      <c r="E929" s="239" t="s">
        <v>475</v>
      </c>
      <c r="F929" s="239" t="s">
        <v>476</v>
      </c>
      <c r="G929" s="239" t="s">
        <v>933</v>
      </c>
      <c r="H929" s="239" t="s">
        <v>51</v>
      </c>
      <c r="I929" s="239" t="s">
        <v>2512</v>
      </c>
      <c r="J929" s="233"/>
      <c r="K929" s="235">
        <v>45939</v>
      </c>
      <c r="L929" s="233">
        <v>1.4</v>
      </c>
      <c r="M929" s="234" t="s">
        <v>933</v>
      </c>
      <c r="N929" s="234">
        <v>39900</v>
      </c>
      <c r="O929" s="234">
        <v>16470</v>
      </c>
      <c r="P929" s="242">
        <v>12</v>
      </c>
      <c r="Q929" s="234">
        <v>23430</v>
      </c>
      <c r="R929" s="234">
        <v>20618.400000000001</v>
      </c>
      <c r="S929" s="234" t="s">
        <v>2726</v>
      </c>
      <c r="T929" s="236">
        <v>45939</v>
      </c>
    </row>
    <row r="930" spans="1:20" ht="38.25" hidden="1">
      <c r="A930" s="239" t="s">
        <v>2727</v>
      </c>
      <c r="B930" s="240">
        <v>2243</v>
      </c>
      <c r="C930" s="241">
        <v>7974</v>
      </c>
      <c r="D930" s="239" t="s">
        <v>2511</v>
      </c>
      <c r="E930" s="239" t="s">
        <v>388</v>
      </c>
      <c r="F930" s="239" t="s">
        <v>389</v>
      </c>
      <c r="G930" s="239" t="s">
        <v>933</v>
      </c>
      <c r="H930" s="239" t="s">
        <v>51</v>
      </c>
      <c r="I930" s="239" t="s">
        <v>2512</v>
      </c>
      <c r="J930" s="233"/>
      <c r="K930" s="235">
        <v>45939</v>
      </c>
      <c r="L930" s="233">
        <v>2.4</v>
      </c>
      <c r="M930" s="234" t="s">
        <v>933</v>
      </c>
      <c r="N930" s="234">
        <v>60510</v>
      </c>
      <c r="O930" s="234">
        <v>21280</v>
      </c>
      <c r="P930" s="242">
        <v>13</v>
      </c>
      <c r="Q930" s="234">
        <v>39230</v>
      </c>
      <c r="R930" s="234">
        <v>34130.1</v>
      </c>
      <c r="S930" s="234" t="s">
        <v>2728</v>
      </c>
      <c r="T930" s="236">
        <v>45939</v>
      </c>
    </row>
    <row r="931" spans="1:20" ht="38.25" hidden="1">
      <c r="A931" s="239" t="s">
        <v>2729</v>
      </c>
      <c r="B931" s="240">
        <v>2244</v>
      </c>
      <c r="C931" s="241">
        <v>7975</v>
      </c>
      <c r="D931" s="239" t="s">
        <v>2511</v>
      </c>
      <c r="E931" s="239" t="s">
        <v>413</v>
      </c>
      <c r="F931" s="239" t="s">
        <v>414</v>
      </c>
      <c r="G931" s="239" t="s">
        <v>933</v>
      </c>
      <c r="H931" s="239" t="s">
        <v>51</v>
      </c>
      <c r="I931" s="239" t="s">
        <v>2512</v>
      </c>
      <c r="J931" s="233"/>
      <c r="K931" s="235">
        <v>45939</v>
      </c>
      <c r="L931" s="233">
        <v>1.8</v>
      </c>
      <c r="M931" s="234" t="s">
        <v>933</v>
      </c>
      <c r="N931" s="234">
        <v>43940</v>
      </c>
      <c r="O931" s="234">
        <v>14990</v>
      </c>
      <c r="P931" s="242">
        <v>8</v>
      </c>
      <c r="Q931" s="234">
        <v>28950</v>
      </c>
      <c r="R931" s="234">
        <v>26634</v>
      </c>
      <c r="S931" s="234" t="s">
        <v>2730</v>
      </c>
      <c r="T931" s="236">
        <v>45939</v>
      </c>
    </row>
    <row r="932" spans="1:20" ht="51" hidden="1">
      <c r="A932" s="239" t="s">
        <v>2731</v>
      </c>
      <c r="B932" s="240">
        <v>2245</v>
      </c>
      <c r="C932" s="241">
        <v>7977</v>
      </c>
      <c r="D932" s="239" t="s">
        <v>2511</v>
      </c>
      <c r="E932" s="239" t="s">
        <v>1410</v>
      </c>
      <c r="F932" s="239" t="s">
        <v>437</v>
      </c>
      <c r="G932" s="239" t="s">
        <v>933</v>
      </c>
      <c r="H932" s="239" t="s">
        <v>51</v>
      </c>
      <c r="I932" s="239" t="s">
        <v>2512</v>
      </c>
      <c r="J932" s="233"/>
      <c r="K932" s="235">
        <v>45939</v>
      </c>
      <c r="L932" s="233">
        <v>1.6</v>
      </c>
      <c r="M932" s="234" t="s">
        <v>933</v>
      </c>
      <c r="N932" s="234">
        <v>41370</v>
      </c>
      <c r="O932" s="234">
        <v>14910</v>
      </c>
      <c r="P932" s="242">
        <v>9</v>
      </c>
      <c r="Q932" s="234">
        <v>26460</v>
      </c>
      <c r="R932" s="234">
        <v>24078.6</v>
      </c>
      <c r="S932" s="234" t="s">
        <v>2732</v>
      </c>
      <c r="T932" s="236">
        <v>45939</v>
      </c>
    </row>
    <row r="933" spans="1:20" ht="38.25" hidden="1">
      <c r="A933" s="239" t="s">
        <v>2733</v>
      </c>
      <c r="B933" s="240">
        <v>2246</v>
      </c>
      <c r="C933" s="241">
        <v>7978</v>
      </c>
      <c r="D933" s="239" t="s">
        <v>2511</v>
      </c>
      <c r="E933" s="239" t="s">
        <v>439</v>
      </c>
      <c r="F933" s="239" t="s">
        <v>440</v>
      </c>
      <c r="G933" s="239" t="s">
        <v>933</v>
      </c>
      <c r="H933" s="239" t="s">
        <v>51</v>
      </c>
      <c r="I933" s="239" t="s">
        <v>2512</v>
      </c>
      <c r="J933" s="233"/>
      <c r="K933" s="235">
        <v>45939</v>
      </c>
      <c r="L933" s="233">
        <v>1.8</v>
      </c>
      <c r="M933" s="234" t="s">
        <v>933</v>
      </c>
      <c r="N933" s="234">
        <v>43900</v>
      </c>
      <c r="O933" s="234">
        <v>15050</v>
      </c>
      <c r="P933" s="242">
        <v>14</v>
      </c>
      <c r="Q933" s="234">
        <v>28850</v>
      </c>
      <c r="R933" s="234">
        <v>24811</v>
      </c>
      <c r="S933" s="234" t="s">
        <v>2734</v>
      </c>
      <c r="T933" s="236">
        <v>45939</v>
      </c>
    </row>
    <row r="934" spans="1:20" ht="38.25" hidden="1">
      <c r="A934" s="239" t="s">
        <v>2735</v>
      </c>
      <c r="B934" s="240">
        <v>2247</v>
      </c>
      <c r="C934" s="241">
        <v>7982</v>
      </c>
      <c r="D934" s="239" t="s">
        <v>2511</v>
      </c>
      <c r="E934" s="239" t="s">
        <v>392</v>
      </c>
      <c r="F934" s="239" t="s">
        <v>393</v>
      </c>
      <c r="G934" s="239" t="s">
        <v>933</v>
      </c>
      <c r="H934" s="239" t="s">
        <v>51</v>
      </c>
      <c r="I934" s="239" t="s">
        <v>2512</v>
      </c>
      <c r="J934" s="233"/>
      <c r="K934" s="235">
        <v>45939</v>
      </c>
      <c r="L934" s="233">
        <v>2.5</v>
      </c>
      <c r="M934" s="234" t="s">
        <v>933</v>
      </c>
      <c r="N934" s="234">
        <v>64040</v>
      </c>
      <c r="O934" s="234">
        <v>24020</v>
      </c>
      <c r="P934" s="242">
        <v>14</v>
      </c>
      <c r="Q934" s="234">
        <v>40020</v>
      </c>
      <c r="R934" s="234">
        <v>34417.199999999997</v>
      </c>
      <c r="S934" s="234" t="s">
        <v>2736</v>
      </c>
      <c r="T934" s="236">
        <v>45939</v>
      </c>
    </row>
    <row r="935" spans="1:20" ht="38.25" hidden="1">
      <c r="A935" s="239" t="s">
        <v>2737</v>
      </c>
      <c r="B935" s="240">
        <v>2248</v>
      </c>
      <c r="C935" s="241">
        <v>7987</v>
      </c>
      <c r="D935" s="239" t="s">
        <v>2511</v>
      </c>
      <c r="E935" s="239" t="s">
        <v>447</v>
      </c>
      <c r="F935" s="239" t="s">
        <v>448</v>
      </c>
      <c r="G935" s="239" t="s">
        <v>933</v>
      </c>
      <c r="H935" s="239" t="s">
        <v>51</v>
      </c>
      <c r="I935" s="239" t="s">
        <v>2512</v>
      </c>
      <c r="J935" s="233"/>
      <c r="K935" s="235">
        <v>45939</v>
      </c>
      <c r="L935" s="233">
        <v>1.9</v>
      </c>
      <c r="M935" s="234" t="s">
        <v>933</v>
      </c>
      <c r="N935" s="234">
        <v>50900</v>
      </c>
      <c r="O935" s="234">
        <v>19430</v>
      </c>
      <c r="P935" s="242">
        <v>12</v>
      </c>
      <c r="Q935" s="234">
        <v>31470</v>
      </c>
      <c r="R935" s="234">
        <v>27693.599999999999</v>
      </c>
      <c r="S935" s="234" t="s">
        <v>2738</v>
      </c>
      <c r="T935" s="236">
        <v>45939</v>
      </c>
    </row>
    <row r="936" spans="1:20" ht="38.25" hidden="1">
      <c r="A936" s="239" t="s">
        <v>2739</v>
      </c>
      <c r="B936" s="240">
        <v>2249</v>
      </c>
      <c r="C936" s="241">
        <v>7993</v>
      </c>
      <c r="D936" s="239" t="s">
        <v>2511</v>
      </c>
      <c r="E936" s="239" t="s">
        <v>374</v>
      </c>
      <c r="F936" s="239" t="s">
        <v>375</v>
      </c>
      <c r="G936" s="239" t="s">
        <v>933</v>
      </c>
      <c r="H936" s="239" t="s">
        <v>51</v>
      </c>
      <c r="I936" s="239" t="s">
        <v>2512</v>
      </c>
      <c r="J936" s="233"/>
      <c r="K936" s="235">
        <v>45939</v>
      </c>
      <c r="L936" s="233">
        <v>1.5</v>
      </c>
      <c r="M936" s="234" t="s">
        <v>933</v>
      </c>
      <c r="N936" s="234">
        <v>40210</v>
      </c>
      <c r="O936" s="234">
        <v>15610</v>
      </c>
      <c r="P936" s="242">
        <v>12</v>
      </c>
      <c r="Q936" s="234">
        <v>24600</v>
      </c>
      <c r="R936" s="234">
        <v>21648</v>
      </c>
      <c r="S936" s="234" t="s">
        <v>2740</v>
      </c>
      <c r="T936" s="236">
        <v>45940</v>
      </c>
    </row>
    <row r="937" spans="1:20" ht="38.25" hidden="1">
      <c r="A937" s="239" t="s">
        <v>2741</v>
      </c>
      <c r="B937" s="240">
        <v>2250</v>
      </c>
      <c r="C937" s="241">
        <v>7994</v>
      </c>
      <c r="D937" s="239" t="s">
        <v>2511</v>
      </c>
      <c r="E937" s="239" t="s">
        <v>858</v>
      </c>
      <c r="F937" s="239" t="s">
        <v>859</v>
      </c>
      <c r="G937" s="239" t="s">
        <v>933</v>
      </c>
      <c r="H937" s="239" t="s">
        <v>51</v>
      </c>
      <c r="I937" s="239" t="s">
        <v>2512</v>
      </c>
      <c r="J937" s="233"/>
      <c r="K937" s="235">
        <v>45939</v>
      </c>
      <c r="L937" s="233">
        <v>1.5</v>
      </c>
      <c r="M937" s="234" t="s">
        <v>933</v>
      </c>
      <c r="N937" s="234">
        <v>39940</v>
      </c>
      <c r="O937" s="234">
        <v>14910</v>
      </c>
      <c r="P937" s="242">
        <v>13</v>
      </c>
      <c r="Q937" s="234">
        <v>25030</v>
      </c>
      <c r="R937" s="234">
        <v>21776.1</v>
      </c>
      <c r="S937" s="234" t="s">
        <v>2742</v>
      </c>
      <c r="T937" s="236">
        <v>45940</v>
      </c>
    </row>
    <row r="938" spans="1:20" ht="38.25" hidden="1">
      <c r="A938" s="239" t="s">
        <v>2743</v>
      </c>
      <c r="B938" s="240">
        <v>2251</v>
      </c>
      <c r="C938" s="241">
        <v>7995</v>
      </c>
      <c r="D938" s="239" t="s">
        <v>2511</v>
      </c>
      <c r="E938" s="239" t="s">
        <v>372</v>
      </c>
      <c r="F938" s="239" t="s">
        <v>373</v>
      </c>
      <c r="G938" s="239" t="s">
        <v>933</v>
      </c>
      <c r="H938" s="239" t="s">
        <v>51</v>
      </c>
      <c r="I938" s="239" t="s">
        <v>2512</v>
      </c>
      <c r="J938" s="233"/>
      <c r="K938" s="235">
        <v>45939</v>
      </c>
      <c r="L938" s="233">
        <v>1.3</v>
      </c>
      <c r="M938" s="234" t="s">
        <v>933</v>
      </c>
      <c r="N938" s="234">
        <v>36810</v>
      </c>
      <c r="O938" s="234">
        <v>14910</v>
      </c>
      <c r="P938" s="242">
        <v>16</v>
      </c>
      <c r="Q938" s="234">
        <v>21900</v>
      </c>
      <c r="R938" s="234">
        <v>18396</v>
      </c>
      <c r="S938" s="234" t="s">
        <v>2744</v>
      </c>
      <c r="T938" s="236">
        <v>45940</v>
      </c>
    </row>
    <row r="939" spans="1:20" ht="38.25" hidden="1">
      <c r="A939" s="239" t="s">
        <v>2745</v>
      </c>
      <c r="B939" s="240">
        <v>2252</v>
      </c>
      <c r="C939" s="241">
        <v>7998</v>
      </c>
      <c r="D939" s="239" t="s">
        <v>2511</v>
      </c>
      <c r="E939" s="239" t="s">
        <v>453</v>
      </c>
      <c r="F939" s="239" t="s">
        <v>454</v>
      </c>
      <c r="G939" s="239" t="s">
        <v>933</v>
      </c>
      <c r="H939" s="239" t="s">
        <v>51</v>
      </c>
      <c r="I939" s="239" t="s">
        <v>2512</v>
      </c>
      <c r="J939" s="233"/>
      <c r="K939" s="235">
        <v>45939</v>
      </c>
      <c r="L939" s="233">
        <v>2.5</v>
      </c>
      <c r="M939" s="234" t="s">
        <v>933</v>
      </c>
      <c r="N939" s="234">
        <v>64690</v>
      </c>
      <c r="O939" s="234">
        <v>24450</v>
      </c>
      <c r="P939" s="242">
        <v>7</v>
      </c>
      <c r="Q939" s="234">
        <v>40240</v>
      </c>
      <c r="R939" s="234">
        <v>37423.199999999997</v>
      </c>
      <c r="S939" s="234" t="s">
        <v>2746</v>
      </c>
      <c r="T939" s="236">
        <v>45940</v>
      </c>
    </row>
    <row r="940" spans="1:20" ht="38.25" hidden="1">
      <c r="A940" s="239" t="s">
        <v>2747</v>
      </c>
      <c r="B940" s="240">
        <v>2253</v>
      </c>
      <c r="C940" s="241">
        <v>7999</v>
      </c>
      <c r="D940" s="239" t="s">
        <v>2511</v>
      </c>
      <c r="E940" s="239" t="s">
        <v>456</v>
      </c>
      <c r="F940" s="239" t="s">
        <v>457</v>
      </c>
      <c r="G940" s="239" t="s">
        <v>933</v>
      </c>
      <c r="H940" s="239" t="s">
        <v>51</v>
      </c>
      <c r="I940" s="239" t="s">
        <v>2512</v>
      </c>
      <c r="J940" s="233"/>
      <c r="K940" s="235">
        <v>45939</v>
      </c>
      <c r="L940" s="233">
        <v>1.8</v>
      </c>
      <c r="M940" s="234" t="s">
        <v>933</v>
      </c>
      <c r="N940" s="234">
        <v>44900</v>
      </c>
      <c r="O940" s="234">
        <v>15720</v>
      </c>
      <c r="P940" s="242">
        <v>16</v>
      </c>
      <c r="Q940" s="234">
        <v>29180</v>
      </c>
      <c r="R940" s="234">
        <v>24511.200000000001</v>
      </c>
      <c r="S940" s="234" t="s">
        <v>2748</v>
      </c>
      <c r="T940" s="236">
        <v>45940</v>
      </c>
    </row>
    <row r="941" spans="1:20" ht="38.25" hidden="1">
      <c r="A941" s="239" t="s">
        <v>2750</v>
      </c>
      <c r="B941" s="240">
        <v>2254</v>
      </c>
      <c r="C941" s="241">
        <v>8000</v>
      </c>
      <c r="D941" s="239" t="s">
        <v>2511</v>
      </c>
      <c r="E941" s="239" t="s">
        <v>432</v>
      </c>
      <c r="F941" s="239" t="s">
        <v>433</v>
      </c>
      <c r="G941" s="239" t="s">
        <v>933</v>
      </c>
      <c r="H941" s="239" t="s">
        <v>51</v>
      </c>
      <c r="I941" s="239" t="s">
        <v>2512</v>
      </c>
      <c r="J941" s="233"/>
      <c r="K941" s="235">
        <v>45939</v>
      </c>
      <c r="L941" s="233">
        <v>1.6</v>
      </c>
      <c r="M941" s="234" t="s">
        <v>933</v>
      </c>
      <c r="N941" s="234">
        <v>41590</v>
      </c>
      <c r="O941" s="234">
        <v>15670</v>
      </c>
      <c r="P941" s="242">
        <v>14</v>
      </c>
      <c r="Q941" s="234">
        <v>25920</v>
      </c>
      <c r="R941" s="234">
        <v>22291.200000000001</v>
      </c>
      <c r="S941" s="234" t="s">
        <v>2751</v>
      </c>
      <c r="T941" s="236">
        <v>45940</v>
      </c>
    </row>
    <row r="942" spans="1:20" ht="38.25" hidden="1">
      <c r="A942" s="239" t="s">
        <v>2752</v>
      </c>
      <c r="B942" s="240">
        <v>2255</v>
      </c>
      <c r="C942" s="241">
        <v>8005</v>
      </c>
      <c r="D942" s="239" t="s">
        <v>2511</v>
      </c>
      <c r="E942" s="239" t="s">
        <v>377</v>
      </c>
      <c r="F942" s="239" t="s">
        <v>378</v>
      </c>
      <c r="G942" s="239" t="s">
        <v>933</v>
      </c>
      <c r="H942" s="239" t="s">
        <v>51</v>
      </c>
      <c r="I942" s="239" t="s">
        <v>2512</v>
      </c>
      <c r="J942" s="233"/>
      <c r="K942" s="235">
        <v>45939</v>
      </c>
      <c r="L942" s="233">
        <v>1.7</v>
      </c>
      <c r="M942" s="234" t="s">
        <v>933</v>
      </c>
      <c r="N942" s="234">
        <v>43180</v>
      </c>
      <c r="O942" s="234">
        <v>15080</v>
      </c>
      <c r="P942" s="242">
        <v>8</v>
      </c>
      <c r="Q942" s="234">
        <v>28100</v>
      </c>
      <c r="R942" s="234">
        <v>25852</v>
      </c>
      <c r="S942" s="234" t="s">
        <v>2753</v>
      </c>
      <c r="T942" s="236">
        <v>45940</v>
      </c>
    </row>
    <row r="943" spans="1:20" ht="38.25" hidden="1">
      <c r="A943" s="239" t="s">
        <v>2754</v>
      </c>
      <c r="B943" s="240">
        <v>2256</v>
      </c>
      <c r="C943" s="241">
        <v>8006</v>
      </c>
      <c r="D943" s="239" t="s">
        <v>2511</v>
      </c>
      <c r="E943" s="239" t="s">
        <v>410</v>
      </c>
      <c r="F943" s="239" t="s">
        <v>411</v>
      </c>
      <c r="G943" s="239" t="s">
        <v>933</v>
      </c>
      <c r="H943" s="239" t="s">
        <v>51</v>
      </c>
      <c r="I943" s="239" t="s">
        <v>2512</v>
      </c>
      <c r="J943" s="233"/>
      <c r="K943" s="235">
        <v>45939</v>
      </c>
      <c r="L943" s="233">
        <v>1.6</v>
      </c>
      <c r="M943" s="234" t="s">
        <v>933</v>
      </c>
      <c r="N943" s="234">
        <v>40820</v>
      </c>
      <c r="O943" s="234">
        <v>15050</v>
      </c>
      <c r="P943" s="242">
        <v>7</v>
      </c>
      <c r="Q943" s="234">
        <v>25770</v>
      </c>
      <c r="R943" s="234">
        <v>23966.1</v>
      </c>
      <c r="S943" s="234" t="s">
        <v>2755</v>
      </c>
      <c r="T943" s="236">
        <v>45940</v>
      </c>
    </row>
    <row r="944" spans="1:20" ht="38.25" hidden="1">
      <c r="A944" s="239" t="s">
        <v>2756</v>
      </c>
      <c r="B944" s="240">
        <v>2257</v>
      </c>
      <c r="C944" s="241">
        <v>8007</v>
      </c>
      <c r="D944" s="239" t="s">
        <v>2511</v>
      </c>
      <c r="E944" s="239" t="s">
        <v>794</v>
      </c>
      <c r="F944" s="239" t="s">
        <v>795</v>
      </c>
      <c r="G944" s="239" t="s">
        <v>933</v>
      </c>
      <c r="H944" s="239" t="s">
        <v>51</v>
      </c>
      <c r="I944" s="239" t="s">
        <v>2512</v>
      </c>
      <c r="J944" s="233"/>
      <c r="K944" s="235">
        <v>45939</v>
      </c>
      <c r="L944" s="233">
        <v>1.7</v>
      </c>
      <c r="M944" s="234" t="s">
        <v>933</v>
      </c>
      <c r="N944" s="234">
        <v>43140</v>
      </c>
      <c r="O944" s="234">
        <v>15940</v>
      </c>
      <c r="P944" s="242">
        <v>23</v>
      </c>
      <c r="Q944" s="234">
        <v>27200</v>
      </c>
      <c r="R944" s="234">
        <v>20944</v>
      </c>
      <c r="S944" s="234" t="s">
        <v>2817</v>
      </c>
      <c r="T944" s="236">
        <v>45940</v>
      </c>
    </row>
    <row r="945" spans="1:20" ht="38.25" hidden="1">
      <c r="A945" s="239" t="s">
        <v>2757</v>
      </c>
      <c r="B945" s="240">
        <v>2259</v>
      </c>
      <c r="C945" s="241">
        <v>8010</v>
      </c>
      <c r="D945" s="239" t="s">
        <v>2511</v>
      </c>
      <c r="E945" s="239" t="s">
        <v>841</v>
      </c>
      <c r="F945" s="239" t="s">
        <v>845</v>
      </c>
      <c r="G945" s="239" t="s">
        <v>933</v>
      </c>
      <c r="H945" s="239" t="s">
        <v>51</v>
      </c>
      <c r="I945" s="239" t="s">
        <v>2512</v>
      </c>
      <c r="J945" s="233"/>
      <c r="K945" s="235">
        <v>45939</v>
      </c>
      <c r="L945" s="233">
        <v>1.6</v>
      </c>
      <c r="M945" s="234" t="s">
        <v>933</v>
      </c>
      <c r="N945" s="234">
        <v>42450</v>
      </c>
      <c r="O945" s="234">
        <v>15720</v>
      </c>
      <c r="P945" s="242">
        <v>9</v>
      </c>
      <c r="Q945" s="234">
        <v>26730</v>
      </c>
      <c r="R945" s="234">
        <v>24324.3</v>
      </c>
      <c r="S945" s="234" t="s">
        <v>2818</v>
      </c>
      <c r="T945" s="236">
        <v>45940</v>
      </c>
    </row>
    <row r="946" spans="1:20" ht="38.25" hidden="1">
      <c r="A946" s="239" t="s">
        <v>2758</v>
      </c>
      <c r="B946" s="240">
        <v>2262</v>
      </c>
      <c r="C946" s="241">
        <v>8012</v>
      </c>
      <c r="D946" s="239" t="s">
        <v>2511</v>
      </c>
      <c r="E946" s="239" t="s">
        <v>786</v>
      </c>
      <c r="F946" s="239" t="s">
        <v>787</v>
      </c>
      <c r="G946" s="239" t="s">
        <v>933</v>
      </c>
      <c r="H946" s="239" t="s">
        <v>51</v>
      </c>
      <c r="I946" s="239" t="s">
        <v>2512</v>
      </c>
      <c r="J946" s="233"/>
      <c r="K946" s="235">
        <v>45939</v>
      </c>
      <c r="L946" s="233">
        <v>1.4</v>
      </c>
      <c r="M946" s="234" t="s">
        <v>933</v>
      </c>
      <c r="N946" s="234">
        <v>36100</v>
      </c>
      <c r="O946" s="234">
        <v>13800</v>
      </c>
      <c r="P946" s="242">
        <v>10</v>
      </c>
      <c r="Q946" s="234">
        <v>22300</v>
      </c>
      <c r="R946" s="234">
        <v>20070</v>
      </c>
      <c r="S946" s="234" t="s">
        <v>2819</v>
      </c>
      <c r="T946" s="236">
        <v>45940</v>
      </c>
    </row>
    <row r="947" spans="1:20" ht="38.25" hidden="1">
      <c r="A947" s="239" t="s">
        <v>2759</v>
      </c>
      <c r="B947" s="240">
        <v>2265</v>
      </c>
      <c r="C947" s="241">
        <v>8017</v>
      </c>
      <c r="D947" s="239" t="s">
        <v>2511</v>
      </c>
      <c r="E947" s="239" t="s">
        <v>783</v>
      </c>
      <c r="F947" s="239" t="s">
        <v>784</v>
      </c>
      <c r="G947" s="239" t="s">
        <v>933</v>
      </c>
      <c r="H947" s="239" t="s">
        <v>51</v>
      </c>
      <c r="I947" s="239" t="s">
        <v>2512</v>
      </c>
      <c r="J947" s="233"/>
      <c r="K947" s="235">
        <v>45940</v>
      </c>
      <c r="L947" s="233">
        <v>1.6</v>
      </c>
      <c r="M947" s="234" t="s">
        <v>933</v>
      </c>
      <c r="N947" s="234">
        <v>39530</v>
      </c>
      <c r="O947" s="234">
        <v>14450</v>
      </c>
      <c r="P947" s="242">
        <v>13</v>
      </c>
      <c r="Q947" s="234">
        <v>25080</v>
      </c>
      <c r="R947" s="234">
        <v>21819.599999999999</v>
      </c>
      <c r="S947" s="234" t="s">
        <v>2820</v>
      </c>
      <c r="T947" s="236">
        <v>45940</v>
      </c>
    </row>
    <row r="948" spans="1:20" ht="38.25" hidden="1">
      <c r="A948" s="239" t="s">
        <v>2760</v>
      </c>
      <c r="B948" s="240">
        <v>2266</v>
      </c>
      <c r="C948" s="241">
        <v>8019</v>
      </c>
      <c r="D948" s="239" t="s">
        <v>2511</v>
      </c>
      <c r="E948" s="239" t="s">
        <v>791</v>
      </c>
      <c r="F948" s="239" t="s">
        <v>792</v>
      </c>
      <c r="G948" s="239" t="s">
        <v>933</v>
      </c>
      <c r="H948" s="239" t="s">
        <v>51</v>
      </c>
      <c r="I948" s="239" t="s">
        <v>2512</v>
      </c>
      <c r="J948" s="233"/>
      <c r="K948" s="235">
        <v>45940</v>
      </c>
      <c r="L948" s="233">
        <v>1.6</v>
      </c>
      <c r="M948" s="234" t="s">
        <v>933</v>
      </c>
      <c r="N948" s="234">
        <v>40370</v>
      </c>
      <c r="O948" s="234">
        <v>14810</v>
      </c>
      <c r="P948" s="242">
        <v>6</v>
      </c>
      <c r="Q948" s="234">
        <v>25560</v>
      </c>
      <c r="R948" s="234">
        <v>24026.400000000001</v>
      </c>
      <c r="S948" s="234" t="s">
        <v>2821</v>
      </c>
      <c r="T948" s="236">
        <v>45940</v>
      </c>
    </row>
    <row r="949" spans="1:20" ht="38.25" hidden="1">
      <c r="A949" s="239" t="s">
        <v>2761</v>
      </c>
      <c r="B949" s="240">
        <v>2267</v>
      </c>
      <c r="C949" s="241">
        <v>8028</v>
      </c>
      <c r="D949" s="239" t="s">
        <v>2511</v>
      </c>
      <c r="E949" s="239" t="s">
        <v>1397</v>
      </c>
      <c r="F949" s="239" t="s">
        <v>1398</v>
      </c>
      <c r="G949" s="239" t="s">
        <v>933</v>
      </c>
      <c r="H949" s="239" t="s">
        <v>51</v>
      </c>
      <c r="I949" s="239" t="s">
        <v>2512</v>
      </c>
      <c r="J949" s="233"/>
      <c r="K949" s="235">
        <v>45940</v>
      </c>
      <c r="L949" s="233">
        <v>1.7</v>
      </c>
      <c r="M949" s="234" t="s">
        <v>933</v>
      </c>
      <c r="N949" s="234">
        <v>44620</v>
      </c>
      <c r="O949" s="234">
        <v>17090</v>
      </c>
      <c r="P949" s="242">
        <v>4</v>
      </c>
      <c r="Q949" s="234">
        <v>27530</v>
      </c>
      <c r="R949" s="234">
        <v>26428.799999999999</v>
      </c>
      <c r="S949" s="234" t="s">
        <v>2822</v>
      </c>
      <c r="T949" s="236">
        <v>45940</v>
      </c>
    </row>
    <row r="950" spans="1:20" ht="38.25" hidden="1">
      <c r="A950" s="239" t="s">
        <v>2762</v>
      </c>
      <c r="B950" s="240">
        <v>2269</v>
      </c>
      <c r="C950" s="241">
        <v>8029</v>
      </c>
      <c r="D950" s="239" t="s">
        <v>2511</v>
      </c>
      <c r="E950" s="239" t="s">
        <v>1403</v>
      </c>
      <c r="F950" s="239" t="s">
        <v>1404</v>
      </c>
      <c r="G950" s="239" t="s">
        <v>933</v>
      </c>
      <c r="H950" s="239" t="s">
        <v>51</v>
      </c>
      <c r="I950" s="239" t="s">
        <v>2512</v>
      </c>
      <c r="J950" s="233"/>
      <c r="K950" s="235">
        <v>45940</v>
      </c>
      <c r="L950" s="233">
        <v>1.6</v>
      </c>
      <c r="M950" s="234" t="s">
        <v>933</v>
      </c>
      <c r="N950" s="234">
        <v>39260</v>
      </c>
      <c r="O950" s="234">
        <v>15000</v>
      </c>
      <c r="P950" s="242">
        <v>15</v>
      </c>
      <c r="Q950" s="234">
        <v>24260</v>
      </c>
      <c r="R950" s="234">
        <v>20621</v>
      </c>
      <c r="S950" s="234" t="s">
        <v>2823</v>
      </c>
      <c r="T950" s="236">
        <v>45940</v>
      </c>
    </row>
    <row r="951" spans="1:20" ht="38.25" hidden="1">
      <c r="A951" s="239" t="s">
        <v>2763</v>
      </c>
      <c r="B951" s="240">
        <v>2270</v>
      </c>
      <c r="C951" s="241">
        <v>8030</v>
      </c>
      <c r="D951" s="239" t="s">
        <v>2511</v>
      </c>
      <c r="E951" s="239" t="s">
        <v>1400</v>
      </c>
      <c r="F951" s="239" t="s">
        <v>1401</v>
      </c>
      <c r="G951" s="239" t="s">
        <v>931</v>
      </c>
      <c r="H951" s="239" t="s">
        <v>51</v>
      </c>
      <c r="I951" s="239" t="s">
        <v>2512</v>
      </c>
      <c r="J951" s="233"/>
      <c r="K951" s="235">
        <v>45940</v>
      </c>
      <c r="L951" s="233">
        <v>1.3</v>
      </c>
      <c r="M951" s="234" t="s">
        <v>931</v>
      </c>
      <c r="N951" s="234">
        <v>37000</v>
      </c>
      <c r="O951" s="234">
        <v>14770</v>
      </c>
      <c r="P951" s="242">
        <v>12</v>
      </c>
      <c r="Q951" s="234">
        <v>22230</v>
      </c>
      <c r="R951" s="234">
        <v>19562.400000000001</v>
      </c>
      <c r="S951" s="234" t="s">
        <v>2824</v>
      </c>
      <c r="T951" s="236">
        <v>45940</v>
      </c>
    </row>
    <row r="952" spans="1:20" ht="38.25" hidden="1">
      <c r="A952" s="239" t="s">
        <v>2764</v>
      </c>
      <c r="B952" s="240">
        <v>2272</v>
      </c>
      <c r="C952" s="241">
        <v>8035</v>
      </c>
      <c r="D952" s="239" t="s">
        <v>2511</v>
      </c>
      <c r="E952" s="239" t="s">
        <v>462</v>
      </c>
      <c r="F952" s="239" t="s">
        <v>463</v>
      </c>
      <c r="G952" s="239" t="s">
        <v>931</v>
      </c>
      <c r="H952" s="239" t="s">
        <v>51</v>
      </c>
      <c r="I952" s="239" t="s">
        <v>2512</v>
      </c>
      <c r="J952" s="233"/>
      <c r="K952" s="235">
        <v>45940</v>
      </c>
      <c r="L952" s="233">
        <v>1.4</v>
      </c>
      <c r="M952" s="234" t="s">
        <v>931</v>
      </c>
      <c r="N952" s="234">
        <v>40260</v>
      </c>
      <c r="O952" s="234">
        <v>16390</v>
      </c>
      <c r="P952" s="242">
        <v>4</v>
      </c>
      <c r="Q952" s="234">
        <v>23870</v>
      </c>
      <c r="R952" s="234">
        <v>22915.200000000001</v>
      </c>
      <c r="S952" s="234" t="s">
        <v>2825</v>
      </c>
      <c r="T952" s="236">
        <v>45940</v>
      </c>
    </row>
    <row r="953" spans="1:20" ht="38.25" hidden="1">
      <c r="A953" s="239" t="s">
        <v>2765</v>
      </c>
      <c r="B953" s="240">
        <v>2273</v>
      </c>
      <c r="C953" s="241">
        <v>8036</v>
      </c>
      <c r="D953" s="239" t="s">
        <v>2511</v>
      </c>
      <c r="E953" s="239" t="s">
        <v>472</v>
      </c>
      <c r="F953" s="239" t="s">
        <v>473</v>
      </c>
      <c r="G953" s="239" t="s">
        <v>931</v>
      </c>
      <c r="H953" s="239" t="s">
        <v>51</v>
      </c>
      <c r="I953" s="239" t="s">
        <v>2512</v>
      </c>
      <c r="J953" s="233"/>
      <c r="K953" s="235">
        <v>45940</v>
      </c>
      <c r="L953" s="233">
        <v>1.4</v>
      </c>
      <c r="M953" s="234" t="s">
        <v>931</v>
      </c>
      <c r="N953" s="234">
        <v>41390</v>
      </c>
      <c r="O953" s="234">
        <v>16500</v>
      </c>
      <c r="P953" s="242">
        <v>7</v>
      </c>
      <c r="Q953" s="234">
        <v>24890</v>
      </c>
      <c r="R953" s="234">
        <v>23147.7</v>
      </c>
      <c r="S953" s="234" t="s">
        <v>2826</v>
      </c>
      <c r="T953" s="236">
        <v>45940</v>
      </c>
    </row>
    <row r="954" spans="1:20" ht="51" hidden="1">
      <c r="A954" s="239" t="s">
        <v>2766</v>
      </c>
      <c r="B954" s="240">
        <v>2276</v>
      </c>
      <c r="C954" s="241">
        <v>8037</v>
      </c>
      <c r="D954" s="239" t="s">
        <v>2511</v>
      </c>
      <c r="E954" s="239" t="s">
        <v>475</v>
      </c>
      <c r="F954" s="239" t="s">
        <v>476</v>
      </c>
      <c r="G954" s="239" t="s">
        <v>931</v>
      </c>
      <c r="H954" s="239" t="s">
        <v>51</v>
      </c>
      <c r="I954" s="239" t="s">
        <v>2512</v>
      </c>
      <c r="J954" s="233"/>
      <c r="K954" s="235">
        <v>45940</v>
      </c>
      <c r="L954" s="233">
        <v>1.4</v>
      </c>
      <c r="M954" s="234" t="s">
        <v>931</v>
      </c>
      <c r="N954" s="234">
        <v>40310</v>
      </c>
      <c r="O954" s="234">
        <v>16450</v>
      </c>
      <c r="P954" s="242">
        <v>8</v>
      </c>
      <c r="Q954" s="234">
        <v>23860</v>
      </c>
      <c r="R954" s="234">
        <v>21951.200000000001</v>
      </c>
      <c r="S954" s="234" t="s">
        <v>2827</v>
      </c>
      <c r="T954" s="236">
        <v>45940</v>
      </c>
    </row>
    <row r="955" spans="1:20" ht="38.25" hidden="1">
      <c r="A955" s="239" t="s">
        <v>2767</v>
      </c>
      <c r="B955" s="240">
        <v>2277</v>
      </c>
      <c r="C955" s="241">
        <v>8041</v>
      </c>
      <c r="D955" s="239" t="s">
        <v>2511</v>
      </c>
      <c r="E955" s="239" t="s">
        <v>429</v>
      </c>
      <c r="F955" s="239" t="s">
        <v>430</v>
      </c>
      <c r="G955" s="239" t="s">
        <v>931</v>
      </c>
      <c r="H955" s="239" t="s">
        <v>51</v>
      </c>
      <c r="I955" s="239" t="s">
        <v>2512</v>
      </c>
      <c r="J955" s="233"/>
      <c r="K955" s="235">
        <v>45940</v>
      </c>
      <c r="L955" s="233">
        <v>1.5</v>
      </c>
      <c r="M955" s="234" t="s">
        <v>931</v>
      </c>
      <c r="N955" s="234">
        <v>40760</v>
      </c>
      <c r="O955" s="234">
        <v>14360</v>
      </c>
      <c r="P955" s="242">
        <v>9</v>
      </c>
      <c r="Q955" s="234">
        <v>26400</v>
      </c>
      <c r="R955" s="234">
        <v>24024</v>
      </c>
      <c r="S955" s="234" t="s">
        <v>2828</v>
      </c>
      <c r="T955" s="236">
        <v>45940</v>
      </c>
    </row>
    <row r="956" spans="1:20" ht="38.25" hidden="1">
      <c r="A956" s="239" t="s">
        <v>2768</v>
      </c>
      <c r="B956" s="240">
        <v>2278</v>
      </c>
      <c r="C956" s="241">
        <v>8044</v>
      </c>
      <c r="D956" s="239" t="s">
        <v>2511</v>
      </c>
      <c r="E956" s="239" t="s">
        <v>420</v>
      </c>
      <c r="F956" s="239" t="s">
        <v>421</v>
      </c>
      <c r="G956" s="239" t="s">
        <v>931</v>
      </c>
      <c r="H956" s="239" t="s">
        <v>51</v>
      </c>
      <c r="I956" s="239" t="s">
        <v>2512</v>
      </c>
      <c r="J956" s="233"/>
      <c r="K956" s="235">
        <v>45940</v>
      </c>
      <c r="L956" s="233">
        <v>1.3</v>
      </c>
      <c r="M956" s="234" t="s">
        <v>931</v>
      </c>
      <c r="N956" s="234">
        <v>37080</v>
      </c>
      <c r="O956" s="234">
        <v>14970</v>
      </c>
      <c r="P956" s="242">
        <v>8</v>
      </c>
      <c r="Q956" s="234">
        <v>22110</v>
      </c>
      <c r="R956" s="234">
        <v>20341.2</v>
      </c>
      <c r="S956" s="234" t="s">
        <v>2829</v>
      </c>
      <c r="T956" s="236">
        <v>45941</v>
      </c>
    </row>
    <row r="957" spans="1:20" ht="38.25" hidden="1">
      <c r="A957" s="239" t="s">
        <v>2769</v>
      </c>
      <c r="B957" s="240">
        <v>2279</v>
      </c>
      <c r="C957" s="241">
        <v>8043</v>
      </c>
      <c r="D957" s="239" t="s">
        <v>2511</v>
      </c>
      <c r="E957" s="239" t="s">
        <v>416</v>
      </c>
      <c r="F957" s="239" t="s">
        <v>417</v>
      </c>
      <c r="G957" s="239" t="s">
        <v>931</v>
      </c>
      <c r="H957" s="239" t="s">
        <v>51</v>
      </c>
      <c r="I957" s="239" t="s">
        <v>2512</v>
      </c>
      <c r="J957" s="233"/>
      <c r="K957" s="235">
        <v>45940</v>
      </c>
      <c r="L957" s="233">
        <v>1.4</v>
      </c>
      <c r="M957" s="234" t="s">
        <v>931</v>
      </c>
      <c r="N957" s="234">
        <v>38710</v>
      </c>
      <c r="O957" s="234">
        <v>14800</v>
      </c>
      <c r="P957" s="242">
        <v>9</v>
      </c>
      <c r="Q957" s="234">
        <v>23910</v>
      </c>
      <c r="R957" s="234">
        <v>21758.1</v>
      </c>
      <c r="S957" s="234" t="s">
        <v>2830</v>
      </c>
      <c r="T957" s="236">
        <v>45941</v>
      </c>
    </row>
    <row r="958" spans="1:20" ht="38.25" hidden="1">
      <c r="A958" s="239" t="s">
        <v>2770</v>
      </c>
      <c r="B958" s="240">
        <v>2280</v>
      </c>
      <c r="C958" s="241">
        <v>8046</v>
      </c>
      <c r="D958" s="239" t="s">
        <v>2511</v>
      </c>
      <c r="E958" s="239" t="s">
        <v>413</v>
      </c>
      <c r="F958" s="239" t="s">
        <v>414</v>
      </c>
      <c r="G958" s="239" t="s">
        <v>931</v>
      </c>
      <c r="H958" s="239" t="s">
        <v>51</v>
      </c>
      <c r="I958" s="239" t="s">
        <v>2512</v>
      </c>
      <c r="J958" s="233"/>
      <c r="K958" s="235">
        <v>45940</v>
      </c>
      <c r="L958" s="233">
        <v>1.6</v>
      </c>
      <c r="M958" s="234" t="s">
        <v>931</v>
      </c>
      <c r="N958" s="234">
        <v>43140</v>
      </c>
      <c r="O958" s="234">
        <v>14990</v>
      </c>
      <c r="P958" s="242">
        <v>6</v>
      </c>
      <c r="Q958" s="234">
        <v>28150</v>
      </c>
      <c r="R958" s="234">
        <v>26461</v>
      </c>
      <c r="S958" s="234" t="s">
        <v>2831</v>
      </c>
      <c r="T958" s="236">
        <v>45941</v>
      </c>
    </row>
    <row r="959" spans="1:20" ht="51" hidden="1">
      <c r="A959" s="239" t="s">
        <v>2771</v>
      </c>
      <c r="B959" s="240">
        <v>2281</v>
      </c>
      <c r="C959" s="241">
        <v>8055</v>
      </c>
      <c r="D959" s="239" t="s">
        <v>2511</v>
      </c>
      <c r="E959" s="239" t="s">
        <v>1410</v>
      </c>
      <c r="F959" s="239" t="s">
        <v>437</v>
      </c>
      <c r="G959" s="239" t="s">
        <v>931</v>
      </c>
      <c r="H959" s="239" t="s">
        <v>51</v>
      </c>
      <c r="I959" s="239" t="s">
        <v>2512</v>
      </c>
      <c r="J959" s="233"/>
      <c r="K959" s="235">
        <v>45940</v>
      </c>
      <c r="L959" s="233">
        <v>1.5</v>
      </c>
      <c r="M959" s="234" t="s">
        <v>931</v>
      </c>
      <c r="N959" s="234">
        <v>41040</v>
      </c>
      <c r="O959" s="234">
        <v>14840</v>
      </c>
      <c r="P959" s="242">
        <v>5</v>
      </c>
      <c r="Q959" s="234">
        <v>26200</v>
      </c>
      <c r="R959" s="234">
        <v>24890</v>
      </c>
      <c r="S959" s="234" t="s">
        <v>2832</v>
      </c>
      <c r="T959" s="236">
        <v>45941</v>
      </c>
    </row>
    <row r="960" spans="1:20" ht="38.25" hidden="1">
      <c r="A960" s="239" t="s">
        <v>2772</v>
      </c>
      <c r="B960" s="240">
        <v>2282</v>
      </c>
      <c r="C960" s="241">
        <v>8054</v>
      </c>
      <c r="D960" s="239" t="s">
        <v>2511</v>
      </c>
      <c r="E960" s="239" t="s">
        <v>439</v>
      </c>
      <c r="F960" s="239" t="s">
        <v>440</v>
      </c>
      <c r="G960" s="239" t="s">
        <v>931</v>
      </c>
      <c r="H960" s="239" t="s">
        <v>51</v>
      </c>
      <c r="I960" s="239" t="s">
        <v>2512</v>
      </c>
      <c r="J960" s="233"/>
      <c r="K960" s="235">
        <v>45940</v>
      </c>
      <c r="L960" s="233">
        <v>1.7</v>
      </c>
      <c r="M960" s="234" t="s">
        <v>931</v>
      </c>
      <c r="N960" s="234">
        <v>43820</v>
      </c>
      <c r="O960" s="234">
        <v>15060</v>
      </c>
      <c r="P960" s="242">
        <v>8</v>
      </c>
      <c r="Q960" s="234">
        <v>28760</v>
      </c>
      <c r="R960" s="234">
        <v>26459.200000000001</v>
      </c>
      <c r="S960" s="234" t="s">
        <v>2833</v>
      </c>
      <c r="T960" s="236">
        <v>45941</v>
      </c>
    </row>
    <row r="961" spans="1:20" ht="38.25" hidden="1">
      <c r="A961" s="239" t="s">
        <v>2773</v>
      </c>
      <c r="B961" s="240">
        <v>2283</v>
      </c>
      <c r="C961" s="241">
        <v>8069</v>
      </c>
      <c r="D961" s="239" t="s">
        <v>2511</v>
      </c>
      <c r="E961" s="239" t="s">
        <v>406</v>
      </c>
      <c r="F961" s="239" t="s">
        <v>407</v>
      </c>
      <c r="G961" s="239" t="s">
        <v>931</v>
      </c>
      <c r="H961" s="239" t="s">
        <v>51</v>
      </c>
      <c r="I961" s="239" t="s">
        <v>2512</v>
      </c>
      <c r="J961" s="233"/>
      <c r="K961" s="235">
        <v>45940</v>
      </c>
      <c r="L961" s="233">
        <v>1.4</v>
      </c>
      <c r="M961" s="234" t="s">
        <v>931</v>
      </c>
      <c r="N961" s="234">
        <v>39210</v>
      </c>
      <c r="O961" s="234">
        <v>15130</v>
      </c>
      <c r="P961" s="242">
        <v>11</v>
      </c>
      <c r="Q961" s="234">
        <v>24080</v>
      </c>
      <c r="R961" s="234">
        <v>21431.200000000001</v>
      </c>
      <c r="S961" s="234" t="s">
        <v>2834</v>
      </c>
      <c r="T961" s="236">
        <v>45941</v>
      </c>
    </row>
    <row r="962" spans="1:20" ht="38.25" hidden="1">
      <c r="A962" s="239" t="s">
        <v>2774</v>
      </c>
      <c r="B962" s="240">
        <v>2285</v>
      </c>
      <c r="C962" s="241">
        <v>8059</v>
      </c>
      <c r="D962" s="239" t="s">
        <v>2511</v>
      </c>
      <c r="E962" s="239" t="s">
        <v>388</v>
      </c>
      <c r="F962" s="239" t="s">
        <v>389</v>
      </c>
      <c r="G962" s="239" t="s">
        <v>931</v>
      </c>
      <c r="H962" s="239" t="s">
        <v>51</v>
      </c>
      <c r="I962" s="239" t="s">
        <v>2512</v>
      </c>
      <c r="J962" s="233"/>
      <c r="K962" s="235">
        <v>45940</v>
      </c>
      <c r="L962" s="233">
        <v>2.4</v>
      </c>
      <c r="M962" s="234" t="s">
        <v>931</v>
      </c>
      <c r="N962" s="234">
        <v>62730</v>
      </c>
      <c r="O962" s="234">
        <v>21170</v>
      </c>
      <c r="P962" s="242">
        <v>8</v>
      </c>
      <c r="Q962" s="234">
        <v>41560</v>
      </c>
      <c r="R962" s="234">
        <v>38235.199999999997</v>
      </c>
      <c r="S962" s="234" t="s">
        <v>2835</v>
      </c>
      <c r="T962" s="236">
        <v>45941</v>
      </c>
    </row>
    <row r="963" spans="1:20" ht="38.25" hidden="1">
      <c r="A963" s="239" t="s">
        <v>2775</v>
      </c>
      <c r="B963" s="240">
        <v>2286</v>
      </c>
      <c r="C963" s="241">
        <v>8072</v>
      </c>
      <c r="D963" s="239" t="s">
        <v>2511</v>
      </c>
      <c r="E963" s="239" t="s">
        <v>372</v>
      </c>
      <c r="F963" s="239" t="s">
        <v>373</v>
      </c>
      <c r="G963" s="239" t="s">
        <v>931</v>
      </c>
      <c r="H963" s="239" t="s">
        <v>51</v>
      </c>
      <c r="I963" s="239" t="s">
        <v>2512</v>
      </c>
      <c r="J963" s="233"/>
      <c r="K963" s="235">
        <v>45940</v>
      </c>
      <c r="L963" s="233">
        <v>1.4</v>
      </c>
      <c r="M963" s="234" t="s">
        <v>931</v>
      </c>
      <c r="N963" s="234">
        <v>38730</v>
      </c>
      <c r="O963" s="234">
        <v>14950</v>
      </c>
      <c r="P963" s="242">
        <v>9</v>
      </c>
      <c r="Q963" s="234">
        <v>23780</v>
      </c>
      <c r="R963" s="234">
        <v>21639.8</v>
      </c>
      <c r="S963" s="234" t="s">
        <v>2836</v>
      </c>
      <c r="T963" s="236">
        <v>45941</v>
      </c>
    </row>
    <row r="964" spans="1:20" ht="38.25" hidden="1">
      <c r="A964" s="239" t="s">
        <v>2776</v>
      </c>
      <c r="B964" s="240">
        <v>2289</v>
      </c>
      <c r="C964" s="241">
        <v>8073</v>
      </c>
      <c r="D964" s="239" t="s">
        <v>2511</v>
      </c>
      <c r="E964" s="239" t="s">
        <v>858</v>
      </c>
      <c r="F964" s="239" t="s">
        <v>859</v>
      </c>
      <c r="G964" s="239" t="s">
        <v>931</v>
      </c>
      <c r="H964" s="239" t="s">
        <v>51</v>
      </c>
      <c r="I964" s="239" t="s">
        <v>2512</v>
      </c>
      <c r="J964" s="233"/>
      <c r="K964" s="235">
        <v>45941</v>
      </c>
      <c r="L964" s="233">
        <v>1.7</v>
      </c>
      <c r="M964" s="234" t="s">
        <v>931</v>
      </c>
      <c r="N964" s="234">
        <v>39790</v>
      </c>
      <c r="O964" s="234">
        <v>14850</v>
      </c>
      <c r="P964" s="242">
        <v>7</v>
      </c>
      <c r="Q964" s="234">
        <v>24940</v>
      </c>
      <c r="R964" s="234">
        <v>23194.2</v>
      </c>
      <c r="S964" s="234" t="s">
        <v>2837</v>
      </c>
      <c r="T964" s="236">
        <v>45941</v>
      </c>
    </row>
    <row r="965" spans="1:20" ht="38.25" hidden="1">
      <c r="A965" s="239" t="s">
        <v>2777</v>
      </c>
      <c r="B965" s="240">
        <v>2291</v>
      </c>
      <c r="C965" s="241">
        <v>8076</v>
      </c>
      <c r="D965" s="239" t="s">
        <v>2511</v>
      </c>
      <c r="E965" s="239" t="s">
        <v>447</v>
      </c>
      <c r="F965" s="239" t="s">
        <v>448</v>
      </c>
      <c r="G965" s="239" t="s">
        <v>931</v>
      </c>
      <c r="H965" s="239" t="s">
        <v>51</v>
      </c>
      <c r="I965" s="239" t="s">
        <v>2512</v>
      </c>
      <c r="J965" s="233"/>
      <c r="K965" s="235">
        <v>45941</v>
      </c>
      <c r="L965" s="233">
        <v>2.2000000000000002</v>
      </c>
      <c r="M965" s="234" t="s">
        <v>931</v>
      </c>
      <c r="N965" s="234">
        <v>50680</v>
      </c>
      <c r="O965" s="234">
        <v>19290</v>
      </c>
      <c r="P965" s="242">
        <v>7</v>
      </c>
      <c r="Q965" s="234">
        <v>31390</v>
      </c>
      <c r="R965" s="234">
        <v>29192.7</v>
      </c>
      <c r="S965" s="234" t="s">
        <v>2838</v>
      </c>
      <c r="T965" s="236">
        <v>45941</v>
      </c>
    </row>
    <row r="966" spans="1:20" ht="38.25" hidden="1">
      <c r="A966" s="239" t="s">
        <v>2778</v>
      </c>
      <c r="B966" s="240">
        <v>2294</v>
      </c>
      <c r="C966" s="241">
        <v>8083</v>
      </c>
      <c r="D966" s="239" t="s">
        <v>2511</v>
      </c>
      <c r="E966" s="239" t="s">
        <v>432</v>
      </c>
      <c r="F966" s="239" t="s">
        <v>433</v>
      </c>
      <c r="G966" s="239" t="s">
        <v>931</v>
      </c>
      <c r="H966" s="239" t="s">
        <v>51</v>
      </c>
      <c r="I966" s="239" t="s">
        <v>2512</v>
      </c>
      <c r="J966" s="233"/>
      <c r="K966" s="235">
        <v>45941</v>
      </c>
      <c r="L966" s="233">
        <v>2</v>
      </c>
      <c r="M966" s="234" t="s">
        <v>931</v>
      </c>
      <c r="N966" s="234">
        <v>43880</v>
      </c>
      <c r="O966" s="234">
        <v>15650</v>
      </c>
      <c r="P966" s="242">
        <v>8</v>
      </c>
      <c r="Q966" s="234">
        <v>28230</v>
      </c>
      <c r="R966" s="234">
        <v>25971.599999999999</v>
      </c>
      <c r="S966" s="234" t="s">
        <v>2839</v>
      </c>
      <c r="T966" s="236">
        <v>45941</v>
      </c>
    </row>
    <row r="967" spans="1:20" ht="38.25" hidden="1">
      <c r="A967" s="239" t="s">
        <v>2782</v>
      </c>
      <c r="B967" s="240">
        <v>2296</v>
      </c>
      <c r="C967" s="241">
        <v>8085</v>
      </c>
      <c r="D967" s="239" t="s">
        <v>2511</v>
      </c>
      <c r="E967" s="239" t="s">
        <v>453</v>
      </c>
      <c r="F967" s="239" t="s">
        <v>454</v>
      </c>
      <c r="G967" s="239" t="s">
        <v>931</v>
      </c>
      <c r="H967" s="239" t="s">
        <v>51</v>
      </c>
      <c r="I967" s="239" t="s">
        <v>2512</v>
      </c>
      <c r="J967" s="233"/>
      <c r="K967" s="235">
        <v>45941</v>
      </c>
      <c r="L967" s="233">
        <v>2.9</v>
      </c>
      <c r="M967" s="234" t="s">
        <v>931</v>
      </c>
      <c r="N967" s="234">
        <v>65180</v>
      </c>
      <c r="O967" s="234">
        <v>24450</v>
      </c>
      <c r="P967" s="242">
        <v>6</v>
      </c>
      <c r="Q967" s="234">
        <v>40730</v>
      </c>
      <c r="R967" s="234">
        <v>38286.199999999997</v>
      </c>
      <c r="S967" s="234" t="s">
        <v>2843</v>
      </c>
      <c r="T967" s="236">
        <v>45941</v>
      </c>
    </row>
    <row r="968" spans="1:20" ht="38.25" hidden="1">
      <c r="A968" s="239" t="s">
        <v>2783</v>
      </c>
      <c r="B968" s="240">
        <v>2297</v>
      </c>
      <c r="C968" s="241">
        <v>8086</v>
      </c>
      <c r="D968" s="239" t="s">
        <v>2511</v>
      </c>
      <c r="E968" s="239" t="s">
        <v>456</v>
      </c>
      <c r="F968" s="239" t="s">
        <v>457</v>
      </c>
      <c r="G968" s="239" t="s">
        <v>931</v>
      </c>
      <c r="H968" s="239" t="s">
        <v>51</v>
      </c>
      <c r="I968" s="239" t="s">
        <v>2512</v>
      </c>
      <c r="J968" s="233"/>
      <c r="K968" s="235">
        <v>45941</v>
      </c>
      <c r="L968" s="233">
        <v>2.1</v>
      </c>
      <c r="M968" s="234" t="s">
        <v>931</v>
      </c>
      <c r="N968" s="234">
        <v>45260</v>
      </c>
      <c r="O968" s="234">
        <v>15650</v>
      </c>
      <c r="P968" s="242">
        <v>7</v>
      </c>
      <c r="Q968" s="234">
        <v>29610</v>
      </c>
      <c r="R968" s="234">
        <v>27537.3</v>
      </c>
      <c r="S968" s="234" t="s">
        <v>2844</v>
      </c>
      <c r="T968" s="236">
        <v>45941</v>
      </c>
    </row>
    <row r="969" spans="1:20" ht="38.25" hidden="1">
      <c r="A969" s="239" t="s">
        <v>2786</v>
      </c>
      <c r="B969" s="240">
        <v>2299</v>
      </c>
      <c r="C969" s="241">
        <v>4</v>
      </c>
      <c r="D969" s="239" t="s">
        <v>2482</v>
      </c>
      <c r="E969" s="239" t="s">
        <v>384</v>
      </c>
      <c r="F969" s="239" t="s">
        <v>385</v>
      </c>
      <c r="G969" s="239" t="s">
        <v>960</v>
      </c>
      <c r="H969" s="239" t="s">
        <v>51</v>
      </c>
      <c r="I969" s="239" t="s">
        <v>2465</v>
      </c>
      <c r="J969" s="233">
        <f>Таблица24[[#This Row],[Вес нетто]]</f>
        <v>22760</v>
      </c>
      <c r="K969" s="235">
        <v>45941</v>
      </c>
      <c r="L969" s="233">
        <v>2.7</v>
      </c>
      <c r="M969" s="234" t="s">
        <v>2709</v>
      </c>
      <c r="N969" s="234">
        <v>36750</v>
      </c>
      <c r="O969" s="234">
        <v>13990</v>
      </c>
      <c r="P969" s="242">
        <v>7</v>
      </c>
      <c r="Q969" s="234">
        <v>22760</v>
      </c>
      <c r="R969" s="234">
        <v>21166.799999999999</v>
      </c>
      <c r="S969" s="234" t="s">
        <v>2847</v>
      </c>
      <c r="T969" s="236">
        <v>45941</v>
      </c>
    </row>
    <row r="970" spans="1:20" ht="38.25" hidden="1">
      <c r="A970" s="239" t="s">
        <v>2787</v>
      </c>
      <c r="B970" s="240">
        <v>2298</v>
      </c>
      <c r="C970" s="241">
        <v>2</v>
      </c>
      <c r="D970" s="239" t="s">
        <v>2482</v>
      </c>
      <c r="E970" s="239" t="s">
        <v>406</v>
      </c>
      <c r="F970" s="239" t="s">
        <v>407</v>
      </c>
      <c r="G970" s="239" t="s">
        <v>960</v>
      </c>
      <c r="H970" s="239" t="s">
        <v>51</v>
      </c>
      <c r="I970" s="239" t="s">
        <v>2465</v>
      </c>
      <c r="J970" s="233">
        <f>Таблица24[[#This Row],[Вес нетто]]</f>
        <v>24230</v>
      </c>
      <c r="K970" s="235">
        <v>45941</v>
      </c>
      <c r="L970" s="233">
        <v>2.9</v>
      </c>
      <c r="M970" s="234" t="s">
        <v>2709</v>
      </c>
      <c r="N970" s="234">
        <v>39250</v>
      </c>
      <c r="O970" s="234">
        <v>15020</v>
      </c>
      <c r="P970" s="242">
        <v>9</v>
      </c>
      <c r="Q970" s="234">
        <v>24230</v>
      </c>
      <c r="R970" s="234">
        <v>22049.3</v>
      </c>
      <c r="S970" s="234" t="s">
        <v>2848</v>
      </c>
      <c r="T970" s="236">
        <v>45941</v>
      </c>
    </row>
    <row r="971" spans="1:20" ht="38.25" hidden="1">
      <c r="A971" s="239" t="s">
        <v>2788</v>
      </c>
      <c r="B971" s="240">
        <v>2300</v>
      </c>
      <c r="C971" s="241">
        <v>3</v>
      </c>
      <c r="D971" s="239" t="s">
        <v>2482</v>
      </c>
      <c r="E971" s="239" t="s">
        <v>410</v>
      </c>
      <c r="F971" s="239" t="s">
        <v>411</v>
      </c>
      <c r="G971" s="239" t="s">
        <v>960</v>
      </c>
      <c r="H971" s="239" t="s">
        <v>51</v>
      </c>
      <c r="I971" s="239" t="s">
        <v>2465</v>
      </c>
      <c r="J971" s="233">
        <f>Таблица24[[#This Row],[Вес нетто]]</f>
        <v>25000</v>
      </c>
      <c r="K971" s="235">
        <v>45941</v>
      </c>
      <c r="L971" s="233">
        <v>3</v>
      </c>
      <c r="M971" s="234" t="s">
        <v>2709</v>
      </c>
      <c r="N971" s="234">
        <v>40230</v>
      </c>
      <c r="O971" s="234">
        <v>15230</v>
      </c>
      <c r="P971" s="242">
        <v>8</v>
      </c>
      <c r="Q971" s="234">
        <v>25000</v>
      </c>
      <c r="R971" s="234">
        <v>23000</v>
      </c>
      <c r="S971" s="234" t="s">
        <v>2849</v>
      </c>
      <c r="T971" s="236">
        <v>45941</v>
      </c>
    </row>
    <row r="972" spans="1:20" ht="38.25" hidden="1">
      <c r="A972" s="239" t="s">
        <v>2779</v>
      </c>
      <c r="B972" s="240">
        <v>2301</v>
      </c>
      <c r="C972" s="241">
        <v>8093</v>
      </c>
      <c r="D972" s="239" t="s">
        <v>2511</v>
      </c>
      <c r="E972" s="239" t="s">
        <v>374</v>
      </c>
      <c r="F972" s="239" t="s">
        <v>375</v>
      </c>
      <c r="G972" s="239" t="s">
        <v>931</v>
      </c>
      <c r="H972" s="239" t="s">
        <v>51</v>
      </c>
      <c r="I972" s="239" t="s">
        <v>2512</v>
      </c>
      <c r="J972" s="233"/>
      <c r="K972" s="235">
        <v>45941</v>
      </c>
      <c r="L972" s="233">
        <v>1.7</v>
      </c>
      <c r="M972" s="234" t="s">
        <v>931</v>
      </c>
      <c r="N972" s="234">
        <v>40130</v>
      </c>
      <c r="O972" s="234">
        <v>15580</v>
      </c>
      <c r="P972" s="242">
        <v>8</v>
      </c>
      <c r="Q972" s="234">
        <v>24550</v>
      </c>
      <c r="R972" s="234">
        <v>22586</v>
      </c>
      <c r="S972" s="234" t="s">
        <v>2840</v>
      </c>
      <c r="T972" s="236">
        <v>45941</v>
      </c>
    </row>
    <row r="973" spans="1:20" ht="38.25" hidden="1">
      <c r="A973" s="239" t="s">
        <v>2780</v>
      </c>
      <c r="B973" s="240">
        <v>2302</v>
      </c>
      <c r="C973" s="241">
        <v>1</v>
      </c>
      <c r="D973" s="239" t="s">
        <v>2482</v>
      </c>
      <c r="E973" s="239" t="s">
        <v>372</v>
      </c>
      <c r="F973" s="239" t="s">
        <v>373</v>
      </c>
      <c r="G973" s="239" t="s">
        <v>960</v>
      </c>
      <c r="H973" s="239" t="s">
        <v>51</v>
      </c>
      <c r="I973" s="239" t="s">
        <v>2465</v>
      </c>
      <c r="J973" s="233">
        <f>Таблица24[[#This Row],[Вес нетто]]</f>
        <v>23580</v>
      </c>
      <c r="K973" s="235">
        <v>45941</v>
      </c>
      <c r="L973" s="233">
        <v>2.8</v>
      </c>
      <c r="M973" s="234" t="s">
        <v>2709</v>
      </c>
      <c r="N973" s="234">
        <v>38700</v>
      </c>
      <c r="O973" s="234">
        <v>15120</v>
      </c>
      <c r="P973" s="242">
        <v>7</v>
      </c>
      <c r="Q973" s="234">
        <v>23580</v>
      </c>
      <c r="R973" s="234">
        <v>21929.4</v>
      </c>
      <c r="S973" s="234" t="s">
        <v>2841</v>
      </c>
      <c r="T973" s="236">
        <v>45941</v>
      </c>
    </row>
    <row r="974" spans="1:20" ht="38.25" hidden="1">
      <c r="A974" s="239" t="s">
        <v>2790</v>
      </c>
      <c r="B974" s="240">
        <v>2313</v>
      </c>
      <c r="C974" s="241">
        <v>7</v>
      </c>
      <c r="D974" s="239" t="s">
        <v>2482</v>
      </c>
      <c r="E974" s="239" t="s">
        <v>858</v>
      </c>
      <c r="F974" s="239" t="s">
        <v>859</v>
      </c>
      <c r="G974" s="239"/>
      <c r="H974" s="239" t="s">
        <v>51</v>
      </c>
      <c r="I974" s="239" t="s">
        <v>2465</v>
      </c>
      <c r="J974" s="233">
        <f>Таблица24[[#This Row],[Вес нетто]]</f>
        <v>7120</v>
      </c>
      <c r="K974" s="235">
        <v>45941</v>
      </c>
      <c r="L974" s="233">
        <v>0.9</v>
      </c>
      <c r="M974" s="234" t="s">
        <v>2709</v>
      </c>
      <c r="N974" s="234">
        <v>21960</v>
      </c>
      <c r="O974" s="234">
        <v>14840</v>
      </c>
      <c r="P974" s="242">
        <v>21</v>
      </c>
      <c r="Q974" s="234">
        <v>7120</v>
      </c>
      <c r="R974" s="234">
        <v>5624.8</v>
      </c>
      <c r="S974" s="234" t="s">
        <v>2851</v>
      </c>
      <c r="T974" s="236">
        <v>45942</v>
      </c>
    </row>
    <row r="975" spans="1:20" ht="38.25" hidden="1">
      <c r="A975" s="239" t="s">
        <v>2784</v>
      </c>
      <c r="B975" s="240">
        <v>2305</v>
      </c>
      <c r="C975" s="241">
        <v>3</v>
      </c>
      <c r="D975" s="239" t="s">
        <v>2482</v>
      </c>
      <c r="E975" s="239" t="s">
        <v>2053</v>
      </c>
      <c r="F975" s="239" t="s">
        <v>2054</v>
      </c>
      <c r="G975" s="239" t="s">
        <v>960</v>
      </c>
      <c r="H975" s="239" t="s">
        <v>51</v>
      </c>
      <c r="I975" s="239" t="s">
        <v>2465</v>
      </c>
      <c r="J975" s="233">
        <f>Таблица24[[#This Row],[Вес нетто]]</f>
        <v>16830</v>
      </c>
      <c r="K975" s="235">
        <v>45941</v>
      </c>
      <c r="L975" s="233">
        <v>2</v>
      </c>
      <c r="M975" s="234" t="s">
        <v>2709</v>
      </c>
      <c r="N975" s="234">
        <v>31230</v>
      </c>
      <c r="O975" s="234">
        <v>14400</v>
      </c>
      <c r="P975" s="242">
        <v>7</v>
      </c>
      <c r="Q975" s="234">
        <v>16830</v>
      </c>
      <c r="R975" s="234">
        <v>15651.9</v>
      </c>
      <c r="S975" s="234" t="s">
        <v>2845</v>
      </c>
      <c r="T975" s="236">
        <v>45941</v>
      </c>
    </row>
    <row r="976" spans="1:20" ht="38.25" hidden="1">
      <c r="A976" s="239" t="s">
        <v>2785</v>
      </c>
      <c r="B976" s="240">
        <v>2306</v>
      </c>
      <c r="C976" s="241">
        <v>2</v>
      </c>
      <c r="D976" s="239" t="s">
        <v>2482</v>
      </c>
      <c r="E976" s="239" t="s">
        <v>1978</v>
      </c>
      <c r="F976" s="239" t="s">
        <v>1979</v>
      </c>
      <c r="G976" s="239" t="s">
        <v>960</v>
      </c>
      <c r="H976" s="239" t="s">
        <v>51</v>
      </c>
      <c r="I976" s="239" t="s">
        <v>2465</v>
      </c>
      <c r="J976" s="233">
        <f>Таблица24[[#This Row],[Вес нетто]]</f>
        <v>9620</v>
      </c>
      <c r="K976" s="235">
        <v>45941</v>
      </c>
      <c r="L976" s="233">
        <v>1.2</v>
      </c>
      <c r="M976" s="234" t="s">
        <v>2709</v>
      </c>
      <c r="N976" s="234">
        <v>19190</v>
      </c>
      <c r="O976" s="234">
        <v>9570</v>
      </c>
      <c r="P976" s="242">
        <v>10</v>
      </c>
      <c r="Q976" s="234">
        <v>9620</v>
      </c>
      <c r="R976" s="234">
        <v>8658</v>
      </c>
      <c r="S976" s="234" t="s">
        <v>2846</v>
      </c>
      <c r="T976" s="236">
        <v>45941</v>
      </c>
    </row>
    <row r="977" spans="1:16368" ht="38.25" hidden="1">
      <c r="A977" s="239" t="s">
        <v>2789</v>
      </c>
      <c r="B977" s="240">
        <v>2307</v>
      </c>
      <c r="C977" s="241">
        <v>8091</v>
      </c>
      <c r="D977" s="239" t="s">
        <v>2511</v>
      </c>
      <c r="E977" s="239" t="s">
        <v>403</v>
      </c>
      <c r="F977" s="239" t="s">
        <v>404</v>
      </c>
      <c r="G977" s="239" t="s">
        <v>931</v>
      </c>
      <c r="H977" s="239" t="s">
        <v>51</v>
      </c>
      <c r="I977" s="239" t="s">
        <v>2512</v>
      </c>
      <c r="J977" s="233"/>
      <c r="K977" s="235">
        <v>45941</v>
      </c>
      <c r="L977" s="233">
        <v>1.7</v>
      </c>
      <c r="M977" s="234" t="s">
        <v>931</v>
      </c>
      <c r="N977" s="234">
        <v>38350</v>
      </c>
      <c r="O977" s="234">
        <v>14520</v>
      </c>
      <c r="P977" s="242">
        <v>14</v>
      </c>
      <c r="Q977" s="234">
        <v>23830</v>
      </c>
      <c r="R977" s="234">
        <v>20493.8</v>
      </c>
      <c r="S977" s="234" t="s">
        <v>2850</v>
      </c>
      <c r="T977" s="236">
        <v>45941</v>
      </c>
    </row>
    <row r="978" spans="1:16368" ht="38.25" hidden="1">
      <c r="A978" s="239" t="s">
        <v>2791</v>
      </c>
      <c r="B978" s="240">
        <v>2309</v>
      </c>
      <c r="C978" s="241">
        <v>9444</v>
      </c>
      <c r="D978" s="239" t="s">
        <v>2511</v>
      </c>
      <c r="E978" s="239" t="s">
        <v>425</v>
      </c>
      <c r="F978" s="239" t="s">
        <v>426</v>
      </c>
      <c r="G978" s="239" t="s">
        <v>931</v>
      </c>
      <c r="H978" s="239" t="s">
        <v>51</v>
      </c>
      <c r="I978" s="239" t="s">
        <v>2512</v>
      </c>
      <c r="J978" s="233"/>
      <c r="K978" s="235">
        <v>45941</v>
      </c>
      <c r="L978" s="233">
        <v>2.2000000000000002</v>
      </c>
      <c r="M978" s="234" t="s">
        <v>931</v>
      </c>
      <c r="N978" s="234">
        <v>50600</v>
      </c>
      <c r="O978" s="234">
        <v>18710</v>
      </c>
      <c r="P978" s="242">
        <v>12</v>
      </c>
      <c r="Q978" s="234">
        <v>31890</v>
      </c>
      <c r="R978" s="234">
        <v>28063.200000000001</v>
      </c>
      <c r="S978" s="234" t="s">
        <v>2852</v>
      </c>
      <c r="T978" s="236">
        <v>45942</v>
      </c>
      <c r="U978" s="242"/>
      <c r="V978" s="234"/>
      <c r="W978" s="234"/>
      <c r="X978" s="234"/>
      <c r="Y978" s="236"/>
      <c r="Z978" s="244"/>
      <c r="AA978" s="239"/>
      <c r="AB978" s="240"/>
      <c r="AC978" s="241"/>
      <c r="AD978" s="239"/>
      <c r="AE978" s="239"/>
      <c r="AF978" s="239"/>
      <c r="AG978" s="239"/>
      <c r="AH978" s="239"/>
      <c r="AI978" s="239"/>
      <c r="AJ978" s="233"/>
      <c r="AK978" s="235"/>
      <c r="AL978" s="233"/>
      <c r="AM978" s="233"/>
      <c r="AN978" s="234"/>
      <c r="AO978" s="234"/>
      <c r="AP978" s="242"/>
      <c r="AQ978" s="234"/>
      <c r="AR978" s="234"/>
      <c r="AS978" s="234"/>
      <c r="AT978" s="236"/>
      <c r="AU978" s="244"/>
      <c r="AV978" s="239"/>
      <c r="AW978" s="240"/>
      <c r="AX978" s="241"/>
      <c r="AY978" s="239"/>
      <c r="AZ978" s="239"/>
      <c r="BA978" s="239"/>
      <c r="BB978" s="239"/>
      <c r="BC978" s="239"/>
      <c r="BD978" s="239"/>
      <c r="BE978" s="233"/>
      <c r="BF978" s="235"/>
      <c r="BG978" s="233"/>
      <c r="BH978" s="233"/>
      <c r="BI978" s="234"/>
      <c r="BJ978" s="234"/>
      <c r="BK978" s="242"/>
      <c r="BL978" s="234"/>
      <c r="BM978" s="234"/>
      <c r="BN978" s="234"/>
      <c r="BO978" s="236"/>
      <c r="BP978" s="244"/>
      <c r="BQ978" s="239"/>
      <c r="BR978" s="240"/>
      <c r="BS978" s="241"/>
      <c r="BT978" s="239"/>
      <c r="BU978" s="239"/>
      <c r="BV978" s="239"/>
      <c r="BW978" s="239"/>
      <c r="BX978" s="239"/>
      <c r="BY978" s="239"/>
      <c r="BZ978" s="233"/>
      <c r="CA978" s="235"/>
      <c r="CB978" s="233"/>
      <c r="CC978" s="233"/>
      <c r="CD978" s="234"/>
      <c r="CE978" s="234"/>
      <c r="CF978" s="242"/>
      <c r="CG978" s="234"/>
      <c r="CH978" s="234"/>
      <c r="CI978" s="234"/>
      <c r="CJ978" s="236"/>
      <c r="CK978" s="244"/>
      <c r="CL978" s="239"/>
      <c r="CM978" s="240"/>
      <c r="CN978" s="241"/>
      <c r="CO978" s="239"/>
      <c r="CP978" s="239"/>
      <c r="CQ978" s="239"/>
      <c r="CR978" s="239"/>
      <c r="CS978" s="239"/>
      <c r="CT978" s="239"/>
      <c r="CU978" s="233"/>
      <c r="CV978" s="235"/>
      <c r="CW978" s="233"/>
      <c r="CX978" s="233"/>
      <c r="CY978" s="234"/>
      <c r="CZ978" s="234"/>
      <c r="DA978" s="242"/>
      <c r="DB978" s="234"/>
      <c r="DC978" s="234"/>
      <c r="DD978" s="234"/>
      <c r="DE978" s="236"/>
      <c r="DF978" s="244"/>
      <c r="DG978" s="239"/>
      <c r="DH978" s="240"/>
      <c r="DI978" s="241"/>
      <c r="DJ978" s="239"/>
      <c r="DK978" s="239"/>
      <c r="DL978" s="239"/>
      <c r="DM978" s="239"/>
      <c r="DN978" s="239"/>
      <c r="DO978" s="239"/>
      <c r="DP978" s="233"/>
      <c r="DQ978" s="235"/>
      <c r="DR978" s="233"/>
      <c r="DS978" s="233"/>
      <c r="DT978" s="234"/>
      <c r="DU978" s="234"/>
      <c r="DV978" s="242"/>
      <c r="DW978" s="234"/>
      <c r="DX978" s="234"/>
      <c r="DY978" s="234"/>
      <c r="DZ978" s="236"/>
      <c r="EA978" s="244"/>
      <c r="EB978" s="239"/>
      <c r="EC978" s="240"/>
      <c r="ED978" s="241"/>
      <c r="EE978" s="239"/>
      <c r="EF978" s="239"/>
      <c r="EG978" s="239"/>
      <c r="EH978" s="239"/>
      <c r="EI978" s="239"/>
      <c r="EJ978" s="239"/>
      <c r="EK978" s="233"/>
      <c r="EL978" s="235"/>
      <c r="EM978" s="233"/>
      <c r="EN978" s="233"/>
      <c r="EO978" s="234"/>
      <c r="EP978" s="234"/>
      <c r="EQ978" s="242"/>
      <c r="ER978" s="234"/>
      <c r="ES978" s="234"/>
      <c r="ET978" s="234"/>
      <c r="EU978" s="236"/>
      <c r="EV978" s="244"/>
      <c r="EW978" s="239"/>
      <c r="EX978" s="240"/>
      <c r="EY978" s="241"/>
      <c r="EZ978" s="239"/>
      <c r="FA978" s="239"/>
      <c r="FB978" s="239"/>
      <c r="FC978" s="239"/>
      <c r="FD978" s="239"/>
      <c r="FE978" s="239"/>
      <c r="FF978" s="233"/>
      <c r="FG978" s="235"/>
      <c r="FH978" s="233"/>
      <c r="FI978" s="233"/>
      <c r="FJ978" s="234"/>
      <c r="FK978" s="234"/>
      <c r="FL978" s="242"/>
      <c r="FM978" s="234"/>
      <c r="FN978" s="234"/>
      <c r="FO978" s="234"/>
      <c r="FP978" s="236"/>
      <c r="FQ978" s="244"/>
      <c r="FR978" s="239"/>
      <c r="FS978" s="240"/>
      <c r="FT978" s="241"/>
      <c r="FU978" s="239"/>
      <c r="FV978" s="239"/>
      <c r="FW978" s="239"/>
      <c r="FX978" s="239"/>
      <c r="FY978" s="239"/>
      <c r="FZ978" s="239"/>
      <c r="GA978" s="233"/>
      <c r="GB978" s="235"/>
      <c r="GC978" s="233"/>
      <c r="GD978" s="233"/>
      <c r="GE978" s="234"/>
      <c r="GF978" s="234"/>
      <c r="GG978" s="242"/>
      <c r="GH978" s="234"/>
      <c r="GI978" s="234"/>
      <c r="GJ978" s="234"/>
      <c r="GK978" s="236"/>
      <c r="GL978" s="244"/>
      <c r="GM978" s="239"/>
      <c r="GN978" s="240"/>
      <c r="GO978" s="241"/>
      <c r="GP978" s="239"/>
      <c r="GQ978" s="239"/>
      <c r="GR978" s="239"/>
      <c r="GS978" s="239"/>
      <c r="GT978" s="239"/>
      <c r="GU978" s="239"/>
      <c r="GV978" s="233"/>
      <c r="GW978" s="235"/>
      <c r="GX978" s="233"/>
      <c r="GY978" s="233"/>
      <c r="GZ978" s="234"/>
      <c r="HA978" s="234"/>
      <c r="HB978" s="242"/>
      <c r="HC978" s="234"/>
      <c r="HD978" s="234"/>
      <c r="HE978" s="234"/>
      <c r="HF978" s="236"/>
      <c r="HG978" s="244"/>
      <c r="HH978" s="239"/>
      <c r="HI978" s="240"/>
      <c r="HJ978" s="241"/>
      <c r="HK978" s="239"/>
      <c r="HL978" s="239"/>
      <c r="HM978" s="239"/>
      <c r="HN978" s="239"/>
      <c r="HO978" s="239"/>
      <c r="HP978" s="239"/>
      <c r="HQ978" s="233"/>
      <c r="HR978" s="235"/>
      <c r="HS978" s="233"/>
      <c r="HT978" s="233"/>
      <c r="HU978" s="234"/>
      <c r="HV978" s="234"/>
      <c r="HW978" s="242"/>
      <c r="HX978" s="234"/>
      <c r="HY978" s="234"/>
      <c r="HZ978" s="234"/>
      <c r="IA978" s="236"/>
      <c r="IB978" s="244"/>
      <c r="IC978" s="239"/>
      <c r="ID978" s="240"/>
      <c r="IE978" s="241"/>
      <c r="IF978" s="239"/>
      <c r="IG978" s="239"/>
      <c r="IH978" s="239"/>
      <c r="II978" s="239"/>
      <c r="IJ978" s="239"/>
      <c r="IK978" s="239"/>
      <c r="IL978" s="233"/>
      <c r="IM978" s="235"/>
      <c r="IN978" s="233"/>
      <c r="IO978" s="233"/>
      <c r="IP978" s="234"/>
      <c r="IQ978" s="234"/>
      <c r="IR978" s="242"/>
      <c r="IS978" s="234"/>
      <c r="IT978" s="234"/>
      <c r="IU978" s="234"/>
      <c r="IV978" s="236"/>
      <c r="IW978" s="244"/>
      <c r="IX978" s="239"/>
      <c r="IY978" s="240"/>
      <c r="IZ978" s="241"/>
      <c r="JA978" s="239"/>
      <c r="JB978" s="239"/>
      <c r="JC978" s="239"/>
      <c r="JD978" s="239"/>
      <c r="JE978" s="239"/>
      <c r="JF978" s="239"/>
      <c r="JG978" s="233"/>
      <c r="JH978" s="235"/>
      <c r="JI978" s="233"/>
      <c r="JJ978" s="233"/>
      <c r="JK978" s="234"/>
      <c r="JL978" s="234"/>
      <c r="JM978" s="242"/>
      <c r="JN978" s="234"/>
      <c r="JO978" s="234"/>
      <c r="JP978" s="234"/>
      <c r="JQ978" s="236"/>
      <c r="JR978" s="244"/>
      <c r="JS978" s="239"/>
      <c r="JT978" s="240"/>
      <c r="JU978" s="241"/>
      <c r="JV978" s="239"/>
      <c r="JW978" s="239"/>
      <c r="JX978" s="239"/>
      <c r="JY978" s="239"/>
      <c r="JZ978" s="239"/>
      <c r="KA978" s="239"/>
      <c r="KB978" s="233"/>
      <c r="KC978" s="235"/>
      <c r="KD978" s="233"/>
      <c r="KE978" s="233"/>
      <c r="KF978" s="234"/>
      <c r="KG978" s="234"/>
      <c r="KH978" s="242"/>
      <c r="KI978" s="234"/>
      <c r="KJ978" s="234"/>
      <c r="KK978" s="234"/>
      <c r="KL978" s="236"/>
      <c r="KM978" s="244"/>
      <c r="KN978" s="239"/>
      <c r="KO978" s="240"/>
      <c r="KP978" s="241"/>
      <c r="KQ978" s="239"/>
      <c r="KR978" s="239"/>
      <c r="KS978" s="239"/>
      <c r="KT978" s="239"/>
      <c r="KU978" s="239"/>
      <c r="KV978" s="239"/>
      <c r="KW978" s="233"/>
      <c r="KX978" s="235"/>
      <c r="KY978" s="233"/>
      <c r="KZ978" s="233"/>
      <c r="LA978" s="234"/>
      <c r="LB978" s="234"/>
      <c r="LC978" s="242"/>
      <c r="LD978" s="234"/>
      <c r="LE978" s="234"/>
      <c r="LF978" s="234"/>
      <c r="LG978" s="236"/>
      <c r="LH978" s="244"/>
      <c r="LI978" s="239"/>
      <c r="LJ978" s="240"/>
      <c r="LK978" s="241"/>
      <c r="LL978" s="239"/>
      <c r="LM978" s="239"/>
      <c r="LN978" s="239"/>
      <c r="LO978" s="239"/>
      <c r="LP978" s="239"/>
      <c r="LQ978" s="239"/>
      <c r="LR978" s="233"/>
      <c r="LS978" s="235"/>
      <c r="LT978" s="233"/>
      <c r="LU978" s="233"/>
      <c r="LV978" s="234"/>
      <c r="LW978" s="234"/>
      <c r="LX978" s="242"/>
      <c r="LY978" s="234"/>
      <c r="LZ978" s="234"/>
      <c r="MA978" s="234"/>
      <c r="MB978" s="236"/>
      <c r="MC978" s="244"/>
      <c r="MD978" s="239"/>
      <c r="ME978" s="240"/>
      <c r="MF978" s="241"/>
      <c r="MG978" s="239"/>
      <c r="MH978" s="239"/>
      <c r="MI978" s="239"/>
      <c r="MJ978" s="239"/>
      <c r="MK978" s="239"/>
      <c r="ML978" s="239"/>
      <c r="MM978" s="233"/>
      <c r="MN978" s="235"/>
      <c r="MO978" s="233"/>
      <c r="MP978" s="233"/>
      <c r="MQ978" s="234"/>
      <c r="MR978" s="234"/>
      <c r="MS978" s="242"/>
      <c r="MT978" s="234"/>
      <c r="MU978" s="234"/>
      <c r="MV978" s="234"/>
      <c r="MW978" s="236"/>
      <c r="MX978" s="244"/>
      <c r="MY978" s="239"/>
      <c r="MZ978" s="240"/>
      <c r="NA978" s="241"/>
      <c r="NB978" s="239"/>
      <c r="NC978" s="239"/>
      <c r="ND978" s="239"/>
      <c r="NE978" s="239"/>
      <c r="NF978" s="239"/>
      <c r="NG978" s="239"/>
      <c r="NH978" s="233"/>
      <c r="NI978" s="235"/>
      <c r="NJ978" s="233"/>
      <c r="NK978" s="233"/>
      <c r="NL978" s="234"/>
      <c r="NM978" s="234"/>
      <c r="NN978" s="242"/>
      <c r="NO978" s="234"/>
      <c r="NP978" s="234"/>
      <c r="NQ978" s="234"/>
      <c r="NR978" s="236"/>
      <c r="NS978" s="244"/>
      <c r="NT978" s="239"/>
      <c r="NU978" s="240"/>
      <c r="NV978" s="241"/>
      <c r="NW978" s="239"/>
      <c r="NX978" s="239"/>
      <c r="NY978" s="239"/>
      <c r="NZ978" s="239"/>
      <c r="OA978" s="239"/>
      <c r="OB978" s="239"/>
      <c r="OC978" s="233"/>
      <c r="OD978" s="235"/>
      <c r="OE978" s="233"/>
      <c r="OF978" s="233"/>
      <c r="OG978" s="234"/>
      <c r="OH978" s="234"/>
      <c r="OI978" s="242"/>
      <c r="OJ978" s="234"/>
      <c r="OK978" s="234"/>
      <c r="OL978" s="234"/>
      <c r="OM978" s="236"/>
      <c r="ON978" s="244"/>
      <c r="OO978" s="239"/>
      <c r="OP978" s="240"/>
      <c r="OQ978" s="241"/>
      <c r="OR978" s="239"/>
      <c r="OS978" s="239"/>
      <c r="OT978" s="239"/>
      <c r="OU978" s="239"/>
      <c r="OV978" s="239"/>
      <c r="OW978" s="239"/>
      <c r="OX978" s="233"/>
      <c r="OY978" s="235"/>
      <c r="OZ978" s="233"/>
      <c r="PA978" s="233"/>
      <c r="PB978" s="234"/>
      <c r="PC978" s="234"/>
      <c r="PD978" s="242"/>
      <c r="PE978" s="234"/>
      <c r="PF978" s="234"/>
      <c r="PG978" s="234"/>
      <c r="PH978" s="236"/>
      <c r="PI978" s="244"/>
      <c r="PJ978" s="239"/>
      <c r="PK978" s="240"/>
      <c r="PL978" s="241"/>
      <c r="PM978" s="239"/>
      <c r="PN978" s="239"/>
      <c r="PO978" s="239"/>
      <c r="PP978" s="239"/>
      <c r="PQ978" s="239"/>
      <c r="PR978" s="239"/>
      <c r="PS978" s="233"/>
      <c r="PT978" s="235"/>
      <c r="PU978" s="233"/>
      <c r="PV978" s="233"/>
      <c r="PW978" s="234"/>
      <c r="PX978" s="234"/>
      <c r="PY978" s="242"/>
      <c r="PZ978" s="234"/>
      <c r="QA978" s="234"/>
      <c r="QB978" s="234"/>
      <c r="QC978" s="236"/>
      <c r="QD978" s="244"/>
      <c r="QE978" s="239"/>
      <c r="QF978" s="240"/>
      <c r="QG978" s="241"/>
      <c r="QH978" s="239"/>
      <c r="QI978" s="239"/>
      <c r="QJ978" s="239"/>
      <c r="QK978" s="239"/>
      <c r="QL978" s="239"/>
      <c r="QM978" s="239"/>
      <c r="QN978" s="233"/>
      <c r="QO978" s="235"/>
      <c r="QP978" s="233"/>
      <c r="QQ978" s="233"/>
      <c r="QR978" s="234"/>
      <c r="QS978" s="234"/>
      <c r="QT978" s="242"/>
      <c r="QU978" s="234"/>
      <c r="QV978" s="234"/>
      <c r="QW978" s="234"/>
      <c r="QX978" s="236"/>
      <c r="QY978" s="244"/>
      <c r="QZ978" s="239"/>
      <c r="RA978" s="240"/>
      <c r="RB978" s="241"/>
      <c r="RC978" s="239"/>
      <c r="RD978" s="239"/>
      <c r="RE978" s="239"/>
      <c r="RF978" s="239"/>
      <c r="RG978" s="239"/>
      <c r="RH978" s="239"/>
      <c r="RI978" s="233"/>
      <c r="RJ978" s="235"/>
      <c r="RK978" s="233"/>
      <c r="RL978" s="233"/>
      <c r="RM978" s="234"/>
      <c r="RN978" s="234"/>
      <c r="RO978" s="242"/>
      <c r="RP978" s="234"/>
      <c r="RQ978" s="234"/>
      <c r="RR978" s="234"/>
      <c r="RS978" s="236"/>
      <c r="RT978" s="244"/>
      <c r="RU978" s="239"/>
      <c r="RV978" s="240"/>
      <c r="RW978" s="241"/>
      <c r="RX978" s="239"/>
      <c r="RY978" s="239"/>
      <c r="RZ978" s="239"/>
      <c r="SA978" s="239"/>
      <c r="SB978" s="239"/>
      <c r="SC978" s="239"/>
      <c r="SD978" s="233"/>
      <c r="SE978" s="235"/>
      <c r="SF978" s="233"/>
      <c r="SG978" s="233"/>
      <c r="SH978" s="234"/>
      <c r="SI978" s="234"/>
      <c r="SJ978" s="242"/>
      <c r="SK978" s="234"/>
      <c r="SL978" s="234"/>
      <c r="SM978" s="234"/>
      <c r="SN978" s="236"/>
      <c r="SO978" s="244"/>
      <c r="SP978" s="239"/>
      <c r="SQ978" s="240"/>
      <c r="SR978" s="241"/>
      <c r="SS978" s="239"/>
      <c r="ST978" s="239"/>
      <c r="SU978" s="239"/>
      <c r="SV978" s="239"/>
      <c r="SW978" s="239"/>
      <c r="SX978" s="239"/>
      <c r="SY978" s="233"/>
      <c r="SZ978" s="235"/>
      <c r="TA978" s="233"/>
      <c r="TB978" s="233"/>
      <c r="TC978" s="234"/>
      <c r="TD978" s="234"/>
      <c r="TE978" s="242"/>
      <c r="TF978" s="234"/>
      <c r="TG978" s="234"/>
      <c r="TH978" s="234"/>
      <c r="TI978" s="236"/>
      <c r="TJ978" s="244"/>
      <c r="TK978" s="239"/>
      <c r="TL978" s="240"/>
      <c r="TM978" s="241"/>
      <c r="TN978" s="239"/>
      <c r="TO978" s="239"/>
      <c r="TP978" s="239"/>
      <c r="TQ978" s="239"/>
      <c r="TR978" s="239"/>
      <c r="TS978" s="239"/>
      <c r="TT978" s="233"/>
      <c r="TU978" s="235"/>
      <c r="TV978" s="233"/>
      <c r="TW978" s="233"/>
      <c r="TX978" s="234"/>
      <c r="TY978" s="234"/>
      <c r="TZ978" s="242"/>
      <c r="UA978" s="234"/>
      <c r="UB978" s="234"/>
      <c r="UC978" s="234"/>
      <c r="UD978" s="236"/>
      <c r="UE978" s="244"/>
      <c r="UF978" s="239"/>
      <c r="UG978" s="240"/>
      <c r="UH978" s="241"/>
      <c r="UI978" s="239"/>
      <c r="UJ978" s="239"/>
      <c r="UK978" s="239"/>
      <c r="UL978" s="239"/>
      <c r="UM978" s="239"/>
      <c r="UN978" s="239"/>
      <c r="UO978" s="233"/>
      <c r="UP978" s="235"/>
      <c r="UQ978" s="233"/>
      <c r="UR978" s="233"/>
      <c r="US978" s="234"/>
      <c r="UT978" s="234"/>
      <c r="UU978" s="242"/>
      <c r="UV978" s="234"/>
      <c r="UW978" s="234"/>
      <c r="UX978" s="234"/>
      <c r="UY978" s="236"/>
      <c r="UZ978" s="244"/>
      <c r="VA978" s="239"/>
      <c r="VB978" s="240"/>
      <c r="VC978" s="241"/>
      <c r="VD978" s="239"/>
      <c r="VE978" s="239"/>
      <c r="VF978" s="239"/>
      <c r="VG978" s="239"/>
      <c r="VH978" s="239"/>
      <c r="VI978" s="239"/>
      <c r="VJ978" s="233"/>
      <c r="VK978" s="235"/>
      <c r="VL978" s="233"/>
      <c r="VM978" s="233"/>
      <c r="VN978" s="234"/>
      <c r="VO978" s="234"/>
      <c r="VP978" s="242"/>
      <c r="VQ978" s="234"/>
      <c r="VR978" s="234"/>
      <c r="VS978" s="234"/>
      <c r="VT978" s="236"/>
      <c r="VU978" s="244"/>
      <c r="VV978" s="239"/>
      <c r="VW978" s="240"/>
      <c r="VX978" s="241"/>
      <c r="VY978" s="239"/>
      <c r="VZ978" s="239"/>
      <c r="WA978" s="239"/>
      <c r="WB978" s="239"/>
      <c r="WC978" s="239"/>
      <c r="WD978" s="239"/>
      <c r="WE978" s="233"/>
      <c r="WF978" s="235"/>
      <c r="WG978" s="233"/>
      <c r="WH978" s="233"/>
      <c r="WI978" s="234"/>
      <c r="WJ978" s="234"/>
      <c r="WK978" s="242"/>
      <c r="WL978" s="234"/>
      <c r="WM978" s="234"/>
      <c r="WN978" s="234"/>
      <c r="WO978" s="236"/>
      <c r="WP978" s="244"/>
      <c r="WQ978" s="239"/>
      <c r="WR978" s="240"/>
      <c r="WS978" s="241"/>
      <c r="WT978" s="239"/>
      <c r="WU978" s="239"/>
      <c r="WV978" s="239"/>
      <c r="WW978" s="239"/>
      <c r="WX978" s="239"/>
      <c r="WY978" s="239"/>
      <c r="WZ978" s="233"/>
      <c r="XA978" s="235"/>
      <c r="XB978" s="233"/>
      <c r="XC978" s="233"/>
      <c r="XD978" s="234"/>
      <c r="XE978" s="234"/>
      <c r="XF978" s="242"/>
      <c r="XG978" s="234"/>
      <c r="XH978" s="234"/>
      <c r="XI978" s="234"/>
      <c r="XJ978" s="236"/>
      <c r="XK978" s="244"/>
      <c r="XL978" s="239"/>
      <c r="XM978" s="240"/>
      <c r="XN978" s="241"/>
      <c r="XO978" s="239"/>
      <c r="XP978" s="239"/>
      <c r="XQ978" s="239"/>
      <c r="XR978" s="239"/>
      <c r="XS978" s="239"/>
      <c r="XT978" s="239"/>
      <c r="XU978" s="233"/>
      <c r="XV978" s="235"/>
      <c r="XW978" s="233"/>
      <c r="XX978" s="233"/>
      <c r="XY978" s="234"/>
      <c r="XZ978" s="234"/>
      <c r="YA978" s="242"/>
      <c r="YB978" s="234"/>
      <c r="YC978" s="234"/>
      <c r="YD978" s="234"/>
      <c r="YE978" s="236"/>
      <c r="YF978" s="244"/>
      <c r="YG978" s="239"/>
      <c r="YH978" s="240"/>
      <c r="YI978" s="241"/>
      <c r="YJ978" s="239"/>
      <c r="YK978" s="239"/>
      <c r="YL978" s="239"/>
      <c r="YM978" s="239"/>
      <c r="YN978" s="239"/>
      <c r="YO978" s="239"/>
      <c r="YP978" s="233"/>
      <c r="YQ978" s="235"/>
      <c r="YR978" s="233"/>
      <c r="YS978" s="233"/>
      <c r="YT978" s="234"/>
      <c r="YU978" s="234"/>
      <c r="YV978" s="242"/>
      <c r="YW978" s="234"/>
      <c r="YX978" s="234"/>
      <c r="YY978" s="234"/>
      <c r="YZ978" s="236"/>
      <c r="ZA978" s="244"/>
      <c r="ZB978" s="239"/>
      <c r="ZC978" s="240"/>
      <c r="ZD978" s="241"/>
      <c r="ZE978" s="239"/>
      <c r="ZF978" s="239"/>
      <c r="ZG978" s="239"/>
      <c r="ZH978" s="239"/>
      <c r="ZI978" s="239"/>
      <c r="ZJ978" s="239"/>
      <c r="ZK978" s="233"/>
      <c r="ZL978" s="235"/>
      <c r="ZM978" s="233"/>
      <c r="ZN978" s="233"/>
      <c r="ZO978" s="234"/>
      <c r="ZP978" s="234"/>
      <c r="ZQ978" s="242"/>
      <c r="ZR978" s="234"/>
      <c r="ZS978" s="234"/>
      <c r="ZT978" s="234"/>
      <c r="ZU978" s="236"/>
      <c r="ZV978" s="244"/>
      <c r="ZW978" s="239"/>
      <c r="ZX978" s="240"/>
      <c r="ZY978" s="241"/>
      <c r="ZZ978" s="239"/>
      <c r="AAA978" s="239"/>
      <c r="AAB978" s="239"/>
      <c r="AAC978" s="239"/>
      <c r="AAD978" s="239"/>
      <c r="AAE978" s="239"/>
      <c r="AAF978" s="233"/>
      <c r="AAG978" s="235"/>
      <c r="AAH978" s="233"/>
      <c r="AAI978" s="233"/>
      <c r="AAJ978" s="234"/>
      <c r="AAK978" s="234"/>
      <c r="AAL978" s="242"/>
      <c r="AAM978" s="234"/>
      <c r="AAN978" s="234"/>
      <c r="AAO978" s="234"/>
      <c r="AAP978" s="236"/>
      <c r="AAQ978" s="244"/>
      <c r="AAR978" s="239"/>
      <c r="AAS978" s="240"/>
      <c r="AAT978" s="241"/>
      <c r="AAU978" s="239"/>
      <c r="AAV978" s="239"/>
      <c r="AAW978" s="239"/>
      <c r="AAX978" s="239"/>
      <c r="AAY978" s="239"/>
      <c r="AAZ978" s="239"/>
      <c r="ABA978" s="233"/>
      <c r="ABB978" s="235"/>
      <c r="ABC978" s="233"/>
      <c r="ABD978" s="233"/>
      <c r="ABE978" s="234"/>
      <c r="ABF978" s="234"/>
      <c r="ABG978" s="242"/>
      <c r="ABH978" s="234"/>
      <c r="ABI978" s="234"/>
      <c r="ABJ978" s="234"/>
      <c r="ABK978" s="236"/>
      <c r="ABL978" s="244"/>
      <c r="ABM978" s="239"/>
      <c r="ABN978" s="240"/>
      <c r="ABO978" s="241"/>
      <c r="ABP978" s="239"/>
      <c r="ABQ978" s="239"/>
      <c r="ABR978" s="239"/>
      <c r="ABS978" s="239"/>
      <c r="ABT978" s="239"/>
      <c r="ABU978" s="239"/>
      <c r="ABV978" s="233"/>
      <c r="ABW978" s="235"/>
      <c r="ABX978" s="233"/>
      <c r="ABY978" s="233"/>
      <c r="ABZ978" s="234"/>
      <c r="ACA978" s="234"/>
      <c r="ACB978" s="242"/>
      <c r="ACC978" s="234"/>
      <c r="ACD978" s="234"/>
      <c r="ACE978" s="234"/>
      <c r="ACF978" s="236"/>
      <c r="ACG978" s="244"/>
      <c r="ACH978" s="239"/>
      <c r="ACI978" s="240"/>
      <c r="ACJ978" s="241"/>
      <c r="ACK978" s="239"/>
      <c r="ACL978" s="239"/>
      <c r="ACM978" s="239"/>
      <c r="ACN978" s="239"/>
      <c r="ACO978" s="239"/>
      <c r="ACP978" s="239"/>
      <c r="ACQ978" s="233"/>
      <c r="ACR978" s="235"/>
      <c r="ACS978" s="233"/>
      <c r="ACT978" s="233"/>
      <c r="ACU978" s="234"/>
      <c r="ACV978" s="234"/>
      <c r="ACW978" s="242"/>
      <c r="ACX978" s="234"/>
      <c r="ACY978" s="234"/>
      <c r="ACZ978" s="234"/>
      <c r="ADA978" s="236"/>
      <c r="ADB978" s="244"/>
      <c r="ADC978" s="239"/>
      <c r="ADD978" s="240"/>
      <c r="ADE978" s="241"/>
      <c r="ADF978" s="239"/>
      <c r="ADG978" s="239"/>
      <c r="ADH978" s="239"/>
      <c r="ADI978" s="239"/>
      <c r="ADJ978" s="239"/>
      <c r="ADK978" s="239"/>
      <c r="ADL978" s="233"/>
      <c r="ADM978" s="235"/>
      <c r="ADN978" s="233"/>
      <c r="ADO978" s="233"/>
      <c r="ADP978" s="234"/>
      <c r="ADQ978" s="234"/>
      <c r="ADR978" s="242"/>
      <c r="ADS978" s="234"/>
      <c r="ADT978" s="234"/>
      <c r="ADU978" s="234"/>
      <c r="ADV978" s="236"/>
      <c r="ADW978" s="244"/>
      <c r="ADX978" s="239"/>
      <c r="ADY978" s="240"/>
      <c r="ADZ978" s="241"/>
      <c r="AEA978" s="239"/>
      <c r="AEB978" s="239"/>
      <c r="AEC978" s="239"/>
      <c r="AED978" s="239"/>
      <c r="AEE978" s="239"/>
      <c r="AEF978" s="239"/>
      <c r="AEG978" s="233"/>
      <c r="AEH978" s="235"/>
      <c r="AEI978" s="233"/>
      <c r="AEJ978" s="233"/>
      <c r="AEK978" s="234"/>
      <c r="AEL978" s="234"/>
      <c r="AEM978" s="242"/>
      <c r="AEN978" s="234"/>
      <c r="AEO978" s="234"/>
      <c r="AEP978" s="234"/>
      <c r="AEQ978" s="236"/>
      <c r="AER978" s="244"/>
      <c r="AES978" s="239"/>
      <c r="AET978" s="240"/>
      <c r="AEU978" s="241"/>
      <c r="AEV978" s="239"/>
      <c r="AEW978" s="239"/>
      <c r="AEX978" s="239"/>
      <c r="AEY978" s="239"/>
      <c r="AEZ978" s="239"/>
      <c r="AFA978" s="239"/>
      <c r="AFB978" s="233"/>
      <c r="AFC978" s="235"/>
      <c r="AFD978" s="233"/>
      <c r="AFE978" s="233"/>
      <c r="AFF978" s="234"/>
      <c r="AFG978" s="234"/>
      <c r="AFH978" s="242"/>
      <c r="AFI978" s="234"/>
      <c r="AFJ978" s="234"/>
      <c r="AFK978" s="234"/>
      <c r="AFL978" s="236"/>
      <c r="AFM978" s="244"/>
      <c r="AFN978" s="239"/>
      <c r="AFO978" s="240"/>
      <c r="AFP978" s="241"/>
      <c r="AFQ978" s="239"/>
      <c r="AFR978" s="239"/>
      <c r="AFS978" s="239"/>
      <c r="AFT978" s="239"/>
      <c r="AFU978" s="239"/>
      <c r="AFV978" s="239"/>
      <c r="AFW978" s="233"/>
      <c r="AFX978" s="235"/>
      <c r="AFY978" s="233"/>
      <c r="AFZ978" s="233"/>
      <c r="AGA978" s="234"/>
      <c r="AGB978" s="234"/>
      <c r="AGC978" s="242"/>
      <c r="AGD978" s="234"/>
      <c r="AGE978" s="234"/>
      <c r="AGF978" s="234"/>
      <c r="AGG978" s="236"/>
      <c r="AGH978" s="244"/>
      <c r="AGI978" s="239"/>
      <c r="AGJ978" s="240"/>
      <c r="AGK978" s="241"/>
      <c r="AGL978" s="239"/>
      <c r="AGM978" s="239"/>
      <c r="AGN978" s="239"/>
      <c r="AGO978" s="239"/>
      <c r="AGP978" s="239"/>
      <c r="AGQ978" s="239"/>
      <c r="AGR978" s="233"/>
      <c r="AGS978" s="235"/>
      <c r="AGT978" s="233"/>
      <c r="AGU978" s="233"/>
      <c r="AGV978" s="234"/>
      <c r="AGW978" s="234"/>
      <c r="AGX978" s="242"/>
      <c r="AGY978" s="234"/>
      <c r="AGZ978" s="234"/>
      <c r="AHA978" s="234"/>
      <c r="AHB978" s="236"/>
      <c r="AHC978" s="244"/>
      <c r="AHD978" s="239"/>
      <c r="AHE978" s="240"/>
      <c r="AHF978" s="241"/>
      <c r="AHG978" s="239"/>
      <c r="AHH978" s="239"/>
      <c r="AHI978" s="239"/>
      <c r="AHJ978" s="239"/>
      <c r="AHK978" s="239"/>
      <c r="AHL978" s="239"/>
      <c r="AHM978" s="233"/>
      <c r="AHN978" s="235"/>
      <c r="AHO978" s="233"/>
      <c r="AHP978" s="233"/>
      <c r="AHQ978" s="234"/>
      <c r="AHR978" s="234"/>
      <c r="AHS978" s="242"/>
      <c r="AHT978" s="234"/>
      <c r="AHU978" s="234"/>
      <c r="AHV978" s="234"/>
      <c r="AHW978" s="236"/>
      <c r="AHX978" s="244"/>
      <c r="AHY978" s="239"/>
      <c r="AHZ978" s="240"/>
      <c r="AIA978" s="241"/>
      <c r="AIB978" s="239"/>
      <c r="AIC978" s="239"/>
      <c r="AID978" s="239"/>
      <c r="AIE978" s="239"/>
      <c r="AIF978" s="239"/>
      <c r="AIG978" s="239"/>
      <c r="AIH978" s="233"/>
      <c r="AII978" s="235"/>
      <c r="AIJ978" s="233"/>
      <c r="AIK978" s="233"/>
      <c r="AIL978" s="234"/>
      <c r="AIM978" s="234"/>
      <c r="AIN978" s="242"/>
      <c r="AIO978" s="234"/>
      <c r="AIP978" s="234"/>
      <c r="AIQ978" s="234"/>
      <c r="AIR978" s="236"/>
      <c r="AIS978" s="244"/>
      <c r="AIT978" s="239"/>
      <c r="AIU978" s="240"/>
      <c r="AIV978" s="241"/>
      <c r="AIW978" s="239"/>
      <c r="AIX978" s="239"/>
      <c r="AIY978" s="239"/>
      <c r="AIZ978" s="239"/>
      <c r="AJA978" s="239"/>
      <c r="AJB978" s="239"/>
      <c r="AJC978" s="233"/>
      <c r="AJD978" s="235"/>
      <c r="AJE978" s="233"/>
      <c r="AJF978" s="233"/>
      <c r="AJG978" s="234"/>
      <c r="AJH978" s="234"/>
      <c r="AJI978" s="242"/>
      <c r="AJJ978" s="234"/>
      <c r="AJK978" s="234"/>
      <c r="AJL978" s="234"/>
      <c r="AJM978" s="236"/>
      <c r="AJN978" s="244"/>
      <c r="AJO978" s="239"/>
      <c r="AJP978" s="240"/>
      <c r="AJQ978" s="241"/>
      <c r="AJR978" s="239"/>
      <c r="AJS978" s="239"/>
      <c r="AJT978" s="239"/>
      <c r="AJU978" s="239"/>
      <c r="AJV978" s="239"/>
      <c r="AJW978" s="239"/>
      <c r="AJX978" s="233"/>
      <c r="AJY978" s="235"/>
      <c r="AJZ978" s="233"/>
      <c r="AKA978" s="233"/>
      <c r="AKB978" s="234"/>
      <c r="AKC978" s="234"/>
      <c r="AKD978" s="242"/>
      <c r="AKE978" s="234"/>
      <c r="AKF978" s="234"/>
      <c r="AKG978" s="234"/>
      <c r="AKH978" s="236"/>
      <c r="AKI978" s="244"/>
      <c r="AKJ978" s="239"/>
      <c r="AKK978" s="240"/>
      <c r="AKL978" s="241"/>
      <c r="AKM978" s="239"/>
      <c r="AKN978" s="239"/>
      <c r="AKO978" s="239"/>
      <c r="AKP978" s="239"/>
      <c r="AKQ978" s="239"/>
      <c r="AKR978" s="239"/>
      <c r="AKS978" s="233"/>
      <c r="AKT978" s="235"/>
      <c r="AKU978" s="233"/>
      <c r="AKV978" s="233"/>
      <c r="AKW978" s="234"/>
      <c r="AKX978" s="234"/>
      <c r="AKY978" s="242"/>
      <c r="AKZ978" s="234"/>
      <c r="ALA978" s="234"/>
      <c r="ALB978" s="234"/>
      <c r="ALC978" s="236"/>
      <c r="ALD978" s="244"/>
      <c r="ALE978" s="239"/>
      <c r="ALF978" s="240"/>
      <c r="ALG978" s="241"/>
      <c r="ALH978" s="239"/>
      <c r="ALI978" s="239"/>
      <c r="ALJ978" s="239"/>
      <c r="ALK978" s="239"/>
      <c r="ALL978" s="239"/>
      <c r="ALM978" s="239"/>
      <c r="ALN978" s="233"/>
      <c r="ALO978" s="235"/>
      <c r="ALP978" s="233"/>
      <c r="ALQ978" s="233"/>
      <c r="ALR978" s="234"/>
      <c r="ALS978" s="234"/>
      <c r="ALT978" s="242"/>
      <c r="ALU978" s="234"/>
      <c r="ALV978" s="234"/>
      <c r="ALW978" s="234"/>
      <c r="ALX978" s="236"/>
      <c r="ALY978" s="244"/>
      <c r="ALZ978" s="239"/>
      <c r="AMA978" s="240"/>
      <c r="AMB978" s="241"/>
      <c r="AMC978" s="239"/>
      <c r="AMD978" s="239"/>
      <c r="AME978" s="239"/>
      <c r="AMF978" s="239"/>
      <c r="AMG978" s="239"/>
      <c r="AMH978" s="239"/>
      <c r="AMI978" s="233"/>
      <c r="AMJ978" s="235"/>
      <c r="AMK978" s="233"/>
      <c r="AML978" s="233"/>
      <c r="AMM978" s="234"/>
      <c r="AMN978" s="234"/>
      <c r="AMO978" s="242"/>
      <c r="AMP978" s="234"/>
      <c r="AMQ978" s="234"/>
      <c r="AMR978" s="234"/>
      <c r="AMS978" s="236"/>
      <c r="AMT978" s="244"/>
      <c r="AMU978" s="239"/>
      <c r="AMV978" s="240"/>
      <c r="AMW978" s="241"/>
      <c r="AMX978" s="239"/>
      <c r="AMY978" s="239"/>
      <c r="AMZ978" s="239"/>
      <c r="ANA978" s="239"/>
      <c r="ANB978" s="239"/>
      <c r="ANC978" s="239"/>
      <c r="AND978" s="233"/>
      <c r="ANE978" s="235"/>
      <c r="ANF978" s="233"/>
      <c r="ANG978" s="233"/>
      <c r="ANH978" s="234"/>
      <c r="ANI978" s="234"/>
      <c r="ANJ978" s="242"/>
      <c r="ANK978" s="234"/>
      <c r="ANL978" s="234"/>
      <c r="ANM978" s="234"/>
      <c r="ANN978" s="236"/>
      <c r="ANO978" s="244"/>
      <c r="ANP978" s="239"/>
      <c r="ANQ978" s="240"/>
      <c r="ANR978" s="241"/>
      <c r="ANS978" s="239"/>
      <c r="ANT978" s="239"/>
      <c r="ANU978" s="239"/>
      <c r="ANV978" s="239"/>
      <c r="ANW978" s="239"/>
      <c r="ANX978" s="239"/>
      <c r="ANY978" s="233"/>
      <c r="ANZ978" s="235"/>
      <c r="AOA978" s="233"/>
      <c r="AOB978" s="233"/>
      <c r="AOC978" s="234"/>
      <c r="AOD978" s="234"/>
      <c r="AOE978" s="242"/>
      <c r="AOF978" s="234"/>
      <c r="AOG978" s="234"/>
      <c r="AOH978" s="234"/>
      <c r="AOI978" s="236"/>
      <c r="AOJ978" s="244"/>
      <c r="AOK978" s="239"/>
      <c r="AOL978" s="240"/>
      <c r="AOM978" s="241"/>
      <c r="AON978" s="239"/>
      <c r="AOO978" s="239"/>
      <c r="AOP978" s="239"/>
      <c r="AOQ978" s="239"/>
      <c r="AOR978" s="239"/>
      <c r="AOS978" s="239"/>
      <c r="AOT978" s="233"/>
      <c r="AOU978" s="235"/>
      <c r="AOV978" s="233"/>
      <c r="AOW978" s="233"/>
      <c r="AOX978" s="234"/>
      <c r="AOY978" s="234"/>
      <c r="AOZ978" s="242"/>
      <c r="APA978" s="234"/>
      <c r="APB978" s="234"/>
      <c r="APC978" s="234"/>
      <c r="APD978" s="236"/>
      <c r="APE978" s="244"/>
      <c r="APF978" s="239"/>
      <c r="APG978" s="240"/>
      <c r="APH978" s="241"/>
      <c r="API978" s="239"/>
      <c r="APJ978" s="239"/>
      <c r="APK978" s="239"/>
      <c r="APL978" s="239"/>
      <c r="APM978" s="239"/>
      <c r="APN978" s="239"/>
      <c r="APO978" s="233"/>
      <c r="APP978" s="235"/>
      <c r="APQ978" s="233"/>
      <c r="APR978" s="233"/>
      <c r="APS978" s="234"/>
      <c r="APT978" s="234"/>
      <c r="APU978" s="242"/>
      <c r="APV978" s="234"/>
      <c r="APW978" s="234"/>
      <c r="APX978" s="234"/>
      <c r="APY978" s="236"/>
      <c r="APZ978" s="244"/>
      <c r="AQA978" s="239"/>
      <c r="AQB978" s="240"/>
      <c r="AQC978" s="241"/>
      <c r="AQD978" s="239"/>
      <c r="AQE978" s="239"/>
      <c r="AQF978" s="239"/>
      <c r="AQG978" s="239"/>
      <c r="AQH978" s="239"/>
      <c r="AQI978" s="239"/>
      <c r="AQJ978" s="233"/>
      <c r="AQK978" s="235"/>
      <c r="AQL978" s="233"/>
      <c r="AQM978" s="233"/>
      <c r="AQN978" s="234"/>
      <c r="AQO978" s="234"/>
      <c r="AQP978" s="242"/>
      <c r="AQQ978" s="234"/>
      <c r="AQR978" s="234"/>
      <c r="AQS978" s="234"/>
      <c r="AQT978" s="236"/>
      <c r="AQU978" s="244"/>
      <c r="AQV978" s="239"/>
      <c r="AQW978" s="240"/>
      <c r="AQX978" s="241"/>
      <c r="AQY978" s="239"/>
      <c r="AQZ978" s="239"/>
      <c r="ARA978" s="239"/>
      <c r="ARB978" s="239"/>
      <c r="ARC978" s="239"/>
      <c r="ARD978" s="239"/>
      <c r="ARE978" s="233"/>
      <c r="ARF978" s="235"/>
      <c r="ARG978" s="233"/>
      <c r="ARH978" s="233"/>
      <c r="ARI978" s="234"/>
      <c r="ARJ978" s="234"/>
      <c r="ARK978" s="242"/>
      <c r="ARL978" s="234"/>
      <c r="ARM978" s="234"/>
      <c r="ARN978" s="234"/>
      <c r="ARO978" s="236"/>
      <c r="ARP978" s="244"/>
      <c r="ARQ978" s="239"/>
      <c r="ARR978" s="240"/>
      <c r="ARS978" s="241"/>
      <c r="ART978" s="239"/>
      <c r="ARU978" s="239"/>
      <c r="ARV978" s="239"/>
      <c r="ARW978" s="239"/>
      <c r="ARX978" s="239"/>
      <c r="ARY978" s="239"/>
      <c r="ARZ978" s="233"/>
      <c r="ASA978" s="235"/>
      <c r="ASB978" s="233"/>
      <c r="ASC978" s="233"/>
      <c r="ASD978" s="234"/>
      <c r="ASE978" s="234"/>
      <c r="ASF978" s="242"/>
      <c r="ASG978" s="234"/>
      <c r="ASH978" s="234"/>
      <c r="ASI978" s="234"/>
      <c r="ASJ978" s="236"/>
      <c r="ASK978" s="244"/>
      <c r="ASL978" s="239"/>
      <c r="ASM978" s="240"/>
      <c r="ASN978" s="241"/>
      <c r="ASO978" s="239"/>
      <c r="ASP978" s="239"/>
      <c r="ASQ978" s="239"/>
      <c r="ASR978" s="239"/>
      <c r="ASS978" s="239"/>
      <c r="AST978" s="239"/>
      <c r="ASU978" s="233"/>
      <c r="ASV978" s="235"/>
      <c r="ASW978" s="233"/>
      <c r="ASX978" s="233"/>
      <c r="ASY978" s="234"/>
      <c r="ASZ978" s="234"/>
      <c r="ATA978" s="242"/>
      <c r="ATB978" s="234"/>
      <c r="ATC978" s="234"/>
      <c r="ATD978" s="234"/>
      <c r="ATE978" s="236"/>
      <c r="ATF978" s="244"/>
      <c r="ATG978" s="239"/>
      <c r="ATH978" s="240"/>
      <c r="ATI978" s="241"/>
      <c r="ATJ978" s="239"/>
      <c r="ATK978" s="239"/>
      <c r="ATL978" s="239"/>
      <c r="ATM978" s="239"/>
      <c r="ATN978" s="239"/>
      <c r="ATO978" s="239"/>
      <c r="ATP978" s="233"/>
      <c r="ATQ978" s="235"/>
      <c r="ATR978" s="233"/>
      <c r="ATS978" s="233"/>
      <c r="ATT978" s="234"/>
      <c r="ATU978" s="234"/>
      <c r="ATV978" s="242"/>
      <c r="ATW978" s="234"/>
      <c r="ATX978" s="234"/>
      <c r="ATY978" s="234"/>
      <c r="ATZ978" s="236"/>
      <c r="AUA978" s="244"/>
      <c r="AUB978" s="239"/>
      <c r="AUC978" s="240"/>
      <c r="AUD978" s="241"/>
      <c r="AUE978" s="239"/>
      <c r="AUF978" s="239"/>
      <c r="AUG978" s="239"/>
      <c r="AUH978" s="239"/>
      <c r="AUI978" s="239"/>
      <c r="AUJ978" s="239"/>
      <c r="AUK978" s="233"/>
      <c r="AUL978" s="235"/>
      <c r="AUM978" s="233"/>
      <c r="AUN978" s="233"/>
      <c r="AUO978" s="234"/>
      <c r="AUP978" s="234"/>
      <c r="AUQ978" s="242"/>
      <c r="AUR978" s="234"/>
      <c r="AUS978" s="234"/>
      <c r="AUT978" s="234"/>
      <c r="AUU978" s="236"/>
      <c r="AUV978" s="244"/>
      <c r="AUW978" s="239"/>
      <c r="AUX978" s="240"/>
      <c r="AUY978" s="241"/>
      <c r="AUZ978" s="239"/>
      <c r="AVA978" s="239"/>
      <c r="AVB978" s="239"/>
      <c r="AVC978" s="239"/>
      <c r="AVD978" s="239"/>
      <c r="AVE978" s="239"/>
      <c r="AVF978" s="233"/>
      <c r="AVG978" s="235"/>
      <c r="AVH978" s="233"/>
      <c r="AVI978" s="233"/>
      <c r="AVJ978" s="234"/>
      <c r="AVK978" s="234"/>
      <c r="AVL978" s="242"/>
      <c r="AVM978" s="234"/>
      <c r="AVN978" s="234"/>
      <c r="AVO978" s="234"/>
      <c r="AVP978" s="236"/>
      <c r="AVQ978" s="244"/>
      <c r="AVR978" s="239"/>
      <c r="AVS978" s="240"/>
      <c r="AVT978" s="241"/>
      <c r="AVU978" s="239"/>
      <c r="AVV978" s="239"/>
      <c r="AVW978" s="239"/>
      <c r="AVX978" s="239"/>
      <c r="AVY978" s="239"/>
      <c r="AVZ978" s="239"/>
      <c r="AWA978" s="233"/>
      <c r="AWB978" s="235"/>
      <c r="AWC978" s="233"/>
      <c r="AWD978" s="233"/>
      <c r="AWE978" s="234"/>
      <c r="AWF978" s="234"/>
      <c r="AWG978" s="242"/>
      <c r="AWH978" s="234"/>
      <c r="AWI978" s="234"/>
      <c r="AWJ978" s="234"/>
      <c r="AWK978" s="236"/>
      <c r="AWL978" s="244"/>
      <c r="AWM978" s="239"/>
      <c r="AWN978" s="240"/>
      <c r="AWO978" s="241"/>
      <c r="AWP978" s="239"/>
      <c r="AWQ978" s="239"/>
      <c r="AWR978" s="239"/>
      <c r="AWS978" s="239"/>
      <c r="AWT978" s="239"/>
      <c r="AWU978" s="239"/>
      <c r="AWV978" s="233"/>
      <c r="AWW978" s="235"/>
      <c r="AWX978" s="233"/>
      <c r="AWY978" s="233"/>
      <c r="AWZ978" s="234"/>
      <c r="AXA978" s="234"/>
      <c r="AXB978" s="242"/>
      <c r="AXC978" s="234"/>
      <c r="AXD978" s="234"/>
      <c r="AXE978" s="234"/>
      <c r="AXF978" s="236"/>
      <c r="AXG978" s="244"/>
      <c r="AXH978" s="239"/>
      <c r="AXI978" s="240"/>
      <c r="AXJ978" s="241"/>
      <c r="AXK978" s="239"/>
      <c r="AXL978" s="239"/>
      <c r="AXM978" s="239"/>
      <c r="AXN978" s="239"/>
      <c r="AXO978" s="239"/>
      <c r="AXP978" s="239"/>
      <c r="AXQ978" s="233"/>
      <c r="AXR978" s="235"/>
      <c r="AXS978" s="233"/>
      <c r="AXT978" s="233"/>
      <c r="AXU978" s="234"/>
      <c r="AXV978" s="234"/>
      <c r="AXW978" s="242"/>
      <c r="AXX978" s="234"/>
      <c r="AXY978" s="234"/>
      <c r="AXZ978" s="234"/>
      <c r="AYA978" s="236"/>
      <c r="AYB978" s="244"/>
      <c r="AYC978" s="239"/>
      <c r="AYD978" s="240"/>
      <c r="AYE978" s="241"/>
      <c r="AYF978" s="239"/>
      <c r="AYG978" s="239"/>
      <c r="AYH978" s="239"/>
      <c r="AYI978" s="239"/>
      <c r="AYJ978" s="239"/>
      <c r="AYK978" s="239"/>
      <c r="AYL978" s="233"/>
      <c r="AYM978" s="235"/>
      <c r="AYN978" s="233"/>
      <c r="AYO978" s="233"/>
      <c r="AYP978" s="234"/>
      <c r="AYQ978" s="234"/>
      <c r="AYR978" s="242"/>
      <c r="AYS978" s="234"/>
      <c r="AYT978" s="234"/>
      <c r="AYU978" s="234"/>
      <c r="AYV978" s="236"/>
      <c r="AYW978" s="244"/>
      <c r="AYX978" s="239"/>
      <c r="AYY978" s="240"/>
      <c r="AYZ978" s="241"/>
      <c r="AZA978" s="239"/>
      <c r="AZB978" s="239"/>
      <c r="AZC978" s="239"/>
      <c r="AZD978" s="239"/>
      <c r="AZE978" s="239"/>
      <c r="AZF978" s="239"/>
      <c r="AZG978" s="233"/>
      <c r="AZH978" s="235"/>
      <c r="AZI978" s="233"/>
      <c r="AZJ978" s="233"/>
      <c r="AZK978" s="234"/>
      <c r="AZL978" s="234"/>
      <c r="AZM978" s="242"/>
      <c r="AZN978" s="234"/>
      <c r="AZO978" s="234"/>
      <c r="AZP978" s="234"/>
      <c r="AZQ978" s="236"/>
      <c r="AZR978" s="244"/>
      <c r="AZS978" s="239"/>
      <c r="AZT978" s="240"/>
      <c r="AZU978" s="241"/>
      <c r="AZV978" s="239"/>
      <c r="AZW978" s="239"/>
      <c r="AZX978" s="239"/>
      <c r="AZY978" s="239"/>
      <c r="AZZ978" s="239"/>
      <c r="BAA978" s="239"/>
      <c r="BAB978" s="233"/>
      <c r="BAC978" s="235"/>
      <c r="BAD978" s="233"/>
      <c r="BAE978" s="233"/>
      <c r="BAF978" s="234"/>
      <c r="BAG978" s="234"/>
      <c r="BAH978" s="242"/>
      <c r="BAI978" s="234"/>
      <c r="BAJ978" s="234"/>
      <c r="BAK978" s="234"/>
      <c r="BAL978" s="236"/>
      <c r="BAM978" s="244"/>
      <c r="BAN978" s="239"/>
      <c r="BAO978" s="240"/>
      <c r="BAP978" s="241"/>
      <c r="BAQ978" s="239"/>
      <c r="BAR978" s="239"/>
      <c r="BAS978" s="239"/>
      <c r="BAT978" s="239"/>
      <c r="BAU978" s="239"/>
      <c r="BAV978" s="239"/>
      <c r="BAW978" s="233"/>
      <c r="BAX978" s="235"/>
      <c r="BAY978" s="233"/>
      <c r="BAZ978" s="233"/>
      <c r="BBA978" s="234"/>
      <c r="BBB978" s="234"/>
      <c r="BBC978" s="242"/>
      <c r="BBD978" s="234"/>
      <c r="BBE978" s="234"/>
      <c r="BBF978" s="234"/>
      <c r="BBG978" s="236"/>
      <c r="BBH978" s="244"/>
      <c r="BBI978" s="239"/>
      <c r="BBJ978" s="240"/>
      <c r="BBK978" s="241"/>
      <c r="BBL978" s="239"/>
      <c r="BBM978" s="239"/>
      <c r="BBN978" s="239"/>
      <c r="BBO978" s="239"/>
      <c r="BBP978" s="239"/>
      <c r="BBQ978" s="239"/>
      <c r="BBR978" s="233"/>
      <c r="BBS978" s="235"/>
      <c r="BBT978" s="233"/>
      <c r="BBU978" s="233"/>
      <c r="BBV978" s="234"/>
      <c r="BBW978" s="234"/>
      <c r="BBX978" s="242"/>
      <c r="BBY978" s="234"/>
      <c r="BBZ978" s="234"/>
      <c r="BCA978" s="234"/>
      <c r="BCB978" s="236"/>
      <c r="BCC978" s="244"/>
      <c r="BCD978" s="239"/>
      <c r="BCE978" s="240"/>
      <c r="BCF978" s="241"/>
      <c r="BCG978" s="239"/>
      <c r="BCH978" s="239"/>
      <c r="BCI978" s="239"/>
      <c r="BCJ978" s="239"/>
      <c r="BCK978" s="239"/>
      <c r="BCL978" s="239"/>
      <c r="BCM978" s="233"/>
      <c r="BCN978" s="235"/>
      <c r="BCO978" s="233"/>
      <c r="BCP978" s="233"/>
      <c r="BCQ978" s="234"/>
      <c r="BCR978" s="234"/>
      <c r="BCS978" s="242"/>
      <c r="BCT978" s="234"/>
      <c r="BCU978" s="234"/>
      <c r="BCV978" s="234"/>
      <c r="BCW978" s="236"/>
      <c r="BCX978" s="244"/>
      <c r="BCY978" s="239"/>
      <c r="BCZ978" s="240"/>
      <c r="BDA978" s="241"/>
      <c r="BDB978" s="239"/>
      <c r="BDC978" s="239"/>
      <c r="BDD978" s="239"/>
      <c r="BDE978" s="239"/>
      <c r="BDF978" s="239"/>
      <c r="BDG978" s="239"/>
      <c r="BDH978" s="233"/>
      <c r="BDI978" s="235"/>
      <c r="BDJ978" s="233"/>
      <c r="BDK978" s="233"/>
      <c r="BDL978" s="234"/>
      <c r="BDM978" s="234"/>
      <c r="BDN978" s="242"/>
      <c r="BDO978" s="234"/>
      <c r="BDP978" s="234"/>
      <c r="BDQ978" s="234"/>
      <c r="BDR978" s="236"/>
      <c r="BDS978" s="244"/>
      <c r="BDT978" s="239"/>
      <c r="BDU978" s="240"/>
      <c r="BDV978" s="241"/>
      <c r="BDW978" s="239"/>
      <c r="BDX978" s="239"/>
      <c r="BDY978" s="239"/>
      <c r="BDZ978" s="239"/>
      <c r="BEA978" s="239"/>
      <c r="BEB978" s="239"/>
      <c r="BEC978" s="233"/>
      <c r="BED978" s="235"/>
      <c r="BEE978" s="233"/>
      <c r="BEF978" s="233"/>
      <c r="BEG978" s="234"/>
      <c r="BEH978" s="234"/>
      <c r="BEI978" s="242"/>
      <c r="BEJ978" s="234"/>
      <c r="BEK978" s="234"/>
      <c r="BEL978" s="234"/>
      <c r="BEM978" s="236"/>
      <c r="BEN978" s="244"/>
      <c r="BEO978" s="239"/>
      <c r="BEP978" s="240"/>
      <c r="BEQ978" s="241"/>
      <c r="BER978" s="239"/>
      <c r="BES978" s="239"/>
      <c r="BET978" s="239"/>
      <c r="BEU978" s="239"/>
      <c r="BEV978" s="239"/>
      <c r="BEW978" s="239"/>
      <c r="BEX978" s="233"/>
      <c r="BEY978" s="235"/>
      <c r="BEZ978" s="233"/>
      <c r="BFA978" s="233"/>
      <c r="BFB978" s="234"/>
      <c r="BFC978" s="234"/>
      <c r="BFD978" s="242"/>
      <c r="BFE978" s="234"/>
      <c r="BFF978" s="234"/>
      <c r="BFG978" s="234"/>
      <c r="BFH978" s="236"/>
      <c r="BFI978" s="244"/>
      <c r="BFJ978" s="239"/>
      <c r="BFK978" s="240"/>
      <c r="BFL978" s="241"/>
      <c r="BFM978" s="239"/>
      <c r="BFN978" s="239"/>
      <c r="BFO978" s="239"/>
      <c r="BFP978" s="239"/>
      <c r="BFQ978" s="239"/>
      <c r="BFR978" s="239"/>
      <c r="BFS978" s="233"/>
      <c r="BFT978" s="235"/>
      <c r="BFU978" s="233"/>
      <c r="BFV978" s="233"/>
      <c r="BFW978" s="234"/>
      <c r="BFX978" s="234"/>
      <c r="BFY978" s="242"/>
      <c r="BFZ978" s="234"/>
      <c r="BGA978" s="234"/>
      <c r="BGB978" s="234"/>
      <c r="BGC978" s="236"/>
      <c r="BGD978" s="244"/>
      <c r="BGE978" s="239"/>
      <c r="BGF978" s="240"/>
      <c r="BGG978" s="241"/>
      <c r="BGH978" s="239"/>
      <c r="BGI978" s="239"/>
      <c r="BGJ978" s="239"/>
      <c r="BGK978" s="239"/>
      <c r="BGL978" s="239"/>
      <c r="BGM978" s="239"/>
      <c r="BGN978" s="233"/>
      <c r="BGO978" s="235"/>
      <c r="BGP978" s="233"/>
      <c r="BGQ978" s="233"/>
      <c r="BGR978" s="234"/>
      <c r="BGS978" s="234"/>
      <c r="BGT978" s="242"/>
      <c r="BGU978" s="234"/>
      <c r="BGV978" s="234"/>
      <c r="BGW978" s="234"/>
      <c r="BGX978" s="236"/>
      <c r="BGY978" s="244"/>
      <c r="BGZ978" s="239"/>
      <c r="BHA978" s="240"/>
      <c r="BHB978" s="241"/>
      <c r="BHC978" s="239"/>
      <c r="BHD978" s="239"/>
      <c r="BHE978" s="239"/>
      <c r="BHF978" s="239"/>
      <c r="BHG978" s="239"/>
      <c r="BHH978" s="239"/>
      <c r="BHI978" s="233"/>
      <c r="BHJ978" s="235"/>
      <c r="BHK978" s="233"/>
      <c r="BHL978" s="233"/>
      <c r="BHM978" s="234"/>
      <c r="BHN978" s="234"/>
      <c r="BHO978" s="242"/>
      <c r="BHP978" s="234"/>
      <c r="BHQ978" s="234"/>
      <c r="BHR978" s="234"/>
      <c r="BHS978" s="236"/>
      <c r="BHT978" s="244"/>
      <c r="BHU978" s="239"/>
      <c r="BHV978" s="240"/>
      <c r="BHW978" s="241"/>
      <c r="BHX978" s="239"/>
      <c r="BHY978" s="239"/>
      <c r="BHZ978" s="239"/>
      <c r="BIA978" s="239"/>
      <c r="BIB978" s="239"/>
      <c r="BIC978" s="239"/>
      <c r="BID978" s="233"/>
      <c r="BIE978" s="235"/>
      <c r="BIF978" s="233"/>
      <c r="BIG978" s="233"/>
      <c r="BIH978" s="234"/>
      <c r="BII978" s="234"/>
      <c r="BIJ978" s="242"/>
      <c r="BIK978" s="234"/>
      <c r="BIL978" s="234"/>
      <c r="BIM978" s="234"/>
      <c r="BIN978" s="236"/>
      <c r="BIO978" s="244"/>
      <c r="BIP978" s="239"/>
      <c r="BIQ978" s="240"/>
      <c r="BIR978" s="241"/>
      <c r="BIS978" s="239"/>
      <c r="BIT978" s="239"/>
      <c r="BIU978" s="239"/>
      <c r="BIV978" s="239"/>
      <c r="BIW978" s="239"/>
      <c r="BIX978" s="239"/>
      <c r="BIY978" s="233"/>
      <c r="BIZ978" s="235"/>
      <c r="BJA978" s="233"/>
      <c r="BJB978" s="233"/>
      <c r="BJC978" s="234"/>
      <c r="BJD978" s="234"/>
      <c r="BJE978" s="242"/>
      <c r="BJF978" s="234"/>
      <c r="BJG978" s="234"/>
      <c r="BJH978" s="234"/>
      <c r="BJI978" s="236"/>
      <c r="BJJ978" s="244"/>
      <c r="BJK978" s="239"/>
      <c r="BJL978" s="240"/>
      <c r="BJM978" s="241"/>
      <c r="BJN978" s="239"/>
      <c r="BJO978" s="239"/>
      <c r="BJP978" s="239"/>
      <c r="BJQ978" s="239"/>
      <c r="BJR978" s="239"/>
      <c r="BJS978" s="239"/>
      <c r="BJT978" s="233"/>
      <c r="BJU978" s="235"/>
      <c r="BJV978" s="233"/>
      <c r="BJW978" s="233"/>
      <c r="BJX978" s="234"/>
      <c r="BJY978" s="234"/>
      <c r="BJZ978" s="242"/>
      <c r="BKA978" s="234"/>
      <c r="BKB978" s="234"/>
      <c r="BKC978" s="234"/>
      <c r="BKD978" s="236"/>
      <c r="BKE978" s="244"/>
      <c r="BKF978" s="239"/>
      <c r="BKG978" s="240"/>
      <c r="BKH978" s="241"/>
      <c r="BKI978" s="239"/>
      <c r="BKJ978" s="239"/>
      <c r="BKK978" s="239"/>
      <c r="BKL978" s="239"/>
      <c r="BKM978" s="239"/>
      <c r="BKN978" s="239"/>
      <c r="BKO978" s="233"/>
      <c r="BKP978" s="235"/>
      <c r="BKQ978" s="233"/>
      <c r="BKR978" s="233"/>
      <c r="BKS978" s="234"/>
      <c r="BKT978" s="234"/>
      <c r="BKU978" s="242"/>
      <c r="BKV978" s="234"/>
      <c r="BKW978" s="234"/>
      <c r="BKX978" s="234"/>
      <c r="BKY978" s="236"/>
      <c r="BKZ978" s="244"/>
      <c r="BLA978" s="239"/>
      <c r="BLB978" s="240"/>
      <c r="BLC978" s="241"/>
      <c r="BLD978" s="239"/>
      <c r="BLE978" s="239"/>
      <c r="BLF978" s="239"/>
      <c r="BLG978" s="239"/>
      <c r="BLH978" s="239"/>
      <c r="BLI978" s="239"/>
      <c r="BLJ978" s="233"/>
      <c r="BLK978" s="235"/>
      <c r="BLL978" s="233"/>
      <c r="BLM978" s="233"/>
      <c r="BLN978" s="234"/>
      <c r="BLO978" s="234"/>
      <c r="BLP978" s="242"/>
      <c r="BLQ978" s="234"/>
      <c r="BLR978" s="234"/>
      <c r="BLS978" s="234"/>
      <c r="BLT978" s="236"/>
      <c r="BLU978" s="244"/>
      <c r="BLV978" s="239"/>
      <c r="BLW978" s="240"/>
      <c r="BLX978" s="241"/>
      <c r="BLY978" s="239"/>
      <c r="BLZ978" s="239"/>
      <c r="BMA978" s="239"/>
      <c r="BMB978" s="239"/>
      <c r="BMC978" s="239"/>
      <c r="BMD978" s="239"/>
      <c r="BME978" s="233"/>
      <c r="BMF978" s="235"/>
      <c r="BMG978" s="233"/>
      <c r="BMH978" s="233"/>
      <c r="BMI978" s="234"/>
      <c r="BMJ978" s="234"/>
      <c r="BMK978" s="242"/>
      <c r="BML978" s="234"/>
      <c r="BMM978" s="234"/>
      <c r="BMN978" s="234"/>
      <c r="BMO978" s="236"/>
      <c r="BMP978" s="244"/>
      <c r="BMQ978" s="239"/>
      <c r="BMR978" s="240"/>
      <c r="BMS978" s="241"/>
      <c r="BMT978" s="239"/>
      <c r="BMU978" s="239"/>
      <c r="BMV978" s="239"/>
      <c r="BMW978" s="239"/>
      <c r="BMX978" s="239"/>
      <c r="BMY978" s="239"/>
      <c r="BMZ978" s="233"/>
      <c r="BNA978" s="235"/>
      <c r="BNB978" s="233"/>
      <c r="BNC978" s="233"/>
      <c r="BND978" s="234"/>
      <c r="BNE978" s="234"/>
      <c r="BNF978" s="242"/>
      <c r="BNG978" s="234"/>
      <c r="BNH978" s="234"/>
      <c r="BNI978" s="234"/>
      <c r="BNJ978" s="236"/>
      <c r="BNK978" s="244"/>
      <c r="BNL978" s="239"/>
      <c r="BNM978" s="240"/>
      <c r="BNN978" s="241"/>
      <c r="BNO978" s="239"/>
      <c r="BNP978" s="239"/>
      <c r="BNQ978" s="239"/>
      <c r="BNR978" s="239"/>
      <c r="BNS978" s="239"/>
      <c r="BNT978" s="239"/>
      <c r="BNU978" s="233"/>
      <c r="BNV978" s="235"/>
      <c r="BNW978" s="233"/>
      <c r="BNX978" s="233"/>
      <c r="BNY978" s="234"/>
      <c r="BNZ978" s="234"/>
      <c r="BOA978" s="242"/>
      <c r="BOB978" s="234"/>
      <c r="BOC978" s="234"/>
      <c r="BOD978" s="234"/>
      <c r="BOE978" s="236"/>
      <c r="BOF978" s="244"/>
      <c r="BOG978" s="239"/>
      <c r="BOH978" s="240"/>
      <c r="BOI978" s="241"/>
      <c r="BOJ978" s="239"/>
      <c r="BOK978" s="239"/>
      <c r="BOL978" s="239"/>
      <c r="BOM978" s="239"/>
      <c r="BON978" s="239"/>
      <c r="BOO978" s="239"/>
      <c r="BOP978" s="233"/>
      <c r="BOQ978" s="235"/>
      <c r="BOR978" s="233"/>
      <c r="BOS978" s="233"/>
      <c r="BOT978" s="234"/>
      <c r="BOU978" s="234"/>
      <c r="BOV978" s="242"/>
      <c r="BOW978" s="234"/>
      <c r="BOX978" s="234"/>
      <c r="BOY978" s="234"/>
      <c r="BOZ978" s="236"/>
      <c r="BPA978" s="244"/>
      <c r="BPB978" s="239"/>
      <c r="BPC978" s="240"/>
      <c r="BPD978" s="241"/>
      <c r="BPE978" s="239"/>
      <c r="BPF978" s="239"/>
      <c r="BPG978" s="239"/>
      <c r="BPH978" s="239"/>
      <c r="BPI978" s="239"/>
      <c r="BPJ978" s="239"/>
      <c r="BPK978" s="233"/>
      <c r="BPL978" s="235"/>
      <c r="BPM978" s="233"/>
      <c r="BPN978" s="233"/>
      <c r="BPO978" s="234"/>
      <c r="BPP978" s="234"/>
      <c r="BPQ978" s="242"/>
      <c r="BPR978" s="234"/>
      <c r="BPS978" s="234"/>
      <c r="BPT978" s="234"/>
      <c r="BPU978" s="236"/>
      <c r="BPV978" s="244"/>
      <c r="BPW978" s="239"/>
      <c r="BPX978" s="240"/>
      <c r="BPY978" s="241"/>
      <c r="BPZ978" s="239"/>
      <c r="BQA978" s="239"/>
      <c r="BQB978" s="239"/>
      <c r="BQC978" s="239"/>
      <c r="BQD978" s="239"/>
      <c r="BQE978" s="239"/>
      <c r="BQF978" s="233"/>
      <c r="BQG978" s="235"/>
      <c r="BQH978" s="233"/>
      <c r="BQI978" s="233"/>
      <c r="BQJ978" s="234"/>
      <c r="BQK978" s="234"/>
      <c r="BQL978" s="242"/>
      <c r="BQM978" s="234"/>
      <c r="BQN978" s="234"/>
      <c r="BQO978" s="234"/>
      <c r="BQP978" s="236"/>
      <c r="BQQ978" s="244"/>
      <c r="BQR978" s="239"/>
      <c r="BQS978" s="240"/>
      <c r="BQT978" s="241"/>
      <c r="BQU978" s="239"/>
      <c r="BQV978" s="239"/>
      <c r="BQW978" s="239"/>
      <c r="BQX978" s="239"/>
      <c r="BQY978" s="239"/>
      <c r="BQZ978" s="239"/>
      <c r="BRA978" s="233"/>
      <c r="BRB978" s="235"/>
      <c r="BRC978" s="233"/>
      <c r="BRD978" s="233"/>
      <c r="BRE978" s="234"/>
      <c r="BRF978" s="234"/>
      <c r="BRG978" s="242"/>
      <c r="BRH978" s="234"/>
      <c r="BRI978" s="234"/>
      <c r="BRJ978" s="234"/>
      <c r="BRK978" s="236"/>
      <c r="BRL978" s="244"/>
      <c r="BRM978" s="239"/>
      <c r="BRN978" s="240"/>
      <c r="BRO978" s="241"/>
      <c r="BRP978" s="239"/>
      <c r="BRQ978" s="239"/>
      <c r="BRR978" s="239"/>
      <c r="BRS978" s="239"/>
      <c r="BRT978" s="239"/>
      <c r="BRU978" s="239"/>
      <c r="BRV978" s="233"/>
      <c r="BRW978" s="235"/>
      <c r="BRX978" s="233"/>
      <c r="BRY978" s="233"/>
      <c r="BRZ978" s="234"/>
      <c r="BSA978" s="234"/>
      <c r="BSB978" s="242"/>
      <c r="BSC978" s="234"/>
      <c r="BSD978" s="234"/>
      <c r="BSE978" s="234"/>
      <c r="BSF978" s="236"/>
      <c r="BSG978" s="244"/>
      <c r="BSH978" s="239"/>
      <c r="BSI978" s="240"/>
      <c r="BSJ978" s="241"/>
      <c r="BSK978" s="239"/>
      <c r="BSL978" s="239"/>
      <c r="BSM978" s="239"/>
      <c r="BSN978" s="239"/>
      <c r="BSO978" s="239"/>
      <c r="BSP978" s="239"/>
      <c r="BSQ978" s="233"/>
      <c r="BSR978" s="235"/>
      <c r="BSS978" s="233"/>
      <c r="BST978" s="233"/>
      <c r="BSU978" s="234"/>
      <c r="BSV978" s="234"/>
      <c r="BSW978" s="242"/>
      <c r="BSX978" s="234"/>
      <c r="BSY978" s="234"/>
      <c r="BSZ978" s="234"/>
      <c r="BTA978" s="236"/>
      <c r="BTB978" s="244"/>
      <c r="BTC978" s="239"/>
      <c r="BTD978" s="240"/>
      <c r="BTE978" s="241"/>
      <c r="BTF978" s="239"/>
      <c r="BTG978" s="239"/>
      <c r="BTH978" s="239"/>
      <c r="BTI978" s="239"/>
      <c r="BTJ978" s="239"/>
      <c r="BTK978" s="239"/>
      <c r="BTL978" s="233"/>
      <c r="BTM978" s="235"/>
      <c r="BTN978" s="233"/>
      <c r="BTO978" s="233"/>
      <c r="BTP978" s="234"/>
      <c r="BTQ978" s="234"/>
      <c r="BTR978" s="242"/>
      <c r="BTS978" s="234"/>
      <c r="BTT978" s="234"/>
      <c r="BTU978" s="234"/>
      <c r="BTV978" s="236"/>
      <c r="BTW978" s="244"/>
      <c r="BTX978" s="239"/>
      <c r="BTY978" s="240"/>
      <c r="BTZ978" s="241"/>
      <c r="BUA978" s="239"/>
      <c r="BUB978" s="239"/>
      <c r="BUC978" s="239"/>
      <c r="BUD978" s="239"/>
      <c r="BUE978" s="239"/>
      <c r="BUF978" s="239"/>
      <c r="BUG978" s="233"/>
      <c r="BUH978" s="235"/>
      <c r="BUI978" s="233"/>
      <c r="BUJ978" s="233"/>
      <c r="BUK978" s="234"/>
      <c r="BUL978" s="234"/>
      <c r="BUM978" s="242"/>
      <c r="BUN978" s="234"/>
      <c r="BUO978" s="234"/>
      <c r="BUP978" s="234"/>
      <c r="BUQ978" s="236"/>
      <c r="BUR978" s="244"/>
      <c r="BUS978" s="239"/>
      <c r="BUT978" s="240"/>
      <c r="BUU978" s="241"/>
      <c r="BUV978" s="239"/>
      <c r="BUW978" s="239"/>
      <c r="BUX978" s="239"/>
      <c r="BUY978" s="239"/>
      <c r="BUZ978" s="239"/>
      <c r="BVA978" s="239"/>
      <c r="BVB978" s="233"/>
      <c r="BVC978" s="235"/>
      <c r="BVD978" s="233"/>
      <c r="BVE978" s="233"/>
      <c r="BVF978" s="234"/>
      <c r="BVG978" s="234"/>
      <c r="BVH978" s="242"/>
      <c r="BVI978" s="234"/>
      <c r="BVJ978" s="234"/>
      <c r="BVK978" s="234"/>
      <c r="BVL978" s="236"/>
      <c r="BVM978" s="244"/>
      <c r="BVN978" s="239"/>
      <c r="BVO978" s="240"/>
      <c r="BVP978" s="241"/>
      <c r="BVQ978" s="239"/>
      <c r="BVR978" s="239"/>
      <c r="BVS978" s="239"/>
      <c r="BVT978" s="239"/>
      <c r="BVU978" s="239"/>
      <c r="BVV978" s="239"/>
      <c r="BVW978" s="233"/>
      <c r="BVX978" s="235"/>
      <c r="BVY978" s="233"/>
      <c r="BVZ978" s="233"/>
      <c r="BWA978" s="234"/>
      <c r="BWB978" s="234"/>
      <c r="BWC978" s="242"/>
      <c r="BWD978" s="234"/>
      <c r="BWE978" s="234"/>
      <c r="BWF978" s="234"/>
      <c r="BWG978" s="236"/>
      <c r="BWH978" s="244"/>
      <c r="BWI978" s="239"/>
      <c r="BWJ978" s="240"/>
      <c r="BWK978" s="241"/>
      <c r="BWL978" s="239"/>
      <c r="BWM978" s="239"/>
      <c r="BWN978" s="239"/>
      <c r="BWO978" s="239"/>
      <c r="BWP978" s="239"/>
      <c r="BWQ978" s="239"/>
      <c r="BWR978" s="233"/>
      <c r="BWS978" s="235"/>
      <c r="BWT978" s="233"/>
      <c r="BWU978" s="233"/>
      <c r="BWV978" s="234"/>
      <c r="BWW978" s="234"/>
      <c r="BWX978" s="242"/>
      <c r="BWY978" s="234"/>
      <c r="BWZ978" s="234"/>
      <c r="BXA978" s="234"/>
      <c r="BXB978" s="236"/>
      <c r="BXC978" s="244"/>
      <c r="BXD978" s="239"/>
      <c r="BXE978" s="240"/>
      <c r="BXF978" s="241"/>
      <c r="BXG978" s="239"/>
      <c r="BXH978" s="239"/>
      <c r="BXI978" s="239"/>
      <c r="BXJ978" s="239"/>
      <c r="BXK978" s="239"/>
      <c r="BXL978" s="239"/>
      <c r="BXM978" s="233"/>
      <c r="BXN978" s="235"/>
      <c r="BXO978" s="233"/>
      <c r="BXP978" s="233"/>
      <c r="BXQ978" s="234"/>
      <c r="BXR978" s="234"/>
      <c r="BXS978" s="242"/>
      <c r="BXT978" s="234"/>
      <c r="BXU978" s="234"/>
      <c r="BXV978" s="234"/>
      <c r="BXW978" s="236"/>
      <c r="BXX978" s="244"/>
      <c r="BXY978" s="239"/>
      <c r="BXZ978" s="240"/>
      <c r="BYA978" s="241"/>
      <c r="BYB978" s="239"/>
      <c r="BYC978" s="239"/>
      <c r="BYD978" s="239"/>
      <c r="BYE978" s="239"/>
      <c r="BYF978" s="239"/>
      <c r="BYG978" s="239"/>
      <c r="BYH978" s="233"/>
      <c r="BYI978" s="235"/>
      <c r="BYJ978" s="233"/>
      <c r="BYK978" s="233"/>
      <c r="BYL978" s="234"/>
      <c r="BYM978" s="234"/>
      <c r="BYN978" s="242"/>
      <c r="BYO978" s="234"/>
      <c r="BYP978" s="234"/>
      <c r="BYQ978" s="234"/>
      <c r="BYR978" s="236"/>
      <c r="BYS978" s="244"/>
      <c r="BYT978" s="239"/>
      <c r="BYU978" s="240"/>
      <c r="BYV978" s="241"/>
      <c r="BYW978" s="239"/>
      <c r="BYX978" s="239"/>
      <c r="BYY978" s="239"/>
      <c r="BYZ978" s="239"/>
      <c r="BZA978" s="239"/>
      <c r="BZB978" s="239"/>
      <c r="BZC978" s="233"/>
      <c r="BZD978" s="235"/>
      <c r="BZE978" s="233"/>
      <c r="BZF978" s="233"/>
      <c r="BZG978" s="234"/>
      <c r="BZH978" s="234"/>
      <c r="BZI978" s="242"/>
      <c r="BZJ978" s="234"/>
      <c r="BZK978" s="234"/>
      <c r="BZL978" s="234"/>
      <c r="BZM978" s="236"/>
      <c r="BZN978" s="244"/>
      <c r="BZO978" s="239"/>
      <c r="BZP978" s="240"/>
      <c r="BZQ978" s="241"/>
      <c r="BZR978" s="239"/>
      <c r="BZS978" s="239"/>
      <c r="BZT978" s="239"/>
      <c r="BZU978" s="239"/>
      <c r="BZV978" s="239"/>
      <c r="BZW978" s="239"/>
      <c r="BZX978" s="233"/>
      <c r="BZY978" s="235"/>
      <c r="BZZ978" s="233"/>
      <c r="CAA978" s="233"/>
      <c r="CAB978" s="234"/>
      <c r="CAC978" s="234"/>
      <c r="CAD978" s="242"/>
      <c r="CAE978" s="234"/>
      <c r="CAF978" s="234"/>
      <c r="CAG978" s="234"/>
      <c r="CAH978" s="236"/>
      <c r="CAI978" s="244"/>
      <c r="CAJ978" s="239"/>
      <c r="CAK978" s="240"/>
      <c r="CAL978" s="241"/>
      <c r="CAM978" s="239"/>
      <c r="CAN978" s="239"/>
      <c r="CAO978" s="239"/>
      <c r="CAP978" s="239"/>
      <c r="CAQ978" s="239"/>
      <c r="CAR978" s="239"/>
      <c r="CAS978" s="233"/>
      <c r="CAT978" s="235"/>
      <c r="CAU978" s="233"/>
      <c r="CAV978" s="233"/>
      <c r="CAW978" s="234"/>
      <c r="CAX978" s="234"/>
      <c r="CAY978" s="242"/>
      <c r="CAZ978" s="234"/>
      <c r="CBA978" s="234"/>
      <c r="CBB978" s="234"/>
      <c r="CBC978" s="236"/>
      <c r="CBD978" s="244"/>
      <c r="CBE978" s="239"/>
      <c r="CBF978" s="240"/>
      <c r="CBG978" s="241"/>
      <c r="CBH978" s="239"/>
      <c r="CBI978" s="239"/>
      <c r="CBJ978" s="239"/>
      <c r="CBK978" s="239"/>
      <c r="CBL978" s="239"/>
      <c r="CBM978" s="239"/>
      <c r="CBN978" s="233"/>
      <c r="CBO978" s="235"/>
      <c r="CBP978" s="233"/>
      <c r="CBQ978" s="233"/>
      <c r="CBR978" s="234"/>
      <c r="CBS978" s="234"/>
      <c r="CBT978" s="242"/>
      <c r="CBU978" s="234"/>
      <c r="CBV978" s="234"/>
      <c r="CBW978" s="234"/>
      <c r="CBX978" s="236"/>
      <c r="CBY978" s="244"/>
      <c r="CBZ978" s="239"/>
      <c r="CCA978" s="240"/>
      <c r="CCB978" s="241"/>
      <c r="CCC978" s="239"/>
      <c r="CCD978" s="239"/>
      <c r="CCE978" s="239"/>
      <c r="CCF978" s="239"/>
      <c r="CCG978" s="239"/>
      <c r="CCH978" s="239"/>
      <c r="CCI978" s="233"/>
      <c r="CCJ978" s="235"/>
      <c r="CCK978" s="233"/>
      <c r="CCL978" s="233"/>
      <c r="CCM978" s="234"/>
      <c r="CCN978" s="234"/>
      <c r="CCO978" s="242"/>
      <c r="CCP978" s="234"/>
      <c r="CCQ978" s="234"/>
      <c r="CCR978" s="234"/>
      <c r="CCS978" s="236"/>
      <c r="CCT978" s="244"/>
      <c r="CCU978" s="239"/>
      <c r="CCV978" s="240"/>
      <c r="CCW978" s="241"/>
      <c r="CCX978" s="239"/>
      <c r="CCY978" s="239"/>
      <c r="CCZ978" s="239"/>
      <c r="CDA978" s="239"/>
      <c r="CDB978" s="239"/>
      <c r="CDC978" s="239"/>
      <c r="CDD978" s="233"/>
      <c r="CDE978" s="235"/>
      <c r="CDF978" s="233"/>
      <c r="CDG978" s="233"/>
      <c r="CDH978" s="234"/>
      <c r="CDI978" s="234"/>
      <c r="CDJ978" s="242"/>
      <c r="CDK978" s="234"/>
      <c r="CDL978" s="234"/>
      <c r="CDM978" s="234"/>
      <c r="CDN978" s="236"/>
      <c r="CDO978" s="244"/>
      <c r="CDP978" s="239"/>
      <c r="CDQ978" s="240"/>
      <c r="CDR978" s="241"/>
      <c r="CDS978" s="239"/>
      <c r="CDT978" s="239"/>
      <c r="CDU978" s="239"/>
      <c r="CDV978" s="239"/>
      <c r="CDW978" s="239"/>
      <c r="CDX978" s="239"/>
      <c r="CDY978" s="233"/>
      <c r="CDZ978" s="235"/>
      <c r="CEA978" s="233"/>
      <c r="CEB978" s="233"/>
      <c r="CEC978" s="234"/>
      <c r="CED978" s="234"/>
      <c r="CEE978" s="242"/>
      <c r="CEF978" s="234"/>
      <c r="CEG978" s="234"/>
      <c r="CEH978" s="234"/>
      <c r="CEI978" s="236"/>
      <c r="CEJ978" s="244"/>
      <c r="CEK978" s="239"/>
      <c r="CEL978" s="240"/>
      <c r="CEM978" s="241"/>
      <c r="CEN978" s="239"/>
      <c r="CEO978" s="239"/>
      <c r="CEP978" s="239"/>
      <c r="CEQ978" s="239"/>
      <c r="CER978" s="239"/>
      <c r="CES978" s="239"/>
      <c r="CET978" s="233"/>
      <c r="CEU978" s="235"/>
      <c r="CEV978" s="233"/>
      <c r="CEW978" s="233"/>
      <c r="CEX978" s="234"/>
      <c r="CEY978" s="234"/>
      <c r="CEZ978" s="242"/>
      <c r="CFA978" s="234"/>
      <c r="CFB978" s="234"/>
      <c r="CFC978" s="234"/>
      <c r="CFD978" s="236"/>
      <c r="CFE978" s="244"/>
      <c r="CFF978" s="239"/>
      <c r="CFG978" s="240"/>
      <c r="CFH978" s="241"/>
      <c r="CFI978" s="239"/>
      <c r="CFJ978" s="239"/>
      <c r="CFK978" s="239"/>
      <c r="CFL978" s="239"/>
      <c r="CFM978" s="239"/>
      <c r="CFN978" s="239"/>
      <c r="CFO978" s="233"/>
      <c r="CFP978" s="235"/>
      <c r="CFQ978" s="233"/>
      <c r="CFR978" s="233"/>
      <c r="CFS978" s="234"/>
      <c r="CFT978" s="234"/>
      <c r="CFU978" s="242"/>
      <c r="CFV978" s="234"/>
      <c r="CFW978" s="234"/>
      <c r="CFX978" s="234"/>
      <c r="CFY978" s="236"/>
      <c r="CFZ978" s="244"/>
      <c r="CGA978" s="239"/>
      <c r="CGB978" s="240"/>
      <c r="CGC978" s="241"/>
      <c r="CGD978" s="239"/>
      <c r="CGE978" s="239"/>
      <c r="CGF978" s="239"/>
      <c r="CGG978" s="239"/>
      <c r="CGH978" s="239"/>
      <c r="CGI978" s="239"/>
      <c r="CGJ978" s="233"/>
      <c r="CGK978" s="235"/>
      <c r="CGL978" s="233"/>
      <c r="CGM978" s="233"/>
      <c r="CGN978" s="234"/>
      <c r="CGO978" s="234"/>
      <c r="CGP978" s="242"/>
      <c r="CGQ978" s="234"/>
      <c r="CGR978" s="234"/>
      <c r="CGS978" s="234"/>
      <c r="CGT978" s="236"/>
      <c r="CGU978" s="244"/>
      <c r="CGV978" s="239"/>
      <c r="CGW978" s="240"/>
      <c r="CGX978" s="241"/>
      <c r="CGY978" s="239"/>
      <c r="CGZ978" s="239"/>
      <c r="CHA978" s="239"/>
      <c r="CHB978" s="239"/>
      <c r="CHC978" s="239"/>
      <c r="CHD978" s="239"/>
      <c r="CHE978" s="233"/>
      <c r="CHF978" s="235"/>
      <c r="CHG978" s="233"/>
      <c r="CHH978" s="233"/>
      <c r="CHI978" s="234"/>
      <c r="CHJ978" s="234"/>
      <c r="CHK978" s="242"/>
      <c r="CHL978" s="234"/>
      <c r="CHM978" s="234"/>
      <c r="CHN978" s="234"/>
      <c r="CHO978" s="236"/>
      <c r="CHP978" s="244"/>
      <c r="CHQ978" s="239"/>
      <c r="CHR978" s="240"/>
      <c r="CHS978" s="241"/>
      <c r="CHT978" s="239"/>
      <c r="CHU978" s="239"/>
      <c r="CHV978" s="239"/>
      <c r="CHW978" s="239"/>
      <c r="CHX978" s="239"/>
      <c r="CHY978" s="239"/>
      <c r="CHZ978" s="233"/>
      <c r="CIA978" s="235"/>
      <c r="CIB978" s="233"/>
      <c r="CIC978" s="233"/>
      <c r="CID978" s="234"/>
      <c r="CIE978" s="234"/>
      <c r="CIF978" s="242"/>
      <c r="CIG978" s="234"/>
      <c r="CIH978" s="234"/>
      <c r="CII978" s="234"/>
      <c r="CIJ978" s="236"/>
      <c r="CIK978" s="244"/>
      <c r="CIL978" s="239"/>
      <c r="CIM978" s="240"/>
      <c r="CIN978" s="241"/>
      <c r="CIO978" s="239"/>
      <c r="CIP978" s="239"/>
      <c r="CIQ978" s="239"/>
      <c r="CIR978" s="239"/>
      <c r="CIS978" s="239"/>
      <c r="CIT978" s="239"/>
      <c r="CIU978" s="233"/>
      <c r="CIV978" s="235"/>
      <c r="CIW978" s="233"/>
      <c r="CIX978" s="233"/>
      <c r="CIY978" s="234"/>
      <c r="CIZ978" s="234"/>
      <c r="CJA978" s="242"/>
      <c r="CJB978" s="234"/>
      <c r="CJC978" s="234"/>
      <c r="CJD978" s="234"/>
      <c r="CJE978" s="236"/>
      <c r="CJF978" s="244"/>
      <c r="CJG978" s="239"/>
      <c r="CJH978" s="240"/>
      <c r="CJI978" s="241"/>
      <c r="CJJ978" s="239"/>
      <c r="CJK978" s="239"/>
      <c r="CJL978" s="239"/>
      <c r="CJM978" s="239"/>
      <c r="CJN978" s="239"/>
      <c r="CJO978" s="239"/>
      <c r="CJP978" s="233"/>
      <c r="CJQ978" s="235"/>
      <c r="CJR978" s="233"/>
      <c r="CJS978" s="233"/>
      <c r="CJT978" s="234"/>
      <c r="CJU978" s="234"/>
      <c r="CJV978" s="242"/>
      <c r="CJW978" s="234"/>
      <c r="CJX978" s="234"/>
      <c r="CJY978" s="234"/>
      <c r="CJZ978" s="236"/>
      <c r="CKA978" s="244"/>
      <c r="CKB978" s="239"/>
      <c r="CKC978" s="240"/>
      <c r="CKD978" s="241"/>
      <c r="CKE978" s="239"/>
      <c r="CKF978" s="239"/>
      <c r="CKG978" s="239"/>
      <c r="CKH978" s="239"/>
      <c r="CKI978" s="239"/>
      <c r="CKJ978" s="239"/>
      <c r="CKK978" s="233"/>
      <c r="CKL978" s="235"/>
      <c r="CKM978" s="233"/>
      <c r="CKN978" s="233"/>
      <c r="CKO978" s="234"/>
      <c r="CKP978" s="234"/>
      <c r="CKQ978" s="242"/>
      <c r="CKR978" s="234"/>
      <c r="CKS978" s="234"/>
      <c r="CKT978" s="234"/>
      <c r="CKU978" s="236"/>
      <c r="CKV978" s="244"/>
      <c r="CKW978" s="239"/>
      <c r="CKX978" s="240"/>
      <c r="CKY978" s="241"/>
      <c r="CKZ978" s="239"/>
      <c r="CLA978" s="239"/>
      <c r="CLB978" s="239"/>
      <c r="CLC978" s="239"/>
      <c r="CLD978" s="239"/>
      <c r="CLE978" s="239"/>
      <c r="CLF978" s="233"/>
      <c r="CLG978" s="235"/>
      <c r="CLH978" s="233"/>
      <c r="CLI978" s="233"/>
      <c r="CLJ978" s="234"/>
      <c r="CLK978" s="234"/>
      <c r="CLL978" s="242"/>
      <c r="CLM978" s="234"/>
      <c r="CLN978" s="234"/>
      <c r="CLO978" s="234"/>
      <c r="CLP978" s="236"/>
      <c r="CLQ978" s="244"/>
      <c r="CLR978" s="239"/>
      <c r="CLS978" s="240"/>
      <c r="CLT978" s="241"/>
      <c r="CLU978" s="239"/>
      <c r="CLV978" s="239"/>
      <c r="CLW978" s="239"/>
      <c r="CLX978" s="239"/>
      <c r="CLY978" s="239"/>
      <c r="CLZ978" s="239"/>
      <c r="CMA978" s="233"/>
      <c r="CMB978" s="235"/>
      <c r="CMC978" s="233"/>
      <c r="CMD978" s="233"/>
      <c r="CME978" s="234"/>
      <c r="CMF978" s="234"/>
      <c r="CMG978" s="242"/>
      <c r="CMH978" s="234"/>
      <c r="CMI978" s="234"/>
      <c r="CMJ978" s="234"/>
      <c r="CMK978" s="236"/>
      <c r="CML978" s="244"/>
      <c r="CMM978" s="239"/>
      <c r="CMN978" s="240"/>
      <c r="CMO978" s="241"/>
      <c r="CMP978" s="239"/>
      <c r="CMQ978" s="239"/>
      <c r="CMR978" s="239"/>
      <c r="CMS978" s="239"/>
      <c r="CMT978" s="239"/>
      <c r="CMU978" s="239"/>
      <c r="CMV978" s="233"/>
      <c r="CMW978" s="235"/>
      <c r="CMX978" s="233"/>
      <c r="CMY978" s="233"/>
      <c r="CMZ978" s="234"/>
      <c r="CNA978" s="234"/>
      <c r="CNB978" s="242"/>
      <c r="CNC978" s="234"/>
      <c r="CND978" s="234"/>
      <c r="CNE978" s="234"/>
      <c r="CNF978" s="236"/>
      <c r="CNG978" s="244"/>
      <c r="CNH978" s="239"/>
      <c r="CNI978" s="240"/>
      <c r="CNJ978" s="241"/>
      <c r="CNK978" s="239"/>
      <c r="CNL978" s="239"/>
      <c r="CNM978" s="239"/>
      <c r="CNN978" s="239"/>
      <c r="CNO978" s="239"/>
      <c r="CNP978" s="239"/>
      <c r="CNQ978" s="233"/>
      <c r="CNR978" s="235"/>
      <c r="CNS978" s="233"/>
      <c r="CNT978" s="233"/>
      <c r="CNU978" s="234"/>
      <c r="CNV978" s="234"/>
      <c r="CNW978" s="242"/>
      <c r="CNX978" s="234"/>
      <c r="CNY978" s="234"/>
      <c r="CNZ978" s="234"/>
      <c r="COA978" s="236"/>
      <c r="COB978" s="244"/>
      <c r="COC978" s="239"/>
      <c r="COD978" s="240"/>
      <c r="COE978" s="241"/>
      <c r="COF978" s="239"/>
      <c r="COG978" s="239"/>
      <c r="COH978" s="239"/>
      <c r="COI978" s="239"/>
      <c r="COJ978" s="239"/>
      <c r="COK978" s="239"/>
      <c r="COL978" s="233"/>
      <c r="COM978" s="235"/>
      <c r="CON978" s="233"/>
      <c r="COO978" s="233"/>
      <c r="COP978" s="234"/>
      <c r="COQ978" s="234"/>
      <c r="COR978" s="242"/>
      <c r="COS978" s="234"/>
      <c r="COT978" s="234"/>
      <c r="COU978" s="234"/>
      <c r="COV978" s="236"/>
      <c r="COW978" s="244"/>
      <c r="COX978" s="239"/>
      <c r="COY978" s="240"/>
      <c r="COZ978" s="241"/>
      <c r="CPA978" s="239"/>
      <c r="CPB978" s="239"/>
      <c r="CPC978" s="239"/>
      <c r="CPD978" s="239"/>
      <c r="CPE978" s="239"/>
      <c r="CPF978" s="239"/>
      <c r="CPG978" s="233"/>
      <c r="CPH978" s="235"/>
      <c r="CPI978" s="233"/>
      <c r="CPJ978" s="233"/>
      <c r="CPK978" s="234"/>
      <c r="CPL978" s="234"/>
      <c r="CPM978" s="242"/>
      <c r="CPN978" s="234"/>
      <c r="CPO978" s="234"/>
      <c r="CPP978" s="234"/>
      <c r="CPQ978" s="236"/>
      <c r="CPR978" s="244"/>
      <c r="CPS978" s="239"/>
      <c r="CPT978" s="240"/>
      <c r="CPU978" s="241"/>
      <c r="CPV978" s="239"/>
      <c r="CPW978" s="239"/>
      <c r="CPX978" s="239"/>
      <c r="CPY978" s="239"/>
      <c r="CPZ978" s="239"/>
      <c r="CQA978" s="239"/>
      <c r="CQB978" s="233"/>
      <c r="CQC978" s="235"/>
      <c r="CQD978" s="233"/>
      <c r="CQE978" s="233"/>
      <c r="CQF978" s="234"/>
      <c r="CQG978" s="234"/>
      <c r="CQH978" s="242"/>
      <c r="CQI978" s="234"/>
      <c r="CQJ978" s="234"/>
      <c r="CQK978" s="234"/>
      <c r="CQL978" s="236"/>
      <c r="CQM978" s="244"/>
      <c r="CQN978" s="239"/>
      <c r="CQO978" s="240"/>
      <c r="CQP978" s="241"/>
      <c r="CQQ978" s="239"/>
      <c r="CQR978" s="239"/>
      <c r="CQS978" s="239"/>
      <c r="CQT978" s="239"/>
      <c r="CQU978" s="239"/>
      <c r="CQV978" s="239"/>
      <c r="CQW978" s="233"/>
      <c r="CQX978" s="235"/>
      <c r="CQY978" s="233"/>
      <c r="CQZ978" s="233"/>
      <c r="CRA978" s="234"/>
      <c r="CRB978" s="234"/>
      <c r="CRC978" s="242"/>
      <c r="CRD978" s="234"/>
      <c r="CRE978" s="234"/>
      <c r="CRF978" s="234"/>
      <c r="CRG978" s="236"/>
      <c r="CRH978" s="244"/>
      <c r="CRI978" s="239"/>
      <c r="CRJ978" s="240"/>
      <c r="CRK978" s="241"/>
      <c r="CRL978" s="239"/>
      <c r="CRM978" s="239"/>
      <c r="CRN978" s="239"/>
      <c r="CRO978" s="239"/>
      <c r="CRP978" s="239"/>
      <c r="CRQ978" s="239"/>
      <c r="CRR978" s="233"/>
      <c r="CRS978" s="235"/>
      <c r="CRT978" s="233"/>
      <c r="CRU978" s="233"/>
      <c r="CRV978" s="234"/>
      <c r="CRW978" s="234"/>
      <c r="CRX978" s="242"/>
      <c r="CRY978" s="234"/>
      <c r="CRZ978" s="234"/>
      <c r="CSA978" s="234"/>
      <c r="CSB978" s="236"/>
      <c r="CSC978" s="244"/>
      <c r="CSD978" s="239"/>
      <c r="CSE978" s="240"/>
      <c r="CSF978" s="241"/>
      <c r="CSG978" s="239"/>
      <c r="CSH978" s="239"/>
      <c r="CSI978" s="239"/>
      <c r="CSJ978" s="239"/>
      <c r="CSK978" s="239"/>
      <c r="CSL978" s="239"/>
      <c r="CSM978" s="233"/>
      <c r="CSN978" s="235"/>
      <c r="CSO978" s="233"/>
      <c r="CSP978" s="233"/>
      <c r="CSQ978" s="234"/>
      <c r="CSR978" s="234"/>
      <c r="CSS978" s="242"/>
      <c r="CST978" s="234"/>
      <c r="CSU978" s="234"/>
      <c r="CSV978" s="234"/>
      <c r="CSW978" s="236"/>
      <c r="CSX978" s="244"/>
      <c r="CSY978" s="239"/>
      <c r="CSZ978" s="240"/>
      <c r="CTA978" s="241"/>
      <c r="CTB978" s="239"/>
      <c r="CTC978" s="239"/>
      <c r="CTD978" s="239"/>
      <c r="CTE978" s="239"/>
      <c r="CTF978" s="239"/>
      <c r="CTG978" s="239"/>
      <c r="CTH978" s="233"/>
      <c r="CTI978" s="235"/>
      <c r="CTJ978" s="233"/>
      <c r="CTK978" s="233"/>
      <c r="CTL978" s="234"/>
      <c r="CTM978" s="234"/>
      <c r="CTN978" s="242"/>
      <c r="CTO978" s="234"/>
      <c r="CTP978" s="234"/>
      <c r="CTQ978" s="234"/>
      <c r="CTR978" s="236"/>
      <c r="CTS978" s="244"/>
      <c r="CTT978" s="239"/>
      <c r="CTU978" s="240"/>
      <c r="CTV978" s="241"/>
      <c r="CTW978" s="239"/>
      <c r="CTX978" s="239"/>
      <c r="CTY978" s="239"/>
      <c r="CTZ978" s="239"/>
      <c r="CUA978" s="239"/>
      <c r="CUB978" s="239"/>
      <c r="CUC978" s="233"/>
      <c r="CUD978" s="235"/>
      <c r="CUE978" s="233"/>
      <c r="CUF978" s="233"/>
      <c r="CUG978" s="234"/>
      <c r="CUH978" s="234"/>
      <c r="CUI978" s="242"/>
      <c r="CUJ978" s="234"/>
      <c r="CUK978" s="234"/>
      <c r="CUL978" s="234"/>
      <c r="CUM978" s="236"/>
      <c r="CUN978" s="244"/>
      <c r="CUO978" s="239"/>
      <c r="CUP978" s="240"/>
      <c r="CUQ978" s="241"/>
      <c r="CUR978" s="239"/>
      <c r="CUS978" s="239"/>
      <c r="CUT978" s="239"/>
      <c r="CUU978" s="239"/>
      <c r="CUV978" s="239"/>
      <c r="CUW978" s="239"/>
      <c r="CUX978" s="233"/>
      <c r="CUY978" s="235"/>
      <c r="CUZ978" s="233"/>
      <c r="CVA978" s="233"/>
      <c r="CVB978" s="234"/>
      <c r="CVC978" s="234"/>
      <c r="CVD978" s="242"/>
      <c r="CVE978" s="234"/>
      <c r="CVF978" s="234"/>
      <c r="CVG978" s="234"/>
      <c r="CVH978" s="236"/>
      <c r="CVI978" s="244"/>
      <c r="CVJ978" s="239"/>
      <c r="CVK978" s="240"/>
      <c r="CVL978" s="241"/>
      <c r="CVM978" s="239"/>
      <c r="CVN978" s="239"/>
      <c r="CVO978" s="239"/>
      <c r="CVP978" s="239"/>
      <c r="CVQ978" s="239"/>
      <c r="CVR978" s="239"/>
      <c r="CVS978" s="233"/>
      <c r="CVT978" s="235"/>
      <c r="CVU978" s="233"/>
      <c r="CVV978" s="233"/>
      <c r="CVW978" s="234"/>
      <c r="CVX978" s="234"/>
      <c r="CVY978" s="242"/>
      <c r="CVZ978" s="234"/>
      <c r="CWA978" s="234"/>
      <c r="CWB978" s="234"/>
      <c r="CWC978" s="236"/>
      <c r="CWD978" s="244"/>
      <c r="CWE978" s="239"/>
      <c r="CWF978" s="240"/>
      <c r="CWG978" s="241"/>
      <c r="CWH978" s="239"/>
      <c r="CWI978" s="239"/>
      <c r="CWJ978" s="239"/>
      <c r="CWK978" s="239"/>
      <c r="CWL978" s="239"/>
      <c r="CWM978" s="239"/>
      <c r="CWN978" s="233"/>
      <c r="CWO978" s="235"/>
      <c r="CWP978" s="233"/>
      <c r="CWQ978" s="233"/>
      <c r="CWR978" s="234"/>
      <c r="CWS978" s="234"/>
      <c r="CWT978" s="242"/>
      <c r="CWU978" s="234"/>
      <c r="CWV978" s="234"/>
      <c r="CWW978" s="234"/>
      <c r="CWX978" s="236"/>
      <c r="CWY978" s="244"/>
      <c r="CWZ978" s="239"/>
      <c r="CXA978" s="240"/>
      <c r="CXB978" s="241"/>
      <c r="CXC978" s="239"/>
      <c r="CXD978" s="239"/>
      <c r="CXE978" s="239"/>
      <c r="CXF978" s="239"/>
      <c r="CXG978" s="239"/>
      <c r="CXH978" s="239"/>
      <c r="CXI978" s="233"/>
      <c r="CXJ978" s="235"/>
      <c r="CXK978" s="233"/>
      <c r="CXL978" s="233"/>
      <c r="CXM978" s="234"/>
      <c r="CXN978" s="234"/>
      <c r="CXO978" s="242"/>
      <c r="CXP978" s="234"/>
      <c r="CXQ978" s="234"/>
      <c r="CXR978" s="234"/>
      <c r="CXS978" s="236"/>
      <c r="CXT978" s="244"/>
      <c r="CXU978" s="239"/>
      <c r="CXV978" s="240"/>
      <c r="CXW978" s="241"/>
      <c r="CXX978" s="239"/>
      <c r="CXY978" s="239"/>
      <c r="CXZ978" s="239"/>
      <c r="CYA978" s="239"/>
      <c r="CYB978" s="239"/>
      <c r="CYC978" s="239"/>
      <c r="CYD978" s="233"/>
      <c r="CYE978" s="235"/>
      <c r="CYF978" s="233"/>
      <c r="CYG978" s="233"/>
      <c r="CYH978" s="234"/>
      <c r="CYI978" s="234"/>
      <c r="CYJ978" s="242"/>
      <c r="CYK978" s="234"/>
      <c r="CYL978" s="234"/>
      <c r="CYM978" s="234"/>
      <c r="CYN978" s="236"/>
      <c r="CYO978" s="244"/>
      <c r="CYP978" s="239"/>
      <c r="CYQ978" s="240"/>
      <c r="CYR978" s="241"/>
      <c r="CYS978" s="239"/>
      <c r="CYT978" s="239"/>
      <c r="CYU978" s="239"/>
      <c r="CYV978" s="239"/>
      <c r="CYW978" s="239"/>
      <c r="CYX978" s="239"/>
      <c r="CYY978" s="233"/>
      <c r="CYZ978" s="235"/>
      <c r="CZA978" s="233"/>
      <c r="CZB978" s="233"/>
      <c r="CZC978" s="234"/>
      <c r="CZD978" s="234"/>
      <c r="CZE978" s="242"/>
      <c r="CZF978" s="234"/>
      <c r="CZG978" s="234"/>
      <c r="CZH978" s="234"/>
      <c r="CZI978" s="236"/>
      <c r="CZJ978" s="244"/>
      <c r="CZK978" s="239"/>
      <c r="CZL978" s="240"/>
      <c r="CZM978" s="241"/>
      <c r="CZN978" s="239"/>
      <c r="CZO978" s="239"/>
      <c r="CZP978" s="239"/>
      <c r="CZQ978" s="239"/>
      <c r="CZR978" s="239"/>
      <c r="CZS978" s="239"/>
      <c r="CZT978" s="233"/>
      <c r="CZU978" s="235"/>
      <c r="CZV978" s="233"/>
      <c r="CZW978" s="233"/>
      <c r="CZX978" s="234"/>
      <c r="CZY978" s="234"/>
      <c r="CZZ978" s="242"/>
      <c r="DAA978" s="234"/>
      <c r="DAB978" s="234"/>
      <c r="DAC978" s="234"/>
      <c r="DAD978" s="236"/>
      <c r="DAE978" s="244"/>
      <c r="DAF978" s="239"/>
      <c r="DAG978" s="240"/>
      <c r="DAH978" s="241"/>
      <c r="DAI978" s="239"/>
      <c r="DAJ978" s="239"/>
      <c r="DAK978" s="239"/>
      <c r="DAL978" s="239"/>
      <c r="DAM978" s="239"/>
      <c r="DAN978" s="239"/>
      <c r="DAO978" s="233"/>
      <c r="DAP978" s="235"/>
      <c r="DAQ978" s="233"/>
      <c r="DAR978" s="233"/>
      <c r="DAS978" s="234"/>
      <c r="DAT978" s="234"/>
      <c r="DAU978" s="242"/>
      <c r="DAV978" s="234"/>
      <c r="DAW978" s="234"/>
      <c r="DAX978" s="234"/>
      <c r="DAY978" s="236"/>
      <c r="DAZ978" s="244"/>
      <c r="DBA978" s="239"/>
      <c r="DBB978" s="240"/>
      <c r="DBC978" s="241"/>
      <c r="DBD978" s="239"/>
      <c r="DBE978" s="239"/>
      <c r="DBF978" s="239"/>
      <c r="DBG978" s="239"/>
      <c r="DBH978" s="239"/>
      <c r="DBI978" s="239"/>
      <c r="DBJ978" s="233"/>
      <c r="DBK978" s="235"/>
      <c r="DBL978" s="233"/>
      <c r="DBM978" s="233"/>
      <c r="DBN978" s="234"/>
      <c r="DBO978" s="234"/>
      <c r="DBP978" s="242"/>
      <c r="DBQ978" s="234"/>
      <c r="DBR978" s="234"/>
      <c r="DBS978" s="234"/>
      <c r="DBT978" s="236"/>
      <c r="DBU978" s="244"/>
      <c r="DBV978" s="239"/>
      <c r="DBW978" s="240"/>
      <c r="DBX978" s="241"/>
      <c r="DBY978" s="239"/>
      <c r="DBZ978" s="239"/>
      <c r="DCA978" s="239"/>
      <c r="DCB978" s="239"/>
      <c r="DCC978" s="239"/>
      <c r="DCD978" s="239"/>
      <c r="DCE978" s="233"/>
      <c r="DCF978" s="235"/>
      <c r="DCG978" s="233"/>
      <c r="DCH978" s="233"/>
      <c r="DCI978" s="234"/>
      <c r="DCJ978" s="234"/>
      <c r="DCK978" s="242"/>
      <c r="DCL978" s="234"/>
      <c r="DCM978" s="234"/>
      <c r="DCN978" s="234"/>
      <c r="DCO978" s="236"/>
      <c r="DCP978" s="244"/>
      <c r="DCQ978" s="239"/>
      <c r="DCR978" s="240"/>
      <c r="DCS978" s="241"/>
      <c r="DCT978" s="239"/>
      <c r="DCU978" s="239"/>
      <c r="DCV978" s="239"/>
      <c r="DCW978" s="239"/>
      <c r="DCX978" s="239"/>
      <c r="DCY978" s="239"/>
      <c r="DCZ978" s="233"/>
      <c r="DDA978" s="235"/>
      <c r="DDB978" s="233"/>
      <c r="DDC978" s="233"/>
      <c r="DDD978" s="234"/>
      <c r="DDE978" s="234"/>
      <c r="DDF978" s="242"/>
      <c r="DDG978" s="234"/>
      <c r="DDH978" s="234"/>
      <c r="DDI978" s="234"/>
      <c r="DDJ978" s="236"/>
      <c r="DDK978" s="244"/>
      <c r="DDL978" s="239"/>
      <c r="DDM978" s="240"/>
      <c r="DDN978" s="241"/>
      <c r="DDO978" s="239"/>
      <c r="DDP978" s="239"/>
      <c r="DDQ978" s="239"/>
      <c r="DDR978" s="239"/>
      <c r="DDS978" s="239"/>
      <c r="DDT978" s="239"/>
      <c r="DDU978" s="233"/>
      <c r="DDV978" s="235"/>
      <c r="DDW978" s="233"/>
      <c r="DDX978" s="233"/>
      <c r="DDY978" s="234"/>
      <c r="DDZ978" s="234"/>
      <c r="DEA978" s="242"/>
      <c r="DEB978" s="234"/>
      <c r="DEC978" s="234"/>
      <c r="DED978" s="234"/>
      <c r="DEE978" s="236"/>
      <c r="DEF978" s="244"/>
      <c r="DEG978" s="239"/>
      <c r="DEH978" s="240"/>
      <c r="DEI978" s="241"/>
      <c r="DEJ978" s="239"/>
      <c r="DEK978" s="239"/>
      <c r="DEL978" s="239"/>
      <c r="DEM978" s="239"/>
      <c r="DEN978" s="239"/>
      <c r="DEO978" s="239"/>
      <c r="DEP978" s="233"/>
      <c r="DEQ978" s="235"/>
      <c r="DER978" s="233"/>
      <c r="DES978" s="233"/>
      <c r="DET978" s="234"/>
      <c r="DEU978" s="234"/>
      <c r="DEV978" s="242"/>
      <c r="DEW978" s="234"/>
      <c r="DEX978" s="234"/>
      <c r="DEY978" s="234"/>
      <c r="DEZ978" s="236"/>
      <c r="DFA978" s="244"/>
      <c r="DFB978" s="239"/>
      <c r="DFC978" s="240"/>
      <c r="DFD978" s="241"/>
      <c r="DFE978" s="239"/>
      <c r="DFF978" s="239"/>
      <c r="DFG978" s="239"/>
      <c r="DFH978" s="239"/>
      <c r="DFI978" s="239"/>
      <c r="DFJ978" s="239"/>
      <c r="DFK978" s="233"/>
      <c r="DFL978" s="235"/>
      <c r="DFM978" s="233"/>
      <c r="DFN978" s="233"/>
      <c r="DFO978" s="234"/>
      <c r="DFP978" s="234"/>
      <c r="DFQ978" s="242"/>
      <c r="DFR978" s="234"/>
      <c r="DFS978" s="234"/>
      <c r="DFT978" s="234"/>
      <c r="DFU978" s="236"/>
      <c r="DFV978" s="244"/>
      <c r="DFW978" s="239"/>
      <c r="DFX978" s="240"/>
      <c r="DFY978" s="241"/>
      <c r="DFZ978" s="239"/>
      <c r="DGA978" s="239"/>
      <c r="DGB978" s="239"/>
      <c r="DGC978" s="239"/>
      <c r="DGD978" s="239"/>
      <c r="DGE978" s="239"/>
      <c r="DGF978" s="233"/>
      <c r="DGG978" s="235"/>
      <c r="DGH978" s="233"/>
      <c r="DGI978" s="233"/>
      <c r="DGJ978" s="234"/>
      <c r="DGK978" s="234"/>
      <c r="DGL978" s="242"/>
      <c r="DGM978" s="234"/>
      <c r="DGN978" s="234"/>
      <c r="DGO978" s="234"/>
      <c r="DGP978" s="236"/>
      <c r="DGQ978" s="244"/>
      <c r="DGR978" s="239"/>
      <c r="DGS978" s="240"/>
      <c r="DGT978" s="241"/>
      <c r="DGU978" s="239"/>
      <c r="DGV978" s="239"/>
      <c r="DGW978" s="239"/>
      <c r="DGX978" s="239"/>
      <c r="DGY978" s="239"/>
      <c r="DGZ978" s="239"/>
      <c r="DHA978" s="233"/>
      <c r="DHB978" s="235"/>
      <c r="DHC978" s="233"/>
      <c r="DHD978" s="233"/>
      <c r="DHE978" s="234"/>
      <c r="DHF978" s="234"/>
      <c r="DHG978" s="242"/>
      <c r="DHH978" s="234"/>
      <c r="DHI978" s="234"/>
      <c r="DHJ978" s="234"/>
      <c r="DHK978" s="236"/>
      <c r="DHL978" s="244"/>
      <c r="DHM978" s="239"/>
      <c r="DHN978" s="240"/>
      <c r="DHO978" s="241"/>
      <c r="DHP978" s="239"/>
      <c r="DHQ978" s="239"/>
      <c r="DHR978" s="239"/>
      <c r="DHS978" s="239"/>
      <c r="DHT978" s="239"/>
      <c r="DHU978" s="239"/>
      <c r="DHV978" s="233"/>
      <c r="DHW978" s="235"/>
      <c r="DHX978" s="233"/>
      <c r="DHY978" s="233"/>
      <c r="DHZ978" s="234"/>
      <c r="DIA978" s="234"/>
      <c r="DIB978" s="242"/>
      <c r="DIC978" s="234"/>
      <c r="DID978" s="234"/>
      <c r="DIE978" s="234"/>
      <c r="DIF978" s="236"/>
      <c r="DIG978" s="244"/>
      <c r="DIH978" s="239"/>
      <c r="DII978" s="240"/>
      <c r="DIJ978" s="241"/>
      <c r="DIK978" s="239"/>
      <c r="DIL978" s="239"/>
      <c r="DIM978" s="239"/>
      <c r="DIN978" s="239"/>
      <c r="DIO978" s="239"/>
      <c r="DIP978" s="239"/>
      <c r="DIQ978" s="233"/>
      <c r="DIR978" s="235"/>
      <c r="DIS978" s="233"/>
      <c r="DIT978" s="233"/>
      <c r="DIU978" s="234"/>
      <c r="DIV978" s="234"/>
      <c r="DIW978" s="242"/>
      <c r="DIX978" s="234"/>
      <c r="DIY978" s="234"/>
      <c r="DIZ978" s="234"/>
      <c r="DJA978" s="236"/>
      <c r="DJB978" s="244"/>
      <c r="DJC978" s="239"/>
      <c r="DJD978" s="240"/>
      <c r="DJE978" s="241"/>
      <c r="DJF978" s="239"/>
      <c r="DJG978" s="239"/>
      <c r="DJH978" s="239"/>
      <c r="DJI978" s="239"/>
      <c r="DJJ978" s="239"/>
      <c r="DJK978" s="239"/>
      <c r="DJL978" s="233"/>
      <c r="DJM978" s="235"/>
      <c r="DJN978" s="233"/>
      <c r="DJO978" s="233"/>
      <c r="DJP978" s="234"/>
      <c r="DJQ978" s="234"/>
      <c r="DJR978" s="242"/>
      <c r="DJS978" s="234"/>
      <c r="DJT978" s="234"/>
      <c r="DJU978" s="234"/>
      <c r="DJV978" s="236"/>
      <c r="DJW978" s="244"/>
      <c r="DJX978" s="239"/>
      <c r="DJY978" s="240"/>
      <c r="DJZ978" s="241"/>
      <c r="DKA978" s="239"/>
      <c r="DKB978" s="239"/>
      <c r="DKC978" s="239"/>
      <c r="DKD978" s="239"/>
      <c r="DKE978" s="239"/>
      <c r="DKF978" s="239"/>
      <c r="DKG978" s="233"/>
      <c r="DKH978" s="235"/>
      <c r="DKI978" s="233"/>
      <c r="DKJ978" s="233"/>
      <c r="DKK978" s="234"/>
      <c r="DKL978" s="234"/>
      <c r="DKM978" s="242"/>
      <c r="DKN978" s="234"/>
      <c r="DKO978" s="234"/>
      <c r="DKP978" s="234"/>
      <c r="DKQ978" s="236"/>
      <c r="DKR978" s="244"/>
      <c r="DKS978" s="239"/>
      <c r="DKT978" s="240"/>
      <c r="DKU978" s="241"/>
      <c r="DKV978" s="239"/>
      <c r="DKW978" s="239"/>
      <c r="DKX978" s="239"/>
      <c r="DKY978" s="239"/>
      <c r="DKZ978" s="239"/>
      <c r="DLA978" s="239"/>
      <c r="DLB978" s="233"/>
      <c r="DLC978" s="235"/>
      <c r="DLD978" s="233"/>
      <c r="DLE978" s="233"/>
      <c r="DLF978" s="234"/>
      <c r="DLG978" s="234"/>
      <c r="DLH978" s="242"/>
      <c r="DLI978" s="234"/>
      <c r="DLJ978" s="234"/>
      <c r="DLK978" s="234"/>
      <c r="DLL978" s="236"/>
      <c r="DLM978" s="244"/>
      <c r="DLN978" s="239"/>
      <c r="DLO978" s="240"/>
      <c r="DLP978" s="241"/>
      <c r="DLQ978" s="239"/>
      <c r="DLR978" s="239"/>
      <c r="DLS978" s="239"/>
      <c r="DLT978" s="239"/>
      <c r="DLU978" s="239"/>
      <c r="DLV978" s="239"/>
      <c r="DLW978" s="233"/>
      <c r="DLX978" s="235"/>
      <c r="DLY978" s="233"/>
      <c r="DLZ978" s="233"/>
      <c r="DMA978" s="234"/>
      <c r="DMB978" s="234"/>
      <c r="DMC978" s="242"/>
      <c r="DMD978" s="234"/>
      <c r="DME978" s="234"/>
      <c r="DMF978" s="234"/>
      <c r="DMG978" s="236"/>
      <c r="DMH978" s="244"/>
      <c r="DMI978" s="239"/>
      <c r="DMJ978" s="240"/>
      <c r="DMK978" s="241"/>
      <c r="DML978" s="239"/>
      <c r="DMM978" s="239"/>
      <c r="DMN978" s="239"/>
      <c r="DMO978" s="239"/>
      <c r="DMP978" s="239"/>
      <c r="DMQ978" s="239"/>
      <c r="DMR978" s="233"/>
      <c r="DMS978" s="235"/>
      <c r="DMT978" s="233"/>
      <c r="DMU978" s="233"/>
      <c r="DMV978" s="234"/>
      <c r="DMW978" s="234"/>
      <c r="DMX978" s="242"/>
      <c r="DMY978" s="234"/>
      <c r="DMZ978" s="234"/>
      <c r="DNA978" s="234"/>
      <c r="DNB978" s="236"/>
      <c r="DNC978" s="244"/>
      <c r="DND978" s="239"/>
      <c r="DNE978" s="240"/>
      <c r="DNF978" s="241"/>
      <c r="DNG978" s="239"/>
      <c r="DNH978" s="239"/>
      <c r="DNI978" s="239"/>
      <c r="DNJ978" s="239"/>
      <c r="DNK978" s="239"/>
      <c r="DNL978" s="239"/>
      <c r="DNM978" s="233"/>
      <c r="DNN978" s="235"/>
      <c r="DNO978" s="233"/>
      <c r="DNP978" s="233"/>
      <c r="DNQ978" s="234"/>
      <c r="DNR978" s="234"/>
      <c r="DNS978" s="242"/>
      <c r="DNT978" s="234"/>
      <c r="DNU978" s="234"/>
      <c r="DNV978" s="234"/>
      <c r="DNW978" s="236"/>
      <c r="DNX978" s="244"/>
      <c r="DNY978" s="239"/>
      <c r="DNZ978" s="240"/>
      <c r="DOA978" s="241"/>
      <c r="DOB978" s="239"/>
      <c r="DOC978" s="239"/>
      <c r="DOD978" s="239"/>
      <c r="DOE978" s="239"/>
      <c r="DOF978" s="239"/>
      <c r="DOG978" s="239"/>
      <c r="DOH978" s="233"/>
      <c r="DOI978" s="235"/>
      <c r="DOJ978" s="233"/>
      <c r="DOK978" s="233"/>
      <c r="DOL978" s="234"/>
      <c r="DOM978" s="234"/>
      <c r="DON978" s="242"/>
      <c r="DOO978" s="234"/>
      <c r="DOP978" s="234"/>
      <c r="DOQ978" s="234"/>
      <c r="DOR978" s="236"/>
      <c r="DOS978" s="244"/>
      <c r="DOT978" s="239"/>
      <c r="DOU978" s="240"/>
      <c r="DOV978" s="241"/>
      <c r="DOW978" s="239"/>
      <c r="DOX978" s="239"/>
      <c r="DOY978" s="239"/>
      <c r="DOZ978" s="239"/>
      <c r="DPA978" s="239"/>
      <c r="DPB978" s="239"/>
      <c r="DPC978" s="233"/>
      <c r="DPD978" s="235"/>
      <c r="DPE978" s="233"/>
      <c r="DPF978" s="233"/>
      <c r="DPG978" s="234"/>
      <c r="DPH978" s="234"/>
      <c r="DPI978" s="242"/>
      <c r="DPJ978" s="234"/>
      <c r="DPK978" s="234"/>
      <c r="DPL978" s="234"/>
      <c r="DPM978" s="236"/>
      <c r="DPN978" s="244"/>
      <c r="DPO978" s="239"/>
      <c r="DPP978" s="240"/>
      <c r="DPQ978" s="241"/>
      <c r="DPR978" s="239"/>
      <c r="DPS978" s="239"/>
      <c r="DPT978" s="239"/>
      <c r="DPU978" s="239"/>
      <c r="DPV978" s="239"/>
      <c r="DPW978" s="239"/>
      <c r="DPX978" s="233"/>
      <c r="DPY978" s="235"/>
      <c r="DPZ978" s="233"/>
      <c r="DQA978" s="233"/>
      <c r="DQB978" s="234"/>
      <c r="DQC978" s="234"/>
      <c r="DQD978" s="242"/>
      <c r="DQE978" s="234"/>
      <c r="DQF978" s="234"/>
      <c r="DQG978" s="234"/>
      <c r="DQH978" s="236"/>
      <c r="DQI978" s="244"/>
      <c r="DQJ978" s="239"/>
      <c r="DQK978" s="240"/>
      <c r="DQL978" s="241"/>
      <c r="DQM978" s="239"/>
      <c r="DQN978" s="239"/>
      <c r="DQO978" s="239"/>
      <c r="DQP978" s="239"/>
      <c r="DQQ978" s="239"/>
      <c r="DQR978" s="239"/>
      <c r="DQS978" s="233"/>
      <c r="DQT978" s="235"/>
      <c r="DQU978" s="233"/>
      <c r="DQV978" s="233"/>
      <c r="DQW978" s="234"/>
      <c r="DQX978" s="234"/>
      <c r="DQY978" s="242"/>
      <c r="DQZ978" s="234"/>
      <c r="DRA978" s="234"/>
      <c r="DRB978" s="234"/>
      <c r="DRC978" s="236"/>
      <c r="DRD978" s="244"/>
      <c r="DRE978" s="239"/>
      <c r="DRF978" s="240"/>
      <c r="DRG978" s="241"/>
      <c r="DRH978" s="239"/>
      <c r="DRI978" s="239"/>
      <c r="DRJ978" s="239"/>
      <c r="DRK978" s="239"/>
      <c r="DRL978" s="239"/>
      <c r="DRM978" s="239"/>
      <c r="DRN978" s="233"/>
      <c r="DRO978" s="235"/>
      <c r="DRP978" s="233"/>
      <c r="DRQ978" s="233"/>
      <c r="DRR978" s="234"/>
      <c r="DRS978" s="234"/>
      <c r="DRT978" s="242"/>
      <c r="DRU978" s="234"/>
      <c r="DRV978" s="234"/>
      <c r="DRW978" s="234"/>
      <c r="DRX978" s="236"/>
      <c r="DRY978" s="244"/>
      <c r="DRZ978" s="239"/>
      <c r="DSA978" s="240"/>
      <c r="DSB978" s="241"/>
      <c r="DSC978" s="239"/>
      <c r="DSD978" s="239"/>
      <c r="DSE978" s="239"/>
      <c r="DSF978" s="239"/>
      <c r="DSG978" s="239"/>
      <c r="DSH978" s="239"/>
      <c r="DSI978" s="233"/>
      <c r="DSJ978" s="235"/>
      <c r="DSK978" s="233"/>
      <c r="DSL978" s="233"/>
      <c r="DSM978" s="234"/>
      <c r="DSN978" s="234"/>
      <c r="DSO978" s="242"/>
      <c r="DSP978" s="234"/>
      <c r="DSQ978" s="234"/>
      <c r="DSR978" s="234"/>
      <c r="DSS978" s="236"/>
      <c r="DST978" s="244"/>
      <c r="DSU978" s="239"/>
      <c r="DSV978" s="240"/>
      <c r="DSW978" s="241"/>
      <c r="DSX978" s="239"/>
      <c r="DSY978" s="239"/>
      <c r="DSZ978" s="239"/>
      <c r="DTA978" s="239"/>
      <c r="DTB978" s="239"/>
      <c r="DTC978" s="239"/>
      <c r="DTD978" s="233"/>
      <c r="DTE978" s="235"/>
      <c r="DTF978" s="233"/>
      <c r="DTG978" s="233"/>
      <c r="DTH978" s="234"/>
      <c r="DTI978" s="234"/>
      <c r="DTJ978" s="242"/>
      <c r="DTK978" s="234"/>
      <c r="DTL978" s="234"/>
      <c r="DTM978" s="234"/>
      <c r="DTN978" s="236"/>
      <c r="DTO978" s="244"/>
      <c r="DTP978" s="239"/>
      <c r="DTQ978" s="240"/>
      <c r="DTR978" s="241"/>
      <c r="DTS978" s="239"/>
      <c r="DTT978" s="239"/>
      <c r="DTU978" s="239"/>
      <c r="DTV978" s="239"/>
      <c r="DTW978" s="239"/>
      <c r="DTX978" s="239"/>
      <c r="DTY978" s="233"/>
      <c r="DTZ978" s="235"/>
      <c r="DUA978" s="233"/>
      <c r="DUB978" s="233"/>
      <c r="DUC978" s="234"/>
      <c r="DUD978" s="234"/>
      <c r="DUE978" s="242"/>
      <c r="DUF978" s="234"/>
      <c r="DUG978" s="234"/>
      <c r="DUH978" s="234"/>
      <c r="DUI978" s="236"/>
      <c r="DUJ978" s="244"/>
      <c r="DUK978" s="239"/>
      <c r="DUL978" s="240"/>
      <c r="DUM978" s="241"/>
      <c r="DUN978" s="239"/>
      <c r="DUO978" s="239"/>
      <c r="DUP978" s="239"/>
      <c r="DUQ978" s="239"/>
      <c r="DUR978" s="239"/>
      <c r="DUS978" s="239"/>
      <c r="DUT978" s="233"/>
      <c r="DUU978" s="235"/>
      <c r="DUV978" s="233"/>
      <c r="DUW978" s="233"/>
      <c r="DUX978" s="234"/>
      <c r="DUY978" s="234"/>
      <c r="DUZ978" s="242"/>
      <c r="DVA978" s="234"/>
      <c r="DVB978" s="234"/>
      <c r="DVC978" s="234"/>
      <c r="DVD978" s="236"/>
      <c r="DVE978" s="244"/>
      <c r="DVF978" s="239"/>
      <c r="DVG978" s="240"/>
      <c r="DVH978" s="241"/>
      <c r="DVI978" s="239"/>
      <c r="DVJ978" s="239"/>
      <c r="DVK978" s="239"/>
      <c r="DVL978" s="239"/>
      <c r="DVM978" s="239"/>
      <c r="DVN978" s="239"/>
      <c r="DVO978" s="233"/>
      <c r="DVP978" s="235"/>
      <c r="DVQ978" s="233"/>
      <c r="DVR978" s="233"/>
      <c r="DVS978" s="234"/>
      <c r="DVT978" s="234"/>
      <c r="DVU978" s="242"/>
      <c r="DVV978" s="234"/>
      <c r="DVW978" s="234"/>
      <c r="DVX978" s="234"/>
      <c r="DVY978" s="236"/>
      <c r="DVZ978" s="244"/>
      <c r="DWA978" s="239"/>
      <c r="DWB978" s="240"/>
      <c r="DWC978" s="241"/>
      <c r="DWD978" s="239"/>
      <c r="DWE978" s="239"/>
      <c r="DWF978" s="239"/>
      <c r="DWG978" s="239"/>
      <c r="DWH978" s="239"/>
      <c r="DWI978" s="239"/>
      <c r="DWJ978" s="233"/>
      <c r="DWK978" s="235"/>
      <c r="DWL978" s="233"/>
      <c r="DWM978" s="233"/>
      <c r="DWN978" s="234"/>
      <c r="DWO978" s="234"/>
      <c r="DWP978" s="242"/>
      <c r="DWQ978" s="234"/>
      <c r="DWR978" s="234"/>
      <c r="DWS978" s="234"/>
      <c r="DWT978" s="236"/>
      <c r="DWU978" s="244"/>
      <c r="DWV978" s="239"/>
      <c r="DWW978" s="240"/>
      <c r="DWX978" s="241"/>
      <c r="DWY978" s="239"/>
      <c r="DWZ978" s="239"/>
      <c r="DXA978" s="239"/>
      <c r="DXB978" s="239"/>
      <c r="DXC978" s="239"/>
      <c r="DXD978" s="239"/>
      <c r="DXE978" s="233"/>
      <c r="DXF978" s="235"/>
      <c r="DXG978" s="233"/>
      <c r="DXH978" s="233"/>
      <c r="DXI978" s="234"/>
      <c r="DXJ978" s="234"/>
      <c r="DXK978" s="242"/>
      <c r="DXL978" s="234"/>
      <c r="DXM978" s="234"/>
      <c r="DXN978" s="234"/>
      <c r="DXO978" s="236"/>
      <c r="DXP978" s="244"/>
      <c r="DXQ978" s="239"/>
      <c r="DXR978" s="240"/>
      <c r="DXS978" s="241"/>
      <c r="DXT978" s="239"/>
      <c r="DXU978" s="239"/>
      <c r="DXV978" s="239"/>
      <c r="DXW978" s="239"/>
      <c r="DXX978" s="239"/>
      <c r="DXY978" s="239"/>
      <c r="DXZ978" s="233"/>
      <c r="DYA978" s="235"/>
      <c r="DYB978" s="233"/>
      <c r="DYC978" s="233"/>
      <c r="DYD978" s="234"/>
      <c r="DYE978" s="234"/>
      <c r="DYF978" s="242"/>
      <c r="DYG978" s="234"/>
      <c r="DYH978" s="234"/>
      <c r="DYI978" s="234"/>
      <c r="DYJ978" s="236"/>
      <c r="DYK978" s="244"/>
      <c r="DYL978" s="239"/>
      <c r="DYM978" s="240"/>
      <c r="DYN978" s="241"/>
      <c r="DYO978" s="239"/>
      <c r="DYP978" s="239"/>
      <c r="DYQ978" s="239"/>
      <c r="DYR978" s="239"/>
      <c r="DYS978" s="239"/>
      <c r="DYT978" s="239"/>
      <c r="DYU978" s="233"/>
      <c r="DYV978" s="235"/>
      <c r="DYW978" s="233"/>
      <c r="DYX978" s="233"/>
      <c r="DYY978" s="234"/>
      <c r="DYZ978" s="234"/>
      <c r="DZA978" s="242"/>
      <c r="DZB978" s="234"/>
      <c r="DZC978" s="234"/>
      <c r="DZD978" s="234"/>
      <c r="DZE978" s="236"/>
      <c r="DZF978" s="244"/>
      <c r="DZG978" s="239"/>
      <c r="DZH978" s="240"/>
      <c r="DZI978" s="241"/>
      <c r="DZJ978" s="239"/>
      <c r="DZK978" s="239"/>
      <c r="DZL978" s="239"/>
      <c r="DZM978" s="239"/>
      <c r="DZN978" s="239"/>
      <c r="DZO978" s="239"/>
      <c r="DZP978" s="233"/>
      <c r="DZQ978" s="235"/>
      <c r="DZR978" s="233"/>
      <c r="DZS978" s="233"/>
      <c r="DZT978" s="234"/>
      <c r="DZU978" s="234"/>
      <c r="DZV978" s="242"/>
      <c r="DZW978" s="234"/>
      <c r="DZX978" s="234"/>
      <c r="DZY978" s="234"/>
      <c r="DZZ978" s="236"/>
      <c r="EAA978" s="244"/>
      <c r="EAB978" s="239"/>
      <c r="EAC978" s="240"/>
      <c r="EAD978" s="241"/>
      <c r="EAE978" s="239"/>
      <c r="EAF978" s="239"/>
      <c r="EAG978" s="239"/>
      <c r="EAH978" s="239"/>
      <c r="EAI978" s="239"/>
      <c r="EAJ978" s="239"/>
      <c r="EAK978" s="233"/>
      <c r="EAL978" s="235"/>
      <c r="EAM978" s="233"/>
      <c r="EAN978" s="233"/>
      <c r="EAO978" s="234"/>
      <c r="EAP978" s="234"/>
      <c r="EAQ978" s="242"/>
      <c r="EAR978" s="234"/>
      <c r="EAS978" s="234"/>
      <c r="EAT978" s="234"/>
      <c r="EAU978" s="236"/>
      <c r="EAV978" s="244"/>
      <c r="EAW978" s="239"/>
      <c r="EAX978" s="240"/>
      <c r="EAY978" s="241"/>
      <c r="EAZ978" s="239"/>
      <c r="EBA978" s="239"/>
      <c r="EBB978" s="239"/>
      <c r="EBC978" s="239"/>
      <c r="EBD978" s="239"/>
      <c r="EBE978" s="239"/>
      <c r="EBF978" s="233"/>
      <c r="EBG978" s="235"/>
      <c r="EBH978" s="233"/>
      <c r="EBI978" s="233"/>
      <c r="EBJ978" s="234"/>
      <c r="EBK978" s="234"/>
      <c r="EBL978" s="242"/>
      <c r="EBM978" s="234"/>
      <c r="EBN978" s="234"/>
      <c r="EBO978" s="234"/>
      <c r="EBP978" s="236"/>
      <c r="EBQ978" s="244"/>
      <c r="EBR978" s="239"/>
      <c r="EBS978" s="240"/>
      <c r="EBT978" s="241"/>
      <c r="EBU978" s="239"/>
      <c r="EBV978" s="239"/>
      <c r="EBW978" s="239"/>
      <c r="EBX978" s="239"/>
      <c r="EBY978" s="239"/>
      <c r="EBZ978" s="239"/>
      <c r="ECA978" s="233"/>
      <c r="ECB978" s="235"/>
      <c r="ECC978" s="233"/>
      <c r="ECD978" s="233"/>
      <c r="ECE978" s="234"/>
      <c r="ECF978" s="234"/>
      <c r="ECG978" s="242"/>
      <c r="ECH978" s="234"/>
      <c r="ECI978" s="234"/>
      <c r="ECJ978" s="234"/>
      <c r="ECK978" s="236"/>
      <c r="ECL978" s="244"/>
      <c r="ECM978" s="239"/>
      <c r="ECN978" s="240"/>
      <c r="ECO978" s="241"/>
      <c r="ECP978" s="239"/>
      <c r="ECQ978" s="239"/>
      <c r="ECR978" s="239"/>
      <c r="ECS978" s="239"/>
      <c r="ECT978" s="239"/>
      <c r="ECU978" s="239"/>
      <c r="ECV978" s="233"/>
      <c r="ECW978" s="235"/>
      <c r="ECX978" s="233"/>
      <c r="ECY978" s="233"/>
      <c r="ECZ978" s="234"/>
      <c r="EDA978" s="234"/>
      <c r="EDB978" s="242"/>
      <c r="EDC978" s="234"/>
      <c r="EDD978" s="234"/>
      <c r="EDE978" s="234"/>
      <c r="EDF978" s="236"/>
      <c r="EDG978" s="244"/>
      <c r="EDH978" s="239"/>
      <c r="EDI978" s="240"/>
      <c r="EDJ978" s="241"/>
      <c r="EDK978" s="239"/>
      <c r="EDL978" s="239"/>
      <c r="EDM978" s="239"/>
      <c r="EDN978" s="239"/>
      <c r="EDO978" s="239"/>
      <c r="EDP978" s="239"/>
      <c r="EDQ978" s="233"/>
      <c r="EDR978" s="235"/>
      <c r="EDS978" s="233"/>
      <c r="EDT978" s="233"/>
      <c r="EDU978" s="234"/>
      <c r="EDV978" s="234"/>
      <c r="EDW978" s="242"/>
      <c r="EDX978" s="234"/>
      <c r="EDY978" s="234"/>
      <c r="EDZ978" s="234"/>
      <c r="EEA978" s="236"/>
      <c r="EEB978" s="244"/>
      <c r="EEC978" s="239"/>
      <c r="EED978" s="240"/>
      <c r="EEE978" s="241"/>
      <c r="EEF978" s="239"/>
      <c r="EEG978" s="239"/>
      <c r="EEH978" s="239"/>
      <c r="EEI978" s="239"/>
      <c r="EEJ978" s="239"/>
      <c r="EEK978" s="239"/>
      <c r="EEL978" s="233"/>
      <c r="EEM978" s="235"/>
      <c r="EEN978" s="233"/>
      <c r="EEO978" s="233"/>
      <c r="EEP978" s="234"/>
      <c r="EEQ978" s="234"/>
      <c r="EER978" s="242"/>
      <c r="EES978" s="234"/>
      <c r="EET978" s="234"/>
      <c r="EEU978" s="234"/>
      <c r="EEV978" s="236"/>
      <c r="EEW978" s="244"/>
      <c r="EEX978" s="239"/>
      <c r="EEY978" s="240"/>
      <c r="EEZ978" s="241"/>
      <c r="EFA978" s="239"/>
      <c r="EFB978" s="239"/>
      <c r="EFC978" s="239"/>
      <c r="EFD978" s="239"/>
      <c r="EFE978" s="239"/>
      <c r="EFF978" s="239"/>
      <c r="EFG978" s="233"/>
      <c r="EFH978" s="235"/>
      <c r="EFI978" s="233"/>
      <c r="EFJ978" s="233"/>
      <c r="EFK978" s="234"/>
      <c r="EFL978" s="234"/>
      <c r="EFM978" s="242"/>
      <c r="EFN978" s="234"/>
      <c r="EFO978" s="234"/>
      <c r="EFP978" s="234"/>
      <c r="EFQ978" s="236"/>
      <c r="EFR978" s="244"/>
      <c r="EFS978" s="239"/>
      <c r="EFT978" s="240"/>
      <c r="EFU978" s="241"/>
      <c r="EFV978" s="239"/>
      <c r="EFW978" s="239"/>
      <c r="EFX978" s="239"/>
      <c r="EFY978" s="239"/>
      <c r="EFZ978" s="239"/>
      <c r="EGA978" s="239"/>
      <c r="EGB978" s="233"/>
      <c r="EGC978" s="235"/>
      <c r="EGD978" s="233"/>
      <c r="EGE978" s="233"/>
      <c r="EGF978" s="234"/>
      <c r="EGG978" s="234"/>
      <c r="EGH978" s="242"/>
      <c r="EGI978" s="234"/>
      <c r="EGJ978" s="234"/>
      <c r="EGK978" s="234"/>
      <c r="EGL978" s="236"/>
      <c r="EGM978" s="244"/>
      <c r="EGN978" s="239"/>
      <c r="EGO978" s="240"/>
      <c r="EGP978" s="241"/>
      <c r="EGQ978" s="239"/>
      <c r="EGR978" s="239"/>
      <c r="EGS978" s="239"/>
      <c r="EGT978" s="239"/>
      <c r="EGU978" s="239"/>
      <c r="EGV978" s="239"/>
      <c r="EGW978" s="233"/>
      <c r="EGX978" s="235"/>
      <c r="EGY978" s="233"/>
      <c r="EGZ978" s="233"/>
      <c r="EHA978" s="234"/>
      <c r="EHB978" s="234"/>
      <c r="EHC978" s="242"/>
      <c r="EHD978" s="234"/>
      <c r="EHE978" s="234"/>
      <c r="EHF978" s="234"/>
      <c r="EHG978" s="236"/>
      <c r="EHH978" s="244"/>
      <c r="EHI978" s="239"/>
      <c r="EHJ978" s="240"/>
      <c r="EHK978" s="241"/>
      <c r="EHL978" s="239"/>
      <c r="EHM978" s="239"/>
      <c r="EHN978" s="239"/>
      <c r="EHO978" s="239"/>
      <c r="EHP978" s="239"/>
      <c r="EHQ978" s="239"/>
      <c r="EHR978" s="233"/>
      <c r="EHS978" s="235"/>
      <c r="EHT978" s="233"/>
      <c r="EHU978" s="233"/>
      <c r="EHV978" s="234"/>
      <c r="EHW978" s="234"/>
      <c r="EHX978" s="242"/>
      <c r="EHY978" s="234"/>
      <c r="EHZ978" s="234"/>
      <c r="EIA978" s="234"/>
      <c r="EIB978" s="236"/>
      <c r="EIC978" s="244"/>
      <c r="EID978" s="239"/>
      <c r="EIE978" s="240"/>
      <c r="EIF978" s="241"/>
      <c r="EIG978" s="239"/>
      <c r="EIH978" s="239"/>
      <c r="EII978" s="239"/>
      <c r="EIJ978" s="239"/>
      <c r="EIK978" s="239"/>
      <c r="EIL978" s="239"/>
      <c r="EIM978" s="233"/>
      <c r="EIN978" s="235"/>
      <c r="EIO978" s="233"/>
      <c r="EIP978" s="233"/>
      <c r="EIQ978" s="234"/>
      <c r="EIR978" s="234"/>
      <c r="EIS978" s="242"/>
      <c r="EIT978" s="234"/>
      <c r="EIU978" s="234"/>
      <c r="EIV978" s="234"/>
      <c r="EIW978" s="236"/>
      <c r="EIX978" s="244"/>
      <c r="EIY978" s="239"/>
      <c r="EIZ978" s="240"/>
      <c r="EJA978" s="241"/>
      <c r="EJB978" s="239"/>
      <c r="EJC978" s="239"/>
      <c r="EJD978" s="239"/>
      <c r="EJE978" s="239"/>
      <c r="EJF978" s="239"/>
      <c r="EJG978" s="239"/>
      <c r="EJH978" s="233"/>
      <c r="EJI978" s="235"/>
      <c r="EJJ978" s="233"/>
      <c r="EJK978" s="233"/>
      <c r="EJL978" s="234"/>
      <c r="EJM978" s="234"/>
      <c r="EJN978" s="242"/>
      <c r="EJO978" s="234"/>
      <c r="EJP978" s="234"/>
      <c r="EJQ978" s="234"/>
      <c r="EJR978" s="236"/>
      <c r="EJS978" s="244"/>
      <c r="EJT978" s="239"/>
      <c r="EJU978" s="240"/>
      <c r="EJV978" s="241"/>
      <c r="EJW978" s="239"/>
      <c r="EJX978" s="239"/>
      <c r="EJY978" s="239"/>
      <c r="EJZ978" s="239"/>
      <c r="EKA978" s="239"/>
      <c r="EKB978" s="239"/>
      <c r="EKC978" s="233"/>
      <c r="EKD978" s="235"/>
      <c r="EKE978" s="233"/>
      <c r="EKF978" s="233"/>
      <c r="EKG978" s="234"/>
      <c r="EKH978" s="234"/>
      <c r="EKI978" s="242"/>
      <c r="EKJ978" s="234"/>
      <c r="EKK978" s="234"/>
      <c r="EKL978" s="234"/>
      <c r="EKM978" s="236"/>
      <c r="EKN978" s="244"/>
      <c r="EKO978" s="239"/>
      <c r="EKP978" s="240"/>
      <c r="EKQ978" s="241"/>
      <c r="EKR978" s="239"/>
      <c r="EKS978" s="239"/>
      <c r="EKT978" s="239"/>
      <c r="EKU978" s="239"/>
      <c r="EKV978" s="239"/>
      <c r="EKW978" s="239"/>
      <c r="EKX978" s="233"/>
      <c r="EKY978" s="235"/>
      <c r="EKZ978" s="233"/>
      <c r="ELA978" s="233"/>
      <c r="ELB978" s="234"/>
      <c r="ELC978" s="234"/>
      <c r="ELD978" s="242"/>
      <c r="ELE978" s="234"/>
      <c r="ELF978" s="234"/>
      <c r="ELG978" s="234"/>
      <c r="ELH978" s="236"/>
      <c r="ELI978" s="244"/>
      <c r="ELJ978" s="239"/>
      <c r="ELK978" s="240"/>
      <c r="ELL978" s="241"/>
      <c r="ELM978" s="239"/>
      <c r="ELN978" s="239"/>
      <c r="ELO978" s="239"/>
      <c r="ELP978" s="239"/>
      <c r="ELQ978" s="239"/>
      <c r="ELR978" s="239"/>
      <c r="ELS978" s="233"/>
      <c r="ELT978" s="235"/>
      <c r="ELU978" s="233"/>
      <c r="ELV978" s="233"/>
      <c r="ELW978" s="234"/>
      <c r="ELX978" s="234"/>
      <c r="ELY978" s="242"/>
      <c r="ELZ978" s="234"/>
      <c r="EMA978" s="234"/>
      <c r="EMB978" s="234"/>
      <c r="EMC978" s="236"/>
      <c r="EMD978" s="244"/>
      <c r="EME978" s="239"/>
      <c r="EMF978" s="240"/>
      <c r="EMG978" s="241"/>
      <c r="EMH978" s="239"/>
      <c r="EMI978" s="239"/>
      <c r="EMJ978" s="239"/>
      <c r="EMK978" s="239"/>
      <c r="EML978" s="239"/>
      <c r="EMM978" s="239"/>
      <c r="EMN978" s="233"/>
      <c r="EMO978" s="235"/>
      <c r="EMP978" s="233"/>
      <c r="EMQ978" s="233"/>
      <c r="EMR978" s="234"/>
      <c r="EMS978" s="234"/>
      <c r="EMT978" s="242"/>
      <c r="EMU978" s="234"/>
      <c r="EMV978" s="234"/>
      <c r="EMW978" s="234"/>
      <c r="EMX978" s="236"/>
      <c r="EMY978" s="244"/>
      <c r="EMZ978" s="239"/>
      <c r="ENA978" s="240"/>
      <c r="ENB978" s="241"/>
      <c r="ENC978" s="239"/>
      <c r="END978" s="239"/>
      <c r="ENE978" s="239"/>
      <c r="ENF978" s="239"/>
      <c r="ENG978" s="239"/>
      <c r="ENH978" s="239"/>
      <c r="ENI978" s="233"/>
      <c r="ENJ978" s="235"/>
      <c r="ENK978" s="233"/>
      <c r="ENL978" s="233"/>
      <c r="ENM978" s="234"/>
      <c r="ENN978" s="234"/>
      <c r="ENO978" s="242"/>
      <c r="ENP978" s="234"/>
      <c r="ENQ978" s="234"/>
      <c r="ENR978" s="234"/>
      <c r="ENS978" s="236"/>
      <c r="ENT978" s="244"/>
      <c r="ENU978" s="239"/>
      <c r="ENV978" s="240"/>
      <c r="ENW978" s="241"/>
      <c r="ENX978" s="239"/>
      <c r="ENY978" s="239"/>
      <c r="ENZ978" s="239"/>
      <c r="EOA978" s="239"/>
      <c r="EOB978" s="239"/>
      <c r="EOC978" s="239"/>
      <c r="EOD978" s="233"/>
      <c r="EOE978" s="235"/>
      <c r="EOF978" s="233"/>
      <c r="EOG978" s="233"/>
      <c r="EOH978" s="234"/>
      <c r="EOI978" s="234"/>
      <c r="EOJ978" s="242"/>
      <c r="EOK978" s="234"/>
      <c r="EOL978" s="234"/>
      <c r="EOM978" s="234"/>
      <c r="EON978" s="236"/>
      <c r="EOO978" s="244"/>
      <c r="EOP978" s="239"/>
      <c r="EOQ978" s="240"/>
      <c r="EOR978" s="241"/>
      <c r="EOS978" s="239"/>
      <c r="EOT978" s="239"/>
      <c r="EOU978" s="239"/>
      <c r="EOV978" s="239"/>
      <c r="EOW978" s="239"/>
      <c r="EOX978" s="239"/>
      <c r="EOY978" s="233"/>
      <c r="EOZ978" s="235"/>
      <c r="EPA978" s="233"/>
      <c r="EPB978" s="233"/>
      <c r="EPC978" s="234"/>
      <c r="EPD978" s="234"/>
      <c r="EPE978" s="242"/>
      <c r="EPF978" s="234"/>
      <c r="EPG978" s="234"/>
      <c r="EPH978" s="234"/>
      <c r="EPI978" s="236"/>
      <c r="EPJ978" s="244"/>
      <c r="EPK978" s="239"/>
      <c r="EPL978" s="240"/>
      <c r="EPM978" s="241"/>
      <c r="EPN978" s="239"/>
      <c r="EPO978" s="239"/>
      <c r="EPP978" s="239"/>
      <c r="EPQ978" s="239"/>
      <c r="EPR978" s="239"/>
      <c r="EPS978" s="239"/>
      <c r="EPT978" s="233"/>
      <c r="EPU978" s="235"/>
      <c r="EPV978" s="233"/>
      <c r="EPW978" s="233"/>
      <c r="EPX978" s="234"/>
      <c r="EPY978" s="234"/>
      <c r="EPZ978" s="242"/>
      <c r="EQA978" s="234"/>
      <c r="EQB978" s="234"/>
      <c r="EQC978" s="234"/>
      <c r="EQD978" s="236"/>
      <c r="EQE978" s="244"/>
      <c r="EQF978" s="239"/>
      <c r="EQG978" s="240"/>
      <c r="EQH978" s="241"/>
      <c r="EQI978" s="239"/>
      <c r="EQJ978" s="239"/>
      <c r="EQK978" s="239"/>
      <c r="EQL978" s="239"/>
      <c r="EQM978" s="239"/>
      <c r="EQN978" s="239"/>
      <c r="EQO978" s="233"/>
      <c r="EQP978" s="235"/>
      <c r="EQQ978" s="233"/>
      <c r="EQR978" s="233"/>
      <c r="EQS978" s="234"/>
      <c r="EQT978" s="234"/>
      <c r="EQU978" s="242"/>
      <c r="EQV978" s="234"/>
      <c r="EQW978" s="234"/>
      <c r="EQX978" s="234"/>
      <c r="EQY978" s="236"/>
      <c r="EQZ978" s="244"/>
      <c r="ERA978" s="239"/>
      <c r="ERB978" s="240"/>
      <c r="ERC978" s="241"/>
      <c r="ERD978" s="239"/>
      <c r="ERE978" s="239"/>
      <c r="ERF978" s="239"/>
      <c r="ERG978" s="239"/>
      <c r="ERH978" s="239"/>
      <c r="ERI978" s="239"/>
      <c r="ERJ978" s="233"/>
      <c r="ERK978" s="235"/>
      <c r="ERL978" s="233"/>
      <c r="ERM978" s="233"/>
      <c r="ERN978" s="234"/>
      <c r="ERO978" s="234"/>
      <c r="ERP978" s="242"/>
      <c r="ERQ978" s="234"/>
      <c r="ERR978" s="234"/>
      <c r="ERS978" s="234"/>
      <c r="ERT978" s="236"/>
      <c r="ERU978" s="244"/>
      <c r="ERV978" s="239"/>
      <c r="ERW978" s="240"/>
      <c r="ERX978" s="241"/>
      <c r="ERY978" s="239"/>
      <c r="ERZ978" s="239"/>
      <c r="ESA978" s="239"/>
      <c r="ESB978" s="239"/>
      <c r="ESC978" s="239"/>
      <c r="ESD978" s="239"/>
      <c r="ESE978" s="233"/>
      <c r="ESF978" s="235"/>
      <c r="ESG978" s="233"/>
      <c r="ESH978" s="233"/>
      <c r="ESI978" s="234"/>
      <c r="ESJ978" s="234"/>
      <c r="ESK978" s="242"/>
      <c r="ESL978" s="234"/>
      <c r="ESM978" s="234"/>
      <c r="ESN978" s="234"/>
      <c r="ESO978" s="236"/>
      <c r="ESP978" s="244"/>
      <c r="ESQ978" s="239"/>
      <c r="ESR978" s="240"/>
      <c r="ESS978" s="241"/>
      <c r="EST978" s="239"/>
      <c r="ESU978" s="239"/>
      <c r="ESV978" s="239"/>
      <c r="ESW978" s="239"/>
      <c r="ESX978" s="239"/>
      <c r="ESY978" s="239"/>
      <c r="ESZ978" s="233"/>
      <c r="ETA978" s="235"/>
      <c r="ETB978" s="233"/>
      <c r="ETC978" s="233"/>
      <c r="ETD978" s="234"/>
      <c r="ETE978" s="234"/>
      <c r="ETF978" s="242"/>
      <c r="ETG978" s="234"/>
      <c r="ETH978" s="234"/>
      <c r="ETI978" s="234"/>
      <c r="ETJ978" s="236"/>
      <c r="ETK978" s="244"/>
      <c r="ETL978" s="239"/>
      <c r="ETM978" s="240"/>
      <c r="ETN978" s="241"/>
      <c r="ETO978" s="239"/>
      <c r="ETP978" s="239"/>
      <c r="ETQ978" s="239"/>
      <c r="ETR978" s="239"/>
      <c r="ETS978" s="239"/>
      <c r="ETT978" s="239"/>
      <c r="ETU978" s="233"/>
      <c r="ETV978" s="235"/>
      <c r="ETW978" s="233"/>
      <c r="ETX978" s="233"/>
      <c r="ETY978" s="234"/>
      <c r="ETZ978" s="234"/>
      <c r="EUA978" s="242"/>
      <c r="EUB978" s="234"/>
      <c r="EUC978" s="234"/>
      <c r="EUD978" s="234"/>
      <c r="EUE978" s="236"/>
      <c r="EUF978" s="244"/>
      <c r="EUG978" s="239"/>
      <c r="EUH978" s="240"/>
      <c r="EUI978" s="241"/>
      <c r="EUJ978" s="239"/>
      <c r="EUK978" s="239"/>
      <c r="EUL978" s="239"/>
      <c r="EUM978" s="239"/>
      <c r="EUN978" s="239"/>
      <c r="EUO978" s="239"/>
      <c r="EUP978" s="233"/>
      <c r="EUQ978" s="235"/>
      <c r="EUR978" s="233"/>
      <c r="EUS978" s="233"/>
      <c r="EUT978" s="234"/>
      <c r="EUU978" s="234"/>
      <c r="EUV978" s="242"/>
      <c r="EUW978" s="234"/>
      <c r="EUX978" s="234"/>
      <c r="EUY978" s="234"/>
      <c r="EUZ978" s="236"/>
      <c r="EVA978" s="244"/>
      <c r="EVB978" s="239"/>
      <c r="EVC978" s="240"/>
      <c r="EVD978" s="241"/>
      <c r="EVE978" s="239"/>
      <c r="EVF978" s="239"/>
      <c r="EVG978" s="239"/>
      <c r="EVH978" s="239"/>
      <c r="EVI978" s="239"/>
      <c r="EVJ978" s="239"/>
      <c r="EVK978" s="233"/>
      <c r="EVL978" s="235"/>
      <c r="EVM978" s="233"/>
      <c r="EVN978" s="233"/>
      <c r="EVO978" s="234"/>
      <c r="EVP978" s="234"/>
      <c r="EVQ978" s="242"/>
      <c r="EVR978" s="234"/>
      <c r="EVS978" s="234"/>
      <c r="EVT978" s="234"/>
      <c r="EVU978" s="236"/>
      <c r="EVV978" s="244"/>
      <c r="EVW978" s="239"/>
      <c r="EVX978" s="240"/>
      <c r="EVY978" s="241"/>
      <c r="EVZ978" s="239"/>
      <c r="EWA978" s="239"/>
      <c r="EWB978" s="239"/>
      <c r="EWC978" s="239"/>
      <c r="EWD978" s="239"/>
      <c r="EWE978" s="239"/>
      <c r="EWF978" s="233"/>
      <c r="EWG978" s="235"/>
      <c r="EWH978" s="233"/>
      <c r="EWI978" s="233"/>
      <c r="EWJ978" s="234"/>
      <c r="EWK978" s="234"/>
      <c r="EWL978" s="242"/>
      <c r="EWM978" s="234"/>
      <c r="EWN978" s="234"/>
      <c r="EWO978" s="234"/>
      <c r="EWP978" s="236"/>
      <c r="EWQ978" s="244"/>
      <c r="EWR978" s="239"/>
      <c r="EWS978" s="240"/>
      <c r="EWT978" s="241"/>
      <c r="EWU978" s="239"/>
      <c r="EWV978" s="239"/>
      <c r="EWW978" s="239"/>
      <c r="EWX978" s="239"/>
      <c r="EWY978" s="239"/>
      <c r="EWZ978" s="239"/>
      <c r="EXA978" s="233"/>
      <c r="EXB978" s="235"/>
      <c r="EXC978" s="233"/>
      <c r="EXD978" s="233"/>
      <c r="EXE978" s="234"/>
      <c r="EXF978" s="234"/>
      <c r="EXG978" s="242"/>
      <c r="EXH978" s="234"/>
      <c r="EXI978" s="234"/>
      <c r="EXJ978" s="234"/>
      <c r="EXK978" s="236"/>
      <c r="EXL978" s="244"/>
      <c r="EXM978" s="239"/>
      <c r="EXN978" s="240"/>
      <c r="EXO978" s="241"/>
      <c r="EXP978" s="239"/>
      <c r="EXQ978" s="239"/>
      <c r="EXR978" s="239"/>
      <c r="EXS978" s="239"/>
      <c r="EXT978" s="239"/>
      <c r="EXU978" s="239"/>
      <c r="EXV978" s="233"/>
      <c r="EXW978" s="235"/>
      <c r="EXX978" s="233"/>
      <c r="EXY978" s="233"/>
      <c r="EXZ978" s="234"/>
      <c r="EYA978" s="234"/>
      <c r="EYB978" s="242"/>
      <c r="EYC978" s="234"/>
      <c r="EYD978" s="234"/>
      <c r="EYE978" s="234"/>
      <c r="EYF978" s="236"/>
      <c r="EYG978" s="244"/>
      <c r="EYH978" s="239"/>
      <c r="EYI978" s="240"/>
      <c r="EYJ978" s="241"/>
      <c r="EYK978" s="239"/>
      <c r="EYL978" s="239"/>
      <c r="EYM978" s="239"/>
      <c r="EYN978" s="239"/>
      <c r="EYO978" s="239"/>
      <c r="EYP978" s="239"/>
      <c r="EYQ978" s="233"/>
      <c r="EYR978" s="235"/>
      <c r="EYS978" s="233"/>
      <c r="EYT978" s="233"/>
      <c r="EYU978" s="234"/>
      <c r="EYV978" s="234"/>
      <c r="EYW978" s="242"/>
      <c r="EYX978" s="234"/>
      <c r="EYY978" s="234"/>
      <c r="EYZ978" s="234"/>
      <c r="EZA978" s="236"/>
      <c r="EZB978" s="244"/>
      <c r="EZC978" s="239"/>
      <c r="EZD978" s="240"/>
      <c r="EZE978" s="241"/>
      <c r="EZF978" s="239"/>
      <c r="EZG978" s="239"/>
      <c r="EZH978" s="239"/>
      <c r="EZI978" s="239"/>
      <c r="EZJ978" s="239"/>
      <c r="EZK978" s="239"/>
      <c r="EZL978" s="233"/>
      <c r="EZM978" s="235"/>
      <c r="EZN978" s="233"/>
      <c r="EZO978" s="233"/>
      <c r="EZP978" s="234"/>
      <c r="EZQ978" s="234"/>
      <c r="EZR978" s="242"/>
      <c r="EZS978" s="234"/>
      <c r="EZT978" s="234"/>
      <c r="EZU978" s="234"/>
      <c r="EZV978" s="236"/>
      <c r="EZW978" s="244"/>
      <c r="EZX978" s="239"/>
      <c r="EZY978" s="240"/>
      <c r="EZZ978" s="241"/>
      <c r="FAA978" s="239"/>
      <c r="FAB978" s="239"/>
      <c r="FAC978" s="239"/>
      <c r="FAD978" s="239"/>
      <c r="FAE978" s="239"/>
      <c r="FAF978" s="239"/>
      <c r="FAG978" s="233"/>
      <c r="FAH978" s="235"/>
      <c r="FAI978" s="233"/>
      <c r="FAJ978" s="233"/>
      <c r="FAK978" s="234"/>
      <c r="FAL978" s="234"/>
      <c r="FAM978" s="242"/>
      <c r="FAN978" s="234"/>
      <c r="FAO978" s="234"/>
      <c r="FAP978" s="234"/>
      <c r="FAQ978" s="236"/>
      <c r="FAR978" s="244"/>
      <c r="FAS978" s="239"/>
      <c r="FAT978" s="240"/>
      <c r="FAU978" s="241"/>
      <c r="FAV978" s="239"/>
      <c r="FAW978" s="239"/>
      <c r="FAX978" s="239"/>
      <c r="FAY978" s="239"/>
      <c r="FAZ978" s="239"/>
      <c r="FBA978" s="239"/>
      <c r="FBB978" s="233"/>
      <c r="FBC978" s="235"/>
      <c r="FBD978" s="233"/>
      <c r="FBE978" s="233"/>
      <c r="FBF978" s="234"/>
      <c r="FBG978" s="234"/>
      <c r="FBH978" s="242"/>
      <c r="FBI978" s="234"/>
      <c r="FBJ978" s="234"/>
      <c r="FBK978" s="234"/>
      <c r="FBL978" s="236"/>
      <c r="FBM978" s="244"/>
      <c r="FBN978" s="239"/>
      <c r="FBO978" s="240"/>
      <c r="FBP978" s="241"/>
      <c r="FBQ978" s="239"/>
      <c r="FBR978" s="239"/>
      <c r="FBS978" s="239"/>
      <c r="FBT978" s="239"/>
      <c r="FBU978" s="239"/>
      <c r="FBV978" s="239"/>
      <c r="FBW978" s="233"/>
      <c r="FBX978" s="235"/>
      <c r="FBY978" s="233"/>
      <c r="FBZ978" s="233"/>
      <c r="FCA978" s="234"/>
      <c r="FCB978" s="234"/>
      <c r="FCC978" s="242"/>
      <c r="FCD978" s="234"/>
      <c r="FCE978" s="234"/>
      <c r="FCF978" s="234"/>
      <c r="FCG978" s="236"/>
      <c r="FCH978" s="244"/>
      <c r="FCI978" s="239"/>
      <c r="FCJ978" s="240"/>
      <c r="FCK978" s="241"/>
      <c r="FCL978" s="239"/>
      <c r="FCM978" s="239"/>
      <c r="FCN978" s="239"/>
      <c r="FCO978" s="239"/>
      <c r="FCP978" s="239"/>
      <c r="FCQ978" s="239"/>
      <c r="FCR978" s="233"/>
      <c r="FCS978" s="235"/>
      <c r="FCT978" s="233"/>
      <c r="FCU978" s="233"/>
      <c r="FCV978" s="234"/>
      <c r="FCW978" s="234"/>
      <c r="FCX978" s="242"/>
      <c r="FCY978" s="234"/>
      <c r="FCZ978" s="234"/>
      <c r="FDA978" s="234"/>
      <c r="FDB978" s="236"/>
      <c r="FDC978" s="244"/>
      <c r="FDD978" s="239"/>
      <c r="FDE978" s="240"/>
      <c r="FDF978" s="241"/>
      <c r="FDG978" s="239"/>
      <c r="FDH978" s="239"/>
      <c r="FDI978" s="239"/>
      <c r="FDJ978" s="239"/>
      <c r="FDK978" s="239"/>
      <c r="FDL978" s="239"/>
      <c r="FDM978" s="233"/>
      <c r="FDN978" s="235"/>
      <c r="FDO978" s="233"/>
      <c r="FDP978" s="233"/>
      <c r="FDQ978" s="234"/>
      <c r="FDR978" s="234"/>
      <c r="FDS978" s="242"/>
      <c r="FDT978" s="234"/>
      <c r="FDU978" s="234"/>
      <c r="FDV978" s="234"/>
      <c r="FDW978" s="236"/>
      <c r="FDX978" s="244"/>
      <c r="FDY978" s="239"/>
      <c r="FDZ978" s="240"/>
      <c r="FEA978" s="241"/>
      <c r="FEB978" s="239"/>
      <c r="FEC978" s="239"/>
      <c r="FED978" s="239"/>
      <c r="FEE978" s="239"/>
      <c r="FEF978" s="239"/>
      <c r="FEG978" s="239"/>
      <c r="FEH978" s="233"/>
      <c r="FEI978" s="235"/>
      <c r="FEJ978" s="233"/>
      <c r="FEK978" s="233"/>
      <c r="FEL978" s="234"/>
      <c r="FEM978" s="234"/>
      <c r="FEN978" s="242"/>
      <c r="FEO978" s="234"/>
      <c r="FEP978" s="234"/>
      <c r="FEQ978" s="234"/>
      <c r="FER978" s="236"/>
      <c r="FES978" s="244"/>
      <c r="FET978" s="239"/>
      <c r="FEU978" s="240"/>
      <c r="FEV978" s="241"/>
      <c r="FEW978" s="239"/>
      <c r="FEX978" s="239"/>
      <c r="FEY978" s="239"/>
      <c r="FEZ978" s="239"/>
      <c r="FFA978" s="239"/>
      <c r="FFB978" s="239"/>
      <c r="FFC978" s="233"/>
      <c r="FFD978" s="235"/>
      <c r="FFE978" s="233"/>
      <c r="FFF978" s="233"/>
      <c r="FFG978" s="234"/>
      <c r="FFH978" s="234"/>
      <c r="FFI978" s="242"/>
      <c r="FFJ978" s="234"/>
      <c r="FFK978" s="234"/>
      <c r="FFL978" s="234"/>
      <c r="FFM978" s="236"/>
      <c r="FFN978" s="244"/>
      <c r="FFO978" s="239"/>
      <c r="FFP978" s="240"/>
      <c r="FFQ978" s="241"/>
      <c r="FFR978" s="239"/>
      <c r="FFS978" s="239"/>
      <c r="FFT978" s="239"/>
      <c r="FFU978" s="239"/>
      <c r="FFV978" s="239"/>
      <c r="FFW978" s="239"/>
      <c r="FFX978" s="233"/>
      <c r="FFY978" s="235"/>
      <c r="FFZ978" s="233"/>
      <c r="FGA978" s="233"/>
      <c r="FGB978" s="234"/>
      <c r="FGC978" s="234"/>
      <c r="FGD978" s="242"/>
      <c r="FGE978" s="234"/>
      <c r="FGF978" s="234"/>
      <c r="FGG978" s="234"/>
      <c r="FGH978" s="236"/>
      <c r="FGI978" s="244"/>
      <c r="FGJ978" s="239"/>
      <c r="FGK978" s="240"/>
      <c r="FGL978" s="241"/>
      <c r="FGM978" s="239"/>
      <c r="FGN978" s="239"/>
      <c r="FGO978" s="239"/>
      <c r="FGP978" s="239"/>
      <c r="FGQ978" s="239"/>
      <c r="FGR978" s="239"/>
      <c r="FGS978" s="233"/>
      <c r="FGT978" s="235"/>
      <c r="FGU978" s="233"/>
      <c r="FGV978" s="233"/>
      <c r="FGW978" s="234"/>
      <c r="FGX978" s="234"/>
      <c r="FGY978" s="242"/>
      <c r="FGZ978" s="234"/>
      <c r="FHA978" s="234"/>
      <c r="FHB978" s="234"/>
      <c r="FHC978" s="236"/>
      <c r="FHD978" s="244"/>
      <c r="FHE978" s="239"/>
      <c r="FHF978" s="240"/>
      <c r="FHG978" s="241"/>
      <c r="FHH978" s="239"/>
      <c r="FHI978" s="239"/>
      <c r="FHJ978" s="239"/>
      <c r="FHK978" s="239"/>
      <c r="FHL978" s="239"/>
      <c r="FHM978" s="239"/>
      <c r="FHN978" s="233"/>
      <c r="FHO978" s="235"/>
      <c r="FHP978" s="233"/>
      <c r="FHQ978" s="233"/>
      <c r="FHR978" s="234"/>
      <c r="FHS978" s="234"/>
      <c r="FHT978" s="242"/>
      <c r="FHU978" s="234"/>
      <c r="FHV978" s="234"/>
      <c r="FHW978" s="234"/>
      <c r="FHX978" s="236"/>
      <c r="FHY978" s="244"/>
      <c r="FHZ978" s="239"/>
      <c r="FIA978" s="240"/>
      <c r="FIB978" s="241"/>
      <c r="FIC978" s="239"/>
      <c r="FID978" s="239"/>
      <c r="FIE978" s="239"/>
      <c r="FIF978" s="239"/>
      <c r="FIG978" s="239"/>
      <c r="FIH978" s="239"/>
      <c r="FII978" s="233"/>
      <c r="FIJ978" s="235"/>
      <c r="FIK978" s="233"/>
      <c r="FIL978" s="233"/>
      <c r="FIM978" s="234"/>
      <c r="FIN978" s="234"/>
      <c r="FIO978" s="242"/>
      <c r="FIP978" s="234"/>
      <c r="FIQ978" s="234"/>
      <c r="FIR978" s="234"/>
      <c r="FIS978" s="236"/>
      <c r="FIT978" s="244"/>
      <c r="FIU978" s="239"/>
      <c r="FIV978" s="240"/>
      <c r="FIW978" s="241"/>
      <c r="FIX978" s="239"/>
      <c r="FIY978" s="239"/>
      <c r="FIZ978" s="239"/>
      <c r="FJA978" s="239"/>
      <c r="FJB978" s="239"/>
      <c r="FJC978" s="239"/>
      <c r="FJD978" s="233"/>
      <c r="FJE978" s="235"/>
      <c r="FJF978" s="233"/>
      <c r="FJG978" s="233"/>
      <c r="FJH978" s="234"/>
      <c r="FJI978" s="234"/>
      <c r="FJJ978" s="242"/>
      <c r="FJK978" s="234"/>
      <c r="FJL978" s="234"/>
      <c r="FJM978" s="234"/>
      <c r="FJN978" s="236"/>
      <c r="FJO978" s="244"/>
      <c r="FJP978" s="239"/>
      <c r="FJQ978" s="240"/>
      <c r="FJR978" s="241"/>
      <c r="FJS978" s="239"/>
      <c r="FJT978" s="239"/>
      <c r="FJU978" s="239"/>
      <c r="FJV978" s="239"/>
      <c r="FJW978" s="239"/>
      <c r="FJX978" s="239"/>
      <c r="FJY978" s="233"/>
      <c r="FJZ978" s="235"/>
      <c r="FKA978" s="233"/>
      <c r="FKB978" s="233"/>
      <c r="FKC978" s="234"/>
      <c r="FKD978" s="234"/>
      <c r="FKE978" s="242"/>
      <c r="FKF978" s="234"/>
      <c r="FKG978" s="234"/>
      <c r="FKH978" s="234"/>
      <c r="FKI978" s="236"/>
      <c r="FKJ978" s="244"/>
      <c r="FKK978" s="239"/>
      <c r="FKL978" s="240"/>
      <c r="FKM978" s="241"/>
      <c r="FKN978" s="239"/>
      <c r="FKO978" s="239"/>
      <c r="FKP978" s="239"/>
      <c r="FKQ978" s="239"/>
      <c r="FKR978" s="239"/>
      <c r="FKS978" s="239"/>
      <c r="FKT978" s="233"/>
      <c r="FKU978" s="235"/>
      <c r="FKV978" s="233"/>
      <c r="FKW978" s="233"/>
      <c r="FKX978" s="234"/>
      <c r="FKY978" s="234"/>
      <c r="FKZ978" s="242"/>
      <c r="FLA978" s="234"/>
      <c r="FLB978" s="234"/>
      <c r="FLC978" s="234"/>
      <c r="FLD978" s="236"/>
      <c r="FLE978" s="244"/>
      <c r="FLF978" s="239"/>
      <c r="FLG978" s="240"/>
      <c r="FLH978" s="241"/>
      <c r="FLI978" s="239"/>
      <c r="FLJ978" s="239"/>
      <c r="FLK978" s="239"/>
      <c r="FLL978" s="239"/>
      <c r="FLM978" s="239"/>
      <c r="FLN978" s="239"/>
      <c r="FLO978" s="233"/>
      <c r="FLP978" s="235"/>
      <c r="FLQ978" s="233"/>
      <c r="FLR978" s="233"/>
      <c r="FLS978" s="234"/>
      <c r="FLT978" s="234"/>
      <c r="FLU978" s="242"/>
      <c r="FLV978" s="234"/>
      <c r="FLW978" s="234"/>
      <c r="FLX978" s="234"/>
      <c r="FLY978" s="236"/>
      <c r="FLZ978" s="244"/>
      <c r="FMA978" s="239"/>
      <c r="FMB978" s="240"/>
      <c r="FMC978" s="241"/>
      <c r="FMD978" s="239"/>
      <c r="FME978" s="239"/>
      <c r="FMF978" s="239"/>
      <c r="FMG978" s="239"/>
      <c r="FMH978" s="239"/>
      <c r="FMI978" s="239"/>
      <c r="FMJ978" s="233"/>
      <c r="FMK978" s="235"/>
      <c r="FML978" s="233"/>
      <c r="FMM978" s="233"/>
      <c r="FMN978" s="234"/>
      <c r="FMO978" s="234"/>
      <c r="FMP978" s="242"/>
      <c r="FMQ978" s="234"/>
      <c r="FMR978" s="234"/>
      <c r="FMS978" s="234"/>
      <c r="FMT978" s="236"/>
      <c r="FMU978" s="244"/>
      <c r="FMV978" s="239"/>
      <c r="FMW978" s="240"/>
      <c r="FMX978" s="241"/>
      <c r="FMY978" s="239"/>
      <c r="FMZ978" s="239"/>
      <c r="FNA978" s="239"/>
      <c r="FNB978" s="239"/>
      <c r="FNC978" s="239"/>
      <c r="FND978" s="239"/>
      <c r="FNE978" s="233"/>
      <c r="FNF978" s="235"/>
      <c r="FNG978" s="233"/>
      <c r="FNH978" s="233"/>
      <c r="FNI978" s="234"/>
      <c r="FNJ978" s="234"/>
      <c r="FNK978" s="242"/>
      <c r="FNL978" s="234"/>
      <c r="FNM978" s="234"/>
      <c r="FNN978" s="234"/>
      <c r="FNO978" s="236"/>
      <c r="FNP978" s="244"/>
      <c r="FNQ978" s="239"/>
      <c r="FNR978" s="240"/>
      <c r="FNS978" s="241"/>
      <c r="FNT978" s="239"/>
      <c r="FNU978" s="239"/>
      <c r="FNV978" s="239"/>
      <c r="FNW978" s="239"/>
      <c r="FNX978" s="239"/>
      <c r="FNY978" s="239"/>
      <c r="FNZ978" s="233"/>
      <c r="FOA978" s="235"/>
      <c r="FOB978" s="233"/>
      <c r="FOC978" s="233"/>
      <c r="FOD978" s="234"/>
      <c r="FOE978" s="234"/>
      <c r="FOF978" s="242"/>
      <c r="FOG978" s="234"/>
      <c r="FOH978" s="234"/>
      <c r="FOI978" s="234"/>
      <c r="FOJ978" s="236"/>
      <c r="FOK978" s="244"/>
      <c r="FOL978" s="239"/>
      <c r="FOM978" s="240"/>
      <c r="FON978" s="241"/>
      <c r="FOO978" s="239"/>
      <c r="FOP978" s="239"/>
      <c r="FOQ978" s="239"/>
      <c r="FOR978" s="239"/>
      <c r="FOS978" s="239"/>
      <c r="FOT978" s="239"/>
      <c r="FOU978" s="233"/>
      <c r="FOV978" s="235"/>
      <c r="FOW978" s="233"/>
      <c r="FOX978" s="233"/>
      <c r="FOY978" s="234"/>
      <c r="FOZ978" s="234"/>
      <c r="FPA978" s="242"/>
      <c r="FPB978" s="234"/>
      <c r="FPC978" s="234"/>
      <c r="FPD978" s="234"/>
      <c r="FPE978" s="236"/>
      <c r="FPF978" s="244"/>
      <c r="FPG978" s="239"/>
      <c r="FPH978" s="240"/>
      <c r="FPI978" s="241"/>
      <c r="FPJ978" s="239"/>
      <c r="FPK978" s="239"/>
      <c r="FPL978" s="239"/>
      <c r="FPM978" s="239"/>
      <c r="FPN978" s="239"/>
      <c r="FPO978" s="239"/>
      <c r="FPP978" s="233"/>
      <c r="FPQ978" s="235"/>
      <c r="FPR978" s="233"/>
      <c r="FPS978" s="233"/>
      <c r="FPT978" s="234"/>
      <c r="FPU978" s="234"/>
      <c r="FPV978" s="242"/>
      <c r="FPW978" s="234"/>
      <c r="FPX978" s="234"/>
      <c r="FPY978" s="234"/>
      <c r="FPZ978" s="236"/>
      <c r="FQA978" s="244"/>
      <c r="FQB978" s="239"/>
      <c r="FQC978" s="240"/>
      <c r="FQD978" s="241"/>
      <c r="FQE978" s="239"/>
      <c r="FQF978" s="239"/>
      <c r="FQG978" s="239"/>
      <c r="FQH978" s="239"/>
      <c r="FQI978" s="239"/>
      <c r="FQJ978" s="239"/>
      <c r="FQK978" s="233"/>
      <c r="FQL978" s="235"/>
      <c r="FQM978" s="233"/>
      <c r="FQN978" s="233"/>
      <c r="FQO978" s="234"/>
      <c r="FQP978" s="234"/>
      <c r="FQQ978" s="242"/>
      <c r="FQR978" s="234"/>
      <c r="FQS978" s="234"/>
      <c r="FQT978" s="234"/>
      <c r="FQU978" s="236"/>
      <c r="FQV978" s="244"/>
      <c r="FQW978" s="239"/>
      <c r="FQX978" s="240"/>
      <c r="FQY978" s="241"/>
      <c r="FQZ978" s="239"/>
      <c r="FRA978" s="239"/>
      <c r="FRB978" s="239"/>
      <c r="FRC978" s="239"/>
      <c r="FRD978" s="239"/>
      <c r="FRE978" s="239"/>
      <c r="FRF978" s="233"/>
      <c r="FRG978" s="235"/>
      <c r="FRH978" s="233"/>
      <c r="FRI978" s="233"/>
      <c r="FRJ978" s="234"/>
      <c r="FRK978" s="234"/>
      <c r="FRL978" s="242"/>
      <c r="FRM978" s="234"/>
      <c r="FRN978" s="234"/>
      <c r="FRO978" s="234"/>
      <c r="FRP978" s="236"/>
      <c r="FRQ978" s="244"/>
      <c r="FRR978" s="239"/>
      <c r="FRS978" s="240"/>
      <c r="FRT978" s="241"/>
      <c r="FRU978" s="239"/>
      <c r="FRV978" s="239"/>
      <c r="FRW978" s="239"/>
      <c r="FRX978" s="239"/>
      <c r="FRY978" s="239"/>
      <c r="FRZ978" s="239"/>
      <c r="FSA978" s="233"/>
      <c r="FSB978" s="235"/>
      <c r="FSC978" s="233"/>
      <c r="FSD978" s="233"/>
      <c r="FSE978" s="234"/>
      <c r="FSF978" s="234"/>
      <c r="FSG978" s="242"/>
      <c r="FSH978" s="234"/>
      <c r="FSI978" s="234"/>
      <c r="FSJ978" s="234"/>
      <c r="FSK978" s="236"/>
      <c r="FSL978" s="244"/>
      <c r="FSM978" s="239"/>
      <c r="FSN978" s="240"/>
      <c r="FSO978" s="241"/>
      <c r="FSP978" s="239"/>
      <c r="FSQ978" s="239"/>
      <c r="FSR978" s="239"/>
      <c r="FSS978" s="239"/>
      <c r="FST978" s="239"/>
      <c r="FSU978" s="239"/>
      <c r="FSV978" s="233"/>
      <c r="FSW978" s="235"/>
      <c r="FSX978" s="233"/>
      <c r="FSY978" s="233"/>
      <c r="FSZ978" s="234"/>
      <c r="FTA978" s="234"/>
      <c r="FTB978" s="242"/>
      <c r="FTC978" s="234"/>
      <c r="FTD978" s="234"/>
      <c r="FTE978" s="234"/>
      <c r="FTF978" s="236"/>
      <c r="FTG978" s="244"/>
      <c r="FTH978" s="239"/>
      <c r="FTI978" s="240"/>
      <c r="FTJ978" s="241"/>
      <c r="FTK978" s="239"/>
      <c r="FTL978" s="239"/>
      <c r="FTM978" s="239"/>
      <c r="FTN978" s="239"/>
      <c r="FTO978" s="239"/>
      <c r="FTP978" s="239"/>
      <c r="FTQ978" s="233"/>
      <c r="FTR978" s="235"/>
      <c r="FTS978" s="233"/>
      <c r="FTT978" s="233"/>
      <c r="FTU978" s="234"/>
      <c r="FTV978" s="234"/>
      <c r="FTW978" s="242"/>
      <c r="FTX978" s="234"/>
      <c r="FTY978" s="234"/>
      <c r="FTZ978" s="234"/>
      <c r="FUA978" s="236"/>
      <c r="FUB978" s="244"/>
      <c r="FUC978" s="239"/>
      <c r="FUD978" s="240"/>
      <c r="FUE978" s="241"/>
      <c r="FUF978" s="239"/>
      <c r="FUG978" s="239"/>
      <c r="FUH978" s="239"/>
      <c r="FUI978" s="239"/>
      <c r="FUJ978" s="239"/>
      <c r="FUK978" s="239"/>
      <c r="FUL978" s="233"/>
      <c r="FUM978" s="235"/>
      <c r="FUN978" s="233"/>
      <c r="FUO978" s="233"/>
      <c r="FUP978" s="234"/>
      <c r="FUQ978" s="234"/>
      <c r="FUR978" s="242"/>
      <c r="FUS978" s="234"/>
      <c r="FUT978" s="234"/>
      <c r="FUU978" s="234"/>
      <c r="FUV978" s="236"/>
      <c r="FUW978" s="244"/>
      <c r="FUX978" s="239"/>
      <c r="FUY978" s="240"/>
      <c r="FUZ978" s="241"/>
      <c r="FVA978" s="239"/>
      <c r="FVB978" s="239"/>
      <c r="FVC978" s="239"/>
      <c r="FVD978" s="239"/>
      <c r="FVE978" s="239"/>
      <c r="FVF978" s="239"/>
      <c r="FVG978" s="233"/>
      <c r="FVH978" s="235"/>
      <c r="FVI978" s="233"/>
      <c r="FVJ978" s="233"/>
      <c r="FVK978" s="234"/>
      <c r="FVL978" s="234"/>
      <c r="FVM978" s="242"/>
      <c r="FVN978" s="234"/>
      <c r="FVO978" s="234"/>
      <c r="FVP978" s="234"/>
      <c r="FVQ978" s="236"/>
      <c r="FVR978" s="244"/>
      <c r="FVS978" s="239"/>
      <c r="FVT978" s="240"/>
      <c r="FVU978" s="241"/>
      <c r="FVV978" s="239"/>
      <c r="FVW978" s="239"/>
      <c r="FVX978" s="239"/>
      <c r="FVY978" s="239"/>
      <c r="FVZ978" s="239"/>
      <c r="FWA978" s="239"/>
      <c r="FWB978" s="233"/>
      <c r="FWC978" s="235"/>
      <c r="FWD978" s="233"/>
      <c r="FWE978" s="233"/>
      <c r="FWF978" s="234"/>
      <c r="FWG978" s="234"/>
      <c r="FWH978" s="242"/>
      <c r="FWI978" s="234"/>
      <c r="FWJ978" s="234"/>
      <c r="FWK978" s="234"/>
      <c r="FWL978" s="236"/>
      <c r="FWM978" s="244"/>
      <c r="FWN978" s="239"/>
      <c r="FWO978" s="240"/>
      <c r="FWP978" s="241"/>
      <c r="FWQ978" s="239"/>
      <c r="FWR978" s="239"/>
      <c r="FWS978" s="239"/>
      <c r="FWT978" s="239"/>
      <c r="FWU978" s="239"/>
      <c r="FWV978" s="239"/>
      <c r="FWW978" s="233"/>
      <c r="FWX978" s="235"/>
      <c r="FWY978" s="233"/>
      <c r="FWZ978" s="233"/>
      <c r="FXA978" s="234"/>
      <c r="FXB978" s="234"/>
      <c r="FXC978" s="242"/>
      <c r="FXD978" s="234"/>
      <c r="FXE978" s="234"/>
      <c r="FXF978" s="234"/>
      <c r="FXG978" s="236"/>
      <c r="FXH978" s="244"/>
      <c r="FXI978" s="239"/>
      <c r="FXJ978" s="240"/>
      <c r="FXK978" s="241"/>
      <c r="FXL978" s="239"/>
      <c r="FXM978" s="239"/>
      <c r="FXN978" s="239"/>
      <c r="FXO978" s="239"/>
      <c r="FXP978" s="239"/>
      <c r="FXQ978" s="239"/>
      <c r="FXR978" s="233"/>
      <c r="FXS978" s="235"/>
      <c r="FXT978" s="233"/>
      <c r="FXU978" s="233"/>
      <c r="FXV978" s="234"/>
      <c r="FXW978" s="234"/>
      <c r="FXX978" s="242"/>
      <c r="FXY978" s="234"/>
      <c r="FXZ978" s="234"/>
      <c r="FYA978" s="234"/>
      <c r="FYB978" s="236"/>
      <c r="FYC978" s="244"/>
      <c r="FYD978" s="239"/>
      <c r="FYE978" s="240"/>
      <c r="FYF978" s="241"/>
      <c r="FYG978" s="239"/>
      <c r="FYH978" s="239"/>
      <c r="FYI978" s="239"/>
      <c r="FYJ978" s="239"/>
      <c r="FYK978" s="239"/>
      <c r="FYL978" s="239"/>
      <c r="FYM978" s="233"/>
      <c r="FYN978" s="235"/>
      <c r="FYO978" s="233"/>
      <c r="FYP978" s="233"/>
      <c r="FYQ978" s="234"/>
      <c r="FYR978" s="234"/>
      <c r="FYS978" s="242"/>
      <c r="FYT978" s="234"/>
      <c r="FYU978" s="234"/>
      <c r="FYV978" s="234"/>
      <c r="FYW978" s="236"/>
      <c r="FYX978" s="244"/>
      <c r="FYY978" s="239"/>
      <c r="FYZ978" s="240"/>
      <c r="FZA978" s="241"/>
      <c r="FZB978" s="239"/>
      <c r="FZC978" s="239"/>
      <c r="FZD978" s="239"/>
      <c r="FZE978" s="239"/>
      <c r="FZF978" s="239"/>
      <c r="FZG978" s="239"/>
      <c r="FZH978" s="233"/>
      <c r="FZI978" s="235"/>
      <c r="FZJ978" s="233"/>
      <c r="FZK978" s="233"/>
      <c r="FZL978" s="234"/>
      <c r="FZM978" s="234"/>
      <c r="FZN978" s="242"/>
      <c r="FZO978" s="234"/>
      <c r="FZP978" s="234"/>
      <c r="FZQ978" s="234"/>
      <c r="FZR978" s="236"/>
      <c r="FZS978" s="244"/>
      <c r="FZT978" s="239"/>
      <c r="FZU978" s="240"/>
      <c r="FZV978" s="241"/>
      <c r="FZW978" s="239"/>
      <c r="FZX978" s="239"/>
      <c r="FZY978" s="239"/>
      <c r="FZZ978" s="239"/>
      <c r="GAA978" s="239"/>
      <c r="GAB978" s="239"/>
      <c r="GAC978" s="233"/>
      <c r="GAD978" s="235"/>
      <c r="GAE978" s="233"/>
      <c r="GAF978" s="233"/>
      <c r="GAG978" s="234"/>
      <c r="GAH978" s="234"/>
      <c r="GAI978" s="242"/>
      <c r="GAJ978" s="234"/>
      <c r="GAK978" s="234"/>
      <c r="GAL978" s="234"/>
      <c r="GAM978" s="236"/>
      <c r="GAN978" s="244"/>
      <c r="GAO978" s="239"/>
      <c r="GAP978" s="240"/>
      <c r="GAQ978" s="241"/>
      <c r="GAR978" s="239"/>
      <c r="GAS978" s="239"/>
      <c r="GAT978" s="239"/>
      <c r="GAU978" s="239"/>
      <c r="GAV978" s="239"/>
      <c r="GAW978" s="239"/>
      <c r="GAX978" s="233"/>
      <c r="GAY978" s="235"/>
      <c r="GAZ978" s="233"/>
      <c r="GBA978" s="233"/>
      <c r="GBB978" s="234"/>
      <c r="GBC978" s="234"/>
      <c r="GBD978" s="242"/>
      <c r="GBE978" s="234"/>
      <c r="GBF978" s="234"/>
      <c r="GBG978" s="234"/>
      <c r="GBH978" s="236"/>
      <c r="GBI978" s="244"/>
      <c r="GBJ978" s="239"/>
      <c r="GBK978" s="240"/>
      <c r="GBL978" s="241"/>
      <c r="GBM978" s="239"/>
      <c r="GBN978" s="239"/>
      <c r="GBO978" s="239"/>
      <c r="GBP978" s="239"/>
      <c r="GBQ978" s="239"/>
      <c r="GBR978" s="239"/>
      <c r="GBS978" s="233"/>
      <c r="GBT978" s="235"/>
      <c r="GBU978" s="233"/>
      <c r="GBV978" s="233"/>
      <c r="GBW978" s="234"/>
      <c r="GBX978" s="234"/>
      <c r="GBY978" s="242"/>
      <c r="GBZ978" s="234"/>
      <c r="GCA978" s="234"/>
      <c r="GCB978" s="234"/>
      <c r="GCC978" s="236"/>
      <c r="GCD978" s="244"/>
      <c r="GCE978" s="239"/>
      <c r="GCF978" s="240"/>
      <c r="GCG978" s="241"/>
      <c r="GCH978" s="239"/>
      <c r="GCI978" s="239"/>
      <c r="GCJ978" s="239"/>
      <c r="GCK978" s="239"/>
      <c r="GCL978" s="239"/>
      <c r="GCM978" s="239"/>
      <c r="GCN978" s="233"/>
      <c r="GCO978" s="235"/>
      <c r="GCP978" s="233"/>
      <c r="GCQ978" s="233"/>
      <c r="GCR978" s="234"/>
      <c r="GCS978" s="234"/>
      <c r="GCT978" s="242"/>
      <c r="GCU978" s="234"/>
      <c r="GCV978" s="234"/>
      <c r="GCW978" s="234"/>
      <c r="GCX978" s="236"/>
      <c r="GCY978" s="244"/>
      <c r="GCZ978" s="239"/>
      <c r="GDA978" s="240"/>
      <c r="GDB978" s="241"/>
      <c r="GDC978" s="239"/>
      <c r="GDD978" s="239"/>
      <c r="GDE978" s="239"/>
      <c r="GDF978" s="239"/>
      <c r="GDG978" s="239"/>
      <c r="GDH978" s="239"/>
      <c r="GDI978" s="233"/>
      <c r="GDJ978" s="235"/>
      <c r="GDK978" s="233"/>
      <c r="GDL978" s="233"/>
      <c r="GDM978" s="234"/>
      <c r="GDN978" s="234"/>
      <c r="GDO978" s="242"/>
      <c r="GDP978" s="234"/>
      <c r="GDQ978" s="234"/>
      <c r="GDR978" s="234"/>
      <c r="GDS978" s="236"/>
      <c r="GDT978" s="244"/>
      <c r="GDU978" s="239"/>
      <c r="GDV978" s="240"/>
      <c r="GDW978" s="241"/>
      <c r="GDX978" s="239"/>
      <c r="GDY978" s="239"/>
      <c r="GDZ978" s="239"/>
      <c r="GEA978" s="239"/>
      <c r="GEB978" s="239"/>
      <c r="GEC978" s="239"/>
      <c r="GED978" s="233"/>
      <c r="GEE978" s="235"/>
      <c r="GEF978" s="233"/>
      <c r="GEG978" s="233"/>
      <c r="GEH978" s="234"/>
      <c r="GEI978" s="234"/>
      <c r="GEJ978" s="242"/>
      <c r="GEK978" s="234"/>
      <c r="GEL978" s="234"/>
      <c r="GEM978" s="234"/>
      <c r="GEN978" s="236"/>
      <c r="GEO978" s="244"/>
      <c r="GEP978" s="239"/>
      <c r="GEQ978" s="240"/>
      <c r="GER978" s="241"/>
      <c r="GES978" s="239"/>
      <c r="GET978" s="239"/>
      <c r="GEU978" s="239"/>
      <c r="GEV978" s="239"/>
      <c r="GEW978" s="239"/>
      <c r="GEX978" s="239"/>
      <c r="GEY978" s="233"/>
      <c r="GEZ978" s="235"/>
      <c r="GFA978" s="233"/>
      <c r="GFB978" s="233"/>
      <c r="GFC978" s="234"/>
      <c r="GFD978" s="234"/>
      <c r="GFE978" s="242"/>
      <c r="GFF978" s="234"/>
      <c r="GFG978" s="234"/>
      <c r="GFH978" s="234"/>
      <c r="GFI978" s="236"/>
      <c r="GFJ978" s="244"/>
      <c r="GFK978" s="239"/>
      <c r="GFL978" s="240"/>
      <c r="GFM978" s="241"/>
      <c r="GFN978" s="239"/>
      <c r="GFO978" s="239"/>
      <c r="GFP978" s="239"/>
      <c r="GFQ978" s="239"/>
      <c r="GFR978" s="239"/>
      <c r="GFS978" s="239"/>
      <c r="GFT978" s="233"/>
      <c r="GFU978" s="235"/>
      <c r="GFV978" s="233"/>
      <c r="GFW978" s="233"/>
      <c r="GFX978" s="234"/>
      <c r="GFY978" s="234"/>
      <c r="GFZ978" s="242"/>
      <c r="GGA978" s="234"/>
      <c r="GGB978" s="234"/>
      <c r="GGC978" s="234"/>
      <c r="GGD978" s="236"/>
      <c r="GGE978" s="244"/>
      <c r="GGF978" s="239"/>
      <c r="GGG978" s="240"/>
      <c r="GGH978" s="241"/>
      <c r="GGI978" s="239"/>
      <c r="GGJ978" s="239"/>
      <c r="GGK978" s="239"/>
      <c r="GGL978" s="239"/>
      <c r="GGM978" s="239"/>
      <c r="GGN978" s="239"/>
      <c r="GGO978" s="233"/>
      <c r="GGP978" s="235"/>
      <c r="GGQ978" s="233"/>
      <c r="GGR978" s="233"/>
      <c r="GGS978" s="234"/>
      <c r="GGT978" s="234"/>
      <c r="GGU978" s="242"/>
      <c r="GGV978" s="234"/>
      <c r="GGW978" s="234"/>
      <c r="GGX978" s="234"/>
      <c r="GGY978" s="236"/>
      <c r="GGZ978" s="244"/>
      <c r="GHA978" s="239"/>
      <c r="GHB978" s="240"/>
      <c r="GHC978" s="241"/>
      <c r="GHD978" s="239"/>
      <c r="GHE978" s="239"/>
      <c r="GHF978" s="239"/>
      <c r="GHG978" s="239"/>
      <c r="GHH978" s="239"/>
      <c r="GHI978" s="239"/>
      <c r="GHJ978" s="233"/>
      <c r="GHK978" s="235"/>
      <c r="GHL978" s="233"/>
      <c r="GHM978" s="233"/>
      <c r="GHN978" s="234"/>
      <c r="GHO978" s="234"/>
      <c r="GHP978" s="242"/>
      <c r="GHQ978" s="234"/>
      <c r="GHR978" s="234"/>
      <c r="GHS978" s="234"/>
      <c r="GHT978" s="236"/>
      <c r="GHU978" s="244"/>
      <c r="GHV978" s="239"/>
      <c r="GHW978" s="240"/>
      <c r="GHX978" s="241"/>
      <c r="GHY978" s="239"/>
      <c r="GHZ978" s="239"/>
      <c r="GIA978" s="239"/>
      <c r="GIB978" s="239"/>
      <c r="GIC978" s="239"/>
      <c r="GID978" s="239"/>
      <c r="GIE978" s="233"/>
      <c r="GIF978" s="235"/>
      <c r="GIG978" s="233"/>
      <c r="GIH978" s="233"/>
      <c r="GII978" s="234"/>
      <c r="GIJ978" s="234"/>
      <c r="GIK978" s="242"/>
      <c r="GIL978" s="234"/>
      <c r="GIM978" s="234"/>
      <c r="GIN978" s="234"/>
      <c r="GIO978" s="236"/>
      <c r="GIP978" s="244"/>
      <c r="GIQ978" s="239"/>
      <c r="GIR978" s="240"/>
      <c r="GIS978" s="241"/>
      <c r="GIT978" s="239"/>
      <c r="GIU978" s="239"/>
      <c r="GIV978" s="239"/>
      <c r="GIW978" s="239"/>
      <c r="GIX978" s="239"/>
      <c r="GIY978" s="239"/>
      <c r="GIZ978" s="233"/>
      <c r="GJA978" s="235"/>
      <c r="GJB978" s="233"/>
      <c r="GJC978" s="233"/>
      <c r="GJD978" s="234"/>
      <c r="GJE978" s="234"/>
      <c r="GJF978" s="242"/>
      <c r="GJG978" s="234"/>
      <c r="GJH978" s="234"/>
      <c r="GJI978" s="234"/>
      <c r="GJJ978" s="236"/>
      <c r="GJK978" s="244"/>
      <c r="GJL978" s="239"/>
      <c r="GJM978" s="240"/>
      <c r="GJN978" s="241"/>
      <c r="GJO978" s="239"/>
      <c r="GJP978" s="239"/>
      <c r="GJQ978" s="239"/>
      <c r="GJR978" s="239"/>
      <c r="GJS978" s="239"/>
      <c r="GJT978" s="239"/>
      <c r="GJU978" s="233"/>
      <c r="GJV978" s="235"/>
      <c r="GJW978" s="233"/>
      <c r="GJX978" s="233"/>
      <c r="GJY978" s="234"/>
      <c r="GJZ978" s="234"/>
      <c r="GKA978" s="242"/>
      <c r="GKB978" s="234"/>
      <c r="GKC978" s="234"/>
      <c r="GKD978" s="234"/>
      <c r="GKE978" s="236"/>
      <c r="GKF978" s="244"/>
      <c r="GKG978" s="239"/>
      <c r="GKH978" s="240"/>
      <c r="GKI978" s="241"/>
      <c r="GKJ978" s="239"/>
      <c r="GKK978" s="239"/>
      <c r="GKL978" s="239"/>
      <c r="GKM978" s="239"/>
      <c r="GKN978" s="239"/>
      <c r="GKO978" s="239"/>
      <c r="GKP978" s="233"/>
      <c r="GKQ978" s="235"/>
      <c r="GKR978" s="233"/>
      <c r="GKS978" s="233"/>
      <c r="GKT978" s="234"/>
      <c r="GKU978" s="234"/>
      <c r="GKV978" s="242"/>
      <c r="GKW978" s="234"/>
      <c r="GKX978" s="234"/>
      <c r="GKY978" s="234"/>
      <c r="GKZ978" s="236"/>
      <c r="GLA978" s="244"/>
      <c r="GLB978" s="239"/>
      <c r="GLC978" s="240"/>
      <c r="GLD978" s="241"/>
      <c r="GLE978" s="239"/>
      <c r="GLF978" s="239"/>
      <c r="GLG978" s="239"/>
      <c r="GLH978" s="239"/>
      <c r="GLI978" s="239"/>
      <c r="GLJ978" s="239"/>
      <c r="GLK978" s="233"/>
      <c r="GLL978" s="235"/>
      <c r="GLM978" s="233"/>
      <c r="GLN978" s="233"/>
      <c r="GLO978" s="234"/>
      <c r="GLP978" s="234"/>
      <c r="GLQ978" s="242"/>
      <c r="GLR978" s="234"/>
      <c r="GLS978" s="234"/>
      <c r="GLT978" s="234"/>
      <c r="GLU978" s="236"/>
      <c r="GLV978" s="244"/>
      <c r="GLW978" s="239"/>
      <c r="GLX978" s="240"/>
      <c r="GLY978" s="241"/>
      <c r="GLZ978" s="239"/>
      <c r="GMA978" s="239"/>
      <c r="GMB978" s="239"/>
      <c r="GMC978" s="239"/>
      <c r="GMD978" s="239"/>
      <c r="GME978" s="239"/>
      <c r="GMF978" s="233"/>
      <c r="GMG978" s="235"/>
      <c r="GMH978" s="233"/>
      <c r="GMI978" s="233"/>
      <c r="GMJ978" s="234"/>
      <c r="GMK978" s="234"/>
      <c r="GML978" s="242"/>
      <c r="GMM978" s="234"/>
      <c r="GMN978" s="234"/>
      <c r="GMO978" s="234"/>
      <c r="GMP978" s="236"/>
      <c r="GMQ978" s="244"/>
      <c r="GMR978" s="239"/>
      <c r="GMS978" s="240"/>
      <c r="GMT978" s="241"/>
      <c r="GMU978" s="239"/>
      <c r="GMV978" s="239"/>
      <c r="GMW978" s="239"/>
      <c r="GMX978" s="239"/>
      <c r="GMY978" s="239"/>
      <c r="GMZ978" s="239"/>
      <c r="GNA978" s="233"/>
      <c r="GNB978" s="235"/>
      <c r="GNC978" s="233"/>
      <c r="GND978" s="233"/>
      <c r="GNE978" s="234"/>
      <c r="GNF978" s="234"/>
      <c r="GNG978" s="242"/>
      <c r="GNH978" s="234"/>
      <c r="GNI978" s="234"/>
      <c r="GNJ978" s="234"/>
      <c r="GNK978" s="236"/>
      <c r="GNL978" s="244"/>
      <c r="GNM978" s="239"/>
      <c r="GNN978" s="240"/>
      <c r="GNO978" s="241"/>
      <c r="GNP978" s="239"/>
      <c r="GNQ978" s="239"/>
      <c r="GNR978" s="239"/>
      <c r="GNS978" s="239"/>
      <c r="GNT978" s="239"/>
      <c r="GNU978" s="239"/>
      <c r="GNV978" s="233"/>
      <c r="GNW978" s="235"/>
      <c r="GNX978" s="233"/>
      <c r="GNY978" s="233"/>
      <c r="GNZ978" s="234"/>
      <c r="GOA978" s="234"/>
      <c r="GOB978" s="242"/>
      <c r="GOC978" s="234"/>
      <c r="GOD978" s="234"/>
      <c r="GOE978" s="234"/>
      <c r="GOF978" s="236"/>
      <c r="GOG978" s="244"/>
      <c r="GOH978" s="239"/>
      <c r="GOI978" s="240"/>
      <c r="GOJ978" s="241"/>
      <c r="GOK978" s="239"/>
      <c r="GOL978" s="239"/>
      <c r="GOM978" s="239"/>
      <c r="GON978" s="239"/>
      <c r="GOO978" s="239"/>
      <c r="GOP978" s="239"/>
      <c r="GOQ978" s="233"/>
      <c r="GOR978" s="235"/>
      <c r="GOS978" s="233"/>
      <c r="GOT978" s="233"/>
      <c r="GOU978" s="234"/>
      <c r="GOV978" s="234"/>
      <c r="GOW978" s="242"/>
      <c r="GOX978" s="234"/>
      <c r="GOY978" s="234"/>
      <c r="GOZ978" s="234"/>
      <c r="GPA978" s="236"/>
      <c r="GPB978" s="244"/>
      <c r="GPC978" s="239"/>
      <c r="GPD978" s="240"/>
      <c r="GPE978" s="241"/>
      <c r="GPF978" s="239"/>
      <c r="GPG978" s="239"/>
      <c r="GPH978" s="239"/>
      <c r="GPI978" s="239"/>
      <c r="GPJ978" s="239"/>
      <c r="GPK978" s="239"/>
      <c r="GPL978" s="233"/>
      <c r="GPM978" s="235"/>
      <c r="GPN978" s="233"/>
      <c r="GPO978" s="233"/>
      <c r="GPP978" s="234"/>
      <c r="GPQ978" s="234"/>
      <c r="GPR978" s="242"/>
      <c r="GPS978" s="234"/>
      <c r="GPT978" s="234"/>
      <c r="GPU978" s="234"/>
      <c r="GPV978" s="236"/>
      <c r="GPW978" s="244"/>
      <c r="GPX978" s="239"/>
      <c r="GPY978" s="240"/>
      <c r="GPZ978" s="241"/>
      <c r="GQA978" s="239"/>
      <c r="GQB978" s="239"/>
      <c r="GQC978" s="239"/>
      <c r="GQD978" s="239"/>
      <c r="GQE978" s="239"/>
      <c r="GQF978" s="239"/>
      <c r="GQG978" s="233"/>
      <c r="GQH978" s="235"/>
      <c r="GQI978" s="233"/>
      <c r="GQJ978" s="233"/>
      <c r="GQK978" s="234"/>
      <c r="GQL978" s="234"/>
      <c r="GQM978" s="242"/>
      <c r="GQN978" s="234"/>
      <c r="GQO978" s="234"/>
      <c r="GQP978" s="234"/>
      <c r="GQQ978" s="236"/>
      <c r="GQR978" s="244"/>
      <c r="GQS978" s="239"/>
      <c r="GQT978" s="240"/>
      <c r="GQU978" s="241"/>
      <c r="GQV978" s="239"/>
      <c r="GQW978" s="239"/>
      <c r="GQX978" s="239"/>
      <c r="GQY978" s="239"/>
      <c r="GQZ978" s="239"/>
      <c r="GRA978" s="239"/>
      <c r="GRB978" s="233"/>
      <c r="GRC978" s="235"/>
      <c r="GRD978" s="233"/>
      <c r="GRE978" s="233"/>
      <c r="GRF978" s="234"/>
      <c r="GRG978" s="234"/>
      <c r="GRH978" s="242"/>
      <c r="GRI978" s="234"/>
      <c r="GRJ978" s="234"/>
      <c r="GRK978" s="234"/>
      <c r="GRL978" s="236"/>
      <c r="GRM978" s="244"/>
      <c r="GRN978" s="239"/>
      <c r="GRO978" s="240"/>
      <c r="GRP978" s="241"/>
      <c r="GRQ978" s="239"/>
      <c r="GRR978" s="239"/>
      <c r="GRS978" s="239"/>
      <c r="GRT978" s="239"/>
      <c r="GRU978" s="239"/>
      <c r="GRV978" s="239"/>
      <c r="GRW978" s="233"/>
      <c r="GRX978" s="235"/>
      <c r="GRY978" s="233"/>
      <c r="GRZ978" s="233"/>
      <c r="GSA978" s="234"/>
      <c r="GSB978" s="234"/>
      <c r="GSC978" s="242"/>
      <c r="GSD978" s="234"/>
      <c r="GSE978" s="234"/>
      <c r="GSF978" s="234"/>
      <c r="GSG978" s="236"/>
      <c r="GSH978" s="244"/>
      <c r="GSI978" s="239"/>
      <c r="GSJ978" s="240"/>
      <c r="GSK978" s="241"/>
      <c r="GSL978" s="239"/>
      <c r="GSM978" s="239"/>
      <c r="GSN978" s="239"/>
      <c r="GSO978" s="239"/>
      <c r="GSP978" s="239"/>
      <c r="GSQ978" s="239"/>
      <c r="GSR978" s="233"/>
      <c r="GSS978" s="235"/>
      <c r="GST978" s="233"/>
      <c r="GSU978" s="233"/>
      <c r="GSV978" s="234"/>
      <c r="GSW978" s="234"/>
      <c r="GSX978" s="242"/>
      <c r="GSY978" s="234"/>
      <c r="GSZ978" s="234"/>
      <c r="GTA978" s="234"/>
      <c r="GTB978" s="236"/>
      <c r="GTC978" s="244"/>
      <c r="GTD978" s="239"/>
      <c r="GTE978" s="240"/>
      <c r="GTF978" s="241"/>
      <c r="GTG978" s="239"/>
      <c r="GTH978" s="239"/>
      <c r="GTI978" s="239"/>
      <c r="GTJ978" s="239"/>
      <c r="GTK978" s="239"/>
      <c r="GTL978" s="239"/>
      <c r="GTM978" s="233"/>
      <c r="GTN978" s="235"/>
      <c r="GTO978" s="233"/>
      <c r="GTP978" s="233"/>
      <c r="GTQ978" s="234"/>
      <c r="GTR978" s="234"/>
      <c r="GTS978" s="242"/>
      <c r="GTT978" s="234"/>
      <c r="GTU978" s="234"/>
      <c r="GTV978" s="234"/>
      <c r="GTW978" s="236"/>
      <c r="GTX978" s="244"/>
      <c r="GTY978" s="239"/>
      <c r="GTZ978" s="240"/>
      <c r="GUA978" s="241"/>
      <c r="GUB978" s="239"/>
      <c r="GUC978" s="239"/>
      <c r="GUD978" s="239"/>
      <c r="GUE978" s="239"/>
      <c r="GUF978" s="239"/>
      <c r="GUG978" s="239"/>
      <c r="GUH978" s="233"/>
      <c r="GUI978" s="235"/>
      <c r="GUJ978" s="233"/>
      <c r="GUK978" s="233"/>
      <c r="GUL978" s="234"/>
      <c r="GUM978" s="234"/>
      <c r="GUN978" s="242"/>
      <c r="GUO978" s="234"/>
      <c r="GUP978" s="234"/>
      <c r="GUQ978" s="234"/>
      <c r="GUR978" s="236"/>
      <c r="GUS978" s="244"/>
      <c r="GUT978" s="239"/>
      <c r="GUU978" s="240"/>
      <c r="GUV978" s="241"/>
      <c r="GUW978" s="239"/>
      <c r="GUX978" s="239"/>
      <c r="GUY978" s="239"/>
      <c r="GUZ978" s="239"/>
      <c r="GVA978" s="239"/>
      <c r="GVB978" s="239"/>
      <c r="GVC978" s="233"/>
      <c r="GVD978" s="235"/>
      <c r="GVE978" s="233"/>
      <c r="GVF978" s="233"/>
      <c r="GVG978" s="234"/>
      <c r="GVH978" s="234"/>
      <c r="GVI978" s="242"/>
      <c r="GVJ978" s="234"/>
      <c r="GVK978" s="234"/>
      <c r="GVL978" s="234"/>
      <c r="GVM978" s="236"/>
      <c r="GVN978" s="244"/>
      <c r="GVO978" s="239"/>
      <c r="GVP978" s="240"/>
      <c r="GVQ978" s="241"/>
      <c r="GVR978" s="239"/>
      <c r="GVS978" s="239"/>
      <c r="GVT978" s="239"/>
      <c r="GVU978" s="239"/>
      <c r="GVV978" s="239"/>
      <c r="GVW978" s="239"/>
      <c r="GVX978" s="233"/>
      <c r="GVY978" s="235"/>
      <c r="GVZ978" s="233"/>
      <c r="GWA978" s="233"/>
      <c r="GWB978" s="234"/>
      <c r="GWC978" s="234"/>
      <c r="GWD978" s="242"/>
      <c r="GWE978" s="234"/>
      <c r="GWF978" s="234"/>
      <c r="GWG978" s="234"/>
      <c r="GWH978" s="236"/>
      <c r="GWI978" s="244"/>
      <c r="GWJ978" s="239"/>
      <c r="GWK978" s="240"/>
      <c r="GWL978" s="241"/>
      <c r="GWM978" s="239"/>
      <c r="GWN978" s="239"/>
      <c r="GWO978" s="239"/>
      <c r="GWP978" s="239"/>
      <c r="GWQ978" s="239"/>
      <c r="GWR978" s="239"/>
      <c r="GWS978" s="233"/>
      <c r="GWT978" s="235"/>
      <c r="GWU978" s="233"/>
      <c r="GWV978" s="233"/>
      <c r="GWW978" s="234"/>
      <c r="GWX978" s="234"/>
      <c r="GWY978" s="242"/>
      <c r="GWZ978" s="234"/>
      <c r="GXA978" s="234"/>
      <c r="GXB978" s="234"/>
      <c r="GXC978" s="236"/>
      <c r="GXD978" s="244"/>
      <c r="GXE978" s="239"/>
      <c r="GXF978" s="240"/>
      <c r="GXG978" s="241"/>
      <c r="GXH978" s="239"/>
      <c r="GXI978" s="239"/>
      <c r="GXJ978" s="239"/>
      <c r="GXK978" s="239"/>
      <c r="GXL978" s="239"/>
      <c r="GXM978" s="239"/>
      <c r="GXN978" s="233"/>
      <c r="GXO978" s="235"/>
      <c r="GXP978" s="233"/>
      <c r="GXQ978" s="233"/>
      <c r="GXR978" s="234"/>
      <c r="GXS978" s="234"/>
      <c r="GXT978" s="242"/>
      <c r="GXU978" s="234"/>
      <c r="GXV978" s="234"/>
      <c r="GXW978" s="234"/>
      <c r="GXX978" s="236"/>
      <c r="GXY978" s="244"/>
      <c r="GXZ978" s="239"/>
      <c r="GYA978" s="240"/>
      <c r="GYB978" s="241"/>
      <c r="GYC978" s="239"/>
      <c r="GYD978" s="239"/>
      <c r="GYE978" s="239"/>
      <c r="GYF978" s="239"/>
      <c r="GYG978" s="239"/>
      <c r="GYH978" s="239"/>
      <c r="GYI978" s="233"/>
      <c r="GYJ978" s="235"/>
      <c r="GYK978" s="233"/>
      <c r="GYL978" s="233"/>
      <c r="GYM978" s="234"/>
      <c r="GYN978" s="234"/>
      <c r="GYO978" s="242"/>
      <c r="GYP978" s="234"/>
      <c r="GYQ978" s="234"/>
      <c r="GYR978" s="234"/>
      <c r="GYS978" s="236"/>
      <c r="GYT978" s="244"/>
      <c r="GYU978" s="239"/>
      <c r="GYV978" s="240"/>
      <c r="GYW978" s="241"/>
      <c r="GYX978" s="239"/>
      <c r="GYY978" s="239"/>
      <c r="GYZ978" s="239"/>
      <c r="GZA978" s="239"/>
      <c r="GZB978" s="239"/>
      <c r="GZC978" s="239"/>
      <c r="GZD978" s="233"/>
      <c r="GZE978" s="235"/>
      <c r="GZF978" s="233"/>
      <c r="GZG978" s="233"/>
      <c r="GZH978" s="234"/>
      <c r="GZI978" s="234"/>
      <c r="GZJ978" s="242"/>
      <c r="GZK978" s="234"/>
      <c r="GZL978" s="234"/>
      <c r="GZM978" s="234"/>
      <c r="GZN978" s="236"/>
      <c r="GZO978" s="244"/>
      <c r="GZP978" s="239"/>
      <c r="GZQ978" s="240"/>
      <c r="GZR978" s="241"/>
      <c r="GZS978" s="239"/>
      <c r="GZT978" s="239"/>
      <c r="GZU978" s="239"/>
      <c r="GZV978" s="239"/>
      <c r="GZW978" s="239"/>
      <c r="GZX978" s="239"/>
      <c r="GZY978" s="233"/>
      <c r="GZZ978" s="235"/>
      <c r="HAA978" s="233"/>
      <c r="HAB978" s="233"/>
      <c r="HAC978" s="234"/>
      <c r="HAD978" s="234"/>
      <c r="HAE978" s="242"/>
      <c r="HAF978" s="234"/>
      <c r="HAG978" s="234"/>
      <c r="HAH978" s="234"/>
      <c r="HAI978" s="236"/>
      <c r="HAJ978" s="244"/>
      <c r="HAK978" s="239"/>
      <c r="HAL978" s="240"/>
      <c r="HAM978" s="241"/>
      <c r="HAN978" s="239"/>
      <c r="HAO978" s="239"/>
      <c r="HAP978" s="239"/>
      <c r="HAQ978" s="239"/>
      <c r="HAR978" s="239"/>
      <c r="HAS978" s="239"/>
      <c r="HAT978" s="233"/>
      <c r="HAU978" s="235"/>
      <c r="HAV978" s="233"/>
      <c r="HAW978" s="233"/>
      <c r="HAX978" s="234"/>
      <c r="HAY978" s="234"/>
      <c r="HAZ978" s="242"/>
      <c r="HBA978" s="234"/>
      <c r="HBB978" s="234"/>
      <c r="HBC978" s="234"/>
      <c r="HBD978" s="236"/>
      <c r="HBE978" s="244"/>
      <c r="HBF978" s="239"/>
      <c r="HBG978" s="240"/>
      <c r="HBH978" s="241"/>
      <c r="HBI978" s="239"/>
      <c r="HBJ978" s="239"/>
      <c r="HBK978" s="239"/>
      <c r="HBL978" s="239"/>
      <c r="HBM978" s="239"/>
      <c r="HBN978" s="239"/>
      <c r="HBO978" s="233"/>
      <c r="HBP978" s="235"/>
      <c r="HBQ978" s="233"/>
      <c r="HBR978" s="233"/>
      <c r="HBS978" s="234"/>
      <c r="HBT978" s="234"/>
      <c r="HBU978" s="242"/>
      <c r="HBV978" s="234"/>
      <c r="HBW978" s="234"/>
      <c r="HBX978" s="234"/>
      <c r="HBY978" s="236"/>
      <c r="HBZ978" s="244"/>
      <c r="HCA978" s="239"/>
      <c r="HCB978" s="240"/>
      <c r="HCC978" s="241"/>
      <c r="HCD978" s="239"/>
      <c r="HCE978" s="239"/>
      <c r="HCF978" s="239"/>
      <c r="HCG978" s="239"/>
      <c r="HCH978" s="239"/>
      <c r="HCI978" s="239"/>
      <c r="HCJ978" s="233"/>
      <c r="HCK978" s="235"/>
      <c r="HCL978" s="233"/>
      <c r="HCM978" s="233"/>
      <c r="HCN978" s="234"/>
      <c r="HCO978" s="234"/>
      <c r="HCP978" s="242"/>
      <c r="HCQ978" s="234"/>
      <c r="HCR978" s="234"/>
      <c r="HCS978" s="234"/>
      <c r="HCT978" s="236"/>
      <c r="HCU978" s="244"/>
      <c r="HCV978" s="239"/>
      <c r="HCW978" s="240"/>
      <c r="HCX978" s="241"/>
      <c r="HCY978" s="239"/>
      <c r="HCZ978" s="239"/>
      <c r="HDA978" s="239"/>
      <c r="HDB978" s="239"/>
      <c r="HDC978" s="239"/>
      <c r="HDD978" s="239"/>
      <c r="HDE978" s="233"/>
      <c r="HDF978" s="235"/>
      <c r="HDG978" s="233"/>
      <c r="HDH978" s="233"/>
      <c r="HDI978" s="234"/>
      <c r="HDJ978" s="234"/>
      <c r="HDK978" s="242"/>
      <c r="HDL978" s="234"/>
      <c r="HDM978" s="234"/>
      <c r="HDN978" s="234"/>
      <c r="HDO978" s="236"/>
      <c r="HDP978" s="244"/>
      <c r="HDQ978" s="239"/>
      <c r="HDR978" s="240"/>
      <c r="HDS978" s="241"/>
      <c r="HDT978" s="239"/>
      <c r="HDU978" s="239"/>
      <c r="HDV978" s="239"/>
      <c r="HDW978" s="239"/>
      <c r="HDX978" s="239"/>
      <c r="HDY978" s="239"/>
      <c r="HDZ978" s="233"/>
      <c r="HEA978" s="235"/>
      <c r="HEB978" s="233"/>
      <c r="HEC978" s="233"/>
      <c r="HED978" s="234"/>
      <c r="HEE978" s="234"/>
      <c r="HEF978" s="242"/>
      <c r="HEG978" s="234"/>
      <c r="HEH978" s="234"/>
      <c r="HEI978" s="234"/>
      <c r="HEJ978" s="236"/>
      <c r="HEK978" s="244"/>
      <c r="HEL978" s="239"/>
      <c r="HEM978" s="240"/>
      <c r="HEN978" s="241"/>
      <c r="HEO978" s="239"/>
      <c r="HEP978" s="239"/>
      <c r="HEQ978" s="239"/>
      <c r="HER978" s="239"/>
      <c r="HES978" s="239"/>
      <c r="HET978" s="239"/>
      <c r="HEU978" s="233"/>
      <c r="HEV978" s="235"/>
      <c r="HEW978" s="233"/>
      <c r="HEX978" s="233"/>
      <c r="HEY978" s="234"/>
      <c r="HEZ978" s="234"/>
      <c r="HFA978" s="242"/>
      <c r="HFB978" s="234"/>
      <c r="HFC978" s="234"/>
      <c r="HFD978" s="234"/>
      <c r="HFE978" s="236"/>
      <c r="HFF978" s="244"/>
      <c r="HFG978" s="239"/>
      <c r="HFH978" s="240"/>
      <c r="HFI978" s="241"/>
      <c r="HFJ978" s="239"/>
      <c r="HFK978" s="239"/>
      <c r="HFL978" s="239"/>
      <c r="HFM978" s="239"/>
      <c r="HFN978" s="239"/>
      <c r="HFO978" s="239"/>
      <c r="HFP978" s="233"/>
      <c r="HFQ978" s="235"/>
      <c r="HFR978" s="233"/>
      <c r="HFS978" s="233"/>
      <c r="HFT978" s="234"/>
      <c r="HFU978" s="234"/>
      <c r="HFV978" s="242"/>
      <c r="HFW978" s="234"/>
      <c r="HFX978" s="234"/>
      <c r="HFY978" s="234"/>
      <c r="HFZ978" s="236"/>
      <c r="HGA978" s="244"/>
      <c r="HGB978" s="239"/>
      <c r="HGC978" s="240"/>
      <c r="HGD978" s="241"/>
      <c r="HGE978" s="239"/>
      <c r="HGF978" s="239"/>
      <c r="HGG978" s="239"/>
      <c r="HGH978" s="239"/>
      <c r="HGI978" s="239"/>
      <c r="HGJ978" s="239"/>
      <c r="HGK978" s="233"/>
      <c r="HGL978" s="235"/>
      <c r="HGM978" s="233"/>
      <c r="HGN978" s="233"/>
      <c r="HGO978" s="234"/>
      <c r="HGP978" s="234"/>
      <c r="HGQ978" s="242"/>
      <c r="HGR978" s="234"/>
      <c r="HGS978" s="234"/>
      <c r="HGT978" s="234"/>
      <c r="HGU978" s="236"/>
      <c r="HGV978" s="244"/>
      <c r="HGW978" s="239"/>
      <c r="HGX978" s="240"/>
      <c r="HGY978" s="241"/>
      <c r="HGZ978" s="239"/>
      <c r="HHA978" s="239"/>
      <c r="HHB978" s="239"/>
      <c r="HHC978" s="239"/>
      <c r="HHD978" s="239"/>
      <c r="HHE978" s="239"/>
      <c r="HHF978" s="233"/>
      <c r="HHG978" s="235"/>
      <c r="HHH978" s="233"/>
      <c r="HHI978" s="233"/>
      <c r="HHJ978" s="234"/>
      <c r="HHK978" s="234"/>
      <c r="HHL978" s="242"/>
      <c r="HHM978" s="234"/>
      <c r="HHN978" s="234"/>
      <c r="HHO978" s="234"/>
      <c r="HHP978" s="236"/>
      <c r="HHQ978" s="244"/>
      <c r="HHR978" s="239"/>
      <c r="HHS978" s="240"/>
      <c r="HHT978" s="241"/>
      <c r="HHU978" s="239"/>
      <c r="HHV978" s="239"/>
      <c r="HHW978" s="239"/>
      <c r="HHX978" s="239"/>
      <c r="HHY978" s="239"/>
      <c r="HHZ978" s="239"/>
      <c r="HIA978" s="233"/>
      <c r="HIB978" s="235"/>
      <c r="HIC978" s="233"/>
      <c r="HID978" s="233"/>
      <c r="HIE978" s="234"/>
      <c r="HIF978" s="234"/>
      <c r="HIG978" s="242"/>
      <c r="HIH978" s="234"/>
      <c r="HII978" s="234"/>
      <c r="HIJ978" s="234"/>
      <c r="HIK978" s="236"/>
      <c r="HIL978" s="244"/>
      <c r="HIM978" s="239"/>
      <c r="HIN978" s="240"/>
      <c r="HIO978" s="241"/>
      <c r="HIP978" s="239"/>
      <c r="HIQ978" s="239"/>
      <c r="HIR978" s="239"/>
      <c r="HIS978" s="239"/>
      <c r="HIT978" s="239"/>
      <c r="HIU978" s="239"/>
      <c r="HIV978" s="233"/>
      <c r="HIW978" s="235"/>
      <c r="HIX978" s="233"/>
      <c r="HIY978" s="233"/>
      <c r="HIZ978" s="234"/>
      <c r="HJA978" s="234"/>
      <c r="HJB978" s="242"/>
      <c r="HJC978" s="234"/>
      <c r="HJD978" s="234"/>
      <c r="HJE978" s="234"/>
      <c r="HJF978" s="236"/>
      <c r="HJG978" s="244"/>
      <c r="HJH978" s="239"/>
      <c r="HJI978" s="240"/>
      <c r="HJJ978" s="241"/>
      <c r="HJK978" s="239"/>
      <c r="HJL978" s="239"/>
      <c r="HJM978" s="239"/>
      <c r="HJN978" s="239"/>
      <c r="HJO978" s="239"/>
      <c r="HJP978" s="239"/>
      <c r="HJQ978" s="233"/>
      <c r="HJR978" s="235"/>
      <c r="HJS978" s="233"/>
      <c r="HJT978" s="233"/>
      <c r="HJU978" s="234"/>
      <c r="HJV978" s="234"/>
      <c r="HJW978" s="242"/>
      <c r="HJX978" s="234"/>
      <c r="HJY978" s="234"/>
      <c r="HJZ978" s="234"/>
      <c r="HKA978" s="236"/>
      <c r="HKB978" s="244"/>
      <c r="HKC978" s="239"/>
      <c r="HKD978" s="240"/>
      <c r="HKE978" s="241"/>
      <c r="HKF978" s="239"/>
      <c r="HKG978" s="239"/>
      <c r="HKH978" s="239"/>
      <c r="HKI978" s="239"/>
      <c r="HKJ978" s="239"/>
      <c r="HKK978" s="239"/>
      <c r="HKL978" s="233"/>
      <c r="HKM978" s="235"/>
      <c r="HKN978" s="233"/>
      <c r="HKO978" s="233"/>
      <c r="HKP978" s="234"/>
      <c r="HKQ978" s="234"/>
      <c r="HKR978" s="242"/>
      <c r="HKS978" s="234"/>
      <c r="HKT978" s="234"/>
      <c r="HKU978" s="234"/>
      <c r="HKV978" s="236"/>
      <c r="HKW978" s="244"/>
      <c r="HKX978" s="239"/>
      <c r="HKY978" s="240"/>
      <c r="HKZ978" s="241"/>
      <c r="HLA978" s="239"/>
      <c r="HLB978" s="239"/>
      <c r="HLC978" s="239"/>
      <c r="HLD978" s="239"/>
      <c r="HLE978" s="239"/>
      <c r="HLF978" s="239"/>
      <c r="HLG978" s="233"/>
      <c r="HLH978" s="235"/>
      <c r="HLI978" s="233"/>
      <c r="HLJ978" s="233"/>
      <c r="HLK978" s="234"/>
      <c r="HLL978" s="234"/>
      <c r="HLM978" s="242"/>
      <c r="HLN978" s="234"/>
      <c r="HLO978" s="234"/>
      <c r="HLP978" s="234"/>
      <c r="HLQ978" s="236"/>
      <c r="HLR978" s="244"/>
      <c r="HLS978" s="239"/>
      <c r="HLT978" s="240"/>
      <c r="HLU978" s="241"/>
      <c r="HLV978" s="239"/>
      <c r="HLW978" s="239"/>
      <c r="HLX978" s="239"/>
      <c r="HLY978" s="239"/>
      <c r="HLZ978" s="239"/>
      <c r="HMA978" s="239"/>
      <c r="HMB978" s="233"/>
      <c r="HMC978" s="235"/>
      <c r="HMD978" s="233"/>
      <c r="HME978" s="233"/>
      <c r="HMF978" s="234"/>
      <c r="HMG978" s="234"/>
      <c r="HMH978" s="242"/>
      <c r="HMI978" s="234"/>
      <c r="HMJ978" s="234"/>
      <c r="HMK978" s="234"/>
      <c r="HML978" s="236"/>
      <c r="HMM978" s="244"/>
      <c r="HMN978" s="239"/>
      <c r="HMO978" s="240"/>
      <c r="HMP978" s="241"/>
      <c r="HMQ978" s="239"/>
      <c r="HMR978" s="239"/>
      <c r="HMS978" s="239"/>
      <c r="HMT978" s="239"/>
      <c r="HMU978" s="239"/>
      <c r="HMV978" s="239"/>
      <c r="HMW978" s="233"/>
      <c r="HMX978" s="235"/>
      <c r="HMY978" s="233"/>
      <c r="HMZ978" s="233"/>
      <c r="HNA978" s="234"/>
      <c r="HNB978" s="234"/>
      <c r="HNC978" s="242"/>
      <c r="HND978" s="234"/>
      <c r="HNE978" s="234"/>
      <c r="HNF978" s="234"/>
      <c r="HNG978" s="236"/>
      <c r="HNH978" s="244"/>
      <c r="HNI978" s="239"/>
      <c r="HNJ978" s="240"/>
      <c r="HNK978" s="241"/>
      <c r="HNL978" s="239"/>
      <c r="HNM978" s="239"/>
      <c r="HNN978" s="239"/>
      <c r="HNO978" s="239"/>
      <c r="HNP978" s="239"/>
      <c r="HNQ978" s="239"/>
      <c r="HNR978" s="233"/>
      <c r="HNS978" s="235"/>
      <c r="HNT978" s="233"/>
      <c r="HNU978" s="233"/>
      <c r="HNV978" s="234"/>
      <c r="HNW978" s="234"/>
      <c r="HNX978" s="242"/>
      <c r="HNY978" s="234"/>
      <c r="HNZ978" s="234"/>
      <c r="HOA978" s="234"/>
      <c r="HOB978" s="236"/>
      <c r="HOC978" s="244"/>
      <c r="HOD978" s="239"/>
      <c r="HOE978" s="240"/>
      <c r="HOF978" s="241"/>
      <c r="HOG978" s="239"/>
      <c r="HOH978" s="239"/>
      <c r="HOI978" s="239"/>
      <c r="HOJ978" s="239"/>
      <c r="HOK978" s="239"/>
      <c r="HOL978" s="239"/>
      <c r="HOM978" s="233"/>
      <c r="HON978" s="235"/>
      <c r="HOO978" s="233"/>
      <c r="HOP978" s="233"/>
      <c r="HOQ978" s="234"/>
      <c r="HOR978" s="234"/>
      <c r="HOS978" s="242"/>
      <c r="HOT978" s="234"/>
      <c r="HOU978" s="234"/>
      <c r="HOV978" s="234"/>
      <c r="HOW978" s="236"/>
      <c r="HOX978" s="244"/>
      <c r="HOY978" s="239"/>
      <c r="HOZ978" s="240"/>
      <c r="HPA978" s="241"/>
      <c r="HPB978" s="239"/>
      <c r="HPC978" s="239"/>
      <c r="HPD978" s="239"/>
      <c r="HPE978" s="239"/>
      <c r="HPF978" s="239"/>
      <c r="HPG978" s="239"/>
      <c r="HPH978" s="233"/>
      <c r="HPI978" s="235"/>
      <c r="HPJ978" s="233"/>
      <c r="HPK978" s="233"/>
      <c r="HPL978" s="234"/>
      <c r="HPM978" s="234"/>
      <c r="HPN978" s="242"/>
      <c r="HPO978" s="234"/>
      <c r="HPP978" s="234"/>
      <c r="HPQ978" s="234"/>
      <c r="HPR978" s="236"/>
      <c r="HPS978" s="244"/>
      <c r="HPT978" s="239"/>
      <c r="HPU978" s="240"/>
      <c r="HPV978" s="241"/>
      <c r="HPW978" s="239"/>
      <c r="HPX978" s="239"/>
      <c r="HPY978" s="239"/>
      <c r="HPZ978" s="239"/>
      <c r="HQA978" s="239"/>
      <c r="HQB978" s="239"/>
      <c r="HQC978" s="233"/>
      <c r="HQD978" s="235"/>
      <c r="HQE978" s="233"/>
      <c r="HQF978" s="233"/>
      <c r="HQG978" s="234"/>
      <c r="HQH978" s="234"/>
      <c r="HQI978" s="242"/>
      <c r="HQJ978" s="234"/>
      <c r="HQK978" s="234"/>
      <c r="HQL978" s="234"/>
      <c r="HQM978" s="236"/>
      <c r="HQN978" s="244"/>
      <c r="HQO978" s="239"/>
      <c r="HQP978" s="240"/>
      <c r="HQQ978" s="241"/>
      <c r="HQR978" s="239"/>
      <c r="HQS978" s="239"/>
      <c r="HQT978" s="239"/>
      <c r="HQU978" s="239"/>
      <c r="HQV978" s="239"/>
      <c r="HQW978" s="239"/>
      <c r="HQX978" s="233"/>
      <c r="HQY978" s="235"/>
      <c r="HQZ978" s="233"/>
      <c r="HRA978" s="233"/>
      <c r="HRB978" s="234"/>
      <c r="HRC978" s="234"/>
      <c r="HRD978" s="242"/>
      <c r="HRE978" s="234"/>
      <c r="HRF978" s="234"/>
      <c r="HRG978" s="234"/>
      <c r="HRH978" s="236"/>
      <c r="HRI978" s="244"/>
      <c r="HRJ978" s="239"/>
      <c r="HRK978" s="240"/>
      <c r="HRL978" s="241"/>
      <c r="HRM978" s="239"/>
      <c r="HRN978" s="239"/>
      <c r="HRO978" s="239"/>
      <c r="HRP978" s="239"/>
      <c r="HRQ978" s="239"/>
      <c r="HRR978" s="239"/>
      <c r="HRS978" s="233"/>
      <c r="HRT978" s="235"/>
      <c r="HRU978" s="233"/>
      <c r="HRV978" s="233"/>
      <c r="HRW978" s="234"/>
      <c r="HRX978" s="234"/>
      <c r="HRY978" s="242"/>
      <c r="HRZ978" s="234"/>
      <c r="HSA978" s="234"/>
      <c r="HSB978" s="234"/>
      <c r="HSC978" s="236"/>
      <c r="HSD978" s="244"/>
      <c r="HSE978" s="239"/>
      <c r="HSF978" s="240"/>
      <c r="HSG978" s="241"/>
      <c r="HSH978" s="239"/>
      <c r="HSI978" s="239"/>
      <c r="HSJ978" s="239"/>
      <c r="HSK978" s="239"/>
      <c r="HSL978" s="239"/>
      <c r="HSM978" s="239"/>
      <c r="HSN978" s="233"/>
      <c r="HSO978" s="235"/>
      <c r="HSP978" s="233"/>
      <c r="HSQ978" s="233"/>
      <c r="HSR978" s="234"/>
      <c r="HSS978" s="234"/>
      <c r="HST978" s="242"/>
      <c r="HSU978" s="234"/>
      <c r="HSV978" s="234"/>
      <c r="HSW978" s="234"/>
      <c r="HSX978" s="236"/>
      <c r="HSY978" s="244"/>
      <c r="HSZ978" s="239"/>
      <c r="HTA978" s="240"/>
      <c r="HTB978" s="241"/>
      <c r="HTC978" s="239"/>
      <c r="HTD978" s="239"/>
      <c r="HTE978" s="239"/>
      <c r="HTF978" s="239"/>
      <c r="HTG978" s="239"/>
      <c r="HTH978" s="239"/>
      <c r="HTI978" s="233"/>
      <c r="HTJ978" s="235"/>
      <c r="HTK978" s="233"/>
      <c r="HTL978" s="233"/>
      <c r="HTM978" s="234"/>
      <c r="HTN978" s="234"/>
      <c r="HTO978" s="242"/>
      <c r="HTP978" s="234"/>
      <c r="HTQ978" s="234"/>
      <c r="HTR978" s="234"/>
      <c r="HTS978" s="236"/>
      <c r="HTT978" s="244"/>
      <c r="HTU978" s="239"/>
      <c r="HTV978" s="240"/>
      <c r="HTW978" s="241"/>
      <c r="HTX978" s="239"/>
      <c r="HTY978" s="239"/>
      <c r="HTZ978" s="239"/>
      <c r="HUA978" s="239"/>
      <c r="HUB978" s="239"/>
      <c r="HUC978" s="239"/>
      <c r="HUD978" s="233"/>
      <c r="HUE978" s="235"/>
      <c r="HUF978" s="233"/>
      <c r="HUG978" s="233"/>
      <c r="HUH978" s="234"/>
      <c r="HUI978" s="234"/>
      <c r="HUJ978" s="242"/>
      <c r="HUK978" s="234"/>
      <c r="HUL978" s="234"/>
      <c r="HUM978" s="234"/>
      <c r="HUN978" s="236"/>
      <c r="HUO978" s="244"/>
      <c r="HUP978" s="239"/>
      <c r="HUQ978" s="240"/>
      <c r="HUR978" s="241"/>
      <c r="HUS978" s="239"/>
      <c r="HUT978" s="239"/>
      <c r="HUU978" s="239"/>
      <c r="HUV978" s="239"/>
      <c r="HUW978" s="239"/>
      <c r="HUX978" s="239"/>
      <c r="HUY978" s="233"/>
      <c r="HUZ978" s="235"/>
      <c r="HVA978" s="233"/>
      <c r="HVB978" s="233"/>
      <c r="HVC978" s="234"/>
      <c r="HVD978" s="234"/>
      <c r="HVE978" s="242"/>
      <c r="HVF978" s="234"/>
      <c r="HVG978" s="234"/>
      <c r="HVH978" s="234"/>
      <c r="HVI978" s="236"/>
      <c r="HVJ978" s="244"/>
      <c r="HVK978" s="239"/>
      <c r="HVL978" s="240"/>
      <c r="HVM978" s="241"/>
      <c r="HVN978" s="239"/>
      <c r="HVO978" s="239"/>
      <c r="HVP978" s="239"/>
      <c r="HVQ978" s="239"/>
      <c r="HVR978" s="239"/>
      <c r="HVS978" s="239"/>
      <c r="HVT978" s="233"/>
      <c r="HVU978" s="235"/>
      <c r="HVV978" s="233"/>
      <c r="HVW978" s="233"/>
      <c r="HVX978" s="234"/>
      <c r="HVY978" s="234"/>
      <c r="HVZ978" s="242"/>
      <c r="HWA978" s="234"/>
      <c r="HWB978" s="234"/>
      <c r="HWC978" s="234"/>
      <c r="HWD978" s="236"/>
      <c r="HWE978" s="244"/>
      <c r="HWF978" s="239"/>
      <c r="HWG978" s="240"/>
      <c r="HWH978" s="241"/>
      <c r="HWI978" s="239"/>
      <c r="HWJ978" s="239"/>
      <c r="HWK978" s="239"/>
      <c r="HWL978" s="239"/>
      <c r="HWM978" s="239"/>
      <c r="HWN978" s="239"/>
      <c r="HWO978" s="233"/>
      <c r="HWP978" s="235"/>
      <c r="HWQ978" s="233"/>
      <c r="HWR978" s="233"/>
      <c r="HWS978" s="234"/>
      <c r="HWT978" s="234"/>
      <c r="HWU978" s="242"/>
      <c r="HWV978" s="234"/>
      <c r="HWW978" s="234"/>
      <c r="HWX978" s="234"/>
      <c r="HWY978" s="236"/>
      <c r="HWZ978" s="244"/>
      <c r="HXA978" s="239"/>
      <c r="HXB978" s="240"/>
      <c r="HXC978" s="241"/>
      <c r="HXD978" s="239"/>
      <c r="HXE978" s="239"/>
      <c r="HXF978" s="239"/>
      <c r="HXG978" s="239"/>
      <c r="HXH978" s="239"/>
      <c r="HXI978" s="239"/>
      <c r="HXJ978" s="233"/>
      <c r="HXK978" s="235"/>
      <c r="HXL978" s="233"/>
      <c r="HXM978" s="233"/>
      <c r="HXN978" s="234"/>
      <c r="HXO978" s="234"/>
      <c r="HXP978" s="242"/>
      <c r="HXQ978" s="234"/>
      <c r="HXR978" s="234"/>
      <c r="HXS978" s="234"/>
      <c r="HXT978" s="236"/>
      <c r="HXU978" s="244"/>
      <c r="HXV978" s="239"/>
      <c r="HXW978" s="240"/>
      <c r="HXX978" s="241"/>
      <c r="HXY978" s="239"/>
      <c r="HXZ978" s="239"/>
      <c r="HYA978" s="239"/>
      <c r="HYB978" s="239"/>
      <c r="HYC978" s="239"/>
      <c r="HYD978" s="239"/>
      <c r="HYE978" s="233"/>
      <c r="HYF978" s="235"/>
      <c r="HYG978" s="233"/>
      <c r="HYH978" s="233"/>
      <c r="HYI978" s="234"/>
      <c r="HYJ978" s="234"/>
      <c r="HYK978" s="242"/>
      <c r="HYL978" s="234"/>
      <c r="HYM978" s="234"/>
      <c r="HYN978" s="234"/>
      <c r="HYO978" s="236"/>
      <c r="HYP978" s="244"/>
      <c r="HYQ978" s="239"/>
      <c r="HYR978" s="240"/>
      <c r="HYS978" s="241"/>
      <c r="HYT978" s="239"/>
      <c r="HYU978" s="239"/>
      <c r="HYV978" s="239"/>
      <c r="HYW978" s="239"/>
      <c r="HYX978" s="239"/>
      <c r="HYY978" s="239"/>
      <c r="HYZ978" s="233"/>
      <c r="HZA978" s="235"/>
      <c r="HZB978" s="233"/>
      <c r="HZC978" s="233"/>
      <c r="HZD978" s="234"/>
      <c r="HZE978" s="234"/>
      <c r="HZF978" s="242"/>
      <c r="HZG978" s="234"/>
      <c r="HZH978" s="234"/>
      <c r="HZI978" s="234"/>
      <c r="HZJ978" s="236"/>
      <c r="HZK978" s="244"/>
      <c r="HZL978" s="239"/>
      <c r="HZM978" s="240"/>
      <c r="HZN978" s="241"/>
      <c r="HZO978" s="239"/>
      <c r="HZP978" s="239"/>
      <c r="HZQ978" s="239"/>
      <c r="HZR978" s="239"/>
      <c r="HZS978" s="239"/>
      <c r="HZT978" s="239"/>
      <c r="HZU978" s="233"/>
      <c r="HZV978" s="235"/>
      <c r="HZW978" s="233"/>
      <c r="HZX978" s="233"/>
      <c r="HZY978" s="234"/>
      <c r="HZZ978" s="234"/>
      <c r="IAA978" s="242"/>
      <c r="IAB978" s="234"/>
      <c r="IAC978" s="234"/>
      <c r="IAD978" s="234"/>
      <c r="IAE978" s="236"/>
      <c r="IAF978" s="244"/>
      <c r="IAG978" s="239"/>
      <c r="IAH978" s="240"/>
      <c r="IAI978" s="241"/>
      <c r="IAJ978" s="239"/>
      <c r="IAK978" s="239"/>
      <c r="IAL978" s="239"/>
      <c r="IAM978" s="239"/>
      <c r="IAN978" s="239"/>
      <c r="IAO978" s="239"/>
      <c r="IAP978" s="233"/>
      <c r="IAQ978" s="235"/>
      <c r="IAR978" s="233"/>
      <c r="IAS978" s="233"/>
      <c r="IAT978" s="234"/>
      <c r="IAU978" s="234"/>
      <c r="IAV978" s="242"/>
      <c r="IAW978" s="234"/>
      <c r="IAX978" s="234"/>
      <c r="IAY978" s="234"/>
      <c r="IAZ978" s="236"/>
      <c r="IBA978" s="244"/>
      <c r="IBB978" s="239"/>
      <c r="IBC978" s="240"/>
      <c r="IBD978" s="241"/>
      <c r="IBE978" s="239"/>
      <c r="IBF978" s="239"/>
      <c r="IBG978" s="239"/>
      <c r="IBH978" s="239"/>
      <c r="IBI978" s="239"/>
      <c r="IBJ978" s="239"/>
      <c r="IBK978" s="233"/>
      <c r="IBL978" s="235"/>
      <c r="IBM978" s="233"/>
      <c r="IBN978" s="233"/>
      <c r="IBO978" s="234"/>
      <c r="IBP978" s="234"/>
      <c r="IBQ978" s="242"/>
      <c r="IBR978" s="234"/>
      <c r="IBS978" s="234"/>
      <c r="IBT978" s="234"/>
      <c r="IBU978" s="236"/>
      <c r="IBV978" s="244"/>
      <c r="IBW978" s="239"/>
      <c r="IBX978" s="240"/>
      <c r="IBY978" s="241"/>
      <c r="IBZ978" s="239"/>
      <c r="ICA978" s="239"/>
      <c r="ICB978" s="239"/>
      <c r="ICC978" s="239"/>
      <c r="ICD978" s="239"/>
      <c r="ICE978" s="239"/>
      <c r="ICF978" s="233"/>
      <c r="ICG978" s="235"/>
      <c r="ICH978" s="233"/>
      <c r="ICI978" s="233"/>
      <c r="ICJ978" s="234"/>
      <c r="ICK978" s="234"/>
      <c r="ICL978" s="242"/>
      <c r="ICM978" s="234"/>
      <c r="ICN978" s="234"/>
      <c r="ICO978" s="234"/>
      <c r="ICP978" s="236"/>
      <c r="ICQ978" s="244"/>
      <c r="ICR978" s="239"/>
      <c r="ICS978" s="240"/>
      <c r="ICT978" s="241"/>
      <c r="ICU978" s="239"/>
      <c r="ICV978" s="239"/>
      <c r="ICW978" s="239"/>
      <c r="ICX978" s="239"/>
      <c r="ICY978" s="239"/>
      <c r="ICZ978" s="239"/>
      <c r="IDA978" s="233"/>
      <c r="IDB978" s="235"/>
      <c r="IDC978" s="233"/>
      <c r="IDD978" s="233"/>
      <c r="IDE978" s="234"/>
      <c r="IDF978" s="234"/>
      <c r="IDG978" s="242"/>
      <c r="IDH978" s="234"/>
      <c r="IDI978" s="234"/>
      <c r="IDJ978" s="234"/>
      <c r="IDK978" s="236"/>
      <c r="IDL978" s="244"/>
      <c r="IDM978" s="239"/>
      <c r="IDN978" s="240"/>
      <c r="IDO978" s="241"/>
      <c r="IDP978" s="239"/>
      <c r="IDQ978" s="239"/>
      <c r="IDR978" s="239"/>
      <c r="IDS978" s="239"/>
      <c r="IDT978" s="239"/>
      <c r="IDU978" s="239"/>
      <c r="IDV978" s="233"/>
      <c r="IDW978" s="235"/>
      <c r="IDX978" s="233"/>
      <c r="IDY978" s="233"/>
      <c r="IDZ978" s="234"/>
      <c r="IEA978" s="234"/>
      <c r="IEB978" s="242"/>
      <c r="IEC978" s="234"/>
      <c r="IED978" s="234"/>
      <c r="IEE978" s="234"/>
      <c r="IEF978" s="236"/>
      <c r="IEG978" s="244"/>
      <c r="IEH978" s="239"/>
      <c r="IEI978" s="240"/>
      <c r="IEJ978" s="241"/>
      <c r="IEK978" s="239"/>
      <c r="IEL978" s="239"/>
      <c r="IEM978" s="239"/>
      <c r="IEN978" s="239"/>
      <c r="IEO978" s="239"/>
      <c r="IEP978" s="239"/>
      <c r="IEQ978" s="233"/>
      <c r="IER978" s="235"/>
      <c r="IES978" s="233"/>
      <c r="IET978" s="233"/>
      <c r="IEU978" s="234"/>
      <c r="IEV978" s="234"/>
      <c r="IEW978" s="242"/>
      <c r="IEX978" s="234"/>
      <c r="IEY978" s="234"/>
      <c r="IEZ978" s="234"/>
      <c r="IFA978" s="236"/>
      <c r="IFB978" s="244"/>
      <c r="IFC978" s="239"/>
      <c r="IFD978" s="240"/>
      <c r="IFE978" s="241"/>
      <c r="IFF978" s="239"/>
      <c r="IFG978" s="239"/>
      <c r="IFH978" s="239"/>
      <c r="IFI978" s="239"/>
      <c r="IFJ978" s="239"/>
      <c r="IFK978" s="239"/>
      <c r="IFL978" s="233"/>
      <c r="IFM978" s="235"/>
      <c r="IFN978" s="233"/>
      <c r="IFO978" s="233"/>
      <c r="IFP978" s="234"/>
      <c r="IFQ978" s="234"/>
      <c r="IFR978" s="242"/>
      <c r="IFS978" s="234"/>
      <c r="IFT978" s="234"/>
      <c r="IFU978" s="234"/>
      <c r="IFV978" s="236"/>
      <c r="IFW978" s="244"/>
      <c r="IFX978" s="239"/>
      <c r="IFY978" s="240"/>
      <c r="IFZ978" s="241"/>
      <c r="IGA978" s="239"/>
      <c r="IGB978" s="239"/>
      <c r="IGC978" s="239"/>
      <c r="IGD978" s="239"/>
      <c r="IGE978" s="239"/>
      <c r="IGF978" s="239"/>
      <c r="IGG978" s="233"/>
      <c r="IGH978" s="235"/>
      <c r="IGI978" s="233"/>
      <c r="IGJ978" s="233"/>
      <c r="IGK978" s="234"/>
      <c r="IGL978" s="234"/>
      <c r="IGM978" s="242"/>
      <c r="IGN978" s="234"/>
      <c r="IGO978" s="234"/>
      <c r="IGP978" s="234"/>
      <c r="IGQ978" s="236"/>
      <c r="IGR978" s="244"/>
      <c r="IGS978" s="239"/>
      <c r="IGT978" s="240"/>
      <c r="IGU978" s="241"/>
      <c r="IGV978" s="239"/>
      <c r="IGW978" s="239"/>
      <c r="IGX978" s="239"/>
      <c r="IGY978" s="239"/>
      <c r="IGZ978" s="239"/>
      <c r="IHA978" s="239"/>
      <c r="IHB978" s="233"/>
      <c r="IHC978" s="235"/>
      <c r="IHD978" s="233"/>
      <c r="IHE978" s="233"/>
      <c r="IHF978" s="234"/>
      <c r="IHG978" s="234"/>
      <c r="IHH978" s="242"/>
      <c r="IHI978" s="234"/>
      <c r="IHJ978" s="234"/>
      <c r="IHK978" s="234"/>
      <c r="IHL978" s="236"/>
      <c r="IHM978" s="244"/>
      <c r="IHN978" s="239"/>
      <c r="IHO978" s="240"/>
      <c r="IHP978" s="241"/>
      <c r="IHQ978" s="239"/>
      <c r="IHR978" s="239"/>
      <c r="IHS978" s="239"/>
      <c r="IHT978" s="239"/>
      <c r="IHU978" s="239"/>
      <c r="IHV978" s="239"/>
      <c r="IHW978" s="233"/>
      <c r="IHX978" s="235"/>
      <c r="IHY978" s="233"/>
      <c r="IHZ978" s="233"/>
      <c r="IIA978" s="234"/>
      <c r="IIB978" s="234"/>
      <c r="IIC978" s="242"/>
      <c r="IID978" s="234"/>
      <c r="IIE978" s="234"/>
      <c r="IIF978" s="234"/>
      <c r="IIG978" s="236"/>
      <c r="IIH978" s="244"/>
      <c r="III978" s="239"/>
      <c r="IIJ978" s="240"/>
      <c r="IIK978" s="241"/>
      <c r="IIL978" s="239"/>
      <c r="IIM978" s="239"/>
      <c r="IIN978" s="239"/>
      <c r="IIO978" s="239"/>
      <c r="IIP978" s="239"/>
      <c r="IIQ978" s="239"/>
      <c r="IIR978" s="233"/>
      <c r="IIS978" s="235"/>
      <c r="IIT978" s="233"/>
      <c r="IIU978" s="233"/>
      <c r="IIV978" s="234"/>
      <c r="IIW978" s="234"/>
      <c r="IIX978" s="242"/>
      <c r="IIY978" s="234"/>
      <c r="IIZ978" s="234"/>
      <c r="IJA978" s="234"/>
      <c r="IJB978" s="236"/>
      <c r="IJC978" s="244"/>
      <c r="IJD978" s="239"/>
      <c r="IJE978" s="240"/>
      <c r="IJF978" s="241"/>
      <c r="IJG978" s="239"/>
      <c r="IJH978" s="239"/>
      <c r="IJI978" s="239"/>
      <c r="IJJ978" s="239"/>
      <c r="IJK978" s="239"/>
      <c r="IJL978" s="239"/>
      <c r="IJM978" s="233"/>
      <c r="IJN978" s="235"/>
      <c r="IJO978" s="233"/>
      <c r="IJP978" s="233"/>
      <c r="IJQ978" s="234"/>
      <c r="IJR978" s="234"/>
      <c r="IJS978" s="242"/>
      <c r="IJT978" s="234"/>
      <c r="IJU978" s="234"/>
      <c r="IJV978" s="234"/>
      <c r="IJW978" s="236"/>
      <c r="IJX978" s="244"/>
      <c r="IJY978" s="239"/>
      <c r="IJZ978" s="240"/>
      <c r="IKA978" s="241"/>
      <c r="IKB978" s="239"/>
      <c r="IKC978" s="239"/>
      <c r="IKD978" s="239"/>
      <c r="IKE978" s="239"/>
      <c r="IKF978" s="239"/>
      <c r="IKG978" s="239"/>
      <c r="IKH978" s="233"/>
      <c r="IKI978" s="235"/>
      <c r="IKJ978" s="233"/>
      <c r="IKK978" s="233"/>
      <c r="IKL978" s="234"/>
      <c r="IKM978" s="234"/>
      <c r="IKN978" s="242"/>
      <c r="IKO978" s="234"/>
      <c r="IKP978" s="234"/>
      <c r="IKQ978" s="234"/>
      <c r="IKR978" s="236"/>
      <c r="IKS978" s="244"/>
      <c r="IKT978" s="239"/>
      <c r="IKU978" s="240"/>
      <c r="IKV978" s="241"/>
      <c r="IKW978" s="239"/>
      <c r="IKX978" s="239"/>
      <c r="IKY978" s="239"/>
      <c r="IKZ978" s="239"/>
      <c r="ILA978" s="239"/>
      <c r="ILB978" s="239"/>
      <c r="ILC978" s="233"/>
      <c r="ILD978" s="235"/>
      <c r="ILE978" s="233"/>
      <c r="ILF978" s="233"/>
      <c r="ILG978" s="234"/>
      <c r="ILH978" s="234"/>
      <c r="ILI978" s="242"/>
      <c r="ILJ978" s="234"/>
      <c r="ILK978" s="234"/>
      <c r="ILL978" s="234"/>
      <c r="ILM978" s="236"/>
      <c r="ILN978" s="244"/>
      <c r="ILO978" s="239"/>
      <c r="ILP978" s="240"/>
      <c r="ILQ978" s="241"/>
      <c r="ILR978" s="239"/>
      <c r="ILS978" s="239"/>
      <c r="ILT978" s="239"/>
      <c r="ILU978" s="239"/>
      <c r="ILV978" s="239"/>
      <c r="ILW978" s="239"/>
      <c r="ILX978" s="233"/>
      <c r="ILY978" s="235"/>
      <c r="ILZ978" s="233"/>
      <c r="IMA978" s="233"/>
      <c r="IMB978" s="234"/>
      <c r="IMC978" s="234"/>
      <c r="IMD978" s="242"/>
      <c r="IME978" s="234"/>
      <c r="IMF978" s="234"/>
      <c r="IMG978" s="234"/>
      <c r="IMH978" s="236"/>
      <c r="IMI978" s="244"/>
      <c r="IMJ978" s="239"/>
      <c r="IMK978" s="240"/>
      <c r="IML978" s="241"/>
      <c r="IMM978" s="239"/>
      <c r="IMN978" s="239"/>
      <c r="IMO978" s="239"/>
      <c r="IMP978" s="239"/>
      <c r="IMQ978" s="239"/>
      <c r="IMR978" s="239"/>
      <c r="IMS978" s="233"/>
      <c r="IMT978" s="235"/>
      <c r="IMU978" s="233"/>
      <c r="IMV978" s="233"/>
      <c r="IMW978" s="234"/>
      <c r="IMX978" s="234"/>
      <c r="IMY978" s="242"/>
      <c r="IMZ978" s="234"/>
      <c r="INA978" s="234"/>
      <c r="INB978" s="234"/>
      <c r="INC978" s="236"/>
      <c r="IND978" s="244"/>
      <c r="INE978" s="239"/>
      <c r="INF978" s="240"/>
      <c r="ING978" s="241"/>
      <c r="INH978" s="239"/>
      <c r="INI978" s="239"/>
      <c r="INJ978" s="239"/>
      <c r="INK978" s="239"/>
      <c r="INL978" s="239"/>
      <c r="INM978" s="239"/>
      <c r="INN978" s="233"/>
      <c r="INO978" s="235"/>
      <c r="INP978" s="233"/>
      <c r="INQ978" s="233"/>
      <c r="INR978" s="234"/>
      <c r="INS978" s="234"/>
      <c r="INT978" s="242"/>
      <c r="INU978" s="234"/>
      <c r="INV978" s="234"/>
      <c r="INW978" s="234"/>
      <c r="INX978" s="236"/>
      <c r="INY978" s="244"/>
      <c r="INZ978" s="239"/>
      <c r="IOA978" s="240"/>
      <c r="IOB978" s="241"/>
      <c r="IOC978" s="239"/>
      <c r="IOD978" s="239"/>
      <c r="IOE978" s="239"/>
      <c r="IOF978" s="239"/>
      <c r="IOG978" s="239"/>
      <c r="IOH978" s="239"/>
      <c r="IOI978" s="233"/>
      <c r="IOJ978" s="235"/>
      <c r="IOK978" s="233"/>
      <c r="IOL978" s="233"/>
      <c r="IOM978" s="234"/>
      <c r="ION978" s="234"/>
      <c r="IOO978" s="242"/>
      <c r="IOP978" s="234"/>
      <c r="IOQ978" s="234"/>
      <c r="IOR978" s="234"/>
      <c r="IOS978" s="236"/>
      <c r="IOT978" s="244"/>
      <c r="IOU978" s="239"/>
      <c r="IOV978" s="240"/>
      <c r="IOW978" s="241"/>
      <c r="IOX978" s="239"/>
      <c r="IOY978" s="239"/>
      <c r="IOZ978" s="239"/>
      <c r="IPA978" s="239"/>
      <c r="IPB978" s="239"/>
      <c r="IPC978" s="239"/>
      <c r="IPD978" s="233"/>
      <c r="IPE978" s="235"/>
      <c r="IPF978" s="233"/>
      <c r="IPG978" s="233"/>
      <c r="IPH978" s="234"/>
      <c r="IPI978" s="234"/>
      <c r="IPJ978" s="242"/>
      <c r="IPK978" s="234"/>
      <c r="IPL978" s="234"/>
      <c r="IPM978" s="234"/>
      <c r="IPN978" s="236"/>
      <c r="IPO978" s="244"/>
      <c r="IPP978" s="239"/>
      <c r="IPQ978" s="240"/>
      <c r="IPR978" s="241"/>
      <c r="IPS978" s="239"/>
      <c r="IPT978" s="239"/>
      <c r="IPU978" s="239"/>
      <c r="IPV978" s="239"/>
      <c r="IPW978" s="239"/>
      <c r="IPX978" s="239"/>
      <c r="IPY978" s="233"/>
      <c r="IPZ978" s="235"/>
      <c r="IQA978" s="233"/>
      <c r="IQB978" s="233"/>
      <c r="IQC978" s="234"/>
      <c r="IQD978" s="234"/>
      <c r="IQE978" s="242"/>
      <c r="IQF978" s="234"/>
      <c r="IQG978" s="234"/>
      <c r="IQH978" s="234"/>
      <c r="IQI978" s="236"/>
      <c r="IQJ978" s="244"/>
      <c r="IQK978" s="239"/>
      <c r="IQL978" s="240"/>
      <c r="IQM978" s="241"/>
      <c r="IQN978" s="239"/>
      <c r="IQO978" s="239"/>
      <c r="IQP978" s="239"/>
      <c r="IQQ978" s="239"/>
      <c r="IQR978" s="239"/>
      <c r="IQS978" s="239"/>
      <c r="IQT978" s="233"/>
      <c r="IQU978" s="235"/>
      <c r="IQV978" s="233"/>
      <c r="IQW978" s="233"/>
      <c r="IQX978" s="234"/>
      <c r="IQY978" s="234"/>
      <c r="IQZ978" s="242"/>
      <c r="IRA978" s="234"/>
      <c r="IRB978" s="234"/>
      <c r="IRC978" s="234"/>
      <c r="IRD978" s="236"/>
      <c r="IRE978" s="244"/>
      <c r="IRF978" s="239"/>
      <c r="IRG978" s="240"/>
      <c r="IRH978" s="241"/>
      <c r="IRI978" s="239"/>
      <c r="IRJ978" s="239"/>
      <c r="IRK978" s="239"/>
      <c r="IRL978" s="239"/>
      <c r="IRM978" s="239"/>
      <c r="IRN978" s="239"/>
      <c r="IRO978" s="233"/>
      <c r="IRP978" s="235"/>
      <c r="IRQ978" s="233"/>
      <c r="IRR978" s="233"/>
      <c r="IRS978" s="234"/>
      <c r="IRT978" s="234"/>
      <c r="IRU978" s="242"/>
      <c r="IRV978" s="234"/>
      <c r="IRW978" s="234"/>
      <c r="IRX978" s="234"/>
      <c r="IRY978" s="236"/>
      <c r="IRZ978" s="244"/>
      <c r="ISA978" s="239"/>
      <c r="ISB978" s="240"/>
      <c r="ISC978" s="241"/>
      <c r="ISD978" s="239"/>
      <c r="ISE978" s="239"/>
      <c r="ISF978" s="239"/>
      <c r="ISG978" s="239"/>
      <c r="ISH978" s="239"/>
      <c r="ISI978" s="239"/>
      <c r="ISJ978" s="233"/>
      <c r="ISK978" s="235"/>
      <c r="ISL978" s="233"/>
      <c r="ISM978" s="233"/>
      <c r="ISN978" s="234"/>
      <c r="ISO978" s="234"/>
      <c r="ISP978" s="242"/>
      <c r="ISQ978" s="234"/>
      <c r="ISR978" s="234"/>
      <c r="ISS978" s="234"/>
      <c r="IST978" s="236"/>
      <c r="ISU978" s="244"/>
      <c r="ISV978" s="239"/>
      <c r="ISW978" s="240"/>
      <c r="ISX978" s="241"/>
      <c r="ISY978" s="239"/>
      <c r="ISZ978" s="239"/>
      <c r="ITA978" s="239"/>
      <c r="ITB978" s="239"/>
      <c r="ITC978" s="239"/>
      <c r="ITD978" s="239"/>
      <c r="ITE978" s="233"/>
      <c r="ITF978" s="235"/>
      <c r="ITG978" s="233"/>
      <c r="ITH978" s="233"/>
      <c r="ITI978" s="234"/>
      <c r="ITJ978" s="234"/>
      <c r="ITK978" s="242"/>
      <c r="ITL978" s="234"/>
      <c r="ITM978" s="234"/>
      <c r="ITN978" s="234"/>
      <c r="ITO978" s="236"/>
      <c r="ITP978" s="244"/>
      <c r="ITQ978" s="239"/>
      <c r="ITR978" s="240"/>
      <c r="ITS978" s="241"/>
      <c r="ITT978" s="239"/>
      <c r="ITU978" s="239"/>
      <c r="ITV978" s="239"/>
      <c r="ITW978" s="239"/>
      <c r="ITX978" s="239"/>
      <c r="ITY978" s="239"/>
      <c r="ITZ978" s="233"/>
      <c r="IUA978" s="235"/>
      <c r="IUB978" s="233"/>
      <c r="IUC978" s="233"/>
      <c r="IUD978" s="234"/>
      <c r="IUE978" s="234"/>
      <c r="IUF978" s="242"/>
      <c r="IUG978" s="234"/>
      <c r="IUH978" s="234"/>
      <c r="IUI978" s="234"/>
      <c r="IUJ978" s="236"/>
      <c r="IUK978" s="244"/>
      <c r="IUL978" s="239"/>
      <c r="IUM978" s="240"/>
      <c r="IUN978" s="241"/>
      <c r="IUO978" s="239"/>
      <c r="IUP978" s="239"/>
      <c r="IUQ978" s="239"/>
      <c r="IUR978" s="239"/>
      <c r="IUS978" s="239"/>
      <c r="IUT978" s="239"/>
      <c r="IUU978" s="233"/>
      <c r="IUV978" s="235"/>
      <c r="IUW978" s="233"/>
      <c r="IUX978" s="233"/>
      <c r="IUY978" s="234"/>
      <c r="IUZ978" s="234"/>
      <c r="IVA978" s="242"/>
      <c r="IVB978" s="234"/>
      <c r="IVC978" s="234"/>
      <c r="IVD978" s="234"/>
      <c r="IVE978" s="236"/>
      <c r="IVF978" s="244"/>
      <c r="IVG978" s="239"/>
      <c r="IVH978" s="240"/>
      <c r="IVI978" s="241"/>
      <c r="IVJ978" s="239"/>
      <c r="IVK978" s="239"/>
      <c r="IVL978" s="239"/>
      <c r="IVM978" s="239"/>
      <c r="IVN978" s="239"/>
      <c r="IVO978" s="239"/>
      <c r="IVP978" s="233"/>
      <c r="IVQ978" s="235"/>
      <c r="IVR978" s="233"/>
      <c r="IVS978" s="233"/>
      <c r="IVT978" s="234"/>
      <c r="IVU978" s="234"/>
      <c r="IVV978" s="242"/>
      <c r="IVW978" s="234"/>
      <c r="IVX978" s="234"/>
      <c r="IVY978" s="234"/>
      <c r="IVZ978" s="236"/>
      <c r="IWA978" s="244"/>
      <c r="IWB978" s="239"/>
      <c r="IWC978" s="240"/>
      <c r="IWD978" s="241"/>
      <c r="IWE978" s="239"/>
      <c r="IWF978" s="239"/>
      <c r="IWG978" s="239"/>
      <c r="IWH978" s="239"/>
      <c r="IWI978" s="239"/>
      <c r="IWJ978" s="239"/>
      <c r="IWK978" s="233"/>
      <c r="IWL978" s="235"/>
      <c r="IWM978" s="233"/>
      <c r="IWN978" s="233"/>
      <c r="IWO978" s="234"/>
      <c r="IWP978" s="234"/>
      <c r="IWQ978" s="242"/>
      <c r="IWR978" s="234"/>
      <c r="IWS978" s="234"/>
      <c r="IWT978" s="234"/>
      <c r="IWU978" s="236"/>
      <c r="IWV978" s="244"/>
      <c r="IWW978" s="239"/>
      <c r="IWX978" s="240"/>
      <c r="IWY978" s="241"/>
      <c r="IWZ978" s="239"/>
      <c r="IXA978" s="239"/>
      <c r="IXB978" s="239"/>
      <c r="IXC978" s="239"/>
      <c r="IXD978" s="239"/>
      <c r="IXE978" s="239"/>
      <c r="IXF978" s="233"/>
      <c r="IXG978" s="235"/>
      <c r="IXH978" s="233"/>
      <c r="IXI978" s="233"/>
      <c r="IXJ978" s="234"/>
      <c r="IXK978" s="234"/>
      <c r="IXL978" s="242"/>
      <c r="IXM978" s="234"/>
      <c r="IXN978" s="234"/>
      <c r="IXO978" s="234"/>
      <c r="IXP978" s="236"/>
      <c r="IXQ978" s="244"/>
      <c r="IXR978" s="239"/>
      <c r="IXS978" s="240"/>
      <c r="IXT978" s="241"/>
      <c r="IXU978" s="239"/>
      <c r="IXV978" s="239"/>
      <c r="IXW978" s="239"/>
      <c r="IXX978" s="239"/>
      <c r="IXY978" s="239"/>
      <c r="IXZ978" s="239"/>
      <c r="IYA978" s="233"/>
      <c r="IYB978" s="235"/>
      <c r="IYC978" s="233"/>
      <c r="IYD978" s="233"/>
      <c r="IYE978" s="234"/>
      <c r="IYF978" s="234"/>
      <c r="IYG978" s="242"/>
      <c r="IYH978" s="234"/>
      <c r="IYI978" s="234"/>
      <c r="IYJ978" s="234"/>
      <c r="IYK978" s="236"/>
      <c r="IYL978" s="244"/>
      <c r="IYM978" s="239"/>
      <c r="IYN978" s="240"/>
      <c r="IYO978" s="241"/>
      <c r="IYP978" s="239"/>
      <c r="IYQ978" s="239"/>
      <c r="IYR978" s="239"/>
      <c r="IYS978" s="239"/>
      <c r="IYT978" s="239"/>
      <c r="IYU978" s="239"/>
      <c r="IYV978" s="233"/>
      <c r="IYW978" s="235"/>
      <c r="IYX978" s="233"/>
      <c r="IYY978" s="233"/>
      <c r="IYZ978" s="234"/>
      <c r="IZA978" s="234"/>
      <c r="IZB978" s="242"/>
      <c r="IZC978" s="234"/>
      <c r="IZD978" s="234"/>
      <c r="IZE978" s="234"/>
      <c r="IZF978" s="236"/>
      <c r="IZG978" s="244"/>
      <c r="IZH978" s="239"/>
      <c r="IZI978" s="240"/>
      <c r="IZJ978" s="241"/>
      <c r="IZK978" s="239"/>
      <c r="IZL978" s="239"/>
      <c r="IZM978" s="239"/>
      <c r="IZN978" s="239"/>
      <c r="IZO978" s="239"/>
      <c r="IZP978" s="239"/>
      <c r="IZQ978" s="233"/>
      <c r="IZR978" s="235"/>
      <c r="IZS978" s="233"/>
      <c r="IZT978" s="233"/>
      <c r="IZU978" s="234"/>
      <c r="IZV978" s="234"/>
      <c r="IZW978" s="242"/>
      <c r="IZX978" s="234"/>
      <c r="IZY978" s="234"/>
      <c r="IZZ978" s="234"/>
      <c r="JAA978" s="236"/>
      <c r="JAB978" s="244"/>
      <c r="JAC978" s="239"/>
      <c r="JAD978" s="240"/>
      <c r="JAE978" s="241"/>
      <c r="JAF978" s="239"/>
      <c r="JAG978" s="239"/>
      <c r="JAH978" s="239"/>
      <c r="JAI978" s="239"/>
      <c r="JAJ978" s="239"/>
      <c r="JAK978" s="239"/>
      <c r="JAL978" s="233"/>
      <c r="JAM978" s="235"/>
      <c r="JAN978" s="233"/>
      <c r="JAO978" s="233"/>
      <c r="JAP978" s="234"/>
      <c r="JAQ978" s="234"/>
      <c r="JAR978" s="242"/>
      <c r="JAS978" s="234"/>
      <c r="JAT978" s="234"/>
      <c r="JAU978" s="234"/>
      <c r="JAV978" s="236"/>
      <c r="JAW978" s="244"/>
      <c r="JAX978" s="239"/>
      <c r="JAY978" s="240"/>
      <c r="JAZ978" s="241"/>
      <c r="JBA978" s="239"/>
      <c r="JBB978" s="239"/>
      <c r="JBC978" s="239"/>
      <c r="JBD978" s="239"/>
      <c r="JBE978" s="239"/>
      <c r="JBF978" s="239"/>
      <c r="JBG978" s="233"/>
      <c r="JBH978" s="235"/>
      <c r="JBI978" s="233"/>
      <c r="JBJ978" s="233"/>
      <c r="JBK978" s="234"/>
      <c r="JBL978" s="234"/>
      <c r="JBM978" s="242"/>
      <c r="JBN978" s="234"/>
      <c r="JBO978" s="234"/>
      <c r="JBP978" s="234"/>
      <c r="JBQ978" s="236"/>
      <c r="JBR978" s="244"/>
      <c r="JBS978" s="239"/>
      <c r="JBT978" s="240"/>
      <c r="JBU978" s="241"/>
      <c r="JBV978" s="239"/>
      <c r="JBW978" s="239"/>
      <c r="JBX978" s="239"/>
      <c r="JBY978" s="239"/>
      <c r="JBZ978" s="239"/>
      <c r="JCA978" s="239"/>
      <c r="JCB978" s="233"/>
      <c r="JCC978" s="235"/>
      <c r="JCD978" s="233"/>
      <c r="JCE978" s="233"/>
      <c r="JCF978" s="234"/>
      <c r="JCG978" s="234"/>
      <c r="JCH978" s="242"/>
      <c r="JCI978" s="234"/>
      <c r="JCJ978" s="234"/>
      <c r="JCK978" s="234"/>
      <c r="JCL978" s="236"/>
      <c r="JCM978" s="244"/>
      <c r="JCN978" s="239"/>
      <c r="JCO978" s="240"/>
      <c r="JCP978" s="241"/>
      <c r="JCQ978" s="239"/>
      <c r="JCR978" s="239"/>
      <c r="JCS978" s="239"/>
      <c r="JCT978" s="239"/>
      <c r="JCU978" s="239"/>
      <c r="JCV978" s="239"/>
      <c r="JCW978" s="233"/>
      <c r="JCX978" s="235"/>
      <c r="JCY978" s="233"/>
      <c r="JCZ978" s="233"/>
      <c r="JDA978" s="234"/>
      <c r="JDB978" s="234"/>
      <c r="JDC978" s="242"/>
      <c r="JDD978" s="234"/>
      <c r="JDE978" s="234"/>
      <c r="JDF978" s="234"/>
      <c r="JDG978" s="236"/>
      <c r="JDH978" s="244"/>
      <c r="JDI978" s="239"/>
      <c r="JDJ978" s="240"/>
      <c r="JDK978" s="241"/>
      <c r="JDL978" s="239"/>
      <c r="JDM978" s="239"/>
      <c r="JDN978" s="239"/>
      <c r="JDO978" s="239"/>
      <c r="JDP978" s="239"/>
      <c r="JDQ978" s="239"/>
      <c r="JDR978" s="233"/>
      <c r="JDS978" s="235"/>
      <c r="JDT978" s="233"/>
      <c r="JDU978" s="233"/>
      <c r="JDV978" s="234"/>
      <c r="JDW978" s="234"/>
      <c r="JDX978" s="242"/>
      <c r="JDY978" s="234"/>
      <c r="JDZ978" s="234"/>
      <c r="JEA978" s="234"/>
      <c r="JEB978" s="236"/>
      <c r="JEC978" s="244"/>
      <c r="JED978" s="239"/>
      <c r="JEE978" s="240"/>
      <c r="JEF978" s="241"/>
      <c r="JEG978" s="239"/>
      <c r="JEH978" s="239"/>
      <c r="JEI978" s="239"/>
      <c r="JEJ978" s="239"/>
      <c r="JEK978" s="239"/>
      <c r="JEL978" s="239"/>
      <c r="JEM978" s="233"/>
      <c r="JEN978" s="235"/>
      <c r="JEO978" s="233"/>
      <c r="JEP978" s="233"/>
      <c r="JEQ978" s="234"/>
      <c r="JER978" s="234"/>
      <c r="JES978" s="242"/>
      <c r="JET978" s="234"/>
      <c r="JEU978" s="234"/>
      <c r="JEV978" s="234"/>
      <c r="JEW978" s="236"/>
      <c r="JEX978" s="244"/>
      <c r="JEY978" s="239"/>
      <c r="JEZ978" s="240"/>
      <c r="JFA978" s="241"/>
      <c r="JFB978" s="239"/>
      <c r="JFC978" s="239"/>
      <c r="JFD978" s="239"/>
      <c r="JFE978" s="239"/>
      <c r="JFF978" s="239"/>
      <c r="JFG978" s="239"/>
      <c r="JFH978" s="233"/>
      <c r="JFI978" s="235"/>
      <c r="JFJ978" s="233"/>
      <c r="JFK978" s="233"/>
      <c r="JFL978" s="234"/>
      <c r="JFM978" s="234"/>
      <c r="JFN978" s="242"/>
      <c r="JFO978" s="234"/>
      <c r="JFP978" s="234"/>
      <c r="JFQ978" s="234"/>
      <c r="JFR978" s="236"/>
      <c r="JFS978" s="244"/>
      <c r="JFT978" s="239"/>
      <c r="JFU978" s="240"/>
      <c r="JFV978" s="241"/>
      <c r="JFW978" s="239"/>
      <c r="JFX978" s="239"/>
      <c r="JFY978" s="239"/>
      <c r="JFZ978" s="239"/>
      <c r="JGA978" s="239"/>
      <c r="JGB978" s="239"/>
      <c r="JGC978" s="233"/>
      <c r="JGD978" s="235"/>
      <c r="JGE978" s="233"/>
      <c r="JGF978" s="233"/>
      <c r="JGG978" s="234"/>
      <c r="JGH978" s="234"/>
      <c r="JGI978" s="242"/>
      <c r="JGJ978" s="234"/>
      <c r="JGK978" s="234"/>
      <c r="JGL978" s="234"/>
      <c r="JGM978" s="236"/>
      <c r="JGN978" s="244"/>
      <c r="JGO978" s="239"/>
      <c r="JGP978" s="240"/>
      <c r="JGQ978" s="241"/>
      <c r="JGR978" s="239"/>
      <c r="JGS978" s="239"/>
      <c r="JGT978" s="239"/>
      <c r="JGU978" s="239"/>
      <c r="JGV978" s="239"/>
      <c r="JGW978" s="239"/>
      <c r="JGX978" s="233"/>
      <c r="JGY978" s="235"/>
      <c r="JGZ978" s="233"/>
      <c r="JHA978" s="233"/>
      <c r="JHB978" s="234"/>
      <c r="JHC978" s="234"/>
      <c r="JHD978" s="242"/>
      <c r="JHE978" s="234"/>
      <c r="JHF978" s="234"/>
      <c r="JHG978" s="234"/>
      <c r="JHH978" s="236"/>
      <c r="JHI978" s="244"/>
      <c r="JHJ978" s="239"/>
      <c r="JHK978" s="240"/>
      <c r="JHL978" s="241"/>
      <c r="JHM978" s="239"/>
      <c r="JHN978" s="239"/>
      <c r="JHO978" s="239"/>
      <c r="JHP978" s="239"/>
      <c r="JHQ978" s="239"/>
      <c r="JHR978" s="239"/>
      <c r="JHS978" s="233"/>
      <c r="JHT978" s="235"/>
      <c r="JHU978" s="233"/>
      <c r="JHV978" s="233"/>
      <c r="JHW978" s="234"/>
      <c r="JHX978" s="234"/>
      <c r="JHY978" s="242"/>
      <c r="JHZ978" s="234"/>
      <c r="JIA978" s="234"/>
      <c r="JIB978" s="234"/>
      <c r="JIC978" s="236"/>
      <c r="JID978" s="244"/>
      <c r="JIE978" s="239"/>
      <c r="JIF978" s="240"/>
      <c r="JIG978" s="241"/>
      <c r="JIH978" s="239"/>
      <c r="JII978" s="239"/>
      <c r="JIJ978" s="239"/>
      <c r="JIK978" s="239"/>
      <c r="JIL978" s="239"/>
      <c r="JIM978" s="239"/>
      <c r="JIN978" s="233"/>
      <c r="JIO978" s="235"/>
      <c r="JIP978" s="233"/>
      <c r="JIQ978" s="233"/>
      <c r="JIR978" s="234"/>
      <c r="JIS978" s="234"/>
      <c r="JIT978" s="242"/>
      <c r="JIU978" s="234"/>
      <c r="JIV978" s="234"/>
      <c r="JIW978" s="234"/>
      <c r="JIX978" s="236"/>
      <c r="JIY978" s="244"/>
      <c r="JIZ978" s="239"/>
      <c r="JJA978" s="240"/>
      <c r="JJB978" s="241"/>
      <c r="JJC978" s="239"/>
      <c r="JJD978" s="239"/>
      <c r="JJE978" s="239"/>
      <c r="JJF978" s="239"/>
      <c r="JJG978" s="239"/>
      <c r="JJH978" s="239"/>
      <c r="JJI978" s="233"/>
      <c r="JJJ978" s="235"/>
      <c r="JJK978" s="233"/>
      <c r="JJL978" s="233"/>
      <c r="JJM978" s="234"/>
      <c r="JJN978" s="234"/>
      <c r="JJO978" s="242"/>
      <c r="JJP978" s="234"/>
      <c r="JJQ978" s="234"/>
      <c r="JJR978" s="234"/>
      <c r="JJS978" s="236"/>
      <c r="JJT978" s="244"/>
      <c r="JJU978" s="239"/>
      <c r="JJV978" s="240"/>
      <c r="JJW978" s="241"/>
      <c r="JJX978" s="239"/>
      <c r="JJY978" s="239"/>
      <c r="JJZ978" s="239"/>
      <c r="JKA978" s="239"/>
      <c r="JKB978" s="239"/>
      <c r="JKC978" s="239"/>
      <c r="JKD978" s="233"/>
      <c r="JKE978" s="235"/>
      <c r="JKF978" s="233"/>
      <c r="JKG978" s="233"/>
      <c r="JKH978" s="234"/>
      <c r="JKI978" s="234"/>
      <c r="JKJ978" s="242"/>
      <c r="JKK978" s="234"/>
      <c r="JKL978" s="234"/>
      <c r="JKM978" s="234"/>
      <c r="JKN978" s="236"/>
      <c r="JKO978" s="244"/>
      <c r="JKP978" s="239"/>
      <c r="JKQ978" s="240"/>
      <c r="JKR978" s="241"/>
      <c r="JKS978" s="239"/>
      <c r="JKT978" s="239"/>
      <c r="JKU978" s="239"/>
      <c r="JKV978" s="239"/>
      <c r="JKW978" s="239"/>
      <c r="JKX978" s="239"/>
      <c r="JKY978" s="233"/>
      <c r="JKZ978" s="235"/>
      <c r="JLA978" s="233"/>
      <c r="JLB978" s="233"/>
      <c r="JLC978" s="234"/>
      <c r="JLD978" s="234"/>
      <c r="JLE978" s="242"/>
      <c r="JLF978" s="234"/>
      <c r="JLG978" s="234"/>
      <c r="JLH978" s="234"/>
      <c r="JLI978" s="236"/>
      <c r="JLJ978" s="244"/>
      <c r="JLK978" s="239"/>
      <c r="JLL978" s="240"/>
      <c r="JLM978" s="241"/>
      <c r="JLN978" s="239"/>
      <c r="JLO978" s="239"/>
      <c r="JLP978" s="239"/>
      <c r="JLQ978" s="239"/>
      <c r="JLR978" s="239"/>
      <c r="JLS978" s="239"/>
      <c r="JLT978" s="233"/>
      <c r="JLU978" s="235"/>
      <c r="JLV978" s="233"/>
      <c r="JLW978" s="233"/>
      <c r="JLX978" s="234"/>
      <c r="JLY978" s="234"/>
      <c r="JLZ978" s="242"/>
      <c r="JMA978" s="234"/>
      <c r="JMB978" s="234"/>
      <c r="JMC978" s="234"/>
      <c r="JMD978" s="236"/>
      <c r="JME978" s="244"/>
      <c r="JMF978" s="239"/>
      <c r="JMG978" s="240"/>
      <c r="JMH978" s="241"/>
      <c r="JMI978" s="239"/>
      <c r="JMJ978" s="239"/>
      <c r="JMK978" s="239"/>
      <c r="JML978" s="239"/>
      <c r="JMM978" s="239"/>
      <c r="JMN978" s="239"/>
      <c r="JMO978" s="233"/>
      <c r="JMP978" s="235"/>
      <c r="JMQ978" s="233"/>
      <c r="JMR978" s="233"/>
      <c r="JMS978" s="234"/>
      <c r="JMT978" s="234"/>
      <c r="JMU978" s="242"/>
      <c r="JMV978" s="234"/>
      <c r="JMW978" s="234"/>
      <c r="JMX978" s="234"/>
      <c r="JMY978" s="236"/>
      <c r="JMZ978" s="244"/>
      <c r="JNA978" s="239"/>
      <c r="JNB978" s="240"/>
      <c r="JNC978" s="241"/>
      <c r="JND978" s="239"/>
      <c r="JNE978" s="239"/>
      <c r="JNF978" s="239"/>
      <c r="JNG978" s="239"/>
      <c r="JNH978" s="239"/>
      <c r="JNI978" s="239"/>
      <c r="JNJ978" s="233"/>
      <c r="JNK978" s="235"/>
      <c r="JNL978" s="233"/>
      <c r="JNM978" s="233"/>
      <c r="JNN978" s="234"/>
      <c r="JNO978" s="234"/>
      <c r="JNP978" s="242"/>
      <c r="JNQ978" s="234"/>
      <c r="JNR978" s="234"/>
      <c r="JNS978" s="234"/>
      <c r="JNT978" s="236"/>
      <c r="JNU978" s="244"/>
      <c r="JNV978" s="239"/>
      <c r="JNW978" s="240"/>
      <c r="JNX978" s="241"/>
      <c r="JNY978" s="239"/>
      <c r="JNZ978" s="239"/>
      <c r="JOA978" s="239"/>
      <c r="JOB978" s="239"/>
      <c r="JOC978" s="239"/>
      <c r="JOD978" s="239"/>
      <c r="JOE978" s="233"/>
      <c r="JOF978" s="235"/>
      <c r="JOG978" s="233"/>
      <c r="JOH978" s="233"/>
      <c r="JOI978" s="234"/>
      <c r="JOJ978" s="234"/>
      <c r="JOK978" s="242"/>
      <c r="JOL978" s="234"/>
      <c r="JOM978" s="234"/>
      <c r="JON978" s="234"/>
      <c r="JOO978" s="236"/>
      <c r="JOP978" s="244"/>
      <c r="JOQ978" s="239"/>
      <c r="JOR978" s="240"/>
      <c r="JOS978" s="241"/>
      <c r="JOT978" s="239"/>
      <c r="JOU978" s="239"/>
      <c r="JOV978" s="239"/>
      <c r="JOW978" s="239"/>
      <c r="JOX978" s="239"/>
      <c r="JOY978" s="239"/>
      <c r="JOZ978" s="233"/>
      <c r="JPA978" s="235"/>
      <c r="JPB978" s="233"/>
      <c r="JPC978" s="233"/>
      <c r="JPD978" s="234"/>
      <c r="JPE978" s="234"/>
      <c r="JPF978" s="242"/>
      <c r="JPG978" s="234"/>
      <c r="JPH978" s="234"/>
      <c r="JPI978" s="234"/>
      <c r="JPJ978" s="236"/>
      <c r="JPK978" s="244"/>
      <c r="JPL978" s="239"/>
      <c r="JPM978" s="240"/>
      <c r="JPN978" s="241"/>
      <c r="JPO978" s="239"/>
      <c r="JPP978" s="239"/>
      <c r="JPQ978" s="239"/>
      <c r="JPR978" s="239"/>
      <c r="JPS978" s="239"/>
      <c r="JPT978" s="239"/>
      <c r="JPU978" s="233"/>
      <c r="JPV978" s="235"/>
      <c r="JPW978" s="233"/>
      <c r="JPX978" s="233"/>
      <c r="JPY978" s="234"/>
      <c r="JPZ978" s="234"/>
      <c r="JQA978" s="242"/>
      <c r="JQB978" s="234"/>
      <c r="JQC978" s="234"/>
      <c r="JQD978" s="234"/>
      <c r="JQE978" s="236"/>
      <c r="JQF978" s="244"/>
      <c r="JQG978" s="239"/>
      <c r="JQH978" s="240"/>
      <c r="JQI978" s="241"/>
      <c r="JQJ978" s="239"/>
      <c r="JQK978" s="239"/>
      <c r="JQL978" s="239"/>
      <c r="JQM978" s="239"/>
      <c r="JQN978" s="239"/>
      <c r="JQO978" s="239"/>
      <c r="JQP978" s="233"/>
      <c r="JQQ978" s="235"/>
      <c r="JQR978" s="233"/>
      <c r="JQS978" s="233"/>
      <c r="JQT978" s="234"/>
      <c r="JQU978" s="234"/>
      <c r="JQV978" s="242"/>
      <c r="JQW978" s="234"/>
      <c r="JQX978" s="234"/>
      <c r="JQY978" s="234"/>
      <c r="JQZ978" s="236"/>
      <c r="JRA978" s="244"/>
      <c r="JRB978" s="239"/>
      <c r="JRC978" s="240"/>
      <c r="JRD978" s="241"/>
      <c r="JRE978" s="239"/>
      <c r="JRF978" s="239"/>
      <c r="JRG978" s="239"/>
      <c r="JRH978" s="239"/>
      <c r="JRI978" s="239"/>
      <c r="JRJ978" s="239"/>
      <c r="JRK978" s="233"/>
      <c r="JRL978" s="235"/>
      <c r="JRM978" s="233"/>
      <c r="JRN978" s="233"/>
      <c r="JRO978" s="234"/>
      <c r="JRP978" s="234"/>
      <c r="JRQ978" s="242"/>
      <c r="JRR978" s="234"/>
      <c r="JRS978" s="234"/>
      <c r="JRT978" s="234"/>
      <c r="JRU978" s="236"/>
      <c r="JRV978" s="244"/>
      <c r="JRW978" s="239"/>
      <c r="JRX978" s="240"/>
      <c r="JRY978" s="241"/>
      <c r="JRZ978" s="239"/>
      <c r="JSA978" s="239"/>
      <c r="JSB978" s="239"/>
      <c r="JSC978" s="239"/>
      <c r="JSD978" s="239"/>
      <c r="JSE978" s="239"/>
      <c r="JSF978" s="233"/>
      <c r="JSG978" s="235"/>
      <c r="JSH978" s="233"/>
      <c r="JSI978" s="233"/>
      <c r="JSJ978" s="234"/>
      <c r="JSK978" s="234"/>
      <c r="JSL978" s="242"/>
      <c r="JSM978" s="234"/>
      <c r="JSN978" s="234"/>
      <c r="JSO978" s="234"/>
      <c r="JSP978" s="236"/>
      <c r="JSQ978" s="244"/>
      <c r="JSR978" s="239"/>
      <c r="JSS978" s="240"/>
      <c r="JST978" s="241"/>
      <c r="JSU978" s="239"/>
      <c r="JSV978" s="239"/>
      <c r="JSW978" s="239"/>
      <c r="JSX978" s="239"/>
      <c r="JSY978" s="239"/>
      <c r="JSZ978" s="239"/>
      <c r="JTA978" s="233"/>
      <c r="JTB978" s="235"/>
      <c r="JTC978" s="233"/>
      <c r="JTD978" s="233"/>
      <c r="JTE978" s="234"/>
      <c r="JTF978" s="234"/>
      <c r="JTG978" s="242"/>
      <c r="JTH978" s="234"/>
      <c r="JTI978" s="234"/>
      <c r="JTJ978" s="234"/>
      <c r="JTK978" s="236"/>
      <c r="JTL978" s="244"/>
      <c r="JTM978" s="239"/>
      <c r="JTN978" s="240"/>
      <c r="JTO978" s="241"/>
      <c r="JTP978" s="239"/>
      <c r="JTQ978" s="239"/>
      <c r="JTR978" s="239"/>
      <c r="JTS978" s="239"/>
      <c r="JTT978" s="239"/>
      <c r="JTU978" s="239"/>
      <c r="JTV978" s="233"/>
      <c r="JTW978" s="235"/>
      <c r="JTX978" s="233"/>
      <c r="JTY978" s="233"/>
      <c r="JTZ978" s="234"/>
      <c r="JUA978" s="234"/>
      <c r="JUB978" s="242"/>
      <c r="JUC978" s="234"/>
      <c r="JUD978" s="234"/>
      <c r="JUE978" s="234"/>
      <c r="JUF978" s="236"/>
      <c r="JUG978" s="244"/>
      <c r="JUH978" s="239"/>
      <c r="JUI978" s="240"/>
      <c r="JUJ978" s="241"/>
      <c r="JUK978" s="239"/>
      <c r="JUL978" s="239"/>
      <c r="JUM978" s="239"/>
      <c r="JUN978" s="239"/>
      <c r="JUO978" s="239"/>
      <c r="JUP978" s="239"/>
      <c r="JUQ978" s="233"/>
      <c r="JUR978" s="235"/>
      <c r="JUS978" s="233"/>
      <c r="JUT978" s="233"/>
      <c r="JUU978" s="234"/>
      <c r="JUV978" s="234"/>
      <c r="JUW978" s="242"/>
      <c r="JUX978" s="234"/>
      <c r="JUY978" s="234"/>
      <c r="JUZ978" s="234"/>
      <c r="JVA978" s="236"/>
      <c r="JVB978" s="244"/>
      <c r="JVC978" s="239"/>
      <c r="JVD978" s="240"/>
      <c r="JVE978" s="241"/>
      <c r="JVF978" s="239"/>
      <c r="JVG978" s="239"/>
      <c r="JVH978" s="239"/>
      <c r="JVI978" s="239"/>
      <c r="JVJ978" s="239"/>
      <c r="JVK978" s="239"/>
      <c r="JVL978" s="233"/>
      <c r="JVM978" s="235"/>
      <c r="JVN978" s="233"/>
      <c r="JVO978" s="233"/>
      <c r="JVP978" s="234"/>
      <c r="JVQ978" s="234"/>
      <c r="JVR978" s="242"/>
      <c r="JVS978" s="234"/>
      <c r="JVT978" s="234"/>
      <c r="JVU978" s="234"/>
      <c r="JVV978" s="236"/>
      <c r="JVW978" s="244"/>
      <c r="JVX978" s="239"/>
      <c r="JVY978" s="240"/>
      <c r="JVZ978" s="241"/>
      <c r="JWA978" s="239"/>
      <c r="JWB978" s="239"/>
      <c r="JWC978" s="239"/>
      <c r="JWD978" s="239"/>
      <c r="JWE978" s="239"/>
      <c r="JWF978" s="239"/>
      <c r="JWG978" s="233"/>
      <c r="JWH978" s="235"/>
      <c r="JWI978" s="233"/>
      <c r="JWJ978" s="233"/>
      <c r="JWK978" s="234"/>
      <c r="JWL978" s="234"/>
      <c r="JWM978" s="242"/>
      <c r="JWN978" s="234"/>
      <c r="JWO978" s="234"/>
      <c r="JWP978" s="234"/>
      <c r="JWQ978" s="236"/>
      <c r="JWR978" s="244"/>
      <c r="JWS978" s="239"/>
      <c r="JWT978" s="240"/>
      <c r="JWU978" s="241"/>
      <c r="JWV978" s="239"/>
      <c r="JWW978" s="239"/>
      <c r="JWX978" s="239"/>
      <c r="JWY978" s="239"/>
      <c r="JWZ978" s="239"/>
      <c r="JXA978" s="239"/>
      <c r="JXB978" s="233"/>
      <c r="JXC978" s="235"/>
      <c r="JXD978" s="233"/>
      <c r="JXE978" s="233"/>
      <c r="JXF978" s="234"/>
      <c r="JXG978" s="234"/>
      <c r="JXH978" s="242"/>
      <c r="JXI978" s="234"/>
      <c r="JXJ978" s="234"/>
      <c r="JXK978" s="234"/>
      <c r="JXL978" s="236"/>
      <c r="JXM978" s="244"/>
      <c r="JXN978" s="239"/>
      <c r="JXO978" s="240"/>
      <c r="JXP978" s="241"/>
      <c r="JXQ978" s="239"/>
      <c r="JXR978" s="239"/>
      <c r="JXS978" s="239"/>
      <c r="JXT978" s="239"/>
      <c r="JXU978" s="239"/>
      <c r="JXV978" s="239"/>
      <c r="JXW978" s="233"/>
      <c r="JXX978" s="235"/>
      <c r="JXY978" s="233"/>
      <c r="JXZ978" s="233"/>
      <c r="JYA978" s="234"/>
      <c r="JYB978" s="234"/>
      <c r="JYC978" s="242"/>
      <c r="JYD978" s="234"/>
      <c r="JYE978" s="234"/>
      <c r="JYF978" s="234"/>
      <c r="JYG978" s="236"/>
      <c r="JYH978" s="244"/>
      <c r="JYI978" s="239"/>
      <c r="JYJ978" s="240"/>
      <c r="JYK978" s="241"/>
      <c r="JYL978" s="239"/>
      <c r="JYM978" s="239"/>
      <c r="JYN978" s="239"/>
      <c r="JYO978" s="239"/>
      <c r="JYP978" s="239"/>
      <c r="JYQ978" s="239"/>
      <c r="JYR978" s="233"/>
      <c r="JYS978" s="235"/>
      <c r="JYT978" s="233"/>
      <c r="JYU978" s="233"/>
      <c r="JYV978" s="234"/>
      <c r="JYW978" s="234"/>
      <c r="JYX978" s="242"/>
      <c r="JYY978" s="234"/>
      <c r="JYZ978" s="234"/>
      <c r="JZA978" s="234"/>
      <c r="JZB978" s="236"/>
      <c r="JZC978" s="244"/>
      <c r="JZD978" s="239"/>
      <c r="JZE978" s="240"/>
      <c r="JZF978" s="241"/>
      <c r="JZG978" s="239"/>
      <c r="JZH978" s="239"/>
      <c r="JZI978" s="239"/>
      <c r="JZJ978" s="239"/>
      <c r="JZK978" s="239"/>
      <c r="JZL978" s="239"/>
      <c r="JZM978" s="233"/>
      <c r="JZN978" s="235"/>
      <c r="JZO978" s="233"/>
      <c r="JZP978" s="233"/>
      <c r="JZQ978" s="234"/>
      <c r="JZR978" s="234"/>
      <c r="JZS978" s="242"/>
      <c r="JZT978" s="234"/>
      <c r="JZU978" s="234"/>
      <c r="JZV978" s="234"/>
      <c r="JZW978" s="236"/>
      <c r="JZX978" s="244"/>
      <c r="JZY978" s="239"/>
      <c r="JZZ978" s="240"/>
      <c r="KAA978" s="241"/>
      <c r="KAB978" s="239"/>
      <c r="KAC978" s="239"/>
      <c r="KAD978" s="239"/>
      <c r="KAE978" s="239"/>
      <c r="KAF978" s="239"/>
      <c r="KAG978" s="239"/>
      <c r="KAH978" s="233"/>
      <c r="KAI978" s="235"/>
      <c r="KAJ978" s="233"/>
      <c r="KAK978" s="233"/>
      <c r="KAL978" s="234"/>
      <c r="KAM978" s="234"/>
      <c r="KAN978" s="242"/>
      <c r="KAO978" s="234"/>
      <c r="KAP978" s="234"/>
      <c r="KAQ978" s="234"/>
      <c r="KAR978" s="236"/>
      <c r="KAS978" s="244"/>
      <c r="KAT978" s="239"/>
      <c r="KAU978" s="240"/>
      <c r="KAV978" s="241"/>
      <c r="KAW978" s="239"/>
      <c r="KAX978" s="239"/>
      <c r="KAY978" s="239"/>
      <c r="KAZ978" s="239"/>
      <c r="KBA978" s="239"/>
      <c r="KBB978" s="239"/>
      <c r="KBC978" s="233"/>
      <c r="KBD978" s="235"/>
      <c r="KBE978" s="233"/>
      <c r="KBF978" s="233"/>
      <c r="KBG978" s="234"/>
      <c r="KBH978" s="234"/>
      <c r="KBI978" s="242"/>
      <c r="KBJ978" s="234"/>
      <c r="KBK978" s="234"/>
      <c r="KBL978" s="234"/>
      <c r="KBM978" s="236"/>
      <c r="KBN978" s="244"/>
      <c r="KBO978" s="239"/>
      <c r="KBP978" s="240"/>
      <c r="KBQ978" s="241"/>
      <c r="KBR978" s="239"/>
      <c r="KBS978" s="239"/>
      <c r="KBT978" s="239"/>
      <c r="KBU978" s="239"/>
      <c r="KBV978" s="239"/>
      <c r="KBW978" s="239"/>
      <c r="KBX978" s="233"/>
      <c r="KBY978" s="235"/>
      <c r="KBZ978" s="233"/>
      <c r="KCA978" s="233"/>
      <c r="KCB978" s="234"/>
      <c r="KCC978" s="234"/>
      <c r="KCD978" s="242"/>
      <c r="KCE978" s="234"/>
      <c r="KCF978" s="234"/>
      <c r="KCG978" s="234"/>
      <c r="KCH978" s="236"/>
      <c r="KCI978" s="244"/>
      <c r="KCJ978" s="239"/>
      <c r="KCK978" s="240"/>
      <c r="KCL978" s="241"/>
      <c r="KCM978" s="239"/>
      <c r="KCN978" s="239"/>
      <c r="KCO978" s="239"/>
      <c r="KCP978" s="239"/>
      <c r="KCQ978" s="239"/>
      <c r="KCR978" s="239"/>
      <c r="KCS978" s="233"/>
      <c r="KCT978" s="235"/>
      <c r="KCU978" s="233"/>
      <c r="KCV978" s="233"/>
      <c r="KCW978" s="234"/>
      <c r="KCX978" s="234"/>
      <c r="KCY978" s="242"/>
      <c r="KCZ978" s="234"/>
      <c r="KDA978" s="234"/>
      <c r="KDB978" s="234"/>
      <c r="KDC978" s="236"/>
      <c r="KDD978" s="244"/>
      <c r="KDE978" s="239"/>
      <c r="KDF978" s="240"/>
      <c r="KDG978" s="241"/>
      <c r="KDH978" s="239"/>
      <c r="KDI978" s="239"/>
      <c r="KDJ978" s="239"/>
      <c r="KDK978" s="239"/>
      <c r="KDL978" s="239"/>
      <c r="KDM978" s="239"/>
      <c r="KDN978" s="233"/>
      <c r="KDO978" s="235"/>
      <c r="KDP978" s="233"/>
      <c r="KDQ978" s="233"/>
      <c r="KDR978" s="234"/>
      <c r="KDS978" s="234"/>
      <c r="KDT978" s="242"/>
      <c r="KDU978" s="234"/>
      <c r="KDV978" s="234"/>
      <c r="KDW978" s="234"/>
      <c r="KDX978" s="236"/>
      <c r="KDY978" s="244"/>
      <c r="KDZ978" s="239"/>
      <c r="KEA978" s="240"/>
      <c r="KEB978" s="241"/>
      <c r="KEC978" s="239"/>
      <c r="KED978" s="239"/>
      <c r="KEE978" s="239"/>
      <c r="KEF978" s="239"/>
      <c r="KEG978" s="239"/>
      <c r="KEH978" s="239"/>
      <c r="KEI978" s="233"/>
      <c r="KEJ978" s="235"/>
      <c r="KEK978" s="233"/>
      <c r="KEL978" s="233"/>
      <c r="KEM978" s="234"/>
      <c r="KEN978" s="234"/>
      <c r="KEO978" s="242"/>
      <c r="KEP978" s="234"/>
      <c r="KEQ978" s="234"/>
      <c r="KER978" s="234"/>
      <c r="KES978" s="236"/>
      <c r="KET978" s="244"/>
      <c r="KEU978" s="239"/>
      <c r="KEV978" s="240"/>
      <c r="KEW978" s="241"/>
      <c r="KEX978" s="239"/>
      <c r="KEY978" s="239"/>
      <c r="KEZ978" s="239"/>
      <c r="KFA978" s="239"/>
      <c r="KFB978" s="239"/>
      <c r="KFC978" s="239"/>
      <c r="KFD978" s="233"/>
      <c r="KFE978" s="235"/>
      <c r="KFF978" s="233"/>
      <c r="KFG978" s="233"/>
      <c r="KFH978" s="234"/>
      <c r="KFI978" s="234"/>
      <c r="KFJ978" s="242"/>
      <c r="KFK978" s="234"/>
      <c r="KFL978" s="234"/>
      <c r="KFM978" s="234"/>
      <c r="KFN978" s="236"/>
      <c r="KFO978" s="244"/>
      <c r="KFP978" s="239"/>
      <c r="KFQ978" s="240"/>
      <c r="KFR978" s="241"/>
      <c r="KFS978" s="239"/>
      <c r="KFT978" s="239"/>
      <c r="KFU978" s="239"/>
      <c r="KFV978" s="239"/>
      <c r="KFW978" s="239"/>
      <c r="KFX978" s="239"/>
      <c r="KFY978" s="233"/>
      <c r="KFZ978" s="235"/>
      <c r="KGA978" s="233"/>
      <c r="KGB978" s="233"/>
      <c r="KGC978" s="234"/>
      <c r="KGD978" s="234"/>
      <c r="KGE978" s="242"/>
      <c r="KGF978" s="234"/>
      <c r="KGG978" s="234"/>
      <c r="KGH978" s="234"/>
      <c r="KGI978" s="236"/>
      <c r="KGJ978" s="244"/>
      <c r="KGK978" s="239"/>
      <c r="KGL978" s="240"/>
      <c r="KGM978" s="241"/>
      <c r="KGN978" s="239"/>
      <c r="KGO978" s="239"/>
      <c r="KGP978" s="239"/>
      <c r="KGQ978" s="239"/>
      <c r="KGR978" s="239"/>
      <c r="KGS978" s="239"/>
      <c r="KGT978" s="233"/>
      <c r="KGU978" s="235"/>
      <c r="KGV978" s="233"/>
      <c r="KGW978" s="233"/>
      <c r="KGX978" s="234"/>
      <c r="KGY978" s="234"/>
      <c r="KGZ978" s="242"/>
      <c r="KHA978" s="234"/>
      <c r="KHB978" s="234"/>
      <c r="KHC978" s="234"/>
      <c r="KHD978" s="236"/>
      <c r="KHE978" s="244"/>
      <c r="KHF978" s="239"/>
      <c r="KHG978" s="240"/>
      <c r="KHH978" s="241"/>
      <c r="KHI978" s="239"/>
      <c r="KHJ978" s="239"/>
      <c r="KHK978" s="239"/>
      <c r="KHL978" s="239"/>
      <c r="KHM978" s="239"/>
      <c r="KHN978" s="239"/>
      <c r="KHO978" s="233"/>
      <c r="KHP978" s="235"/>
      <c r="KHQ978" s="233"/>
      <c r="KHR978" s="233"/>
      <c r="KHS978" s="234"/>
      <c r="KHT978" s="234"/>
      <c r="KHU978" s="242"/>
      <c r="KHV978" s="234"/>
      <c r="KHW978" s="234"/>
      <c r="KHX978" s="234"/>
      <c r="KHY978" s="236"/>
      <c r="KHZ978" s="244"/>
      <c r="KIA978" s="239"/>
      <c r="KIB978" s="240"/>
      <c r="KIC978" s="241"/>
      <c r="KID978" s="239"/>
      <c r="KIE978" s="239"/>
      <c r="KIF978" s="239"/>
      <c r="KIG978" s="239"/>
      <c r="KIH978" s="239"/>
      <c r="KII978" s="239"/>
      <c r="KIJ978" s="233"/>
      <c r="KIK978" s="235"/>
      <c r="KIL978" s="233"/>
      <c r="KIM978" s="233"/>
      <c r="KIN978" s="234"/>
      <c r="KIO978" s="234"/>
      <c r="KIP978" s="242"/>
      <c r="KIQ978" s="234"/>
      <c r="KIR978" s="234"/>
      <c r="KIS978" s="234"/>
      <c r="KIT978" s="236"/>
      <c r="KIU978" s="244"/>
      <c r="KIV978" s="239"/>
      <c r="KIW978" s="240"/>
      <c r="KIX978" s="241"/>
      <c r="KIY978" s="239"/>
      <c r="KIZ978" s="239"/>
      <c r="KJA978" s="239"/>
      <c r="KJB978" s="239"/>
      <c r="KJC978" s="239"/>
      <c r="KJD978" s="239"/>
      <c r="KJE978" s="233"/>
      <c r="KJF978" s="235"/>
      <c r="KJG978" s="233"/>
      <c r="KJH978" s="233"/>
      <c r="KJI978" s="234"/>
      <c r="KJJ978" s="234"/>
      <c r="KJK978" s="242"/>
      <c r="KJL978" s="234"/>
      <c r="KJM978" s="234"/>
      <c r="KJN978" s="234"/>
      <c r="KJO978" s="236"/>
      <c r="KJP978" s="244"/>
      <c r="KJQ978" s="239"/>
      <c r="KJR978" s="240"/>
      <c r="KJS978" s="241"/>
      <c r="KJT978" s="239"/>
      <c r="KJU978" s="239"/>
      <c r="KJV978" s="239"/>
      <c r="KJW978" s="239"/>
      <c r="KJX978" s="239"/>
      <c r="KJY978" s="239"/>
      <c r="KJZ978" s="233"/>
      <c r="KKA978" s="235"/>
      <c r="KKB978" s="233"/>
      <c r="KKC978" s="233"/>
      <c r="KKD978" s="234"/>
      <c r="KKE978" s="234"/>
      <c r="KKF978" s="242"/>
      <c r="KKG978" s="234"/>
      <c r="KKH978" s="234"/>
      <c r="KKI978" s="234"/>
      <c r="KKJ978" s="236"/>
      <c r="KKK978" s="244"/>
      <c r="KKL978" s="239"/>
      <c r="KKM978" s="240"/>
      <c r="KKN978" s="241"/>
      <c r="KKO978" s="239"/>
      <c r="KKP978" s="239"/>
      <c r="KKQ978" s="239"/>
      <c r="KKR978" s="239"/>
      <c r="KKS978" s="239"/>
      <c r="KKT978" s="239"/>
      <c r="KKU978" s="233"/>
      <c r="KKV978" s="235"/>
      <c r="KKW978" s="233"/>
      <c r="KKX978" s="233"/>
      <c r="KKY978" s="234"/>
      <c r="KKZ978" s="234"/>
      <c r="KLA978" s="242"/>
      <c r="KLB978" s="234"/>
      <c r="KLC978" s="234"/>
      <c r="KLD978" s="234"/>
      <c r="KLE978" s="236"/>
      <c r="KLF978" s="244"/>
      <c r="KLG978" s="239"/>
      <c r="KLH978" s="240"/>
      <c r="KLI978" s="241"/>
      <c r="KLJ978" s="239"/>
      <c r="KLK978" s="239"/>
      <c r="KLL978" s="239"/>
      <c r="KLM978" s="239"/>
      <c r="KLN978" s="239"/>
      <c r="KLO978" s="239"/>
      <c r="KLP978" s="233"/>
      <c r="KLQ978" s="235"/>
      <c r="KLR978" s="233"/>
      <c r="KLS978" s="233"/>
      <c r="KLT978" s="234"/>
      <c r="KLU978" s="234"/>
      <c r="KLV978" s="242"/>
      <c r="KLW978" s="234"/>
      <c r="KLX978" s="234"/>
      <c r="KLY978" s="234"/>
      <c r="KLZ978" s="236"/>
      <c r="KMA978" s="244"/>
      <c r="KMB978" s="239"/>
      <c r="KMC978" s="240"/>
      <c r="KMD978" s="241"/>
      <c r="KME978" s="239"/>
      <c r="KMF978" s="239"/>
      <c r="KMG978" s="239"/>
      <c r="KMH978" s="239"/>
      <c r="KMI978" s="239"/>
      <c r="KMJ978" s="239"/>
      <c r="KMK978" s="233"/>
      <c r="KML978" s="235"/>
      <c r="KMM978" s="233"/>
      <c r="KMN978" s="233"/>
      <c r="KMO978" s="234"/>
      <c r="KMP978" s="234"/>
      <c r="KMQ978" s="242"/>
      <c r="KMR978" s="234"/>
      <c r="KMS978" s="234"/>
      <c r="KMT978" s="234"/>
      <c r="KMU978" s="236"/>
      <c r="KMV978" s="244"/>
      <c r="KMW978" s="239"/>
      <c r="KMX978" s="240"/>
      <c r="KMY978" s="241"/>
      <c r="KMZ978" s="239"/>
      <c r="KNA978" s="239"/>
      <c r="KNB978" s="239"/>
      <c r="KNC978" s="239"/>
      <c r="KND978" s="239"/>
      <c r="KNE978" s="239"/>
      <c r="KNF978" s="233"/>
      <c r="KNG978" s="235"/>
      <c r="KNH978" s="233"/>
      <c r="KNI978" s="233"/>
      <c r="KNJ978" s="234"/>
      <c r="KNK978" s="234"/>
      <c r="KNL978" s="242"/>
      <c r="KNM978" s="234"/>
      <c r="KNN978" s="234"/>
      <c r="KNO978" s="234"/>
      <c r="KNP978" s="236"/>
      <c r="KNQ978" s="244"/>
      <c r="KNR978" s="239"/>
      <c r="KNS978" s="240"/>
      <c r="KNT978" s="241"/>
      <c r="KNU978" s="239"/>
      <c r="KNV978" s="239"/>
      <c r="KNW978" s="239"/>
      <c r="KNX978" s="239"/>
      <c r="KNY978" s="239"/>
      <c r="KNZ978" s="239"/>
      <c r="KOA978" s="233"/>
      <c r="KOB978" s="235"/>
      <c r="KOC978" s="233"/>
      <c r="KOD978" s="233"/>
      <c r="KOE978" s="234"/>
      <c r="KOF978" s="234"/>
      <c r="KOG978" s="242"/>
      <c r="KOH978" s="234"/>
      <c r="KOI978" s="234"/>
      <c r="KOJ978" s="234"/>
      <c r="KOK978" s="236"/>
      <c r="KOL978" s="244"/>
      <c r="KOM978" s="239"/>
      <c r="KON978" s="240"/>
      <c r="KOO978" s="241"/>
      <c r="KOP978" s="239"/>
      <c r="KOQ978" s="239"/>
      <c r="KOR978" s="239"/>
      <c r="KOS978" s="239"/>
      <c r="KOT978" s="239"/>
      <c r="KOU978" s="239"/>
      <c r="KOV978" s="233"/>
      <c r="KOW978" s="235"/>
      <c r="KOX978" s="233"/>
      <c r="KOY978" s="233"/>
      <c r="KOZ978" s="234"/>
      <c r="KPA978" s="234"/>
      <c r="KPB978" s="242"/>
      <c r="KPC978" s="234"/>
      <c r="KPD978" s="234"/>
      <c r="KPE978" s="234"/>
      <c r="KPF978" s="236"/>
      <c r="KPG978" s="244"/>
      <c r="KPH978" s="239"/>
      <c r="KPI978" s="240"/>
      <c r="KPJ978" s="241"/>
      <c r="KPK978" s="239"/>
      <c r="KPL978" s="239"/>
      <c r="KPM978" s="239"/>
      <c r="KPN978" s="239"/>
      <c r="KPO978" s="239"/>
      <c r="KPP978" s="239"/>
      <c r="KPQ978" s="233"/>
      <c r="KPR978" s="235"/>
      <c r="KPS978" s="233"/>
      <c r="KPT978" s="233"/>
      <c r="KPU978" s="234"/>
      <c r="KPV978" s="234"/>
      <c r="KPW978" s="242"/>
      <c r="KPX978" s="234"/>
      <c r="KPY978" s="234"/>
      <c r="KPZ978" s="234"/>
      <c r="KQA978" s="236"/>
      <c r="KQB978" s="244"/>
      <c r="KQC978" s="239"/>
      <c r="KQD978" s="240"/>
      <c r="KQE978" s="241"/>
      <c r="KQF978" s="239"/>
      <c r="KQG978" s="239"/>
      <c r="KQH978" s="239"/>
      <c r="KQI978" s="239"/>
      <c r="KQJ978" s="239"/>
      <c r="KQK978" s="239"/>
      <c r="KQL978" s="233"/>
      <c r="KQM978" s="235"/>
      <c r="KQN978" s="233"/>
      <c r="KQO978" s="233"/>
      <c r="KQP978" s="234"/>
      <c r="KQQ978" s="234"/>
      <c r="KQR978" s="242"/>
      <c r="KQS978" s="234"/>
      <c r="KQT978" s="234"/>
      <c r="KQU978" s="234"/>
      <c r="KQV978" s="236"/>
      <c r="KQW978" s="244"/>
      <c r="KQX978" s="239"/>
      <c r="KQY978" s="240"/>
      <c r="KQZ978" s="241"/>
      <c r="KRA978" s="239"/>
      <c r="KRB978" s="239"/>
      <c r="KRC978" s="239"/>
      <c r="KRD978" s="239"/>
      <c r="KRE978" s="239"/>
      <c r="KRF978" s="239"/>
      <c r="KRG978" s="233"/>
      <c r="KRH978" s="235"/>
      <c r="KRI978" s="233"/>
      <c r="KRJ978" s="233"/>
      <c r="KRK978" s="234"/>
      <c r="KRL978" s="234"/>
      <c r="KRM978" s="242"/>
      <c r="KRN978" s="234"/>
      <c r="KRO978" s="234"/>
      <c r="KRP978" s="234"/>
      <c r="KRQ978" s="236"/>
      <c r="KRR978" s="244"/>
      <c r="KRS978" s="239"/>
      <c r="KRT978" s="240"/>
      <c r="KRU978" s="241"/>
      <c r="KRV978" s="239"/>
      <c r="KRW978" s="239"/>
      <c r="KRX978" s="239"/>
      <c r="KRY978" s="239"/>
      <c r="KRZ978" s="239"/>
      <c r="KSA978" s="239"/>
      <c r="KSB978" s="233"/>
      <c r="KSC978" s="235"/>
      <c r="KSD978" s="233"/>
      <c r="KSE978" s="233"/>
      <c r="KSF978" s="234"/>
      <c r="KSG978" s="234"/>
      <c r="KSH978" s="242"/>
      <c r="KSI978" s="234"/>
      <c r="KSJ978" s="234"/>
      <c r="KSK978" s="234"/>
      <c r="KSL978" s="236"/>
      <c r="KSM978" s="244"/>
      <c r="KSN978" s="239"/>
      <c r="KSO978" s="240"/>
      <c r="KSP978" s="241"/>
      <c r="KSQ978" s="239"/>
      <c r="KSR978" s="239"/>
      <c r="KSS978" s="239"/>
      <c r="KST978" s="239"/>
      <c r="KSU978" s="239"/>
      <c r="KSV978" s="239"/>
      <c r="KSW978" s="233"/>
      <c r="KSX978" s="235"/>
      <c r="KSY978" s="233"/>
      <c r="KSZ978" s="233"/>
      <c r="KTA978" s="234"/>
      <c r="KTB978" s="234"/>
      <c r="KTC978" s="242"/>
      <c r="KTD978" s="234"/>
      <c r="KTE978" s="234"/>
      <c r="KTF978" s="234"/>
      <c r="KTG978" s="236"/>
      <c r="KTH978" s="244"/>
      <c r="KTI978" s="239"/>
      <c r="KTJ978" s="240"/>
      <c r="KTK978" s="241"/>
      <c r="KTL978" s="239"/>
      <c r="KTM978" s="239"/>
      <c r="KTN978" s="239"/>
      <c r="KTO978" s="239"/>
      <c r="KTP978" s="239"/>
      <c r="KTQ978" s="239"/>
      <c r="KTR978" s="233"/>
      <c r="KTS978" s="235"/>
      <c r="KTT978" s="233"/>
      <c r="KTU978" s="233"/>
      <c r="KTV978" s="234"/>
      <c r="KTW978" s="234"/>
      <c r="KTX978" s="242"/>
      <c r="KTY978" s="234"/>
      <c r="KTZ978" s="234"/>
      <c r="KUA978" s="234"/>
      <c r="KUB978" s="236"/>
      <c r="KUC978" s="244"/>
      <c r="KUD978" s="239"/>
      <c r="KUE978" s="240"/>
      <c r="KUF978" s="241"/>
      <c r="KUG978" s="239"/>
      <c r="KUH978" s="239"/>
      <c r="KUI978" s="239"/>
      <c r="KUJ978" s="239"/>
      <c r="KUK978" s="239"/>
      <c r="KUL978" s="239"/>
      <c r="KUM978" s="233"/>
      <c r="KUN978" s="235"/>
      <c r="KUO978" s="233"/>
      <c r="KUP978" s="233"/>
      <c r="KUQ978" s="234"/>
      <c r="KUR978" s="234"/>
      <c r="KUS978" s="242"/>
      <c r="KUT978" s="234"/>
      <c r="KUU978" s="234"/>
      <c r="KUV978" s="234"/>
      <c r="KUW978" s="236"/>
      <c r="KUX978" s="244"/>
      <c r="KUY978" s="239"/>
      <c r="KUZ978" s="240"/>
      <c r="KVA978" s="241"/>
      <c r="KVB978" s="239"/>
      <c r="KVC978" s="239"/>
      <c r="KVD978" s="239"/>
      <c r="KVE978" s="239"/>
      <c r="KVF978" s="239"/>
      <c r="KVG978" s="239"/>
      <c r="KVH978" s="233"/>
      <c r="KVI978" s="235"/>
      <c r="KVJ978" s="233"/>
      <c r="KVK978" s="233"/>
      <c r="KVL978" s="234"/>
      <c r="KVM978" s="234"/>
      <c r="KVN978" s="242"/>
      <c r="KVO978" s="234"/>
      <c r="KVP978" s="234"/>
      <c r="KVQ978" s="234"/>
      <c r="KVR978" s="236"/>
      <c r="KVS978" s="244"/>
      <c r="KVT978" s="239"/>
      <c r="KVU978" s="240"/>
      <c r="KVV978" s="241"/>
      <c r="KVW978" s="239"/>
      <c r="KVX978" s="239"/>
      <c r="KVY978" s="239"/>
      <c r="KVZ978" s="239"/>
      <c r="KWA978" s="239"/>
      <c r="KWB978" s="239"/>
      <c r="KWC978" s="233"/>
      <c r="KWD978" s="235"/>
      <c r="KWE978" s="233"/>
      <c r="KWF978" s="233"/>
      <c r="KWG978" s="234"/>
      <c r="KWH978" s="234"/>
      <c r="KWI978" s="242"/>
      <c r="KWJ978" s="234"/>
      <c r="KWK978" s="234"/>
      <c r="KWL978" s="234"/>
      <c r="KWM978" s="236"/>
      <c r="KWN978" s="244"/>
      <c r="KWO978" s="239"/>
      <c r="KWP978" s="240"/>
      <c r="KWQ978" s="241"/>
      <c r="KWR978" s="239"/>
      <c r="KWS978" s="239"/>
      <c r="KWT978" s="239"/>
      <c r="KWU978" s="239"/>
      <c r="KWV978" s="239"/>
      <c r="KWW978" s="239"/>
      <c r="KWX978" s="233"/>
      <c r="KWY978" s="235"/>
      <c r="KWZ978" s="233"/>
      <c r="KXA978" s="233"/>
      <c r="KXB978" s="234"/>
      <c r="KXC978" s="234"/>
      <c r="KXD978" s="242"/>
      <c r="KXE978" s="234"/>
      <c r="KXF978" s="234"/>
      <c r="KXG978" s="234"/>
      <c r="KXH978" s="236"/>
      <c r="KXI978" s="244"/>
      <c r="KXJ978" s="239"/>
      <c r="KXK978" s="240"/>
      <c r="KXL978" s="241"/>
      <c r="KXM978" s="239"/>
      <c r="KXN978" s="239"/>
      <c r="KXO978" s="239"/>
      <c r="KXP978" s="239"/>
      <c r="KXQ978" s="239"/>
      <c r="KXR978" s="239"/>
      <c r="KXS978" s="233"/>
      <c r="KXT978" s="235"/>
      <c r="KXU978" s="233"/>
      <c r="KXV978" s="233"/>
      <c r="KXW978" s="234"/>
      <c r="KXX978" s="234"/>
      <c r="KXY978" s="242"/>
      <c r="KXZ978" s="234"/>
      <c r="KYA978" s="234"/>
      <c r="KYB978" s="234"/>
      <c r="KYC978" s="236"/>
      <c r="KYD978" s="244"/>
      <c r="KYE978" s="239"/>
      <c r="KYF978" s="240"/>
      <c r="KYG978" s="241"/>
      <c r="KYH978" s="239"/>
      <c r="KYI978" s="239"/>
      <c r="KYJ978" s="239"/>
      <c r="KYK978" s="239"/>
      <c r="KYL978" s="239"/>
      <c r="KYM978" s="239"/>
      <c r="KYN978" s="233"/>
      <c r="KYO978" s="235"/>
      <c r="KYP978" s="233"/>
      <c r="KYQ978" s="233"/>
      <c r="KYR978" s="234"/>
      <c r="KYS978" s="234"/>
      <c r="KYT978" s="242"/>
      <c r="KYU978" s="234"/>
      <c r="KYV978" s="234"/>
      <c r="KYW978" s="234"/>
      <c r="KYX978" s="236"/>
      <c r="KYY978" s="244"/>
      <c r="KYZ978" s="239"/>
      <c r="KZA978" s="240"/>
      <c r="KZB978" s="241"/>
      <c r="KZC978" s="239"/>
      <c r="KZD978" s="239"/>
      <c r="KZE978" s="239"/>
      <c r="KZF978" s="239"/>
      <c r="KZG978" s="239"/>
      <c r="KZH978" s="239"/>
      <c r="KZI978" s="233"/>
      <c r="KZJ978" s="235"/>
      <c r="KZK978" s="233"/>
      <c r="KZL978" s="233"/>
      <c r="KZM978" s="234"/>
      <c r="KZN978" s="234"/>
      <c r="KZO978" s="242"/>
      <c r="KZP978" s="234"/>
      <c r="KZQ978" s="234"/>
      <c r="KZR978" s="234"/>
      <c r="KZS978" s="236"/>
      <c r="KZT978" s="244"/>
      <c r="KZU978" s="239"/>
      <c r="KZV978" s="240"/>
      <c r="KZW978" s="241"/>
      <c r="KZX978" s="239"/>
      <c r="KZY978" s="239"/>
      <c r="KZZ978" s="239"/>
      <c r="LAA978" s="239"/>
      <c r="LAB978" s="239"/>
      <c r="LAC978" s="239"/>
      <c r="LAD978" s="233"/>
      <c r="LAE978" s="235"/>
      <c r="LAF978" s="233"/>
      <c r="LAG978" s="233"/>
      <c r="LAH978" s="234"/>
      <c r="LAI978" s="234"/>
      <c r="LAJ978" s="242"/>
      <c r="LAK978" s="234"/>
      <c r="LAL978" s="234"/>
      <c r="LAM978" s="234"/>
      <c r="LAN978" s="236"/>
      <c r="LAO978" s="244"/>
      <c r="LAP978" s="239"/>
      <c r="LAQ978" s="240"/>
      <c r="LAR978" s="241"/>
      <c r="LAS978" s="239"/>
      <c r="LAT978" s="239"/>
      <c r="LAU978" s="239"/>
      <c r="LAV978" s="239"/>
      <c r="LAW978" s="239"/>
      <c r="LAX978" s="239"/>
      <c r="LAY978" s="233"/>
      <c r="LAZ978" s="235"/>
      <c r="LBA978" s="233"/>
      <c r="LBB978" s="233"/>
      <c r="LBC978" s="234"/>
      <c r="LBD978" s="234"/>
      <c r="LBE978" s="242"/>
      <c r="LBF978" s="234"/>
      <c r="LBG978" s="234"/>
      <c r="LBH978" s="234"/>
      <c r="LBI978" s="236"/>
      <c r="LBJ978" s="244"/>
      <c r="LBK978" s="239"/>
      <c r="LBL978" s="240"/>
      <c r="LBM978" s="241"/>
      <c r="LBN978" s="239"/>
      <c r="LBO978" s="239"/>
      <c r="LBP978" s="239"/>
      <c r="LBQ978" s="239"/>
      <c r="LBR978" s="239"/>
      <c r="LBS978" s="239"/>
      <c r="LBT978" s="233"/>
      <c r="LBU978" s="235"/>
      <c r="LBV978" s="233"/>
      <c r="LBW978" s="233"/>
      <c r="LBX978" s="234"/>
      <c r="LBY978" s="234"/>
      <c r="LBZ978" s="242"/>
      <c r="LCA978" s="234"/>
      <c r="LCB978" s="234"/>
      <c r="LCC978" s="234"/>
      <c r="LCD978" s="236"/>
      <c r="LCE978" s="244"/>
      <c r="LCF978" s="239"/>
      <c r="LCG978" s="240"/>
      <c r="LCH978" s="241"/>
      <c r="LCI978" s="239"/>
      <c r="LCJ978" s="239"/>
      <c r="LCK978" s="239"/>
      <c r="LCL978" s="239"/>
      <c r="LCM978" s="239"/>
      <c r="LCN978" s="239"/>
      <c r="LCO978" s="233"/>
      <c r="LCP978" s="235"/>
      <c r="LCQ978" s="233"/>
      <c r="LCR978" s="233"/>
      <c r="LCS978" s="234"/>
      <c r="LCT978" s="234"/>
      <c r="LCU978" s="242"/>
      <c r="LCV978" s="234"/>
      <c r="LCW978" s="234"/>
      <c r="LCX978" s="234"/>
      <c r="LCY978" s="236"/>
      <c r="LCZ978" s="244"/>
      <c r="LDA978" s="239"/>
      <c r="LDB978" s="240"/>
      <c r="LDC978" s="241"/>
      <c r="LDD978" s="239"/>
      <c r="LDE978" s="239"/>
      <c r="LDF978" s="239"/>
      <c r="LDG978" s="239"/>
      <c r="LDH978" s="239"/>
      <c r="LDI978" s="239"/>
      <c r="LDJ978" s="233"/>
      <c r="LDK978" s="235"/>
      <c r="LDL978" s="233"/>
      <c r="LDM978" s="233"/>
      <c r="LDN978" s="234"/>
      <c r="LDO978" s="234"/>
      <c r="LDP978" s="242"/>
      <c r="LDQ978" s="234"/>
      <c r="LDR978" s="234"/>
      <c r="LDS978" s="234"/>
      <c r="LDT978" s="236"/>
      <c r="LDU978" s="244"/>
      <c r="LDV978" s="239"/>
      <c r="LDW978" s="240"/>
      <c r="LDX978" s="241"/>
      <c r="LDY978" s="239"/>
      <c r="LDZ978" s="239"/>
      <c r="LEA978" s="239"/>
      <c r="LEB978" s="239"/>
      <c r="LEC978" s="239"/>
      <c r="LED978" s="239"/>
      <c r="LEE978" s="233"/>
      <c r="LEF978" s="235"/>
      <c r="LEG978" s="233"/>
      <c r="LEH978" s="233"/>
      <c r="LEI978" s="234"/>
      <c r="LEJ978" s="234"/>
      <c r="LEK978" s="242"/>
      <c r="LEL978" s="234"/>
      <c r="LEM978" s="234"/>
      <c r="LEN978" s="234"/>
      <c r="LEO978" s="236"/>
      <c r="LEP978" s="244"/>
      <c r="LEQ978" s="239"/>
      <c r="LER978" s="240"/>
      <c r="LES978" s="241"/>
      <c r="LET978" s="239"/>
      <c r="LEU978" s="239"/>
      <c r="LEV978" s="239"/>
      <c r="LEW978" s="239"/>
      <c r="LEX978" s="239"/>
      <c r="LEY978" s="239"/>
      <c r="LEZ978" s="233"/>
      <c r="LFA978" s="235"/>
      <c r="LFB978" s="233"/>
      <c r="LFC978" s="233"/>
      <c r="LFD978" s="234"/>
      <c r="LFE978" s="234"/>
      <c r="LFF978" s="242"/>
      <c r="LFG978" s="234"/>
      <c r="LFH978" s="234"/>
      <c r="LFI978" s="234"/>
      <c r="LFJ978" s="236"/>
      <c r="LFK978" s="244"/>
      <c r="LFL978" s="239"/>
      <c r="LFM978" s="240"/>
      <c r="LFN978" s="241"/>
      <c r="LFO978" s="239"/>
      <c r="LFP978" s="239"/>
      <c r="LFQ978" s="239"/>
      <c r="LFR978" s="239"/>
      <c r="LFS978" s="239"/>
      <c r="LFT978" s="239"/>
      <c r="LFU978" s="233"/>
      <c r="LFV978" s="235"/>
      <c r="LFW978" s="233"/>
      <c r="LFX978" s="233"/>
      <c r="LFY978" s="234"/>
      <c r="LFZ978" s="234"/>
      <c r="LGA978" s="242"/>
      <c r="LGB978" s="234"/>
      <c r="LGC978" s="234"/>
      <c r="LGD978" s="234"/>
      <c r="LGE978" s="236"/>
      <c r="LGF978" s="244"/>
      <c r="LGG978" s="239"/>
      <c r="LGH978" s="240"/>
      <c r="LGI978" s="241"/>
      <c r="LGJ978" s="239"/>
      <c r="LGK978" s="239"/>
      <c r="LGL978" s="239"/>
      <c r="LGM978" s="239"/>
      <c r="LGN978" s="239"/>
      <c r="LGO978" s="239"/>
      <c r="LGP978" s="233"/>
      <c r="LGQ978" s="235"/>
      <c r="LGR978" s="233"/>
      <c r="LGS978" s="233"/>
      <c r="LGT978" s="234"/>
      <c r="LGU978" s="234"/>
      <c r="LGV978" s="242"/>
      <c r="LGW978" s="234"/>
      <c r="LGX978" s="234"/>
      <c r="LGY978" s="234"/>
      <c r="LGZ978" s="236"/>
      <c r="LHA978" s="244"/>
      <c r="LHB978" s="239"/>
      <c r="LHC978" s="240"/>
      <c r="LHD978" s="241"/>
      <c r="LHE978" s="239"/>
      <c r="LHF978" s="239"/>
      <c r="LHG978" s="239"/>
      <c r="LHH978" s="239"/>
      <c r="LHI978" s="239"/>
      <c r="LHJ978" s="239"/>
      <c r="LHK978" s="233"/>
      <c r="LHL978" s="235"/>
      <c r="LHM978" s="233"/>
      <c r="LHN978" s="233"/>
      <c r="LHO978" s="234"/>
      <c r="LHP978" s="234"/>
      <c r="LHQ978" s="242"/>
      <c r="LHR978" s="234"/>
      <c r="LHS978" s="234"/>
      <c r="LHT978" s="234"/>
      <c r="LHU978" s="236"/>
      <c r="LHV978" s="244"/>
      <c r="LHW978" s="239"/>
      <c r="LHX978" s="240"/>
      <c r="LHY978" s="241"/>
      <c r="LHZ978" s="239"/>
      <c r="LIA978" s="239"/>
      <c r="LIB978" s="239"/>
      <c r="LIC978" s="239"/>
      <c r="LID978" s="239"/>
      <c r="LIE978" s="239"/>
      <c r="LIF978" s="233"/>
      <c r="LIG978" s="235"/>
      <c r="LIH978" s="233"/>
      <c r="LII978" s="233"/>
      <c r="LIJ978" s="234"/>
      <c r="LIK978" s="234"/>
      <c r="LIL978" s="242"/>
      <c r="LIM978" s="234"/>
      <c r="LIN978" s="234"/>
      <c r="LIO978" s="234"/>
      <c r="LIP978" s="236"/>
      <c r="LIQ978" s="244"/>
      <c r="LIR978" s="239"/>
      <c r="LIS978" s="240"/>
      <c r="LIT978" s="241"/>
      <c r="LIU978" s="239"/>
      <c r="LIV978" s="239"/>
      <c r="LIW978" s="239"/>
      <c r="LIX978" s="239"/>
      <c r="LIY978" s="239"/>
      <c r="LIZ978" s="239"/>
      <c r="LJA978" s="233"/>
      <c r="LJB978" s="235"/>
      <c r="LJC978" s="233"/>
      <c r="LJD978" s="233"/>
      <c r="LJE978" s="234"/>
      <c r="LJF978" s="234"/>
      <c r="LJG978" s="242"/>
      <c r="LJH978" s="234"/>
      <c r="LJI978" s="234"/>
      <c r="LJJ978" s="234"/>
      <c r="LJK978" s="236"/>
      <c r="LJL978" s="244"/>
      <c r="LJM978" s="239"/>
      <c r="LJN978" s="240"/>
      <c r="LJO978" s="241"/>
      <c r="LJP978" s="239"/>
      <c r="LJQ978" s="239"/>
      <c r="LJR978" s="239"/>
      <c r="LJS978" s="239"/>
      <c r="LJT978" s="239"/>
      <c r="LJU978" s="239"/>
      <c r="LJV978" s="233"/>
      <c r="LJW978" s="235"/>
      <c r="LJX978" s="233"/>
      <c r="LJY978" s="233"/>
      <c r="LJZ978" s="234"/>
      <c r="LKA978" s="234"/>
      <c r="LKB978" s="242"/>
      <c r="LKC978" s="234"/>
      <c r="LKD978" s="234"/>
      <c r="LKE978" s="234"/>
      <c r="LKF978" s="236"/>
      <c r="LKG978" s="244"/>
      <c r="LKH978" s="239"/>
      <c r="LKI978" s="240"/>
      <c r="LKJ978" s="241"/>
      <c r="LKK978" s="239"/>
      <c r="LKL978" s="239"/>
      <c r="LKM978" s="239"/>
      <c r="LKN978" s="239"/>
      <c r="LKO978" s="239"/>
      <c r="LKP978" s="239"/>
      <c r="LKQ978" s="233"/>
      <c r="LKR978" s="235"/>
      <c r="LKS978" s="233"/>
      <c r="LKT978" s="233"/>
      <c r="LKU978" s="234"/>
      <c r="LKV978" s="234"/>
      <c r="LKW978" s="242"/>
      <c r="LKX978" s="234"/>
      <c r="LKY978" s="234"/>
      <c r="LKZ978" s="234"/>
      <c r="LLA978" s="236"/>
      <c r="LLB978" s="244"/>
      <c r="LLC978" s="239"/>
      <c r="LLD978" s="240"/>
      <c r="LLE978" s="241"/>
      <c r="LLF978" s="239"/>
      <c r="LLG978" s="239"/>
      <c r="LLH978" s="239"/>
      <c r="LLI978" s="239"/>
      <c r="LLJ978" s="239"/>
      <c r="LLK978" s="239"/>
      <c r="LLL978" s="233"/>
      <c r="LLM978" s="235"/>
      <c r="LLN978" s="233"/>
      <c r="LLO978" s="233"/>
      <c r="LLP978" s="234"/>
      <c r="LLQ978" s="234"/>
      <c r="LLR978" s="242"/>
      <c r="LLS978" s="234"/>
      <c r="LLT978" s="234"/>
      <c r="LLU978" s="234"/>
      <c r="LLV978" s="236"/>
      <c r="LLW978" s="244"/>
      <c r="LLX978" s="239"/>
      <c r="LLY978" s="240"/>
      <c r="LLZ978" s="241"/>
      <c r="LMA978" s="239"/>
      <c r="LMB978" s="239"/>
      <c r="LMC978" s="239"/>
      <c r="LMD978" s="239"/>
      <c r="LME978" s="239"/>
      <c r="LMF978" s="239"/>
      <c r="LMG978" s="233"/>
      <c r="LMH978" s="235"/>
      <c r="LMI978" s="233"/>
      <c r="LMJ978" s="233"/>
      <c r="LMK978" s="234"/>
      <c r="LML978" s="234"/>
      <c r="LMM978" s="242"/>
      <c r="LMN978" s="234"/>
      <c r="LMO978" s="234"/>
      <c r="LMP978" s="234"/>
      <c r="LMQ978" s="236"/>
      <c r="LMR978" s="244"/>
      <c r="LMS978" s="239"/>
      <c r="LMT978" s="240"/>
      <c r="LMU978" s="241"/>
      <c r="LMV978" s="239"/>
      <c r="LMW978" s="239"/>
      <c r="LMX978" s="239"/>
      <c r="LMY978" s="239"/>
      <c r="LMZ978" s="239"/>
      <c r="LNA978" s="239"/>
      <c r="LNB978" s="233"/>
      <c r="LNC978" s="235"/>
      <c r="LND978" s="233"/>
      <c r="LNE978" s="233"/>
      <c r="LNF978" s="234"/>
      <c r="LNG978" s="234"/>
      <c r="LNH978" s="242"/>
      <c r="LNI978" s="234"/>
      <c r="LNJ978" s="234"/>
      <c r="LNK978" s="234"/>
      <c r="LNL978" s="236"/>
      <c r="LNM978" s="244"/>
      <c r="LNN978" s="239"/>
      <c r="LNO978" s="240"/>
      <c r="LNP978" s="241"/>
      <c r="LNQ978" s="239"/>
      <c r="LNR978" s="239"/>
      <c r="LNS978" s="239"/>
      <c r="LNT978" s="239"/>
      <c r="LNU978" s="239"/>
      <c r="LNV978" s="239"/>
      <c r="LNW978" s="233"/>
      <c r="LNX978" s="235"/>
      <c r="LNY978" s="233"/>
      <c r="LNZ978" s="233"/>
      <c r="LOA978" s="234"/>
      <c r="LOB978" s="234"/>
      <c r="LOC978" s="242"/>
      <c r="LOD978" s="234"/>
      <c r="LOE978" s="234"/>
      <c r="LOF978" s="234"/>
      <c r="LOG978" s="236"/>
      <c r="LOH978" s="244"/>
      <c r="LOI978" s="239"/>
      <c r="LOJ978" s="240"/>
      <c r="LOK978" s="241"/>
      <c r="LOL978" s="239"/>
      <c r="LOM978" s="239"/>
      <c r="LON978" s="239"/>
      <c r="LOO978" s="239"/>
      <c r="LOP978" s="239"/>
      <c r="LOQ978" s="239"/>
      <c r="LOR978" s="233"/>
      <c r="LOS978" s="235"/>
      <c r="LOT978" s="233"/>
      <c r="LOU978" s="233"/>
      <c r="LOV978" s="234"/>
      <c r="LOW978" s="234"/>
      <c r="LOX978" s="242"/>
      <c r="LOY978" s="234"/>
      <c r="LOZ978" s="234"/>
      <c r="LPA978" s="234"/>
      <c r="LPB978" s="236"/>
      <c r="LPC978" s="244"/>
      <c r="LPD978" s="239"/>
      <c r="LPE978" s="240"/>
      <c r="LPF978" s="241"/>
      <c r="LPG978" s="239"/>
      <c r="LPH978" s="239"/>
      <c r="LPI978" s="239"/>
      <c r="LPJ978" s="239"/>
      <c r="LPK978" s="239"/>
      <c r="LPL978" s="239"/>
      <c r="LPM978" s="233"/>
      <c r="LPN978" s="235"/>
      <c r="LPO978" s="233"/>
      <c r="LPP978" s="233"/>
      <c r="LPQ978" s="234"/>
      <c r="LPR978" s="234"/>
      <c r="LPS978" s="242"/>
      <c r="LPT978" s="234"/>
      <c r="LPU978" s="234"/>
      <c r="LPV978" s="234"/>
      <c r="LPW978" s="236"/>
      <c r="LPX978" s="244"/>
      <c r="LPY978" s="239"/>
      <c r="LPZ978" s="240"/>
      <c r="LQA978" s="241"/>
      <c r="LQB978" s="239"/>
      <c r="LQC978" s="239"/>
      <c r="LQD978" s="239"/>
      <c r="LQE978" s="239"/>
      <c r="LQF978" s="239"/>
      <c r="LQG978" s="239"/>
      <c r="LQH978" s="233"/>
      <c r="LQI978" s="235"/>
      <c r="LQJ978" s="233"/>
      <c r="LQK978" s="233"/>
      <c r="LQL978" s="234"/>
      <c r="LQM978" s="234"/>
      <c r="LQN978" s="242"/>
      <c r="LQO978" s="234"/>
      <c r="LQP978" s="234"/>
      <c r="LQQ978" s="234"/>
      <c r="LQR978" s="236"/>
      <c r="LQS978" s="244"/>
      <c r="LQT978" s="239"/>
      <c r="LQU978" s="240"/>
      <c r="LQV978" s="241"/>
      <c r="LQW978" s="239"/>
      <c r="LQX978" s="239"/>
      <c r="LQY978" s="239"/>
      <c r="LQZ978" s="239"/>
      <c r="LRA978" s="239"/>
      <c r="LRB978" s="239"/>
      <c r="LRC978" s="233"/>
      <c r="LRD978" s="235"/>
      <c r="LRE978" s="233"/>
      <c r="LRF978" s="233"/>
      <c r="LRG978" s="234"/>
      <c r="LRH978" s="234"/>
      <c r="LRI978" s="242"/>
      <c r="LRJ978" s="234"/>
      <c r="LRK978" s="234"/>
      <c r="LRL978" s="234"/>
      <c r="LRM978" s="236"/>
      <c r="LRN978" s="244"/>
      <c r="LRO978" s="239"/>
      <c r="LRP978" s="240"/>
      <c r="LRQ978" s="241"/>
      <c r="LRR978" s="239"/>
      <c r="LRS978" s="239"/>
      <c r="LRT978" s="239"/>
      <c r="LRU978" s="239"/>
      <c r="LRV978" s="239"/>
      <c r="LRW978" s="239"/>
      <c r="LRX978" s="233"/>
      <c r="LRY978" s="235"/>
      <c r="LRZ978" s="233"/>
      <c r="LSA978" s="233"/>
      <c r="LSB978" s="234"/>
      <c r="LSC978" s="234"/>
      <c r="LSD978" s="242"/>
      <c r="LSE978" s="234"/>
      <c r="LSF978" s="234"/>
      <c r="LSG978" s="234"/>
      <c r="LSH978" s="236"/>
      <c r="LSI978" s="244"/>
      <c r="LSJ978" s="239"/>
      <c r="LSK978" s="240"/>
      <c r="LSL978" s="241"/>
      <c r="LSM978" s="239"/>
      <c r="LSN978" s="239"/>
      <c r="LSO978" s="239"/>
      <c r="LSP978" s="239"/>
      <c r="LSQ978" s="239"/>
      <c r="LSR978" s="239"/>
      <c r="LSS978" s="233"/>
      <c r="LST978" s="235"/>
      <c r="LSU978" s="233"/>
      <c r="LSV978" s="233"/>
      <c r="LSW978" s="234"/>
      <c r="LSX978" s="234"/>
      <c r="LSY978" s="242"/>
      <c r="LSZ978" s="234"/>
      <c r="LTA978" s="234"/>
      <c r="LTB978" s="234"/>
      <c r="LTC978" s="236"/>
      <c r="LTD978" s="244"/>
      <c r="LTE978" s="239"/>
      <c r="LTF978" s="240"/>
      <c r="LTG978" s="241"/>
      <c r="LTH978" s="239"/>
      <c r="LTI978" s="239"/>
      <c r="LTJ978" s="239"/>
      <c r="LTK978" s="239"/>
      <c r="LTL978" s="239"/>
      <c r="LTM978" s="239"/>
      <c r="LTN978" s="233"/>
      <c r="LTO978" s="235"/>
      <c r="LTP978" s="233"/>
      <c r="LTQ978" s="233"/>
      <c r="LTR978" s="234"/>
      <c r="LTS978" s="234"/>
      <c r="LTT978" s="242"/>
      <c r="LTU978" s="234"/>
      <c r="LTV978" s="234"/>
      <c r="LTW978" s="234"/>
      <c r="LTX978" s="236"/>
      <c r="LTY978" s="244"/>
      <c r="LTZ978" s="239"/>
      <c r="LUA978" s="240"/>
      <c r="LUB978" s="241"/>
      <c r="LUC978" s="239"/>
      <c r="LUD978" s="239"/>
      <c r="LUE978" s="239"/>
      <c r="LUF978" s="239"/>
      <c r="LUG978" s="239"/>
      <c r="LUH978" s="239"/>
      <c r="LUI978" s="233"/>
      <c r="LUJ978" s="235"/>
      <c r="LUK978" s="233"/>
      <c r="LUL978" s="233"/>
      <c r="LUM978" s="234"/>
      <c r="LUN978" s="234"/>
      <c r="LUO978" s="242"/>
      <c r="LUP978" s="234"/>
      <c r="LUQ978" s="234"/>
      <c r="LUR978" s="234"/>
      <c r="LUS978" s="236"/>
      <c r="LUT978" s="244"/>
      <c r="LUU978" s="239"/>
      <c r="LUV978" s="240"/>
      <c r="LUW978" s="241"/>
      <c r="LUX978" s="239"/>
      <c r="LUY978" s="239"/>
      <c r="LUZ978" s="239"/>
      <c r="LVA978" s="239"/>
      <c r="LVB978" s="239"/>
      <c r="LVC978" s="239"/>
      <c r="LVD978" s="233"/>
      <c r="LVE978" s="235"/>
      <c r="LVF978" s="233"/>
      <c r="LVG978" s="233"/>
      <c r="LVH978" s="234"/>
      <c r="LVI978" s="234"/>
      <c r="LVJ978" s="242"/>
      <c r="LVK978" s="234"/>
      <c r="LVL978" s="234"/>
      <c r="LVM978" s="234"/>
      <c r="LVN978" s="236"/>
      <c r="LVO978" s="244"/>
      <c r="LVP978" s="239"/>
      <c r="LVQ978" s="240"/>
      <c r="LVR978" s="241"/>
      <c r="LVS978" s="239"/>
      <c r="LVT978" s="239"/>
      <c r="LVU978" s="239"/>
      <c r="LVV978" s="239"/>
      <c r="LVW978" s="239"/>
      <c r="LVX978" s="239"/>
      <c r="LVY978" s="233"/>
      <c r="LVZ978" s="235"/>
      <c r="LWA978" s="233"/>
      <c r="LWB978" s="233"/>
      <c r="LWC978" s="234"/>
      <c r="LWD978" s="234"/>
      <c r="LWE978" s="242"/>
      <c r="LWF978" s="234"/>
      <c r="LWG978" s="234"/>
      <c r="LWH978" s="234"/>
      <c r="LWI978" s="236"/>
      <c r="LWJ978" s="244"/>
      <c r="LWK978" s="239"/>
      <c r="LWL978" s="240"/>
      <c r="LWM978" s="241"/>
      <c r="LWN978" s="239"/>
      <c r="LWO978" s="239"/>
      <c r="LWP978" s="239"/>
      <c r="LWQ978" s="239"/>
      <c r="LWR978" s="239"/>
      <c r="LWS978" s="239"/>
      <c r="LWT978" s="233"/>
      <c r="LWU978" s="235"/>
      <c r="LWV978" s="233"/>
      <c r="LWW978" s="233"/>
      <c r="LWX978" s="234"/>
      <c r="LWY978" s="234"/>
      <c r="LWZ978" s="242"/>
      <c r="LXA978" s="234"/>
      <c r="LXB978" s="234"/>
      <c r="LXC978" s="234"/>
      <c r="LXD978" s="236"/>
      <c r="LXE978" s="244"/>
      <c r="LXF978" s="239"/>
      <c r="LXG978" s="240"/>
      <c r="LXH978" s="241"/>
      <c r="LXI978" s="239"/>
      <c r="LXJ978" s="239"/>
      <c r="LXK978" s="239"/>
      <c r="LXL978" s="239"/>
      <c r="LXM978" s="239"/>
      <c r="LXN978" s="239"/>
      <c r="LXO978" s="233"/>
      <c r="LXP978" s="235"/>
      <c r="LXQ978" s="233"/>
      <c r="LXR978" s="233"/>
      <c r="LXS978" s="234"/>
      <c r="LXT978" s="234"/>
      <c r="LXU978" s="242"/>
      <c r="LXV978" s="234"/>
      <c r="LXW978" s="234"/>
      <c r="LXX978" s="234"/>
      <c r="LXY978" s="236"/>
      <c r="LXZ978" s="244"/>
      <c r="LYA978" s="239"/>
      <c r="LYB978" s="240"/>
      <c r="LYC978" s="241"/>
      <c r="LYD978" s="239"/>
      <c r="LYE978" s="239"/>
      <c r="LYF978" s="239"/>
      <c r="LYG978" s="239"/>
      <c r="LYH978" s="239"/>
      <c r="LYI978" s="239"/>
      <c r="LYJ978" s="233"/>
      <c r="LYK978" s="235"/>
      <c r="LYL978" s="233"/>
      <c r="LYM978" s="233"/>
      <c r="LYN978" s="234"/>
      <c r="LYO978" s="234"/>
      <c r="LYP978" s="242"/>
      <c r="LYQ978" s="234"/>
      <c r="LYR978" s="234"/>
      <c r="LYS978" s="234"/>
      <c r="LYT978" s="236"/>
      <c r="LYU978" s="244"/>
      <c r="LYV978" s="239"/>
      <c r="LYW978" s="240"/>
      <c r="LYX978" s="241"/>
      <c r="LYY978" s="239"/>
      <c r="LYZ978" s="239"/>
      <c r="LZA978" s="239"/>
      <c r="LZB978" s="239"/>
      <c r="LZC978" s="239"/>
      <c r="LZD978" s="239"/>
      <c r="LZE978" s="233"/>
      <c r="LZF978" s="235"/>
      <c r="LZG978" s="233"/>
      <c r="LZH978" s="233"/>
      <c r="LZI978" s="234"/>
      <c r="LZJ978" s="234"/>
      <c r="LZK978" s="242"/>
      <c r="LZL978" s="234"/>
      <c r="LZM978" s="234"/>
      <c r="LZN978" s="234"/>
      <c r="LZO978" s="236"/>
      <c r="LZP978" s="244"/>
      <c r="LZQ978" s="239"/>
      <c r="LZR978" s="240"/>
      <c r="LZS978" s="241"/>
      <c r="LZT978" s="239"/>
      <c r="LZU978" s="239"/>
      <c r="LZV978" s="239"/>
      <c r="LZW978" s="239"/>
      <c r="LZX978" s="239"/>
      <c r="LZY978" s="239"/>
      <c r="LZZ978" s="233"/>
      <c r="MAA978" s="235"/>
      <c r="MAB978" s="233"/>
      <c r="MAC978" s="233"/>
      <c r="MAD978" s="234"/>
      <c r="MAE978" s="234"/>
      <c r="MAF978" s="242"/>
      <c r="MAG978" s="234"/>
      <c r="MAH978" s="234"/>
      <c r="MAI978" s="234"/>
      <c r="MAJ978" s="236"/>
      <c r="MAK978" s="244"/>
      <c r="MAL978" s="239"/>
      <c r="MAM978" s="240"/>
      <c r="MAN978" s="241"/>
      <c r="MAO978" s="239"/>
      <c r="MAP978" s="239"/>
      <c r="MAQ978" s="239"/>
      <c r="MAR978" s="239"/>
      <c r="MAS978" s="239"/>
      <c r="MAT978" s="239"/>
      <c r="MAU978" s="233"/>
      <c r="MAV978" s="235"/>
      <c r="MAW978" s="233"/>
      <c r="MAX978" s="233"/>
      <c r="MAY978" s="234"/>
      <c r="MAZ978" s="234"/>
      <c r="MBA978" s="242"/>
      <c r="MBB978" s="234"/>
      <c r="MBC978" s="234"/>
      <c r="MBD978" s="234"/>
      <c r="MBE978" s="236"/>
      <c r="MBF978" s="244"/>
      <c r="MBG978" s="239"/>
      <c r="MBH978" s="240"/>
      <c r="MBI978" s="241"/>
      <c r="MBJ978" s="239"/>
      <c r="MBK978" s="239"/>
      <c r="MBL978" s="239"/>
      <c r="MBM978" s="239"/>
      <c r="MBN978" s="239"/>
      <c r="MBO978" s="239"/>
      <c r="MBP978" s="233"/>
      <c r="MBQ978" s="235"/>
      <c r="MBR978" s="233"/>
      <c r="MBS978" s="233"/>
      <c r="MBT978" s="234"/>
      <c r="MBU978" s="234"/>
      <c r="MBV978" s="242"/>
      <c r="MBW978" s="234"/>
      <c r="MBX978" s="234"/>
      <c r="MBY978" s="234"/>
      <c r="MBZ978" s="236"/>
      <c r="MCA978" s="244"/>
      <c r="MCB978" s="239"/>
      <c r="MCC978" s="240"/>
      <c r="MCD978" s="241"/>
      <c r="MCE978" s="239"/>
      <c r="MCF978" s="239"/>
      <c r="MCG978" s="239"/>
      <c r="MCH978" s="239"/>
      <c r="MCI978" s="239"/>
      <c r="MCJ978" s="239"/>
      <c r="MCK978" s="233"/>
      <c r="MCL978" s="235"/>
      <c r="MCM978" s="233"/>
      <c r="MCN978" s="233"/>
      <c r="MCO978" s="234"/>
      <c r="MCP978" s="234"/>
      <c r="MCQ978" s="242"/>
      <c r="MCR978" s="234"/>
      <c r="MCS978" s="234"/>
      <c r="MCT978" s="234"/>
      <c r="MCU978" s="236"/>
      <c r="MCV978" s="244"/>
      <c r="MCW978" s="239"/>
      <c r="MCX978" s="240"/>
      <c r="MCY978" s="241"/>
      <c r="MCZ978" s="239"/>
      <c r="MDA978" s="239"/>
      <c r="MDB978" s="239"/>
      <c r="MDC978" s="239"/>
      <c r="MDD978" s="239"/>
      <c r="MDE978" s="239"/>
      <c r="MDF978" s="233"/>
      <c r="MDG978" s="235"/>
      <c r="MDH978" s="233"/>
      <c r="MDI978" s="233"/>
      <c r="MDJ978" s="234"/>
      <c r="MDK978" s="234"/>
      <c r="MDL978" s="242"/>
      <c r="MDM978" s="234"/>
      <c r="MDN978" s="234"/>
      <c r="MDO978" s="234"/>
      <c r="MDP978" s="236"/>
      <c r="MDQ978" s="244"/>
      <c r="MDR978" s="239"/>
      <c r="MDS978" s="240"/>
      <c r="MDT978" s="241"/>
      <c r="MDU978" s="239"/>
      <c r="MDV978" s="239"/>
      <c r="MDW978" s="239"/>
      <c r="MDX978" s="239"/>
      <c r="MDY978" s="239"/>
      <c r="MDZ978" s="239"/>
      <c r="MEA978" s="233"/>
      <c r="MEB978" s="235"/>
      <c r="MEC978" s="233"/>
      <c r="MED978" s="233"/>
      <c r="MEE978" s="234"/>
      <c r="MEF978" s="234"/>
      <c r="MEG978" s="242"/>
      <c r="MEH978" s="234"/>
      <c r="MEI978" s="234"/>
      <c r="MEJ978" s="234"/>
      <c r="MEK978" s="236"/>
      <c r="MEL978" s="244"/>
      <c r="MEM978" s="239"/>
      <c r="MEN978" s="240"/>
      <c r="MEO978" s="241"/>
      <c r="MEP978" s="239"/>
      <c r="MEQ978" s="239"/>
      <c r="MER978" s="239"/>
      <c r="MES978" s="239"/>
      <c r="MET978" s="239"/>
      <c r="MEU978" s="239"/>
      <c r="MEV978" s="233"/>
      <c r="MEW978" s="235"/>
      <c r="MEX978" s="233"/>
      <c r="MEY978" s="233"/>
      <c r="MEZ978" s="234"/>
      <c r="MFA978" s="234"/>
      <c r="MFB978" s="242"/>
      <c r="MFC978" s="234"/>
      <c r="MFD978" s="234"/>
      <c r="MFE978" s="234"/>
      <c r="MFF978" s="236"/>
      <c r="MFG978" s="244"/>
      <c r="MFH978" s="239"/>
      <c r="MFI978" s="240"/>
      <c r="MFJ978" s="241"/>
      <c r="MFK978" s="239"/>
      <c r="MFL978" s="239"/>
      <c r="MFM978" s="239"/>
      <c r="MFN978" s="239"/>
      <c r="MFO978" s="239"/>
      <c r="MFP978" s="239"/>
      <c r="MFQ978" s="233"/>
      <c r="MFR978" s="235"/>
      <c r="MFS978" s="233"/>
      <c r="MFT978" s="233"/>
      <c r="MFU978" s="234"/>
      <c r="MFV978" s="234"/>
      <c r="MFW978" s="242"/>
      <c r="MFX978" s="234"/>
      <c r="MFY978" s="234"/>
      <c r="MFZ978" s="234"/>
      <c r="MGA978" s="236"/>
      <c r="MGB978" s="244"/>
      <c r="MGC978" s="239"/>
      <c r="MGD978" s="240"/>
      <c r="MGE978" s="241"/>
      <c r="MGF978" s="239"/>
      <c r="MGG978" s="239"/>
      <c r="MGH978" s="239"/>
      <c r="MGI978" s="239"/>
      <c r="MGJ978" s="239"/>
      <c r="MGK978" s="239"/>
      <c r="MGL978" s="233"/>
      <c r="MGM978" s="235"/>
      <c r="MGN978" s="233"/>
      <c r="MGO978" s="233"/>
      <c r="MGP978" s="234"/>
      <c r="MGQ978" s="234"/>
      <c r="MGR978" s="242"/>
      <c r="MGS978" s="234"/>
      <c r="MGT978" s="234"/>
      <c r="MGU978" s="234"/>
      <c r="MGV978" s="236"/>
      <c r="MGW978" s="244"/>
      <c r="MGX978" s="239"/>
      <c r="MGY978" s="240"/>
      <c r="MGZ978" s="241"/>
      <c r="MHA978" s="239"/>
      <c r="MHB978" s="239"/>
      <c r="MHC978" s="239"/>
      <c r="MHD978" s="239"/>
      <c r="MHE978" s="239"/>
      <c r="MHF978" s="239"/>
      <c r="MHG978" s="233"/>
      <c r="MHH978" s="235"/>
      <c r="MHI978" s="233"/>
      <c r="MHJ978" s="233"/>
      <c r="MHK978" s="234"/>
      <c r="MHL978" s="234"/>
      <c r="MHM978" s="242"/>
      <c r="MHN978" s="234"/>
      <c r="MHO978" s="234"/>
      <c r="MHP978" s="234"/>
      <c r="MHQ978" s="236"/>
      <c r="MHR978" s="244"/>
      <c r="MHS978" s="239"/>
      <c r="MHT978" s="240"/>
      <c r="MHU978" s="241"/>
      <c r="MHV978" s="239"/>
      <c r="MHW978" s="239"/>
      <c r="MHX978" s="239"/>
      <c r="MHY978" s="239"/>
      <c r="MHZ978" s="239"/>
      <c r="MIA978" s="239"/>
      <c r="MIB978" s="233"/>
      <c r="MIC978" s="235"/>
      <c r="MID978" s="233"/>
      <c r="MIE978" s="233"/>
      <c r="MIF978" s="234"/>
      <c r="MIG978" s="234"/>
      <c r="MIH978" s="242"/>
      <c r="MII978" s="234"/>
      <c r="MIJ978" s="234"/>
      <c r="MIK978" s="234"/>
      <c r="MIL978" s="236"/>
      <c r="MIM978" s="244"/>
      <c r="MIN978" s="239"/>
      <c r="MIO978" s="240"/>
      <c r="MIP978" s="241"/>
      <c r="MIQ978" s="239"/>
      <c r="MIR978" s="239"/>
      <c r="MIS978" s="239"/>
      <c r="MIT978" s="239"/>
      <c r="MIU978" s="239"/>
      <c r="MIV978" s="239"/>
      <c r="MIW978" s="233"/>
      <c r="MIX978" s="235"/>
      <c r="MIY978" s="233"/>
      <c r="MIZ978" s="233"/>
      <c r="MJA978" s="234"/>
      <c r="MJB978" s="234"/>
      <c r="MJC978" s="242"/>
      <c r="MJD978" s="234"/>
      <c r="MJE978" s="234"/>
      <c r="MJF978" s="234"/>
      <c r="MJG978" s="236"/>
      <c r="MJH978" s="244"/>
      <c r="MJI978" s="239"/>
      <c r="MJJ978" s="240"/>
      <c r="MJK978" s="241"/>
      <c r="MJL978" s="239"/>
      <c r="MJM978" s="239"/>
      <c r="MJN978" s="239"/>
      <c r="MJO978" s="239"/>
      <c r="MJP978" s="239"/>
      <c r="MJQ978" s="239"/>
      <c r="MJR978" s="233"/>
      <c r="MJS978" s="235"/>
      <c r="MJT978" s="233"/>
      <c r="MJU978" s="233"/>
      <c r="MJV978" s="234"/>
      <c r="MJW978" s="234"/>
      <c r="MJX978" s="242"/>
      <c r="MJY978" s="234"/>
      <c r="MJZ978" s="234"/>
      <c r="MKA978" s="234"/>
      <c r="MKB978" s="236"/>
      <c r="MKC978" s="244"/>
      <c r="MKD978" s="239"/>
      <c r="MKE978" s="240"/>
      <c r="MKF978" s="241"/>
      <c r="MKG978" s="239"/>
      <c r="MKH978" s="239"/>
      <c r="MKI978" s="239"/>
      <c r="MKJ978" s="239"/>
      <c r="MKK978" s="239"/>
      <c r="MKL978" s="239"/>
      <c r="MKM978" s="233"/>
      <c r="MKN978" s="235"/>
      <c r="MKO978" s="233"/>
      <c r="MKP978" s="233"/>
      <c r="MKQ978" s="234"/>
      <c r="MKR978" s="234"/>
      <c r="MKS978" s="242"/>
      <c r="MKT978" s="234"/>
      <c r="MKU978" s="234"/>
      <c r="MKV978" s="234"/>
      <c r="MKW978" s="236"/>
      <c r="MKX978" s="244"/>
      <c r="MKY978" s="239"/>
      <c r="MKZ978" s="240"/>
      <c r="MLA978" s="241"/>
      <c r="MLB978" s="239"/>
      <c r="MLC978" s="239"/>
      <c r="MLD978" s="239"/>
      <c r="MLE978" s="239"/>
      <c r="MLF978" s="239"/>
      <c r="MLG978" s="239"/>
      <c r="MLH978" s="233"/>
      <c r="MLI978" s="235"/>
      <c r="MLJ978" s="233"/>
      <c r="MLK978" s="233"/>
      <c r="MLL978" s="234"/>
      <c r="MLM978" s="234"/>
      <c r="MLN978" s="242"/>
      <c r="MLO978" s="234"/>
      <c r="MLP978" s="234"/>
      <c r="MLQ978" s="234"/>
      <c r="MLR978" s="236"/>
      <c r="MLS978" s="244"/>
      <c r="MLT978" s="239"/>
      <c r="MLU978" s="240"/>
      <c r="MLV978" s="241"/>
      <c r="MLW978" s="239"/>
      <c r="MLX978" s="239"/>
      <c r="MLY978" s="239"/>
      <c r="MLZ978" s="239"/>
      <c r="MMA978" s="239"/>
      <c r="MMB978" s="239"/>
      <c r="MMC978" s="233"/>
      <c r="MMD978" s="235"/>
      <c r="MME978" s="233"/>
      <c r="MMF978" s="233"/>
      <c r="MMG978" s="234"/>
      <c r="MMH978" s="234"/>
      <c r="MMI978" s="242"/>
      <c r="MMJ978" s="234"/>
      <c r="MMK978" s="234"/>
      <c r="MML978" s="234"/>
      <c r="MMM978" s="236"/>
      <c r="MMN978" s="244"/>
      <c r="MMO978" s="239"/>
      <c r="MMP978" s="240"/>
      <c r="MMQ978" s="241"/>
      <c r="MMR978" s="239"/>
      <c r="MMS978" s="239"/>
      <c r="MMT978" s="239"/>
      <c r="MMU978" s="239"/>
      <c r="MMV978" s="239"/>
      <c r="MMW978" s="239"/>
      <c r="MMX978" s="233"/>
      <c r="MMY978" s="235"/>
      <c r="MMZ978" s="233"/>
      <c r="MNA978" s="233"/>
      <c r="MNB978" s="234"/>
      <c r="MNC978" s="234"/>
      <c r="MND978" s="242"/>
      <c r="MNE978" s="234"/>
      <c r="MNF978" s="234"/>
      <c r="MNG978" s="234"/>
      <c r="MNH978" s="236"/>
      <c r="MNI978" s="244"/>
      <c r="MNJ978" s="239"/>
      <c r="MNK978" s="240"/>
      <c r="MNL978" s="241"/>
      <c r="MNM978" s="239"/>
      <c r="MNN978" s="239"/>
      <c r="MNO978" s="239"/>
      <c r="MNP978" s="239"/>
      <c r="MNQ978" s="239"/>
      <c r="MNR978" s="239"/>
      <c r="MNS978" s="233"/>
      <c r="MNT978" s="235"/>
      <c r="MNU978" s="233"/>
      <c r="MNV978" s="233"/>
      <c r="MNW978" s="234"/>
      <c r="MNX978" s="234"/>
      <c r="MNY978" s="242"/>
      <c r="MNZ978" s="234"/>
      <c r="MOA978" s="234"/>
      <c r="MOB978" s="234"/>
      <c r="MOC978" s="236"/>
      <c r="MOD978" s="244"/>
      <c r="MOE978" s="239"/>
      <c r="MOF978" s="240"/>
      <c r="MOG978" s="241"/>
      <c r="MOH978" s="239"/>
      <c r="MOI978" s="239"/>
      <c r="MOJ978" s="239"/>
      <c r="MOK978" s="239"/>
      <c r="MOL978" s="239"/>
      <c r="MOM978" s="239"/>
      <c r="MON978" s="233"/>
      <c r="MOO978" s="235"/>
      <c r="MOP978" s="233"/>
      <c r="MOQ978" s="233"/>
      <c r="MOR978" s="234"/>
      <c r="MOS978" s="234"/>
      <c r="MOT978" s="242"/>
      <c r="MOU978" s="234"/>
      <c r="MOV978" s="234"/>
      <c r="MOW978" s="234"/>
      <c r="MOX978" s="236"/>
      <c r="MOY978" s="244"/>
      <c r="MOZ978" s="239"/>
      <c r="MPA978" s="240"/>
      <c r="MPB978" s="241"/>
      <c r="MPC978" s="239"/>
      <c r="MPD978" s="239"/>
      <c r="MPE978" s="239"/>
      <c r="MPF978" s="239"/>
      <c r="MPG978" s="239"/>
      <c r="MPH978" s="239"/>
      <c r="MPI978" s="233"/>
      <c r="MPJ978" s="235"/>
      <c r="MPK978" s="233"/>
      <c r="MPL978" s="233"/>
      <c r="MPM978" s="234"/>
      <c r="MPN978" s="234"/>
      <c r="MPO978" s="242"/>
      <c r="MPP978" s="234"/>
      <c r="MPQ978" s="234"/>
      <c r="MPR978" s="234"/>
      <c r="MPS978" s="236"/>
      <c r="MPT978" s="244"/>
      <c r="MPU978" s="239"/>
      <c r="MPV978" s="240"/>
      <c r="MPW978" s="241"/>
      <c r="MPX978" s="239"/>
      <c r="MPY978" s="239"/>
      <c r="MPZ978" s="239"/>
      <c r="MQA978" s="239"/>
      <c r="MQB978" s="239"/>
      <c r="MQC978" s="239"/>
      <c r="MQD978" s="233"/>
      <c r="MQE978" s="235"/>
      <c r="MQF978" s="233"/>
      <c r="MQG978" s="233"/>
      <c r="MQH978" s="234"/>
      <c r="MQI978" s="234"/>
      <c r="MQJ978" s="242"/>
      <c r="MQK978" s="234"/>
      <c r="MQL978" s="234"/>
      <c r="MQM978" s="234"/>
      <c r="MQN978" s="236"/>
      <c r="MQO978" s="244"/>
      <c r="MQP978" s="239"/>
      <c r="MQQ978" s="240"/>
      <c r="MQR978" s="241"/>
      <c r="MQS978" s="239"/>
      <c r="MQT978" s="239"/>
      <c r="MQU978" s="239"/>
      <c r="MQV978" s="239"/>
      <c r="MQW978" s="239"/>
      <c r="MQX978" s="239"/>
      <c r="MQY978" s="233"/>
      <c r="MQZ978" s="235"/>
      <c r="MRA978" s="233"/>
      <c r="MRB978" s="233"/>
      <c r="MRC978" s="234"/>
      <c r="MRD978" s="234"/>
      <c r="MRE978" s="242"/>
      <c r="MRF978" s="234"/>
      <c r="MRG978" s="234"/>
      <c r="MRH978" s="234"/>
      <c r="MRI978" s="236"/>
      <c r="MRJ978" s="244"/>
      <c r="MRK978" s="239"/>
      <c r="MRL978" s="240"/>
      <c r="MRM978" s="241"/>
      <c r="MRN978" s="239"/>
      <c r="MRO978" s="239"/>
      <c r="MRP978" s="239"/>
      <c r="MRQ978" s="239"/>
      <c r="MRR978" s="239"/>
      <c r="MRS978" s="239"/>
      <c r="MRT978" s="233"/>
      <c r="MRU978" s="235"/>
      <c r="MRV978" s="233"/>
      <c r="MRW978" s="233"/>
      <c r="MRX978" s="234"/>
      <c r="MRY978" s="234"/>
      <c r="MRZ978" s="242"/>
      <c r="MSA978" s="234"/>
      <c r="MSB978" s="234"/>
      <c r="MSC978" s="234"/>
      <c r="MSD978" s="236"/>
      <c r="MSE978" s="244"/>
      <c r="MSF978" s="239"/>
      <c r="MSG978" s="240"/>
      <c r="MSH978" s="241"/>
      <c r="MSI978" s="239"/>
      <c r="MSJ978" s="239"/>
      <c r="MSK978" s="239"/>
      <c r="MSL978" s="239"/>
      <c r="MSM978" s="239"/>
      <c r="MSN978" s="239"/>
      <c r="MSO978" s="233"/>
      <c r="MSP978" s="235"/>
      <c r="MSQ978" s="233"/>
      <c r="MSR978" s="233"/>
      <c r="MSS978" s="234"/>
      <c r="MST978" s="234"/>
      <c r="MSU978" s="242"/>
      <c r="MSV978" s="234"/>
      <c r="MSW978" s="234"/>
      <c r="MSX978" s="234"/>
      <c r="MSY978" s="236"/>
      <c r="MSZ978" s="244"/>
      <c r="MTA978" s="239"/>
      <c r="MTB978" s="240"/>
      <c r="MTC978" s="241"/>
      <c r="MTD978" s="239"/>
      <c r="MTE978" s="239"/>
      <c r="MTF978" s="239"/>
      <c r="MTG978" s="239"/>
      <c r="MTH978" s="239"/>
      <c r="MTI978" s="239"/>
      <c r="MTJ978" s="233"/>
      <c r="MTK978" s="235"/>
      <c r="MTL978" s="233"/>
      <c r="MTM978" s="233"/>
      <c r="MTN978" s="234"/>
      <c r="MTO978" s="234"/>
      <c r="MTP978" s="242"/>
      <c r="MTQ978" s="234"/>
      <c r="MTR978" s="234"/>
      <c r="MTS978" s="234"/>
      <c r="MTT978" s="236"/>
      <c r="MTU978" s="244"/>
      <c r="MTV978" s="239"/>
      <c r="MTW978" s="240"/>
      <c r="MTX978" s="241"/>
      <c r="MTY978" s="239"/>
      <c r="MTZ978" s="239"/>
      <c r="MUA978" s="239"/>
      <c r="MUB978" s="239"/>
      <c r="MUC978" s="239"/>
      <c r="MUD978" s="239"/>
      <c r="MUE978" s="233"/>
      <c r="MUF978" s="235"/>
      <c r="MUG978" s="233"/>
      <c r="MUH978" s="233"/>
      <c r="MUI978" s="234"/>
      <c r="MUJ978" s="234"/>
      <c r="MUK978" s="242"/>
      <c r="MUL978" s="234"/>
      <c r="MUM978" s="234"/>
      <c r="MUN978" s="234"/>
      <c r="MUO978" s="236"/>
      <c r="MUP978" s="244"/>
      <c r="MUQ978" s="239"/>
      <c r="MUR978" s="240"/>
      <c r="MUS978" s="241"/>
      <c r="MUT978" s="239"/>
      <c r="MUU978" s="239"/>
      <c r="MUV978" s="239"/>
      <c r="MUW978" s="239"/>
      <c r="MUX978" s="239"/>
      <c r="MUY978" s="239"/>
      <c r="MUZ978" s="233"/>
      <c r="MVA978" s="235"/>
      <c r="MVB978" s="233"/>
      <c r="MVC978" s="233"/>
      <c r="MVD978" s="234"/>
      <c r="MVE978" s="234"/>
      <c r="MVF978" s="242"/>
      <c r="MVG978" s="234"/>
      <c r="MVH978" s="234"/>
      <c r="MVI978" s="234"/>
      <c r="MVJ978" s="236"/>
      <c r="MVK978" s="244"/>
      <c r="MVL978" s="239"/>
      <c r="MVM978" s="240"/>
      <c r="MVN978" s="241"/>
      <c r="MVO978" s="239"/>
      <c r="MVP978" s="239"/>
      <c r="MVQ978" s="239"/>
      <c r="MVR978" s="239"/>
      <c r="MVS978" s="239"/>
      <c r="MVT978" s="239"/>
      <c r="MVU978" s="233"/>
      <c r="MVV978" s="235"/>
      <c r="MVW978" s="233"/>
      <c r="MVX978" s="233"/>
      <c r="MVY978" s="234"/>
      <c r="MVZ978" s="234"/>
      <c r="MWA978" s="242"/>
      <c r="MWB978" s="234"/>
      <c r="MWC978" s="234"/>
      <c r="MWD978" s="234"/>
      <c r="MWE978" s="236"/>
      <c r="MWF978" s="244"/>
      <c r="MWG978" s="239"/>
      <c r="MWH978" s="240"/>
      <c r="MWI978" s="241"/>
      <c r="MWJ978" s="239"/>
      <c r="MWK978" s="239"/>
      <c r="MWL978" s="239"/>
      <c r="MWM978" s="239"/>
      <c r="MWN978" s="239"/>
      <c r="MWO978" s="239"/>
      <c r="MWP978" s="233"/>
      <c r="MWQ978" s="235"/>
      <c r="MWR978" s="233"/>
      <c r="MWS978" s="233"/>
      <c r="MWT978" s="234"/>
      <c r="MWU978" s="234"/>
      <c r="MWV978" s="242"/>
      <c r="MWW978" s="234"/>
      <c r="MWX978" s="234"/>
      <c r="MWY978" s="234"/>
      <c r="MWZ978" s="236"/>
      <c r="MXA978" s="244"/>
      <c r="MXB978" s="239"/>
      <c r="MXC978" s="240"/>
      <c r="MXD978" s="241"/>
      <c r="MXE978" s="239"/>
      <c r="MXF978" s="239"/>
      <c r="MXG978" s="239"/>
      <c r="MXH978" s="239"/>
      <c r="MXI978" s="239"/>
      <c r="MXJ978" s="239"/>
      <c r="MXK978" s="233"/>
      <c r="MXL978" s="235"/>
      <c r="MXM978" s="233"/>
      <c r="MXN978" s="233"/>
      <c r="MXO978" s="234"/>
      <c r="MXP978" s="234"/>
      <c r="MXQ978" s="242"/>
      <c r="MXR978" s="234"/>
      <c r="MXS978" s="234"/>
      <c r="MXT978" s="234"/>
      <c r="MXU978" s="236"/>
      <c r="MXV978" s="244"/>
      <c r="MXW978" s="239"/>
      <c r="MXX978" s="240"/>
      <c r="MXY978" s="241"/>
      <c r="MXZ978" s="239"/>
      <c r="MYA978" s="239"/>
      <c r="MYB978" s="239"/>
      <c r="MYC978" s="239"/>
      <c r="MYD978" s="239"/>
      <c r="MYE978" s="239"/>
      <c r="MYF978" s="233"/>
      <c r="MYG978" s="235"/>
      <c r="MYH978" s="233"/>
      <c r="MYI978" s="233"/>
      <c r="MYJ978" s="234"/>
      <c r="MYK978" s="234"/>
      <c r="MYL978" s="242"/>
      <c r="MYM978" s="234"/>
      <c r="MYN978" s="234"/>
      <c r="MYO978" s="234"/>
      <c r="MYP978" s="236"/>
      <c r="MYQ978" s="244"/>
      <c r="MYR978" s="239"/>
      <c r="MYS978" s="240"/>
      <c r="MYT978" s="241"/>
      <c r="MYU978" s="239"/>
      <c r="MYV978" s="239"/>
      <c r="MYW978" s="239"/>
      <c r="MYX978" s="239"/>
      <c r="MYY978" s="239"/>
      <c r="MYZ978" s="239"/>
      <c r="MZA978" s="233"/>
      <c r="MZB978" s="235"/>
      <c r="MZC978" s="233"/>
      <c r="MZD978" s="233"/>
      <c r="MZE978" s="234"/>
      <c r="MZF978" s="234"/>
      <c r="MZG978" s="242"/>
      <c r="MZH978" s="234"/>
      <c r="MZI978" s="234"/>
      <c r="MZJ978" s="234"/>
      <c r="MZK978" s="236"/>
      <c r="MZL978" s="244"/>
      <c r="MZM978" s="239"/>
      <c r="MZN978" s="240"/>
      <c r="MZO978" s="241"/>
      <c r="MZP978" s="239"/>
      <c r="MZQ978" s="239"/>
      <c r="MZR978" s="239"/>
      <c r="MZS978" s="239"/>
      <c r="MZT978" s="239"/>
      <c r="MZU978" s="239"/>
      <c r="MZV978" s="233"/>
      <c r="MZW978" s="235"/>
      <c r="MZX978" s="233"/>
      <c r="MZY978" s="233"/>
      <c r="MZZ978" s="234"/>
      <c r="NAA978" s="234"/>
      <c r="NAB978" s="242"/>
      <c r="NAC978" s="234"/>
      <c r="NAD978" s="234"/>
      <c r="NAE978" s="234"/>
      <c r="NAF978" s="236"/>
      <c r="NAG978" s="244"/>
      <c r="NAH978" s="239"/>
      <c r="NAI978" s="240"/>
      <c r="NAJ978" s="241"/>
      <c r="NAK978" s="239"/>
      <c r="NAL978" s="239"/>
      <c r="NAM978" s="239"/>
      <c r="NAN978" s="239"/>
      <c r="NAO978" s="239"/>
      <c r="NAP978" s="239"/>
      <c r="NAQ978" s="233"/>
      <c r="NAR978" s="235"/>
      <c r="NAS978" s="233"/>
      <c r="NAT978" s="233"/>
      <c r="NAU978" s="234"/>
      <c r="NAV978" s="234"/>
      <c r="NAW978" s="242"/>
      <c r="NAX978" s="234"/>
      <c r="NAY978" s="234"/>
      <c r="NAZ978" s="234"/>
      <c r="NBA978" s="236"/>
      <c r="NBB978" s="244"/>
      <c r="NBC978" s="239"/>
      <c r="NBD978" s="240"/>
      <c r="NBE978" s="241"/>
      <c r="NBF978" s="239"/>
      <c r="NBG978" s="239"/>
      <c r="NBH978" s="239"/>
      <c r="NBI978" s="239"/>
      <c r="NBJ978" s="239"/>
      <c r="NBK978" s="239"/>
      <c r="NBL978" s="233"/>
      <c r="NBM978" s="235"/>
      <c r="NBN978" s="233"/>
      <c r="NBO978" s="233"/>
      <c r="NBP978" s="234"/>
      <c r="NBQ978" s="234"/>
      <c r="NBR978" s="242"/>
      <c r="NBS978" s="234"/>
      <c r="NBT978" s="234"/>
      <c r="NBU978" s="234"/>
      <c r="NBV978" s="236"/>
      <c r="NBW978" s="244"/>
      <c r="NBX978" s="239"/>
      <c r="NBY978" s="240"/>
      <c r="NBZ978" s="241"/>
      <c r="NCA978" s="239"/>
      <c r="NCB978" s="239"/>
      <c r="NCC978" s="239"/>
      <c r="NCD978" s="239"/>
      <c r="NCE978" s="239"/>
      <c r="NCF978" s="239"/>
      <c r="NCG978" s="233"/>
      <c r="NCH978" s="235"/>
      <c r="NCI978" s="233"/>
      <c r="NCJ978" s="233"/>
      <c r="NCK978" s="234"/>
      <c r="NCL978" s="234"/>
      <c r="NCM978" s="242"/>
      <c r="NCN978" s="234"/>
      <c r="NCO978" s="234"/>
      <c r="NCP978" s="234"/>
      <c r="NCQ978" s="236"/>
      <c r="NCR978" s="244"/>
      <c r="NCS978" s="239"/>
      <c r="NCT978" s="240"/>
      <c r="NCU978" s="241"/>
      <c r="NCV978" s="239"/>
      <c r="NCW978" s="239"/>
      <c r="NCX978" s="239"/>
      <c r="NCY978" s="239"/>
      <c r="NCZ978" s="239"/>
      <c r="NDA978" s="239"/>
      <c r="NDB978" s="233"/>
      <c r="NDC978" s="235"/>
      <c r="NDD978" s="233"/>
      <c r="NDE978" s="233"/>
      <c r="NDF978" s="234"/>
      <c r="NDG978" s="234"/>
      <c r="NDH978" s="242"/>
      <c r="NDI978" s="234"/>
      <c r="NDJ978" s="234"/>
      <c r="NDK978" s="234"/>
      <c r="NDL978" s="236"/>
      <c r="NDM978" s="244"/>
      <c r="NDN978" s="239"/>
      <c r="NDO978" s="240"/>
      <c r="NDP978" s="241"/>
      <c r="NDQ978" s="239"/>
      <c r="NDR978" s="239"/>
      <c r="NDS978" s="239"/>
      <c r="NDT978" s="239"/>
      <c r="NDU978" s="239"/>
      <c r="NDV978" s="239"/>
      <c r="NDW978" s="233"/>
      <c r="NDX978" s="235"/>
      <c r="NDY978" s="233"/>
      <c r="NDZ978" s="233"/>
      <c r="NEA978" s="234"/>
      <c r="NEB978" s="234"/>
      <c r="NEC978" s="242"/>
      <c r="NED978" s="234"/>
      <c r="NEE978" s="234"/>
      <c r="NEF978" s="234"/>
      <c r="NEG978" s="236"/>
      <c r="NEH978" s="244"/>
      <c r="NEI978" s="239"/>
      <c r="NEJ978" s="240"/>
      <c r="NEK978" s="241"/>
      <c r="NEL978" s="239"/>
      <c r="NEM978" s="239"/>
      <c r="NEN978" s="239"/>
      <c r="NEO978" s="239"/>
      <c r="NEP978" s="239"/>
      <c r="NEQ978" s="239"/>
      <c r="NER978" s="233"/>
      <c r="NES978" s="235"/>
      <c r="NET978" s="233"/>
      <c r="NEU978" s="233"/>
      <c r="NEV978" s="234"/>
      <c r="NEW978" s="234"/>
      <c r="NEX978" s="242"/>
      <c r="NEY978" s="234"/>
      <c r="NEZ978" s="234"/>
      <c r="NFA978" s="234"/>
      <c r="NFB978" s="236"/>
      <c r="NFC978" s="244"/>
      <c r="NFD978" s="239"/>
      <c r="NFE978" s="240"/>
      <c r="NFF978" s="241"/>
      <c r="NFG978" s="239"/>
      <c r="NFH978" s="239"/>
      <c r="NFI978" s="239"/>
      <c r="NFJ978" s="239"/>
      <c r="NFK978" s="239"/>
      <c r="NFL978" s="239"/>
      <c r="NFM978" s="233"/>
      <c r="NFN978" s="235"/>
      <c r="NFO978" s="233"/>
      <c r="NFP978" s="233"/>
      <c r="NFQ978" s="234"/>
      <c r="NFR978" s="234"/>
      <c r="NFS978" s="242"/>
      <c r="NFT978" s="234"/>
      <c r="NFU978" s="234"/>
      <c r="NFV978" s="234"/>
      <c r="NFW978" s="236"/>
      <c r="NFX978" s="244"/>
      <c r="NFY978" s="239"/>
      <c r="NFZ978" s="240"/>
      <c r="NGA978" s="241"/>
      <c r="NGB978" s="239"/>
      <c r="NGC978" s="239"/>
      <c r="NGD978" s="239"/>
      <c r="NGE978" s="239"/>
      <c r="NGF978" s="239"/>
      <c r="NGG978" s="239"/>
      <c r="NGH978" s="233"/>
      <c r="NGI978" s="235"/>
      <c r="NGJ978" s="233"/>
      <c r="NGK978" s="233"/>
      <c r="NGL978" s="234"/>
      <c r="NGM978" s="234"/>
      <c r="NGN978" s="242"/>
      <c r="NGO978" s="234"/>
      <c r="NGP978" s="234"/>
      <c r="NGQ978" s="234"/>
      <c r="NGR978" s="236"/>
      <c r="NGS978" s="244"/>
      <c r="NGT978" s="239"/>
      <c r="NGU978" s="240"/>
      <c r="NGV978" s="241"/>
      <c r="NGW978" s="239"/>
      <c r="NGX978" s="239"/>
      <c r="NGY978" s="239"/>
      <c r="NGZ978" s="239"/>
      <c r="NHA978" s="239"/>
      <c r="NHB978" s="239"/>
      <c r="NHC978" s="233"/>
      <c r="NHD978" s="235"/>
      <c r="NHE978" s="233"/>
      <c r="NHF978" s="233"/>
      <c r="NHG978" s="234"/>
      <c r="NHH978" s="234"/>
      <c r="NHI978" s="242"/>
      <c r="NHJ978" s="234"/>
      <c r="NHK978" s="234"/>
      <c r="NHL978" s="234"/>
      <c r="NHM978" s="236"/>
      <c r="NHN978" s="244"/>
      <c r="NHO978" s="239"/>
      <c r="NHP978" s="240"/>
      <c r="NHQ978" s="241"/>
      <c r="NHR978" s="239"/>
      <c r="NHS978" s="239"/>
      <c r="NHT978" s="239"/>
      <c r="NHU978" s="239"/>
      <c r="NHV978" s="239"/>
      <c r="NHW978" s="239"/>
      <c r="NHX978" s="233"/>
      <c r="NHY978" s="235"/>
      <c r="NHZ978" s="233"/>
      <c r="NIA978" s="233"/>
      <c r="NIB978" s="234"/>
      <c r="NIC978" s="234"/>
      <c r="NID978" s="242"/>
      <c r="NIE978" s="234"/>
      <c r="NIF978" s="234"/>
      <c r="NIG978" s="234"/>
      <c r="NIH978" s="236"/>
      <c r="NII978" s="244"/>
      <c r="NIJ978" s="239"/>
      <c r="NIK978" s="240"/>
      <c r="NIL978" s="241"/>
      <c r="NIM978" s="239"/>
      <c r="NIN978" s="239"/>
      <c r="NIO978" s="239"/>
      <c r="NIP978" s="239"/>
      <c r="NIQ978" s="239"/>
      <c r="NIR978" s="239"/>
      <c r="NIS978" s="233"/>
      <c r="NIT978" s="235"/>
      <c r="NIU978" s="233"/>
      <c r="NIV978" s="233"/>
      <c r="NIW978" s="234"/>
      <c r="NIX978" s="234"/>
      <c r="NIY978" s="242"/>
      <c r="NIZ978" s="234"/>
      <c r="NJA978" s="234"/>
      <c r="NJB978" s="234"/>
      <c r="NJC978" s="236"/>
      <c r="NJD978" s="244"/>
      <c r="NJE978" s="239"/>
      <c r="NJF978" s="240"/>
      <c r="NJG978" s="241"/>
      <c r="NJH978" s="239"/>
      <c r="NJI978" s="239"/>
      <c r="NJJ978" s="239"/>
      <c r="NJK978" s="239"/>
      <c r="NJL978" s="239"/>
      <c r="NJM978" s="239"/>
      <c r="NJN978" s="233"/>
      <c r="NJO978" s="235"/>
      <c r="NJP978" s="233"/>
      <c r="NJQ978" s="233"/>
      <c r="NJR978" s="234"/>
      <c r="NJS978" s="234"/>
      <c r="NJT978" s="242"/>
      <c r="NJU978" s="234"/>
      <c r="NJV978" s="234"/>
      <c r="NJW978" s="234"/>
      <c r="NJX978" s="236"/>
      <c r="NJY978" s="244"/>
      <c r="NJZ978" s="239"/>
      <c r="NKA978" s="240"/>
      <c r="NKB978" s="241"/>
      <c r="NKC978" s="239"/>
      <c r="NKD978" s="239"/>
      <c r="NKE978" s="239"/>
      <c r="NKF978" s="239"/>
      <c r="NKG978" s="239"/>
      <c r="NKH978" s="239"/>
      <c r="NKI978" s="233"/>
      <c r="NKJ978" s="235"/>
      <c r="NKK978" s="233"/>
      <c r="NKL978" s="233"/>
      <c r="NKM978" s="234"/>
      <c r="NKN978" s="234"/>
      <c r="NKO978" s="242"/>
      <c r="NKP978" s="234"/>
      <c r="NKQ978" s="234"/>
      <c r="NKR978" s="234"/>
      <c r="NKS978" s="236"/>
      <c r="NKT978" s="244"/>
      <c r="NKU978" s="239"/>
      <c r="NKV978" s="240"/>
      <c r="NKW978" s="241"/>
      <c r="NKX978" s="239"/>
      <c r="NKY978" s="239"/>
      <c r="NKZ978" s="239"/>
      <c r="NLA978" s="239"/>
      <c r="NLB978" s="239"/>
      <c r="NLC978" s="239"/>
      <c r="NLD978" s="233"/>
      <c r="NLE978" s="235"/>
      <c r="NLF978" s="233"/>
      <c r="NLG978" s="233"/>
      <c r="NLH978" s="234"/>
      <c r="NLI978" s="234"/>
      <c r="NLJ978" s="242"/>
      <c r="NLK978" s="234"/>
      <c r="NLL978" s="234"/>
      <c r="NLM978" s="234"/>
      <c r="NLN978" s="236"/>
      <c r="NLO978" s="244"/>
      <c r="NLP978" s="239"/>
      <c r="NLQ978" s="240"/>
      <c r="NLR978" s="241"/>
      <c r="NLS978" s="239"/>
      <c r="NLT978" s="239"/>
      <c r="NLU978" s="239"/>
      <c r="NLV978" s="239"/>
      <c r="NLW978" s="239"/>
      <c r="NLX978" s="239"/>
      <c r="NLY978" s="233"/>
      <c r="NLZ978" s="235"/>
      <c r="NMA978" s="233"/>
      <c r="NMB978" s="233"/>
      <c r="NMC978" s="234"/>
      <c r="NMD978" s="234"/>
      <c r="NME978" s="242"/>
      <c r="NMF978" s="234"/>
      <c r="NMG978" s="234"/>
      <c r="NMH978" s="234"/>
      <c r="NMI978" s="236"/>
      <c r="NMJ978" s="244"/>
      <c r="NMK978" s="239"/>
      <c r="NML978" s="240"/>
      <c r="NMM978" s="241"/>
      <c r="NMN978" s="239"/>
      <c r="NMO978" s="239"/>
      <c r="NMP978" s="239"/>
      <c r="NMQ978" s="239"/>
      <c r="NMR978" s="239"/>
      <c r="NMS978" s="239"/>
      <c r="NMT978" s="233"/>
      <c r="NMU978" s="235"/>
      <c r="NMV978" s="233"/>
      <c r="NMW978" s="233"/>
      <c r="NMX978" s="234"/>
      <c r="NMY978" s="234"/>
      <c r="NMZ978" s="242"/>
      <c r="NNA978" s="234"/>
      <c r="NNB978" s="234"/>
      <c r="NNC978" s="234"/>
      <c r="NND978" s="236"/>
      <c r="NNE978" s="244"/>
      <c r="NNF978" s="239"/>
      <c r="NNG978" s="240"/>
      <c r="NNH978" s="241"/>
      <c r="NNI978" s="239"/>
      <c r="NNJ978" s="239"/>
      <c r="NNK978" s="239"/>
      <c r="NNL978" s="239"/>
      <c r="NNM978" s="239"/>
      <c r="NNN978" s="239"/>
      <c r="NNO978" s="233"/>
      <c r="NNP978" s="235"/>
      <c r="NNQ978" s="233"/>
      <c r="NNR978" s="233"/>
      <c r="NNS978" s="234"/>
      <c r="NNT978" s="234"/>
      <c r="NNU978" s="242"/>
      <c r="NNV978" s="234"/>
      <c r="NNW978" s="234"/>
      <c r="NNX978" s="234"/>
      <c r="NNY978" s="236"/>
      <c r="NNZ978" s="244"/>
      <c r="NOA978" s="239"/>
      <c r="NOB978" s="240"/>
      <c r="NOC978" s="241"/>
      <c r="NOD978" s="239"/>
      <c r="NOE978" s="239"/>
      <c r="NOF978" s="239"/>
      <c r="NOG978" s="239"/>
      <c r="NOH978" s="239"/>
      <c r="NOI978" s="239"/>
      <c r="NOJ978" s="233"/>
      <c r="NOK978" s="235"/>
      <c r="NOL978" s="233"/>
      <c r="NOM978" s="233"/>
      <c r="NON978" s="234"/>
      <c r="NOO978" s="234"/>
      <c r="NOP978" s="242"/>
      <c r="NOQ978" s="234"/>
      <c r="NOR978" s="234"/>
      <c r="NOS978" s="234"/>
      <c r="NOT978" s="236"/>
      <c r="NOU978" s="244"/>
      <c r="NOV978" s="239"/>
      <c r="NOW978" s="240"/>
      <c r="NOX978" s="241"/>
      <c r="NOY978" s="239"/>
      <c r="NOZ978" s="239"/>
      <c r="NPA978" s="239"/>
      <c r="NPB978" s="239"/>
      <c r="NPC978" s="239"/>
      <c r="NPD978" s="239"/>
      <c r="NPE978" s="233"/>
      <c r="NPF978" s="235"/>
      <c r="NPG978" s="233"/>
      <c r="NPH978" s="233"/>
      <c r="NPI978" s="234"/>
      <c r="NPJ978" s="234"/>
      <c r="NPK978" s="242"/>
      <c r="NPL978" s="234"/>
      <c r="NPM978" s="234"/>
      <c r="NPN978" s="234"/>
      <c r="NPO978" s="236"/>
      <c r="NPP978" s="244"/>
      <c r="NPQ978" s="239"/>
      <c r="NPR978" s="240"/>
      <c r="NPS978" s="241"/>
      <c r="NPT978" s="239"/>
      <c r="NPU978" s="239"/>
      <c r="NPV978" s="239"/>
      <c r="NPW978" s="239"/>
      <c r="NPX978" s="239"/>
      <c r="NPY978" s="239"/>
      <c r="NPZ978" s="233"/>
      <c r="NQA978" s="235"/>
      <c r="NQB978" s="233"/>
      <c r="NQC978" s="233"/>
      <c r="NQD978" s="234"/>
      <c r="NQE978" s="234"/>
      <c r="NQF978" s="242"/>
      <c r="NQG978" s="234"/>
      <c r="NQH978" s="234"/>
      <c r="NQI978" s="234"/>
      <c r="NQJ978" s="236"/>
      <c r="NQK978" s="244"/>
      <c r="NQL978" s="239"/>
      <c r="NQM978" s="240"/>
      <c r="NQN978" s="241"/>
      <c r="NQO978" s="239"/>
      <c r="NQP978" s="239"/>
      <c r="NQQ978" s="239"/>
      <c r="NQR978" s="239"/>
      <c r="NQS978" s="239"/>
      <c r="NQT978" s="239"/>
      <c r="NQU978" s="233"/>
      <c r="NQV978" s="235"/>
      <c r="NQW978" s="233"/>
      <c r="NQX978" s="233"/>
      <c r="NQY978" s="234"/>
      <c r="NQZ978" s="234"/>
      <c r="NRA978" s="242"/>
      <c r="NRB978" s="234"/>
      <c r="NRC978" s="234"/>
      <c r="NRD978" s="234"/>
      <c r="NRE978" s="236"/>
      <c r="NRF978" s="244"/>
      <c r="NRG978" s="239"/>
      <c r="NRH978" s="240"/>
      <c r="NRI978" s="241"/>
      <c r="NRJ978" s="239"/>
      <c r="NRK978" s="239"/>
      <c r="NRL978" s="239"/>
      <c r="NRM978" s="239"/>
      <c r="NRN978" s="239"/>
      <c r="NRO978" s="239"/>
      <c r="NRP978" s="233"/>
      <c r="NRQ978" s="235"/>
      <c r="NRR978" s="233"/>
      <c r="NRS978" s="233"/>
      <c r="NRT978" s="234"/>
      <c r="NRU978" s="234"/>
      <c r="NRV978" s="242"/>
      <c r="NRW978" s="234"/>
      <c r="NRX978" s="234"/>
      <c r="NRY978" s="234"/>
      <c r="NRZ978" s="236"/>
      <c r="NSA978" s="244"/>
      <c r="NSB978" s="239"/>
      <c r="NSC978" s="240"/>
      <c r="NSD978" s="241"/>
      <c r="NSE978" s="239"/>
      <c r="NSF978" s="239"/>
      <c r="NSG978" s="239"/>
      <c r="NSH978" s="239"/>
      <c r="NSI978" s="239"/>
      <c r="NSJ978" s="239"/>
      <c r="NSK978" s="233"/>
      <c r="NSL978" s="235"/>
      <c r="NSM978" s="233"/>
      <c r="NSN978" s="233"/>
      <c r="NSO978" s="234"/>
      <c r="NSP978" s="234"/>
      <c r="NSQ978" s="242"/>
      <c r="NSR978" s="234"/>
      <c r="NSS978" s="234"/>
      <c r="NST978" s="234"/>
      <c r="NSU978" s="236"/>
      <c r="NSV978" s="244"/>
      <c r="NSW978" s="239"/>
      <c r="NSX978" s="240"/>
      <c r="NSY978" s="241"/>
      <c r="NSZ978" s="239"/>
      <c r="NTA978" s="239"/>
      <c r="NTB978" s="239"/>
      <c r="NTC978" s="239"/>
      <c r="NTD978" s="239"/>
      <c r="NTE978" s="239"/>
      <c r="NTF978" s="233"/>
      <c r="NTG978" s="235"/>
      <c r="NTH978" s="233"/>
      <c r="NTI978" s="233"/>
      <c r="NTJ978" s="234"/>
      <c r="NTK978" s="234"/>
      <c r="NTL978" s="242"/>
      <c r="NTM978" s="234"/>
      <c r="NTN978" s="234"/>
      <c r="NTO978" s="234"/>
      <c r="NTP978" s="236"/>
      <c r="NTQ978" s="244"/>
      <c r="NTR978" s="239"/>
      <c r="NTS978" s="240"/>
      <c r="NTT978" s="241"/>
      <c r="NTU978" s="239"/>
      <c r="NTV978" s="239"/>
      <c r="NTW978" s="239"/>
      <c r="NTX978" s="239"/>
      <c r="NTY978" s="239"/>
      <c r="NTZ978" s="239"/>
      <c r="NUA978" s="233"/>
      <c r="NUB978" s="235"/>
      <c r="NUC978" s="233"/>
      <c r="NUD978" s="233"/>
      <c r="NUE978" s="234"/>
      <c r="NUF978" s="234"/>
      <c r="NUG978" s="242"/>
      <c r="NUH978" s="234"/>
      <c r="NUI978" s="234"/>
      <c r="NUJ978" s="234"/>
      <c r="NUK978" s="236"/>
      <c r="NUL978" s="244"/>
      <c r="NUM978" s="239"/>
      <c r="NUN978" s="240"/>
      <c r="NUO978" s="241"/>
      <c r="NUP978" s="239"/>
      <c r="NUQ978" s="239"/>
      <c r="NUR978" s="239"/>
      <c r="NUS978" s="239"/>
      <c r="NUT978" s="239"/>
      <c r="NUU978" s="239"/>
      <c r="NUV978" s="233"/>
      <c r="NUW978" s="235"/>
      <c r="NUX978" s="233"/>
      <c r="NUY978" s="233"/>
      <c r="NUZ978" s="234"/>
      <c r="NVA978" s="234"/>
      <c r="NVB978" s="242"/>
      <c r="NVC978" s="234"/>
      <c r="NVD978" s="234"/>
      <c r="NVE978" s="234"/>
      <c r="NVF978" s="236"/>
      <c r="NVG978" s="244"/>
      <c r="NVH978" s="239"/>
      <c r="NVI978" s="240"/>
      <c r="NVJ978" s="241"/>
      <c r="NVK978" s="239"/>
      <c r="NVL978" s="239"/>
      <c r="NVM978" s="239"/>
      <c r="NVN978" s="239"/>
      <c r="NVO978" s="239"/>
      <c r="NVP978" s="239"/>
      <c r="NVQ978" s="233"/>
      <c r="NVR978" s="235"/>
      <c r="NVS978" s="233"/>
      <c r="NVT978" s="233"/>
      <c r="NVU978" s="234"/>
      <c r="NVV978" s="234"/>
      <c r="NVW978" s="242"/>
      <c r="NVX978" s="234"/>
      <c r="NVY978" s="234"/>
      <c r="NVZ978" s="234"/>
      <c r="NWA978" s="236"/>
      <c r="NWB978" s="244"/>
      <c r="NWC978" s="239"/>
      <c r="NWD978" s="240"/>
      <c r="NWE978" s="241"/>
      <c r="NWF978" s="239"/>
      <c r="NWG978" s="239"/>
      <c r="NWH978" s="239"/>
      <c r="NWI978" s="239"/>
      <c r="NWJ978" s="239"/>
      <c r="NWK978" s="239"/>
      <c r="NWL978" s="233"/>
      <c r="NWM978" s="235"/>
      <c r="NWN978" s="233"/>
      <c r="NWO978" s="233"/>
      <c r="NWP978" s="234"/>
      <c r="NWQ978" s="234"/>
      <c r="NWR978" s="242"/>
      <c r="NWS978" s="234"/>
      <c r="NWT978" s="234"/>
      <c r="NWU978" s="234"/>
      <c r="NWV978" s="236"/>
      <c r="NWW978" s="244"/>
      <c r="NWX978" s="239"/>
      <c r="NWY978" s="240"/>
      <c r="NWZ978" s="241"/>
      <c r="NXA978" s="239"/>
      <c r="NXB978" s="239"/>
      <c r="NXC978" s="239"/>
      <c r="NXD978" s="239"/>
      <c r="NXE978" s="239"/>
      <c r="NXF978" s="239"/>
      <c r="NXG978" s="233"/>
      <c r="NXH978" s="235"/>
      <c r="NXI978" s="233"/>
      <c r="NXJ978" s="233"/>
      <c r="NXK978" s="234"/>
      <c r="NXL978" s="234"/>
      <c r="NXM978" s="242"/>
      <c r="NXN978" s="234"/>
      <c r="NXO978" s="234"/>
      <c r="NXP978" s="234"/>
      <c r="NXQ978" s="236"/>
      <c r="NXR978" s="244"/>
      <c r="NXS978" s="239"/>
      <c r="NXT978" s="240"/>
      <c r="NXU978" s="241"/>
      <c r="NXV978" s="239"/>
      <c r="NXW978" s="239"/>
      <c r="NXX978" s="239"/>
      <c r="NXY978" s="239"/>
      <c r="NXZ978" s="239"/>
      <c r="NYA978" s="239"/>
      <c r="NYB978" s="233"/>
      <c r="NYC978" s="235"/>
      <c r="NYD978" s="233"/>
      <c r="NYE978" s="233"/>
      <c r="NYF978" s="234"/>
      <c r="NYG978" s="234"/>
      <c r="NYH978" s="242"/>
      <c r="NYI978" s="234"/>
      <c r="NYJ978" s="234"/>
      <c r="NYK978" s="234"/>
      <c r="NYL978" s="236"/>
      <c r="NYM978" s="244"/>
      <c r="NYN978" s="239"/>
      <c r="NYO978" s="240"/>
      <c r="NYP978" s="241"/>
      <c r="NYQ978" s="239"/>
      <c r="NYR978" s="239"/>
      <c r="NYS978" s="239"/>
      <c r="NYT978" s="239"/>
      <c r="NYU978" s="239"/>
      <c r="NYV978" s="239"/>
      <c r="NYW978" s="233"/>
      <c r="NYX978" s="235"/>
      <c r="NYY978" s="233"/>
      <c r="NYZ978" s="233"/>
      <c r="NZA978" s="234"/>
      <c r="NZB978" s="234"/>
      <c r="NZC978" s="242"/>
      <c r="NZD978" s="234"/>
      <c r="NZE978" s="234"/>
      <c r="NZF978" s="234"/>
      <c r="NZG978" s="236"/>
      <c r="NZH978" s="244"/>
      <c r="NZI978" s="239"/>
      <c r="NZJ978" s="240"/>
      <c r="NZK978" s="241"/>
      <c r="NZL978" s="239"/>
      <c r="NZM978" s="239"/>
      <c r="NZN978" s="239"/>
      <c r="NZO978" s="239"/>
      <c r="NZP978" s="239"/>
      <c r="NZQ978" s="239"/>
      <c r="NZR978" s="233"/>
      <c r="NZS978" s="235"/>
      <c r="NZT978" s="233"/>
      <c r="NZU978" s="233"/>
      <c r="NZV978" s="234"/>
      <c r="NZW978" s="234"/>
      <c r="NZX978" s="242"/>
      <c r="NZY978" s="234"/>
      <c r="NZZ978" s="234"/>
      <c r="OAA978" s="234"/>
      <c r="OAB978" s="236"/>
      <c r="OAC978" s="244"/>
      <c r="OAD978" s="239"/>
      <c r="OAE978" s="240"/>
      <c r="OAF978" s="241"/>
      <c r="OAG978" s="239"/>
      <c r="OAH978" s="239"/>
      <c r="OAI978" s="239"/>
      <c r="OAJ978" s="239"/>
      <c r="OAK978" s="239"/>
      <c r="OAL978" s="239"/>
      <c r="OAM978" s="233"/>
      <c r="OAN978" s="235"/>
      <c r="OAO978" s="233"/>
      <c r="OAP978" s="233"/>
      <c r="OAQ978" s="234"/>
      <c r="OAR978" s="234"/>
      <c r="OAS978" s="242"/>
      <c r="OAT978" s="234"/>
      <c r="OAU978" s="234"/>
      <c r="OAV978" s="234"/>
      <c r="OAW978" s="236"/>
      <c r="OAX978" s="244"/>
      <c r="OAY978" s="239"/>
      <c r="OAZ978" s="240"/>
      <c r="OBA978" s="241"/>
      <c r="OBB978" s="239"/>
      <c r="OBC978" s="239"/>
      <c r="OBD978" s="239"/>
      <c r="OBE978" s="239"/>
      <c r="OBF978" s="239"/>
      <c r="OBG978" s="239"/>
      <c r="OBH978" s="233"/>
      <c r="OBI978" s="235"/>
      <c r="OBJ978" s="233"/>
      <c r="OBK978" s="233"/>
      <c r="OBL978" s="234"/>
      <c r="OBM978" s="234"/>
      <c r="OBN978" s="242"/>
      <c r="OBO978" s="234"/>
      <c r="OBP978" s="234"/>
      <c r="OBQ978" s="234"/>
      <c r="OBR978" s="236"/>
      <c r="OBS978" s="244"/>
      <c r="OBT978" s="239"/>
      <c r="OBU978" s="240"/>
      <c r="OBV978" s="241"/>
      <c r="OBW978" s="239"/>
      <c r="OBX978" s="239"/>
      <c r="OBY978" s="239"/>
      <c r="OBZ978" s="239"/>
      <c r="OCA978" s="239"/>
      <c r="OCB978" s="239"/>
      <c r="OCC978" s="233"/>
      <c r="OCD978" s="235"/>
      <c r="OCE978" s="233"/>
      <c r="OCF978" s="233"/>
      <c r="OCG978" s="234"/>
      <c r="OCH978" s="234"/>
      <c r="OCI978" s="242"/>
      <c r="OCJ978" s="234"/>
      <c r="OCK978" s="234"/>
      <c r="OCL978" s="234"/>
      <c r="OCM978" s="236"/>
      <c r="OCN978" s="244"/>
      <c r="OCO978" s="239"/>
      <c r="OCP978" s="240"/>
      <c r="OCQ978" s="241"/>
      <c r="OCR978" s="239"/>
      <c r="OCS978" s="239"/>
      <c r="OCT978" s="239"/>
      <c r="OCU978" s="239"/>
      <c r="OCV978" s="239"/>
      <c r="OCW978" s="239"/>
      <c r="OCX978" s="233"/>
      <c r="OCY978" s="235"/>
      <c r="OCZ978" s="233"/>
      <c r="ODA978" s="233"/>
      <c r="ODB978" s="234"/>
      <c r="ODC978" s="234"/>
      <c r="ODD978" s="242"/>
      <c r="ODE978" s="234"/>
      <c r="ODF978" s="234"/>
      <c r="ODG978" s="234"/>
      <c r="ODH978" s="236"/>
      <c r="ODI978" s="244"/>
      <c r="ODJ978" s="239"/>
      <c r="ODK978" s="240"/>
      <c r="ODL978" s="241"/>
      <c r="ODM978" s="239"/>
      <c r="ODN978" s="239"/>
      <c r="ODO978" s="239"/>
      <c r="ODP978" s="239"/>
      <c r="ODQ978" s="239"/>
      <c r="ODR978" s="239"/>
      <c r="ODS978" s="233"/>
      <c r="ODT978" s="235"/>
      <c r="ODU978" s="233"/>
      <c r="ODV978" s="233"/>
      <c r="ODW978" s="234"/>
      <c r="ODX978" s="234"/>
      <c r="ODY978" s="242"/>
      <c r="ODZ978" s="234"/>
      <c r="OEA978" s="234"/>
      <c r="OEB978" s="234"/>
      <c r="OEC978" s="236"/>
      <c r="OED978" s="244"/>
      <c r="OEE978" s="239"/>
      <c r="OEF978" s="240"/>
      <c r="OEG978" s="241"/>
      <c r="OEH978" s="239"/>
      <c r="OEI978" s="239"/>
      <c r="OEJ978" s="239"/>
      <c r="OEK978" s="239"/>
      <c r="OEL978" s="239"/>
      <c r="OEM978" s="239"/>
      <c r="OEN978" s="233"/>
      <c r="OEO978" s="235"/>
      <c r="OEP978" s="233"/>
      <c r="OEQ978" s="233"/>
      <c r="OER978" s="234"/>
      <c r="OES978" s="234"/>
      <c r="OET978" s="242"/>
      <c r="OEU978" s="234"/>
      <c r="OEV978" s="234"/>
      <c r="OEW978" s="234"/>
      <c r="OEX978" s="236"/>
      <c r="OEY978" s="244"/>
      <c r="OEZ978" s="239"/>
      <c r="OFA978" s="240"/>
      <c r="OFB978" s="241"/>
      <c r="OFC978" s="239"/>
      <c r="OFD978" s="239"/>
      <c r="OFE978" s="239"/>
      <c r="OFF978" s="239"/>
      <c r="OFG978" s="239"/>
      <c r="OFH978" s="239"/>
      <c r="OFI978" s="233"/>
      <c r="OFJ978" s="235"/>
      <c r="OFK978" s="233"/>
      <c r="OFL978" s="233"/>
      <c r="OFM978" s="234"/>
      <c r="OFN978" s="234"/>
      <c r="OFO978" s="242"/>
      <c r="OFP978" s="234"/>
      <c r="OFQ978" s="234"/>
      <c r="OFR978" s="234"/>
      <c r="OFS978" s="236"/>
      <c r="OFT978" s="244"/>
      <c r="OFU978" s="239"/>
      <c r="OFV978" s="240"/>
      <c r="OFW978" s="241"/>
      <c r="OFX978" s="239"/>
      <c r="OFY978" s="239"/>
      <c r="OFZ978" s="239"/>
      <c r="OGA978" s="239"/>
      <c r="OGB978" s="239"/>
      <c r="OGC978" s="239"/>
      <c r="OGD978" s="233"/>
      <c r="OGE978" s="235"/>
      <c r="OGF978" s="233"/>
      <c r="OGG978" s="233"/>
      <c r="OGH978" s="234"/>
      <c r="OGI978" s="234"/>
      <c r="OGJ978" s="242"/>
      <c r="OGK978" s="234"/>
      <c r="OGL978" s="234"/>
      <c r="OGM978" s="234"/>
      <c r="OGN978" s="236"/>
      <c r="OGO978" s="244"/>
      <c r="OGP978" s="239"/>
      <c r="OGQ978" s="240"/>
      <c r="OGR978" s="241"/>
      <c r="OGS978" s="239"/>
      <c r="OGT978" s="239"/>
      <c r="OGU978" s="239"/>
      <c r="OGV978" s="239"/>
      <c r="OGW978" s="239"/>
      <c r="OGX978" s="239"/>
      <c r="OGY978" s="233"/>
      <c r="OGZ978" s="235"/>
      <c r="OHA978" s="233"/>
      <c r="OHB978" s="233"/>
      <c r="OHC978" s="234"/>
      <c r="OHD978" s="234"/>
      <c r="OHE978" s="242"/>
      <c r="OHF978" s="234"/>
      <c r="OHG978" s="234"/>
      <c r="OHH978" s="234"/>
      <c r="OHI978" s="236"/>
      <c r="OHJ978" s="244"/>
      <c r="OHK978" s="239"/>
      <c r="OHL978" s="240"/>
      <c r="OHM978" s="241"/>
      <c r="OHN978" s="239"/>
      <c r="OHO978" s="239"/>
      <c r="OHP978" s="239"/>
      <c r="OHQ978" s="239"/>
      <c r="OHR978" s="239"/>
      <c r="OHS978" s="239"/>
      <c r="OHT978" s="233"/>
      <c r="OHU978" s="235"/>
      <c r="OHV978" s="233"/>
      <c r="OHW978" s="233"/>
      <c r="OHX978" s="234"/>
      <c r="OHY978" s="234"/>
      <c r="OHZ978" s="242"/>
      <c r="OIA978" s="234"/>
      <c r="OIB978" s="234"/>
      <c r="OIC978" s="234"/>
      <c r="OID978" s="236"/>
      <c r="OIE978" s="244"/>
      <c r="OIF978" s="239"/>
      <c r="OIG978" s="240"/>
      <c r="OIH978" s="241"/>
      <c r="OII978" s="239"/>
      <c r="OIJ978" s="239"/>
      <c r="OIK978" s="239"/>
      <c r="OIL978" s="239"/>
      <c r="OIM978" s="239"/>
      <c r="OIN978" s="239"/>
      <c r="OIO978" s="233"/>
      <c r="OIP978" s="235"/>
      <c r="OIQ978" s="233"/>
      <c r="OIR978" s="233"/>
      <c r="OIS978" s="234"/>
      <c r="OIT978" s="234"/>
      <c r="OIU978" s="242"/>
      <c r="OIV978" s="234"/>
      <c r="OIW978" s="234"/>
      <c r="OIX978" s="234"/>
      <c r="OIY978" s="236"/>
      <c r="OIZ978" s="244"/>
      <c r="OJA978" s="239"/>
      <c r="OJB978" s="240"/>
      <c r="OJC978" s="241"/>
      <c r="OJD978" s="239"/>
      <c r="OJE978" s="239"/>
      <c r="OJF978" s="239"/>
      <c r="OJG978" s="239"/>
      <c r="OJH978" s="239"/>
      <c r="OJI978" s="239"/>
      <c r="OJJ978" s="233"/>
      <c r="OJK978" s="235"/>
      <c r="OJL978" s="233"/>
      <c r="OJM978" s="233"/>
      <c r="OJN978" s="234"/>
      <c r="OJO978" s="234"/>
      <c r="OJP978" s="242"/>
      <c r="OJQ978" s="234"/>
      <c r="OJR978" s="234"/>
      <c r="OJS978" s="234"/>
      <c r="OJT978" s="236"/>
      <c r="OJU978" s="244"/>
      <c r="OJV978" s="239"/>
      <c r="OJW978" s="240"/>
      <c r="OJX978" s="241"/>
      <c r="OJY978" s="239"/>
      <c r="OJZ978" s="239"/>
      <c r="OKA978" s="239"/>
      <c r="OKB978" s="239"/>
      <c r="OKC978" s="239"/>
      <c r="OKD978" s="239"/>
      <c r="OKE978" s="233"/>
      <c r="OKF978" s="235"/>
      <c r="OKG978" s="233"/>
      <c r="OKH978" s="233"/>
      <c r="OKI978" s="234"/>
      <c r="OKJ978" s="234"/>
      <c r="OKK978" s="242"/>
      <c r="OKL978" s="234"/>
      <c r="OKM978" s="234"/>
      <c r="OKN978" s="234"/>
      <c r="OKO978" s="236"/>
      <c r="OKP978" s="244"/>
      <c r="OKQ978" s="239"/>
      <c r="OKR978" s="240"/>
      <c r="OKS978" s="241"/>
      <c r="OKT978" s="239"/>
      <c r="OKU978" s="239"/>
      <c r="OKV978" s="239"/>
      <c r="OKW978" s="239"/>
      <c r="OKX978" s="239"/>
      <c r="OKY978" s="239"/>
      <c r="OKZ978" s="233"/>
      <c r="OLA978" s="235"/>
      <c r="OLB978" s="233"/>
      <c r="OLC978" s="233"/>
      <c r="OLD978" s="234"/>
      <c r="OLE978" s="234"/>
      <c r="OLF978" s="242"/>
      <c r="OLG978" s="234"/>
      <c r="OLH978" s="234"/>
      <c r="OLI978" s="234"/>
      <c r="OLJ978" s="236"/>
      <c r="OLK978" s="244"/>
      <c r="OLL978" s="239"/>
      <c r="OLM978" s="240"/>
      <c r="OLN978" s="241"/>
      <c r="OLO978" s="239"/>
      <c r="OLP978" s="239"/>
      <c r="OLQ978" s="239"/>
      <c r="OLR978" s="239"/>
      <c r="OLS978" s="239"/>
      <c r="OLT978" s="239"/>
      <c r="OLU978" s="233"/>
      <c r="OLV978" s="235"/>
      <c r="OLW978" s="233"/>
      <c r="OLX978" s="233"/>
      <c r="OLY978" s="234"/>
      <c r="OLZ978" s="234"/>
      <c r="OMA978" s="242"/>
      <c r="OMB978" s="234"/>
      <c r="OMC978" s="234"/>
      <c r="OMD978" s="234"/>
      <c r="OME978" s="236"/>
      <c r="OMF978" s="244"/>
      <c r="OMG978" s="239"/>
      <c r="OMH978" s="240"/>
      <c r="OMI978" s="241"/>
      <c r="OMJ978" s="239"/>
      <c r="OMK978" s="239"/>
      <c r="OML978" s="239"/>
      <c r="OMM978" s="239"/>
      <c r="OMN978" s="239"/>
      <c r="OMO978" s="239"/>
      <c r="OMP978" s="233"/>
      <c r="OMQ978" s="235"/>
      <c r="OMR978" s="233"/>
      <c r="OMS978" s="233"/>
      <c r="OMT978" s="234"/>
      <c r="OMU978" s="234"/>
      <c r="OMV978" s="242"/>
      <c r="OMW978" s="234"/>
      <c r="OMX978" s="234"/>
      <c r="OMY978" s="234"/>
      <c r="OMZ978" s="236"/>
      <c r="ONA978" s="244"/>
      <c r="ONB978" s="239"/>
      <c r="ONC978" s="240"/>
      <c r="OND978" s="241"/>
      <c r="ONE978" s="239"/>
      <c r="ONF978" s="239"/>
      <c r="ONG978" s="239"/>
      <c r="ONH978" s="239"/>
      <c r="ONI978" s="239"/>
      <c r="ONJ978" s="239"/>
      <c r="ONK978" s="233"/>
      <c r="ONL978" s="235"/>
      <c r="ONM978" s="233"/>
      <c r="ONN978" s="233"/>
      <c r="ONO978" s="234"/>
      <c r="ONP978" s="234"/>
      <c r="ONQ978" s="242"/>
      <c r="ONR978" s="234"/>
      <c r="ONS978" s="234"/>
      <c r="ONT978" s="234"/>
      <c r="ONU978" s="236"/>
      <c r="ONV978" s="244"/>
      <c r="ONW978" s="239"/>
      <c r="ONX978" s="240"/>
      <c r="ONY978" s="241"/>
      <c r="ONZ978" s="239"/>
      <c r="OOA978" s="239"/>
      <c r="OOB978" s="239"/>
      <c r="OOC978" s="239"/>
      <c r="OOD978" s="239"/>
      <c r="OOE978" s="239"/>
      <c r="OOF978" s="233"/>
      <c r="OOG978" s="235"/>
      <c r="OOH978" s="233"/>
      <c r="OOI978" s="233"/>
      <c r="OOJ978" s="234"/>
      <c r="OOK978" s="234"/>
      <c r="OOL978" s="242"/>
      <c r="OOM978" s="234"/>
      <c r="OON978" s="234"/>
      <c r="OOO978" s="234"/>
      <c r="OOP978" s="236"/>
      <c r="OOQ978" s="244"/>
      <c r="OOR978" s="239"/>
      <c r="OOS978" s="240"/>
      <c r="OOT978" s="241"/>
      <c r="OOU978" s="239"/>
      <c r="OOV978" s="239"/>
      <c r="OOW978" s="239"/>
      <c r="OOX978" s="239"/>
      <c r="OOY978" s="239"/>
      <c r="OOZ978" s="239"/>
      <c r="OPA978" s="233"/>
      <c r="OPB978" s="235"/>
      <c r="OPC978" s="233"/>
      <c r="OPD978" s="233"/>
      <c r="OPE978" s="234"/>
      <c r="OPF978" s="234"/>
      <c r="OPG978" s="242"/>
      <c r="OPH978" s="234"/>
      <c r="OPI978" s="234"/>
      <c r="OPJ978" s="234"/>
      <c r="OPK978" s="236"/>
      <c r="OPL978" s="244"/>
      <c r="OPM978" s="239"/>
      <c r="OPN978" s="240"/>
      <c r="OPO978" s="241"/>
      <c r="OPP978" s="239"/>
      <c r="OPQ978" s="239"/>
      <c r="OPR978" s="239"/>
      <c r="OPS978" s="239"/>
      <c r="OPT978" s="239"/>
      <c r="OPU978" s="239"/>
      <c r="OPV978" s="233"/>
      <c r="OPW978" s="235"/>
      <c r="OPX978" s="233"/>
      <c r="OPY978" s="233"/>
      <c r="OPZ978" s="234"/>
      <c r="OQA978" s="234"/>
      <c r="OQB978" s="242"/>
      <c r="OQC978" s="234"/>
      <c r="OQD978" s="234"/>
      <c r="OQE978" s="234"/>
      <c r="OQF978" s="236"/>
      <c r="OQG978" s="244"/>
      <c r="OQH978" s="239"/>
      <c r="OQI978" s="240"/>
      <c r="OQJ978" s="241"/>
      <c r="OQK978" s="239"/>
      <c r="OQL978" s="239"/>
      <c r="OQM978" s="239"/>
      <c r="OQN978" s="239"/>
      <c r="OQO978" s="239"/>
      <c r="OQP978" s="239"/>
      <c r="OQQ978" s="233"/>
      <c r="OQR978" s="235"/>
      <c r="OQS978" s="233"/>
      <c r="OQT978" s="233"/>
      <c r="OQU978" s="234"/>
      <c r="OQV978" s="234"/>
      <c r="OQW978" s="242"/>
      <c r="OQX978" s="234"/>
      <c r="OQY978" s="234"/>
      <c r="OQZ978" s="234"/>
      <c r="ORA978" s="236"/>
      <c r="ORB978" s="244"/>
      <c r="ORC978" s="239"/>
      <c r="ORD978" s="240"/>
      <c r="ORE978" s="241"/>
      <c r="ORF978" s="239"/>
      <c r="ORG978" s="239"/>
      <c r="ORH978" s="239"/>
      <c r="ORI978" s="239"/>
      <c r="ORJ978" s="239"/>
      <c r="ORK978" s="239"/>
      <c r="ORL978" s="233"/>
      <c r="ORM978" s="235"/>
      <c r="ORN978" s="233"/>
      <c r="ORO978" s="233"/>
      <c r="ORP978" s="234"/>
      <c r="ORQ978" s="234"/>
      <c r="ORR978" s="242"/>
      <c r="ORS978" s="234"/>
      <c r="ORT978" s="234"/>
      <c r="ORU978" s="234"/>
      <c r="ORV978" s="236"/>
      <c r="ORW978" s="244"/>
      <c r="ORX978" s="239"/>
      <c r="ORY978" s="240"/>
      <c r="ORZ978" s="241"/>
      <c r="OSA978" s="239"/>
      <c r="OSB978" s="239"/>
      <c r="OSC978" s="239"/>
      <c r="OSD978" s="239"/>
      <c r="OSE978" s="239"/>
      <c r="OSF978" s="239"/>
      <c r="OSG978" s="233"/>
      <c r="OSH978" s="235"/>
      <c r="OSI978" s="233"/>
      <c r="OSJ978" s="233"/>
      <c r="OSK978" s="234"/>
      <c r="OSL978" s="234"/>
      <c r="OSM978" s="242"/>
      <c r="OSN978" s="234"/>
      <c r="OSO978" s="234"/>
      <c r="OSP978" s="234"/>
      <c r="OSQ978" s="236"/>
      <c r="OSR978" s="244"/>
      <c r="OSS978" s="239"/>
      <c r="OST978" s="240"/>
      <c r="OSU978" s="241"/>
      <c r="OSV978" s="239"/>
      <c r="OSW978" s="239"/>
      <c r="OSX978" s="239"/>
      <c r="OSY978" s="239"/>
      <c r="OSZ978" s="239"/>
      <c r="OTA978" s="239"/>
      <c r="OTB978" s="233"/>
      <c r="OTC978" s="235"/>
      <c r="OTD978" s="233"/>
      <c r="OTE978" s="233"/>
      <c r="OTF978" s="234"/>
      <c r="OTG978" s="234"/>
      <c r="OTH978" s="242"/>
      <c r="OTI978" s="234"/>
      <c r="OTJ978" s="234"/>
      <c r="OTK978" s="234"/>
      <c r="OTL978" s="236"/>
      <c r="OTM978" s="244"/>
      <c r="OTN978" s="239"/>
      <c r="OTO978" s="240"/>
      <c r="OTP978" s="241"/>
      <c r="OTQ978" s="239"/>
      <c r="OTR978" s="239"/>
      <c r="OTS978" s="239"/>
      <c r="OTT978" s="239"/>
      <c r="OTU978" s="239"/>
      <c r="OTV978" s="239"/>
      <c r="OTW978" s="233"/>
      <c r="OTX978" s="235"/>
      <c r="OTY978" s="233"/>
      <c r="OTZ978" s="233"/>
      <c r="OUA978" s="234"/>
      <c r="OUB978" s="234"/>
      <c r="OUC978" s="242"/>
      <c r="OUD978" s="234"/>
      <c r="OUE978" s="234"/>
      <c r="OUF978" s="234"/>
      <c r="OUG978" s="236"/>
      <c r="OUH978" s="244"/>
      <c r="OUI978" s="239"/>
      <c r="OUJ978" s="240"/>
      <c r="OUK978" s="241"/>
      <c r="OUL978" s="239"/>
      <c r="OUM978" s="239"/>
      <c r="OUN978" s="239"/>
      <c r="OUO978" s="239"/>
      <c r="OUP978" s="239"/>
      <c r="OUQ978" s="239"/>
      <c r="OUR978" s="233"/>
      <c r="OUS978" s="235"/>
      <c r="OUT978" s="233"/>
      <c r="OUU978" s="233"/>
      <c r="OUV978" s="234"/>
      <c r="OUW978" s="234"/>
      <c r="OUX978" s="242"/>
      <c r="OUY978" s="234"/>
      <c r="OUZ978" s="234"/>
      <c r="OVA978" s="234"/>
      <c r="OVB978" s="236"/>
      <c r="OVC978" s="244"/>
      <c r="OVD978" s="239"/>
      <c r="OVE978" s="240"/>
      <c r="OVF978" s="241"/>
      <c r="OVG978" s="239"/>
      <c r="OVH978" s="239"/>
      <c r="OVI978" s="239"/>
      <c r="OVJ978" s="239"/>
      <c r="OVK978" s="239"/>
      <c r="OVL978" s="239"/>
      <c r="OVM978" s="233"/>
      <c r="OVN978" s="235"/>
      <c r="OVO978" s="233"/>
      <c r="OVP978" s="233"/>
      <c r="OVQ978" s="234"/>
      <c r="OVR978" s="234"/>
      <c r="OVS978" s="242"/>
      <c r="OVT978" s="234"/>
      <c r="OVU978" s="234"/>
      <c r="OVV978" s="234"/>
      <c r="OVW978" s="236"/>
      <c r="OVX978" s="244"/>
      <c r="OVY978" s="239"/>
      <c r="OVZ978" s="240"/>
      <c r="OWA978" s="241"/>
      <c r="OWB978" s="239"/>
      <c r="OWC978" s="239"/>
      <c r="OWD978" s="239"/>
      <c r="OWE978" s="239"/>
      <c r="OWF978" s="239"/>
      <c r="OWG978" s="239"/>
      <c r="OWH978" s="233"/>
      <c r="OWI978" s="235"/>
      <c r="OWJ978" s="233"/>
      <c r="OWK978" s="233"/>
      <c r="OWL978" s="234"/>
      <c r="OWM978" s="234"/>
      <c r="OWN978" s="242"/>
      <c r="OWO978" s="234"/>
      <c r="OWP978" s="234"/>
      <c r="OWQ978" s="234"/>
      <c r="OWR978" s="236"/>
      <c r="OWS978" s="244"/>
      <c r="OWT978" s="239"/>
      <c r="OWU978" s="240"/>
      <c r="OWV978" s="241"/>
      <c r="OWW978" s="239"/>
      <c r="OWX978" s="239"/>
      <c r="OWY978" s="239"/>
      <c r="OWZ978" s="239"/>
      <c r="OXA978" s="239"/>
      <c r="OXB978" s="239"/>
      <c r="OXC978" s="233"/>
      <c r="OXD978" s="235"/>
      <c r="OXE978" s="233"/>
      <c r="OXF978" s="233"/>
      <c r="OXG978" s="234"/>
      <c r="OXH978" s="234"/>
      <c r="OXI978" s="242"/>
      <c r="OXJ978" s="234"/>
      <c r="OXK978" s="234"/>
      <c r="OXL978" s="234"/>
      <c r="OXM978" s="236"/>
      <c r="OXN978" s="244"/>
      <c r="OXO978" s="239"/>
      <c r="OXP978" s="240"/>
      <c r="OXQ978" s="241"/>
      <c r="OXR978" s="239"/>
      <c r="OXS978" s="239"/>
      <c r="OXT978" s="239"/>
      <c r="OXU978" s="239"/>
      <c r="OXV978" s="239"/>
      <c r="OXW978" s="239"/>
      <c r="OXX978" s="233"/>
      <c r="OXY978" s="235"/>
      <c r="OXZ978" s="233"/>
      <c r="OYA978" s="233"/>
      <c r="OYB978" s="234"/>
      <c r="OYC978" s="234"/>
      <c r="OYD978" s="242"/>
      <c r="OYE978" s="234"/>
      <c r="OYF978" s="234"/>
      <c r="OYG978" s="234"/>
      <c r="OYH978" s="236"/>
      <c r="OYI978" s="244"/>
      <c r="OYJ978" s="239"/>
      <c r="OYK978" s="240"/>
      <c r="OYL978" s="241"/>
      <c r="OYM978" s="239"/>
      <c r="OYN978" s="239"/>
      <c r="OYO978" s="239"/>
      <c r="OYP978" s="239"/>
      <c r="OYQ978" s="239"/>
      <c r="OYR978" s="239"/>
      <c r="OYS978" s="233"/>
      <c r="OYT978" s="235"/>
      <c r="OYU978" s="233"/>
      <c r="OYV978" s="233"/>
      <c r="OYW978" s="234"/>
      <c r="OYX978" s="234"/>
      <c r="OYY978" s="242"/>
      <c r="OYZ978" s="234"/>
      <c r="OZA978" s="234"/>
      <c r="OZB978" s="234"/>
      <c r="OZC978" s="236"/>
      <c r="OZD978" s="244"/>
      <c r="OZE978" s="239"/>
      <c r="OZF978" s="240"/>
      <c r="OZG978" s="241"/>
      <c r="OZH978" s="239"/>
      <c r="OZI978" s="239"/>
      <c r="OZJ978" s="239"/>
      <c r="OZK978" s="239"/>
      <c r="OZL978" s="239"/>
      <c r="OZM978" s="239"/>
      <c r="OZN978" s="233"/>
      <c r="OZO978" s="235"/>
      <c r="OZP978" s="233"/>
      <c r="OZQ978" s="233"/>
      <c r="OZR978" s="234"/>
      <c r="OZS978" s="234"/>
      <c r="OZT978" s="242"/>
      <c r="OZU978" s="234"/>
      <c r="OZV978" s="234"/>
      <c r="OZW978" s="234"/>
      <c r="OZX978" s="236"/>
      <c r="OZY978" s="244"/>
      <c r="OZZ978" s="239"/>
      <c r="PAA978" s="240"/>
      <c r="PAB978" s="241"/>
      <c r="PAC978" s="239"/>
      <c r="PAD978" s="239"/>
      <c r="PAE978" s="239"/>
      <c r="PAF978" s="239"/>
      <c r="PAG978" s="239"/>
      <c r="PAH978" s="239"/>
      <c r="PAI978" s="233"/>
      <c r="PAJ978" s="235"/>
      <c r="PAK978" s="233"/>
      <c r="PAL978" s="233"/>
      <c r="PAM978" s="234"/>
      <c r="PAN978" s="234"/>
      <c r="PAO978" s="242"/>
      <c r="PAP978" s="234"/>
      <c r="PAQ978" s="234"/>
      <c r="PAR978" s="234"/>
      <c r="PAS978" s="236"/>
      <c r="PAT978" s="244"/>
      <c r="PAU978" s="239"/>
      <c r="PAV978" s="240"/>
      <c r="PAW978" s="241"/>
      <c r="PAX978" s="239"/>
      <c r="PAY978" s="239"/>
      <c r="PAZ978" s="239"/>
      <c r="PBA978" s="239"/>
      <c r="PBB978" s="239"/>
      <c r="PBC978" s="239"/>
      <c r="PBD978" s="233"/>
      <c r="PBE978" s="235"/>
      <c r="PBF978" s="233"/>
      <c r="PBG978" s="233"/>
      <c r="PBH978" s="234"/>
      <c r="PBI978" s="234"/>
      <c r="PBJ978" s="242"/>
      <c r="PBK978" s="234"/>
      <c r="PBL978" s="234"/>
      <c r="PBM978" s="234"/>
      <c r="PBN978" s="236"/>
      <c r="PBO978" s="244"/>
      <c r="PBP978" s="239"/>
      <c r="PBQ978" s="240"/>
      <c r="PBR978" s="241"/>
      <c r="PBS978" s="239"/>
      <c r="PBT978" s="239"/>
      <c r="PBU978" s="239"/>
      <c r="PBV978" s="239"/>
      <c r="PBW978" s="239"/>
      <c r="PBX978" s="239"/>
      <c r="PBY978" s="233"/>
      <c r="PBZ978" s="235"/>
      <c r="PCA978" s="233"/>
      <c r="PCB978" s="233"/>
      <c r="PCC978" s="234"/>
      <c r="PCD978" s="234"/>
      <c r="PCE978" s="242"/>
      <c r="PCF978" s="234"/>
      <c r="PCG978" s="234"/>
      <c r="PCH978" s="234"/>
      <c r="PCI978" s="236"/>
      <c r="PCJ978" s="244"/>
      <c r="PCK978" s="239"/>
      <c r="PCL978" s="240"/>
      <c r="PCM978" s="241"/>
      <c r="PCN978" s="239"/>
      <c r="PCO978" s="239"/>
      <c r="PCP978" s="239"/>
      <c r="PCQ978" s="239"/>
      <c r="PCR978" s="239"/>
      <c r="PCS978" s="239"/>
      <c r="PCT978" s="233"/>
      <c r="PCU978" s="235"/>
      <c r="PCV978" s="233"/>
      <c r="PCW978" s="233"/>
      <c r="PCX978" s="234"/>
      <c r="PCY978" s="234"/>
      <c r="PCZ978" s="242"/>
      <c r="PDA978" s="234"/>
      <c r="PDB978" s="234"/>
      <c r="PDC978" s="234"/>
      <c r="PDD978" s="236"/>
      <c r="PDE978" s="244"/>
      <c r="PDF978" s="239"/>
      <c r="PDG978" s="240"/>
      <c r="PDH978" s="241"/>
      <c r="PDI978" s="239"/>
      <c r="PDJ978" s="239"/>
      <c r="PDK978" s="239"/>
      <c r="PDL978" s="239"/>
      <c r="PDM978" s="239"/>
      <c r="PDN978" s="239"/>
      <c r="PDO978" s="233"/>
      <c r="PDP978" s="235"/>
      <c r="PDQ978" s="233"/>
      <c r="PDR978" s="233"/>
      <c r="PDS978" s="234"/>
      <c r="PDT978" s="234"/>
      <c r="PDU978" s="242"/>
      <c r="PDV978" s="234"/>
      <c r="PDW978" s="234"/>
      <c r="PDX978" s="234"/>
      <c r="PDY978" s="236"/>
      <c r="PDZ978" s="244"/>
      <c r="PEA978" s="239"/>
      <c r="PEB978" s="240"/>
      <c r="PEC978" s="241"/>
      <c r="PED978" s="239"/>
      <c r="PEE978" s="239"/>
      <c r="PEF978" s="239"/>
      <c r="PEG978" s="239"/>
      <c r="PEH978" s="239"/>
      <c r="PEI978" s="239"/>
      <c r="PEJ978" s="233"/>
      <c r="PEK978" s="235"/>
      <c r="PEL978" s="233"/>
      <c r="PEM978" s="233"/>
      <c r="PEN978" s="234"/>
      <c r="PEO978" s="234"/>
      <c r="PEP978" s="242"/>
      <c r="PEQ978" s="234"/>
      <c r="PER978" s="234"/>
      <c r="PES978" s="234"/>
      <c r="PET978" s="236"/>
      <c r="PEU978" s="244"/>
      <c r="PEV978" s="239"/>
      <c r="PEW978" s="240"/>
      <c r="PEX978" s="241"/>
      <c r="PEY978" s="239"/>
      <c r="PEZ978" s="239"/>
      <c r="PFA978" s="239"/>
      <c r="PFB978" s="239"/>
      <c r="PFC978" s="239"/>
      <c r="PFD978" s="239"/>
      <c r="PFE978" s="233"/>
      <c r="PFF978" s="235"/>
      <c r="PFG978" s="233"/>
      <c r="PFH978" s="233"/>
      <c r="PFI978" s="234"/>
      <c r="PFJ978" s="234"/>
      <c r="PFK978" s="242"/>
      <c r="PFL978" s="234"/>
      <c r="PFM978" s="234"/>
      <c r="PFN978" s="234"/>
      <c r="PFO978" s="236"/>
      <c r="PFP978" s="244"/>
      <c r="PFQ978" s="239"/>
      <c r="PFR978" s="240"/>
      <c r="PFS978" s="241"/>
      <c r="PFT978" s="239"/>
      <c r="PFU978" s="239"/>
      <c r="PFV978" s="239"/>
      <c r="PFW978" s="239"/>
      <c r="PFX978" s="239"/>
      <c r="PFY978" s="239"/>
      <c r="PFZ978" s="233"/>
      <c r="PGA978" s="235"/>
      <c r="PGB978" s="233"/>
      <c r="PGC978" s="233"/>
      <c r="PGD978" s="234"/>
      <c r="PGE978" s="234"/>
      <c r="PGF978" s="242"/>
      <c r="PGG978" s="234"/>
      <c r="PGH978" s="234"/>
      <c r="PGI978" s="234"/>
      <c r="PGJ978" s="236"/>
      <c r="PGK978" s="244"/>
      <c r="PGL978" s="239"/>
      <c r="PGM978" s="240"/>
      <c r="PGN978" s="241"/>
      <c r="PGO978" s="239"/>
      <c r="PGP978" s="239"/>
      <c r="PGQ978" s="239"/>
      <c r="PGR978" s="239"/>
      <c r="PGS978" s="239"/>
      <c r="PGT978" s="239"/>
      <c r="PGU978" s="233"/>
      <c r="PGV978" s="235"/>
      <c r="PGW978" s="233"/>
      <c r="PGX978" s="233"/>
      <c r="PGY978" s="234"/>
      <c r="PGZ978" s="234"/>
      <c r="PHA978" s="242"/>
      <c r="PHB978" s="234"/>
      <c r="PHC978" s="234"/>
      <c r="PHD978" s="234"/>
      <c r="PHE978" s="236"/>
      <c r="PHF978" s="244"/>
      <c r="PHG978" s="239"/>
      <c r="PHH978" s="240"/>
      <c r="PHI978" s="241"/>
      <c r="PHJ978" s="239"/>
      <c r="PHK978" s="239"/>
      <c r="PHL978" s="239"/>
      <c r="PHM978" s="239"/>
      <c r="PHN978" s="239"/>
      <c r="PHO978" s="239"/>
      <c r="PHP978" s="233"/>
      <c r="PHQ978" s="235"/>
      <c r="PHR978" s="233"/>
      <c r="PHS978" s="233"/>
      <c r="PHT978" s="234"/>
      <c r="PHU978" s="234"/>
      <c r="PHV978" s="242"/>
      <c r="PHW978" s="234"/>
      <c r="PHX978" s="234"/>
      <c r="PHY978" s="234"/>
      <c r="PHZ978" s="236"/>
      <c r="PIA978" s="244"/>
      <c r="PIB978" s="239"/>
      <c r="PIC978" s="240"/>
      <c r="PID978" s="241"/>
      <c r="PIE978" s="239"/>
      <c r="PIF978" s="239"/>
      <c r="PIG978" s="239"/>
      <c r="PIH978" s="239"/>
      <c r="PII978" s="239"/>
      <c r="PIJ978" s="239"/>
      <c r="PIK978" s="233"/>
      <c r="PIL978" s="235"/>
      <c r="PIM978" s="233"/>
      <c r="PIN978" s="233"/>
      <c r="PIO978" s="234"/>
      <c r="PIP978" s="234"/>
      <c r="PIQ978" s="242"/>
      <c r="PIR978" s="234"/>
      <c r="PIS978" s="234"/>
      <c r="PIT978" s="234"/>
      <c r="PIU978" s="236"/>
      <c r="PIV978" s="244"/>
      <c r="PIW978" s="239"/>
      <c r="PIX978" s="240"/>
      <c r="PIY978" s="241"/>
      <c r="PIZ978" s="239"/>
      <c r="PJA978" s="239"/>
      <c r="PJB978" s="239"/>
      <c r="PJC978" s="239"/>
      <c r="PJD978" s="239"/>
      <c r="PJE978" s="239"/>
      <c r="PJF978" s="233"/>
      <c r="PJG978" s="235"/>
      <c r="PJH978" s="233"/>
      <c r="PJI978" s="233"/>
      <c r="PJJ978" s="234"/>
      <c r="PJK978" s="234"/>
      <c r="PJL978" s="242"/>
      <c r="PJM978" s="234"/>
      <c r="PJN978" s="234"/>
      <c r="PJO978" s="234"/>
      <c r="PJP978" s="236"/>
      <c r="PJQ978" s="244"/>
      <c r="PJR978" s="239"/>
      <c r="PJS978" s="240"/>
      <c r="PJT978" s="241"/>
      <c r="PJU978" s="239"/>
      <c r="PJV978" s="239"/>
      <c r="PJW978" s="239"/>
      <c r="PJX978" s="239"/>
      <c r="PJY978" s="239"/>
      <c r="PJZ978" s="239"/>
      <c r="PKA978" s="233"/>
      <c r="PKB978" s="235"/>
      <c r="PKC978" s="233"/>
      <c r="PKD978" s="233"/>
      <c r="PKE978" s="234"/>
      <c r="PKF978" s="234"/>
      <c r="PKG978" s="242"/>
      <c r="PKH978" s="234"/>
      <c r="PKI978" s="234"/>
      <c r="PKJ978" s="234"/>
      <c r="PKK978" s="236"/>
      <c r="PKL978" s="244"/>
      <c r="PKM978" s="239"/>
      <c r="PKN978" s="240"/>
      <c r="PKO978" s="241"/>
      <c r="PKP978" s="239"/>
      <c r="PKQ978" s="239"/>
      <c r="PKR978" s="239"/>
      <c r="PKS978" s="239"/>
      <c r="PKT978" s="239"/>
      <c r="PKU978" s="239"/>
      <c r="PKV978" s="233"/>
      <c r="PKW978" s="235"/>
      <c r="PKX978" s="233"/>
      <c r="PKY978" s="233"/>
      <c r="PKZ978" s="234"/>
      <c r="PLA978" s="234"/>
      <c r="PLB978" s="242"/>
      <c r="PLC978" s="234"/>
      <c r="PLD978" s="234"/>
      <c r="PLE978" s="234"/>
      <c r="PLF978" s="236"/>
      <c r="PLG978" s="244"/>
      <c r="PLH978" s="239"/>
      <c r="PLI978" s="240"/>
      <c r="PLJ978" s="241"/>
      <c r="PLK978" s="239"/>
      <c r="PLL978" s="239"/>
      <c r="PLM978" s="239"/>
      <c r="PLN978" s="239"/>
      <c r="PLO978" s="239"/>
      <c r="PLP978" s="239"/>
      <c r="PLQ978" s="233"/>
      <c r="PLR978" s="235"/>
      <c r="PLS978" s="233"/>
      <c r="PLT978" s="233"/>
      <c r="PLU978" s="234"/>
      <c r="PLV978" s="234"/>
      <c r="PLW978" s="242"/>
      <c r="PLX978" s="234"/>
      <c r="PLY978" s="234"/>
      <c r="PLZ978" s="234"/>
      <c r="PMA978" s="236"/>
      <c r="PMB978" s="244"/>
      <c r="PMC978" s="239"/>
      <c r="PMD978" s="240"/>
      <c r="PME978" s="241"/>
      <c r="PMF978" s="239"/>
      <c r="PMG978" s="239"/>
      <c r="PMH978" s="239"/>
      <c r="PMI978" s="239"/>
      <c r="PMJ978" s="239"/>
      <c r="PMK978" s="239"/>
      <c r="PML978" s="233"/>
      <c r="PMM978" s="235"/>
      <c r="PMN978" s="233"/>
      <c r="PMO978" s="233"/>
      <c r="PMP978" s="234"/>
      <c r="PMQ978" s="234"/>
      <c r="PMR978" s="242"/>
      <c r="PMS978" s="234"/>
      <c r="PMT978" s="234"/>
      <c r="PMU978" s="234"/>
      <c r="PMV978" s="236"/>
      <c r="PMW978" s="244"/>
      <c r="PMX978" s="239"/>
      <c r="PMY978" s="240"/>
      <c r="PMZ978" s="241"/>
      <c r="PNA978" s="239"/>
      <c r="PNB978" s="239"/>
      <c r="PNC978" s="239"/>
      <c r="PND978" s="239"/>
      <c r="PNE978" s="239"/>
      <c r="PNF978" s="239"/>
      <c r="PNG978" s="233"/>
      <c r="PNH978" s="235"/>
      <c r="PNI978" s="233"/>
      <c r="PNJ978" s="233"/>
      <c r="PNK978" s="234"/>
      <c r="PNL978" s="234"/>
      <c r="PNM978" s="242"/>
      <c r="PNN978" s="234"/>
      <c r="PNO978" s="234"/>
      <c r="PNP978" s="234"/>
      <c r="PNQ978" s="236"/>
      <c r="PNR978" s="244"/>
      <c r="PNS978" s="239"/>
      <c r="PNT978" s="240"/>
      <c r="PNU978" s="241"/>
      <c r="PNV978" s="239"/>
      <c r="PNW978" s="239"/>
      <c r="PNX978" s="239"/>
      <c r="PNY978" s="239"/>
      <c r="PNZ978" s="239"/>
      <c r="POA978" s="239"/>
      <c r="POB978" s="233"/>
      <c r="POC978" s="235"/>
      <c r="POD978" s="233"/>
      <c r="POE978" s="233"/>
      <c r="POF978" s="234"/>
      <c r="POG978" s="234"/>
      <c r="POH978" s="242"/>
      <c r="POI978" s="234"/>
      <c r="POJ978" s="234"/>
      <c r="POK978" s="234"/>
      <c r="POL978" s="236"/>
      <c r="POM978" s="244"/>
      <c r="PON978" s="239"/>
      <c r="POO978" s="240"/>
      <c r="POP978" s="241"/>
      <c r="POQ978" s="239"/>
      <c r="POR978" s="239"/>
      <c r="POS978" s="239"/>
      <c r="POT978" s="239"/>
      <c r="POU978" s="239"/>
      <c r="POV978" s="239"/>
      <c r="POW978" s="233"/>
      <c r="POX978" s="235"/>
      <c r="POY978" s="233"/>
      <c r="POZ978" s="233"/>
      <c r="PPA978" s="234"/>
      <c r="PPB978" s="234"/>
      <c r="PPC978" s="242"/>
      <c r="PPD978" s="234"/>
      <c r="PPE978" s="234"/>
      <c r="PPF978" s="234"/>
      <c r="PPG978" s="236"/>
      <c r="PPH978" s="244"/>
      <c r="PPI978" s="239"/>
      <c r="PPJ978" s="240"/>
      <c r="PPK978" s="241"/>
      <c r="PPL978" s="239"/>
      <c r="PPM978" s="239"/>
      <c r="PPN978" s="239"/>
      <c r="PPO978" s="239"/>
      <c r="PPP978" s="239"/>
      <c r="PPQ978" s="239"/>
      <c r="PPR978" s="233"/>
      <c r="PPS978" s="235"/>
      <c r="PPT978" s="233"/>
      <c r="PPU978" s="233"/>
      <c r="PPV978" s="234"/>
      <c r="PPW978" s="234"/>
      <c r="PPX978" s="242"/>
      <c r="PPY978" s="234"/>
      <c r="PPZ978" s="234"/>
      <c r="PQA978" s="234"/>
      <c r="PQB978" s="236"/>
      <c r="PQC978" s="244"/>
      <c r="PQD978" s="239"/>
      <c r="PQE978" s="240"/>
      <c r="PQF978" s="241"/>
      <c r="PQG978" s="239"/>
      <c r="PQH978" s="239"/>
      <c r="PQI978" s="239"/>
      <c r="PQJ978" s="239"/>
      <c r="PQK978" s="239"/>
      <c r="PQL978" s="239"/>
      <c r="PQM978" s="233"/>
      <c r="PQN978" s="235"/>
      <c r="PQO978" s="233"/>
      <c r="PQP978" s="233"/>
      <c r="PQQ978" s="234"/>
      <c r="PQR978" s="234"/>
      <c r="PQS978" s="242"/>
      <c r="PQT978" s="234"/>
      <c r="PQU978" s="234"/>
      <c r="PQV978" s="234"/>
      <c r="PQW978" s="236"/>
      <c r="PQX978" s="244"/>
      <c r="PQY978" s="239"/>
      <c r="PQZ978" s="240"/>
      <c r="PRA978" s="241"/>
      <c r="PRB978" s="239"/>
      <c r="PRC978" s="239"/>
      <c r="PRD978" s="239"/>
      <c r="PRE978" s="239"/>
      <c r="PRF978" s="239"/>
      <c r="PRG978" s="239"/>
      <c r="PRH978" s="233"/>
      <c r="PRI978" s="235"/>
      <c r="PRJ978" s="233"/>
      <c r="PRK978" s="233"/>
      <c r="PRL978" s="234"/>
      <c r="PRM978" s="234"/>
      <c r="PRN978" s="242"/>
      <c r="PRO978" s="234"/>
      <c r="PRP978" s="234"/>
      <c r="PRQ978" s="234"/>
      <c r="PRR978" s="236"/>
      <c r="PRS978" s="244"/>
      <c r="PRT978" s="239"/>
      <c r="PRU978" s="240"/>
      <c r="PRV978" s="241"/>
      <c r="PRW978" s="239"/>
      <c r="PRX978" s="239"/>
      <c r="PRY978" s="239"/>
      <c r="PRZ978" s="239"/>
      <c r="PSA978" s="239"/>
      <c r="PSB978" s="239"/>
      <c r="PSC978" s="233"/>
      <c r="PSD978" s="235"/>
      <c r="PSE978" s="233"/>
      <c r="PSF978" s="233"/>
      <c r="PSG978" s="234"/>
      <c r="PSH978" s="234"/>
      <c r="PSI978" s="242"/>
      <c r="PSJ978" s="234"/>
      <c r="PSK978" s="234"/>
      <c r="PSL978" s="234"/>
      <c r="PSM978" s="236"/>
      <c r="PSN978" s="244"/>
      <c r="PSO978" s="239"/>
      <c r="PSP978" s="240"/>
      <c r="PSQ978" s="241"/>
      <c r="PSR978" s="239"/>
      <c r="PSS978" s="239"/>
      <c r="PST978" s="239"/>
      <c r="PSU978" s="239"/>
      <c r="PSV978" s="239"/>
      <c r="PSW978" s="239"/>
      <c r="PSX978" s="233"/>
      <c r="PSY978" s="235"/>
      <c r="PSZ978" s="233"/>
      <c r="PTA978" s="233"/>
      <c r="PTB978" s="234"/>
      <c r="PTC978" s="234"/>
      <c r="PTD978" s="242"/>
      <c r="PTE978" s="234"/>
      <c r="PTF978" s="234"/>
      <c r="PTG978" s="234"/>
      <c r="PTH978" s="236"/>
      <c r="PTI978" s="244"/>
      <c r="PTJ978" s="239"/>
      <c r="PTK978" s="240"/>
      <c r="PTL978" s="241"/>
      <c r="PTM978" s="239"/>
      <c r="PTN978" s="239"/>
      <c r="PTO978" s="239"/>
      <c r="PTP978" s="239"/>
      <c r="PTQ978" s="239"/>
      <c r="PTR978" s="239"/>
      <c r="PTS978" s="233"/>
      <c r="PTT978" s="235"/>
      <c r="PTU978" s="233"/>
      <c r="PTV978" s="233"/>
      <c r="PTW978" s="234"/>
      <c r="PTX978" s="234"/>
      <c r="PTY978" s="242"/>
      <c r="PTZ978" s="234"/>
      <c r="PUA978" s="234"/>
      <c r="PUB978" s="234"/>
      <c r="PUC978" s="236"/>
      <c r="PUD978" s="244"/>
      <c r="PUE978" s="239"/>
      <c r="PUF978" s="240"/>
      <c r="PUG978" s="241"/>
      <c r="PUH978" s="239"/>
      <c r="PUI978" s="239"/>
      <c r="PUJ978" s="239"/>
      <c r="PUK978" s="239"/>
      <c r="PUL978" s="239"/>
      <c r="PUM978" s="239"/>
      <c r="PUN978" s="233"/>
      <c r="PUO978" s="235"/>
      <c r="PUP978" s="233"/>
      <c r="PUQ978" s="233"/>
      <c r="PUR978" s="234"/>
      <c r="PUS978" s="234"/>
      <c r="PUT978" s="242"/>
      <c r="PUU978" s="234"/>
      <c r="PUV978" s="234"/>
      <c r="PUW978" s="234"/>
      <c r="PUX978" s="236"/>
      <c r="PUY978" s="244"/>
      <c r="PUZ978" s="239"/>
      <c r="PVA978" s="240"/>
      <c r="PVB978" s="241"/>
      <c r="PVC978" s="239"/>
      <c r="PVD978" s="239"/>
      <c r="PVE978" s="239"/>
      <c r="PVF978" s="239"/>
      <c r="PVG978" s="239"/>
      <c r="PVH978" s="239"/>
      <c r="PVI978" s="233"/>
      <c r="PVJ978" s="235"/>
      <c r="PVK978" s="233"/>
      <c r="PVL978" s="233"/>
      <c r="PVM978" s="234"/>
      <c r="PVN978" s="234"/>
      <c r="PVO978" s="242"/>
      <c r="PVP978" s="234"/>
      <c r="PVQ978" s="234"/>
      <c r="PVR978" s="234"/>
      <c r="PVS978" s="236"/>
      <c r="PVT978" s="244"/>
      <c r="PVU978" s="239"/>
      <c r="PVV978" s="240"/>
      <c r="PVW978" s="241"/>
      <c r="PVX978" s="239"/>
      <c r="PVY978" s="239"/>
      <c r="PVZ978" s="239"/>
      <c r="PWA978" s="239"/>
      <c r="PWB978" s="239"/>
      <c r="PWC978" s="239"/>
      <c r="PWD978" s="233"/>
      <c r="PWE978" s="235"/>
      <c r="PWF978" s="233"/>
      <c r="PWG978" s="233"/>
      <c r="PWH978" s="234"/>
      <c r="PWI978" s="234"/>
      <c r="PWJ978" s="242"/>
      <c r="PWK978" s="234"/>
      <c r="PWL978" s="234"/>
      <c r="PWM978" s="234"/>
      <c r="PWN978" s="236"/>
      <c r="PWO978" s="244"/>
      <c r="PWP978" s="239"/>
      <c r="PWQ978" s="240"/>
      <c r="PWR978" s="241"/>
      <c r="PWS978" s="239"/>
      <c r="PWT978" s="239"/>
      <c r="PWU978" s="239"/>
      <c r="PWV978" s="239"/>
      <c r="PWW978" s="239"/>
      <c r="PWX978" s="239"/>
      <c r="PWY978" s="233"/>
      <c r="PWZ978" s="235"/>
      <c r="PXA978" s="233"/>
      <c r="PXB978" s="233"/>
      <c r="PXC978" s="234"/>
      <c r="PXD978" s="234"/>
      <c r="PXE978" s="242"/>
      <c r="PXF978" s="234"/>
      <c r="PXG978" s="234"/>
      <c r="PXH978" s="234"/>
      <c r="PXI978" s="236"/>
      <c r="PXJ978" s="244"/>
      <c r="PXK978" s="239"/>
      <c r="PXL978" s="240"/>
      <c r="PXM978" s="241"/>
      <c r="PXN978" s="239"/>
      <c r="PXO978" s="239"/>
      <c r="PXP978" s="239"/>
      <c r="PXQ978" s="239"/>
      <c r="PXR978" s="239"/>
      <c r="PXS978" s="239"/>
      <c r="PXT978" s="233"/>
      <c r="PXU978" s="235"/>
      <c r="PXV978" s="233"/>
      <c r="PXW978" s="233"/>
      <c r="PXX978" s="234"/>
      <c r="PXY978" s="234"/>
      <c r="PXZ978" s="242"/>
      <c r="PYA978" s="234"/>
      <c r="PYB978" s="234"/>
      <c r="PYC978" s="234"/>
      <c r="PYD978" s="236"/>
      <c r="PYE978" s="244"/>
      <c r="PYF978" s="239"/>
      <c r="PYG978" s="240"/>
      <c r="PYH978" s="241"/>
      <c r="PYI978" s="239"/>
      <c r="PYJ978" s="239"/>
      <c r="PYK978" s="239"/>
      <c r="PYL978" s="239"/>
      <c r="PYM978" s="239"/>
      <c r="PYN978" s="239"/>
      <c r="PYO978" s="233"/>
      <c r="PYP978" s="235"/>
      <c r="PYQ978" s="233"/>
      <c r="PYR978" s="233"/>
      <c r="PYS978" s="234"/>
      <c r="PYT978" s="234"/>
      <c r="PYU978" s="242"/>
      <c r="PYV978" s="234"/>
      <c r="PYW978" s="234"/>
      <c r="PYX978" s="234"/>
      <c r="PYY978" s="236"/>
      <c r="PYZ978" s="244"/>
      <c r="PZA978" s="239"/>
      <c r="PZB978" s="240"/>
      <c r="PZC978" s="241"/>
      <c r="PZD978" s="239"/>
      <c r="PZE978" s="239"/>
      <c r="PZF978" s="239"/>
      <c r="PZG978" s="239"/>
      <c r="PZH978" s="239"/>
      <c r="PZI978" s="239"/>
      <c r="PZJ978" s="233"/>
      <c r="PZK978" s="235"/>
      <c r="PZL978" s="233"/>
      <c r="PZM978" s="233"/>
      <c r="PZN978" s="234"/>
      <c r="PZO978" s="234"/>
      <c r="PZP978" s="242"/>
      <c r="PZQ978" s="234"/>
      <c r="PZR978" s="234"/>
      <c r="PZS978" s="234"/>
      <c r="PZT978" s="236"/>
      <c r="PZU978" s="244"/>
      <c r="PZV978" s="239"/>
      <c r="PZW978" s="240"/>
      <c r="PZX978" s="241"/>
      <c r="PZY978" s="239"/>
      <c r="PZZ978" s="239"/>
      <c r="QAA978" s="239"/>
      <c r="QAB978" s="239"/>
      <c r="QAC978" s="239"/>
      <c r="QAD978" s="239"/>
      <c r="QAE978" s="233"/>
      <c r="QAF978" s="235"/>
      <c r="QAG978" s="233"/>
      <c r="QAH978" s="233"/>
      <c r="QAI978" s="234"/>
      <c r="QAJ978" s="234"/>
      <c r="QAK978" s="242"/>
      <c r="QAL978" s="234"/>
      <c r="QAM978" s="234"/>
      <c r="QAN978" s="234"/>
      <c r="QAO978" s="236"/>
      <c r="QAP978" s="244"/>
      <c r="QAQ978" s="239"/>
      <c r="QAR978" s="240"/>
      <c r="QAS978" s="241"/>
      <c r="QAT978" s="239"/>
      <c r="QAU978" s="239"/>
      <c r="QAV978" s="239"/>
      <c r="QAW978" s="239"/>
      <c r="QAX978" s="239"/>
      <c r="QAY978" s="239"/>
      <c r="QAZ978" s="233"/>
      <c r="QBA978" s="235"/>
      <c r="QBB978" s="233"/>
      <c r="QBC978" s="233"/>
      <c r="QBD978" s="234"/>
      <c r="QBE978" s="234"/>
      <c r="QBF978" s="242"/>
      <c r="QBG978" s="234"/>
      <c r="QBH978" s="234"/>
      <c r="QBI978" s="234"/>
      <c r="QBJ978" s="236"/>
      <c r="QBK978" s="244"/>
      <c r="QBL978" s="239"/>
      <c r="QBM978" s="240"/>
      <c r="QBN978" s="241"/>
      <c r="QBO978" s="239"/>
      <c r="QBP978" s="239"/>
      <c r="QBQ978" s="239"/>
      <c r="QBR978" s="239"/>
      <c r="QBS978" s="239"/>
      <c r="QBT978" s="239"/>
      <c r="QBU978" s="233"/>
      <c r="QBV978" s="235"/>
      <c r="QBW978" s="233"/>
      <c r="QBX978" s="233"/>
      <c r="QBY978" s="234"/>
      <c r="QBZ978" s="234"/>
      <c r="QCA978" s="242"/>
      <c r="QCB978" s="234"/>
      <c r="QCC978" s="234"/>
      <c r="QCD978" s="234"/>
      <c r="QCE978" s="236"/>
      <c r="QCF978" s="244"/>
      <c r="QCG978" s="239"/>
      <c r="QCH978" s="240"/>
      <c r="QCI978" s="241"/>
      <c r="QCJ978" s="239"/>
      <c r="QCK978" s="239"/>
      <c r="QCL978" s="239"/>
      <c r="QCM978" s="239"/>
      <c r="QCN978" s="239"/>
      <c r="QCO978" s="239"/>
      <c r="QCP978" s="233"/>
      <c r="QCQ978" s="235"/>
      <c r="QCR978" s="233"/>
      <c r="QCS978" s="233"/>
      <c r="QCT978" s="234"/>
      <c r="QCU978" s="234"/>
      <c r="QCV978" s="242"/>
      <c r="QCW978" s="234"/>
      <c r="QCX978" s="234"/>
      <c r="QCY978" s="234"/>
      <c r="QCZ978" s="236"/>
      <c r="QDA978" s="244"/>
      <c r="QDB978" s="239"/>
      <c r="QDC978" s="240"/>
      <c r="QDD978" s="241"/>
      <c r="QDE978" s="239"/>
      <c r="QDF978" s="239"/>
      <c r="QDG978" s="239"/>
      <c r="QDH978" s="239"/>
      <c r="QDI978" s="239"/>
      <c r="QDJ978" s="239"/>
      <c r="QDK978" s="233"/>
      <c r="QDL978" s="235"/>
      <c r="QDM978" s="233"/>
      <c r="QDN978" s="233"/>
      <c r="QDO978" s="234"/>
      <c r="QDP978" s="234"/>
      <c r="QDQ978" s="242"/>
      <c r="QDR978" s="234"/>
      <c r="QDS978" s="234"/>
      <c r="QDT978" s="234"/>
      <c r="QDU978" s="236"/>
      <c r="QDV978" s="244"/>
      <c r="QDW978" s="239"/>
      <c r="QDX978" s="240"/>
      <c r="QDY978" s="241"/>
      <c r="QDZ978" s="239"/>
      <c r="QEA978" s="239"/>
      <c r="QEB978" s="239"/>
      <c r="QEC978" s="239"/>
      <c r="QED978" s="239"/>
      <c r="QEE978" s="239"/>
      <c r="QEF978" s="233"/>
      <c r="QEG978" s="235"/>
      <c r="QEH978" s="233"/>
      <c r="QEI978" s="233"/>
      <c r="QEJ978" s="234"/>
      <c r="QEK978" s="234"/>
      <c r="QEL978" s="242"/>
      <c r="QEM978" s="234"/>
      <c r="QEN978" s="234"/>
      <c r="QEO978" s="234"/>
      <c r="QEP978" s="236"/>
      <c r="QEQ978" s="244"/>
      <c r="QER978" s="239"/>
      <c r="QES978" s="240"/>
      <c r="QET978" s="241"/>
      <c r="QEU978" s="239"/>
      <c r="QEV978" s="239"/>
      <c r="QEW978" s="239"/>
      <c r="QEX978" s="239"/>
      <c r="QEY978" s="239"/>
      <c r="QEZ978" s="239"/>
      <c r="QFA978" s="233"/>
      <c r="QFB978" s="235"/>
      <c r="QFC978" s="233"/>
      <c r="QFD978" s="233"/>
      <c r="QFE978" s="234"/>
      <c r="QFF978" s="234"/>
      <c r="QFG978" s="242"/>
      <c r="QFH978" s="234"/>
      <c r="QFI978" s="234"/>
      <c r="QFJ978" s="234"/>
      <c r="QFK978" s="236"/>
      <c r="QFL978" s="244"/>
      <c r="QFM978" s="239"/>
      <c r="QFN978" s="240"/>
      <c r="QFO978" s="241"/>
      <c r="QFP978" s="239"/>
      <c r="QFQ978" s="239"/>
      <c r="QFR978" s="239"/>
      <c r="QFS978" s="239"/>
      <c r="QFT978" s="239"/>
      <c r="QFU978" s="239"/>
      <c r="QFV978" s="233"/>
      <c r="QFW978" s="235"/>
      <c r="QFX978" s="233"/>
      <c r="QFY978" s="233"/>
      <c r="QFZ978" s="234"/>
      <c r="QGA978" s="234"/>
      <c r="QGB978" s="242"/>
      <c r="QGC978" s="234"/>
      <c r="QGD978" s="234"/>
      <c r="QGE978" s="234"/>
      <c r="QGF978" s="236"/>
      <c r="QGG978" s="244"/>
      <c r="QGH978" s="239"/>
      <c r="QGI978" s="240"/>
      <c r="QGJ978" s="241"/>
      <c r="QGK978" s="239"/>
      <c r="QGL978" s="239"/>
      <c r="QGM978" s="239"/>
      <c r="QGN978" s="239"/>
      <c r="QGO978" s="239"/>
      <c r="QGP978" s="239"/>
      <c r="QGQ978" s="233"/>
      <c r="QGR978" s="235"/>
      <c r="QGS978" s="233"/>
      <c r="QGT978" s="233"/>
      <c r="QGU978" s="234"/>
      <c r="QGV978" s="234"/>
      <c r="QGW978" s="242"/>
      <c r="QGX978" s="234"/>
      <c r="QGY978" s="234"/>
      <c r="QGZ978" s="234"/>
      <c r="QHA978" s="236"/>
      <c r="QHB978" s="244"/>
      <c r="QHC978" s="239"/>
      <c r="QHD978" s="240"/>
      <c r="QHE978" s="241"/>
      <c r="QHF978" s="239"/>
      <c r="QHG978" s="239"/>
      <c r="QHH978" s="239"/>
      <c r="QHI978" s="239"/>
      <c r="QHJ978" s="239"/>
      <c r="QHK978" s="239"/>
      <c r="QHL978" s="233"/>
      <c r="QHM978" s="235"/>
      <c r="QHN978" s="233"/>
      <c r="QHO978" s="233"/>
      <c r="QHP978" s="234"/>
      <c r="QHQ978" s="234"/>
      <c r="QHR978" s="242"/>
      <c r="QHS978" s="234"/>
      <c r="QHT978" s="234"/>
      <c r="QHU978" s="234"/>
      <c r="QHV978" s="236"/>
      <c r="QHW978" s="244"/>
      <c r="QHX978" s="239"/>
      <c r="QHY978" s="240"/>
      <c r="QHZ978" s="241"/>
      <c r="QIA978" s="239"/>
      <c r="QIB978" s="239"/>
      <c r="QIC978" s="239"/>
      <c r="QID978" s="239"/>
      <c r="QIE978" s="239"/>
      <c r="QIF978" s="239"/>
      <c r="QIG978" s="233"/>
      <c r="QIH978" s="235"/>
      <c r="QII978" s="233"/>
      <c r="QIJ978" s="233"/>
      <c r="QIK978" s="234"/>
      <c r="QIL978" s="234"/>
      <c r="QIM978" s="242"/>
      <c r="QIN978" s="234"/>
      <c r="QIO978" s="234"/>
      <c r="QIP978" s="234"/>
      <c r="QIQ978" s="236"/>
      <c r="QIR978" s="244"/>
      <c r="QIS978" s="239"/>
      <c r="QIT978" s="240"/>
      <c r="QIU978" s="241"/>
      <c r="QIV978" s="239"/>
      <c r="QIW978" s="239"/>
      <c r="QIX978" s="239"/>
      <c r="QIY978" s="239"/>
      <c r="QIZ978" s="239"/>
      <c r="QJA978" s="239"/>
      <c r="QJB978" s="233"/>
      <c r="QJC978" s="235"/>
      <c r="QJD978" s="233"/>
      <c r="QJE978" s="233"/>
      <c r="QJF978" s="234"/>
      <c r="QJG978" s="234"/>
      <c r="QJH978" s="242"/>
      <c r="QJI978" s="234"/>
      <c r="QJJ978" s="234"/>
      <c r="QJK978" s="234"/>
      <c r="QJL978" s="236"/>
      <c r="QJM978" s="244"/>
      <c r="QJN978" s="239"/>
      <c r="QJO978" s="240"/>
      <c r="QJP978" s="241"/>
      <c r="QJQ978" s="239"/>
      <c r="QJR978" s="239"/>
      <c r="QJS978" s="239"/>
      <c r="QJT978" s="239"/>
      <c r="QJU978" s="239"/>
      <c r="QJV978" s="239"/>
      <c r="QJW978" s="233"/>
      <c r="QJX978" s="235"/>
      <c r="QJY978" s="233"/>
      <c r="QJZ978" s="233"/>
      <c r="QKA978" s="234"/>
      <c r="QKB978" s="234"/>
      <c r="QKC978" s="242"/>
      <c r="QKD978" s="234"/>
      <c r="QKE978" s="234"/>
      <c r="QKF978" s="234"/>
      <c r="QKG978" s="236"/>
      <c r="QKH978" s="244"/>
      <c r="QKI978" s="239"/>
      <c r="QKJ978" s="240"/>
      <c r="QKK978" s="241"/>
      <c r="QKL978" s="239"/>
      <c r="QKM978" s="239"/>
      <c r="QKN978" s="239"/>
      <c r="QKO978" s="239"/>
      <c r="QKP978" s="239"/>
      <c r="QKQ978" s="239"/>
      <c r="QKR978" s="233"/>
      <c r="QKS978" s="235"/>
      <c r="QKT978" s="233"/>
      <c r="QKU978" s="233"/>
      <c r="QKV978" s="234"/>
      <c r="QKW978" s="234"/>
      <c r="QKX978" s="242"/>
      <c r="QKY978" s="234"/>
      <c r="QKZ978" s="234"/>
      <c r="QLA978" s="234"/>
      <c r="QLB978" s="236"/>
      <c r="QLC978" s="244"/>
      <c r="QLD978" s="239"/>
      <c r="QLE978" s="240"/>
      <c r="QLF978" s="241"/>
      <c r="QLG978" s="239"/>
      <c r="QLH978" s="239"/>
      <c r="QLI978" s="239"/>
      <c r="QLJ978" s="239"/>
      <c r="QLK978" s="239"/>
      <c r="QLL978" s="239"/>
      <c r="QLM978" s="233"/>
      <c r="QLN978" s="235"/>
      <c r="QLO978" s="233"/>
      <c r="QLP978" s="233"/>
      <c r="QLQ978" s="234"/>
      <c r="QLR978" s="234"/>
      <c r="QLS978" s="242"/>
      <c r="QLT978" s="234"/>
      <c r="QLU978" s="234"/>
      <c r="QLV978" s="234"/>
      <c r="QLW978" s="236"/>
      <c r="QLX978" s="244"/>
      <c r="QLY978" s="239"/>
      <c r="QLZ978" s="240"/>
      <c r="QMA978" s="241"/>
      <c r="QMB978" s="239"/>
      <c r="QMC978" s="239"/>
      <c r="QMD978" s="239"/>
      <c r="QME978" s="239"/>
      <c r="QMF978" s="239"/>
      <c r="QMG978" s="239"/>
      <c r="QMH978" s="233"/>
      <c r="QMI978" s="235"/>
      <c r="QMJ978" s="233"/>
      <c r="QMK978" s="233"/>
      <c r="QML978" s="234"/>
      <c r="QMM978" s="234"/>
      <c r="QMN978" s="242"/>
      <c r="QMO978" s="234"/>
      <c r="QMP978" s="234"/>
      <c r="QMQ978" s="234"/>
      <c r="QMR978" s="236"/>
      <c r="QMS978" s="244"/>
      <c r="QMT978" s="239"/>
      <c r="QMU978" s="240"/>
      <c r="QMV978" s="241"/>
      <c r="QMW978" s="239"/>
      <c r="QMX978" s="239"/>
      <c r="QMY978" s="239"/>
      <c r="QMZ978" s="239"/>
      <c r="QNA978" s="239"/>
      <c r="QNB978" s="239"/>
      <c r="QNC978" s="233"/>
      <c r="QND978" s="235"/>
      <c r="QNE978" s="233"/>
      <c r="QNF978" s="233"/>
      <c r="QNG978" s="234"/>
      <c r="QNH978" s="234"/>
      <c r="QNI978" s="242"/>
      <c r="QNJ978" s="234"/>
      <c r="QNK978" s="234"/>
      <c r="QNL978" s="234"/>
      <c r="QNM978" s="236"/>
      <c r="QNN978" s="244"/>
      <c r="QNO978" s="239"/>
      <c r="QNP978" s="240"/>
      <c r="QNQ978" s="241"/>
      <c r="QNR978" s="239"/>
      <c r="QNS978" s="239"/>
      <c r="QNT978" s="239"/>
      <c r="QNU978" s="239"/>
      <c r="QNV978" s="239"/>
      <c r="QNW978" s="239"/>
      <c r="QNX978" s="233"/>
      <c r="QNY978" s="235"/>
      <c r="QNZ978" s="233"/>
      <c r="QOA978" s="233"/>
      <c r="QOB978" s="234"/>
      <c r="QOC978" s="234"/>
      <c r="QOD978" s="242"/>
      <c r="QOE978" s="234"/>
      <c r="QOF978" s="234"/>
      <c r="QOG978" s="234"/>
      <c r="QOH978" s="236"/>
      <c r="QOI978" s="244"/>
      <c r="QOJ978" s="239"/>
      <c r="QOK978" s="240"/>
      <c r="QOL978" s="241"/>
      <c r="QOM978" s="239"/>
      <c r="QON978" s="239"/>
      <c r="QOO978" s="239"/>
      <c r="QOP978" s="239"/>
      <c r="QOQ978" s="239"/>
      <c r="QOR978" s="239"/>
      <c r="QOS978" s="233"/>
      <c r="QOT978" s="235"/>
      <c r="QOU978" s="233"/>
      <c r="QOV978" s="233"/>
      <c r="QOW978" s="234"/>
      <c r="QOX978" s="234"/>
      <c r="QOY978" s="242"/>
      <c r="QOZ978" s="234"/>
      <c r="QPA978" s="234"/>
      <c r="QPB978" s="234"/>
      <c r="QPC978" s="236"/>
      <c r="QPD978" s="244"/>
      <c r="QPE978" s="239"/>
      <c r="QPF978" s="240"/>
      <c r="QPG978" s="241"/>
      <c r="QPH978" s="239"/>
      <c r="QPI978" s="239"/>
      <c r="QPJ978" s="239"/>
      <c r="QPK978" s="239"/>
      <c r="QPL978" s="239"/>
      <c r="QPM978" s="239"/>
      <c r="QPN978" s="233"/>
      <c r="QPO978" s="235"/>
      <c r="QPP978" s="233"/>
      <c r="QPQ978" s="233"/>
      <c r="QPR978" s="234"/>
      <c r="QPS978" s="234"/>
      <c r="QPT978" s="242"/>
      <c r="QPU978" s="234"/>
      <c r="QPV978" s="234"/>
      <c r="QPW978" s="234"/>
      <c r="QPX978" s="236"/>
      <c r="QPY978" s="244"/>
      <c r="QPZ978" s="239"/>
      <c r="QQA978" s="240"/>
      <c r="QQB978" s="241"/>
      <c r="QQC978" s="239"/>
      <c r="QQD978" s="239"/>
      <c r="QQE978" s="239"/>
      <c r="QQF978" s="239"/>
      <c r="QQG978" s="239"/>
      <c r="QQH978" s="239"/>
      <c r="QQI978" s="233"/>
      <c r="QQJ978" s="235"/>
      <c r="QQK978" s="233"/>
      <c r="QQL978" s="233"/>
      <c r="QQM978" s="234"/>
      <c r="QQN978" s="234"/>
      <c r="QQO978" s="242"/>
      <c r="QQP978" s="234"/>
      <c r="QQQ978" s="234"/>
      <c r="QQR978" s="234"/>
      <c r="QQS978" s="236"/>
      <c r="QQT978" s="244"/>
      <c r="QQU978" s="239"/>
      <c r="QQV978" s="240"/>
      <c r="QQW978" s="241"/>
      <c r="QQX978" s="239"/>
      <c r="QQY978" s="239"/>
      <c r="QQZ978" s="239"/>
      <c r="QRA978" s="239"/>
      <c r="QRB978" s="239"/>
      <c r="QRC978" s="239"/>
      <c r="QRD978" s="233"/>
      <c r="QRE978" s="235"/>
      <c r="QRF978" s="233"/>
      <c r="QRG978" s="233"/>
      <c r="QRH978" s="234"/>
      <c r="QRI978" s="234"/>
      <c r="QRJ978" s="242"/>
      <c r="QRK978" s="234"/>
      <c r="QRL978" s="234"/>
      <c r="QRM978" s="234"/>
      <c r="QRN978" s="236"/>
      <c r="QRO978" s="244"/>
      <c r="QRP978" s="239"/>
      <c r="QRQ978" s="240"/>
      <c r="QRR978" s="241"/>
      <c r="QRS978" s="239"/>
      <c r="QRT978" s="239"/>
      <c r="QRU978" s="239"/>
      <c r="QRV978" s="239"/>
      <c r="QRW978" s="239"/>
      <c r="QRX978" s="239"/>
      <c r="QRY978" s="233"/>
      <c r="QRZ978" s="235"/>
      <c r="QSA978" s="233"/>
      <c r="QSB978" s="233"/>
      <c r="QSC978" s="234"/>
      <c r="QSD978" s="234"/>
      <c r="QSE978" s="242"/>
      <c r="QSF978" s="234"/>
      <c r="QSG978" s="234"/>
      <c r="QSH978" s="234"/>
      <c r="QSI978" s="236"/>
      <c r="QSJ978" s="244"/>
      <c r="QSK978" s="239"/>
      <c r="QSL978" s="240"/>
      <c r="QSM978" s="241"/>
      <c r="QSN978" s="239"/>
      <c r="QSO978" s="239"/>
      <c r="QSP978" s="239"/>
      <c r="QSQ978" s="239"/>
      <c r="QSR978" s="239"/>
      <c r="QSS978" s="239"/>
      <c r="QST978" s="233"/>
      <c r="QSU978" s="235"/>
      <c r="QSV978" s="233"/>
      <c r="QSW978" s="233"/>
      <c r="QSX978" s="234"/>
      <c r="QSY978" s="234"/>
      <c r="QSZ978" s="242"/>
      <c r="QTA978" s="234"/>
      <c r="QTB978" s="234"/>
      <c r="QTC978" s="234"/>
      <c r="QTD978" s="236"/>
      <c r="QTE978" s="244"/>
      <c r="QTF978" s="239"/>
      <c r="QTG978" s="240"/>
      <c r="QTH978" s="241"/>
      <c r="QTI978" s="239"/>
      <c r="QTJ978" s="239"/>
      <c r="QTK978" s="239"/>
      <c r="QTL978" s="239"/>
      <c r="QTM978" s="239"/>
      <c r="QTN978" s="239"/>
      <c r="QTO978" s="233"/>
      <c r="QTP978" s="235"/>
      <c r="QTQ978" s="233"/>
      <c r="QTR978" s="233"/>
      <c r="QTS978" s="234"/>
      <c r="QTT978" s="234"/>
      <c r="QTU978" s="242"/>
      <c r="QTV978" s="234"/>
      <c r="QTW978" s="234"/>
      <c r="QTX978" s="234"/>
      <c r="QTY978" s="236"/>
      <c r="QTZ978" s="244"/>
      <c r="QUA978" s="239"/>
      <c r="QUB978" s="240"/>
      <c r="QUC978" s="241"/>
      <c r="QUD978" s="239"/>
      <c r="QUE978" s="239"/>
      <c r="QUF978" s="239"/>
      <c r="QUG978" s="239"/>
      <c r="QUH978" s="239"/>
      <c r="QUI978" s="239"/>
      <c r="QUJ978" s="233"/>
      <c r="QUK978" s="235"/>
      <c r="QUL978" s="233"/>
      <c r="QUM978" s="233"/>
      <c r="QUN978" s="234"/>
      <c r="QUO978" s="234"/>
      <c r="QUP978" s="242"/>
      <c r="QUQ978" s="234"/>
      <c r="QUR978" s="234"/>
      <c r="QUS978" s="234"/>
      <c r="QUT978" s="236"/>
      <c r="QUU978" s="244"/>
      <c r="QUV978" s="239"/>
      <c r="QUW978" s="240"/>
      <c r="QUX978" s="241"/>
      <c r="QUY978" s="239"/>
      <c r="QUZ978" s="239"/>
      <c r="QVA978" s="239"/>
      <c r="QVB978" s="239"/>
      <c r="QVC978" s="239"/>
      <c r="QVD978" s="239"/>
      <c r="QVE978" s="233"/>
      <c r="QVF978" s="235"/>
      <c r="QVG978" s="233"/>
      <c r="QVH978" s="233"/>
      <c r="QVI978" s="234"/>
      <c r="QVJ978" s="234"/>
      <c r="QVK978" s="242"/>
      <c r="QVL978" s="234"/>
      <c r="QVM978" s="234"/>
      <c r="QVN978" s="234"/>
      <c r="QVO978" s="236"/>
      <c r="QVP978" s="244"/>
      <c r="QVQ978" s="239"/>
      <c r="QVR978" s="240"/>
      <c r="QVS978" s="241"/>
      <c r="QVT978" s="239"/>
      <c r="QVU978" s="239"/>
      <c r="QVV978" s="239"/>
      <c r="QVW978" s="239"/>
      <c r="QVX978" s="239"/>
      <c r="QVY978" s="239"/>
      <c r="QVZ978" s="233"/>
      <c r="QWA978" s="235"/>
      <c r="QWB978" s="233"/>
      <c r="QWC978" s="233"/>
      <c r="QWD978" s="234"/>
      <c r="QWE978" s="234"/>
      <c r="QWF978" s="242"/>
      <c r="QWG978" s="234"/>
      <c r="QWH978" s="234"/>
      <c r="QWI978" s="234"/>
      <c r="QWJ978" s="236"/>
      <c r="QWK978" s="244"/>
      <c r="QWL978" s="239"/>
      <c r="QWM978" s="240"/>
      <c r="QWN978" s="241"/>
      <c r="QWO978" s="239"/>
      <c r="QWP978" s="239"/>
      <c r="QWQ978" s="239"/>
      <c r="QWR978" s="239"/>
      <c r="QWS978" s="239"/>
      <c r="QWT978" s="239"/>
      <c r="QWU978" s="233"/>
      <c r="QWV978" s="235"/>
      <c r="QWW978" s="233"/>
      <c r="QWX978" s="233"/>
      <c r="QWY978" s="234"/>
      <c r="QWZ978" s="234"/>
      <c r="QXA978" s="242"/>
      <c r="QXB978" s="234"/>
      <c r="QXC978" s="234"/>
      <c r="QXD978" s="234"/>
      <c r="QXE978" s="236"/>
      <c r="QXF978" s="244"/>
      <c r="QXG978" s="239"/>
      <c r="QXH978" s="240"/>
      <c r="QXI978" s="241"/>
      <c r="QXJ978" s="239"/>
      <c r="QXK978" s="239"/>
      <c r="QXL978" s="239"/>
      <c r="QXM978" s="239"/>
      <c r="QXN978" s="239"/>
      <c r="QXO978" s="239"/>
      <c r="QXP978" s="233"/>
      <c r="QXQ978" s="235"/>
      <c r="QXR978" s="233"/>
      <c r="QXS978" s="233"/>
      <c r="QXT978" s="234"/>
      <c r="QXU978" s="234"/>
      <c r="QXV978" s="242"/>
      <c r="QXW978" s="234"/>
      <c r="QXX978" s="234"/>
      <c r="QXY978" s="234"/>
      <c r="QXZ978" s="236"/>
      <c r="QYA978" s="244"/>
      <c r="QYB978" s="239"/>
      <c r="QYC978" s="240"/>
      <c r="QYD978" s="241"/>
      <c r="QYE978" s="239"/>
      <c r="QYF978" s="239"/>
      <c r="QYG978" s="239"/>
      <c r="QYH978" s="239"/>
      <c r="QYI978" s="239"/>
      <c r="QYJ978" s="239"/>
      <c r="QYK978" s="233"/>
      <c r="QYL978" s="235"/>
      <c r="QYM978" s="233"/>
      <c r="QYN978" s="233"/>
      <c r="QYO978" s="234"/>
      <c r="QYP978" s="234"/>
      <c r="QYQ978" s="242"/>
      <c r="QYR978" s="234"/>
      <c r="QYS978" s="234"/>
      <c r="QYT978" s="234"/>
      <c r="QYU978" s="236"/>
      <c r="QYV978" s="244"/>
      <c r="QYW978" s="239"/>
      <c r="QYX978" s="240"/>
      <c r="QYY978" s="241"/>
      <c r="QYZ978" s="239"/>
      <c r="QZA978" s="239"/>
      <c r="QZB978" s="239"/>
      <c r="QZC978" s="239"/>
      <c r="QZD978" s="239"/>
      <c r="QZE978" s="239"/>
      <c r="QZF978" s="233"/>
      <c r="QZG978" s="235"/>
      <c r="QZH978" s="233"/>
      <c r="QZI978" s="233"/>
      <c r="QZJ978" s="234"/>
      <c r="QZK978" s="234"/>
      <c r="QZL978" s="242"/>
      <c r="QZM978" s="234"/>
      <c r="QZN978" s="234"/>
      <c r="QZO978" s="234"/>
      <c r="QZP978" s="236"/>
      <c r="QZQ978" s="244"/>
      <c r="QZR978" s="239"/>
      <c r="QZS978" s="240"/>
      <c r="QZT978" s="241"/>
      <c r="QZU978" s="239"/>
      <c r="QZV978" s="239"/>
      <c r="QZW978" s="239"/>
      <c r="QZX978" s="239"/>
      <c r="QZY978" s="239"/>
      <c r="QZZ978" s="239"/>
      <c r="RAA978" s="233"/>
      <c r="RAB978" s="235"/>
      <c r="RAC978" s="233"/>
      <c r="RAD978" s="233"/>
      <c r="RAE978" s="234"/>
      <c r="RAF978" s="234"/>
      <c r="RAG978" s="242"/>
      <c r="RAH978" s="234"/>
      <c r="RAI978" s="234"/>
      <c r="RAJ978" s="234"/>
      <c r="RAK978" s="236"/>
      <c r="RAL978" s="244"/>
      <c r="RAM978" s="239"/>
      <c r="RAN978" s="240"/>
      <c r="RAO978" s="241"/>
      <c r="RAP978" s="239"/>
      <c r="RAQ978" s="239"/>
      <c r="RAR978" s="239"/>
      <c r="RAS978" s="239"/>
      <c r="RAT978" s="239"/>
      <c r="RAU978" s="239"/>
      <c r="RAV978" s="233"/>
      <c r="RAW978" s="235"/>
      <c r="RAX978" s="233"/>
      <c r="RAY978" s="233"/>
      <c r="RAZ978" s="234"/>
      <c r="RBA978" s="234"/>
      <c r="RBB978" s="242"/>
      <c r="RBC978" s="234"/>
      <c r="RBD978" s="234"/>
      <c r="RBE978" s="234"/>
      <c r="RBF978" s="236"/>
      <c r="RBG978" s="244"/>
      <c r="RBH978" s="239"/>
      <c r="RBI978" s="240"/>
      <c r="RBJ978" s="241"/>
      <c r="RBK978" s="239"/>
      <c r="RBL978" s="239"/>
      <c r="RBM978" s="239"/>
      <c r="RBN978" s="239"/>
      <c r="RBO978" s="239"/>
      <c r="RBP978" s="239"/>
      <c r="RBQ978" s="233"/>
      <c r="RBR978" s="235"/>
      <c r="RBS978" s="233"/>
      <c r="RBT978" s="233"/>
      <c r="RBU978" s="234"/>
      <c r="RBV978" s="234"/>
      <c r="RBW978" s="242"/>
      <c r="RBX978" s="234"/>
      <c r="RBY978" s="234"/>
      <c r="RBZ978" s="234"/>
      <c r="RCA978" s="236"/>
      <c r="RCB978" s="244"/>
      <c r="RCC978" s="239"/>
      <c r="RCD978" s="240"/>
      <c r="RCE978" s="241"/>
      <c r="RCF978" s="239"/>
      <c r="RCG978" s="239"/>
      <c r="RCH978" s="239"/>
      <c r="RCI978" s="239"/>
      <c r="RCJ978" s="239"/>
      <c r="RCK978" s="239"/>
      <c r="RCL978" s="233"/>
      <c r="RCM978" s="235"/>
      <c r="RCN978" s="233"/>
      <c r="RCO978" s="233"/>
      <c r="RCP978" s="234"/>
      <c r="RCQ978" s="234"/>
      <c r="RCR978" s="242"/>
      <c r="RCS978" s="234"/>
      <c r="RCT978" s="234"/>
      <c r="RCU978" s="234"/>
      <c r="RCV978" s="236"/>
      <c r="RCW978" s="244"/>
      <c r="RCX978" s="239"/>
      <c r="RCY978" s="240"/>
      <c r="RCZ978" s="241"/>
      <c r="RDA978" s="239"/>
      <c r="RDB978" s="239"/>
      <c r="RDC978" s="239"/>
      <c r="RDD978" s="239"/>
      <c r="RDE978" s="239"/>
      <c r="RDF978" s="239"/>
      <c r="RDG978" s="233"/>
      <c r="RDH978" s="235"/>
      <c r="RDI978" s="233"/>
      <c r="RDJ978" s="233"/>
      <c r="RDK978" s="234"/>
      <c r="RDL978" s="234"/>
      <c r="RDM978" s="242"/>
      <c r="RDN978" s="234"/>
      <c r="RDO978" s="234"/>
      <c r="RDP978" s="234"/>
      <c r="RDQ978" s="236"/>
      <c r="RDR978" s="244"/>
      <c r="RDS978" s="239"/>
      <c r="RDT978" s="240"/>
      <c r="RDU978" s="241"/>
      <c r="RDV978" s="239"/>
      <c r="RDW978" s="239"/>
      <c r="RDX978" s="239"/>
      <c r="RDY978" s="239"/>
      <c r="RDZ978" s="239"/>
      <c r="REA978" s="239"/>
      <c r="REB978" s="233"/>
      <c r="REC978" s="235"/>
      <c r="RED978" s="233"/>
      <c r="REE978" s="233"/>
      <c r="REF978" s="234"/>
      <c r="REG978" s="234"/>
      <c r="REH978" s="242"/>
      <c r="REI978" s="234"/>
      <c r="REJ978" s="234"/>
      <c r="REK978" s="234"/>
      <c r="REL978" s="236"/>
      <c r="REM978" s="244"/>
      <c r="REN978" s="239"/>
      <c r="REO978" s="240"/>
      <c r="REP978" s="241"/>
      <c r="REQ978" s="239"/>
      <c r="RER978" s="239"/>
      <c r="RES978" s="239"/>
      <c r="RET978" s="239"/>
      <c r="REU978" s="239"/>
      <c r="REV978" s="239"/>
      <c r="REW978" s="233"/>
      <c r="REX978" s="235"/>
      <c r="REY978" s="233"/>
      <c r="REZ978" s="233"/>
      <c r="RFA978" s="234"/>
      <c r="RFB978" s="234"/>
      <c r="RFC978" s="242"/>
      <c r="RFD978" s="234"/>
      <c r="RFE978" s="234"/>
      <c r="RFF978" s="234"/>
      <c r="RFG978" s="236"/>
      <c r="RFH978" s="244"/>
      <c r="RFI978" s="239"/>
      <c r="RFJ978" s="240"/>
      <c r="RFK978" s="241"/>
      <c r="RFL978" s="239"/>
      <c r="RFM978" s="239"/>
      <c r="RFN978" s="239"/>
      <c r="RFO978" s="239"/>
      <c r="RFP978" s="239"/>
      <c r="RFQ978" s="239"/>
      <c r="RFR978" s="233"/>
      <c r="RFS978" s="235"/>
      <c r="RFT978" s="233"/>
      <c r="RFU978" s="233"/>
      <c r="RFV978" s="234"/>
      <c r="RFW978" s="234"/>
      <c r="RFX978" s="242"/>
      <c r="RFY978" s="234"/>
      <c r="RFZ978" s="234"/>
      <c r="RGA978" s="234"/>
      <c r="RGB978" s="236"/>
      <c r="RGC978" s="244"/>
      <c r="RGD978" s="239"/>
      <c r="RGE978" s="240"/>
      <c r="RGF978" s="241"/>
      <c r="RGG978" s="239"/>
      <c r="RGH978" s="239"/>
      <c r="RGI978" s="239"/>
      <c r="RGJ978" s="239"/>
      <c r="RGK978" s="239"/>
      <c r="RGL978" s="239"/>
      <c r="RGM978" s="233"/>
      <c r="RGN978" s="235"/>
      <c r="RGO978" s="233"/>
      <c r="RGP978" s="233"/>
      <c r="RGQ978" s="234"/>
      <c r="RGR978" s="234"/>
      <c r="RGS978" s="242"/>
      <c r="RGT978" s="234"/>
      <c r="RGU978" s="234"/>
      <c r="RGV978" s="234"/>
      <c r="RGW978" s="236"/>
      <c r="RGX978" s="244"/>
      <c r="RGY978" s="239"/>
      <c r="RGZ978" s="240"/>
      <c r="RHA978" s="241"/>
      <c r="RHB978" s="239"/>
      <c r="RHC978" s="239"/>
      <c r="RHD978" s="239"/>
      <c r="RHE978" s="239"/>
      <c r="RHF978" s="239"/>
      <c r="RHG978" s="239"/>
      <c r="RHH978" s="233"/>
      <c r="RHI978" s="235"/>
      <c r="RHJ978" s="233"/>
      <c r="RHK978" s="233"/>
      <c r="RHL978" s="234"/>
      <c r="RHM978" s="234"/>
      <c r="RHN978" s="242"/>
      <c r="RHO978" s="234"/>
      <c r="RHP978" s="234"/>
      <c r="RHQ978" s="234"/>
      <c r="RHR978" s="236"/>
      <c r="RHS978" s="244"/>
      <c r="RHT978" s="239"/>
      <c r="RHU978" s="240"/>
      <c r="RHV978" s="241"/>
      <c r="RHW978" s="239"/>
      <c r="RHX978" s="239"/>
      <c r="RHY978" s="239"/>
      <c r="RHZ978" s="239"/>
      <c r="RIA978" s="239"/>
      <c r="RIB978" s="239"/>
      <c r="RIC978" s="233"/>
      <c r="RID978" s="235"/>
      <c r="RIE978" s="233"/>
      <c r="RIF978" s="233"/>
      <c r="RIG978" s="234"/>
      <c r="RIH978" s="234"/>
      <c r="RII978" s="242"/>
      <c r="RIJ978" s="234"/>
      <c r="RIK978" s="234"/>
      <c r="RIL978" s="234"/>
      <c r="RIM978" s="236"/>
      <c r="RIN978" s="244"/>
      <c r="RIO978" s="239"/>
      <c r="RIP978" s="240"/>
      <c r="RIQ978" s="241"/>
      <c r="RIR978" s="239"/>
      <c r="RIS978" s="239"/>
      <c r="RIT978" s="239"/>
      <c r="RIU978" s="239"/>
      <c r="RIV978" s="239"/>
      <c r="RIW978" s="239"/>
      <c r="RIX978" s="233"/>
      <c r="RIY978" s="235"/>
      <c r="RIZ978" s="233"/>
      <c r="RJA978" s="233"/>
      <c r="RJB978" s="234"/>
      <c r="RJC978" s="234"/>
      <c r="RJD978" s="242"/>
      <c r="RJE978" s="234"/>
      <c r="RJF978" s="234"/>
      <c r="RJG978" s="234"/>
      <c r="RJH978" s="236"/>
      <c r="RJI978" s="244"/>
      <c r="RJJ978" s="239"/>
      <c r="RJK978" s="240"/>
      <c r="RJL978" s="241"/>
      <c r="RJM978" s="239"/>
      <c r="RJN978" s="239"/>
      <c r="RJO978" s="239"/>
      <c r="RJP978" s="239"/>
      <c r="RJQ978" s="239"/>
      <c r="RJR978" s="239"/>
      <c r="RJS978" s="233"/>
      <c r="RJT978" s="235"/>
      <c r="RJU978" s="233"/>
      <c r="RJV978" s="233"/>
      <c r="RJW978" s="234"/>
      <c r="RJX978" s="234"/>
      <c r="RJY978" s="242"/>
      <c r="RJZ978" s="234"/>
      <c r="RKA978" s="234"/>
      <c r="RKB978" s="234"/>
      <c r="RKC978" s="236"/>
      <c r="RKD978" s="244"/>
      <c r="RKE978" s="239"/>
      <c r="RKF978" s="240"/>
      <c r="RKG978" s="241"/>
      <c r="RKH978" s="239"/>
      <c r="RKI978" s="239"/>
      <c r="RKJ978" s="239"/>
      <c r="RKK978" s="239"/>
      <c r="RKL978" s="239"/>
      <c r="RKM978" s="239"/>
      <c r="RKN978" s="233"/>
      <c r="RKO978" s="235"/>
      <c r="RKP978" s="233"/>
      <c r="RKQ978" s="233"/>
      <c r="RKR978" s="234"/>
      <c r="RKS978" s="234"/>
      <c r="RKT978" s="242"/>
      <c r="RKU978" s="234"/>
      <c r="RKV978" s="234"/>
      <c r="RKW978" s="234"/>
      <c r="RKX978" s="236"/>
      <c r="RKY978" s="244"/>
      <c r="RKZ978" s="239"/>
      <c r="RLA978" s="240"/>
      <c r="RLB978" s="241"/>
      <c r="RLC978" s="239"/>
      <c r="RLD978" s="239"/>
      <c r="RLE978" s="239"/>
      <c r="RLF978" s="239"/>
      <c r="RLG978" s="239"/>
      <c r="RLH978" s="239"/>
      <c r="RLI978" s="233"/>
      <c r="RLJ978" s="235"/>
      <c r="RLK978" s="233"/>
      <c r="RLL978" s="233"/>
      <c r="RLM978" s="234"/>
      <c r="RLN978" s="234"/>
      <c r="RLO978" s="242"/>
      <c r="RLP978" s="234"/>
      <c r="RLQ978" s="234"/>
      <c r="RLR978" s="234"/>
      <c r="RLS978" s="236"/>
      <c r="RLT978" s="244"/>
      <c r="RLU978" s="239"/>
      <c r="RLV978" s="240"/>
      <c r="RLW978" s="241"/>
      <c r="RLX978" s="239"/>
      <c r="RLY978" s="239"/>
      <c r="RLZ978" s="239"/>
      <c r="RMA978" s="239"/>
      <c r="RMB978" s="239"/>
      <c r="RMC978" s="239"/>
      <c r="RMD978" s="233"/>
      <c r="RME978" s="235"/>
      <c r="RMF978" s="233"/>
      <c r="RMG978" s="233"/>
      <c r="RMH978" s="234"/>
      <c r="RMI978" s="234"/>
      <c r="RMJ978" s="242"/>
      <c r="RMK978" s="234"/>
      <c r="RML978" s="234"/>
      <c r="RMM978" s="234"/>
      <c r="RMN978" s="236"/>
      <c r="RMO978" s="244"/>
      <c r="RMP978" s="239"/>
      <c r="RMQ978" s="240"/>
      <c r="RMR978" s="241"/>
      <c r="RMS978" s="239"/>
      <c r="RMT978" s="239"/>
      <c r="RMU978" s="239"/>
      <c r="RMV978" s="239"/>
      <c r="RMW978" s="239"/>
      <c r="RMX978" s="239"/>
      <c r="RMY978" s="233"/>
      <c r="RMZ978" s="235"/>
      <c r="RNA978" s="233"/>
      <c r="RNB978" s="233"/>
      <c r="RNC978" s="234"/>
      <c r="RND978" s="234"/>
      <c r="RNE978" s="242"/>
      <c r="RNF978" s="234"/>
      <c r="RNG978" s="234"/>
      <c r="RNH978" s="234"/>
      <c r="RNI978" s="236"/>
      <c r="RNJ978" s="244"/>
      <c r="RNK978" s="239"/>
      <c r="RNL978" s="240"/>
      <c r="RNM978" s="241"/>
      <c r="RNN978" s="239"/>
      <c r="RNO978" s="239"/>
      <c r="RNP978" s="239"/>
      <c r="RNQ978" s="239"/>
      <c r="RNR978" s="239"/>
      <c r="RNS978" s="239"/>
      <c r="RNT978" s="233"/>
      <c r="RNU978" s="235"/>
      <c r="RNV978" s="233"/>
      <c r="RNW978" s="233"/>
      <c r="RNX978" s="234"/>
      <c r="RNY978" s="234"/>
      <c r="RNZ978" s="242"/>
      <c r="ROA978" s="234"/>
      <c r="ROB978" s="234"/>
      <c r="ROC978" s="234"/>
      <c r="ROD978" s="236"/>
      <c r="ROE978" s="244"/>
      <c r="ROF978" s="239"/>
      <c r="ROG978" s="240"/>
      <c r="ROH978" s="241"/>
      <c r="ROI978" s="239"/>
      <c r="ROJ978" s="239"/>
      <c r="ROK978" s="239"/>
      <c r="ROL978" s="239"/>
      <c r="ROM978" s="239"/>
      <c r="RON978" s="239"/>
      <c r="ROO978" s="233"/>
      <c r="ROP978" s="235"/>
      <c r="ROQ978" s="233"/>
      <c r="ROR978" s="233"/>
      <c r="ROS978" s="234"/>
      <c r="ROT978" s="234"/>
      <c r="ROU978" s="242"/>
      <c r="ROV978" s="234"/>
      <c r="ROW978" s="234"/>
      <c r="ROX978" s="234"/>
      <c r="ROY978" s="236"/>
      <c r="ROZ978" s="244"/>
      <c r="RPA978" s="239"/>
      <c r="RPB978" s="240"/>
      <c r="RPC978" s="241"/>
      <c r="RPD978" s="239"/>
      <c r="RPE978" s="239"/>
      <c r="RPF978" s="239"/>
      <c r="RPG978" s="239"/>
      <c r="RPH978" s="239"/>
      <c r="RPI978" s="239"/>
      <c r="RPJ978" s="233"/>
      <c r="RPK978" s="235"/>
      <c r="RPL978" s="233"/>
      <c r="RPM978" s="233"/>
      <c r="RPN978" s="234"/>
      <c r="RPO978" s="234"/>
      <c r="RPP978" s="242"/>
      <c r="RPQ978" s="234"/>
      <c r="RPR978" s="234"/>
      <c r="RPS978" s="234"/>
      <c r="RPT978" s="236"/>
      <c r="RPU978" s="244"/>
      <c r="RPV978" s="239"/>
      <c r="RPW978" s="240"/>
      <c r="RPX978" s="241"/>
      <c r="RPY978" s="239"/>
      <c r="RPZ978" s="239"/>
      <c r="RQA978" s="239"/>
      <c r="RQB978" s="239"/>
      <c r="RQC978" s="239"/>
      <c r="RQD978" s="239"/>
      <c r="RQE978" s="233"/>
      <c r="RQF978" s="235"/>
      <c r="RQG978" s="233"/>
      <c r="RQH978" s="233"/>
      <c r="RQI978" s="234"/>
      <c r="RQJ978" s="234"/>
      <c r="RQK978" s="242"/>
      <c r="RQL978" s="234"/>
      <c r="RQM978" s="234"/>
      <c r="RQN978" s="234"/>
      <c r="RQO978" s="236"/>
      <c r="RQP978" s="244"/>
      <c r="RQQ978" s="239"/>
      <c r="RQR978" s="240"/>
      <c r="RQS978" s="241"/>
      <c r="RQT978" s="239"/>
      <c r="RQU978" s="239"/>
      <c r="RQV978" s="239"/>
      <c r="RQW978" s="239"/>
      <c r="RQX978" s="239"/>
      <c r="RQY978" s="239"/>
      <c r="RQZ978" s="233"/>
      <c r="RRA978" s="235"/>
      <c r="RRB978" s="233"/>
      <c r="RRC978" s="233"/>
      <c r="RRD978" s="234"/>
      <c r="RRE978" s="234"/>
      <c r="RRF978" s="242"/>
      <c r="RRG978" s="234"/>
      <c r="RRH978" s="234"/>
      <c r="RRI978" s="234"/>
      <c r="RRJ978" s="236"/>
      <c r="RRK978" s="244"/>
      <c r="RRL978" s="239"/>
      <c r="RRM978" s="240"/>
      <c r="RRN978" s="241"/>
      <c r="RRO978" s="239"/>
      <c r="RRP978" s="239"/>
      <c r="RRQ978" s="239"/>
      <c r="RRR978" s="239"/>
      <c r="RRS978" s="239"/>
      <c r="RRT978" s="239"/>
      <c r="RRU978" s="233"/>
      <c r="RRV978" s="235"/>
      <c r="RRW978" s="233"/>
      <c r="RRX978" s="233"/>
      <c r="RRY978" s="234"/>
      <c r="RRZ978" s="234"/>
      <c r="RSA978" s="242"/>
      <c r="RSB978" s="234"/>
      <c r="RSC978" s="234"/>
      <c r="RSD978" s="234"/>
      <c r="RSE978" s="236"/>
      <c r="RSF978" s="244"/>
      <c r="RSG978" s="239"/>
      <c r="RSH978" s="240"/>
      <c r="RSI978" s="241"/>
      <c r="RSJ978" s="239"/>
      <c r="RSK978" s="239"/>
      <c r="RSL978" s="239"/>
      <c r="RSM978" s="239"/>
      <c r="RSN978" s="239"/>
      <c r="RSO978" s="239"/>
      <c r="RSP978" s="233"/>
      <c r="RSQ978" s="235"/>
      <c r="RSR978" s="233"/>
      <c r="RSS978" s="233"/>
      <c r="RST978" s="234"/>
      <c r="RSU978" s="234"/>
      <c r="RSV978" s="242"/>
      <c r="RSW978" s="234"/>
      <c r="RSX978" s="234"/>
      <c r="RSY978" s="234"/>
      <c r="RSZ978" s="236"/>
      <c r="RTA978" s="244"/>
      <c r="RTB978" s="239"/>
      <c r="RTC978" s="240"/>
      <c r="RTD978" s="241"/>
      <c r="RTE978" s="239"/>
      <c r="RTF978" s="239"/>
      <c r="RTG978" s="239"/>
      <c r="RTH978" s="239"/>
      <c r="RTI978" s="239"/>
      <c r="RTJ978" s="239"/>
      <c r="RTK978" s="233"/>
      <c r="RTL978" s="235"/>
      <c r="RTM978" s="233"/>
      <c r="RTN978" s="233"/>
      <c r="RTO978" s="234"/>
      <c r="RTP978" s="234"/>
      <c r="RTQ978" s="242"/>
      <c r="RTR978" s="234"/>
      <c r="RTS978" s="234"/>
      <c r="RTT978" s="234"/>
      <c r="RTU978" s="236"/>
      <c r="RTV978" s="244"/>
      <c r="RTW978" s="239"/>
      <c r="RTX978" s="240"/>
      <c r="RTY978" s="241"/>
      <c r="RTZ978" s="239"/>
      <c r="RUA978" s="239"/>
      <c r="RUB978" s="239"/>
      <c r="RUC978" s="239"/>
      <c r="RUD978" s="239"/>
      <c r="RUE978" s="239"/>
      <c r="RUF978" s="233"/>
      <c r="RUG978" s="235"/>
      <c r="RUH978" s="233"/>
      <c r="RUI978" s="233"/>
      <c r="RUJ978" s="234"/>
      <c r="RUK978" s="234"/>
      <c r="RUL978" s="242"/>
      <c r="RUM978" s="234"/>
      <c r="RUN978" s="234"/>
      <c r="RUO978" s="234"/>
      <c r="RUP978" s="236"/>
      <c r="RUQ978" s="244"/>
      <c r="RUR978" s="239"/>
      <c r="RUS978" s="240"/>
      <c r="RUT978" s="241"/>
      <c r="RUU978" s="239"/>
      <c r="RUV978" s="239"/>
      <c r="RUW978" s="239"/>
      <c r="RUX978" s="239"/>
      <c r="RUY978" s="239"/>
      <c r="RUZ978" s="239"/>
      <c r="RVA978" s="233"/>
      <c r="RVB978" s="235"/>
      <c r="RVC978" s="233"/>
      <c r="RVD978" s="233"/>
      <c r="RVE978" s="234"/>
      <c r="RVF978" s="234"/>
      <c r="RVG978" s="242"/>
      <c r="RVH978" s="234"/>
      <c r="RVI978" s="234"/>
      <c r="RVJ978" s="234"/>
      <c r="RVK978" s="236"/>
      <c r="RVL978" s="244"/>
      <c r="RVM978" s="239"/>
      <c r="RVN978" s="240"/>
      <c r="RVO978" s="241"/>
      <c r="RVP978" s="239"/>
      <c r="RVQ978" s="239"/>
      <c r="RVR978" s="239"/>
      <c r="RVS978" s="239"/>
      <c r="RVT978" s="239"/>
      <c r="RVU978" s="239"/>
      <c r="RVV978" s="233"/>
      <c r="RVW978" s="235"/>
      <c r="RVX978" s="233"/>
      <c r="RVY978" s="233"/>
      <c r="RVZ978" s="234"/>
      <c r="RWA978" s="234"/>
      <c r="RWB978" s="242"/>
      <c r="RWC978" s="234"/>
      <c r="RWD978" s="234"/>
      <c r="RWE978" s="234"/>
      <c r="RWF978" s="236"/>
      <c r="RWG978" s="244"/>
      <c r="RWH978" s="239"/>
      <c r="RWI978" s="240"/>
      <c r="RWJ978" s="241"/>
      <c r="RWK978" s="239"/>
      <c r="RWL978" s="239"/>
      <c r="RWM978" s="239"/>
      <c r="RWN978" s="239"/>
      <c r="RWO978" s="239"/>
      <c r="RWP978" s="239"/>
      <c r="RWQ978" s="233"/>
      <c r="RWR978" s="235"/>
      <c r="RWS978" s="233"/>
      <c r="RWT978" s="233"/>
      <c r="RWU978" s="234"/>
      <c r="RWV978" s="234"/>
      <c r="RWW978" s="242"/>
      <c r="RWX978" s="234"/>
      <c r="RWY978" s="234"/>
      <c r="RWZ978" s="234"/>
      <c r="RXA978" s="236"/>
      <c r="RXB978" s="244"/>
      <c r="RXC978" s="239"/>
      <c r="RXD978" s="240"/>
      <c r="RXE978" s="241"/>
      <c r="RXF978" s="239"/>
      <c r="RXG978" s="239"/>
      <c r="RXH978" s="239"/>
      <c r="RXI978" s="239"/>
      <c r="RXJ978" s="239"/>
      <c r="RXK978" s="239"/>
      <c r="RXL978" s="233"/>
      <c r="RXM978" s="235"/>
      <c r="RXN978" s="233"/>
      <c r="RXO978" s="233"/>
      <c r="RXP978" s="234"/>
      <c r="RXQ978" s="234"/>
      <c r="RXR978" s="242"/>
      <c r="RXS978" s="234"/>
      <c r="RXT978" s="234"/>
      <c r="RXU978" s="234"/>
      <c r="RXV978" s="236"/>
      <c r="RXW978" s="244"/>
      <c r="RXX978" s="239"/>
      <c r="RXY978" s="240"/>
      <c r="RXZ978" s="241"/>
      <c r="RYA978" s="239"/>
      <c r="RYB978" s="239"/>
      <c r="RYC978" s="239"/>
      <c r="RYD978" s="239"/>
      <c r="RYE978" s="239"/>
      <c r="RYF978" s="239"/>
      <c r="RYG978" s="233"/>
      <c r="RYH978" s="235"/>
      <c r="RYI978" s="233"/>
      <c r="RYJ978" s="233"/>
      <c r="RYK978" s="234"/>
      <c r="RYL978" s="234"/>
      <c r="RYM978" s="242"/>
      <c r="RYN978" s="234"/>
      <c r="RYO978" s="234"/>
      <c r="RYP978" s="234"/>
      <c r="RYQ978" s="236"/>
      <c r="RYR978" s="244"/>
      <c r="RYS978" s="239"/>
      <c r="RYT978" s="240"/>
      <c r="RYU978" s="241"/>
      <c r="RYV978" s="239"/>
      <c r="RYW978" s="239"/>
      <c r="RYX978" s="239"/>
      <c r="RYY978" s="239"/>
      <c r="RYZ978" s="239"/>
      <c r="RZA978" s="239"/>
      <c r="RZB978" s="233"/>
      <c r="RZC978" s="235"/>
      <c r="RZD978" s="233"/>
      <c r="RZE978" s="233"/>
      <c r="RZF978" s="234"/>
      <c r="RZG978" s="234"/>
      <c r="RZH978" s="242"/>
      <c r="RZI978" s="234"/>
      <c r="RZJ978" s="234"/>
      <c r="RZK978" s="234"/>
      <c r="RZL978" s="236"/>
      <c r="RZM978" s="244"/>
      <c r="RZN978" s="239"/>
      <c r="RZO978" s="240"/>
      <c r="RZP978" s="241"/>
      <c r="RZQ978" s="239"/>
      <c r="RZR978" s="239"/>
      <c r="RZS978" s="239"/>
      <c r="RZT978" s="239"/>
      <c r="RZU978" s="239"/>
      <c r="RZV978" s="239"/>
      <c r="RZW978" s="233"/>
      <c r="RZX978" s="235"/>
      <c r="RZY978" s="233"/>
      <c r="RZZ978" s="233"/>
      <c r="SAA978" s="234"/>
      <c r="SAB978" s="234"/>
      <c r="SAC978" s="242"/>
      <c r="SAD978" s="234"/>
      <c r="SAE978" s="234"/>
      <c r="SAF978" s="234"/>
      <c r="SAG978" s="236"/>
      <c r="SAH978" s="244"/>
      <c r="SAI978" s="239"/>
      <c r="SAJ978" s="240"/>
      <c r="SAK978" s="241"/>
      <c r="SAL978" s="239"/>
      <c r="SAM978" s="239"/>
      <c r="SAN978" s="239"/>
      <c r="SAO978" s="239"/>
      <c r="SAP978" s="239"/>
      <c r="SAQ978" s="239"/>
      <c r="SAR978" s="233"/>
      <c r="SAS978" s="235"/>
      <c r="SAT978" s="233"/>
      <c r="SAU978" s="233"/>
      <c r="SAV978" s="234"/>
      <c r="SAW978" s="234"/>
      <c r="SAX978" s="242"/>
      <c r="SAY978" s="234"/>
      <c r="SAZ978" s="234"/>
      <c r="SBA978" s="234"/>
      <c r="SBB978" s="236"/>
      <c r="SBC978" s="244"/>
      <c r="SBD978" s="239"/>
      <c r="SBE978" s="240"/>
      <c r="SBF978" s="241"/>
      <c r="SBG978" s="239"/>
      <c r="SBH978" s="239"/>
      <c r="SBI978" s="239"/>
      <c r="SBJ978" s="239"/>
      <c r="SBK978" s="239"/>
      <c r="SBL978" s="239"/>
      <c r="SBM978" s="233"/>
      <c r="SBN978" s="235"/>
      <c r="SBO978" s="233"/>
      <c r="SBP978" s="233"/>
      <c r="SBQ978" s="234"/>
      <c r="SBR978" s="234"/>
      <c r="SBS978" s="242"/>
      <c r="SBT978" s="234"/>
      <c r="SBU978" s="234"/>
      <c r="SBV978" s="234"/>
      <c r="SBW978" s="236"/>
      <c r="SBX978" s="244"/>
      <c r="SBY978" s="239"/>
      <c r="SBZ978" s="240"/>
      <c r="SCA978" s="241"/>
      <c r="SCB978" s="239"/>
      <c r="SCC978" s="239"/>
      <c r="SCD978" s="239"/>
      <c r="SCE978" s="239"/>
      <c r="SCF978" s="239"/>
      <c r="SCG978" s="239"/>
      <c r="SCH978" s="233"/>
      <c r="SCI978" s="235"/>
      <c r="SCJ978" s="233"/>
      <c r="SCK978" s="233"/>
      <c r="SCL978" s="234"/>
      <c r="SCM978" s="234"/>
      <c r="SCN978" s="242"/>
      <c r="SCO978" s="234"/>
      <c r="SCP978" s="234"/>
      <c r="SCQ978" s="234"/>
      <c r="SCR978" s="236"/>
      <c r="SCS978" s="244"/>
      <c r="SCT978" s="239"/>
      <c r="SCU978" s="240"/>
      <c r="SCV978" s="241"/>
      <c r="SCW978" s="239"/>
      <c r="SCX978" s="239"/>
      <c r="SCY978" s="239"/>
      <c r="SCZ978" s="239"/>
      <c r="SDA978" s="239"/>
      <c r="SDB978" s="239"/>
      <c r="SDC978" s="233"/>
      <c r="SDD978" s="235"/>
      <c r="SDE978" s="233"/>
      <c r="SDF978" s="233"/>
      <c r="SDG978" s="234"/>
      <c r="SDH978" s="234"/>
      <c r="SDI978" s="242"/>
      <c r="SDJ978" s="234"/>
      <c r="SDK978" s="234"/>
      <c r="SDL978" s="234"/>
      <c r="SDM978" s="236"/>
      <c r="SDN978" s="244"/>
      <c r="SDO978" s="239"/>
      <c r="SDP978" s="240"/>
      <c r="SDQ978" s="241"/>
      <c r="SDR978" s="239"/>
      <c r="SDS978" s="239"/>
      <c r="SDT978" s="239"/>
      <c r="SDU978" s="239"/>
      <c r="SDV978" s="239"/>
      <c r="SDW978" s="239"/>
      <c r="SDX978" s="233"/>
      <c r="SDY978" s="235"/>
      <c r="SDZ978" s="233"/>
      <c r="SEA978" s="233"/>
      <c r="SEB978" s="234"/>
      <c r="SEC978" s="234"/>
      <c r="SED978" s="242"/>
      <c r="SEE978" s="234"/>
      <c r="SEF978" s="234"/>
      <c r="SEG978" s="234"/>
      <c r="SEH978" s="236"/>
      <c r="SEI978" s="244"/>
      <c r="SEJ978" s="239"/>
      <c r="SEK978" s="240"/>
      <c r="SEL978" s="241"/>
      <c r="SEM978" s="239"/>
      <c r="SEN978" s="239"/>
      <c r="SEO978" s="239"/>
      <c r="SEP978" s="239"/>
      <c r="SEQ978" s="239"/>
      <c r="SER978" s="239"/>
      <c r="SES978" s="233"/>
      <c r="SET978" s="235"/>
      <c r="SEU978" s="233"/>
      <c r="SEV978" s="233"/>
      <c r="SEW978" s="234"/>
      <c r="SEX978" s="234"/>
      <c r="SEY978" s="242"/>
      <c r="SEZ978" s="234"/>
      <c r="SFA978" s="234"/>
      <c r="SFB978" s="234"/>
      <c r="SFC978" s="236"/>
      <c r="SFD978" s="244"/>
      <c r="SFE978" s="239"/>
      <c r="SFF978" s="240"/>
      <c r="SFG978" s="241"/>
      <c r="SFH978" s="239"/>
      <c r="SFI978" s="239"/>
      <c r="SFJ978" s="239"/>
      <c r="SFK978" s="239"/>
      <c r="SFL978" s="239"/>
      <c r="SFM978" s="239"/>
      <c r="SFN978" s="233"/>
      <c r="SFO978" s="235"/>
      <c r="SFP978" s="233"/>
      <c r="SFQ978" s="233"/>
      <c r="SFR978" s="234"/>
      <c r="SFS978" s="234"/>
      <c r="SFT978" s="242"/>
      <c r="SFU978" s="234"/>
      <c r="SFV978" s="234"/>
      <c r="SFW978" s="234"/>
      <c r="SFX978" s="236"/>
      <c r="SFY978" s="244"/>
      <c r="SFZ978" s="239"/>
      <c r="SGA978" s="240"/>
      <c r="SGB978" s="241"/>
      <c r="SGC978" s="239"/>
      <c r="SGD978" s="239"/>
      <c r="SGE978" s="239"/>
      <c r="SGF978" s="239"/>
      <c r="SGG978" s="239"/>
      <c r="SGH978" s="239"/>
      <c r="SGI978" s="233"/>
      <c r="SGJ978" s="235"/>
      <c r="SGK978" s="233"/>
      <c r="SGL978" s="233"/>
      <c r="SGM978" s="234"/>
      <c r="SGN978" s="234"/>
      <c r="SGO978" s="242"/>
      <c r="SGP978" s="234"/>
      <c r="SGQ978" s="234"/>
      <c r="SGR978" s="234"/>
      <c r="SGS978" s="236"/>
      <c r="SGT978" s="244"/>
      <c r="SGU978" s="239"/>
      <c r="SGV978" s="240"/>
      <c r="SGW978" s="241"/>
      <c r="SGX978" s="239"/>
      <c r="SGY978" s="239"/>
      <c r="SGZ978" s="239"/>
      <c r="SHA978" s="239"/>
      <c r="SHB978" s="239"/>
      <c r="SHC978" s="239"/>
      <c r="SHD978" s="233"/>
      <c r="SHE978" s="235"/>
      <c r="SHF978" s="233"/>
      <c r="SHG978" s="233"/>
      <c r="SHH978" s="234"/>
      <c r="SHI978" s="234"/>
      <c r="SHJ978" s="242"/>
      <c r="SHK978" s="234"/>
      <c r="SHL978" s="234"/>
      <c r="SHM978" s="234"/>
      <c r="SHN978" s="236"/>
      <c r="SHO978" s="244"/>
      <c r="SHP978" s="239"/>
      <c r="SHQ978" s="240"/>
      <c r="SHR978" s="241"/>
      <c r="SHS978" s="239"/>
      <c r="SHT978" s="239"/>
      <c r="SHU978" s="239"/>
      <c r="SHV978" s="239"/>
      <c r="SHW978" s="239"/>
      <c r="SHX978" s="239"/>
      <c r="SHY978" s="233"/>
      <c r="SHZ978" s="235"/>
      <c r="SIA978" s="233"/>
      <c r="SIB978" s="233"/>
      <c r="SIC978" s="234"/>
      <c r="SID978" s="234"/>
      <c r="SIE978" s="242"/>
      <c r="SIF978" s="234"/>
      <c r="SIG978" s="234"/>
      <c r="SIH978" s="234"/>
      <c r="SII978" s="236"/>
      <c r="SIJ978" s="244"/>
      <c r="SIK978" s="239"/>
      <c r="SIL978" s="240"/>
      <c r="SIM978" s="241"/>
      <c r="SIN978" s="239"/>
      <c r="SIO978" s="239"/>
      <c r="SIP978" s="239"/>
      <c r="SIQ978" s="239"/>
      <c r="SIR978" s="239"/>
      <c r="SIS978" s="239"/>
      <c r="SIT978" s="233"/>
      <c r="SIU978" s="235"/>
      <c r="SIV978" s="233"/>
      <c r="SIW978" s="233"/>
      <c r="SIX978" s="234"/>
      <c r="SIY978" s="234"/>
      <c r="SIZ978" s="242"/>
      <c r="SJA978" s="234"/>
      <c r="SJB978" s="234"/>
      <c r="SJC978" s="234"/>
      <c r="SJD978" s="236"/>
      <c r="SJE978" s="244"/>
      <c r="SJF978" s="239"/>
      <c r="SJG978" s="240"/>
      <c r="SJH978" s="241"/>
      <c r="SJI978" s="239"/>
      <c r="SJJ978" s="239"/>
      <c r="SJK978" s="239"/>
      <c r="SJL978" s="239"/>
      <c r="SJM978" s="239"/>
      <c r="SJN978" s="239"/>
      <c r="SJO978" s="233"/>
      <c r="SJP978" s="235"/>
      <c r="SJQ978" s="233"/>
      <c r="SJR978" s="233"/>
      <c r="SJS978" s="234"/>
      <c r="SJT978" s="234"/>
      <c r="SJU978" s="242"/>
      <c r="SJV978" s="234"/>
      <c r="SJW978" s="234"/>
      <c r="SJX978" s="234"/>
      <c r="SJY978" s="236"/>
      <c r="SJZ978" s="244"/>
      <c r="SKA978" s="239"/>
      <c r="SKB978" s="240"/>
      <c r="SKC978" s="241"/>
      <c r="SKD978" s="239"/>
      <c r="SKE978" s="239"/>
      <c r="SKF978" s="239"/>
      <c r="SKG978" s="239"/>
      <c r="SKH978" s="239"/>
      <c r="SKI978" s="239"/>
      <c r="SKJ978" s="233"/>
      <c r="SKK978" s="235"/>
      <c r="SKL978" s="233"/>
      <c r="SKM978" s="233"/>
      <c r="SKN978" s="234"/>
      <c r="SKO978" s="234"/>
      <c r="SKP978" s="242"/>
      <c r="SKQ978" s="234"/>
      <c r="SKR978" s="234"/>
      <c r="SKS978" s="234"/>
      <c r="SKT978" s="236"/>
      <c r="SKU978" s="244"/>
      <c r="SKV978" s="239"/>
      <c r="SKW978" s="240"/>
      <c r="SKX978" s="241"/>
      <c r="SKY978" s="239"/>
      <c r="SKZ978" s="239"/>
      <c r="SLA978" s="239"/>
      <c r="SLB978" s="239"/>
      <c r="SLC978" s="239"/>
      <c r="SLD978" s="239"/>
      <c r="SLE978" s="233"/>
      <c r="SLF978" s="235"/>
      <c r="SLG978" s="233"/>
      <c r="SLH978" s="233"/>
      <c r="SLI978" s="234"/>
      <c r="SLJ978" s="234"/>
      <c r="SLK978" s="242"/>
      <c r="SLL978" s="234"/>
      <c r="SLM978" s="234"/>
      <c r="SLN978" s="234"/>
      <c r="SLO978" s="236"/>
      <c r="SLP978" s="244"/>
      <c r="SLQ978" s="239"/>
      <c r="SLR978" s="240"/>
      <c r="SLS978" s="241"/>
      <c r="SLT978" s="239"/>
      <c r="SLU978" s="239"/>
      <c r="SLV978" s="239"/>
      <c r="SLW978" s="239"/>
      <c r="SLX978" s="239"/>
      <c r="SLY978" s="239"/>
      <c r="SLZ978" s="233"/>
      <c r="SMA978" s="235"/>
      <c r="SMB978" s="233"/>
      <c r="SMC978" s="233"/>
      <c r="SMD978" s="234"/>
      <c r="SME978" s="234"/>
      <c r="SMF978" s="242"/>
      <c r="SMG978" s="234"/>
      <c r="SMH978" s="234"/>
      <c r="SMI978" s="234"/>
      <c r="SMJ978" s="236"/>
      <c r="SMK978" s="244"/>
      <c r="SML978" s="239"/>
      <c r="SMM978" s="240"/>
      <c r="SMN978" s="241"/>
      <c r="SMO978" s="239"/>
      <c r="SMP978" s="239"/>
      <c r="SMQ978" s="239"/>
      <c r="SMR978" s="239"/>
      <c r="SMS978" s="239"/>
      <c r="SMT978" s="239"/>
      <c r="SMU978" s="233"/>
      <c r="SMV978" s="235"/>
      <c r="SMW978" s="233"/>
      <c r="SMX978" s="233"/>
      <c r="SMY978" s="234"/>
      <c r="SMZ978" s="234"/>
      <c r="SNA978" s="242"/>
      <c r="SNB978" s="234"/>
      <c r="SNC978" s="234"/>
      <c r="SND978" s="234"/>
      <c r="SNE978" s="236"/>
      <c r="SNF978" s="244"/>
      <c r="SNG978" s="239"/>
      <c r="SNH978" s="240"/>
      <c r="SNI978" s="241"/>
      <c r="SNJ978" s="239"/>
      <c r="SNK978" s="239"/>
      <c r="SNL978" s="239"/>
      <c r="SNM978" s="239"/>
      <c r="SNN978" s="239"/>
      <c r="SNO978" s="239"/>
      <c r="SNP978" s="233"/>
      <c r="SNQ978" s="235"/>
      <c r="SNR978" s="233"/>
      <c r="SNS978" s="233"/>
      <c r="SNT978" s="234"/>
      <c r="SNU978" s="234"/>
      <c r="SNV978" s="242"/>
      <c r="SNW978" s="234"/>
      <c r="SNX978" s="234"/>
      <c r="SNY978" s="234"/>
      <c r="SNZ978" s="236"/>
      <c r="SOA978" s="244"/>
      <c r="SOB978" s="239"/>
      <c r="SOC978" s="240"/>
      <c r="SOD978" s="241"/>
      <c r="SOE978" s="239"/>
      <c r="SOF978" s="239"/>
      <c r="SOG978" s="239"/>
      <c r="SOH978" s="239"/>
      <c r="SOI978" s="239"/>
      <c r="SOJ978" s="239"/>
      <c r="SOK978" s="233"/>
      <c r="SOL978" s="235"/>
      <c r="SOM978" s="233"/>
      <c r="SON978" s="233"/>
      <c r="SOO978" s="234"/>
      <c r="SOP978" s="234"/>
      <c r="SOQ978" s="242"/>
      <c r="SOR978" s="234"/>
      <c r="SOS978" s="234"/>
      <c r="SOT978" s="234"/>
      <c r="SOU978" s="236"/>
      <c r="SOV978" s="244"/>
      <c r="SOW978" s="239"/>
      <c r="SOX978" s="240"/>
      <c r="SOY978" s="241"/>
      <c r="SOZ978" s="239"/>
      <c r="SPA978" s="239"/>
      <c r="SPB978" s="239"/>
      <c r="SPC978" s="239"/>
      <c r="SPD978" s="239"/>
      <c r="SPE978" s="239"/>
      <c r="SPF978" s="233"/>
      <c r="SPG978" s="235"/>
      <c r="SPH978" s="233"/>
      <c r="SPI978" s="233"/>
      <c r="SPJ978" s="234"/>
      <c r="SPK978" s="234"/>
      <c r="SPL978" s="242"/>
      <c r="SPM978" s="234"/>
      <c r="SPN978" s="234"/>
      <c r="SPO978" s="234"/>
      <c r="SPP978" s="236"/>
      <c r="SPQ978" s="244"/>
      <c r="SPR978" s="239"/>
      <c r="SPS978" s="240"/>
      <c r="SPT978" s="241"/>
      <c r="SPU978" s="239"/>
      <c r="SPV978" s="239"/>
      <c r="SPW978" s="239"/>
      <c r="SPX978" s="239"/>
      <c r="SPY978" s="239"/>
      <c r="SPZ978" s="239"/>
      <c r="SQA978" s="233"/>
      <c r="SQB978" s="235"/>
      <c r="SQC978" s="233"/>
      <c r="SQD978" s="233"/>
      <c r="SQE978" s="234"/>
      <c r="SQF978" s="234"/>
      <c r="SQG978" s="242"/>
      <c r="SQH978" s="234"/>
      <c r="SQI978" s="234"/>
      <c r="SQJ978" s="234"/>
      <c r="SQK978" s="236"/>
      <c r="SQL978" s="244"/>
      <c r="SQM978" s="239"/>
      <c r="SQN978" s="240"/>
      <c r="SQO978" s="241"/>
      <c r="SQP978" s="239"/>
      <c r="SQQ978" s="239"/>
      <c r="SQR978" s="239"/>
      <c r="SQS978" s="239"/>
      <c r="SQT978" s="239"/>
      <c r="SQU978" s="239"/>
      <c r="SQV978" s="233"/>
      <c r="SQW978" s="235"/>
      <c r="SQX978" s="233"/>
      <c r="SQY978" s="233"/>
      <c r="SQZ978" s="234"/>
      <c r="SRA978" s="234"/>
      <c r="SRB978" s="242"/>
      <c r="SRC978" s="234"/>
      <c r="SRD978" s="234"/>
      <c r="SRE978" s="234"/>
      <c r="SRF978" s="236"/>
      <c r="SRG978" s="244"/>
      <c r="SRH978" s="239"/>
      <c r="SRI978" s="240"/>
      <c r="SRJ978" s="241"/>
      <c r="SRK978" s="239"/>
      <c r="SRL978" s="239"/>
      <c r="SRM978" s="239"/>
      <c r="SRN978" s="239"/>
      <c r="SRO978" s="239"/>
      <c r="SRP978" s="239"/>
      <c r="SRQ978" s="233"/>
      <c r="SRR978" s="235"/>
      <c r="SRS978" s="233"/>
      <c r="SRT978" s="233"/>
      <c r="SRU978" s="234"/>
      <c r="SRV978" s="234"/>
      <c r="SRW978" s="242"/>
      <c r="SRX978" s="234"/>
      <c r="SRY978" s="234"/>
      <c r="SRZ978" s="234"/>
      <c r="SSA978" s="236"/>
      <c r="SSB978" s="244"/>
      <c r="SSC978" s="239"/>
      <c r="SSD978" s="240"/>
      <c r="SSE978" s="241"/>
      <c r="SSF978" s="239"/>
      <c r="SSG978" s="239"/>
      <c r="SSH978" s="239"/>
      <c r="SSI978" s="239"/>
      <c r="SSJ978" s="239"/>
      <c r="SSK978" s="239"/>
      <c r="SSL978" s="233"/>
      <c r="SSM978" s="235"/>
      <c r="SSN978" s="233"/>
      <c r="SSO978" s="233"/>
      <c r="SSP978" s="234"/>
      <c r="SSQ978" s="234"/>
      <c r="SSR978" s="242"/>
      <c r="SSS978" s="234"/>
      <c r="SST978" s="234"/>
      <c r="SSU978" s="234"/>
      <c r="SSV978" s="236"/>
      <c r="SSW978" s="244"/>
      <c r="SSX978" s="239"/>
      <c r="SSY978" s="240"/>
      <c r="SSZ978" s="241"/>
      <c r="STA978" s="239"/>
      <c r="STB978" s="239"/>
      <c r="STC978" s="239"/>
      <c r="STD978" s="239"/>
      <c r="STE978" s="239"/>
      <c r="STF978" s="239"/>
      <c r="STG978" s="233"/>
      <c r="STH978" s="235"/>
      <c r="STI978" s="233"/>
      <c r="STJ978" s="233"/>
      <c r="STK978" s="234"/>
      <c r="STL978" s="234"/>
      <c r="STM978" s="242"/>
      <c r="STN978" s="234"/>
      <c r="STO978" s="234"/>
      <c r="STP978" s="234"/>
      <c r="STQ978" s="236"/>
      <c r="STR978" s="244"/>
      <c r="STS978" s="239"/>
      <c r="STT978" s="240"/>
      <c r="STU978" s="241"/>
      <c r="STV978" s="239"/>
      <c r="STW978" s="239"/>
      <c r="STX978" s="239"/>
      <c r="STY978" s="239"/>
      <c r="STZ978" s="239"/>
      <c r="SUA978" s="239"/>
      <c r="SUB978" s="233"/>
      <c r="SUC978" s="235"/>
      <c r="SUD978" s="233"/>
      <c r="SUE978" s="233"/>
      <c r="SUF978" s="234"/>
      <c r="SUG978" s="234"/>
      <c r="SUH978" s="242"/>
      <c r="SUI978" s="234"/>
      <c r="SUJ978" s="234"/>
      <c r="SUK978" s="234"/>
      <c r="SUL978" s="236"/>
      <c r="SUM978" s="244"/>
      <c r="SUN978" s="239"/>
      <c r="SUO978" s="240"/>
      <c r="SUP978" s="241"/>
      <c r="SUQ978" s="239"/>
      <c r="SUR978" s="239"/>
      <c r="SUS978" s="239"/>
      <c r="SUT978" s="239"/>
      <c r="SUU978" s="239"/>
      <c r="SUV978" s="239"/>
      <c r="SUW978" s="233"/>
      <c r="SUX978" s="235"/>
      <c r="SUY978" s="233"/>
      <c r="SUZ978" s="233"/>
      <c r="SVA978" s="234"/>
      <c r="SVB978" s="234"/>
      <c r="SVC978" s="242"/>
      <c r="SVD978" s="234"/>
      <c r="SVE978" s="234"/>
      <c r="SVF978" s="234"/>
      <c r="SVG978" s="236"/>
      <c r="SVH978" s="244"/>
      <c r="SVI978" s="239"/>
      <c r="SVJ978" s="240"/>
      <c r="SVK978" s="241"/>
      <c r="SVL978" s="239"/>
      <c r="SVM978" s="239"/>
      <c r="SVN978" s="239"/>
      <c r="SVO978" s="239"/>
      <c r="SVP978" s="239"/>
      <c r="SVQ978" s="239"/>
      <c r="SVR978" s="233"/>
      <c r="SVS978" s="235"/>
      <c r="SVT978" s="233"/>
      <c r="SVU978" s="233"/>
      <c r="SVV978" s="234"/>
      <c r="SVW978" s="234"/>
      <c r="SVX978" s="242"/>
      <c r="SVY978" s="234"/>
      <c r="SVZ978" s="234"/>
      <c r="SWA978" s="234"/>
      <c r="SWB978" s="236"/>
      <c r="SWC978" s="244"/>
      <c r="SWD978" s="239"/>
      <c r="SWE978" s="240"/>
      <c r="SWF978" s="241"/>
      <c r="SWG978" s="239"/>
      <c r="SWH978" s="239"/>
      <c r="SWI978" s="239"/>
      <c r="SWJ978" s="239"/>
      <c r="SWK978" s="239"/>
      <c r="SWL978" s="239"/>
      <c r="SWM978" s="233"/>
      <c r="SWN978" s="235"/>
      <c r="SWO978" s="233"/>
      <c r="SWP978" s="233"/>
      <c r="SWQ978" s="234"/>
      <c r="SWR978" s="234"/>
      <c r="SWS978" s="242"/>
      <c r="SWT978" s="234"/>
      <c r="SWU978" s="234"/>
      <c r="SWV978" s="234"/>
      <c r="SWW978" s="236"/>
      <c r="SWX978" s="244"/>
      <c r="SWY978" s="239"/>
      <c r="SWZ978" s="240"/>
      <c r="SXA978" s="241"/>
      <c r="SXB978" s="239"/>
      <c r="SXC978" s="239"/>
      <c r="SXD978" s="239"/>
      <c r="SXE978" s="239"/>
      <c r="SXF978" s="239"/>
      <c r="SXG978" s="239"/>
      <c r="SXH978" s="233"/>
      <c r="SXI978" s="235"/>
      <c r="SXJ978" s="233"/>
      <c r="SXK978" s="233"/>
      <c r="SXL978" s="234"/>
      <c r="SXM978" s="234"/>
      <c r="SXN978" s="242"/>
      <c r="SXO978" s="234"/>
      <c r="SXP978" s="234"/>
      <c r="SXQ978" s="234"/>
      <c r="SXR978" s="236"/>
      <c r="SXS978" s="244"/>
      <c r="SXT978" s="239"/>
      <c r="SXU978" s="240"/>
      <c r="SXV978" s="241"/>
      <c r="SXW978" s="239"/>
      <c r="SXX978" s="239"/>
      <c r="SXY978" s="239"/>
      <c r="SXZ978" s="239"/>
      <c r="SYA978" s="239"/>
      <c r="SYB978" s="239"/>
      <c r="SYC978" s="233"/>
      <c r="SYD978" s="235"/>
      <c r="SYE978" s="233"/>
      <c r="SYF978" s="233"/>
      <c r="SYG978" s="234"/>
      <c r="SYH978" s="234"/>
      <c r="SYI978" s="242"/>
      <c r="SYJ978" s="234"/>
      <c r="SYK978" s="234"/>
      <c r="SYL978" s="234"/>
      <c r="SYM978" s="236"/>
      <c r="SYN978" s="244"/>
      <c r="SYO978" s="239"/>
      <c r="SYP978" s="240"/>
      <c r="SYQ978" s="241"/>
      <c r="SYR978" s="239"/>
      <c r="SYS978" s="239"/>
      <c r="SYT978" s="239"/>
      <c r="SYU978" s="239"/>
      <c r="SYV978" s="239"/>
      <c r="SYW978" s="239"/>
      <c r="SYX978" s="233"/>
      <c r="SYY978" s="235"/>
      <c r="SYZ978" s="233"/>
      <c r="SZA978" s="233"/>
      <c r="SZB978" s="234"/>
      <c r="SZC978" s="234"/>
      <c r="SZD978" s="242"/>
      <c r="SZE978" s="234"/>
      <c r="SZF978" s="234"/>
      <c r="SZG978" s="234"/>
      <c r="SZH978" s="236"/>
      <c r="SZI978" s="244"/>
      <c r="SZJ978" s="239"/>
      <c r="SZK978" s="240"/>
      <c r="SZL978" s="241"/>
      <c r="SZM978" s="239"/>
      <c r="SZN978" s="239"/>
      <c r="SZO978" s="239"/>
      <c r="SZP978" s="239"/>
      <c r="SZQ978" s="239"/>
      <c r="SZR978" s="239"/>
      <c r="SZS978" s="233"/>
      <c r="SZT978" s="235"/>
      <c r="SZU978" s="233"/>
      <c r="SZV978" s="233"/>
      <c r="SZW978" s="234"/>
      <c r="SZX978" s="234"/>
      <c r="SZY978" s="242"/>
      <c r="SZZ978" s="234"/>
      <c r="TAA978" s="234"/>
      <c r="TAB978" s="234"/>
      <c r="TAC978" s="236"/>
      <c r="TAD978" s="244"/>
      <c r="TAE978" s="239"/>
      <c r="TAF978" s="240"/>
      <c r="TAG978" s="241"/>
      <c r="TAH978" s="239"/>
      <c r="TAI978" s="239"/>
      <c r="TAJ978" s="239"/>
      <c r="TAK978" s="239"/>
      <c r="TAL978" s="239"/>
      <c r="TAM978" s="239"/>
      <c r="TAN978" s="233"/>
      <c r="TAO978" s="235"/>
      <c r="TAP978" s="233"/>
      <c r="TAQ978" s="233"/>
      <c r="TAR978" s="234"/>
      <c r="TAS978" s="234"/>
      <c r="TAT978" s="242"/>
      <c r="TAU978" s="234"/>
      <c r="TAV978" s="234"/>
      <c r="TAW978" s="234"/>
      <c r="TAX978" s="236"/>
      <c r="TAY978" s="244"/>
      <c r="TAZ978" s="239"/>
      <c r="TBA978" s="240"/>
      <c r="TBB978" s="241"/>
      <c r="TBC978" s="239"/>
      <c r="TBD978" s="239"/>
      <c r="TBE978" s="239"/>
      <c r="TBF978" s="239"/>
      <c r="TBG978" s="239"/>
      <c r="TBH978" s="239"/>
      <c r="TBI978" s="233"/>
      <c r="TBJ978" s="235"/>
      <c r="TBK978" s="233"/>
      <c r="TBL978" s="233"/>
      <c r="TBM978" s="234"/>
      <c r="TBN978" s="234"/>
      <c r="TBO978" s="242"/>
      <c r="TBP978" s="234"/>
      <c r="TBQ978" s="234"/>
      <c r="TBR978" s="234"/>
      <c r="TBS978" s="236"/>
      <c r="TBT978" s="244"/>
      <c r="TBU978" s="239"/>
      <c r="TBV978" s="240"/>
      <c r="TBW978" s="241"/>
      <c r="TBX978" s="239"/>
      <c r="TBY978" s="239"/>
      <c r="TBZ978" s="239"/>
      <c r="TCA978" s="239"/>
      <c r="TCB978" s="239"/>
      <c r="TCC978" s="239"/>
      <c r="TCD978" s="233"/>
      <c r="TCE978" s="235"/>
      <c r="TCF978" s="233"/>
      <c r="TCG978" s="233"/>
      <c r="TCH978" s="234"/>
      <c r="TCI978" s="234"/>
      <c r="TCJ978" s="242"/>
      <c r="TCK978" s="234"/>
      <c r="TCL978" s="234"/>
      <c r="TCM978" s="234"/>
      <c r="TCN978" s="236"/>
      <c r="TCO978" s="244"/>
      <c r="TCP978" s="239"/>
      <c r="TCQ978" s="240"/>
      <c r="TCR978" s="241"/>
      <c r="TCS978" s="239"/>
      <c r="TCT978" s="239"/>
      <c r="TCU978" s="239"/>
      <c r="TCV978" s="239"/>
      <c r="TCW978" s="239"/>
      <c r="TCX978" s="239"/>
      <c r="TCY978" s="233"/>
      <c r="TCZ978" s="235"/>
      <c r="TDA978" s="233"/>
      <c r="TDB978" s="233"/>
      <c r="TDC978" s="234"/>
      <c r="TDD978" s="234"/>
      <c r="TDE978" s="242"/>
      <c r="TDF978" s="234"/>
      <c r="TDG978" s="234"/>
      <c r="TDH978" s="234"/>
      <c r="TDI978" s="236"/>
      <c r="TDJ978" s="244"/>
      <c r="TDK978" s="239"/>
      <c r="TDL978" s="240"/>
      <c r="TDM978" s="241"/>
      <c r="TDN978" s="239"/>
      <c r="TDO978" s="239"/>
      <c r="TDP978" s="239"/>
      <c r="TDQ978" s="239"/>
      <c r="TDR978" s="239"/>
      <c r="TDS978" s="239"/>
      <c r="TDT978" s="233"/>
      <c r="TDU978" s="235"/>
      <c r="TDV978" s="233"/>
      <c r="TDW978" s="233"/>
      <c r="TDX978" s="234"/>
      <c r="TDY978" s="234"/>
      <c r="TDZ978" s="242"/>
      <c r="TEA978" s="234"/>
      <c r="TEB978" s="234"/>
      <c r="TEC978" s="234"/>
      <c r="TED978" s="236"/>
      <c r="TEE978" s="244"/>
      <c r="TEF978" s="239"/>
      <c r="TEG978" s="240"/>
      <c r="TEH978" s="241"/>
      <c r="TEI978" s="239"/>
      <c r="TEJ978" s="239"/>
      <c r="TEK978" s="239"/>
      <c r="TEL978" s="239"/>
      <c r="TEM978" s="239"/>
      <c r="TEN978" s="239"/>
      <c r="TEO978" s="233"/>
      <c r="TEP978" s="235"/>
      <c r="TEQ978" s="233"/>
      <c r="TER978" s="233"/>
      <c r="TES978" s="234"/>
      <c r="TET978" s="234"/>
      <c r="TEU978" s="242"/>
      <c r="TEV978" s="234"/>
      <c r="TEW978" s="234"/>
      <c r="TEX978" s="234"/>
      <c r="TEY978" s="236"/>
      <c r="TEZ978" s="244"/>
      <c r="TFA978" s="239"/>
      <c r="TFB978" s="240"/>
      <c r="TFC978" s="241"/>
      <c r="TFD978" s="239"/>
      <c r="TFE978" s="239"/>
      <c r="TFF978" s="239"/>
      <c r="TFG978" s="239"/>
      <c r="TFH978" s="239"/>
      <c r="TFI978" s="239"/>
      <c r="TFJ978" s="233"/>
      <c r="TFK978" s="235"/>
      <c r="TFL978" s="233"/>
      <c r="TFM978" s="233"/>
      <c r="TFN978" s="234"/>
      <c r="TFO978" s="234"/>
      <c r="TFP978" s="242"/>
      <c r="TFQ978" s="234"/>
      <c r="TFR978" s="234"/>
      <c r="TFS978" s="234"/>
      <c r="TFT978" s="236"/>
      <c r="TFU978" s="244"/>
      <c r="TFV978" s="239"/>
      <c r="TFW978" s="240"/>
      <c r="TFX978" s="241"/>
      <c r="TFY978" s="239"/>
      <c r="TFZ978" s="239"/>
      <c r="TGA978" s="239"/>
      <c r="TGB978" s="239"/>
      <c r="TGC978" s="239"/>
      <c r="TGD978" s="239"/>
      <c r="TGE978" s="233"/>
      <c r="TGF978" s="235"/>
      <c r="TGG978" s="233"/>
      <c r="TGH978" s="233"/>
      <c r="TGI978" s="234"/>
      <c r="TGJ978" s="234"/>
      <c r="TGK978" s="242"/>
      <c r="TGL978" s="234"/>
      <c r="TGM978" s="234"/>
      <c r="TGN978" s="234"/>
      <c r="TGO978" s="236"/>
      <c r="TGP978" s="244"/>
      <c r="TGQ978" s="239"/>
      <c r="TGR978" s="240"/>
      <c r="TGS978" s="241"/>
      <c r="TGT978" s="239"/>
      <c r="TGU978" s="239"/>
      <c r="TGV978" s="239"/>
      <c r="TGW978" s="239"/>
      <c r="TGX978" s="239"/>
      <c r="TGY978" s="239"/>
      <c r="TGZ978" s="233"/>
      <c r="THA978" s="235"/>
      <c r="THB978" s="233"/>
      <c r="THC978" s="233"/>
      <c r="THD978" s="234"/>
      <c r="THE978" s="234"/>
      <c r="THF978" s="242"/>
      <c r="THG978" s="234"/>
      <c r="THH978" s="234"/>
      <c r="THI978" s="234"/>
      <c r="THJ978" s="236"/>
      <c r="THK978" s="244"/>
      <c r="THL978" s="239"/>
      <c r="THM978" s="240"/>
      <c r="THN978" s="241"/>
      <c r="THO978" s="239"/>
      <c r="THP978" s="239"/>
      <c r="THQ978" s="239"/>
      <c r="THR978" s="239"/>
      <c r="THS978" s="239"/>
      <c r="THT978" s="239"/>
      <c r="THU978" s="233"/>
      <c r="THV978" s="235"/>
      <c r="THW978" s="233"/>
      <c r="THX978" s="233"/>
      <c r="THY978" s="234"/>
      <c r="THZ978" s="234"/>
      <c r="TIA978" s="242"/>
      <c r="TIB978" s="234"/>
      <c r="TIC978" s="234"/>
      <c r="TID978" s="234"/>
      <c r="TIE978" s="236"/>
      <c r="TIF978" s="244"/>
      <c r="TIG978" s="239"/>
      <c r="TIH978" s="240"/>
      <c r="TII978" s="241"/>
      <c r="TIJ978" s="239"/>
      <c r="TIK978" s="239"/>
      <c r="TIL978" s="239"/>
      <c r="TIM978" s="239"/>
      <c r="TIN978" s="239"/>
      <c r="TIO978" s="239"/>
      <c r="TIP978" s="233"/>
      <c r="TIQ978" s="235"/>
      <c r="TIR978" s="233"/>
      <c r="TIS978" s="233"/>
      <c r="TIT978" s="234"/>
      <c r="TIU978" s="234"/>
      <c r="TIV978" s="242"/>
      <c r="TIW978" s="234"/>
      <c r="TIX978" s="234"/>
      <c r="TIY978" s="234"/>
      <c r="TIZ978" s="236"/>
      <c r="TJA978" s="244"/>
      <c r="TJB978" s="239"/>
      <c r="TJC978" s="240"/>
      <c r="TJD978" s="241"/>
      <c r="TJE978" s="239"/>
      <c r="TJF978" s="239"/>
      <c r="TJG978" s="239"/>
      <c r="TJH978" s="239"/>
      <c r="TJI978" s="239"/>
      <c r="TJJ978" s="239"/>
      <c r="TJK978" s="233"/>
      <c r="TJL978" s="235"/>
      <c r="TJM978" s="233"/>
      <c r="TJN978" s="233"/>
      <c r="TJO978" s="234"/>
      <c r="TJP978" s="234"/>
      <c r="TJQ978" s="242"/>
      <c r="TJR978" s="234"/>
      <c r="TJS978" s="234"/>
      <c r="TJT978" s="234"/>
      <c r="TJU978" s="236"/>
      <c r="TJV978" s="244"/>
      <c r="TJW978" s="239"/>
      <c r="TJX978" s="240"/>
      <c r="TJY978" s="241"/>
      <c r="TJZ978" s="239"/>
      <c r="TKA978" s="239"/>
      <c r="TKB978" s="239"/>
      <c r="TKC978" s="239"/>
      <c r="TKD978" s="239"/>
      <c r="TKE978" s="239"/>
      <c r="TKF978" s="233"/>
      <c r="TKG978" s="235"/>
      <c r="TKH978" s="233"/>
      <c r="TKI978" s="233"/>
      <c r="TKJ978" s="234"/>
      <c r="TKK978" s="234"/>
      <c r="TKL978" s="242"/>
      <c r="TKM978" s="234"/>
      <c r="TKN978" s="234"/>
      <c r="TKO978" s="234"/>
      <c r="TKP978" s="236"/>
      <c r="TKQ978" s="244"/>
      <c r="TKR978" s="239"/>
      <c r="TKS978" s="240"/>
      <c r="TKT978" s="241"/>
      <c r="TKU978" s="239"/>
      <c r="TKV978" s="239"/>
      <c r="TKW978" s="239"/>
      <c r="TKX978" s="239"/>
      <c r="TKY978" s="239"/>
      <c r="TKZ978" s="239"/>
      <c r="TLA978" s="233"/>
      <c r="TLB978" s="235"/>
      <c r="TLC978" s="233"/>
      <c r="TLD978" s="233"/>
      <c r="TLE978" s="234"/>
      <c r="TLF978" s="234"/>
      <c r="TLG978" s="242"/>
      <c r="TLH978" s="234"/>
      <c r="TLI978" s="234"/>
      <c r="TLJ978" s="234"/>
      <c r="TLK978" s="236"/>
      <c r="TLL978" s="244"/>
      <c r="TLM978" s="239"/>
      <c r="TLN978" s="240"/>
      <c r="TLO978" s="241"/>
      <c r="TLP978" s="239"/>
      <c r="TLQ978" s="239"/>
      <c r="TLR978" s="239"/>
      <c r="TLS978" s="239"/>
      <c r="TLT978" s="239"/>
      <c r="TLU978" s="239"/>
      <c r="TLV978" s="233"/>
      <c r="TLW978" s="235"/>
      <c r="TLX978" s="233"/>
      <c r="TLY978" s="233"/>
      <c r="TLZ978" s="234"/>
      <c r="TMA978" s="234"/>
      <c r="TMB978" s="242"/>
      <c r="TMC978" s="234"/>
      <c r="TMD978" s="234"/>
      <c r="TME978" s="234"/>
      <c r="TMF978" s="236"/>
      <c r="TMG978" s="244"/>
      <c r="TMH978" s="239"/>
      <c r="TMI978" s="240"/>
      <c r="TMJ978" s="241"/>
      <c r="TMK978" s="239"/>
      <c r="TML978" s="239"/>
      <c r="TMM978" s="239"/>
      <c r="TMN978" s="239"/>
      <c r="TMO978" s="239"/>
      <c r="TMP978" s="239"/>
      <c r="TMQ978" s="233"/>
      <c r="TMR978" s="235"/>
      <c r="TMS978" s="233"/>
      <c r="TMT978" s="233"/>
      <c r="TMU978" s="234"/>
      <c r="TMV978" s="234"/>
      <c r="TMW978" s="242"/>
      <c r="TMX978" s="234"/>
      <c r="TMY978" s="234"/>
      <c r="TMZ978" s="234"/>
      <c r="TNA978" s="236"/>
      <c r="TNB978" s="244"/>
      <c r="TNC978" s="239"/>
      <c r="TND978" s="240"/>
      <c r="TNE978" s="241"/>
      <c r="TNF978" s="239"/>
      <c r="TNG978" s="239"/>
      <c r="TNH978" s="239"/>
      <c r="TNI978" s="239"/>
      <c r="TNJ978" s="239"/>
      <c r="TNK978" s="239"/>
      <c r="TNL978" s="233"/>
      <c r="TNM978" s="235"/>
      <c r="TNN978" s="233"/>
      <c r="TNO978" s="233"/>
      <c r="TNP978" s="234"/>
      <c r="TNQ978" s="234"/>
      <c r="TNR978" s="242"/>
      <c r="TNS978" s="234"/>
      <c r="TNT978" s="234"/>
      <c r="TNU978" s="234"/>
      <c r="TNV978" s="236"/>
      <c r="TNW978" s="244"/>
      <c r="TNX978" s="239"/>
      <c r="TNY978" s="240"/>
      <c r="TNZ978" s="241"/>
      <c r="TOA978" s="239"/>
      <c r="TOB978" s="239"/>
      <c r="TOC978" s="239"/>
      <c r="TOD978" s="239"/>
      <c r="TOE978" s="239"/>
      <c r="TOF978" s="239"/>
      <c r="TOG978" s="233"/>
      <c r="TOH978" s="235"/>
      <c r="TOI978" s="233"/>
      <c r="TOJ978" s="233"/>
      <c r="TOK978" s="234"/>
      <c r="TOL978" s="234"/>
      <c r="TOM978" s="242"/>
      <c r="TON978" s="234"/>
      <c r="TOO978" s="234"/>
      <c r="TOP978" s="234"/>
      <c r="TOQ978" s="236"/>
      <c r="TOR978" s="244"/>
      <c r="TOS978" s="239"/>
      <c r="TOT978" s="240"/>
      <c r="TOU978" s="241"/>
      <c r="TOV978" s="239"/>
      <c r="TOW978" s="239"/>
      <c r="TOX978" s="239"/>
      <c r="TOY978" s="239"/>
      <c r="TOZ978" s="239"/>
      <c r="TPA978" s="239"/>
      <c r="TPB978" s="233"/>
      <c r="TPC978" s="235"/>
      <c r="TPD978" s="233"/>
      <c r="TPE978" s="233"/>
      <c r="TPF978" s="234"/>
      <c r="TPG978" s="234"/>
      <c r="TPH978" s="242"/>
      <c r="TPI978" s="234"/>
      <c r="TPJ978" s="234"/>
      <c r="TPK978" s="234"/>
      <c r="TPL978" s="236"/>
      <c r="TPM978" s="244"/>
      <c r="TPN978" s="239"/>
      <c r="TPO978" s="240"/>
      <c r="TPP978" s="241"/>
      <c r="TPQ978" s="239"/>
      <c r="TPR978" s="239"/>
      <c r="TPS978" s="239"/>
      <c r="TPT978" s="239"/>
      <c r="TPU978" s="239"/>
      <c r="TPV978" s="239"/>
      <c r="TPW978" s="233"/>
      <c r="TPX978" s="235"/>
      <c r="TPY978" s="233"/>
      <c r="TPZ978" s="233"/>
      <c r="TQA978" s="234"/>
      <c r="TQB978" s="234"/>
      <c r="TQC978" s="242"/>
      <c r="TQD978" s="234"/>
      <c r="TQE978" s="234"/>
      <c r="TQF978" s="234"/>
      <c r="TQG978" s="236"/>
      <c r="TQH978" s="244"/>
      <c r="TQI978" s="239"/>
      <c r="TQJ978" s="240"/>
      <c r="TQK978" s="241"/>
      <c r="TQL978" s="239"/>
      <c r="TQM978" s="239"/>
      <c r="TQN978" s="239"/>
      <c r="TQO978" s="239"/>
      <c r="TQP978" s="239"/>
      <c r="TQQ978" s="239"/>
      <c r="TQR978" s="233"/>
      <c r="TQS978" s="235"/>
      <c r="TQT978" s="233"/>
      <c r="TQU978" s="233"/>
      <c r="TQV978" s="234"/>
      <c r="TQW978" s="234"/>
      <c r="TQX978" s="242"/>
      <c r="TQY978" s="234"/>
      <c r="TQZ978" s="234"/>
      <c r="TRA978" s="234"/>
      <c r="TRB978" s="236"/>
      <c r="TRC978" s="244"/>
      <c r="TRD978" s="239"/>
      <c r="TRE978" s="240"/>
      <c r="TRF978" s="241"/>
      <c r="TRG978" s="239"/>
      <c r="TRH978" s="239"/>
      <c r="TRI978" s="239"/>
      <c r="TRJ978" s="239"/>
      <c r="TRK978" s="239"/>
      <c r="TRL978" s="239"/>
      <c r="TRM978" s="233"/>
      <c r="TRN978" s="235"/>
      <c r="TRO978" s="233"/>
      <c r="TRP978" s="233"/>
      <c r="TRQ978" s="234"/>
      <c r="TRR978" s="234"/>
      <c r="TRS978" s="242"/>
      <c r="TRT978" s="234"/>
      <c r="TRU978" s="234"/>
      <c r="TRV978" s="234"/>
      <c r="TRW978" s="236"/>
      <c r="TRX978" s="244"/>
      <c r="TRY978" s="239"/>
      <c r="TRZ978" s="240"/>
      <c r="TSA978" s="241"/>
      <c r="TSB978" s="239"/>
      <c r="TSC978" s="239"/>
      <c r="TSD978" s="239"/>
      <c r="TSE978" s="239"/>
      <c r="TSF978" s="239"/>
      <c r="TSG978" s="239"/>
      <c r="TSH978" s="233"/>
      <c r="TSI978" s="235"/>
      <c r="TSJ978" s="233"/>
      <c r="TSK978" s="233"/>
      <c r="TSL978" s="234"/>
      <c r="TSM978" s="234"/>
      <c r="TSN978" s="242"/>
      <c r="TSO978" s="234"/>
      <c r="TSP978" s="234"/>
      <c r="TSQ978" s="234"/>
      <c r="TSR978" s="236"/>
      <c r="TSS978" s="244"/>
      <c r="TST978" s="239"/>
      <c r="TSU978" s="240"/>
      <c r="TSV978" s="241"/>
      <c r="TSW978" s="239"/>
      <c r="TSX978" s="239"/>
      <c r="TSY978" s="239"/>
      <c r="TSZ978" s="239"/>
      <c r="TTA978" s="239"/>
      <c r="TTB978" s="239"/>
      <c r="TTC978" s="233"/>
      <c r="TTD978" s="235"/>
      <c r="TTE978" s="233"/>
      <c r="TTF978" s="233"/>
      <c r="TTG978" s="234"/>
      <c r="TTH978" s="234"/>
      <c r="TTI978" s="242"/>
      <c r="TTJ978" s="234"/>
      <c r="TTK978" s="234"/>
      <c r="TTL978" s="234"/>
      <c r="TTM978" s="236"/>
      <c r="TTN978" s="244"/>
      <c r="TTO978" s="239"/>
      <c r="TTP978" s="240"/>
      <c r="TTQ978" s="241"/>
      <c r="TTR978" s="239"/>
      <c r="TTS978" s="239"/>
      <c r="TTT978" s="239"/>
      <c r="TTU978" s="239"/>
      <c r="TTV978" s="239"/>
      <c r="TTW978" s="239"/>
      <c r="TTX978" s="233"/>
      <c r="TTY978" s="235"/>
      <c r="TTZ978" s="233"/>
      <c r="TUA978" s="233"/>
      <c r="TUB978" s="234"/>
      <c r="TUC978" s="234"/>
      <c r="TUD978" s="242"/>
      <c r="TUE978" s="234"/>
      <c r="TUF978" s="234"/>
      <c r="TUG978" s="234"/>
      <c r="TUH978" s="236"/>
      <c r="TUI978" s="244"/>
      <c r="TUJ978" s="239"/>
      <c r="TUK978" s="240"/>
      <c r="TUL978" s="241"/>
      <c r="TUM978" s="239"/>
      <c r="TUN978" s="239"/>
      <c r="TUO978" s="239"/>
      <c r="TUP978" s="239"/>
      <c r="TUQ978" s="239"/>
      <c r="TUR978" s="239"/>
      <c r="TUS978" s="233"/>
      <c r="TUT978" s="235"/>
      <c r="TUU978" s="233"/>
      <c r="TUV978" s="233"/>
      <c r="TUW978" s="234"/>
      <c r="TUX978" s="234"/>
      <c r="TUY978" s="242"/>
      <c r="TUZ978" s="234"/>
      <c r="TVA978" s="234"/>
      <c r="TVB978" s="234"/>
      <c r="TVC978" s="236"/>
      <c r="TVD978" s="244"/>
      <c r="TVE978" s="239"/>
      <c r="TVF978" s="240"/>
      <c r="TVG978" s="241"/>
      <c r="TVH978" s="239"/>
      <c r="TVI978" s="239"/>
      <c r="TVJ978" s="239"/>
      <c r="TVK978" s="239"/>
      <c r="TVL978" s="239"/>
      <c r="TVM978" s="239"/>
      <c r="TVN978" s="233"/>
      <c r="TVO978" s="235"/>
      <c r="TVP978" s="233"/>
      <c r="TVQ978" s="233"/>
      <c r="TVR978" s="234"/>
      <c r="TVS978" s="234"/>
      <c r="TVT978" s="242"/>
      <c r="TVU978" s="234"/>
      <c r="TVV978" s="234"/>
      <c r="TVW978" s="234"/>
      <c r="TVX978" s="236"/>
      <c r="TVY978" s="244"/>
      <c r="TVZ978" s="239"/>
      <c r="TWA978" s="240"/>
      <c r="TWB978" s="241"/>
      <c r="TWC978" s="239"/>
      <c r="TWD978" s="239"/>
      <c r="TWE978" s="239"/>
      <c r="TWF978" s="239"/>
      <c r="TWG978" s="239"/>
      <c r="TWH978" s="239"/>
      <c r="TWI978" s="233"/>
      <c r="TWJ978" s="235"/>
      <c r="TWK978" s="233"/>
      <c r="TWL978" s="233"/>
      <c r="TWM978" s="234"/>
      <c r="TWN978" s="234"/>
      <c r="TWO978" s="242"/>
      <c r="TWP978" s="234"/>
      <c r="TWQ978" s="234"/>
      <c r="TWR978" s="234"/>
      <c r="TWS978" s="236"/>
      <c r="TWT978" s="244"/>
      <c r="TWU978" s="239"/>
      <c r="TWV978" s="240"/>
      <c r="TWW978" s="241"/>
      <c r="TWX978" s="239"/>
      <c r="TWY978" s="239"/>
      <c r="TWZ978" s="239"/>
      <c r="TXA978" s="239"/>
      <c r="TXB978" s="239"/>
      <c r="TXC978" s="239"/>
      <c r="TXD978" s="233"/>
      <c r="TXE978" s="235"/>
      <c r="TXF978" s="233"/>
      <c r="TXG978" s="233"/>
      <c r="TXH978" s="234"/>
      <c r="TXI978" s="234"/>
      <c r="TXJ978" s="242"/>
      <c r="TXK978" s="234"/>
      <c r="TXL978" s="234"/>
      <c r="TXM978" s="234"/>
      <c r="TXN978" s="236"/>
      <c r="TXO978" s="244"/>
      <c r="TXP978" s="239"/>
      <c r="TXQ978" s="240"/>
      <c r="TXR978" s="241"/>
      <c r="TXS978" s="239"/>
      <c r="TXT978" s="239"/>
      <c r="TXU978" s="239"/>
      <c r="TXV978" s="239"/>
      <c r="TXW978" s="239"/>
      <c r="TXX978" s="239"/>
      <c r="TXY978" s="233"/>
      <c r="TXZ978" s="235"/>
      <c r="TYA978" s="233"/>
      <c r="TYB978" s="233"/>
      <c r="TYC978" s="234"/>
      <c r="TYD978" s="234"/>
      <c r="TYE978" s="242"/>
      <c r="TYF978" s="234"/>
      <c r="TYG978" s="234"/>
      <c r="TYH978" s="234"/>
      <c r="TYI978" s="236"/>
      <c r="TYJ978" s="244"/>
      <c r="TYK978" s="239"/>
      <c r="TYL978" s="240"/>
      <c r="TYM978" s="241"/>
      <c r="TYN978" s="239"/>
      <c r="TYO978" s="239"/>
      <c r="TYP978" s="239"/>
      <c r="TYQ978" s="239"/>
      <c r="TYR978" s="239"/>
      <c r="TYS978" s="239"/>
      <c r="TYT978" s="233"/>
      <c r="TYU978" s="235"/>
      <c r="TYV978" s="233"/>
      <c r="TYW978" s="233"/>
      <c r="TYX978" s="234"/>
      <c r="TYY978" s="234"/>
      <c r="TYZ978" s="242"/>
      <c r="TZA978" s="234"/>
      <c r="TZB978" s="234"/>
      <c r="TZC978" s="234"/>
      <c r="TZD978" s="236"/>
      <c r="TZE978" s="244"/>
      <c r="TZF978" s="239"/>
      <c r="TZG978" s="240"/>
      <c r="TZH978" s="241"/>
      <c r="TZI978" s="239"/>
      <c r="TZJ978" s="239"/>
      <c r="TZK978" s="239"/>
      <c r="TZL978" s="239"/>
      <c r="TZM978" s="239"/>
      <c r="TZN978" s="239"/>
      <c r="TZO978" s="233"/>
      <c r="TZP978" s="235"/>
      <c r="TZQ978" s="233"/>
      <c r="TZR978" s="233"/>
      <c r="TZS978" s="234"/>
      <c r="TZT978" s="234"/>
      <c r="TZU978" s="242"/>
      <c r="TZV978" s="234"/>
      <c r="TZW978" s="234"/>
      <c r="TZX978" s="234"/>
      <c r="TZY978" s="236"/>
      <c r="TZZ978" s="244"/>
      <c r="UAA978" s="239"/>
      <c r="UAB978" s="240"/>
      <c r="UAC978" s="241"/>
      <c r="UAD978" s="239"/>
      <c r="UAE978" s="239"/>
      <c r="UAF978" s="239"/>
      <c r="UAG978" s="239"/>
      <c r="UAH978" s="239"/>
      <c r="UAI978" s="239"/>
      <c r="UAJ978" s="233"/>
      <c r="UAK978" s="235"/>
      <c r="UAL978" s="233"/>
      <c r="UAM978" s="233"/>
      <c r="UAN978" s="234"/>
      <c r="UAO978" s="234"/>
      <c r="UAP978" s="242"/>
      <c r="UAQ978" s="234"/>
      <c r="UAR978" s="234"/>
      <c r="UAS978" s="234"/>
      <c r="UAT978" s="236"/>
      <c r="UAU978" s="244"/>
      <c r="UAV978" s="239"/>
      <c r="UAW978" s="240"/>
      <c r="UAX978" s="241"/>
      <c r="UAY978" s="239"/>
      <c r="UAZ978" s="239"/>
      <c r="UBA978" s="239"/>
      <c r="UBB978" s="239"/>
      <c r="UBC978" s="239"/>
      <c r="UBD978" s="239"/>
      <c r="UBE978" s="233"/>
      <c r="UBF978" s="235"/>
      <c r="UBG978" s="233"/>
      <c r="UBH978" s="233"/>
      <c r="UBI978" s="234"/>
      <c r="UBJ978" s="234"/>
      <c r="UBK978" s="242"/>
      <c r="UBL978" s="234"/>
      <c r="UBM978" s="234"/>
      <c r="UBN978" s="234"/>
      <c r="UBO978" s="236"/>
      <c r="UBP978" s="244"/>
      <c r="UBQ978" s="239"/>
      <c r="UBR978" s="240"/>
      <c r="UBS978" s="241"/>
      <c r="UBT978" s="239"/>
      <c r="UBU978" s="239"/>
      <c r="UBV978" s="239"/>
      <c r="UBW978" s="239"/>
      <c r="UBX978" s="239"/>
      <c r="UBY978" s="239"/>
      <c r="UBZ978" s="233"/>
      <c r="UCA978" s="235"/>
      <c r="UCB978" s="233"/>
      <c r="UCC978" s="233"/>
      <c r="UCD978" s="234"/>
      <c r="UCE978" s="234"/>
      <c r="UCF978" s="242"/>
      <c r="UCG978" s="234"/>
      <c r="UCH978" s="234"/>
      <c r="UCI978" s="234"/>
      <c r="UCJ978" s="236"/>
      <c r="UCK978" s="244"/>
      <c r="UCL978" s="239"/>
      <c r="UCM978" s="240"/>
      <c r="UCN978" s="241"/>
      <c r="UCO978" s="239"/>
      <c r="UCP978" s="239"/>
      <c r="UCQ978" s="239"/>
      <c r="UCR978" s="239"/>
      <c r="UCS978" s="239"/>
      <c r="UCT978" s="239"/>
      <c r="UCU978" s="233"/>
      <c r="UCV978" s="235"/>
      <c r="UCW978" s="233"/>
      <c r="UCX978" s="233"/>
      <c r="UCY978" s="234"/>
      <c r="UCZ978" s="234"/>
      <c r="UDA978" s="242"/>
      <c r="UDB978" s="234"/>
      <c r="UDC978" s="234"/>
      <c r="UDD978" s="234"/>
      <c r="UDE978" s="236"/>
      <c r="UDF978" s="244"/>
      <c r="UDG978" s="239"/>
      <c r="UDH978" s="240"/>
      <c r="UDI978" s="241"/>
      <c r="UDJ978" s="239"/>
      <c r="UDK978" s="239"/>
      <c r="UDL978" s="239"/>
      <c r="UDM978" s="239"/>
      <c r="UDN978" s="239"/>
      <c r="UDO978" s="239"/>
      <c r="UDP978" s="233"/>
      <c r="UDQ978" s="235"/>
      <c r="UDR978" s="233"/>
      <c r="UDS978" s="233"/>
      <c r="UDT978" s="234"/>
      <c r="UDU978" s="234"/>
      <c r="UDV978" s="242"/>
      <c r="UDW978" s="234"/>
      <c r="UDX978" s="234"/>
      <c r="UDY978" s="234"/>
      <c r="UDZ978" s="236"/>
      <c r="UEA978" s="244"/>
      <c r="UEB978" s="239"/>
      <c r="UEC978" s="240"/>
      <c r="UED978" s="241"/>
      <c r="UEE978" s="239"/>
      <c r="UEF978" s="239"/>
      <c r="UEG978" s="239"/>
      <c r="UEH978" s="239"/>
      <c r="UEI978" s="239"/>
      <c r="UEJ978" s="239"/>
      <c r="UEK978" s="233"/>
      <c r="UEL978" s="235"/>
      <c r="UEM978" s="233"/>
      <c r="UEN978" s="233"/>
      <c r="UEO978" s="234"/>
      <c r="UEP978" s="234"/>
      <c r="UEQ978" s="242"/>
      <c r="UER978" s="234"/>
      <c r="UES978" s="234"/>
      <c r="UET978" s="234"/>
      <c r="UEU978" s="236"/>
      <c r="UEV978" s="244"/>
      <c r="UEW978" s="239"/>
      <c r="UEX978" s="240"/>
      <c r="UEY978" s="241"/>
      <c r="UEZ978" s="239"/>
      <c r="UFA978" s="239"/>
      <c r="UFB978" s="239"/>
      <c r="UFC978" s="239"/>
      <c r="UFD978" s="239"/>
      <c r="UFE978" s="239"/>
      <c r="UFF978" s="233"/>
      <c r="UFG978" s="235"/>
      <c r="UFH978" s="233"/>
      <c r="UFI978" s="233"/>
      <c r="UFJ978" s="234"/>
      <c r="UFK978" s="234"/>
      <c r="UFL978" s="242"/>
      <c r="UFM978" s="234"/>
      <c r="UFN978" s="234"/>
      <c r="UFO978" s="234"/>
      <c r="UFP978" s="236"/>
      <c r="UFQ978" s="244"/>
      <c r="UFR978" s="239"/>
      <c r="UFS978" s="240"/>
      <c r="UFT978" s="241"/>
      <c r="UFU978" s="239"/>
      <c r="UFV978" s="239"/>
      <c r="UFW978" s="239"/>
      <c r="UFX978" s="239"/>
      <c r="UFY978" s="239"/>
      <c r="UFZ978" s="239"/>
      <c r="UGA978" s="233"/>
      <c r="UGB978" s="235"/>
      <c r="UGC978" s="233"/>
      <c r="UGD978" s="233"/>
      <c r="UGE978" s="234"/>
      <c r="UGF978" s="234"/>
      <c r="UGG978" s="242"/>
      <c r="UGH978" s="234"/>
      <c r="UGI978" s="234"/>
      <c r="UGJ978" s="234"/>
      <c r="UGK978" s="236"/>
      <c r="UGL978" s="244"/>
      <c r="UGM978" s="239"/>
      <c r="UGN978" s="240"/>
      <c r="UGO978" s="241"/>
      <c r="UGP978" s="239"/>
      <c r="UGQ978" s="239"/>
      <c r="UGR978" s="239"/>
      <c r="UGS978" s="239"/>
      <c r="UGT978" s="239"/>
      <c r="UGU978" s="239"/>
      <c r="UGV978" s="233"/>
      <c r="UGW978" s="235"/>
      <c r="UGX978" s="233"/>
      <c r="UGY978" s="233"/>
      <c r="UGZ978" s="234"/>
      <c r="UHA978" s="234"/>
      <c r="UHB978" s="242"/>
      <c r="UHC978" s="234"/>
      <c r="UHD978" s="234"/>
      <c r="UHE978" s="234"/>
      <c r="UHF978" s="236"/>
      <c r="UHG978" s="244"/>
      <c r="UHH978" s="239"/>
      <c r="UHI978" s="240"/>
      <c r="UHJ978" s="241"/>
      <c r="UHK978" s="239"/>
      <c r="UHL978" s="239"/>
      <c r="UHM978" s="239"/>
      <c r="UHN978" s="239"/>
      <c r="UHO978" s="239"/>
      <c r="UHP978" s="239"/>
      <c r="UHQ978" s="233"/>
      <c r="UHR978" s="235"/>
      <c r="UHS978" s="233"/>
      <c r="UHT978" s="233"/>
      <c r="UHU978" s="234"/>
      <c r="UHV978" s="234"/>
      <c r="UHW978" s="242"/>
      <c r="UHX978" s="234"/>
      <c r="UHY978" s="234"/>
      <c r="UHZ978" s="234"/>
      <c r="UIA978" s="236"/>
      <c r="UIB978" s="244"/>
      <c r="UIC978" s="239"/>
      <c r="UID978" s="240"/>
      <c r="UIE978" s="241"/>
      <c r="UIF978" s="239"/>
      <c r="UIG978" s="239"/>
      <c r="UIH978" s="239"/>
      <c r="UII978" s="239"/>
      <c r="UIJ978" s="239"/>
      <c r="UIK978" s="239"/>
      <c r="UIL978" s="233"/>
      <c r="UIM978" s="235"/>
      <c r="UIN978" s="233"/>
      <c r="UIO978" s="233"/>
      <c r="UIP978" s="234"/>
      <c r="UIQ978" s="234"/>
      <c r="UIR978" s="242"/>
      <c r="UIS978" s="234"/>
      <c r="UIT978" s="234"/>
      <c r="UIU978" s="234"/>
      <c r="UIV978" s="236"/>
      <c r="UIW978" s="244"/>
      <c r="UIX978" s="239"/>
      <c r="UIY978" s="240"/>
      <c r="UIZ978" s="241"/>
      <c r="UJA978" s="239"/>
      <c r="UJB978" s="239"/>
      <c r="UJC978" s="239"/>
      <c r="UJD978" s="239"/>
      <c r="UJE978" s="239"/>
      <c r="UJF978" s="239"/>
      <c r="UJG978" s="233"/>
      <c r="UJH978" s="235"/>
      <c r="UJI978" s="233"/>
      <c r="UJJ978" s="233"/>
      <c r="UJK978" s="234"/>
      <c r="UJL978" s="234"/>
      <c r="UJM978" s="242"/>
      <c r="UJN978" s="234"/>
      <c r="UJO978" s="234"/>
      <c r="UJP978" s="234"/>
      <c r="UJQ978" s="236"/>
      <c r="UJR978" s="244"/>
      <c r="UJS978" s="239"/>
      <c r="UJT978" s="240"/>
      <c r="UJU978" s="241"/>
      <c r="UJV978" s="239"/>
      <c r="UJW978" s="239"/>
      <c r="UJX978" s="239"/>
      <c r="UJY978" s="239"/>
      <c r="UJZ978" s="239"/>
      <c r="UKA978" s="239"/>
      <c r="UKB978" s="233"/>
      <c r="UKC978" s="235"/>
      <c r="UKD978" s="233"/>
      <c r="UKE978" s="233"/>
      <c r="UKF978" s="234"/>
      <c r="UKG978" s="234"/>
      <c r="UKH978" s="242"/>
      <c r="UKI978" s="234"/>
      <c r="UKJ978" s="234"/>
      <c r="UKK978" s="234"/>
      <c r="UKL978" s="236"/>
      <c r="UKM978" s="244"/>
      <c r="UKN978" s="239"/>
      <c r="UKO978" s="240"/>
      <c r="UKP978" s="241"/>
      <c r="UKQ978" s="239"/>
      <c r="UKR978" s="239"/>
      <c r="UKS978" s="239"/>
      <c r="UKT978" s="239"/>
      <c r="UKU978" s="239"/>
      <c r="UKV978" s="239"/>
      <c r="UKW978" s="233"/>
      <c r="UKX978" s="235"/>
      <c r="UKY978" s="233"/>
      <c r="UKZ978" s="233"/>
      <c r="ULA978" s="234"/>
      <c r="ULB978" s="234"/>
      <c r="ULC978" s="242"/>
      <c r="ULD978" s="234"/>
      <c r="ULE978" s="234"/>
      <c r="ULF978" s="234"/>
      <c r="ULG978" s="236"/>
      <c r="ULH978" s="244"/>
      <c r="ULI978" s="239"/>
      <c r="ULJ978" s="240"/>
      <c r="ULK978" s="241"/>
      <c r="ULL978" s="239"/>
      <c r="ULM978" s="239"/>
      <c r="ULN978" s="239"/>
      <c r="ULO978" s="239"/>
      <c r="ULP978" s="239"/>
      <c r="ULQ978" s="239"/>
      <c r="ULR978" s="233"/>
      <c r="ULS978" s="235"/>
      <c r="ULT978" s="233"/>
      <c r="ULU978" s="233"/>
      <c r="ULV978" s="234"/>
      <c r="ULW978" s="234"/>
      <c r="ULX978" s="242"/>
      <c r="ULY978" s="234"/>
      <c r="ULZ978" s="234"/>
      <c r="UMA978" s="234"/>
      <c r="UMB978" s="236"/>
      <c r="UMC978" s="244"/>
      <c r="UMD978" s="239"/>
      <c r="UME978" s="240"/>
      <c r="UMF978" s="241"/>
      <c r="UMG978" s="239"/>
      <c r="UMH978" s="239"/>
      <c r="UMI978" s="239"/>
      <c r="UMJ978" s="239"/>
      <c r="UMK978" s="239"/>
      <c r="UML978" s="239"/>
      <c r="UMM978" s="233"/>
      <c r="UMN978" s="235"/>
      <c r="UMO978" s="233"/>
      <c r="UMP978" s="233"/>
      <c r="UMQ978" s="234"/>
      <c r="UMR978" s="234"/>
      <c r="UMS978" s="242"/>
      <c r="UMT978" s="234"/>
      <c r="UMU978" s="234"/>
      <c r="UMV978" s="234"/>
      <c r="UMW978" s="236"/>
      <c r="UMX978" s="244"/>
      <c r="UMY978" s="239"/>
      <c r="UMZ978" s="240"/>
      <c r="UNA978" s="241"/>
      <c r="UNB978" s="239"/>
      <c r="UNC978" s="239"/>
      <c r="UND978" s="239"/>
      <c r="UNE978" s="239"/>
      <c r="UNF978" s="239"/>
      <c r="UNG978" s="239"/>
      <c r="UNH978" s="233"/>
      <c r="UNI978" s="235"/>
      <c r="UNJ978" s="233"/>
      <c r="UNK978" s="233"/>
      <c r="UNL978" s="234"/>
      <c r="UNM978" s="234"/>
      <c r="UNN978" s="242"/>
      <c r="UNO978" s="234"/>
      <c r="UNP978" s="234"/>
      <c r="UNQ978" s="234"/>
      <c r="UNR978" s="236"/>
      <c r="UNS978" s="244"/>
      <c r="UNT978" s="239"/>
      <c r="UNU978" s="240"/>
      <c r="UNV978" s="241"/>
      <c r="UNW978" s="239"/>
      <c r="UNX978" s="239"/>
      <c r="UNY978" s="239"/>
      <c r="UNZ978" s="239"/>
      <c r="UOA978" s="239"/>
      <c r="UOB978" s="239"/>
      <c r="UOC978" s="233"/>
      <c r="UOD978" s="235"/>
      <c r="UOE978" s="233"/>
      <c r="UOF978" s="233"/>
      <c r="UOG978" s="234"/>
      <c r="UOH978" s="234"/>
      <c r="UOI978" s="242"/>
      <c r="UOJ978" s="234"/>
      <c r="UOK978" s="234"/>
      <c r="UOL978" s="234"/>
      <c r="UOM978" s="236"/>
      <c r="UON978" s="244"/>
      <c r="UOO978" s="239"/>
      <c r="UOP978" s="240"/>
      <c r="UOQ978" s="241"/>
      <c r="UOR978" s="239"/>
      <c r="UOS978" s="239"/>
      <c r="UOT978" s="239"/>
      <c r="UOU978" s="239"/>
      <c r="UOV978" s="239"/>
      <c r="UOW978" s="239"/>
      <c r="UOX978" s="233"/>
      <c r="UOY978" s="235"/>
      <c r="UOZ978" s="233"/>
      <c r="UPA978" s="233"/>
      <c r="UPB978" s="234"/>
      <c r="UPC978" s="234"/>
      <c r="UPD978" s="242"/>
      <c r="UPE978" s="234"/>
      <c r="UPF978" s="234"/>
      <c r="UPG978" s="234"/>
      <c r="UPH978" s="236"/>
      <c r="UPI978" s="244"/>
      <c r="UPJ978" s="239"/>
      <c r="UPK978" s="240"/>
      <c r="UPL978" s="241"/>
      <c r="UPM978" s="239"/>
      <c r="UPN978" s="239"/>
      <c r="UPO978" s="239"/>
      <c r="UPP978" s="239"/>
      <c r="UPQ978" s="239"/>
      <c r="UPR978" s="239"/>
      <c r="UPS978" s="233"/>
      <c r="UPT978" s="235"/>
      <c r="UPU978" s="233"/>
      <c r="UPV978" s="233"/>
      <c r="UPW978" s="234"/>
      <c r="UPX978" s="234"/>
      <c r="UPY978" s="242"/>
      <c r="UPZ978" s="234"/>
      <c r="UQA978" s="234"/>
      <c r="UQB978" s="234"/>
      <c r="UQC978" s="236"/>
      <c r="UQD978" s="244"/>
      <c r="UQE978" s="239"/>
      <c r="UQF978" s="240"/>
      <c r="UQG978" s="241"/>
      <c r="UQH978" s="239"/>
      <c r="UQI978" s="239"/>
      <c r="UQJ978" s="239"/>
      <c r="UQK978" s="239"/>
      <c r="UQL978" s="239"/>
      <c r="UQM978" s="239"/>
      <c r="UQN978" s="233"/>
      <c r="UQO978" s="235"/>
      <c r="UQP978" s="233"/>
      <c r="UQQ978" s="233"/>
      <c r="UQR978" s="234"/>
      <c r="UQS978" s="234"/>
      <c r="UQT978" s="242"/>
      <c r="UQU978" s="234"/>
      <c r="UQV978" s="234"/>
      <c r="UQW978" s="234"/>
      <c r="UQX978" s="236"/>
      <c r="UQY978" s="244"/>
      <c r="UQZ978" s="239"/>
      <c r="URA978" s="240"/>
      <c r="URB978" s="241"/>
      <c r="URC978" s="239"/>
      <c r="URD978" s="239"/>
      <c r="URE978" s="239"/>
      <c r="URF978" s="239"/>
      <c r="URG978" s="239"/>
      <c r="URH978" s="239"/>
      <c r="URI978" s="233"/>
      <c r="URJ978" s="235"/>
      <c r="URK978" s="233"/>
      <c r="URL978" s="233"/>
      <c r="URM978" s="234"/>
      <c r="URN978" s="234"/>
      <c r="URO978" s="242"/>
      <c r="URP978" s="234"/>
      <c r="URQ978" s="234"/>
      <c r="URR978" s="234"/>
      <c r="URS978" s="236"/>
      <c r="URT978" s="244"/>
      <c r="URU978" s="239"/>
      <c r="URV978" s="240"/>
      <c r="URW978" s="241"/>
      <c r="URX978" s="239"/>
      <c r="URY978" s="239"/>
      <c r="URZ978" s="239"/>
      <c r="USA978" s="239"/>
      <c r="USB978" s="239"/>
      <c r="USC978" s="239"/>
      <c r="USD978" s="233"/>
      <c r="USE978" s="235"/>
      <c r="USF978" s="233"/>
      <c r="USG978" s="233"/>
      <c r="USH978" s="234"/>
      <c r="USI978" s="234"/>
      <c r="USJ978" s="242"/>
      <c r="USK978" s="234"/>
      <c r="USL978" s="234"/>
      <c r="USM978" s="234"/>
      <c r="USN978" s="236"/>
      <c r="USO978" s="244"/>
      <c r="USP978" s="239"/>
      <c r="USQ978" s="240"/>
      <c r="USR978" s="241"/>
      <c r="USS978" s="239"/>
      <c r="UST978" s="239"/>
      <c r="USU978" s="239"/>
      <c r="USV978" s="239"/>
      <c r="USW978" s="239"/>
      <c r="USX978" s="239"/>
      <c r="USY978" s="233"/>
      <c r="USZ978" s="235"/>
      <c r="UTA978" s="233"/>
      <c r="UTB978" s="233"/>
      <c r="UTC978" s="234"/>
      <c r="UTD978" s="234"/>
      <c r="UTE978" s="242"/>
      <c r="UTF978" s="234"/>
      <c r="UTG978" s="234"/>
      <c r="UTH978" s="234"/>
      <c r="UTI978" s="236"/>
      <c r="UTJ978" s="244"/>
      <c r="UTK978" s="239"/>
      <c r="UTL978" s="240"/>
      <c r="UTM978" s="241"/>
      <c r="UTN978" s="239"/>
      <c r="UTO978" s="239"/>
      <c r="UTP978" s="239"/>
      <c r="UTQ978" s="239"/>
      <c r="UTR978" s="239"/>
      <c r="UTS978" s="239"/>
      <c r="UTT978" s="233"/>
      <c r="UTU978" s="235"/>
      <c r="UTV978" s="233"/>
      <c r="UTW978" s="233"/>
      <c r="UTX978" s="234"/>
      <c r="UTY978" s="234"/>
      <c r="UTZ978" s="242"/>
      <c r="UUA978" s="234"/>
      <c r="UUB978" s="234"/>
      <c r="UUC978" s="234"/>
      <c r="UUD978" s="236"/>
      <c r="UUE978" s="244"/>
      <c r="UUF978" s="239"/>
      <c r="UUG978" s="240"/>
      <c r="UUH978" s="241"/>
      <c r="UUI978" s="239"/>
      <c r="UUJ978" s="239"/>
      <c r="UUK978" s="239"/>
      <c r="UUL978" s="239"/>
      <c r="UUM978" s="239"/>
      <c r="UUN978" s="239"/>
      <c r="UUO978" s="233"/>
      <c r="UUP978" s="235"/>
      <c r="UUQ978" s="233"/>
      <c r="UUR978" s="233"/>
      <c r="UUS978" s="234"/>
      <c r="UUT978" s="234"/>
      <c r="UUU978" s="242"/>
      <c r="UUV978" s="234"/>
      <c r="UUW978" s="234"/>
      <c r="UUX978" s="234"/>
      <c r="UUY978" s="236"/>
      <c r="UUZ978" s="244"/>
      <c r="UVA978" s="239"/>
      <c r="UVB978" s="240"/>
      <c r="UVC978" s="241"/>
      <c r="UVD978" s="239"/>
      <c r="UVE978" s="239"/>
      <c r="UVF978" s="239"/>
      <c r="UVG978" s="239"/>
      <c r="UVH978" s="239"/>
      <c r="UVI978" s="239"/>
      <c r="UVJ978" s="233"/>
      <c r="UVK978" s="235"/>
      <c r="UVL978" s="233"/>
      <c r="UVM978" s="233"/>
      <c r="UVN978" s="234"/>
      <c r="UVO978" s="234"/>
      <c r="UVP978" s="242"/>
      <c r="UVQ978" s="234"/>
      <c r="UVR978" s="234"/>
      <c r="UVS978" s="234"/>
      <c r="UVT978" s="236"/>
      <c r="UVU978" s="244"/>
      <c r="UVV978" s="239"/>
      <c r="UVW978" s="240"/>
      <c r="UVX978" s="241"/>
      <c r="UVY978" s="239"/>
      <c r="UVZ978" s="239"/>
      <c r="UWA978" s="239"/>
      <c r="UWB978" s="239"/>
      <c r="UWC978" s="239"/>
      <c r="UWD978" s="239"/>
      <c r="UWE978" s="233"/>
      <c r="UWF978" s="235"/>
      <c r="UWG978" s="233"/>
      <c r="UWH978" s="233"/>
      <c r="UWI978" s="234"/>
      <c r="UWJ978" s="234"/>
      <c r="UWK978" s="242"/>
      <c r="UWL978" s="234"/>
      <c r="UWM978" s="234"/>
      <c r="UWN978" s="234"/>
      <c r="UWO978" s="236"/>
      <c r="UWP978" s="244"/>
      <c r="UWQ978" s="239"/>
      <c r="UWR978" s="240"/>
      <c r="UWS978" s="241"/>
      <c r="UWT978" s="239"/>
      <c r="UWU978" s="239"/>
      <c r="UWV978" s="239"/>
      <c r="UWW978" s="239"/>
      <c r="UWX978" s="239"/>
      <c r="UWY978" s="239"/>
      <c r="UWZ978" s="233"/>
      <c r="UXA978" s="235"/>
      <c r="UXB978" s="233"/>
      <c r="UXC978" s="233"/>
      <c r="UXD978" s="234"/>
      <c r="UXE978" s="234"/>
      <c r="UXF978" s="242"/>
      <c r="UXG978" s="234"/>
      <c r="UXH978" s="234"/>
      <c r="UXI978" s="234"/>
      <c r="UXJ978" s="236"/>
      <c r="UXK978" s="244"/>
      <c r="UXL978" s="239"/>
      <c r="UXM978" s="240"/>
      <c r="UXN978" s="241"/>
      <c r="UXO978" s="239"/>
      <c r="UXP978" s="239"/>
      <c r="UXQ978" s="239"/>
      <c r="UXR978" s="239"/>
      <c r="UXS978" s="239"/>
      <c r="UXT978" s="239"/>
      <c r="UXU978" s="233"/>
      <c r="UXV978" s="235"/>
      <c r="UXW978" s="233"/>
      <c r="UXX978" s="233"/>
      <c r="UXY978" s="234"/>
      <c r="UXZ978" s="234"/>
      <c r="UYA978" s="242"/>
      <c r="UYB978" s="234"/>
      <c r="UYC978" s="234"/>
      <c r="UYD978" s="234"/>
      <c r="UYE978" s="236"/>
      <c r="UYF978" s="244"/>
      <c r="UYG978" s="239"/>
      <c r="UYH978" s="240"/>
      <c r="UYI978" s="241"/>
      <c r="UYJ978" s="239"/>
      <c r="UYK978" s="239"/>
      <c r="UYL978" s="239"/>
      <c r="UYM978" s="239"/>
      <c r="UYN978" s="239"/>
      <c r="UYO978" s="239"/>
      <c r="UYP978" s="233"/>
      <c r="UYQ978" s="235"/>
      <c r="UYR978" s="233"/>
      <c r="UYS978" s="233"/>
      <c r="UYT978" s="234"/>
      <c r="UYU978" s="234"/>
      <c r="UYV978" s="242"/>
      <c r="UYW978" s="234"/>
      <c r="UYX978" s="234"/>
      <c r="UYY978" s="234"/>
      <c r="UYZ978" s="236"/>
      <c r="UZA978" s="244"/>
      <c r="UZB978" s="239"/>
      <c r="UZC978" s="240"/>
      <c r="UZD978" s="241"/>
      <c r="UZE978" s="239"/>
      <c r="UZF978" s="239"/>
      <c r="UZG978" s="239"/>
      <c r="UZH978" s="239"/>
      <c r="UZI978" s="239"/>
      <c r="UZJ978" s="239"/>
      <c r="UZK978" s="233"/>
      <c r="UZL978" s="235"/>
      <c r="UZM978" s="233"/>
      <c r="UZN978" s="233"/>
      <c r="UZO978" s="234"/>
      <c r="UZP978" s="234"/>
      <c r="UZQ978" s="242"/>
      <c r="UZR978" s="234"/>
      <c r="UZS978" s="234"/>
      <c r="UZT978" s="234"/>
      <c r="UZU978" s="236"/>
      <c r="UZV978" s="244"/>
      <c r="UZW978" s="239"/>
      <c r="UZX978" s="240"/>
      <c r="UZY978" s="241"/>
      <c r="UZZ978" s="239"/>
      <c r="VAA978" s="239"/>
      <c r="VAB978" s="239"/>
      <c r="VAC978" s="239"/>
      <c r="VAD978" s="239"/>
      <c r="VAE978" s="239"/>
      <c r="VAF978" s="233"/>
      <c r="VAG978" s="235"/>
      <c r="VAH978" s="233"/>
      <c r="VAI978" s="233"/>
      <c r="VAJ978" s="234"/>
      <c r="VAK978" s="234"/>
      <c r="VAL978" s="242"/>
      <c r="VAM978" s="234"/>
      <c r="VAN978" s="234"/>
      <c r="VAO978" s="234"/>
      <c r="VAP978" s="236"/>
      <c r="VAQ978" s="244"/>
      <c r="VAR978" s="239"/>
      <c r="VAS978" s="240"/>
      <c r="VAT978" s="241"/>
      <c r="VAU978" s="239"/>
      <c r="VAV978" s="239"/>
      <c r="VAW978" s="239"/>
      <c r="VAX978" s="239"/>
      <c r="VAY978" s="239"/>
      <c r="VAZ978" s="239"/>
      <c r="VBA978" s="233"/>
      <c r="VBB978" s="235"/>
      <c r="VBC978" s="233"/>
      <c r="VBD978" s="233"/>
      <c r="VBE978" s="234"/>
      <c r="VBF978" s="234"/>
      <c r="VBG978" s="242"/>
      <c r="VBH978" s="234"/>
      <c r="VBI978" s="234"/>
      <c r="VBJ978" s="234"/>
      <c r="VBK978" s="236"/>
      <c r="VBL978" s="244"/>
      <c r="VBM978" s="239"/>
      <c r="VBN978" s="240"/>
      <c r="VBO978" s="241"/>
      <c r="VBP978" s="239"/>
      <c r="VBQ978" s="239"/>
      <c r="VBR978" s="239"/>
      <c r="VBS978" s="239"/>
      <c r="VBT978" s="239"/>
      <c r="VBU978" s="239"/>
      <c r="VBV978" s="233"/>
      <c r="VBW978" s="235"/>
      <c r="VBX978" s="233"/>
      <c r="VBY978" s="233"/>
      <c r="VBZ978" s="234"/>
      <c r="VCA978" s="234"/>
      <c r="VCB978" s="242"/>
      <c r="VCC978" s="234"/>
      <c r="VCD978" s="234"/>
      <c r="VCE978" s="234"/>
      <c r="VCF978" s="236"/>
      <c r="VCG978" s="244"/>
      <c r="VCH978" s="239"/>
      <c r="VCI978" s="240"/>
      <c r="VCJ978" s="241"/>
      <c r="VCK978" s="239"/>
      <c r="VCL978" s="239"/>
      <c r="VCM978" s="239"/>
      <c r="VCN978" s="239"/>
      <c r="VCO978" s="239"/>
      <c r="VCP978" s="239"/>
      <c r="VCQ978" s="233"/>
      <c r="VCR978" s="235"/>
      <c r="VCS978" s="233"/>
      <c r="VCT978" s="233"/>
      <c r="VCU978" s="234"/>
      <c r="VCV978" s="234"/>
      <c r="VCW978" s="242"/>
      <c r="VCX978" s="234"/>
      <c r="VCY978" s="234"/>
      <c r="VCZ978" s="234"/>
      <c r="VDA978" s="236"/>
      <c r="VDB978" s="244"/>
      <c r="VDC978" s="239"/>
      <c r="VDD978" s="240"/>
      <c r="VDE978" s="241"/>
      <c r="VDF978" s="239"/>
      <c r="VDG978" s="239"/>
      <c r="VDH978" s="239"/>
      <c r="VDI978" s="239"/>
      <c r="VDJ978" s="239"/>
      <c r="VDK978" s="239"/>
      <c r="VDL978" s="233"/>
      <c r="VDM978" s="235"/>
      <c r="VDN978" s="233"/>
      <c r="VDO978" s="233"/>
      <c r="VDP978" s="234"/>
      <c r="VDQ978" s="234"/>
      <c r="VDR978" s="242"/>
      <c r="VDS978" s="234"/>
      <c r="VDT978" s="234"/>
      <c r="VDU978" s="234"/>
      <c r="VDV978" s="236"/>
      <c r="VDW978" s="244"/>
      <c r="VDX978" s="239"/>
      <c r="VDY978" s="240"/>
      <c r="VDZ978" s="241"/>
      <c r="VEA978" s="239"/>
      <c r="VEB978" s="239"/>
      <c r="VEC978" s="239"/>
      <c r="VED978" s="239"/>
      <c r="VEE978" s="239"/>
      <c r="VEF978" s="239"/>
      <c r="VEG978" s="233"/>
      <c r="VEH978" s="235"/>
      <c r="VEI978" s="233"/>
      <c r="VEJ978" s="233"/>
      <c r="VEK978" s="234"/>
      <c r="VEL978" s="234"/>
      <c r="VEM978" s="242"/>
      <c r="VEN978" s="234"/>
      <c r="VEO978" s="234"/>
      <c r="VEP978" s="234"/>
      <c r="VEQ978" s="236"/>
      <c r="VER978" s="244"/>
      <c r="VES978" s="239"/>
      <c r="VET978" s="240"/>
      <c r="VEU978" s="241"/>
      <c r="VEV978" s="239"/>
      <c r="VEW978" s="239"/>
      <c r="VEX978" s="239"/>
      <c r="VEY978" s="239"/>
      <c r="VEZ978" s="239"/>
      <c r="VFA978" s="239"/>
      <c r="VFB978" s="233"/>
      <c r="VFC978" s="235"/>
      <c r="VFD978" s="233"/>
      <c r="VFE978" s="233"/>
      <c r="VFF978" s="234"/>
      <c r="VFG978" s="234"/>
      <c r="VFH978" s="242"/>
      <c r="VFI978" s="234"/>
      <c r="VFJ978" s="234"/>
      <c r="VFK978" s="234"/>
      <c r="VFL978" s="236"/>
      <c r="VFM978" s="244"/>
      <c r="VFN978" s="239"/>
      <c r="VFO978" s="240"/>
      <c r="VFP978" s="241"/>
      <c r="VFQ978" s="239"/>
      <c r="VFR978" s="239"/>
      <c r="VFS978" s="239"/>
      <c r="VFT978" s="239"/>
      <c r="VFU978" s="239"/>
      <c r="VFV978" s="239"/>
      <c r="VFW978" s="233"/>
      <c r="VFX978" s="235"/>
      <c r="VFY978" s="233"/>
      <c r="VFZ978" s="233"/>
      <c r="VGA978" s="234"/>
      <c r="VGB978" s="234"/>
      <c r="VGC978" s="242"/>
      <c r="VGD978" s="234"/>
      <c r="VGE978" s="234"/>
      <c r="VGF978" s="234"/>
      <c r="VGG978" s="236"/>
      <c r="VGH978" s="244"/>
      <c r="VGI978" s="239"/>
      <c r="VGJ978" s="240"/>
      <c r="VGK978" s="241"/>
      <c r="VGL978" s="239"/>
      <c r="VGM978" s="239"/>
      <c r="VGN978" s="239"/>
      <c r="VGO978" s="239"/>
      <c r="VGP978" s="239"/>
      <c r="VGQ978" s="239"/>
      <c r="VGR978" s="233"/>
      <c r="VGS978" s="235"/>
      <c r="VGT978" s="233"/>
      <c r="VGU978" s="233"/>
      <c r="VGV978" s="234"/>
      <c r="VGW978" s="234"/>
      <c r="VGX978" s="242"/>
      <c r="VGY978" s="234"/>
      <c r="VGZ978" s="234"/>
      <c r="VHA978" s="234"/>
      <c r="VHB978" s="236"/>
      <c r="VHC978" s="244"/>
      <c r="VHD978" s="239"/>
      <c r="VHE978" s="240"/>
      <c r="VHF978" s="241"/>
      <c r="VHG978" s="239"/>
      <c r="VHH978" s="239"/>
      <c r="VHI978" s="239"/>
      <c r="VHJ978" s="239"/>
      <c r="VHK978" s="239"/>
      <c r="VHL978" s="239"/>
      <c r="VHM978" s="233"/>
      <c r="VHN978" s="235"/>
      <c r="VHO978" s="233"/>
      <c r="VHP978" s="233"/>
      <c r="VHQ978" s="234"/>
      <c r="VHR978" s="234"/>
      <c r="VHS978" s="242"/>
      <c r="VHT978" s="234"/>
      <c r="VHU978" s="234"/>
      <c r="VHV978" s="234"/>
      <c r="VHW978" s="236"/>
      <c r="VHX978" s="244"/>
      <c r="VHY978" s="239"/>
      <c r="VHZ978" s="240"/>
      <c r="VIA978" s="241"/>
      <c r="VIB978" s="239"/>
      <c r="VIC978" s="239"/>
      <c r="VID978" s="239"/>
      <c r="VIE978" s="239"/>
      <c r="VIF978" s="239"/>
      <c r="VIG978" s="239"/>
      <c r="VIH978" s="233"/>
      <c r="VII978" s="235"/>
      <c r="VIJ978" s="233"/>
      <c r="VIK978" s="233"/>
      <c r="VIL978" s="234"/>
      <c r="VIM978" s="234"/>
      <c r="VIN978" s="242"/>
      <c r="VIO978" s="234"/>
      <c r="VIP978" s="234"/>
      <c r="VIQ978" s="234"/>
      <c r="VIR978" s="236"/>
      <c r="VIS978" s="244"/>
      <c r="VIT978" s="239"/>
      <c r="VIU978" s="240"/>
      <c r="VIV978" s="241"/>
      <c r="VIW978" s="239"/>
      <c r="VIX978" s="239"/>
      <c r="VIY978" s="239"/>
      <c r="VIZ978" s="239"/>
      <c r="VJA978" s="239"/>
      <c r="VJB978" s="239"/>
      <c r="VJC978" s="233"/>
      <c r="VJD978" s="235"/>
      <c r="VJE978" s="233"/>
      <c r="VJF978" s="233"/>
      <c r="VJG978" s="234"/>
      <c r="VJH978" s="234"/>
      <c r="VJI978" s="242"/>
      <c r="VJJ978" s="234"/>
      <c r="VJK978" s="234"/>
      <c r="VJL978" s="234"/>
      <c r="VJM978" s="236"/>
      <c r="VJN978" s="244"/>
      <c r="VJO978" s="239"/>
      <c r="VJP978" s="240"/>
      <c r="VJQ978" s="241"/>
      <c r="VJR978" s="239"/>
      <c r="VJS978" s="239"/>
      <c r="VJT978" s="239"/>
      <c r="VJU978" s="239"/>
      <c r="VJV978" s="239"/>
      <c r="VJW978" s="239"/>
      <c r="VJX978" s="233"/>
      <c r="VJY978" s="235"/>
      <c r="VJZ978" s="233"/>
      <c r="VKA978" s="233"/>
      <c r="VKB978" s="234"/>
      <c r="VKC978" s="234"/>
      <c r="VKD978" s="242"/>
      <c r="VKE978" s="234"/>
      <c r="VKF978" s="234"/>
      <c r="VKG978" s="234"/>
      <c r="VKH978" s="236"/>
      <c r="VKI978" s="244"/>
      <c r="VKJ978" s="239"/>
      <c r="VKK978" s="240"/>
      <c r="VKL978" s="241"/>
      <c r="VKM978" s="239"/>
      <c r="VKN978" s="239"/>
      <c r="VKO978" s="239"/>
      <c r="VKP978" s="239"/>
      <c r="VKQ978" s="239"/>
      <c r="VKR978" s="239"/>
      <c r="VKS978" s="233"/>
      <c r="VKT978" s="235"/>
      <c r="VKU978" s="233"/>
      <c r="VKV978" s="233"/>
      <c r="VKW978" s="234"/>
      <c r="VKX978" s="234"/>
      <c r="VKY978" s="242"/>
      <c r="VKZ978" s="234"/>
      <c r="VLA978" s="234"/>
      <c r="VLB978" s="234"/>
      <c r="VLC978" s="236"/>
      <c r="VLD978" s="244"/>
      <c r="VLE978" s="239"/>
      <c r="VLF978" s="240"/>
      <c r="VLG978" s="241"/>
      <c r="VLH978" s="239"/>
      <c r="VLI978" s="239"/>
      <c r="VLJ978" s="239"/>
      <c r="VLK978" s="239"/>
      <c r="VLL978" s="239"/>
      <c r="VLM978" s="239"/>
      <c r="VLN978" s="233"/>
      <c r="VLO978" s="235"/>
      <c r="VLP978" s="233"/>
      <c r="VLQ978" s="233"/>
      <c r="VLR978" s="234"/>
      <c r="VLS978" s="234"/>
      <c r="VLT978" s="242"/>
      <c r="VLU978" s="234"/>
      <c r="VLV978" s="234"/>
      <c r="VLW978" s="234"/>
      <c r="VLX978" s="236"/>
      <c r="VLY978" s="244"/>
      <c r="VLZ978" s="239"/>
      <c r="VMA978" s="240"/>
      <c r="VMB978" s="241"/>
      <c r="VMC978" s="239"/>
      <c r="VMD978" s="239"/>
      <c r="VME978" s="239"/>
      <c r="VMF978" s="239"/>
      <c r="VMG978" s="239"/>
      <c r="VMH978" s="239"/>
      <c r="VMI978" s="233"/>
      <c r="VMJ978" s="235"/>
      <c r="VMK978" s="233"/>
      <c r="VML978" s="233"/>
      <c r="VMM978" s="234"/>
      <c r="VMN978" s="234"/>
      <c r="VMO978" s="242"/>
      <c r="VMP978" s="234"/>
      <c r="VMQ978" s="234"/>
      <c r="VMR978" s="234"/>
      <c r="VMS978" s="236"/>
      <c r="VMT978" s="244"/>
      <c r="VMU978" s="239"/>
      <c r="VMV978" s="240"/>
      <c r="VMW978" s="241"/>
      <c r="VMX978" s="239"/>
      <c r="VMY978" s="239"/>
      <c r="VMZ978" s="239"/>
      <c r="VNA978" s="239"/>
      <c r="VNB978" s="239"/>
      <c r="VNC978" s="239"/>
      <c r="VND978" s="233"/>
      <c r="VNE978" s="235"/>
      <c r="VNF978" s="233"/>
      <c r="VNG978" s="233"/>
      <c r="VNH978" s="234"/>
      <c r="VNI978" s="234"/>
      <c r="VNJ978" s="242"/>
      <c r="VNK978" s="234"/>
      <c r="VNL978" s="234"/>
      <c r="VNM978" s="234"/>
      <c r="VNN978" s="236"/>
      <c r="VNO978" s="244"/>
      <c r="VNP978" s="239"/>
      <c r="VNQ978" s="240"/>
      <c r="VNR978" s="241"/>
      <c r="VNS978" s="239"/>
      <c r="VNT978" s="239"/>
      <c r="VNU978" s="239"/>
      <c r="VNV978" s="239"/>
      <c r="VNW978" s="239"/>
      <c r="VNX978" s="239"/>
      <c r="VNY978" s="233"/>
      <c r="VNZ978" s="235"/>
      <c r="VOA978" s="233"/>
      <c r="VOB978" s="233"/>
      <c r="VOC978" s="234"/>
      <c r="VOD978" s="234"/>
      <c r="VOE978" s="242"/>
      <c r="VOF978" s="234"/>
      <c r="VOG978" s="234"/>
      <c r="VOH978" s="234"/>
      <c r="VOI978" s="236"/>
      <c r="VOJ978" s="244"/>
      <c r="VOK978" s="239"/>
      <c r="VOL978" s="240"/>
      <c r="VOM978" s="241"/>
      <c r="VON978" s="239"/>
      <c r="VOO978" s="239"/>
      <c r="VOP978" s="239"/>
      <c r="VOQ978" s="239"/>
      <c r="VOR978" s="239"/>
      <c r="VOS978" s="239"/>
      <c r="VOT978" s="233"/>
      <c r="VOU978" s="235"/>
      <c r="VOV978" s="233"/>
      <c r="VOW978" s="233"/>
      <c r="VOX978" s="234"/>
      <c r="VOY978" s="234"/>
      <c r="VOZ978" s="242"/>
      <c r="VPA978" s="234"/>
      <c r="VPB978" s="234"/>
      <c r="VPC978" s="234"/>
      <c r="VPD978" s="236"/>
      <c r="VPE978" s="244"/>
      <c r="VPF978" s="239"/>
      <c r="VPG978" s="240"/>
      <c r="VPH978" s="241"/>
      <c r="VPI978" s="239"/>
      <c r="VPJ978" s="239"/>
      <c r="VPK978" s="239"/>
      <c r="VPL978" s="239"/>
      <c r="VPM978" s="239"/>
      <c r="VPN978" s="239"/>
      <c r="VPO978" s="233"/>
      <c r="VPP978" s="235"/>
      <c r="VPQ978" s="233"/>
      <c r="VPR978" s="233"/>
      <c r="VPS978" s="234"/>
      <c r="VPT978" s="234"/>
      <c r="VPU978" s="242"/>
      <c r="VPV978" s="234"/>
      <c r="VPW978" s="234"/>
      <c r="VPX978" s="234"/>
      <c r="VPY978" s="236"/>
      <c r="VPZ978" s="244"/>
      <c r="VQA978" s="239"/>
      <c r="VQB978" s="240"/>
      <c r="VQC978" s="241"/>
      <c r="VQD978" s="239"/>
      <c r="VQE978" s="239"/>
      <c r="VQF978" s="239"/>
      <c r="VQG978" s="239"/>
      <c r="VQH978" s="239"/>
      <c r="VQI978" s="239"/>
      <c r="VQJ978" s="233"/>
      <c r="VQK978" s="235"/>
      <c r="VQL978" s="233"/>
      <c r="VQM978" s="233"/>
      <c r="VQN978" s="234"/>
      <c r="VQO978" s="234"/>
      <c r="VQP978" s="242"/>
      <c r="VQQ978" s="234"/>
      <c r="VQR978" s="234"/>
      <c r="VQS978" s="234"/>
      <c r="VQT978" s="236"/>
      <c r="VQU978" s="244"/>
      <c r="VQV978" s="239"/>
      <c r="VQW978" s="240"/>
      <c r="VQX978" s="241"/>
      <c r="VQY978" s="239"/>
      <c r="VQZ978" s="239"/>
      <c r="VRA978" s="239"/>
      <c r="VRB978" s="239"/>
      <c r="VRC978" s="239"/>
      <c r="VRD978" s="239"/>
      <c r="VRE978" s="233"/>
      <c r="VRF978" s="235"/>
      <c r="VRG978" s="233"/>
      <c r="VRH978" s="233"/>
      <c r="VRI978" s="234"/>
      <c r="VRJ978" s="234"/>
      <c r="VRK978" s="242"/>
      <c r="VRL978" s="234"/>
      <c r="VRM978" s="234"/>
      <c r="VRN978" s="234"/>
      <c r="VRO978" s="236"/>
      <c r="VRP978" s="244"/>
      <c r="VRQ978" s="239"/>
      <c r="VRR978" s="240"/>
      <c r="VRS978" s="241"/>
      <c r="VRT978" s="239"/>
      <c r="VRU978" s="239"/>
      <c r="VRV978" s="239"/>
      <c r="VRW978" s="239"/>
      <c r="VRX978" s="239"/>
      <c r="VRY978" s="239"/>
      <c r="VRZ978" s="233"/>
      <c r="VSA978" s="235"/>
      <c r="VSB978" s="233"/>
      <c r="VSC978" s="233"/>
      <c r="VSD978" s="234"/>
      <c r="VSE978" s="234"/>
      <c r="VSF978" s="242"/>
      <c r="VSG978" s="234"/>
      <c r="VSH978" s="234"/>
      <c r="VSI978" s="234"/>
      <c r="VSJ978" s="236"/>
      <c r="VSK978" s="244"/>
      <c r="VSL978" s="239"/>
      <c r="VSM978" s="240"/>
      <c r="VSN978" s="241"/>
      <c r="VSO978" s="239"/>
      <c r="VSP978" s="239"/>
      <c r="VSQ978" s="239"/>
      <c r="VSR978" s="239"/>
      <c r="VSS978" s="239"/>
      <c r="VST978" s="239"/>
      <c r="VSU978" s="233"/>
      <c r="VSV978" s="235"/>
      <c r="VSW978" s="233"/>
      <c r="VSX978" s="233"/>
      <c r="VSY978" s="234"/>
      <c r="VSZ978" s="234"/>
      <c r="VTA978" s="242"/>
      <c r="VTB978" s="234"/>
      <c r="VTC978" s="234"/>
      <c r="VTD978" s="234"/>
      <c r="VTE978" s="236"/>
      <c r="VTF978" s="244"/>
      <c r="VTG978" s="239"/>
      <c r="VTH978" s="240"/>
      <c r="VTI978" s="241"/>
      <c r="VTJ978" s="239"/>
      <c r="VTK978" s="239"/>
      <c r="VTL978" s="239"/>
      <c r="VTM978" s="239"/>
      <c r="VTN978" s="239"/>
      <c r="VTO978" s="239"/>
      <c r="VTP978" s="233"/>
      <c r="VTQ978" s="235"/>
      <c r="VTR978" s="233"/>
      <c r="VTS978" s="233"/>
      <c r="VTT978" s="234"/>
      <c r="VTU978" s="234"/>
      <c r="VTV978" s="242"/>
      <c r="VTW978" s="234"/>
      <c r="VTX978" s="234"/>
      <c r="VTY978" s="234"/>
      <c r="VTZ978" s="236"/>
      <c r="VUA978" s="244"/>
      <c r="VUB978" s="239"/>
      <c r="VUC978" s="240"/>
      <c r="VUD978" s="241"/>
      <c r="VUE978" s="239"/>
      <c r="VUF978" s="239"/>
      <c r="VUG978" s="239"/>
      <c r="VUH978" s="239"/>
      <c r="VUI978" s="239"/>
      <c r="VUJ978" s="239"/>
      <c r="VUK978" s="233"/>
      <c r="VUL978" s="235"/>
      <c r="VUM978" s="233"/>
      <c r="VUN978" s="233"/>
      <c r="VUO978" s="234"/>
      <c r="VUP978" s="234"/>
      <c r="VUQ978" s="242"/>
      <c r="VUR978" s="234"/>
      <c r="VUS978" s="234"/>
      <c r="VUT978" s="234"/>
      <c r="VUU978" s="236"/>
      <c r="VUV978" s="244"/>
      <c r="VUW978" s="239"/>
      <c r="VUX978" s="240"/>
      <c r="VUY978" s="241"/>
      <c r="VUZ978" s="239"/>
      <c r="VVA978" s="239"/>
      <c r="VVB978" s="239"/>
      <c r="VVC978" s="239"/>
      <c r="VVD978" s="239"/>
      <c r="VVE978" s="239"/>
      <c r="VVF978" s="233"/>
      <c r="VVG978" s="235"/>
      <c r="VVH978" s="233"/>
      <c r="VVI978" s="233"/>
      <c r="VVJ978" s="234"/>
      <c r="VVK978" s="234"/>
      <c r="VVL978" s="242"/>
      <c r="VVM978" s="234"/>
      <c r="VVN978" s="234"/>
      <c r="VVO978" s="234"/>
      <c r="VVP978" s="236"/>
      <c r="VVQ978" s="244"/>
      <c r="VVR978" s="239"/>
      <c r="VVS978" s="240"/>
      <c r="VVT978" s="241"/>
      <c r="VVU978" s="239"/>
      <c r="VVV978" s="239"/>
      <c r="VVW978" s="239"/>
      <c r="VVX978" s="239"/>
      <c r="VVY978" s="239"/>
      <c r="VVZ978" s="239"/>
      <c r="VWA978" s="233"/>
      <c r="VWB978" s="235"/>
      <c r="VWC978" s="233"/>
      <c r="VWD978" s="233"/>
      <c r="VWE978" s="234"/>
      <c r="VWF978" s="234"/>
      <c r="VWG978" s="242"/>
      <c r="VWH978" s="234"/>
      <c r="VWI978" s="234"/>
      <c r="VWJ978" s="234"/>
      <c r="VWK978" s="236"/>
      <c r="VWL978" s="244"/>
      <c r="VWM978" s="239"/>
      <c r="VWN978" s="240"/>
      <c r="VWO978" s="241"/>
      <c r="VWP978" s="239"/>
      <c r="VWQ978" s="239"/>
      <c r="VWR978" s="239"/>
      <c r="VWS978" s="239"/>
      <c r="VWT978" s="239"/>
      <c r="VWU978" s="239"/>
      <c r="VWV978" s="233"/>
      <c r="VWW978" s="235"/>
      <c r="VWX978" s="233"/>
      <c r="VWY978" s="233"/>
      <c r="VWZ978" s="234"/>
      <c r="VXA978" s="234"/>
      <c r="VXB978" s="242"/>
      <c r="VXC978" s="234"/>
      <c r="VXD978" s="234"/>
      <c r="VXE978" s="234"/>
      <c r="VXF978" s="236"/>
      <c r="VXG978" s="244"/>
      <c r="VXH978" s="239"/>
      <c r="VXI978" s="240"/>
      <c r="VXJ978" s="241"/>
      <c r="VXK978" s="239"/>
      <c r="VXL978" s="239"/>
      <c r="VXM978" s="239"/>
      <c r="VXN978" s="239"/>
      <c r="VXO978" s="239"/>
      <c r="VXP978" s="239"/>
      <c r="VXQ978" s="233"/>
      <c r="VXR978" s="235"/>
      <c r="VXS978" s="233"/>
      <c r="VXT978" s="233"/>
      <c r="VXU978" s="234"/>
      <c r="VXV978" s="234"/>
      <c r="VXW978" s="242"/>
      <c r="VXX978" s="234"/>
      <c r="VXY978" s="234"/>
      <c r="VXZ978" s="234"/>
      <c r="VYA978" s="236"/>
      <c r="VYB978" s="244"/>
      <c r="VYC978" s="239"/>
      <c r="VYD978" s="240"/>
      <c r="VYE978" s="241"/>
      <c r="VYF978" s="239"/>
      <c r="VYG978" s="239"/>
      <c r="VYH978" s="239"/>
      <c r="VYI978" s="239"/>
      <c r="VYJ978" s="239"/>
      <c r="VYK978" s="239"/>
      <c r="VYL978" s="233"/>
      <c r="VYM978" s="235"/>
      <c r="VYN978" s="233"/>
      <c r="VYO978" s="233"/>
      <c r="VYP978" s="234"/>
      <c r="VYQ978" s="234"/>
      <c r="VYR978" s="242"/>
      <c r="VYS978" s="234"/>
      <c r="VYT978" s="234"/>
      <c r="VYU978" s="234"/>
      <c r="VYV978" s="236"/>
      <c r="VYW978" s="244"/>
      <c r="VYX978" s="239"/>
      <c r="VYY978" s="240"/>
      <c r="VYZ978" s="241"/>
      <c r="VZA978" s="239"/>
      <c r="VZB978" s="239"/>
      <c r="VZC978" s="239"/>
      <c r="VZD978" s="239"/>
      <c r="VZE978" s="239"/>
      <c r="VZF978" s="239"/>
      <c r="VZG978" s="233"/>
      <c r="VZH978" s="235"/>
      <c r="VZI978" s="233"/>
      <c r="VZJ978" s="233"/>
      <c r="VZK978" s="234"/>
      <c r="VZL978" s="234"/>
      <c r="VZM978" s="242"/>
      <c r="VZN978" s="234"/>
      <c r="VZO978" s="234"/>
      <c r="VZP978" s="234"/>
      <c r="VZQ978" s="236"/>
      <c r="VZR978" s="244"/>
      <c r="VZS978" s="239"/>
      <c r="VZT978" s="240"/>
      <c r="VZU978" s="241"/>
      <c r="VZV978" s="239"/>
      <c r="VZW978" s="239"/>
      <c r="VZX978" s="239"/>
      <c r="VZY978" s="239"/>
      <c r="VZZ978" s="239"/>
      <c r="WAA978" s="239"/>
      <c r="WAB978" s="233"/>
      <c r="WAC978" s="235"/>
      <c r="WAD978" s="233"/>
      <c r="WAE978" s="233"/>
      <c r="WAF978" s="234"/>
      <c r="WAG978" s="234"/>
      <c r="WAH978" s="242"/>
      <c r="WAI978" s="234"/>
      <c r="WAJ978" s="234"/>
      <c r="WAK978" s="234"/>
      <c r="WAL978" s="236"/>
      <c r="WAM978" s="244"/>
      <c r="WAN978" s="239"/>
      <c r="WAO978" s="240"/>
      <c r="WAP978" s="241"/>
      <c r="WAQ978" s="239"/>
      <c r="WAR978" s="239"/>
      <c r="WAS978" s="239"/>
      <c r="WAT978" s="239"/>
      <c r="WAU978" s="239"/>
      <c r="WAV978" s="239"/>
      <c r="WAW978" s="233"/>
      <c r="WAX978" s="235"/>
      <c r="WAY978" s="233"/>
      <c r="WAZ978" s="233"/>
      <c r="WBA978" s="234"/>
      <c r="WBB978" s="234"/>
      <c r="WBC978" s="242"/>
      <c r="WBD978" s="234"/>
      <c r="WBE978" s="234"/>
      <c r="WBF978" s="234"/>
      <c r="WBG978" s="236"/>
      <c r="WBH978" s="244"/>
      <c r="WBI978" s="239"/>
      <c r="WBJ978" s="240"/>
      <c r="WBK978" s="241"/>
      <c r="WBL978" s="239"/>
      <c r="WBM978" s="239"/>
      <c r="WBN978" s="239"/>
      <c r="WBO978" s="239"/>
      <c r="WBP978" s="239"/>
      <c r="WBQ978" s="239"/>
      <c r="WBR978" s="233"/>
      <c r="WBS978" s="235"/>
      <c r="WBT978" s="233"/>
      <c r="WBU978" s="233"/>
      <c r="WBV978" s="234"/>
      <c r="WBW978" s="234"/>
      <c r="WBX978" s="242"/>
      <c r="WBY978" s="234"/>
      <c r="WBZ978" s="234"/>
      <c r="WCA978" s="234"/>
      <c r="WCB978" s="236"/>
      <c r="WCC978" s="244"/>
      <c r="WCD978" s="239"/>
      <c r="WCE978" s="240"/>
      <c r="WCF978" s="241"/>
      <c r="WCG978" s="239"/>
      <c r="WCH978" s="239"/>
      <c r="WCI978" s="239"/>
      <c r="WCJ978" s="239"/>
      <c r="WCK978" s="239"/>
      <c r="WCL978" s="239"/>
      <c r="WCM978" s="233"/>
      <c r="WCN978" s="235"/>
      <c r="WCO978" s="233"/>
      <c r="WCP978" s="233"/>
      <c r="WCQ978" s="234"/>
      <c r="WCR978" s="234"/>
      <c r="WCS978" s="242"/>
      <c r="WCT978" s="234"/>
      <c r="WCU978" s="234"/>
      <c r="WCV978" s="234"/>
      <c r="WCW978" s="236"/>
      <c r="WCX978" s="244"/>
      <c r="WCY978" s="239"/>
      <c r="WCZ978" s="240"/>
      <c r="WDA978" s="241"/>
      <c r="WDB978" s="239"/>
      <c r="WDC978" s="239"/>
      <c r="WDD978" s="239"/>
      <c r="WDE978" s="239"/>
      <c r="WDF978" s="239"/>
      <c r="WDG978" s="239"/>
      <c r="WDH978" s="233"/>
      <c r="WDI978" s="235"/>
      <c r="WDJ978" s="233"/>
      <c r="WDK978" s="233"/>
      <c r="WDL978" s="234"/>
      <c r="WDM978" s="234"/>
      <c r="WDN978" s="242"/>
      <c r="WDO978" s="234"/>
      <c r="WDP978" s="234"/>
      <c r="WDQ978" s="234"/>
      <c r="WDR978" s="236"/>
      <c r="WDS978" s="244"/>
      <c r="WDT978" s="239"/>
      <c r="WDU978" s="240"/>
      <c r="WDV978" s="241"/>
      <c r="WDW978" s="239"/>
      <c r="WDX978" s="239"/>
      <c r="WDY978" s="239"/>
      <c r="WDZ978" s="239"/>
      <c r="WEA978" s="239"/>
      <c r="WEB978" s="239"/>
      <c r="WEC978" s="233"/>
      <c r="WED978" s="235"/>
      <c r="WEE978" s="233"/>
      <c r="WEF978" s="233"/>
      <c r="WEG978" s="234"/>
      <c r="WEH978" s="234"/>
      <c r="WEI978" s="242"/>
      <c r="WEJ978" s="234"/>
      <c r="WEK978" s="234"/>
      <c r="WEL978" s="234"/>
      <c r="WEM978" s="236"/>
      <c r="WEN978" s="244"/>
      <c r="WEO978" s="239"/>
      <c r="WEP978" s="240"/>
      <c r="WEQ978" s="241"/>
      <c r="WER978" s="239"/>
      <c r="WES978" s="239"/>
      <c r="WET978" s="239"/>
      <c r="WEU978" s="239"/>
      <c r="WEV978" s="239"/>
      <c r="WEW978" s="239"/>
      <c r="WEX978" s="233"/>
      <c r="WEY978" s="235"/>
      <c r="WEZ978" s="233"/>
      <c r="WFA978" s="233"/>
      <c r="WFB978" s="234"/>
      <c r="WFC978" s="234"/>
      <c r="WFD978" s="242"/>
      <c r="WFE978" s="234"/>
      <c r="WFF978" s="234"/>
      <c r="WFG978" s="234"/>
      <c r="WFH978" s="236"/>
      <c r="WFI978" s="244"/>
      <c r="WFJ978" s="239"/>
      <c r="WFK978" s="240"/>
      <c r="WFL978" s="241"/>
      <c r="WFM978" s="239"/>
      <c r="WFN978" s="239"/>
      <c r="WFO978" s="239"/>
      <c r="WFP978" s="239"/>
      <c r="WFQ978" s="239"/>
      <c r="WFR978" s="239"/>
      <c r="WFS978" s="233"/>
      <c r="WFT978" s="235"/>
      <c r="WFU978" s="233"/>
      <c r="WFV978" s="233"/>
      <c r="WFW978" s="234"/>
      <c r="WFX978" s="234"/>
      <c r="WFY978" s="242"/>
      <c r="WFZ978" s="234"/>
      <c r="WGA978" s="234"/>
      <c r="WGB978" s="234"/>
      <c r="WGC978" s="236"/>
      <c r="WGD978" s="244"/>
      <c r="WGE978" s="239"/>
      <c r="WGF978" s="240"/>
      <c r="WGG978" s="241"/>
      <c r="WGH978" s="239"/>
      <c r="WGI978" s="239"/>
      <c r="WGJ978" s="239"/>
      <c r="WGK978" s="239"/>
      <c r="WGL978" s="239"/>
      <c r="WGM978" s="239"/>
      <c r="WGN978" s="233"/>
      <c r="WGO978" s="235"/>
      <c r="WGP978" s="233"/>
      <c r="WGQ978" s="233"/>
      <c r="WGR978" s="234"/>
      <c r="WGS978" s="234"/>
      <c r="WGT978" s="242"/>
      <c r="WGU978" s="234"/>
      <c r="WGV978" s="234"/>
      <c r="WGW978" s="234"/>
      <c r="WGX978" s="236"/>
      <c r="WGY978" s="244"/>
      <c r="WGZ978" s="239"/>
      <c r="WHA978" s="240"/>
      <c r="WHB978" s="241"/>
      <c r="WHC978" s="239"/>
      <c r="WHD978" s="239"/>
      <c r="WHE978" s="239"/>
      <c r="WHF978" s="239"/>
      <c r="WHG978" s="239"/>
      <c r="WHH978" s="239"/>
      <c r="WHI978" s="233"/>
      <c r="WHJ978" s="235"/>
      <c r="WHK978" s="233"/>
      <c r="WHL978" s="233"/>
      <c r="WHM978" s="234"/>
      <c r="WHN978" s="234"/>
      <c r="WHO978" s="242"/>
      <c r="WHP978" s="234"/>
      <c r="WHQ978" s="234"/>
      <c r="WHR978" s="234"/>
      <c r="WHS978" s="236"/>
      <c r="WHT978" s="244"/>
      <c r="WHU978" s="239"/>
      <c r="WHV978" s="240"/>
      <c r="WHW978" s="241"/>
      <c r="WHX978" s="239"/>
      <c r="WHY978" s="239"/>
      <c r="WHZ978" s="239"/>
      <c r="WIA978" s="239"/>
      <c r="WIB978" s="239"/>
      <c r="WIC978" s="239"/>
      <c r="WID978" s="233"/>
      <c r="WIE978" s="235"/>
      <c r="WIF978" s="233"/>
      <c r="WIG978" s="233"/>
      <c r="WIH978" s="234"/>
      <c r="WII978" s="234"/>
      <c r="WIJ978" s="242"/>
      <c r="WIK978" s="234"/>
      <c r="WIL978" s="234"/>
      <c r="WIM978" s="234"/>
      <c r="WIN978" s="236"/>
      <c r="WIO978" s="244"/>
      <c r="WIP978" s="239"/>
      <c r="WIQ978" s="240"/>
      <c r="WIR978" s="241"/>
      <c r="WIS978" s="239"/>
      <c r="WIT978" s="239"/>
      <c r="WIU978" s="239"/>
      <c r="WIV978" s="239"/>
      <c r="WIW978" s="239"/>
      <c r="WIX978" s="239"/>
      <c r="WIY978" s="233"/>
      <c r="WIZ978" s="235"/>
      <c r="WJA978" s="233"/>
      <c r="WJB978" s="233"/>
      <c r="WJC978" s="234"/>
      <c r="WJD978" s="234"/>
      <c r="WJE978" s="242"/>
      <c r="WJF978" s="234"/>
      <c r="WJG978" s="234"/>
      <c r="WJH978" s="234"/>
      <c r="WJI978" s="236"/>
      <c r="WJJ978" s="244"/>
      <c r="WJK978" s="239"/>
      <c r="WJL978" s="240"/>
      <c r="WJM978" s="241"/>
      <c r="WJN978" s="239"/>
      <c r="WJO978" s="239"/>
      <c r="WJP978" s="239"/>
      <c r="WJQ978" s="239"/>
      <c r="WJR978" s="239"/>
      <c r="WJS978" s="239"/>
      <c r="WJT978" s="233"/>
      <c r="WJU978" s="235"/>
      <c r="WJV978" s="233"/>
      <c r="WJW978" s="233"/>
      <c r="WJX978" s="234"/>
      <c r="WJY978" s="234"/>
      <c r="WJZ978" s="242"/>
      <c r="WKA978" s="234"/>
      <c r="WKB978" s="234"/>
      <c r="WKC978" s="234"/>
      <c r="WKD978" s="236"/>
      <c r="WKE978" s="244"/>
      <c r="WKF978" s="239"/>
      <c r="WKG978" s="240"/>
      <c r="WKH978" s="241"/>
      <c r="WKI978" s="239"/>
      <c r="WKJ978" s="239"/>
      <c r="WKK978" s="239"/>
      <c r="WKL978" s="239"/>
      <c r="WKM978" s="239"/>
      <c r="WKN978" s="239"/>
      <c r="WKO978" s="233"/>
      <c r="WKP978" s="235"/>
      <c r="WKQ978" s="233"/>
      <c r="WKR978" s="233"/>
      <c r="WKS978" s="234"/>
      <c r="WKT978" s="234"/>
      <c r="WKU978" s="242"/>
      <c r="WKV978" s="234"/>
      <c r="WKW978" s="234"/>
      <c r="WKX978" s="234"/>
      <c r="WKY978" s="236"/>
      <c r="WKZ978" s="244"/>
      <c r="WLA978" s="239"/>
      <c r="WLB978" s="240"/>
      <c r="WLC978" s="241"/>
      <c r="WLD978" s="239"/>
      <c r="WLE978" s="239"/>
      <c r="WLF978" s="239"/>
      <c r="WLG978" s="239"/>
      <c r="WLH978" s="239"/>
      <c r="WLI978" s="239"/>
      <c r="WLJ978" s="233"/>
      <c r="WLK978" s="235"/>
      <c r="WLL978" s="233"/>
      <c r="WLM978" s="233"/>
      <c r="WLN978" s="234"/>
      <c r="WLO978" s="234"/>
      <c r="WLP978" s="242"/>
      <c r="WLQ978" s="234"/>
      <c r="WLR978" s="234"/>
      <c r="WLS978" s="234"/>
      <c r="WLT978" s="236"/>
      <c r="WLU978" s="244"/>
      <c r="WLV978" s="239"/>
      <c r="WLW978" s="240"/>
      <c r="WLX978" s="241"/>
      <c r="WLY978" s="239"/>
      <c r="WLZ978" s="239"/>
      <c r="WMA978" s="239"/>
      <c r="WMB978" s="239"/>
      <c r="WMC978" s="239"/>
      <c r="WMD978" s="239"/>
      <c r="WME978" s="233"/>
      <c r="WMF978" s="235"/>
      <c r="WMG978" s="233"/>
      <c r="WMH978" s="233"/>
      <c r="WMI978" s="234"/>
      <c r="WMJ978" s="234"/>
      <c r="WMK978" s="242"/>
      <c r="WML978" s="234"/>
      <c r="WMM978" s="234"/>
      <c r="WMN978" s="234"/>
      <c r="WMO978" s="236"/>
      <c r="WMP978" s="244"/>
      <c r="WMQ978" s="239"/>
      <c r="WMR978" s="240"/>
      <c r="WMS978" s="241"/>
      <c r="WMT978" s="239"/>
      <c r="WMU978" s="239"/>
      <c r="WMV978" s="239"/>
      <c r="WMW978" s="239"/>
      <c r="WMX978" s="239"/>
      <c r="WMY978" s="239"/>
      <c r="WMZ978" s="233"/>
      <c r="WNA978" s="235"/>
      <c r="WNB978" s="233"/>
      <c r="WNC978" s="233"/>
      <c r="WND978" s="234"/>
      <c r="WNE978" s="234"/>
      <c r="WNF978" s="242"/>
      <c r="WNG978" s="234"/>
      <c r="WNH978" s="234"/>
      <c r="WNI978" s="234"/>
      <c r="WNJ978" s="236"/>
      <c r="WNK978" s="244"/>
      <c r="WNL978" s="239"/>
      <c r="WNM978" s="240"/>
      <c r="WNN978" s="241"/>
      <c r="WNO978" s="239"/>
      <c r="WNP978" s="239"/>
      <c r="WNQ978" s="239"/>
      <c r="WNR978" s="239"/>
      <c r="WNS978" s="239"/>
      <c r="WNT978" s="239"/>
      <c r="WNU978" s="233"/>
      <c r="WNV978" s="235"/>
      <c r="WNW978" s="233"/>
      <c r="WNX978" s="233"/>
      <c r="WNY978" s="234"/>
      <c r="WNZ978" s="234"/>
      <c r="WOA978" s="242"/>
      <c r="WOB978" s="234"/>
      <c r="WOC978" s="234"/>
      <c r="WOD978" s="234"/>
      <c r="WOE978" s="236"/>
      <c r="WOF978" s="244"/>
      <c r="WOG978" s="239"/>
      <c r="WOH978" s="240"/>
      <c r="WOI978" s="241"/>
      <c r="WOJ978" s="239"/>
      <c r="WOK978" s="239"/>
      <c r="WOL978" s="239"/>
      <c r="WOM978" s="239"/>
      <c r="WON978" s="239"/>
      <c r="WOO978" s="239"/>
      <c r="WOP978" s="233"/>
      <c r="WOQ978" s="235"/>
      <c r="WOR978" s="233"/>
      <c r="WOS978" s="233"/>
      <c r="WOT978" s="234"/>
      <c r="WOU978" s="234"/>
      <c r="WOV978" s="242"/>
      <c r="WOW978" s="234"/>
      <c r="WOX978" s="234"/>
      <c r="WOY978" s="234"/>
      <c r="WOZ978" s="236"/>
      <c r="WPA978" s="244"/>
      <c r="WPB978" s="239"/>
      <c r="WPC978" s="240"/>
      <c r="WPD978" s="241"/>
      <c r="WPE978" s="239"/>
      <c r="WPF978" s="239"/>
      <c r="WPG978" s="239"/>
      <c r="WPH978" s="239"/>
      <c r="WPI978" s="239"/>
      <c r="WPJ978" s="239"/>
      <c r="WPK978" s="233"/>
      <c r="WPL978" s="235"/>
      <c r="WPM978" s="233"/>
      <c r="WPN978" s="233"/>
      <c r="WPO978" s="234"/>
      <c r="WPP978" s="234"/>
      <c r="WPQ978" s="242"/>
      <c r="WPR978" s="234"/>
      <c r="WPS978" s="234"/>
      <c r="WPT978" s="234"/>
      <c r="WPU978" s="236"/>
      <c r="WPV978" s="244"/>
      <c r="WPW978" s="239"/>
      <c r="WPX978" s="240"/>
      <c r="WPY978" s="241"/>
      <c r="WPZ978" s="239"/>
      <c r="WQA978" s="239"/>
      <c r="WQB978" s="239"/>
      <c r="WQC978" s="239"/>
      <c r="WQD978" s="239"/>
      <c r="WQE978" s="239"/>
      <c r="WQF978" s="233"/>
      <c r="WQG978" s="235"/>
      <c r="WQH978" s="233"/>
      <c r="WQI978" s="233"/>
      <c r="WQJ978" s="234"/>
      <c r="WQK978" s="234"/>
      <c r="WQL978" s="242"/>
      <c r="WQM978" s="234"/>
      <c r="WQN978" s="234"/>
      <c r="WQO978" s="234"/>
      <c r="WQP978" s="236"/>
      <c r="WQQ978" s="244"/>
      <c r="WQR978" s="239"/>
      <c r="WQS978" s="240"/>
      <c r="WQT978" s="241"/>
      <c r="WQU978" s="239"/>
      <c r="WQV978" s="239"/>
      <c r="WQW978" s="239"/>
      <c r="WQX978" s="239"/>
      <c r="WQY978" s="239"/>
      <c r="WQZ978" s="239"/>
      <c r="WRA978" s="233"/>
      <c r="WRB978" s="235"/>
      <c r="WRC978" s="233"/>
      <c r="WRD978" s="233"/>
      <c r="WRE978" s="234"/>
      <c r="WRF978" s="234"/>
      <c r="WRG978" s="242"/>
      <c r="WRH978" s="234"/>
      <c r="WRI978" s="234"/>
      <c r="WRJ978" s="234"/>
      <c r="WRK978" s="236"/>
      <c r="WRL978" s="244"/>
      <c r="WRM978" s="239"/>
      <c r="WRN978" s="240"/>
      <c r="WRO978" s="241"/>
      <c r="WRP978" s="239"/>
      <c r="WRQ978" s="239"/>
      <c r="WRR978" s="239"/>
      <c r="WRS978" s="239"/>
      <c r="WRT978" s="239"/>
      <c r="WRU978" s="239"/>
      <c r="WRV978" s="233"/>
      <c r="WRW978" s="235"/>
      <c r="WRX978" s="233"/>
      <c r="WRY978" s="233"/>
      <c r="WRZ978" s="234"/>
      <c r="WSA978" s="234"/>
      <c r="WSB978" s="242"/>
      <c r="WSC978" s="234"/>
      <c r="WSD978" s="234"/>
      <c r="WSE978" s="234"/>
      <c r="WSF978" s="236"/>
      <c r="WSG978" s="244"/>
      <c r="WSH978" s="239"/>
      <c r="WSI978" s="240"/>
      <c r="WSJ978" s="241"/>
      <c r="WSK978" s="239"/>
      <c r="WSL978" s="239"/>
      <c r="WSM978" s="239"/>
      <c r="WSN978" s="239"/>
      <c r="WSO978" s="239"/>
      <c r="WSP978" s="239"/>
      <c r="WSQ978" s="233"/>
      <c r="WSR978" s="235"/>
      <c r="WSS978" s="233"/>
      <c r="WST978" s="233"/>
      <c r="WSU978" s="234"/>
      <c r="WSV978" s="234"/>
      <c r="WSW978" s="242"/>
      <c r="WSX978" s="234"/>
      <c r="WSY978" s="234"/>
      <c r="WSZ978" s="234"/>
      <c r="WTA978" s="236"/>
      <c r="WTB978" s="244"/>
      <c r="WTC978" s="239"/>
      <c r="WTD978" s="240"/>
      <c r="WTE978" s="241"/>
      <c r="WTF978" s="239"/>
      <c r="WTG978" s="239"/>
      <c r="WTH978" s="239"/>
      <c r="WTI978" s="239"/>
      <c r="WTJ978" s="239"/>
      <c r="WTK978" s="239"/>
      <c r="WTL978" s="233"/>
      <c r="WTM978" s="235"/>
      <c r="WTN978" s="233"/>
      <c r="WTO978" s="233"/>
      <c r="WTP978" s="234"/>
      <c r="WTQ978" s="234"/>
      <c r="WTR978" s="242"/>
      <c r="WTS978" s="234"/>
      <c r="WTT978" s="234"/>
      <c r="WTU978" s="234"/>
      <c r="WTV978" s="236"/>
      <c r="WTW978" s="244"/>
      <c r="WTX978" s="239"/>
      <c r="WTY978" s="240"/>
      <c r="WTZ978" s="241"/>
      <c r="WUA978" s="239"/>
      <c r="WUB978" s="239"/>
      <c r="WUC978" s="239"/>
      <c r="WUD978" s="239"/>
      <c r="WUE978" s="239"/>
      <c r="WUF978" s="239"/>
      <c r="WUG978" s="233"/>
      <c r="WUH978" s="235"/>
      <c r="WUI978" s="233"/>
      <c r="WUJ978" s="233"/>
      <c r="WUK978" s="234"/>
      <c r="WUL978" s="234"/>
      <c r="WUM978" s="242"/>
      <c r="WUN978" s="234"/>
      <c r="WUO978" s="234"/>
      <c r="WUP978" s="234"/>
      <c r="WUQ978" s="236"/>
      <c r="WUR978" s="244"/>
      <c r="WUS978" s="239"/>
      <c r="WUT978" s="240"/>
      <c r="WUU978" s="241"/>
      <c r="WUV978" s="239"/>
      <c r="WUW978" s="239"/>
      <c r="WUX978" s="239"/>
      <c r="WUY978" s="239"/>
      <c r="WUZ978" s="239"/>
      <c r="WVA978" s="239"/>
      <c r="WVB978" s="233"/>
      <c r="WVC978" s="235"/>
      <c r="WVD978" s="233"/>
      <c r="WVE978" s="233"/>
      <c r="WVF978" s="234"/>
      <c r="WVG978" s="234"/>
      <c r="WVH978" s="242"/>
      <c r="WVI978" s="234"/>
      <c r="WVJ978" s="234"/>
      <c r="WVK978" s="234"/>
      <c r="WVL978" s="236"/>
      <c r="WVM978" s="244"/>
      <c r="WVN978" s="239"/>
      <c r="WVO978" s="240"/>
      <c r="WVP978" s="241"/>
      <c r="WVQ978" s="239"/>
      <c r="WVR978" s="239"/>
      <c r="WVS978" s="239"/>
      <c r="WVT978" s="239"/>
      <c r="WVU978" s="239"/>
      <c r="WVV978" s="239"/>
      <c r="WVW978" s="233"/>
      <c r="WVX978" s="235"/>
      <c r="WVY978" s="233"/>
      <c r="WVZ978" s="233"/>
      <c r="WWA978" s="234"/>
      <c r="WWB978" s="234"/>
      <c r="WWC978" s="242"/>
      <c r="WWD978" s="234"/>
      <c r="WWE978" s="234"/>
      <c r="WWF978" s="234"/>
      <c r="WWG978" s="236"/>
      <c r="WWH978" s="244"/>
      <c r="WWI978" s="239"/>
      <c r="WWJ978" s="240"/>
      <c r="WWK978" s="241"/>
      <c r="WWL978" s="239"/>
      <c r="WWM978" s="239"/>
      <c r="WWN978" s="239"/>
      <c r="WWO978" s="239"/>
      <c r="WWP978" s="239"/>
      <c r="WWQ978" s="239"/>
      <c r="WWR978" s="233"/>
      <c r="WWS978" s="235"/>
      <c r="WWT978" s="233"/>
      <c r="WWU978" s="233"/>
      <c r="WWV978" s="234"/>
      <c r="WWW978" s="234"/>
      <c r="WWX978" s="242"/>
      <c r="WWY978" s="234"/>
      <c r="WWZ978" s="234"/>
      <c r="WXA978" s="234"/>
      <c r="WXB978" s="236"/>
      <c r="WXC978" s="244"/>
      <c r="WXD978" s="239"/>
      <c r="WXE978" s="240"/>
      <c r="WXF978" s="241"/>
      <c r="WXG978" s="239"/>
      <c r="WXH978" s="239"/>
      <c r="WXI978" s="239"/>
      <c r="WXJ978" s="239"/>
      <c r="WXK978" s="239"/>
      <c r="WXL978" s="239"/>
      <c r="WXM978" s="233"/>
      <c r="WXN978" s="235"/>
      <c r="WXO978" s="233"/>
      <c r="WXP978" s="233"/>
      <c r="WXQ978" s="234"/>
      <c r="WXR978" s="234"/>
      <c r="WXS978" s="242"/>
      <c r="WXT978" s="234"/>
      <c r="WXU978" s="234"/>
      <c r="WXV978" s="234"/>
      <c r="WXW978" s="236"/>
      <c r="WXX978" s="244"/>
      <c r="WXY978" s="239"/>
      <c r="WXZ978" s="240"/>
      <c r="WYA978" s="241"/>
      <c r="WYB978" s="239"/>
      <c r="WYC978" s="239"/>
      <c r="WYD978" s="239"/>
      <c r="WYE978" s="239"/>
      <c r="WYF978" s="239"/>
      <c r="WYG978" s="239"/>
      <c r="WYH978" s="233"/>
      <c r="WYI978" s="235"/>
      <c r="WYJ978" s="233"/>
      <c r="WYK978" s="233"/>
      <c r="WYL978" s="234"/>
      <c r="WYM978" s="234"/>
      <c r="WYN978" s="242"/>
      <c r="WYO978" s="234"/>
      <c r="WYP978" s="234"/>
      <c r="WYQ978" s="234"/>
      <c r="WYR978" s="236"/>
      <c r="WYS978" s="244"/>
      <c r="WYT978" s="239"/>
      <c r="WYU978" s="240"/>
      <c r="WYV978" s="241"/>
      <c r="WYW978" s="239"/>
      <c r="WYX978" s="239"/>
      <c r="WYY978" s="239"/>
      <c r="WYZ978" s="239"/>
      <c r="WZA978" s="239"/>
      <c r="WZB978" s="239"/>
      <c r="WZC978" s="233"/>
      <c r="WZD978" s="235"/>
      <c r="WZE978" s="233"/>
      <c r="WZF978" s="233"/>
      <c r="WZG978" s="234"/>
      <c r="WZH978" s="234"/>
      <c r="WZI978" s="242"/>
      <c r="WZJ978" s="234"/>
      <c r="WZK978" s="234"/>
      <c r="WZL978" s="234"/>
      <c r="WZM978" s="236"/>
      <c r="WZN978" s="244"/>
      <c r="WZO978" s="239"/>
      <c r="WZP978" s="240"/>
      <c r="WZQ978" s="241"/>
      <c r="WZR978" s="239"/>
      <c r="WZS978" s="239"/>
      <c r="WZT978" s="239"/>
      <c r="WZU978" s="239"/>
      <c r="WZV978" s="239"/>
      <c r="WZW978" s="239"/>
      <c r="WZX978" s="233"/>
      <c r="WZY978" s="235"/>
      <c r="WZZ978" s="233"/>
      <c r="XAA978" s="233"/>
      <c r="XAB978" s="234"/>
      <c r="XAC978" s="234"/>
      <c r="XAD978" s="242"/>
      <c r="XAE978" s="234"/>
      <c r="XAF978" s="234"/>
      <c r="XAG978" s="234"/>
      <c r="XAH978" s="236"/>
      <c r="XAI978" s="244"/>
      <c r="XAJ978" s="239"/>
      <c r="XAK978" s="240"/>
      <c r="XAL978" s="241"/>
      <c r="XAM978" s="239"/>
      <c r="XAN978" s="239"/>
      <c r="XAO978" s="239"/>
      <c r="XAP978" s="239"/>
      <c r="XAQ978" s="239"/>
      <c r="XAR978" s="239"/>
      <c r="XAS978" s="233"/>
      <c r="XAT978" s="235"/>
      <c r="XAU978" s="233"/>
      <c r="XAV978" s="233"/>
      <c r="XAW978" s="234"/>
      <c r="XAX978" s="234"/>
      <c r="XAY978" s="242"/>
      <c r="XAZ978" s="234"/>
      <c r="XBA978" s="234"/>
      <c r="XBB978" s="234"/>
      <c r="XBC978" s="236"/>
      <c r="XBD978" s="244"/>
      <c r="XBE978" s="239"/>
      <c r="XBF978" s="240"/>
      <c r="XBG978" s="241"/>
      <c r="XBH978" s="239"/>
      <c r="XBI978" s="239"/>
      <c r="XBJ978" s="239"/>
      <c r="XBK978" s="239"/>
      <c r="XBL978" s="239"/>
      <c r="XBM978" s="239"/>
      <c r="XBN978" s="233"/>
      <c r="XBO978" s="235"/>
      <c r="XBP978" s="233"/>
      <c r="XBQ978" s="233"/>
      <c r="XBR978" s="234"/>
      <c r="XBS978" s="234"/>
      <c r="XBT978" s="242"/>
      <c r="XBU978" s="234"/>
      <c r="XBV978" s="234"/>
      <c r="XBW978" s="234"/>
      <c r="XBX978" s="236"/>
      <c r="XBY978" s="244"/>
      <c r="XBZ978" s="239"/>
      <c r="XCA978" s="240"/>
      <c r="XCB978" s="241"/>
      <c r="XCC978" s="239"/>
      <c r="XCD978" s="239"/>
      <c r="XCE978" s="239"/>
      <c r="XCF978" s="239"/>
      <c r="XCG978" s="239"/>
      <c r="XCH978" s="239"/>
      <c r="XCI978" s="233"/>
      <c r="XCJ978" s="235"/>
      <c r="XCK978" s="233"/>
      <c r="XCL978" s="233"/>
      <c r="XCM978" s="234"/>
      <c r="XCN978" s="234"/>
      <c r="XCO978" s="242"/>
      <c r="XCP978" s="234"/>
      <c r="XCQ978" s="234"/>
      <c r="XCR978" s="234"/>
      <c r="XCS978" s="236"/>
      <c r="XCT978" s="244"/>
      <c r="XCU978" s="239"/>
      <c r="XCV978" s="240"/>
      <c r="XCW978" s="241"/>
      <c r="XCX978" s="239"/>
      <c r="XCY978" s="239"/>
      <c r="XCZ978" s="239"/>
      <c r="XDA978" s="239"/>
      <c r="XDB978" s="239"/>
      <c r="XDC978" s="239"/>
      <c r="XDD978" s="233"/>
      <c r="XDE978" s="235"/>
      <c r="XDF978" s="233"/>
      <c r="XDG978" s="233"/>
      <c r="XDH978" s="234"/>
      <c r="XDI978" s="234"/>
      <c r="XDJ978" s="242"/>
      <c r="XDK978" s="234"/>
      <c r="XDL978" s="234"/>
      <c r="XDM978" s="234"/>
      <c r="XDN978" s="236"/>
      <c r="XDO978" s="244"/>
      <c r="XDP978" s="239"/>
      <c r="XDQ978" s="240"/>
      <c r="XDR978" s="241"/>
      <c r="XDS978" s="239"/>
      <c r="XDT978" s="239"/>
      <c r="XDU978" s="239"/>
      <c r="XDV978" s="239"/>
      <c r="XDW978" s="239"/>
      <c r="XDX978" s="239"/>
      <c r="XDY978" s="233"/>
      <c r="XDZ978" s="235"/>
      <c r="XEA978" s="233"/>
      <c r="XEB978" s="233"/>
      <c r="XEC978" s="234"/>
      <c r="XED978" s="234"/>
      <c r="XEE978" s="242"/>
      <c r="XEF978" s="234"/>
      <c r="XEG978" s="234"/>
      <c r="XEH978" s="234"/>
      <c r="XEI978" s="236"/>
      <c r="XEJ978" s="244"/>
      <c r="XEK978" s="239"/>
      <c r="XEL978" s="240"/>
      <c r="XEM978" s="241"/>
      <c r="XEN978" s="239"/>
    </row>
    <row r="979" spans="1:16368" ht="38.25" hidden="1">
      <c r="A979" s="239" t="s">
        <v>2792</v>
      </c>
      <c r="B979" s="240">
        <v>2312</v>
      </c>
      <c r="C979" s="241">
        <v>9445</v>
      </c>
      <c r="D979" s="239" t="s">
        <v>2511</v>
      </c>
      <c r="E979" s="239" t="s">
        <v>2793</v>
      </c>
      <c r="F979" s="239" t="s">
        <v>2794</v>
      </c>
      <c r="G979" s="239" t="s">
        <v>931</v>
      </c>
      <c r="H979" s="239" t="s">
        <v>51</v>
      </c>
      <c r="I979" s="239" t="s">
        <v>2512</v>
      </c>
      <c r="J979" s="233"/>
      <c r="K979" s="235">
        <v>45941</v>
      </c>
      <c r="L979" s="233">
        <v>2.1</v>
      </c>
      <c r="M979" s="234" t="s">
        <v>931</v>
      </c>
      <c r="N979" s="234">
        <v>47990</v>
      </c>
      <c r="O979" s="234">
        <v>17490</v>
      </c>
      <c r="P979" s="242">
        <v>7</v>
      </c>
      <c r="Q979" s="234">
        <v>30500</v>
      </c>
      <c r="R979" s="234">
        <v>28365</v>
      </c>
      <c r="S979" s="234" t="s">
        <v>2853</v>
      </c>
      <c r="T979" s="236">
        <v>45942</v>
      </c>
    </row>
    <row r="980" spans="1:16368" ht="38.25" hidden="1">
      <c r="A980" s="239" t="s">
        <v>2781</v>
      </c>
      <c r="B980" s="240">
        <v>2303</v>
      </c>
      <c r="C980" s="241">
        <v>9430</v>
      </c>
      <c r="D980" s="239" t="s">
        <v>2511</v>
      </c>
      <c r="E980" s="239" t="s">
        <v>794</v>
      </c>
      <c r="F980" s="239" t="s">
        <v>795</v>
      </c>
      <c r="G980" s="239" t="s">
        <v>931</v>
      </c>
      <c r="H980" s="239" t="s">
        <v>51</v>
      </c>
      <c r="I980" s="239" t="s">
        <v>2512</v>
      </c>
      <c r="J980" s="233"/>
      <c r="K980" s="235">
        <v>45941</v>
      </c>
      <c r="L980" s="233">
        <v>1.8</v>
      </c>
      <c r="M980" s="234" t="s">
        <v>931</v>
      </c>
      <c r="N980" s="234">
        <v>42180</v>
      </c>
      <c r="O980" s="234">
        <v>16000</v>
      </c>
      <c r="P980" s="242">
        <v>6</v>
      </c>
      <c r="Q980" s="234">
        <v>26180</v>
      </c>
      <c r="R980" s="234">
        <v>24609.200000000001</v>
      </c>
      <c r="S980" s="234" t="s">
        <v>2842</v>
      </c>
      <c r="T980" s="236">
        <v>45941</v>
      </c>
    </row>
    <row r="981" spans="1:16368" ht="38.25" hidden="1">
      <c r="A981" s="239" t="s">
        <v>2795</v>
      </c>
      <c r="B981" s="240">
        <v>2315</v>
      </c>
      <c r="C981" s="241">
        <v>9449</v>
      </c>
      <c r="D981" s="239" t="s">
        <v>2511</v>
      </c>
      <c r="E981" s="239" t="s">
        <v>390</v>
      </c>
      <c r="F981" s="239" t="s">
        <v>391</v>
      </c>
      <c r="G981" s="239" t="s">
        <v>931</v>
      </c>
      <c r="H981" s="239" t="s">
        <v>51</v>
      </c>
      <c r="I981" s="239" t="s">
        <v>2512</v>
      </c>
      <c r="J981" s="233"/>
      <c r="K981" s="235">
        <v>45941</v>
      </c>
      <c r="L981" s="233">
        <v>1.8</v>
      </c>
      <c r="M981" s="234" t="s">
        <v>931</v>
      </c>
      <c r="N981" s="234">
        <v>41170</v>
      </c>
      <c r="O981" s="234">
        <v>15030</v>
      </c>
      <c r="P981" s="242">
        <v>8</v>
      </c>
      <c r="Q981" s="234">
        <v>26140</v>
      </c>
      <c r="R981" s="234">
        <v>24048.799999999999</v>
      </c>
      <c r="S981" s="234" t="s">
        <v>2854</v>
      </c>
      <c r="T981" s="236">
        <v>45942</v>
      </c>
    </row>
    <row r="982" spans="1:16368" ht="38.25" hidden="1">
      <c r="A982" s="239" t="s">
        <v>2796</v>
      </c>
      <c r="B982" s="240">
        <v>2314</v>
      </c>
      <c r="C982" s="241">
        <v>9450</v>
      </c>
      <c r="D982" s="239" t="s">
        <v>2511</v>
      </c>
      <c r="E982" s="239" t="s">
        <v>392</v>
      </c>
      <c r="F982" s="239" t="s">
        <v>393</v>
      </c>
      <c r="G982" s="239" t="s">
        <v>931</v>
      </c>
      <c r="H982" s="239" t="s">
        <v>51</v>
      </c>
      <c r="I982" s="239" t="s">
        <v>2512</v>
      </c>
      <c r="J982" s="233"/>
      <c r="K982" s="235">
        <v>45941</v>
      </c>
      <c r="L982" s="233">
        <v>2.8</v>
      </c>
      <c r="M982" s="234" t="s">
        <v>931</v>
      </c>
      <c r="N982" s="234">
        <v>64080</v>
      </c>
      <c r="O982" s="234">
        <v>24130</v>
      </c>
      <c r="P982" s="242">
        <v>10</v>
      </c>
      <c r="Q982" s="234">
        <v>39950</v>
      </c>
      <c r="R982" s="234">
        <v>35955</v>
      </c>
      <c r="S982" s="234" t="s">
        <v>2855</v>
      </c>
      <c r="T982" s="236">
        <v>45942</v>
      </c>
    </row>
    <row r="983" spans="1:16368" ht="38.25" hidden="1">
      <c r="A983" s="239" t="s">
        <v>2797</v>
      </c>
      <c r="B983" s="240">
        <v>2317</v>
      </c>
      <c r="C983" s="241">
        <v>9453</v>
      </c>
      <c r="D983" s="239" t="s">
        <v>2511</v>
      </c>
      <c r="E983" s="239" t="s">
        <v>400</v>
      </c>
      <c r="F983" s="239" t="s">
        <v>401</v>
      </c>
      <c r="G983" s="239" t="s">
        <v>931</v>
      </c>
      <c r="H983" s="239" t="s">
        <v>51</v>
      </c>
      <c r="I983" s="239" t="s">
        <v>2512</v>
      </c>
      <c r="J983" s="233"/>
      <c r="K983" s="235">
        <v>45941</v>
      </c>
      <c r="L983" s="233">
        <v>1.7</v>
      </c>
      <c r="M983" s="234" t="s">
        <v>931</v>
      </c>
      <c r="N983" s="234">
        <v>39390</v>
      </c>
      <c r="O983" s="234">
        <v>14780</v>
      </c>
      <c r="P983" s="242">
        <v>16</v>
      </c>
      <c r="Q983" s="234">
        <v>24610</v>
      </c>
      <c r="R983" s="234">
        <v>20672.400000000001</v>
      </c>
      <c r="S983" s="234" t="s">
        <v>2856</v>
      </c>
      <c r="T983" s="236">
        <v>45942</v>
      </c>
    </row>
    <row r="984" spans="1:16368" ht="51" hidden="1">
      <c r="A984" s="239" t="s">
        <v>2798</v>
      </c>
      <c r="B984" s="240">
        <v>2318</v>
      </c>
      <c r="C984" s="241">
        <v>9455</v>
      </c>
      <c r="D984" s="239" t="s">
        <v>2511</v>
      </c>
      <c r="E984" s="239" t="s">
        <v>382</v>
      </c>
      <c r="F984" s="239" t="s">
        <v>383</v>
      </c>
      <c r="G984" s="239" t="s">
        <v>931</v>
      </c>
      <c r="H984" s="239" t="s">
        <v>51</v>
      </c>
      <c r="I984" s="239" t="s">
        <v>2512</v>
      </c>
      <c r="J984" s="233"/>
      <c r="K984" s="235">
        <v>45941</v>
      </c>
      <c r="L984" s="233">
        <v>1.6</v>
      </c>
      <c r="M984" s="234" t="s">
        <v>931</v>
      </c>
      <c r="N984" s="234">
        <v>37380</v>
      </c>
      <c r="O984" s="234">
        <v>14610</v>
      </c>
      <c r="P984" s="242">
        <v>13</v>
      </c>
      <c r="Q984" s="234">
        <v>22770</v>
      </c>
      <c r="R984" s="234">
        <v>19809.900000000001</v>
      </c>
      <c r="S984" s="234" t="s">
        <v>2857</v>
      </c>
      <c r="T984" s="236">
        <v>45942</v>
      </c>
    </row>
    <row r="985" spans="1:16368" ht="38.25" hidden="1">
      <c r="A985" s="239" t="s">
        <v>2799</v>
      </c>
      <c r="B985" s="240">
        <v>2320</v>
      </c>
      <c r="C985" s="241">
        <v>9459</v>
      </c>
      <c r="D985" s="239" t="s">
        <v>2511</v>
      </c>
      <c r="E985" s="239" t="s">
        <v>783</v>
      </c>
      <c r="F985" s="239" t="s">
        <v>784</v>
      </c>
      <c r="G985" s="239" t="s">
        <v>931</v>
      </c>
      <c r="H985" s="239" t="s">
        <v>51</v>
      </c>
      <c r="I985" s="239" t="s">
        <v>2512</v>
      </c>
      <c r="J985" s="233"/>
      <c r="K985" s="235">
        <v>45941</v>
      </c>
      <c r="L985" s="233">
        <v>1.7</v>
      </c>
      <c r="M985" s="234" t="s">
        <v>931</v>
      </c>
      <c r="N985" s="234">
        <v>38580</v>
      </c>
      <c r="O985" s="234">
        <v>14490</v>
      </c>
      <c r="P985" s="242">
        <v>12</v>
      </c>
      <c r="Q985" s="234">
        <v>24090</v>
      </c>
      <c r="R985" s="234">
        <v>21199.200000000001</v>
      </c>
      <c r="S985" s="234" t="s">
        <v>2858</v>
      </c>
      <c r="T985" s="236">
        <v>45942</v>
      </c>
    </row>
    <row r="986" spans="1:16368" ht="38.25" hidden="1">
      <c r="A986" s="239" t="s">
        <v>2800</v>
      </c>
      <c r="B986" s="240">
        <v>2321</v>
      </c>
      <c r="C986" s="241">
        <v>9462</v>
      </c>
      <c r="D986" s="239" t="s">
        <v>2511</v>
      </c>
      <c r="E986" s="239" t="s">
        <v>1305</v>
      </c>
      <c r="F986" s="239" t="s">
        <v>1306</v>
      </c>
      <c r="G986" s="239" t="s">
        <v>931</v>
      </c>
      <c r="H986" s="239" t="s">
        <v>51</v>
      </c>
      <c r="I986" s="239" t="s">
        <v>2512</v>
      </c>
      <c r="J986" s="233"/>
      <c r="K986" s="235">
        <v>45941</v>
      </c>
      <c r="L986" s="233">
        <v>1.5</v>
      </c>
      <c r="M986" s="234" t="s">
        <v>931</v>
      </c>
      <c r="N986" s="234">
        <v>35980</v>
      </c>
      <c r="O986" s="234">
        <v>14780</v>
      </c>
      <c r="P986" s="242">
        <v>7</v>
      </c>
      <c r="Q986" s="234">
        <v>21200</v>
      </c>
      <c r="R986" s="234">
        <v>19716</v>
      </c>
      <c r="S986" s="234" t="s">
        <v>2859</v>
      </c>
      <c r="T986" s="236">
        <v>45942</v>
      </c>
    </row>
    <row r="987" spans="1:16368" ht="38.25" hidden="1">
      <c r="A987" s="239" t="s">
        <v>2801</v>
      </c>
      <c r="B987" s="240">
        <v>2323</v>
      </c>
      <c r="C987" s="241">
        <v>9410</v>
      </c>
      <c r="D987" s="239" t="s">
        <v>2511</v>
      </c>
      <c r="E987" s="239" t="s">
        <v>786</v>
      </c>
      <c r="F987" s="239" t="s">
        <v>787</v>
      </c>
      <c r="G987" s="239" t="s">
        <v>931</v>
      </c>
      <c r="H987" s="239" t="s">
        <v>51</v>
      </c>
      <c r="I987" s="239" t="s">
        <v>2512</v>
      </c>
      <c r="J987" s="233"/>
      <c r="K987" s="235">
        <v>45941</v>
      </c>
      <c r="L987" s="233">
        <v>1.5</v>
      </c>
      <c r="M987" s="234" t="s">
        <v>931</v>
      </c>
      <c r="N987" s="234">
        <v>35870</v>
      </c>
      <c r="O987" s="234">
        <v>13850</v>
      </c>
      <c r="P987" s="242">
        <v>9</v>
      </c>
      <c r="Q987" s="234">
        <v>22020</v>
      </c>
      <c r="R987" s="234">
        <v>20038.2</v>
      </c>
      <c r="S987" s="234" t="s">
        <v>2860</v>
      </c>
      <c r="T987" s="236">
        <v>45942</v>
      </c>
    </row>
    <row r="988" spans="1:16368" ht="38.25" hidden="1">
      <c r="A988" s="239" t="s">
        <v>2802</v>
      </c>
      <c r="B988" s="240">
        <v>2326</v>
      </c>
      <c r="C988" s="241">
        <v>9411</v>
      </c>
      <c r="D988" s="239" t="s">
        <v>2511</v>
      </c>
      <c r="E988" s="239" t="s">
        <v>780</v>
      </c>
      <c r="F988" s="239" t="s">
        <v>781</v>
      </c>
      <c r="G988" s="239" t="s">
        <v>931</v>
      </c>
      <c r="H988" s="239" t="s">
        <v>51</v>
      </c>
      <c r="I988" s="239" t="s">
        <v>2512</v>
      </c>
      <c r="J988" s="233"/>
      <c r="K988" s="235">
        <v>45941</v>
      </c>
      <c r="L988" s="233">
        <v>1.6</v>
      </c>
      <c r="M988" s="234" t="s">
        <v>931</v>
      </c>
      <c r="N988" s="234">
        <v>37320</v>
      </c>
      <c r="O988" s="234">
        <v>14940</v>
      </c>
      <c r="P988" s="242">
        <v>10</v>
      </c>
      <c r="Q988" s="234">
        <v>22380</v>
      </c>
      <c r="R988" s="234">
        <v>20142</v>
      </c>
      <c r="S988" s="234" t="s">
        <v>2861</v>
      </c>
      <c r="T988" s="236">
        <v>45942</v>
      </c>
    </row>
    <row r="989" spans="1:16368" ht="38.25" hidden="1">
      <c r="A989" s="239" t="s">
        <v>2804</v>
      </c>
      <c r="B989" s="240">
        <v>2327</v>
      </c>
      <c r="C989" s="241">
        <v>9412</v>
      </c>
      <c r="D989" s="239" t="s">
        <v>2511</v>
      </c>
      <c r="E989" s="239" t="s">
        <v>442</v>
      </c>
      <c r="F989" s="239" t="s">
        <v>443</v>
      </c>
      <c r="G989" s="239" t="s">
        <v>931</v>
      </c>
      <c r="H989" s="239" t="s">
        <v>51</v>
      </c>
      <c r="I989" s="239" t="s">
        <v>2512</v>
      </c>
      <c r="J989" s="233"/>
      <c r="K989" s="235">
        <v>45941</v>
      </c>
      <c r="L989" s="233">
        <v>1.5</v>
      </c>
      <c r="M989" s="234" t="s">
        <v>931</v>
      </c>
      <c r="N989" s="234">
        <v>35520</v>
      </c>
      <c r="O989" s="234">
        <v>14470</v>
      </c>
      <c r="P989" s="242">
        <v>10</v>
      </c>
      <c r="Q989" s="234">
        <v>21050</v>
      </c>
      <c r="R989" s="234">
        <v>18945</v>
      </c>
      <c r="S989" s="234" t="s">
        <v>2863</v>
      </c>
      <c r="T989" s="236">
        <v>45942</v>
      </c>
    </row>
    <row r="990" spans="1:16368" ht="38.25" hidden="1">
      <c r="A990" s="239" t="s">
        <v>2805</v>
      </c>
      <c r="B990" s="240">
        <v>2328</v>
      </c>
      <c r="C990" s="241">
        <v>9413</v>
      </c>
      <c r="D990" s="239" t="s">
        <v>2511</v>
      </c>
      <c r="E990" s="239" t="s">
        <v>841</v>
      </c>
      <c r="F990" s="239" t="s">
        <v>845</v>
      </c>
      <c r="G990" s="239" t="s">
        <v>931</v>
      </c>
      <c r="H990" s="239" t="s">
        <v>51</v>
      </c>
      <c r="I990" s="239" t="s">
        <v>2512</v>
      </c>
      <c r="J990" s="233"/>
      <c r="K990" s="235">
        <v>45941</v>
      </c>
      <c r="L990" s="233">
        <v>1.9</v>
      </c>
      <c r="M990" s="234" t="s">
        <v>931</v>
      </c>
      <c r="N990" s="234">
        <v>42540</v>
      </c>
      <c r="O990" s="234">
        <v>15940</v>
      </c>
      <c r="P990" s="242">
        <v>8</v>
      </c>
      <c r="Q990" s="234">
        <v>26600</v>
      </c>
      <c r="R990" s="234">
        <v>24472</v>
      </c>
      <c r="S990" s="234" t="s">
        <v>2864</v>
      </c>
      <c r="T990" s="236">
        <v>45942</v>
      </c>
    </row>
    <row r="991" spans="1:16368" ht="38.25" hidden="1">
      <c r="A991" s="239" t="s">
        <v>2806</v>
      </c>
      <c r="B991" s="240">
        <v>2333</v>
      </c>
      <c r="C991" s="241">
        <v>9416</v>
      </c>
      <c r="D991" s="239" t="s">
        <v>2511</v>
      </c>
      <c r="E991" s="239" t="s">
        <v>1403</v>
      </c>
      <c r="F991" s="239" t="s">
        <v>1404</v>
      </c>
      <c r="G991" s="239" t="s">
        <v>931</v>
      </c>
      <c r="H991" s="239" t="s">
        <v>51</v>
      </c>
      <c r="I991" s="239" t="s">
        <v>2512</v>
      </c>
      <c r="J991" s="233"/>
      <c r="K991" s="235">
        <v>45942</v>
      </c>
      <c r="L991" s="233">
        <v>1.4</v>
      </c>
      <c r="M991" s="234" t="s">
        <v>931</v>
      </c>
      <c r="N991" s="234">
        <v>38860</v>
      </c>
      <c r="O991" s="234">
        <v>14960</v>
      </c>
      <c r="P991" s="242">
        <v>7</v>
      </c>
      <c r="Q991" s="234">
        <v>23900</v>
      </c>
      <c r="R991" s="234">
        <v>22227</v>
      </c>
      <c r="S991" s="234" t="s">
        <v>2865</v>
      </c>
      <c r="T991" s="236">
        <v>45942</v>
      </c>
    </row>
    <row r="992" spans="1:16368" ht="38.25" hidden="1">
      <c r="A992" s="239" t="s">
        <v>2803</v>
      </c>
      <c r="B992" s="240">
        <v>2334</v>
      </c>
      <c r="C992" s="241">
        <v>9417</v>
      </c>
      <c r="D992" s="239" t="s">
        <v>2511</v>
      </c>
      <c r="E992" s="239" t="s">
        <v>1400</v>
      </c>
      <c r="F992" s="239" t="s">
        <v>1401</v>
      </c>
      <c r="G992" s="239" t="s">
        <v>931</v>
      </c>
      <c r="H992" s="239" t="s">
        <v>51</v>
      </c>
      <c r="I992" s="239" t="s">
        <v>2512</v>
      </c>
      <c r="J992" s="233"/>
      <c r="K992" s="235">
        <v>45942</v>
      </c>
      <c r="L992" s="233">
        <v>1.3</v>
      </c>
      <c r="M992" s="234" t="s">
        <v>931</v>
      </c>
      <c r="N992" s="234">
        <v>36170</v>
      </c>
      <c r="O992" s="234">
        <v>14740</v>
      </c>
      <c r="P992" s="242">
        <v>6</v>
      </c>
      <c r="Q992" s="234">
        <v>21430</v>
      </c>
      <c r="R992" s="234">
        <v>20144.2</v>
      </c>
      <c r="S992" s="234" t="s">
        <v>2862</v>
      </c>
      <c r="T992" s="236">
        <v>45942</v>
      </c>
    </row>
    <row r="993" spans="1:20" ht="38.25" hidden="1">
      <c r="A993" s="239" t="s">
        <v>2809</v>
      </c>
      <c r="B993" s="240">
        <v>2335</v>
      </c>
      <c r="C993" s="241">
        <v>9415</v>
      </c>
      <c r="D993" s="239" t="s">
        <v>2511</v>
      </c>
      <c r="E993" s="239" t="s">
        <v>1397</v>
      </c>
      <c r="F993" s="239" t="s">
        <v>1398</v>
      </c>
      <c r="G993" s="239" t="s">
        <v>931</v>
      </c>
      <c r="H993" s="239" t="s">
        <v>51</v>
      </c>
      <c r="I993" s="239" t="s">
        <v>2512</v>
      </c>
      <c r="J993" s="233"/>
      <c r="K993" s="235">
        <v>45942</v>
      </c>
      <c r="L993" s="233">
        <v>1.5</v>
      </c>
      <c r="M993" s="234" t="s">
        <v>931</v>
      </c>
      <c r="N993" s="234">
        <v>43410</v>
      </c>
      <c r="O993" s="234">
        <v>17080</v>
      </c>
      <c r="P993" s="242">
        <v>6</v>
      </c>
      <c r="Q993" s="234">
        <v>26330</v>
      </c>
      <c r="R993" s="234">
        <v>24750.2</v>
      </c>
      <c r="S993" s="234" t="s">
        <v>2868</v>
      </c>
      <c r="T993" s="236">
        <v>45942</v>
      </c>
    </row>
    <row r="994" spans="1:20" ht="38.25" hidden="1">
      <c r="A994" s="239" t="s">
        <v>2810</v>
      </c>
      <c r="B994" s="240">
        <v>2336</v>
      </c>
      <c r="C994" s="241">
        <v>9419</v>
      </c>
      <c r="D994" s="239" t="s">
        <v>2511</v>
      </c>
      <c r="E994" s="239" t="s">
        <v>791</v>
      </c>
      <c r="F994" s="239" t="s">
        <v>792</v>
      </c>
      <c r="G994" s="239" t="s">
        <v>931</v>
      </c>
      <c r="H994" s="239" t="s">
        <v>51</v>
      </c>
      <c r="I994" s="239" t="s">
        <v>2512</v>
      </c>
      <c r="J994" s="233"/>
      <c r="K994" s="235">
        <v>45942</v>
      </c>
      <c r="L994" s="233">
        <v>1.5</v>
      </c>
      <c r="M994" s="234" t="s">
        <v>931</v>
      </c>
      <c r="N994" s="234">
        <v>40210</v>
      </c>
      <c r="O994" s="234">
        <v>14880</v>
      </c>
      <c r="P994" s="242">
        <v>4</v>
      </c>
      <c r="Q994" s="234">
        <v>25330</v>
      </c>
      <c r="R994" s="234">
        <v>24316.799999999999</v>
      </c>
      <c r="S994" s="234" t="s">
        <v>2869</v>
      </c>
      <c r="T994" s="236">
        <v>45942</v>
      </c>
    </row>
    <row r="995" spans="1:20" ht="38.25" hidden="1">
      <c r="A995" s="239" t="s">
        <v>2812</v>
      </c>
      <c r="B995" s="240">
        <v>2338</v>
      </c>
      <c r="C995" s="241">
        <v>9470</v>
      </c>
      <c r="D995" s="239" t="s">
        <v>2511</v>
      </c>
      <c r="E995" s="239" t="s">
        <v>413</v>
      </c>
      <c r="F995" s="239" t="s">
        <v>414</v>
      </c>
      <c r="G995" s="239" t="s">
        <v>931</v>
      </c>
      <c r="H995" s="239" t="s">
        <v>51</v>
      </c>
      <c r="I995" s="239" t="s">
        <v>2512</v>
      </c>
      <c r="J995" s="233"/>
      <c r="K995" s="235">
        <v>45942</v>
      </c>
      <c r="L995" s="233">
        <v>1.6</v>
      </c>
      <c r="M995" s="234" t="s">
        <v>931</v>
      </c>
      <c r="N995" s="234">
        <v>42970</v>
      </c>
      <c r="O995" s="234">
        <v>14970</v>
      </c>
      <c r="P995" s="242">
        <v>7</v>
      </c>
      <c r="Q995" s="234">
        <v>28000</v>
      </c>
      <c r="R995" s="234">
        <v>26040</v>
      </c>
      <c r="S995" s="234" t="s">
        <v>2871</v>
      </c>
      <c r="T995" s="236">
        <v>45942</v>
      </c>
    </row>
    <row r="996" spans="1:20" ht="38.25" hidden="1">
      <c r="A996" s="239" t="s">
        <v>2813</v>
      </c>
      <c r="B996" s="240">
        <v>2341</v>
      </c>
      <c r="C996" s="241">
        <v>8041</v>
      </c>
      <c r="D996" s="239" t="s">
        <v>2511</v>
      </c>
      <c r="E996" s="239" t="s">
        <v>429</v>
      </c>
      <c r="F996" s="239" t="s">
        <v>430</v>
      </c>
      <c r="G996" s="239" t="s">
        <v>931</v>
      </c>
      <c r="H996" s="239" t="s">
        <v>51</v>
      </c>
      <c r="I996" s="239" t="s">
        <v>2512</v>
      </c>
      <c r="J996" s="233"/>
      <c r="K996" s="235">
        <v>45942</v>
      </c>
      <c r="L996" s="233">
        <v>1.5</v>
      </c>
      <c r="M996" s="234" t="s">
        <v>931</v>
      </c>
      <c r="N996" s="234">
        <v>39970</v>
      </c>
      <c r="O996" s="234">
        <v>14400</v>
      </c>
      <c r="P996" s="242">
        <v>12</v>
      </c>
      <c r="Q996" s="234">
        <v>25570</v>
      </c>
      <c r="R996" s="234">
        <v>22501.599999999999</v>
      </c>
      <c r="S996" s="234" t="s">
        <v>2872</v>
      </c>
      <c r="T996" s="236">
        <v>45942</v>
      </c>
    </row>
    <row r="997" spans="1:20" ht="51" hidden="1">
      <c r="A997" s="239" t="s">
        <v>2807</v>
      </c>
      <c r="B997" s="240">
        <v>2342</v>
      </c>
      <c r="C997" s="241">
        <v>9476</v>
      </c>
      <c r="D997" s="239" t="s">
        <v>2511</v>
      </c>
      <c r="E997" s="239" t="s">
        <v>380</v>
      </c>
      <c r="F997" s="239" t="s">
        <v>381</v>
      </c>
      <c r="G997" s="239" t="s">
        <v>931</v>
      </c>
      <c r="H997" s="239" t="s">
        <v>51</v>
      </c>
      <c r="I997" s="239" t="s">
        <v>2512</v>
      </c>
      <c r="J997" s="233"/>
      <c r="K997" s="235">
        <v>45942</v>
      </c>
      <c r="L997" s="233">
        <v>1.4</v>
      </c>
      <c r="M997" s="234" t="s">
        <v>931</v>
      </c>
      <c r="N997" s="234">
        <v>39290</v>
      </c>
      <c r="O997" s="234">
        <v>15100</v>
      </c>
      <c r="P997" s="242">
        <v>12</v>
      </c>
      <c r="Q997" s="234">
        <v>24190</v>
      </c>
      <c r="R997" s="234">
        <v>21287.200000000001</v>
      </c>
      <c r="S997" s="234" t="s">
        <v>2866</v>
      </c>
      <c r="T997" s="236">
        <v>45942</v>
      </c>
    </row>
    <row r="998" spans="1:20" ht="38.25" hidden="1">
      <c r="A998" s="239" t="s">
        <v>2808</v>
      </c>
      <c r="B998" s="240">
        <v>2343</v>
      </c>
      <c r="C998" s="241">
        <v>9504</v>
      </c>
      <c r="D998" s="239" t="s">
        <v>2511</v>
      </c>
      <c r="E998" s="239" t="s">
        <v>462</v>
      </c>
      <c r="F998" s="239" t="s">
        <v>463</v>
      </c>
      <c r="G998" s="239" t="s">
        <v>931</v>
      </c>
      <c r="H998" s="239" t="s">
        <v>51</v>
      </c>
      <c r="I998" s="239" t="s">
        <v>2512</v>
      </c>
      <c r="J998" s="233"/>
      <c r="K998" s="235">
        <v>45942</v>
      </c>
      <c r="L998" s="233">
        <v>1.4</v>
      </c>
      <c r="M998" s="234" t="s">
        <v>931</v>
      </c>
      <c r="N998" s="234">
        <v>39920</v>
      </c>
      <c r="O998" s="234">
        <v>16350</v>
      </c>
      <c r="P998" s="242">
        <v>7</v>
      </c>
      <c r="Q998" s="234">
        <v>23570</v>
      </c>
      <c r="R998" s="234">
        <v>21920.1</v>
      </c>
      <c r="S998" s="234" t="s">
        <v>2867</v>
      </c>
      <c r="T998" s="236">
        <v>45942</v>
      </c>
    </row>
    <row r="999" spans="1:20" ht="38.25" hidden="1">
      <c r="A999" s="239" t="s">
        <v>2811</v>
      </c>
      <c r="B999" s="240">
        <v>2344</v>
      </c>
      <c r="C999" s="241">
        <v>9505</v>
      </c>
      <c r="D999" s="239" t="s">
        <v>2511</v>
      </c>
      <c r="E999" s="239" t="s">
        <v>794</v>
      </c>
      <c r="F999" s="239" t="s">
        <v>795</v>
      </c>
      <c r="G999" s="239" t="s">
        <v>931</v>
      </c>
      <c r="H999" s="239" t="s">
        <v>51</v>
      </c>
      <c r="I999" s="239" t="s">
        <v>2512</v>
      </c>
      <c r="J999" s="233"/>
      <c r="K999" s="235">
        <v>45942</v>
      </c>
      <c r="L999" s="233">
        <v>1.5</v>
      </c>
      <c r="M999" s="234" t="s">
        <v>931</v>
      </c>
      <c r="N999" s="234">
        <v>42460</v>
      </c>
      <c r="O999" s="234">
        <v>16030</v>
      </c>
      <c r="P999" s="242">
        <v>7</v>
      </c>
      <c r="Q999" s="234">
        <v>26430</v>
      </c>
      <c r="R999" s="234">
        <v>24579.9</v>
      </c>
      <c r="S999" s="234" t="s">
        <v>2870</v>
      </c>
      <c r="T999" s="236">
        <v>45942</v>
      </c>
    </row>
    <row r="1000" spans="1:20" ht="38.25" hidden="1">
      <c r="A1000" s="239" t="s">
        <v>2814</v>
      </c>
      <c r="B1000" s="240">
        <v>2346</v>
      </c>
      <c r="C1000" s="241">
        <v>9506</v>
      </c>
      <c r="D1000" s="239" t="s">
        <v>2511</v>
      </c>
      <c r="E1000" s="239" t="s">
        <v>472</v>
      </c>
      <c r="F1000" s="239" t="s">
        <v>473</v>
      </c>
      <c r="G1000" s="239" t="s">
        <v>931</v>
      </c>
      <c r="H1000" s="239" t="s">
        <v>51</v>
      </c>
      <c r="I1000" s="239" t="s">
        <v>2512</v>
      </c>
      <c r="J1000" s="233"/>
      <c r="K1000" s="235">
        <v>45942</v>
      </c>
      <c r="L1000" s="233">
        <v>1.4</v>
      </c>
      <c r="M1000" s="234" t="s">
        <v>931</v>
      </c>
      <c r="N1000" s="234">
        <v>40740</v>
      </c>
      <c r="O1000" s="234">
        <v>16450</v>
      </c>
      <c r="P1000" s="242">
        <v>7</v>
      </c>
      <c r="Q1000" s="234">
        <v>24290</v>
      </c>
      <c r="R1000" s="234">
        <v>22589.7</v>
      </c>
      <c r="S1000" s="234" t="s">
        <v>2873</v>
      </c>
      <c r="T1000" s="236">
        <v>45943</v>
      </c>
    </row>
    <row r="1001" spans="1:20" ht="51" hidden="1">
      <c r="A1001" s="239" t="s">
        <v>2815</v>
      </c>
      <c r="B1001" s="240">
        <v>2347</v>
      </c>
      <c r="C1001" s="241">
        <v>9507</v>
      </c>
      <c r="D1001" s="239" t="s">
        <v>2511</v>
      </c>
      <c r="E1001" s="239" t="s">
        <v>475</v>
      </c>
      <c r="F1001" s="239" t="s">
        <v>476</v>
      </c>
      <c r="G1001" s="239" t="s">
        <v>931</v>
      </c>
      <c r="H1001" s="239" t="s">
        <v>51</v>
      </c>
      <c r="I1001" s="239" t="s">
        <v>2512</v>
      </c>
      <c r="J1001" s="233"/>
      <c r="K1001" s="235">
        <v>45942</v>
      </c>
      <c r="L1001" s="233">
        <v>1.5</v>
      </c>
      <c r="M1001" s="234" t="s">
        <v>931</v>
      </c>
      <c r="N1001" s="234">
        <v>40490</v>
      </c>
      <c r="O1001" s="234">
        <v>16400</v>
      </c>
      <c r="P1001" s="242">
        <v>9</v>
      </c>
      <c r="Q1001" s="234">
        <v>24090</v>
      </c>
      <c r="R1001" s="234">
        <v>21921.9</v>
      </c>
      <c r="S1001" s="234" t="s">
        <v>2874</v>
      </c>
      <c r="T1001" s="236">
        <v>45943</v>
      </c>
    </row>
    <row r="1002" spans="1:20" ht="38.25" hidden="1">
      <c r="A1002" s="239" t="s">
        <v>2816</v>
      </c>
      <c r="B1002" s="240">
        <v>2348</v>
      </c>
      <c r="C1002" s="241">
        <v>9559</v>
      </c>
      <c r="D1002" s="239" t="s">
        <v>2511</v>
      </c>
      <c r="E1002" s="239" t="s">
        <v>841</v>
      </c>
      <c r="F1002" s="239" t="s">
        <v>845</v>
      </c>
      <c r="G1002" s="239" t="s">
        <v>932</v>
      </c>
      <c r="H1002" s="239" t="s">
        <v>51</v>
      </c>
      <c r="I1002" s="239" t="s">
        <v>2512</v>
      </c>
      <c r="J1002" s="233"/>
      <c r="K1002" s="235">
        <v>45942</v>
      </c>
      <c r="L1002" s="233">
        <v>1.4</v>
      </c>
      <c r="M1002" s="234" t="s">
        <v>932</v>
      </c>
      <c r="N1002" s="234">
        <v>37520</v>
      </c>
      <c r="O1002" s="234">
        <v>15680</v>
      </c>
      <c r="P1002" s="242">
        <v>16</v>
      </c>
      <c r="Q1002" s="234">
        <v>21840</v>
      </c>
      <c r="R1002" s="234">
        <v>18345.599999999999</v>
      </c>
      <c r="S1002" s="234" t="s">
        <v>2875</v>
      </c>
      <c r="T1002" s="236">
        <v>45943</v>
      </c>
    </row>
    <row r="1003" spans="1:20" ht="38.25" hidden="1">
      <c r="A1003" s="239" t="s">
        <v>2878</v>
      </c>
      <c r="B1003" s="240">
        <v>2350</v>
      </c>
      <c r="C1003" s="241">
        <v>1</v>
      </c>
      <c r="D1003" s="239" t="s">
        <v>2482</v>
      </c>
      <c r="E1003" s="239" t="s">
        <v>1305</v>
      </c>
      <c r="F1003" s="239" t="s">
        <v>1306</v>
      </c>
      <c r="G1003" s="239" t="s">
        <v>960</v>
      </c>
      <c r="H1003" s="239" t="s">
        <v>51</v>
      </c>
      <c r="I1003" s="239" t="s">
        <v>2465</v>
      </c>
      <c r="J1003" s="233">
        <f>Таблица24[[#This Row],[Вес нетто]]</f>
        <v>20910</v>
      </c>
      <c r="K1003" s="235">
        <v>45943</v>
      </c>
      <c r="L1003" s="233">
        <v>2.5</v>
      </c>
      <c r="M1003" s="234" t="s">
        <v>2709</v>
      </c>
      <c r="N1003" s="234">
        <v>35650</v>
      </c>
      <c r="O1003" s="234">
        <v>14740</v>
      </c>
      <c r="P1003" s="242">
        <v>29</v>
      </c>
      <c r="Q1003" s="234">
        <v>20910</v>
      </c>
      <c r="R1003" s="234">
        <v>14846.1</v>
      </c>
      <c r="S1003" s="234" t="s">
        <v>2879</v>
      </c>
      <c r="T1003" s="236">
        <v>45943</v>
      </c>
    </row>
    <row r="1004" spans="1:20" ht="38.25" hidden="1">
      <c r="A1004" s="239" t="s">
        <v>2880</v>
      </c>
      <c r="B1004" s="240">
        <v>2351</v>
      </c>
      <c r="C1004" s="241">
        <v>1</v>
      </c>
      <c r="D1004" s="239" t="s">
        <v>2881</v>
      </c>
      <c r="E1004" s="239" t="s">
        <v>439</v>
      </c>
      <c r="F1004" s="239" t="s">
        <v>440</v>
      </c>
      <c r="G1004" s="239" t="s">
        <v>949</v>
      </c>
      <c r="H1004" s="239" t="s">
        <v>51</v>
      </c>
      <c r="I1004" s="239" t="s">
        <v>2882</v>
      </c>
      <c r="J1004" s="233"/>
      <c r="K1004" s="235">
        <v>45943</v>
      </c>
      <c r="L1004" s="233">
        <v>1.2</v>
      </c>
      <c r="M1004" s="234" t="s">
        <v>949</v>
      </c>
      <c r="N1004" s="234">
        <v>40030</v>
      </c>
      <c r="O1004" s="234">
        <v>15160</v>
      </c>
      <c r="P1004" s="242">
        <v>5</v>
      </c>
      <c r="Q1004" s="234">
        <v>24870</v>
      </c>
      <c r="R1004" s="234">
        <v>23626.5</v>
      </c>
      <c r="S1004" s="234" t="s">
        <v>2885</v>
      </c>
      <c r="T1004" s="236">
        <v>45943</v>
      </c>
    </row>
    <row r="1005" spans="1:20" ht="38.25" hidden="1">
      <c r="A1005" s="239" t="s">
        <v>2883</v>
      </c>
      <c r="B1005" s="240">
        <v>2353</v>
      </c>
      <c r="C1005" s="241">
        <v>2</v>
      </c>
      <c r="D1005" s="239" t="s">
        <v>2881</v>
      </c>
      <c r="E1005" s="239" t="s">
        <v>432</v>
      </c>
      <c r="F1005" s="239" t="s">
        <v>433</v>
      </c>
      <c r="G1005" s="239" t="s">
        <v>142</v>
      </c>
      <c r="H1005" s="239" t="s">
        <v>42</v>
      </c>
      <c r="I1005" s="239" t="s">
        <v>2882</v>
      </c>
      <c r="J1005" s="233"/>
      <c r="K1005" s="235">
        <v>45943</v>
      </c>
      <c r="L1005" s="233">
        <v>1.1000000000000001</v>
      </c>
      <c r="M1005" s="234" t="s">
        <v>142</v>
      </c>
      <c r="N1005" s="234">
        <v>41510</v>
      </c>
      <c r="O1005" s="234">
        <v>15790</v>
      </c>
      <c r="P1005" s="242">
        <v>5</v>
      </c>
      <c r="Q1005" s="234">
        <v>25720</v>
      </c>
      <c r="R1005" s="234">
        <v>24434</v>
      </c>
      <c r="S1005" s="234" t="s">
        <v>2886</v>
      </c>
      <c r="T1005" s="236">
        <v>45943</v>
      </c>
    </row>
    <row r="1006" spans="1:20" ht="51" hidden="1">
      <c r="A1006" s="239" t="s">
        <v>2884</v>
      </c>
      <c r="B1006" s="240">
        <v>2355</v>
      </c>
      <c r="C1006" s="241">
        <v>3</v>
      </c>
      <c r="D1006" s="239" t="s">
        <v>2881</v>
      </c>
      <c r="E1006" s="239" t="s">
        <v>1410</v>
      </c>
      <c r="F1006" s="239" t="s">
        <v>437</v>
      </c>
      <c r="G1006" s="239" t="s">
        <v>144</v>
      </c>
      <c r="H1006" s="239" t="s">
        <v>51</v>
      </c>
      <c r="I1006" s="239" t="s">
        <v>2882</v>
      </c>
      <c r="J1006" s="233"/>
      <c r="K1006" s="235">
        <v>45943</v>
      </c>
      <c r="L1006" s="233">
        <v>1.5</v>
      </c>
      <c r="M1006" s="243" t="s">
        <v>144</v>
      </c>
      <c r="N1006" s="234">
        <v>39040</v>
      </c>
      <c r="O1006" s="234">
        <v>15070</v>
      </c>
      <c r="P1006" s="242">
        <v>5</v>
      </c>
      <c r="Q1006" s="234">
        <v>23970</v>
      </c>
      <c r="R1006" s="234">
        <v>22771.5</v>
      </c>
      <c r="S1006" s="234" t="s">
        <v>2887</v>
      </c>
      <c r="T1006" s="236">
        <v>45943</v>
      </c>
    </row>
    <row r="1007" spans="1:20" ht="25.5" hidden="1">
      <c r="A1007" s="258" t="s">
        <v>2889</v>
      </c>
      <c r="B1007" s="240">
        <v>2363</v>
      </c>
      <c r="C1007" s="241">
        <v>4</v>
      </c>
      <c r="D1007" s="239" t="s">
        <v>2881</v>
      </c>
      <c r="E1007" s="239" t="s">
        <v>384</v>
      </c>
      <c r="F1007" s="239" t="s">
        <v>385</v>
      </c>
      <c r="G1007" s="239" t="s">
        <v>142</v>
      </c>
      <c r="H1007" s="239" t="s">
        <v>42</v>
      </c>
      <c r="I1007" s="239" t="s">
        <v>2882</v>
      </c>
      <c r="J1007" s="233"/>
      <c r="K1007" s="235">
        <v>45945</v>
      </c>
      <c r="L1007" s="233">
        <v>1</v>
      </c>
      <c r="M1007" s="234" t="s">
        <v>142</v>
      </c>
      <c r="N1007" s="234">
        <v>36500</v>
      </c>
      <c r="O1007" s="234">
        <v>13950</v>
      </c>
      <c r="P1007" s="242">
        <v>15</v>
      </c>
      <c r="Q1007" s="234">
        <v>22550</v>
      </c>
      <c r="R1007" s="234">
        <v>19167.5</v>
      </c>
      <c r="S1007" s="234" t="s">
        <v>2897</v>
      </c>
      <c r="T1007" s="236">
        <v>45945</v>
      </c>
    </row>
    <row r="1008" spans="1:20" ht="38.25" hidden="1">
      <c r="A1008" s="239" t="s">
        <v>2890</v>
      </c>
      <c r="B1008" s="240">
        <v>2364</v>
      </c>
      <c r="C1008" s="241">
        <v>5</v>
      </c>
      <c r="D1008" s="239" t="s">
        <v>2881</v>
      </c>
      <c r="E1008" s="239" t="s">
        <v>866</v>
      </c>
      <c r="F1008" s="239" t="s">
        <v>867</v>
      </c>
      <c r="G1008" s="239" t="s">
        <v>142</v>
      </c>
      <c r="H1008" s="239" t="s">
        <v>42</v>
      </c>
      <c r="I1008" s="239" t="s">
        <v>2882</v>
      </c>
      <c r="J1008" s="233"/>
      <c r="K1008" s="235">
        <v>45945</v>
      </c>
      <c r="L1008" s="233">
        <v>1.1000000000000001</v>
      </c>
      <c r="M1008" s="234" t="s">
        <v>142</v>
      </c>
      <c r="N1008" s="234">
        <v>39090</v>
      </c>
      <c r="O1008" s="234">
        <v>14640</v>
      </c>
      <c r="P1008" s="242">
        <v>12</v>
      </c>
      <c r="Q1008" s="234">
        <v>24450</v>
      </c>
      <c r="R1008" s="234">
        <v>21516</v>
      </c>
      <c r="S1008" s="234" t="s">
        <v>2898</v>
      </c>
      <c r="T1008" s="236">
        <v>45945</v>
      </c>
    </row>
    <row r="1009" spans="1:20" ht="51" hidden="1">
      <c r="A1009" s="239" t="s">
        <v>2891</v>
      </c>
      <c r="B1009" s="240">
        <v>2365</v>
      </c>
      <c r="C1009" s="241">
        <v>6</v>
      </c>
      <c r="D1009" s="239" t="s">
        <v>2881</v>
      </c>
      <c r="E1009" s="239" t="s">
        <v>369</v>
      </c>
      <c r="F1009" s="239" t="s">
        <v>370</v>
      </c>
      <c r="G1009" s="239" t="s">
        <v>142</v>
      </c>
      <c r="H1009" s="239" t="s">
        <v>42</v>
      </c>
      <c r="I1009" s="239" t="s">
        <v>2882</v>
      </c>
      <c r="J1009" s="233"/>
      <c r="K1009" s="235">
        <v>45945</v>
      </c>
      <c r="L1009" s="233">
        <v>1</v>
      </c>
      <c r="M1009" s="234" t="s">
        <v>142</v>
      </c>
      <c r="N1009" s="234">
        <v>38780</v>
      </c>
      <c r="O1009" s="234">
        <v>15250</v>
      </c>
      <c r="P1009" s="242">
        <v>9</v>
      </c>
      <c r="Q1009" s="234">
        <v>23530</v>
      </c>
      <c r="R1009" s="234">
        <v>21412.3</v>
      </c>
      <c r="S1009" s="234" t="s">
        <v>2899</v>
      </c>
      <c r="T1009" s="236">
        <v>45945</v>
      </c>
    </row>
    <row r="1010" spans="1:20" ht="51" hidden="1">
      <c r="A1010" s="239" t="s">
        <v>2892</v>
      </c>
      <c r="B1010" s="240">
        <v>2366</v>
      </c>
      <c r="C1010" s="241">
        <v>7</v>
      </c>
      <c r="D1010" s="239" t="s">
        <v>2881</v>
      </c>
      <c r="E1010" s="239" t="s">
        <v>380</v>
      </c>
      <c r="F1010" s="239" t="s">
        <v>381</v>
      </c>
      <c r="G1010" s="239" t="s">
        <v>142</v>
      </c>
      <c r="H1010" s="239" t="s">
        <v>42</v>
      </c>
      <c r="I1010" s="239" t="s">
        <v>2882</v>
      </c>
      <c r="J1010" s="233"/>
      <c r="K1010" s="235">
        <v>45945</v>
      </c>
      <c r="L1010" s="233">
        <v>1.2</v>
      </c>
      <c r="M1010" s="234" t="s">
        <v>142</v>
      </c>
      <c r="N1010" s="234">
        <v>41350</v>
      </c>
      <c r="O1010" s="234">
        <v>15190</v>
      </c>
      <c r="P1010" s="242">
        <v>6</v>
      </c>
      <c r="Q1010" s="234">
        <v>26160</v>
      </c>
      <c r="R1010" s="234">
        <v>24590.400000000001</v>
      </c>
      <c r="S1010" s="234" t="s">
        <v>2900</v>
      </c>
      <c r="T1010" s="236">
        <v>45945</v>
      </c>
    </row>
    <row r="1011" spans="1:20" ht="25.5" hidden="1">
      <c r="A1011" s="239" t="s">
        <v>2893</v>
      </c>
      <c r="B1011" s="240">
        <v>2367</v>
      </c>
      <c r="C1011" s="241">
        <v>8</v>
      </c>
      <c r="D1011" s="239" t="s">
        <v>2881</v>
      </c>
      <c r="E1011" s="239" t="s">
        <v>374</v>
      </c>
      <c r="F1011" s="239" t="s">
        <v>375</v>
      </c>
      <c r="G1011" s="239" t="s">
        <v>142</v>
      </c>
      <c r="H1011" s="239" t="s">
        <v>42</v>
      </c>
      <c r="I1011" s="239" t="s">
        <v>2882</v>
      </c>
      <c r="J1011" s="233"/>
      <c r="K1011" s="235">
        <v>45945</v>
      </c>
      <c r="L1011" s="233">
        <v>1.1000000000000001</v>
      </c>
      <c r="M1011" s="234" t="s">
        <v>142</v>
      </c>
      <c r="N1011" s="234">
        <v>41760</v>
      </c>
      <c r="O1011" s="234">
        <v>15730</v>
      </c>
      <c r="P1011" s="242">
        <v>13</v>
      </c>
      <c r="Q1011" s="234">
        <v>26030</v>
      </c>
      <c r="R1011" s="234">
        <v>22646.1</v>
      </c>
      <c r="S1011" s="234" t="s">
        <v>2901</v>
      </c>
      <c r="T1011" s="236">
        <v>45946</v>
      </c>
    </row>
    <row r="1012" spans="1:20" ht="38.25" hidden="1">
      <c r="A1012" s="239" t="s">
        <v>2894</v>
      </c>
      <c r="B1012" s="240">
        <v>2368</v>
      </c>
      <c r="C1012" s="241">
        <v>9</v>
      </c>
      <c r="D1012" s="239" t="s">
        <v>2881</v>
      </c>
      <c r="E1012" s="239" t="s">
        <v>858</v>
      </c>
      <c r="F1012" s="239" t="s">
        <v>859</v>
      </c>
      <c r="G1012" s="239" t="s">
        <v>142</v>
      </c>
      <c r="H1012" s="239" t="s">
        <v>42</v>
      </c>
      <c r="I1012" s="239" t="s">
        <v>2882</v>
      </c>
      <c r="J1012" s="233"/>
      <c r="K1012" s="235">
        <v>45945</v>
      </c>
      <c r="L1012" s="233">
        <v>1.2</v>
      </c>
      <c r="M1012" s="234" t="s">
        <v>142</v>
      </c>
      <c r="N1012" s="234">
        <v>42560</v>
      </c>
      <c r="O1012" s="234">
        <v>14950</v>
      </c>
      <c r="P1012" s="242">
        <v>8</v>
      </c>
      <c r="Q1012" s="234">
        <v>27610</v>
      </c>
      <c r="R1012" s="234">
        <v>25401.200000000001</v>
      </c>
      <c r="S1012" s="234" t="s">
        <v>2902</v>
      </c>
      <c r="T1012" s="236">
        <v>45946</v>
      </c>
    </row>
    <row r="1013" spans="1:20" ht="38.25" hidden="1">
      <c r="A1013" s="239" t="s">
        <v>2895</v>
      </c>
      <c r="B1013" s="240">
        <v>2369</v>
      </c>
      <c r="C1013" s="241">
        <v>10</v>
      </c>
      <c r="D1013" s="239" t="s">
        <v>2881</v>
      </c>
      <c r="E1013" s="239" t="s">
        <v>1305</v>
      </c>
      <c r="F1013" s="239" t="s">
        <v>1306</v>
      </c>
      <c r="G1013" s="239" t="s">
        <v>142</v>
      </c>
      <c r="H1013" s="239" t="s">
        <v>42</v>
      </c>
      <c r="I1013" s="239" t="s">
        <v>2882</v>
      </c>
      <c r="J1013" s="233"/>
      <c r="K1013" s="235">
        <v>45945</v>
      </c>
      <c r="L1013" s="233">
        <v>1</v>
      </c>
      <c r="M1013" s="234" t="s">
        <v>142</v>
      </c>
      <c r="N1013" s="234">
        <v>38420</v>
      </c>
      <c r="O1013" s="234">
        <v>14800</v>
      </c>
      <c r="P1013" s="242">
        <v>17</v>
      </c>
      <c r="Q1013" s="234">
        <v>23620</v>
      </c>
      <c r="R1013" s="234">
        <v>19604.599999999999</v>
      </c>
      <c r="S1013" s="234" t="s">
        <v>2903</v>
      </c>
      <c r="T1013" s="236">
        <v>45946</v>
      </c>
    </row>
    <row r="1014" spans="1:20" ht="38.25" hidden="1">
      <c r="A1014" s="239" t="s">
        <v>2896</v>
      </c>
      <c r="B1014" s="240">
        <v>2370</v>
      </c>
      <c r="C1014" s="241">
        <v>11</v>
      </c>
      <c r="D1014" s="239" t="s">
        <v>2881</v>
      </c>
      <c r="E1014" s="239" t="s">
        <v>372</v>
      </c>
      <c r="F1014" s="239" t="s">
        <v>373</v>
      </c>
      <c r="G1014" s="239" t="s">
        <v>142</v>
      </c>
      <c r="H1014" s="239" t="s">
        <v>42</v>
      </c>
      <c r="I1014" s="239" t="s">
        <v>2882</v>
      </c>
      <c r="J1014" s="233"/>
      <c r="K1014" s="235">
        <v>45945</v>
      </c>
      <c r="L1014" s="233">
        <v>1.1000000000000001</v>
      </c>
      <c r="M1014" s="234" t="s">
        <v>142</v>
      </c>
      <c r="N1014" s="234">
        <v>40190</v>
      </c>
      <c r="O1014" s="234">
        <v>15040</v>
      </c>
      <c r="P1014" s="242">
        <v>10</v>
      </c>
      <c r="Q1014" s="234">
        <v>25150</v>
      </c>
      <c r="R1014" s="234">
        <v>22635</v>
      </c>
      <c r="S1014" s="234" t="s">
        <v>2904</v>
      </c>
      <c r="T1014" s="236">
        <v>45946</v>
      </c>
    </row>
    <row r="1015" spans="1:20" ht="38.25" hidden="1">
      <c r="A1015" s="239" t="s">
        <v>3822</v>
      </c>
      <c r="B1015" s="240">
        <v>2371</v>
      </c>
      <c r="C1015" s="241">
        <v>12</v>
      </c>
      <c r="D1015" s="239" t="s">
        <v>2881</v>
      </c>
      <c r="E1015" s="239" t="s">
        <v>377</v>
      </c>
      <c r="F1015" s="239" t="s">
        <v>378</v>
      </c>
      <c r="G1015" s="239" t="s">
        <v>142</v>
      </c>
      <c r="H1015" s="239" t="s">
        <v>42</v>
      </c>
      <c r="I1015" s="239" t="s">
        <v>2882</v>
      </c>
      <c r="J1015" s="233"/>
      <c r="K1015" s="235">
        <v>45945</v>
      </c>
      <c r="L1015" s="233">
        <v>1.3</v>
      </c>
      <c r="M1015" s="234" t="s">
        <v>142</v>
      </c>
      <c r="N1015" s="234">
        <v>43730</v>
      </c>
      <c r="O1015" s="234">
        <v>15240</v>
      </c>
      <c r="P1015" s="242">
        <v>9</v>
      </c>
      <c r="Q1015" s="234">
        <v>28490</v>
      </c>
      <c r="R1015" s="234">
        <v>25925.9</v>
      </c>
      <c r="S1015" s="234" t="s">
        <v>2906</v>
      </c>
      <c r="T1015" s="236">
        <v>45946</v>
      </c>
    </row>
    <row r="1016" spans="1:20" ht="25.5" hidden="1">
      <c r="A1016" s="239" t="s">
        <v>2909</v>
      </c>
      <c r="B1016" s="240">
        <v>2372</v>
      </c>
      <c r="C1016" s="241">
        <v>13</v>
      </c>
      <c r="D1016" s="239" t="s">
        <v>2881</v>
      </c>
      <c r="E1016" s="239" t="s">
        <v>410</v>
      </c>
      <c r="F1016" s="239" t="s">
        <v>411</v>
      </c>
      <c r="G1016" s="239" t="s">
        <v>142</v>
      </c>
      <c r="H1016" s="239" t="s">
        <v>42</v>
      </c>
      <c r="I1016" s="239" t="s">
        <v>2882</v>
      </c>
      <c r="J1016" s="233"/>
      <c r="K1016" s="235">
        <v>45945</v>
      </c>
      <c r="L1016" s="233">
        <v>1.1000000000000001</v>
      </c>
      <c r="M1016" s="234" t="s">
        <v>142</v>
      </c>
      <c r="N1016" s="234">
        <v>40790</v>
      </c>
      <c r="O1016" s="234">
        <v>15300</v>
      </c>
      <c r="P1016" s="242">
        <v>13</v>
      </c>
      <c r="Q1016" s="234">
        <v>25490</v>
      </c>
      <c r="R1016" s="234">
        <v>22176.3</v>
      </c>
      <c r="S1016" s="234" t="s">
        <v>3823</v>
      </c>
      <c r="T1016" s="236">
        <v>45946</v>
      </c>
    </row>
    <row r="1017" spans="1:20" ht="38.25" hidden="1">
      <c r="A1017" s="239" t="s">
        <v>2908</v>
      </c>
      <c r="B1017" s="240">
        <v>2373</v>
      </c>
      <c r="C1017" s="241">
        <v>14</v>
      </c>
      <c r="D1017" s="239" t="s">
        <v>2881</v>
      </c>
      <c r="E1017" s="239" t="s">
        <v>400</v>
      </c>
      <c r="F1017" s="239" t="s">
        <v>401</v>
      </c>
      <c r="G1017" s="239" t="s">
        <v>142</v>
      </c>
      <c r="H1017" s="239" t="s">
        <v>42</v>
      </c>
      <c r="I1017" s="239" t="s">
        <v>2882</v>
      </c>
      <c r="J1017" s="233"/>
      <c r="K1017" s="235">
        <v>45945</v>
      </c>
      <c r="L1017" s="233">
        <v>1.1000000000000001</v>
      </c>
      <c r="M1017" s="234" t="s">
        <v>142</v>
      </c>
      <c r="N1017" s="234">
        <v>39590</v>
      </c>
      <c r="O1017" s="234">
        <v>14910</v>
      </c>
      <c r="P1017" s="242">
        <v>16</v>
      </c>
      <c r="Q1017" s="234">
        <v>24680</v>
      </c>
      <c r="R1017" s="234">
        <v>20731.2</v>
      </c>
      <c r="S1017" s="234" t="s">
        <v>3824</v>
      </c>
      <c r="T1017" s="236">
        <v>45946</v>
      </c>
    </row>
    <row r="1018" spans="1:20" ht="25.5" hidden="1">
      <c r="A1018" s="239" t="s">
        <v>2914</v>
      </c>
      <c r="B1018" s="240">
        <v>2378</v>
      </c>
      <c r="C1018" s="241">
        <v>15</v>
      </c>
      <c r="D1018" s="239" t="s">
        <v>2881</v>
      </c>
      <c r="E1018" s="239" t="s">
        <v>425</v>
      </c>
      <c r="F1018" s="239" t="s">
        <v>426</v>
      </c>
      <c r="G1018" s="239" t="s">
        <v>142</v>
      </c>
      <c r="H1018" s="239" t="s">
        <v>42</v>
      </c>
      <c r="I1018" s="239" t="s">
        <v>2882</v>
      </c>
      <c r="J1018" s="233"/>
      <c r="K1018" s="235">
        <v>45945</v>
      </c>
      <c r="L1018" s="233">
        <v>1.4</v>
      </c>
      <c r="M1018" s="234" t="s">
        <v>142</v>
      </c>
      <c r="N1018" s="234">
        <v>50820</v>
      </c>
      <c r="O1018" s="234">
        <v>18920</v>
      </c>
      <c r="P1018" s="242">
        <v>12</v>
      </c>
      <c r="Q1018" s="234">
        <v>31900</v>
      </c>
      <c r="R1018" s="234">
        <v>28072</v>
      </c>
      <c r="S1018" s="234" t="s">
        <v>2915</v>
      </c>
      <c r="T1018" s="236">
        <v>45946</v>
      </c>
    </row>
    <row r="1019" spans="1:20" ht="25.5" hidden="1">
      <c r="A1019" s="239" t="s">
        <v>2918</v>
      </c>
      <c r="B1019" s="240">
        <v>2380</v>
      </c>
      <c r="C1019" s="241">
        <v>16</v>
      </c>
      <c r="D1019" s="239" t="s">
        <v>2881</v>
      </c>
      <c r="E1019" s="239" t="s">
        <v>2793</v>
      </c>
      <c r="F1019" s="239" t="s">
        <v>2794</v>
      </c>
      <c r="G1019" s="239" t="s">
        <v>142</v>
      </c>
      <c r="H1019" s="239" t="s">
        <v>42</v>
      </c>
      <c r="I1019" s="239" t="s">
        <v>2882</v>
      </c>
      <c r="J1019" s="233"/>
      <c r="K1019" s="235">
        <v>45945</v>
      </c>
      <c r="L1019" s="233">
        <v>1.4</v>
      </c>
      <c r="M1019" s="234" t="s">
        <v>142</v>
      </c>
      <c r="N1019" s="234">
        <v>49390</v>
      </c>
      <c r="O1019" s="234">
        <v>17650</v>
      </c>
      <c r="P1019" s="242">
        <v>13</v>
      </c>
      <c r="Q1019" s="234">
        <v>31740</v>
      </c>
      <c r="R1019" s="234">
        <v>27613.8</v>
      </c>
      <c r="S1019" s="234" t="s">
        <v>2931</v>
      </c>
      <c r="T1019" s="236">
        <v>45946</v>
      </c>
    </row>
    <row r="1020" spans="1:20" ht="38.25" hidden="1">
      <c r="A1020" s="239" t="s">
        <v>2919</v>
      </c>
      <c r="B1020" s="240">
        <v>2385</v>
      </c>
      <c r="C1020" s="241">
        <v>17</v>
      </c>
      <c r="D1020" s="239" t="s">
        <v>2881</v>
      </c>
      <c r="E1020" s="239" t="s">
        <v>388</v>
      </c>
      <c r="F1020" s="239" t="s">
        <v>389</v>
      </c>
      <c r="G1020" s="239" t="s">
        <v>142</v>
      </c>
      <c r="H1020" s="239" t="s">
        <v>42</v>
      </c>
      <c r="I1020" s="239" t="s">
        <v>2882</v>
      </c>
      <c r="J1020" s="233"/>
      <c r="K1020" s="235">
        <v>45945</v>
      </c>
      <c r="L1020" s="233">
        <v>1.9</v>
      </c>
      <c r="M1020" s="234" t="s">
        <v>142</v>
      </c>
      <c r="N1020" s="234">
        <v>63670</v>
      </c>
      <c r="O1020" s="234">
        <v>21410</v>
      </c>
      <c r="P1020" s="242">
        <v>10</v>
      </c>
      <c r="Q1020" s="234">
        <v>42260</v>
      </c>
      <c r="R1020" s="234">
        <v>38034</v>
      </c>
      <c r="S1020" s="234" t="s">
        <v>2932</v>
      </c>
      <c r="T1020" s="236">
        <v>45946</v>
      </c>
    </row>
    <row r="1021" spans="1:20" ht="38.25" hidden="1">
      <c r="A1021" s="239" t="s">
        <v>2920</v>
      </c>
      <c r="B1021" s="240">
        <v>2387</v>
      </c>
      <c r="C1021" s="241">
        <v>18</v>
      </c>
      <c r="D1021" s="239" t="s">
        <v>2881</v>
      </c>
      <c r="E1021" s="239" t="s">
        <v>416</v>
      </c>
      <c r="F1021" s="239" t="s">
        <v>417</v>
      </c>
      <c r="G1021" s="239" t="s">
        <v>142</v>
      </c>
      <c r="H1021" s="239" t="s">
        <v>42</v>
      </c>
      <c r="I1021" s="239" t="s">
        <v>2882</v>
      </c>
      <c r="J1021" s="233"/>
      <c r="K1021" s="235">
        <v>45946</v>
      </c>
      <c r="L1021" s="233">
        <v>1.1000000000000001</v>
      </c>
      <c r="M1021" s="234" t="s">
        <v>142</v>
      </c>
      <c r="N1021" s="234">
        <v>40550</v>
      </c>
      <c r="O1021" s="234">
        <v>14940</v>
      </c>
      <c r="P1021" s="242">
        <v>13</v>
      </c>
      <c r="Q1021" s="234">
        <v>25610</v>
      </c>
      <c r="R1021" s="234">
        <v>22280.7</v>
      </c>
      <c r="S1021" s="234" t="s">
        <v>2933</v>
      </c>
      <c r="T1021" s="236">
        <v>45946</v>
      </c>
    </row>
    <row r="1022" spans="1:20" ht="38.25" hidden="1">
      <c r="A1022" s="239" t="s">
        <v>2921</v>
      </c>
      <c r="B1022" s="240">
        <v>2388</v>
      </c>
      <c r="C1022" s="241">
        <v>20</v>
      </c>
      <c r="D1022" s="239" t="s">
        <v>2881</v>
      </c>
      <c r="E1022" s="239" t="s">
        <v>420</v>
      </c>
      <c r="F1022" s="239" t="s">
        <v>421</v>
      </c>
      <c r="G1022" s="239" t="s">
        <v>142</v>
      </c>
      <c r="H1022" s="239" t="s">
        <v>42</v>
      </c>
      <c r="I1022" s="239" t="s">
        <v>2882</v>
      </c>
      <c r="J1022" s="233"/>
      <c r="K1022" s="235">
        <v>45946</v>
      </c>
      <c r="L1022" s="233">
        <v>0.9</v>
      </c>
      <c r="M1022" s="234" t="s">
        <v>142</v>
      </c>
      <c r="N1022" s="234">
        <v>35970</v>
      </c>
      <c r="O1022" s="234">
        <v>15110</v>
      </c>
      <c r="P1022" s="242">
        <v>15</v>
      </c>
      <c r="Q1022" s="234">
        <v>20860</v>
      </c>
      <c r="R1022" s="234">
        <v>17731</v>
      </c>
      <c r="S1022" s="234" t="s">
        <v>2934</v>
      </c>
      <c r="T1022" s="236">
        <v>45946</v>
      </c>
    </row>
    <row r="1023" spans="1:20" ht="38.25" hidden="1">
      <c r="A1023" s="239" t="s">
        <v>2922</v>
      </c>
      <c r="B1023" s="240">
        <v>2389</v>
      </c>
      <c r="C1023" s="241">
        <v>19</v>
      </c>
      <c r="D1023" s="239" t="s">
        <v>2881</v>
      </c>
      <c r="E1023" s="239" t="s">
        <v>456</v>
      </c>
      <c r="F1023" s="239" t="s">
        <v>457</v>
      </c>
      <c r="G1023" s="239" t="s">
        <v>142</v>
      </c>
      <c r="H1023" s="239" t="s">
        <v>42</v>
      </c>
      <c r="I1023" s="239" t="s">
        <v>2882</v>
      </c>
      <c r="J1023" s="233"/>
      <c r="K1023" s="235">
        <v>45946</v>
      </c>
      <c r="L1023" s="233">
        <v>1.4</v>
      </c>
      <c r="M1023" s="234" t="s">
        <v>142</v>
      </c>
      <c r="N1023" s="234">
        <v>47070</v>
      </c>
      <c r="O1023" s="234">
        <v>15930</v>
      </c>
      <c r="P1023" s="242">
        <v>17</v>
      </c>
      <c r="Q1023" s="234">
        <v>31140</v>
      </c>
      <c r="R1023" s="234">
        <v>25846.2</v>
      </c>
      <c r="S1023" s="234" t="s">
        <v>2935</v>
      </c>
      <c r="T1023" s="236">
        <v>45946</v>
      </c>
    </row>
    <row r="1024" spans="1:20" ht="38.25" hidden="1">
      <c r="A1024" s="239" t="s">
        <v>2924</v>
      </c>
      <c r="B1024" s="240">
        <v>2390</v>
      </c>
      <c r="C1024" s="241">
        <v>22</v>
      </c>
      <c r="D1024" s="239" t="s">
        <v>2881</v>
      </c>
      <c r="E1024" s="239" t="s">
        <v>447</v>
      </c>
      <c r="F1024" s="239" t="s">
        <v>448</v>
      </c>
      <c r="G1024" s="239" t="s">
        <v>142</v>
      </c>
      <c r="H1024" s="239" t="s">
        <v>42</v>
      </c>
      <c r="I1024" s="239" t="s">
        <v>2882</v>
      </c>
      <c r="J1024" s="233"/>
      <c r="K1024" s="235">
        <v>45946</v>
      </c>
      <c r="L1024" s="233">
        <v>1.5</v>
      </c>
      <c r="M1024" s="234" t="s">
        <v>142</v>
      </c>
      <c r="N1024" s="234">
        <v>53680</v>
      </c>
      <c r="O1024" s="234">
        <v>19660</v>
      </c>
      <c r="P1024" s="242">
        <v>17</v>
      </c>
      <c r="Q1024" s="234">
        <v>34020</v>
      </c>
      <c r="R1024" s="234">
        <v>28236.6</v>
      </c>
      <c r="S1024" s="234" t="s">
        <v>2937</v>
      </c>
      <c r="T1024" s="236">
        <v>45946</v>
      </c>
    </row>
    <row r="1025" spans="1:20" ht="38.25" hidden="1">
      <c r="A1025" s="239" t="s">
        <v>2928</v>
      </c>
      <c r="B1025" s="240">
        <v>2393</v>
      </c>
      <c r="C1025" s="241">
        <v>21</v>
      </c>
      <c r="D1025" s="239" t="s">
        <v>2881</v>
      </c>
      <c r="E1025" s="239" t="s">
        <v>453</v>
      </c>
      <c r="F1025" s="239" t="s">
        <v>454</v>
      </c>
      <c r="G1025" s="239" t="s">
        <v>142</v>
      </c>
      <c r="H1025" s="239" t="s">
        <v>42</v>
      </c>
      <c r="I1025" s="239" t="s">
        <v>2882</v>
      </c>
      <c r="J1025" s="233"/>
      <c r="K1025" s="235">
        <v>45946</v>
      </c>
      <c r="L1025" s="233">
        <v>1.8</v>
      </c>
      <c r="M1025" s="234" t="s">
        <v>142</v>
      </c>
      <c r="N1025" s="234">
        <v>64850</v>
      </c>
      <c r="O1025" s="234">
        <v>24610</v>
      </c>
      <c r="P1025" s="242">
        <v>6</v>
      </c>
      <c r="Q1025" s="234">
        <v>40240</v>
      </c>
      <c r="R1025" s="234">
        <v>37825.599999999999</v>
      </c>
      <c r="S1025" s="234" t="s">
        <v>2941</v>
      </c>
      <c r="T1025" s="236">
        <v>45946</v>
      </c>
    </row>
    <row r="1026" spans="1:20" ht="38.25" hidden="1">
      <c r="A1026" s="239" t="s">
        <v>2930</v>
      </c>
      <c r="B1026" s="240">
        <v>2394</v>
      </c>
      <c r="C1026" s="241">
        <v>23</v>
      </c>
      <c r="D1026" s="239" t="s">
        <v>2881</v>
      </c>
      <c r="E1026" s="239" t="s">
        <v>392</v>
      </c>
      <c r="F1026" s="239" t="s">
        <v>393</v>
      </c>
      <c r="G1026" s="239" t="s">
        <v>142</v>
      </c>
      <c r="H1026" s="239" t="s">
        <v>42</v>
      </c>
      <c r="I1026" s="239" t="s">
        <v>2882</v>
      </c>
      <c r="J1026" s="233"/>
      <c r="K1026" s="235">
        <v>45946</v>
      </c>
      <c r="L1026" s="233">
        <v>1.7</v>
      </c>
      <c r="M1026" s="234" t="s">
        <v>142</v>
      </c>
      <c r="N1026" s="234">
        <v>63210</v>
      </c>
      <c r="O1026" s="234">
        <v>24240</v>
      </c>
      <c r="P1026" s="242">
        <v>17</v>
      </c>
      <c r="Q1026" s="234">
        <v>38970</v>
      </c>
      <c r="R1026" s="234">
        <v>32345.1</v>
      </c>
      <c r="S1026" s="234" t="s">
        <v>2943</v>
      </c>
      <c r="T1026" s="236">
        <v>45946</v>
      </c>
    </row>
    <row r="1027" spans="1:20" ht="38.25" hidden="1">
      <c r="A1027" s="239" t="s">
        <v>2923</v>
      </c>
      <c r="B1027" s="240">
        <v>2395</v>
      </c>
      <c r="C1027" s="241">
        <v>25</v>
      </c>
      <c r="D1027" s="239" t="s">
        <v>2881</v>
      </c>
      <c r="E1027" s="239" t="s">
        <v>413</v>
      </c>
      <c r="F1027" s="239" t="s">
        <v>414</v>
      </c>
      <c r="G1027" s="239" t="s">
        <v>142</v>
      </c>
      <c r="H1027" s="239" t="s">
        <v>42</v>
      </c>
      <c r="I1027" s="239" t="s">
        <v>2882</v>
      </c>
      <c r="J1027" s="233"/>
      <c r="K1027" s="235">
        <v>45946</v>
      </c>
      <c r="L1027" s="233">
        <v>1.3</v>
      </c>
      <c r="M1027" s="234" t="s">
        <v>142</v>
      </c>
      <c r="N1027" s="234">
        <v>43820</v>
      </c>
      <c r="O1027" s="234">
        <v>15240</v>
      </c>
      <c r="P1027" s="242">
        <v>6</v>
      </c>
      <c r="Q1027" s="234">
        <v>28580</v>
      </c>
      <c r="R1027" s="234">
        <v>26865.200000000001</v>
      </c>
      <c r="S1027" s="234" t="s">
        <v>2936</v>
      </c>
      <c r="T1027" s="236">
        <v>45946</v>
      </c>
    </row>
    <row r="1028" spans="1:20" ht="38.25" hidden="1">
      <c r="A1028" s="239" t="s">
        <v>2925</v>
      </c>
      <c r="B1028" s="240">
        <v>2396</v>
      </c>
      <c r="C1028" s="241">
        <v>24</v>
      </c>
      <c r="D1028" s="239" t="s">
        <v>2881</v>
      </c>
      <c r="E1028" s="239" t="s">
        <v>390</v>
      </c>
      <c r="F1028" s="239" t="s">
        <v>391</v>
      </c>
      <c r="G1028" s="239" t="s">
        <v>142</v>
      </c>
      <c r="H1028" s="239" t="s">
        <v>42</v>
      </c>
      <c r="I1028" s="239" t="s">
        <v>2882</v>
      </c>
      <c r="J1028" s="233"/>
      <c r="K1028" s="235">
        <v>45946</v>
      </c>
      <c r="L1028" s="233">
        <v>1.1000000000000001</v>
      </c>
      <c r="M1028" s="234" t="s">
        <v>142</v>
      </c>
      <c r="N1028" s="234">
        <v>39450</v>
      </c>
      <c r="O1028" s="234">
        <v>15180</v>
      </c>
      <c r="P1028" s="242">
        <v>10</v>
      </c>
      <c r="Q1028" s="234">
        <v>24270</v>
      </c>
      <c r="R1028" s="234">
        <v>21843</v>
      </c>
      <c r="S1028" s="234" t="s">
        <v>2938</v>
      </c>
      <c r="T1028" s="236">
        <v>45946</v>
      </c>
    </row>
    <row r="1029" spans="1:20" ht="25.5" hidden="1">
      <c r="A1029" s="239" t="s">
        <v>2926</v>
      </c>
      <c r="B1029" s="240">
        <v>2398</v>
      </c>
      <c r="C1029" s="241">
        <v>27</v>
      </c>
      <c r="D1029" s="239" t="s">
        <v>2881</v>
      </c>
      <c r="E1029" s="239" t="s">
        <v>429</v>
      </c>
      <c r="F1029" s="239" t="s">
        <v>430</v>
      </c>
      <c r="G1029" s="239" t="s">
        <v>142</v>
      </c>
      <c r="H1029" s="239" t="s">
        <v>42</v>
      </c>
      <c r="I1029" s="239" t="s">
        <v>2882</v>
      </c>
      <c r="J1029" s="233"/>
      <c r="K1029" s="235">
        <v>45946</v>
      </c>
      <c r="L1029" s="233">
        <v>1.2</v>
      </c>
      <c r="M1029" s="234" t="s">
        <v>142</v>
      </c>
      <c r="N1029" s="234">
        <v>42810</v>
      </c>
      <c r="O1029" s="234">
        <v>14600</v>
      </c>
      <c r="P1029" s="242">
        <v>12</v>
      </c>
      <c r="Q1029" s="234">
        <v>28210</v>
      </c>
      <c r="R1029" s="234">
        <v>24824.799999999999</v>
      </c>
      <c r="S1029" s="234" t="s">
        <v>2939</v>
      </c>
      <c r="T1029" s="236">
        <v>45946</v>
      </c>
    </row>
    <row r="1030" spans="1:20" ht="51" hidden="1">
      <c r="A1030" s="239" t="s">
        <v>2927</v>
      </c>
      <c r="B1030" s="240">
        <v>2399</v>
      </c>
      <c r="C1030" s="241">
        <v>26</v>
      </c>
      <c r="D1030" s="239" t="s">
        <v>2881</v>
      </c>
      <c r="E1030" s="239" t="s">
        <v>1410</v>
      </c>
      <c r="F1030" s="239" t="s">
        <v>437</v>
      </c>
      <c r="G1030" s="239" t="s">
        <v>142</v>
      </c>
      <c r="H1030" s="239" t="s">
        <v>42</v>
      </c>
      <c r="I1030" s="239" t="s">
        <v>2882</v>
      </c>
      <c r="J1030" s="233"/>
      <c r="K1030" s="235">
        <v>45946</v>
      </c>
      <c r="L1030" s="233">
        <v>1.2</v>
      </c>
      <c r="M1030" s="234" t="s">
        <v>142</v>
      </c>
      <c r="N1030" s="234">
        <v>42560</v>
      </c>
      <c r="O1030" s="234">
        <v>15130</v>
      </c>
      <c r="P1030" s="242">
        <v>9</v>
      </c>
      <c r="Q1030" s="234">
        <v>27430</v>
      </c>
      <c r="R1030" s="234">
        <v>24961.3</v>
      </c>
      <c r="S1030" s="234" t="s">
        <v>2940</v>
      </c>
      <c r="T1030" s="236">
        <v>45946</v>
      </c>
    </row>
    <row r="1031" spans="1:20" ht="38.25" hidden="1">
      <c r="A1031" s="239" t="s">
        <v>2929</v>
      </c>
      <c r="B1031" s="240">
        <v>2401</v>
      </c>
      <c r="C1031" s="241">
        <v>28</v>
      </c>
      <c r="D1031" s="239" t="s">
        <v>2881</v>
      </c>
      <c r="E1031" s="239" t="s">
        <v>439</v>
      </c>
      <c r="F1031" s="239" t="s">
        <v>440</v>
      </c>
      <c r="G1031" s="239" t="s">
        <v>142</v>
      </c>
      <c r="H1031" s="239" t="s">
        <v>42</v>
      </c>
      <c r="I1031" s="239" t="s">
        <v>2882</v>
      </c>
      <c r="J1031" s="233"/>
      <c r="K1031" s="235">
        <v>45946</v>
      </c>
      <c r="L1031" s="233">
        <v>1.2</v>
      </c>
      <c r="M1031" s="234" t="s">
        <v>142</v>
      </c>
      <c r="N1031" s="234">
        <v>43310</v>
      </c>
      <c r="O1031" s="234">
        <v>15310</v>
      </c>
      <c r="P1031" s="242">
        <v>12</v>
      </c>
      <c r="Q1031" s="234">
        <v>28000</v>
      </c>
      <c r="R1031" s="234">
        <v>24640</v>
      </c>
      <c r="S1031" s="234" t="s">
        <v>2942</v>
      </c>
      <c r="T1031" s="236">
        <v>45946</v>
      </c>
    </row>
    <row r="1032" spans="1:20" ht="51" hidden="1">
      <c r="A1032" s="239" t="s">
        <v>2946</v>
      </c>
      <c r="B1032" s="240">
        <v>2402</v>
      </c>
      <c r="C1032" s="241">
        <v>29</v>
      </c>
      <c r="D1032" s="239" t="s">
        <v>2881</v>
      </c>
      <c r="E1032" s="239" t="s">
        <v>382</v>
      </c>
      <c r="F1032" s="239" t="s">
        <v>383</v>
      </c>
      <c r="G1032" s="239" t="s">
        <v>142</v>
      </c>
      <c r="H1032" s="239" t="s">
        <v>42</v>
      </c>
      <c r="I1032" s="239" t="s">
        <v>2882</v>
      </c>
      <c r="J1032" s="233"/>
      <c r="K1032" s="235">
        <v>45946</v>
      </c>
      <c r="L1032" s="233">
        <v>1</v>
      </c>
      <c r="M1032" s="234" t="s">
        <v>142</v>
      </c>
      <c r="N1032" s="234">
        <v>37530</v>
      </c>
      <c r="O1032" s="234">
        <v>14680</v>
      </c>
      <c r="P1032" s="242">
        <v>16</v>
      </c>
      <c r="Q1032" s="234">
        <v>22850</v>
      </c>
      <c r="R1032" s="234">
        <v>19194</v>
      </c>
      <c r="S1032" s="234" t="s">
        <v>2950</v>
      </c>
      <c r="T1032" s="236">
        <v>45946</v>
      </c>
    </row>
    <row r="1033" spans="1:20" ht="25.5" hidden="1">
      <c r="A1033" s="239" t="s">
        <v>2944</v>
      </c>
      <c r="B1033" s="240">
        <v>2403</v>
      </c>
      <c r="C1033" s="241">
        <v>30</v>
      </c>
      <c r="D1033" s="239" t="s">
        <v>2881</v>
      </c>
      <c r="E1033" s="239" t="s">
        <v>384</v>
      </c>
      <c r="F1033" s="239" t="s">
        <v>385</v>
      </c>
      <c r="G1033" s="239" t="s">
        <v>142</v>
      </c>
      <c r="H1033" s="239" t="s">
        <v>42</v>
      </c>
      <c r="I1033" s="239" t="s">
        <v>2882</v>
      </c>
      <c r="J1033" s="233"/>
      <c r="K1033" s="235">
        <v>45946</v>
      </c>
      <c r="L1033" s="233">
        <v>1</v>
      </c>
      <c r="M1033" s="234" t="s">
        <v>142</v>
      </c>
      <c r="N1033" s="234">
        <v>36800</v>
      </c>
      <c r="O1033" s="234">
        <v>13980</v>
      </c>
      <c r="P1033" s="242">
        <v>17</v>
      </c>
      <c r="Q1033" s="234">
        <v>22820</v>
      </c>
      <c r="R1033" s="234">
        <v>18940.599999999999</v>
      </c>
      <c r="S1033" s="234" t="s">
        <v>2948</v>
      </c>
      <c r="T1033" s="236">
        <v>45946</v>
      </c>
    </row>
    <row r="1034" spans="1:20" ht="25.5" hidden="1">
      <c r="A1034" s="239" t="s">
        <v>2945</v>
      </c>
      <c r="B1034" s="240">
        <v>2405</v>
      </c>
      <c r="C1034" s="241">
        <v>31</v>
      </c>
      <c r="D1034" s="239" t="s">
        <v>2881</v>
      </c>
      <c r="E1034" s="239" t="s">
        <v>410</v>
      </c>
      <c r="F1034" s="239" t="s">
        <v>411</v>
      </c>
      <c r="G1034" s="239" t="s">
        <v>142</v>
      </c>
      <c r="H1034" s="239" t="s">
        <v>42</v>
      </c>
      <c r="I1034" s="239" t="s">
        <v>2882</v>
      </c>
      <c r="J1034" s="233"/>
      <c r="K1034" s="235">
        <v>45946</v>
      </c>
      <c r="L1034" s="233">
        <v>1</v>
      </c>
      <c r="M1034" s="234" t="s">
        <v>142</v>
      </c>
      <c r="N1034" s="234">
        <v>37870</v>
      </c>
      <c r="O1034" s="234">
        <v>15230</v>
      </c>
      <c r="P1034" s="242">
        <v>14</v>
      </c>
      <c r="Q1034" s="234">
        <v>22640</v>
      </c>
      <c r="R1034" s="234">
        <v>19470.400000000001</v>
      </c>
      <c r="S1034" s="234" t="s">
        <v>2949</v>
      </c>
      <c r="T1034" s="236">
        <v>45947</v>
      </c>
    </row>
    <row r="1035" spans="1:20" ht="38.25" hidden="1">
      <c r="A1035" s="239" t="s">
        <v>2947</v>
      </c>
      <c r="B1035" s="240">
        <v>2406</v>
      </c>
      <c r="C1035" s="241">
        <v>32</v>
      </c>
      <c r="D1035" s="239" t="s">
        <v>2881</v>
      </c>
      <c r="E1035" s="239" t="s">
        <v>1305</v>
      </c>
      <c r="F1035" s="239" t="s">
        <v>1306</v>
      </c>
      <c r="G1035" s="239" t="s">
        <v>142</v>
      </c>
      <c r="H1035" s="239" t="s">
        <v>42</v>
      </c>
      <c r="I1035" s="239" t="s">
        <v>2882</v>
      </c>
      <c r="J1035" s="233"/>
      <c r="K1035" s="235">
        <v>45946</v>
      </c>
      <c r="L1035" s="233">
        <v>1</v>
      </c>
      <c r="M1035" s="234" t="s">
        <v>142</v>
      </c>
      <c r="N1035" s="234">
        <v>37820</v>
      </c>
      <c r="O1035" s="234">
        <v>14860</v>
      </c>
      <c r="P1035" s="242">
        <v>9</v>
      </c>
      <c r="Q1035" s="234">
        <v>22960</v>
      </c>
      <c r="R1035" s="234">
        <v>20893.599999999999</v>
      </c>
      <c r="S1035" s="234" t="s">
        <v>2951</v>
      </c>
      <c r="T1035" s="236">
        <v>45947</v>
      </c>
    </row>
    <row r="1036" spans="1:20" ht="38.25" hidden="1">
      <c r="A1036" s="239" t="s">
        <v>2952</v>
      </c>
      <c r="B1036" s="240">
        <v>2407</v>
      </c>
      <c r="C1036" s="241">
        <v>33</v>
      </c>
      <c r="D1036" s="239" t="s">
        <v>2881</v>
      </c>
      <c r="E1036" s="239" t="s">
        <v>858</v>
      </c>
      <c r="F1036" s="239" t="s">
        <v>859</v>
      </c>
      <c r="G1036" s="239" t="s">
        <v>142</v>
      </c>
      <c r="H1036" s="239" t="s">
        <v>42</v>
      </c>
      <c r="I1036" s="239" t="s">
        <v>2882</v>
      </c>
      <c r="J1036" s="233"/>
      <c r="K1036" s="235">
        <v>45946</v>
      </c>
      <c r="L1036" s="233">
        <v>1.2</v>
      </c>
      <c r="M1036" s="234" t="s">
        <v>142</v>
      </c>
      <c r="N1036" s="234">
        <v>41270</v>
      </c>
      <c r="O1036" s="234">
        <v>14850</v>
      </c>
      <c r="P1036" s="242">
        <v>15</v>
      </c>
      <c r="Q1036" s="234">
        <v>26420</v>
      </c>
      <c r="R1036" s="234">
        <v>22457</v>
      </c>
      <c r="S1036" s="234" t="s">
        <v>2953</v>
      </c>
      <c r="T1036" s="236">
        <v>45947</v>
      </c>
    </row>
    <row r="1037" spans="1:20" ht="25.5" hidden="1">
      <c r="A1037" s="239" t="s">
        <v>2998</v>
      </c>
      <c r="B1037" s="240">
        <v>2408</v>
      </c>
      <c r="C1037" s="241">
        <v>34</v>
      </c>
      <c r="D1037" s="239" t="s">
        <v>2881</v>
      </c>
      <c r="E1037" s="239" t="s">
        <v>403</v>
      </c>
      <c r="F1037" s="239" t="s">
        <v>404</v>
      </c>
      <c r="G1037" s="239" t="s">
        <v>142</v>
      </c>
      <c r="H1037" s="239" t="s">
        <v>42</v>
      </c>
      <c r="I1037" s="239" t="s">
        <v>2882</v>
      </c>
      <c r="J1037" s="233"/>
      <c r="K1037" s="235">
        <v>45946</v>
      </c>
      <c r="L1037" s="233">
        <v>1.1000000000000001</v>
      </c>
      <c r="M1037" s="234" t="s">
        <v>142</v>
      </c>
      <c r="N1037" s="234">
        <v>39310</v>
      </c>
      <c r="O1037" s="234">
        <v>14660</v>
      </c>
      <c r="P1037" s="242">
        <v>15</v>
      </c>
      <c r="Q1037" s="234">
        <v>24650</v>
      </c>
      <c r="R1037" s="234">
        <v>20952.5</v>
      </c>
      <c r="S1037" s="234" t="s">
        <v>2999</v>
      </c>
      <c r="T1037" s="236">
        <v>45947</v>
      </c>
    </row>
    <row r="1038" spans="1:20" ht="38.25" hidden="1">
      <c r="A1038" s="239" t="s">
        <v>2954</v>
      </c>
      <c r="B1038" s="240">
        <v>2409</v>
      </c>
      <c r="C1038" s="241">
        <v>35</v>
      </c>
      <c r="D1038" s="239" t="s">
        <v>2881</v>
      </c>
      <c r="E1038" s="239" t="s">
        <v>406</v>
      </c>
      <c r="F1038" s="239" t="s">
        <v>407</v>
      </c>
      <c r="G1038" s="239" t="s">
        <v>142</v>
      </c>
      <c r="H1038" s="239" t="s">
        <v>42</v>
      </c>
      <c r="I1038" s="239" t="s">
        <v>2882</v>
      </c>
      <c r="J1038" s="233"/>
      <c r="K1038" s="235">
        <v>45946</v>
      </c>
      <c r="L1038" s="233">
        <v>1.1000000000000001</v>
      </c>
      <c r="M1038" s="234" t="s">
        <v>142</v>
      </c>
      <c r="N1038" s="234">
        <v>39690</v>
      </c>
      <c r="O1038" s="234">
        <v>15260</v>
      </c>
      <c r="P1038" s="242">
        <v>15</v>
      </c>
      <c r="Q1038" s="234">
        <v>24430</v>
      </c>
      <c r="R1038" s="234">
        <v>20765.5</v>
      </c>
      <c r="S1038" s="234" t="s">
        <v>3000</v>
      </c>
      <c r="T1038" s="236">
        <v>45947</v>
      </c>
    </row>
    <row r="1039" spans="1:20" ht="51" hidden="1">
      <c r="A1039" s="239" t="s">
        <v>2955</v>
      </c>
      <c r="B1039" s="240">
        <v>2410</v>
      </c>
      <c r="C1039" s="241">
        <v>36</v>
      </c>
      <c r="D1039" s="239" t="s">
        <v>2881</v>
      </c>
      <c r="E1039" s="239" t="s">
        <v>380</v>
      </c>
      <c r="F1039" s="239" t="s">
        <v>381</v>
      </c>
      <c r="G1039" s="239" t="s">
        <v>142</v>
      </c>
      <c r="H1039" s="239" t="s">
        <v>42</v>
      </c>
      <c r="I1039" s="239" t="s">
        <v>2882</v>
      </c>
      <c r="J1039" s="233"/>
      <c r="K1039" s="235">
        <v>45946</v>
      </c>
      <c r="L1039" s="233">
        <v>1.1000000000000001</v>
      </c>
      <c r="M1039" s="234" t="s">
        <v>142</v>
      </c>
      <c r="N1039" s="234">
        <v>39480</v>
      </c>
      <c r="O1039" s="234">
        <v>15210</v>
      </c>
      <c r="P1039" s="242">
        <v>12</v>
      </c>
      <c r="Q1039" s="234">
        <v>24270</v>
      </c>
      <c r="R1039" s="234">
        <v>21357.599999999999</v>
      </c>
      <c r="S1039" s="234" t="s">
        <v>3001</v>
      </c>
      <c r="T1039" s="236">
        <v>45947</v>
      </c>
    </row>
    <row r="1040" spans="1:20" ht="38.25" hidden="1">
      <c r="A1040" s="239" t="s">
        <v>2956</v>
      </c>
      <c r="B1040" s="240">
        <v>2412</v>
      </c>
      <c r="C1040" s="241">
        <v>39</v>
      </c>
      <c r="D1040" s="239" t="s">
        <v>2881</v>
      </c>
      <c r="E1040" s="239" t="s">
        <v>400</v>
      </c>
      <c r="F1040" s="239" t="s">
        <v>401</v>
      </c>
      <c r="G1040" s="239" t="s">
        <v>142</v>
      </c>
      <c r="H1040" s="239" t="s">
        <v>42</v>
      </c>
      <c r="I1040" s="239" t="s">
        <v>2882</v>
      </c>
      <c r="J1040" s="233"/>
      <c r="K1040" s="235">
        <v>45946</v>
      </c>
      <c r="L1040" s="233">
        <v>1.1000000000000001</v>
      </c>
      <c r="M1040" s="234" t="s">
        <v>142</v>
      </c>
      <c r="N1040" s="234">
        <v>39070</v>
      </c>
      <c r="O1040" s="234">
        <v>14820</v>
      </c>
      <c r="P1040" s="242">
        <v>13</v>
      </c>
      <c r="Q1040" s="234">
        <v>24250</v>
      </c>
      <c r="R1040" s="234">
        <v>21097.5</v>
      </c>
      <c r="S1040" s="234" t="s">
        <v>3002</v>
      </c>
      <c r="T1040" s="236">
        <v>45947</v>
      </c>
    </row>
    <row r="1041" spans="1:20" ht="38.25" hidden="1">
      <c r="A1041" s="239" t="s">
        <v>2957</v>
      </c>
      <c r="B1041" s="240">
        <v>2420</v>
      </c>
      <c r="C1041" s="241">
        <v>37</v>
      </c>
      <c r="D1041" s="239" t="s">
        <v>2881</v>
      </c>
      <c r="E1041" s="239" t="s">
        <v>442</v>
      </c>
      <c r="F1041" s="239" t="s">
        <v>443</v>
      </c>
      <c r="G1041" s="239" t="s">
        <v>142</v>
      </c>
      <c r="H1041" s="239" t="s">
        <v>42</v>
      </c>
      <c r="I1041" s="239" t="s">
        <v>2882</v>
      </c>
      <c r="J1041" s="233"/>
      <c r="K1041" s="235">
        <v>45947</v>
      </c>
      <c r="L1041" s="233">
        <v>0.9</v>
      </c>
      <c r="M1041" s="234" t="s">
        <v>142</v>
      </c>
      <c r="N1041" s="234">
        <v>35460</v>
      </c>
      <c r="O1041" s="234">
        <v>14470</v>
      </c>
      <c r="P1041" s="242">
        <v>11</v>
      </c>
      <c r="Q1041" s="234">
        <v>20990</v>
      </c>
      <c r="R1041" s="234">
        <v>18681.099999999999</v>
      </c>
      <c r="S1041" s="234" t="s">
        <v>3003</v>
      </c>
      <c r="T1041" s="236">
        <v>45947</v>
      </c>
    </row>
    <row r="1042" spans="1:20" ht="25.5" hidden="1">
      <c r="A1042" s="239" t="s">
        <v>2958</v>
      </c>
      <c r="B1042" s="240">
        <v>2422</v>
      </c>
      <c r="C1042" s="241">
        <v>38</v>
      </c>
      <c r="D1042" s="239" t="s">
        <v>2881</v>
      </c>
      <c r="E1042" s="239" t="s">
        <v>780</v>
      </c>
      <c r="F1042" s="239" t="s">
        <v>781</v>
      </c>
      <c r="G1042" s="239" t="s">
        <v>142</v>
      </c>
      <c r="H1042" s="239" t="s">
        <v>42</v>
      </c>
      <c r="I1042" s="239" t="s">
        <v>2882</v>
      </c>
      <c r="J1042" s="233"/>
      <c r="K1042" s="235">
        <v>45947</v>
      </c>
      <c r="L1042" s="233">
        <v>1</v>
      </c>
      <c r="M1042" s="234" t="s">
        <v>142</v>
      </c>
      <c r="N1042" s="234">
        <v>38040</v>
      </c>
      <c r="O1042" s="234">
        <v>14950</v>
      </c>
      <c r="P1042" s="242">
        <v>9</v>
      </c>
      <c r="Q1042" s="234">
        <v>23090</v>
      </c>
      <c r="R1042" s="234">
        <v>21011.9</v>
      </c>
      <c r="S1042" s="234" t="s">
        <v>3004</v>
      </c>
      <c r="T1042" s="236">
        <v>45947</v>
      </c>
    </row>
    <row r="1043" spans="1:20" ht="38.25" hidden="1">
      <c r="A1043" s="239" t="s">
        <v>2959</v>
      </c>
      <c r="B1043" s="240">
        <v>2423</v>
      </c>
      <c r="C1043" s="241">
        <v>40</v>
      </c>
      <c r="D1043" s="239" t="s">
        <v>2881</v>
      </c>
      <c r="E1043" s="239" t="s">
        <v>377</v>
      </c>
      <c r="F1043" s="239" t="s">
        <v>378</v>
      </c>
      <c r="G1043" s="239" t="s">
        <v>142</v>
      </c>
      <c r="H1043" s="239" t="s">
        <v>42</v>
      </c>
      <c r="I1043" s="239" t="s">
        <v>2882</v>
      </c>
      <c r="J1043" s="233"/>
      <c r="K1043" s="235">
        <v>45947</v>
      </c>
      <c r="L1043" s="233">
        <v>1.2</v>
      </c>
      <c r="M1043" s="234" t="s">
        <v>142</v>
      </c>
      <c r="N1043" s="234">
        <v>43530</v>
      </c>
      <c r="O1043" s="234">
        <v>15170</v>
      </c>
      <c r="P1043" s="242">
        <v>7</v>
      </c>
      <c r="Q1043" s="234">
        <v>28360</v>
      </c>
      <c r="R1043" s="234">
        <v>26374.799999999999</v>
      </c>
      <c r="S1043" s="234" t="s">
        <v>3005</v>
      </c>
      <c r="T1043" s="236">
        <v>45947</v>
      </c>
    </row>
    <row r="1044" spans="1:20" ht="38.25" hidden="1">
      <c r="A1044" s="239" t="s">
        <v>2960</v>
      </c>
      <c r="B1044" s="240">
        <v>2425</v>
      </c>
      <c r="C1044" s="241">
        <v>41</v>
      </c>
      <c r="D1044" s="239" t="s">
        <v>2881</v>
      </c>
      <c r="E1044" s="239" t="s">
        <v>372</v>
      </c>
      <c r="F1044" s="239" t="s">
        <v>373</v>
      </c>
      <c r="G1044" s="239" t="s">
        <v>142</v>
      </c>
      <c r="H1044" s="239" t="s">
        <v>42</v>
      </c>
      <c r="I1044" s="239" t="s">
        <v>2882</v>
      </c>
      <c r="J1044" s="233"/>
      <c r="K1044" s="235">
        <v>45947</v>
      </c>
      <c r="L1044" s="233">
        <v>1.1000000000000001</v>
      </c>
      <c r="M1044" s="234" t="s">
        <v>142</v>
      </c>
      <c r="N1044" s="234">
        <v>40890</v>
      </c>
      <c r="O1044" s="234">
        <v>15100</v>
      </c>
      <c r="P1044" s="242">
        <v>9</v>
      </c>
      <c r="Q1044" s="234">
        <v>25790</v>
      </c>
      <c r="R1044" s="234">
        <v>23468.9</v>
      </c>
      <c r="S1044" s="234" t="s">
        <v>3006</v>
      </c>
      <c r="T1044" s="236">
        <v>45947</v>
      </c>
    </row>
    <row r="1045" spans="1:20" ht="51" hidden="1">
      <c r="A1045" s="239" t="s">
        <v>2961</v>
      </c>
      <c r="B1045" s="240">
        <v>2426</v>
      </c>
      <c r="C1045" s="241">
        <v>1</v>
      </c>
      <c r="D1045" s="239" t="s">
        <v>2482</v>
      </c>
      <c r="E1045" s="239" t="s">
        <v>382</v>
      </c>
      <c r="F1045" s="239" t="s">
        <v>383</v>
      </c>
      <c r="G1045" s="239" t="s">
        <v>960</v>
      </c>
      <c r="H1045" s="239" t="s">
        <v>51</v>
      </c>
      <c r="I1045" s="239" t="s">
        <v>2465</v>
      </c>
      <c r="J1045" s="233">
        <v>23420</v>
      </c>
      <c r="K1045" s="235">
        <v>45947</v>
      </c>
      <c r="L1045" s="233">
        <v>2.8</v>
      </c>
      <c r="M1045" s="234" t="s">
        <v>2709</v>
      </c>
      <c r="N1045" s="234">
        <v>38270</v>
      </c>
      <c r="O1045" s="234">
        <v>14850</v>
      </c>
      <c r="P1045" s="242">
        <v>34</v>
      </c>
      <c r="Q1045" s="234">
        <v>23420</v>
      </c>
      <c r="R1045" s="234">
        <v>15457.2</v>
      </c>
      <c r="S1045" s="234" t="s">
        <v>3007</v>
      </c>
      <c r="T1045" s="236">
        <v>45947</v>
      </c>
    </row>
    <row r="1046" spans="1:20" ht="38.25" hidden="1">
      <c r="A1046" s="239" t="s">
        <v>2962</v>
      </c>
      <c r="B1046" s="240">
        <v>2428</v>
      </c>
      <c r="C1046" s="241">
        <v>10008</v>
      </c>
      <c r="D1046" s="239" t="s">
        <v>2511</v>
      </c>
      <c r="E1046" s="239" t="s">
        <v>462</v>
      </c>
      <c r="F1046" s="239" t="s">
        <v>463</v>
      </c>
      <c r="G1046" s="239" t="s">
        <v>932</v>
      </c>
      <c r="H1046" s="239" t="s">
        <v>51</v>
      </c>
      <c r="I1046" s="239" t="s">
        <v>2512</v>
      </c>
      <c r="J1046" s="233"/>
      <c r="K1046" s="235">
        <v>45947</v>
      </c>
      <c r="L1046" s="233">
        <v>1.6</v>
      </c>
      <c r="M1046" s="234" t="s">
        <v>932</v>
      </c>
      <c r="N1046" s="234">
        <v>41210</v>
      </c>
      <c r="O1046" s="234">
        <v>16330</v>
      </c>
      <c r="P1046" s="242">
        <v>18</v>
      </c>
      <c r="Q1046" s="234">
        <v>24880</v>
      </c>
      <c r="R1046" s="234">
        <v>20401.599999999999</v>
      </c>
      <c r="S1046" s="234" t="s">
        <v>3008</v>
      </c>
      <c r="T1046" s="236">
        <v>45947</v>
      </c>
    </row>
    <row r="1047" spans="1:20" ht="25.5" hidden="1">
      <c r="A1047" s="239" t="s">
        <v>2963</v>
      </c>
      <c r="B1047" s="240">
        <v>2429</v>
      </c>
      <c r="C1047" s="241">
        <v>42</v>
      </c>
      <c r="D1047" s="239" t="s">
        <v>2881</v>
      </c>
      <c r="E1047" s="239" t="s">
        <v>374</v>
      </c>
      <c r="F1047" s="239" t="s">
        <v>375</v>
      </c>
      <c r="G1047" s="239" t="s">
        <v>142</v>
      </c>
      <c r="H1047" s="239" t="s">
        <v>42</v>
      </c>
      <c r="I1047" s="239" t="s">
        <v>2882</v>
      </c>
      <c r="J1047" s="233"/>
      <c r="K1047" s="235">
        <v>45947</v>
      </c>
      <c r="L1047" s="233">
        <v>1.1000000000000001</v>
      </c>
      <c r="M1047" s="234" t="s">
        <v>142</v>
      </c>
      <c r="N1047" s="234">
        <v>42020</v>
      </c>
      <c r="O1047" s="234">
        <v>15700</v>
      </c>
      <c r="P1047" s="242">
        <v>10</v>
      </c>
      <c r="Q1047" s="234">
        <v>26320</v>
      </c>
      <c r="R1047" s="234">
        <v>23688</v>
      </c>
      <c r="S1047" s="234" t="s">
        <v>3009</v>
      </c>
      <c r="T1047" s="236">
        <v>45947</v>
      </c>
    </row>
    <row r="1048" spans="1:20" ht="38.25" hidden="1">
      <c r="A1048" s="239" t="s">
        <v>2964</v>
      </c>
      <c r="B1048" s="240">
        <v>2430</v>
      </c>
      <c r="C1048" s="241">
        <v>43</v>
      </c>
      <c r="D1048" s="239" t="s">
        <v>2881</v>
      </c>
      <c r="E1048" s="239" t="s">
        <v>866</v>
      </c>
      <c r="F1048" s="239" t="s">
        <v>867</v>
      </c>
      <c r="G1048" s="239" t="s">
        <v>142</v>
      </c>
      <c r="H1048" s="239" t="s">
        <v>42</v>
      </c>
      <c r="I1048" s="239" t="s">
        <v>2882</v>
      </c>
      <c r="J1048" s="233"/>
      <c r="K1048" s="235">
        <v>45947</v>
      </c>
      <c r="L1048" s="233">
        <v>1</v>
      </c>
      <c r="M1048" s="234" t="s">
        <v>142</v>
      </c>
      <c r="N1048" s="234">
        <v>38530</v>
      </c>
      <c r="O1048" s="234">
        <v>14580</v>
      </c>
      <c r="P1048" s="242">
        <v>8</v>
      </c>
      <c r="Q1048" s="234">
        <v>23950</v>
      </c>
      <c r="R1048" s="234">
        <v>22034</v>
      </c>
      <c r="S1048" s="234" t="s">
        <v>3010</v>
      </c>
      <c r="T1048" s="236">
        <v>45947</v>
      </c>
    </row>
    <row r="1049" spans="1:20" ht="51" hidden="1">
      <c r="A1049" s="239" t="s">
        <v>2965</v>
      </c>
      <c r="B1049" s="240">
        <v>2432</v>
      </c>
      <c r="C1049" s="241">
        <v>44</v>
      </c>
      <c r="D1049" s="239" t="s">
        <v>2881</v>
      </c>
      <c r="E1049" s="239" t="s">
        <v>369</v>
      </c>
      <c r="F1049" s="239" t="s">
        <v>370</v>
      </c>
      <c r="G1049" s="239" t="s">
        <v>142</v>
      </c>
      <c r="H1049" s="239" t="s">
        <v>42</v>
      </c>
      <c r="I1049" s="239" t="s">
        <v>2882</v>
      </c>
      <c r="J1049" s="233"/>
      <c r="K1049" s="235">
        <v>45947</v>
      </c>
      <c r="L1049" s="233">
        <v>0.9</v>
      </c>
      <c r="M1049" s="234" t="s">
        <v>142</v>
      </c>
      <c r="N1049" s="234">
        <v>37660</v>
      </c>
      <c r="O1049" s="234">
        <v>15240</v>
      </c>
      <c r="P1049" s="242">
        <v>10</v>
      </c>
      <c r="Q1049" s="234">
        <v>22420</v>
      </c>
      <c r="R1049" s="234">
        <v>20178</v>
      </c>
      <c r="S1049" s="234" t="s">
        <v>3011</v>
      </c>
      <c r="T1049" s="236">
        <v>45947</v>
      </c>
    </row>
    <row r="1050" spans="1:20" ht="25.5" hidden="1">
      <c r="A1050" s="239" t="s">
        <v>2966</v>
      </c>
      <c r="B1050" s="240">
        <v>2434</v>
      </c>
      <c r="C1050" s="241">
        <v>45</v>
      </c>
      <c r="D1050" s="239" t="s">
        <v>2881</v>
      </c>
      <c r="E1050" s="239" t="s">
        <v>425</v>
      </c>
      <c r="F1050" s="239" t="s">
        <v>426</v>
      </c>
      <c r="G1050" s="239" t="s">
        <v>142</v>
      </c>
      <c r="H1050" s="239" t="s">
        <v>42</v>
      </c>
      <c r="I1050" s="239" t="s">
        <v>2882</v>
      </c>
      <c r="J1050" s="233"/>
      <c r="K1050" s="235">
        <v>45947</v>
      </c>
      <c r="L1050" s="233">
        <v>1.3</v>
      </c>
      <c r="M1050" s="234" t="s">
        <v>142</v>
      </c>
      <c r="N1050" s="234">
        <v>50510</v>
      </c>
      <c r="O1050" s="234">
        <v>18770</v>
      </c>
      <c r="P1050" s="242">
        <v>8</v>
      </c>
      <c r="Q1050" s="234">
        <v>31740</v>
      </c>
      <c r="R1050" s="234">
        <v>29200.799999999999</v>
      </c>
      <c r="S1050" s="234" t="s">
        <v>3012</v>
      </c>
      <c r="T1050" s="236">
        <v>45948</v>
      </c>
    </row>
    <row r="1051" spans="1:20" ht="25.5" hidden="1">
      <c r="A1051" s="239" t="s">
        <v>2967</v>
      </c>
      <c r="B1051" s="240">
        <v>2435</v>
      </c>
      <c r="C1051" s="241">
        <v>46</v>
      </c>
      <c r="D1051" s="239" t="s">
        <v>2881</v>
      </c>
      <c r="E1051" s="239" t="s">
        <v>2793</v>
      </c>
      <c r="F1051" s="239" t="s">
        <v>2794</v>
      </c>
      <c r="G1051" s="239" t="s">
        <v>142</v>
      </c>
      <c r="H1051" s="239" t="s">
        <v>42</v>
      </c>
      <c r="I1051" s="239" t="s">
        <v>2882</v>
      </c>
      <c r="J1051" s="233"/>
      <c r="K1051" s="235">
        <v>45947</v>
      </c>
      <c r="L1051" s="233">
        <v>1.3</v>
      </c>
      <c r="M1051" s="234" t="s">
        <v>142</v>
      </c>
      <c r="N1051" s="234">
        <v>47860</v>
      </c>
      <c r="O1051" s="234">
        <v>17550</v>
      </c>
      <c r="P1051" s="242">
        <v>9</v>
      </c>
      <c r="Q1051" s="234">
        <v>30310</v>
      </c>
      <c r="R1051" s="234">
        <v>27582.1</v>
      </c>
      <c r="S1051" s="234" t="s">
        <v>3013</v>
      </c>
      <c r="T1051" s="236">
        <v>45948</v>
      </c>
    </row>
    <row r="1052" spans="1:20" ht="38.25" hidden="1">
      <c r="A1052" s="239" t="s">
        <v>2968</v>
      </c>
      <c r="B1052" s="240">
        <v>2436</v>
      </c>
      <c r="C1052" s="241">
        <v>2</v>
      </c>
      <c r="D1052" s="239" t="s">
        <v>2881</v>
      </c>
      <c r="E1052" s="239" t="s">
        <v>432</v>
      </c>
      <c r="F1052" s="239" t="s">
        <v>433</v>
      </c>
      <c r="G1052" s="239" t="s">
        <v>142</v>
      </c>
      <c r="H1052" s="239" t="s">
        <v>42</v>
      </c>
      <c r="I1052" s="239" t="s">
        <v>2882</v>
      </c>
      <c r="J1052" s="233"/>
      <c r="K1052" s="235">
        <v>45947</v>
      </c>
      <c r="L1052" s="233">
        <v>1.2</v>
      </c>
      <c r="M1052" s="234" t="s">
        <v>142</v>
      </c>
      <c r="N1052" s="234">
        <v>43740</v>
      </c>
      <c r="O1052" s="234">
        <v>15820</v>
      </c>
      <c r="P1052" s="242">
        <v>13</v>
      </c>
      <c r="Q1052" s="234">
        <v>27920</v>
      </c>
      <c r="R1052" s="234">
        <v>24290.400000000001</v>
      </c>
      <c r="S1052" s="234" t="s">
        <v>3014</v>
      </c>
      <c r="T1052" s="236">
        <v>45948</v>
      </c>
    </row>
    <row r="1053" spans="1:20" ht="38.25">
      <c r="A1053" s="239" t="s">
        <v>2969</v>
      </c>
      <c r="B1053" s="240">
        <v>2437</v>
      </c>
      <c r="C1053" s="241">
        <v>48</v>
      </c>
      <c r="D1053" s="239" t="s">
        <v>2881</v>
      </c>
      <c r="E1053" s="239" t="s">
        <v>388</v>
      </c>
      <c r="F1053" s="239" t="s">
        <v>389</v>
      </c>
      <c r="G1053" s="239" t="s">
        <v>144</v>
      </c>
      <c r="H1053" s="239" t="s">
        <v>42</v>
      </c>
      <c r="I1053" s="239" t="s">
        <v>2882</v>
      </c>
      <c r="J1053" s="233"/>
      <c r="K1053" s="235">
        <v>45947</v>
      </c>
      <c r="L1053" s="233">
        <v>1.7</v>
      </c>
      <c r="M1053" s="234" t="s">
        <v>144</v>
      </c>
      <c r="N1053" s="234">
        <v>62760</v>
      </c>
      <c r="O1053" s="234">
        <v>21360</v>
      </c>
      <c r="P1053" s="242">
        <v>14</v>
      </c>
      <c r="Q1053" s="234">
        <v>41400</v>
      </c>
      <c r="R1053" s="234">
        <v>35604</v>
      </c>
      <c r="S1053" s="234" t="s">
        <v>3015</v>
      </c>
      <c r="T1053" s="236">
        <v>45948</v>
      </c>
    </row>
    <row r="1054" spans="1:20" ht="38.25">
      <c r="A1054" s="239" t="s">
        <v>2970</v>
      </c>
      <c r="B1054" s="240">
        <v>2439</v>
      </c>
      <c r="C1054" s="241">
        <v>49</v>
      </c>
      <c r="D1054" s="239" t="s">
        <v>2881</v>
      </c>
      <c r="E1054" s="239" t="s">
        <v>456</v>
      </c>
      <c r="F1054" s="239" t="s">
        <v>457</v>
      </c>
      <c r="G1054" s="239" t="s">
        <v>144</v>
      </c>
      <c r="H1054" s="239" t="s">
        <v>42</v>
      </c>
      <c r="I1054" s="239" t="s">
        <v>2882</v>
      </c>
      <c r="J1054" s="233"/>
      <c r="K1054" s="235">
        <v>45947</v>
      </c>
      <c r="L1054" s="233">
        <v>1.3</v>
      </c>
      <c r="M1054" s="234" t="s">
        <v>144</v>
      </c>
      <c r="N1054" s="234">
        <v>46500</v>
      </c>
      <c r="O1054" s="234">
        <v>15850</v>
      </c>
      <c r="P1054" s="242">
        <v>11</v>
      </c>
      <c r="Q1054" s="234">
        <v>30650</v>
      </c>
      <c r="R1054" s="234">
        <v>27278.5</v>
      </c>
      <c r="S1054" s="234" t="s">
        <v>3016</v>
      </c>
      <c r="T1054" s="236">
        <v>45948</v>
      </c>
    </row>
    <row r="1055" spans="1:20" ht="38.25">
      <c r="A1055" s="239" t="s">
        <v>2971</v>
      </c>
      <c r="B1055" s="240">
        <v>2445</v>
      </c>
      <c r="C1055" s="241">
        <v>50</v>
      </c>
      <c r="D1055" s="239" t="s">
        <v>2881</v>
      </c>
      <c r="E1055" s="239" t="s">
        <v>447</v>
      </c>
      <c r="F1055" s="239" t="s">
        <v>448</v>
      </c>
      <c r="G1055" s="239" t="s">
        <v>144</v>
      </c>
      <c r="H1055" s="239" t="s">
        <v>42</v>
      </c>
      <c r="I1055" s="239" t="s">
        <v>2882</v>
      </c>
      <c r="J1055" s="233"/>
      <c r="K1055" s="235">
        <v>45947</v>
      </c>
      <c r="L1055" s="233">
        <v>1.5</v>
      </c>
      <c r="M1055" s="234" t="s">
        <v>144</v>
      </c>
      <c r="N1055" s="234">
        <v>54440</v>
      </c>
      <c r="O1055" s="234">
        <v>19540</v>
      </c>
      <c r="P1055" s="242">
        <v>16</v>
      </c>
      <c r="Q1055" s="234">
        <v>34900</v>
      </c>
      <c r="R1055" s="234">
        <v>29316</v>
      </c>
      <c r="S1055" s="234" t="s">
        <v>3017</v>
      </c>
      <c r="T1055" s="236">
        <v>45948</v>
      </c>
    </row>
    <row r="1056" spans="1:20" ht="38.25">
      <c r="A1056" s="239" t="s">
        <v>2972</v>
      </c>
      <c r="B1056" s="240">
        <v>2446</v>
      </c>
      <c r="C1056" s="241">
        <v>51</v>
      </c>
      <c r="D1056" s="239" t="s">
        <v>2881</v>
      </c>
      <c r="E1056" s="239" t="s">
        <v>453</v>
      </c>
      <c r="F1056" s="239" t="s">
        <v>454</v>
      </c>
      <c r="G1056" s="239" t="s">
        <v>144</v>
      </c>
      <c r="H1056" s="239" t="s">
        <v>42</v>
      </c>
      <c r="I1056" s="239" t="s">
        <v>2882</v>
      </c>
      <c r="J1056" s="233"/>
      <c r="K1056" s="235">
        <v>45947</v>
      </c>
      <c r="L1056" s="233">
        <v>1.7</v>
      </c>
      <c r="M1056" s="234" t="s">
        <v>144</v>
      </c>
      <c r="N1056" s="234">
        <v>64490</v>
      </c>
      <c r="O1056" s="234">
        <v>24530</v>
      </c>
      <c r="P1056" s="242">
        <v>8</v>
      </c>
      <c r="Q1056" s="234">
        <v>39960</v>
      </c>
      <c r="R1056" s="234">
        <v>36763.199999999997</v>
      </c>
      <c r="S1056" s="234" t="s">
        <v>3018</v>
      </c>
      <c r="T1056" s="236">
        <v>45948</v>
      </c>
    </row>
    <row r="1057" spans="1:20" ht="38.25">
      <c r="A1057" s="239" t="s">
        <v>2973</v>
      </c>
      <c r="B1057" s="240">
        <v>2448</v>
      </c>
      <c r="C1057" s="241">
        <v>53</v>
      </c>
      <c r="D1057" s="239" t="s">
        <v>2881</v>
      </c>
      <c r="E1057" s="239" t="s">
        <v>413</v>
      </c>
      <c r="F1057" s="239" t="s">
        <v>414</v>
      </c>
      <c r="G1057" s="239" t="s">
        <v>144</v>
      </c>
      <c r="H1057" s="239" t="s">
        <v>42</v>
      </c>
      <c r="I1057" s="239" t="s">
        <v>2882</v>
      </c>
      <c r="J1057" s="233"/>
      <c r="K1057" s="235">
        <v>45948</v>
      </c>
      <c r="L1057" s="233">
        <v>1.2</v>
      </c>
      <c r="M1057" s="234" t="s">
        <v>144</v>
      </c>
      <c r="N1057" s="234">
        <v>43460</v>
      </c>
      <c r="O1057" s="234">
        <v>15070</v>
      </c>
      <c r="P1057" s="242">
        <v>13</v>
      </c>
      <c r="Q1057" s="234">
        <v>28390</v>
      </c>
      <c r="R1057" s="234">
        <v>24699.3</v>
      </c>
      <c r="S1057" s="234" t="s">
        <v>3019</v>
      </c>
      <c r="T1057" s="236">
        <v>45948</v>
      </c>
    </row>
    <row r="1058" spans="1:20" ht="38.25">
      <c r="A1058" s="239" t="s">
        <v>2974</v>
      </c>
      <c r="B1058" s="240">
        <v>2449</v>
      </c>
      <c r="C1058" s="241">
        <v>52</v>
      </c>
      <c r="D1058" s="239" t="s">
        <v>2881</v>
      </c>
      <c r="E1058" s="239" t="s">
        <v>392</v>
      </c>
      <c r="F1058" s="239" t="s">
        <v>393</v>
      </c>
      <c r="G1058" s="239" t="s">
        <v>144</v>
      </c>
      <c r="H1058" s="239" t="s">
        <v>42</v>
      </c>
      <c r="I1058" s="239" t="s">
        <v>2882</v>
      </c>
      <c r="J1058" s="233"/>
      <c r="K1058" s="235">
        <v>45948</v>
      </c>
      <c r="L1058" s="233">
        <v>1.5</v>
      </c>
      <c r="M1058" s="234" t="s">
        <v>144</v>
      </c>
      <c r="N1058" s="234">
        <v>60950</v>
      </c>
      <c r="O1058" s="234">
        <v>24240</v>
      </c>
      <c r="P1058" s="242">
        <v>50</v>
      </c>
      <c r="Q1058" s="234">
        <v>36710</v>
      </c>
      <c r="R1058" s="234">
        <v>18355</v>
      </c>
      <c r="S1058" s="234" t="s">
        <v>3020</v>
      </c>
      <c r="T1058" s="236">
        <v>45948</v>
      </c>
    </row>
    <row r="1059" spans="1:20" ht="25.5">
      <c r="A1059" s="239" t="s">
        <v>2975</v>
      </c>
      <c r="B1059" s="240">
        <v>2450</v>
      </c>
      <c r="C1059" s="241">
        <v>54</v>
      </c>
      <c r="D1059" s="239" t="s">
        <v>2881</v>
      </c>
      <c r="E1059" s="239" t="s">
        <v>429</v>
      </c>
      <c r="F1059" s="239" t="s">
        <v>430</v>
      </c>
      <c r="G1059" s="239" t="s">
        <v>144</v>
      </c>
      <c r="H1059" s="239" t="s">
        <v>42</v>
      </c>
      <c r="I1059" s="239" t="s">
        <v>2882</v>
      </c>
      <c r="J1059" s="233"/>
      <c r="K1059" s="235">
        <v>45948</v>
      </c>
      <c r="L1059" s="233">
        <v>1.1000000000000001</v>
      </c>
      <c r="M1059" s="234" t="s">
        <v>144</v>
      </c>
      <c r="N1059" s="234">
        <v>41100</v>
      </c>
      <c r="O1059" s="234">
        <v>14440</v>
      </c>
      <c r="P1059" s="242">
        <v>10</v>
      </c>
      <c r="Q1059" s="234">
        <v>26660</v>
      </c>
      <c r="R1059" s="234">
        <v>23994</v>
      </c>
      <c r="S1059" s="234" t="s">
        <v>3021</v>
      </c>
      <c r="T1059" s="236">
        <v>45948</v>
      </c>
    </row>
    <row r="1060" spans="1:20" ht="51">
      <c r="A1060" s="239" t="s">
        <v>2976</v>
      </c>
      <c r="B1060" s="240">
        <v>2451</v>
      </c>
      <c r="C1060" s="241">
        <v>55</v>
      </c>
      <c r="D1060" s="239" t="s">
        <v>2881</v>
      </c>
      <c r="E1060" s="239" t="s">
        <v>1410</v>
      </c>
      <c r="F1060" s="239" t="s">
        <v>437</v>
      </c>
      <c r="G1060" s="239" t="s">
        <v>144</v>
      </c>
      <c r="H1060" s="239" t="s">
        <v>42</v>
      </c>
      <c r="I1060" s="239" t="s">
        <v>2882</v>
      </c>
      <c r="J1060" s="233"/>
      <c r="K1060" s="235">
        <v>45948</v>
      </c>
      <c r="L1060" s="233">
        <v>1.1000000000000001</v>
      </c>
      <c r="M1060" s="234" t="s">
        <v>144</v>
      </c>
      <c r="N1060" s="234">
        <v>40580</v>
      </c>
      <c r="O1060" s="234">
        <v>15010</v>
      </c>
      <c r="P1060" s="242">
        <v>11</v>
      </c>
      <c r="Q1060" s="234">
        <v>25570</v>
      </c>
      <c r="R1060" s="234">
        <v>22757.3</v>
      </c>
      <c r="S1060" s="234" t="s">
        <v>3022</v>
      </c>
      <c r="T1060" s="236">
        <v>45948</v>
      </c>
    </row>
    <row r="1061" spans="1:20" ht="38.25">
      <c r="A1061" s="239" t="s">
        <v>2977</v>
      </c>
      <c r="B1061" s="240">
        <v>2453</v>
      </c>
      <c r="C1061" s="241">
        <v>56</v>
      </c>
      <c r="D1061" s="239" t="s">
        <v>2881</v>
      </c>
      <c r="E1061" s="239" t="s">
        <v>439</v>
      </c>
      <c r="F1061" s="239" t="s">
        <v>440</v>
      </c>
      <c r="G1061" s="239" t="s">
        <v>144</v>
      </c>
      <c r="H1061" s="239" t="s">
        <v>42</v>
      </c>
      <c r="I1061" s="239" t="s">
        <v>2882</v>
      </c>
      <c r="J1061" s="233"/>
      <c r="K1061" s="235">
        <v>45948</v>
      </c>
      <c r="L1061" s="233">
        <v>1.1000000000000001</v>
      </c>
      <c r="M1061" s="234" t="s">
        <v>144</v>
      </c>
      <c r="N1061" s="234">
        <v>41980</v>
      </c>
      <c r="O1061" s="234">
        <v>15250</v>
      </c>
      <c r="P1061" s="242">
        <v>39</v>
      </c>
      <c r="Q1061" s="234">
        <v>26730</v>
      </c>
      <c r="R1061" s="234">
        <v>16305.3</v>
      </c>
      <c r="S1061" s="234" t="s">
        <v>3023</v>
      </c>
      <c r="T1061" s="236">
        <v>45948</v>
      </c>
    </row>
    <row r="1062" spans="1:20" ht="38.25">
      <c r="A1062" s="239" t="s">
        <v>2978</v>
      </c>
      <c r="B1062" s="240">
        <v>2454</v>
      </c>
      <c r="C1062" s="241">
        <v>57</v>
      </c>
      <c r="D1062" s="239" t="s">
        <v>2881</v>
      </c>
      <c r="E1062" s="239" t="s">
        <v>1305</v>
      </c>
      <c r="F1062" s="239" t="s">
        <v>1306</v>
      </c>
      <c r="G1062" s="239" t="s">
        <v>144</v>
      </c>
      <c r="H1062" s="239" t="s">
        <v>42</v>
      </c>
      <c r="I1062" s="239" t="s">
        <v>2882</v>
      </c>
      <c r="J1062" s="233"/>
      <c r="K1062" s="235">
        <v>45948</v>
      </c>
      <c r="L1062" s="233">
        <v>0.9</v>
      </c>
      <c r="M1062" s="234" t="s">
        <v>144</v>
      </c>
      <c r="N1062" s="234">
        <v>36080</v>
      </c>
      <c r="O1062" s="234">
        <v>14880</v>
      </c>
      <c r="P1062" s="242">
        <v>24</v>
      </c>
      <c r="Q1062" s="234">
        <v>21200</v>
      </c>
      <c r="R1062" s="234">
        <v>16112</v>
      </c>
      <c r="S1062" s="234" t="s">
        <v>3024</v>
      </c>
      <c r="T1062" s="236">
        <v>45948</v>
      </c>
    </row>
    <row r="1063" spans="1:20" ht="38.25">
      <c r="A1063" s="239" t="s">
        <v>2979</v>
      </c>
      <c r="B1063" s="240">
        <v>2455</v>
      </c>
      <c r="C1063" s="241">
        <v>56</v>
      </c>
      <c r="D1063" s="239" t="s">
        <v>2881</v>
      </c>
      <c r="E1063" s="239" t="s">
        <v>406</v>
      </c>
      <c r="F1063" s="239" t="s">
        <v>407</v>
      </c>
      <c r="G1063" s="239" t="s">
        <v>144</v>
      </c>
      <c r="H1063" s="239" t="s">
        <v>42</v>
      </c>
      <c r="I1063" s="239" t="s">
        <v>2882</v>
      </c>
      <c r="J1063" s="233"/>
      <c r="K1063" s="235">
        <v>45948</v>
      </c>
      <c r="L1063" s="233">
        <v>1</v>
      </c>
      <c r="M1063" s="234" t="s">
        <v>144</v>
      </c>
      <c r="N1063" s="234">
        <v>40240</v>
      </c>
      <c r="O1063" s="234">
        <v>15140</v>
      </c>
      <c r="P1063" s="242">
        <v>27</v>
      </c>
      <c r="Q1063" s="234">
        <v>25100</v>
      </c>
      <c r="R1063" s="234">
        <v>18323</v>
      </c>
      <c r="S1063" s="234" t="s">
        <v>3025</v>
      </c>
      <c r="T1063" s="236">
        <v>45948</v>
      </c>
    </row>
    <row r="1064" spans="1:20" ht="25.5">
      <c r="A1064" s="239" t="s">
        <v>2980</v>
      </c>
      <c r="B1064" s="240">
        <v>2456</v>
      </c>
      <c r="C1064" s="241">
        <v>58</v>
      </c>
      <c r="D1064" s="239" t="s">
        <v>2881</v>
      </c>
      <c r="E1064" s="239" t="s">
        <v>403</v>
      </c>
      <c r="F1064" s="239" t="s">
        <v>404</v>
      </c>
      <c r="G1064" s="239" t="s">
        <v>144</v>
      </c>
      <c r="H1064" s="239" t="s">
        <v>42</v>
      </c>
      <c r="I1064" s="239" t="s">
        <v>2882</v>
      </c>
      <c r="J1064" s="233"/>
      <c r="K1064" s="235">
        <v>45948</v>
      </c>
      <c r="L1064" s="233">
        <v>1</v>
      </c>
      <c r="M1064" s="234" t="s">
        <v>144</v>
      </c>
      <c r="N1064" s="234">
        <v>39560</v>
      </c>
      <c r="O1064" s="234">
        <v>14640</v>
      </c>
      <c r="P1064" s="242">
        <v>17</v>
      </c>
      <c r="Q1064" s="234">
        <v>24920</v>
      </c>
      <c r="R1064" s="234">
        <v>20683.599999999999</v>
      </c>
      <c r="S1064" s="234" t="s">
        <v>3026</v>
      </c>
      <c r="T1064" s="236">
        <v>45948</v>
      </c>
    </row>
    <row r="1065" spans="1:20" ht="51">
      <c r="A1065" s="239" t="s">
        <v>2981</v>
      </c>
      <c r="B1065" s="240">
        <v>2457</v>
      </c>
      <c r="C1065" s="241">
        <v>60</v>
      </c>
      <c r="D1065" s="239" t="s">
        <v>2881</v>
      </c>
      <c r="E1065" s="239" t="s">
        <v>380</v>
      </c>
      <c r="F1065" s="239" t="s">
        <v>381</v>
      </c>
      <c r="G1065" s="239" t="s">
        <v>144</v>
      </c>
      <c r="H1065" s="239" t="s">
        <v>42</v>
      </c>
      <c r="I1065" s="239" t="s">
        <v>2882</v>
      </c>
      <c r="J1065" s="233"/>
      <c r="K1065" s="235">
        <v>45948</v>
      </c>
      <c r="L1065" s="233">
        <v>1</v>
      </c>
      <c r="M1065" s="234" t="s">
        <v>144</v>
      </c>
      <c r="N1065" s="234">
        <v>40410</v>
      </c>
      <c r="O1065" s="234">
        <v>15220</v>
      </c>
      <c r="P1065" s="242">
        <v>4</v>
      </c>
      <c r="Q1065" s="234">
        <v>25190</v>
      </c>
      <c r="R1065" s="234">
        <v>24182.400000000001</v>
      </c>
      <c r="S1065" s="234" t="s">
        <v>3027</v>
      </c>
      <c r="T1065" s="236">
        <v>45948</v>
      </c>
    </row>
    <row r="1066" spans="1:20" ht="38.25">
      <c r="A1066" s="239" t="s">
        <v>2983</v>
      </c>
      <c r="B1066" s="240">
        <v>2460</v>
      </c>
      <c r="C1066" s="241">
        <v>61</v>
      </c>
      <c r="D1066" s="239" t="s">
        <v>2881</v>
      </c>
      <c r="E1066" s="239" t="s">
        <v>377</v>
      </c>
      <c r="F1066" s="239" t="s">
        <v>378</v>
      </c>
      <c r="G1066" s="239" t="s">
        <v>144</v>
      </c>
      <c r="H1066" s="239" t="s">
        <v>42</v>
      </c>
      <c r="I1066" s="239" t="s">
        <v>2882</v>
      </c>
      <c r="J1066" s="233"/>
      <c r="K1066" s="235">
        <v>45948</v>
      </c>
      <c r="L1066" s="233">
        <v>1.1000000000000001</v>
      </c>
      <c r="M1066" s="234" t="s">
        <v>144</v>
      </c>
      <c r="N1066" s="234">
        <v>42550</v>
      </c>
      <c r="O1066" s="234">
        <v>15310</v>
      </c>
      <c r="P1066" s="242">
        <v>10</v>
      </c>
      <c r="Q1066" s="234">
        <v>27240</v>
      </c>
      <c r="R1066" s="234">
        <v>24516</v>
      </c>
      <c r="S1066" s="234" t="s">
        <v>3029</v>
      </c>
      <c r="T1066" s="236">
        <v>45948</v>
      </c>
    </row>
    <row r="1067" spans="1:20" ht="25.5">
      <c r="A1067" s="239" t="s">
        <v>2986</v>
      </c>
      <c r="B1067" s="240">
        <v>2464</v>
      </c>
      <c r="C1067" s="241">
        <v>63</v>
      </c>
      <c r="D1067" s="239" t="s">
        <v>2881</v>
      </c>
      <c r="E1067" s="239" t="s">
        <v>780</v>
      </c>
      <c r="F1067" s="239" t="s">
        <v>781</v>
      </c>
      <c r="G1067" s="239" t="s">
        <v>144</v>
      </c>
      <c r="H1067" s="239" t="s">
        <v>42</v>
      </c>
      <c r="I1067" s="239" t="s">
        <v>2882</v>
      </c>
      <c r="J1067" s="233"/>
      <c r="K1067" s="235">
        <v>45948</v>
      </c>
      <c r="L1067" s="233">
        <v>0.9</v>
      </c>
      <c r="M1067" s="234" t="s">
        <v>144</v>
      </c>
      <c r="N1067" s="234">
        <v>36350</v>
      </c>
      <c r="O1067" s="234">
        <v>14960</v>
      </c>
      <c r="P1067" s="242">
        <v>7</v>
      </c>
      <c r="Q1067" s="234">
        <v>21390</v>
      </c>
      <c r="R1067" s="234">
        <v>19892.7</v>
      </c>
      <c r="S1067" s="234" t="s">
        <v>3032</v>
      </c>
      <c r="T1067" s="236">
        <v>45948</v>
      </c>
    </row>
    <row r="1068" spans="1:20" ht="38.25">
      <c r="A1068" s="239" t="s">
        <v>2987</v>
      </c>
      <c r="B1068" s="240">
        <v>2465</v>
      </c>
      <c r="C1068" s="241">
        <v>64</v>
      </c>
      <c r="D1068" s="239" t="s">
        <v>2881</v>
      </c>
      <c r="E1068" s="239" t="s">
        <v>442</v>
      </c>
      <c r="F1068" s="239" t="s">
        <v>443</v>
      </c>
      <c r="G1068" s="239" t="s">
        <v>144</v>
      </c>
      <c r="H1068" s="239" t="s">
        <v>42</v>
      </c>
      <c r="I1068" s="239" t="s">
        <v>2882</v>
      </c>
      <c r="J1068" s="233"/>
      <c r="K1068" s="235">
        <v>45948</v>
      </c>
      <c r="L1068" s="233">
        <v>0.9</v>
      </c>
      <c r="M1068" s="234" t="s">
        <v>144</v>
      </c>
      <c r="N1068" s="234">
        <v>35300</v>
      </c>
      <c r="O1068" s="234">
        <v>14520</v>
      </c>
      <c r="P1068" s="242">
        <v>39</v>
      </c>
      <c r="Q1068" s="234">
        <v>20780</v>
      </c>
      <c r="R1068" s="234">
        <v>12675.8</v>
      </c>
      <c r="S1068" s="234" t="s">
        <v>3033</v>
      </c>
      <c r="T1068" s="236">
        <v>45949</v>
      </c>
    </row>
    <row r="1069" spans="1:20" ht="25.5">
      <c r="A1069" s="239" t="s">
        <v>2988</v>
      </c>
      <c r="B1069" s="240">
        <v>2466</v>
      </c>
      <c r="C1069" s="241">
        <v>70</v>
      </c>
      <c r="D1069" s="239" t="s">
        <v>2881</v>
      </c>
      <c r="E1069" s="239" t="s">
        <v>374</v>
      </c>
      <c r="F1069" s="239" t="s">
        <v>375</v>
      </c>
      <c r="G1069" s="239" t="s">
        <v>144</v>
      </c>
      <c r="H1069" s="239" t="s">
        <v>42</v>
      </c>
      <c r="I1069" s="239" t="s">
        <v>2882</v>
      </c>
      <c r="J1069" s="233"/>
      <c r="K1069" s="235">
        <v>45948</v>
      </c>
      <c r="L1069" s="233">
        <v>1</v>
      </c>
      <c r="M1069" s="234" t="s">
        <v>144</v>
      </c>
      <c r="N1069" s="234">
        <v>39400</v>
      </c>
      <c r="O1069" s="234">
        <v>15610</v>
      </c>
      <c r="P1069" s="242">
        <v>7</v>
      </c>
      <c r="Q1069" s="234">
        <v>23790</v>
      </c>
      <c r="R1069" s="234">
        <v>22124.7</v>
      </c>
      <c r="S1069" s="234" t="s">
        <v>3034</v>
      </c>
      <c r="T1069" s="236">
        <v>45949</v>
      </c>
    </row>
    <row r="1070" spans="1:20" ht="38.25">
      <c r="A1070" s="239" t="s">
        <v>2984</v>
      </c>
      <c r="B1070" s="240">
        <v>2461</v>
      </c>
      <c r="C1070" s="241">
        <v>62</v>
      </c>
      <c r="D1070" s="239" t="s">
        <v>2881</v>
      </c>
      <c r="E1070" s="239" t="s">
        <v>372</v>
      </c>
      <c r="F1070" s="239" t="s">
        <v>373</v>
      </c>
      <c r="G1070" s="239" t="s">
        <v>144</v>
      </c>
      <c r="H1070" s="239" t="s">
        <v>42</v>
      </c>
      <c r="I1070" s="239" t="s">
        <v>2882</v>
      </c>
      <c r="J1070" s="233"/>
      <c r="K1070" s="235">
        <v>45948</v>
      </c>
      <c r="L1070" s="233">
        <v>0.9</v>
      </c>
      <c r="M1070" s="234" t="s">
        <v>144</v>
      </c>
      <c r="N1070" s="234">
        <v>37430</v>
      </c>
      <c r="O1070" s="234">
        <v>15010</v>
      </c>
      <c r="P1070" s="242">
        <v>17</v>
      </c>
      <c r="Q1070" s="234">
        <v>22420</v>
      </c>
      <c r="R1070" s="234">
        <v>18608.599999999999</v>
      </c>
      <c r="S1070" s="234" t="s">
        <v>3030</v>
      </c>
      <c r="T1070" s="236">
        <v>45948</v>
      </c>
    </row>
    <row r="1071" spans="1:20" ht="38.25">
      <c r="A1071" s="239" t="s">
        <v>2990</v>
      </c>
      <c r="B1071" s="240">
        <v>2468</v>
      </c>
      <c r="C1071" s="241">
        <v>66</v>
      </c>
      <c r="D1071" s="239" t="s">
        <v>2881</v>
      </c>
      <c r="E1071" s="239" t="s">
        <v>400</v>
      </c>
      <c r="F1071" s="239" t="s">
        <v>401</v>
      </c>
      <c r="G1071" s="239" t="s">
        <v>144</v>
      </c>
      <c r="H1071" s="239" t="s">
        <v>42</v>
      </c>
      <c r="I1071" s="239" t="s">
        <v>2882</v>
      </c>
      <c r="J1071" s="233"/>
      <c r="K1071" s="235">
        <v>45948</v>
      </c>
      <c r="L1071" s="233">
        <v>1.1000000000000001</v>
      </c>
      <c r="M1071" s="234" t="s">
        <v>144</v>
      </c>
      <c r="N1071" s="234">
        <v>40080</v>
      </c>
      <c r="O1071" s="234">
        <v>14840</v>
      </c>
      <c r="P1071" s="242">
        <v>6</v>
      </c>
      <c r="Q1071" s="234">
        <v>25240</v>
      </c>
      <c r="R1071" s="234">
        <v>23725.599999999999</v>
      </c>
      <c r="S1071" s="234" t="s">
        <v>3036</v>
      </c>
      <c r="T1071" s="236">
        <v>45949</v>
      </c>
    </row>
    <row r="1072" spans="1:20" ht="38.25" hidden="1">
      <c r="A1072" s="239" t="s">
        <v>2982</v>
      </c>
      <c r="B1072" s="240">
        <v>2458</v>
      </c>
      <c r="C1072" s="241">
        <v>1</v>
      </c>
      <c r="D1072" s="239" t="s">
        <v>2482</v>
      </c>
      <c r="E1072" s="239" t="s">
        <v>384</v>
      </c>
      <c r="F1072" s="239" t="s">
        <v>385</v>
      </c>
      <c r="G1072" s="239" t="s">
        <v>962</v>
      </c>
      <c r="H1072" s="239" t="s">
        <v>51</v>
      </c>
      <c r="I1072" s="239" t="s">
        <v>2465</v>
      </c>
      <c r="J1072" s="233">
        <v>22230</v>
      </c>
      <c r="K1072" s="235">
        <v>45948</v>
      </c>
      <c r="L1072" s="233">
        <v>2.7</v>
      </c>
      <c r="M1072" s="234" t="s">
        <v>2709</v>
      </c>
      <c r="N1072" s="234">
        <v>36250</v>
      </c>
      <c r="O1072" s="234">
        <v>14020</v>
      </c>
      <c r="P1072" s="242">
        <v>34</v>
      </c>
      <c r="Q1072" s="234">
        <v>22230</v>
      </c>
      <c r="R1072" s="234">
        <v>14671.8</v>
      </c>
      <c r="S1072" s="234" t="s">
        <v>3028</v>
      </c>
      <c r="T1072" s="236">
        <v>45948</v>
      </c>
    </row>
    <row r="1073" spans="1:20" ht="38.25" hidden="1">
      <c r="A1073" s="239" t="s">
        <v>2989</v>
      </c>
      <c r="B1073" s="240">
        <v>2467</v>
      </c>
      <c r="C1073" s="241">
        <v>3</v>
      </c>
      <c r="D1073" s="239" t="s">
        <v>2482</v>
      </c>
      <c r="E1073" s="239" t="s">
        <v>2793</v>
      </c>
      <c r="F1073" s="239" t="s">
        <v>2794</v>
      </c>
      <c r="G1073" s="239" t="s">
        <v>962</v>
      </c>
      <c r="H1073" s="239" t="s">
        <v>51</v>
      </c>
      <c r="I1073" s="239" t="s">
        <v>2465</v>
      </c>
      <c r="J1073" s="233">
        <v>9080</v>
      </c>
      <c r="K1073" s="235">
        <v>45948</v>
      </c>
      <c r="L1073" s="233">
        <v>1.1000000000000001</v>
      </c>
      <c r="M1073" s="234" t="s">
        <v>2709</v>
      </c>
      <c r="N1073" s="234">
        <v>26720</v>
      </c>
      <c r="O1073" s="234">
        <v>17640</v>
      </c>
      <c r="P1073" s="242">
        <v>5</v>
      </c>
      <c r="Q1073" s="234">
        <v>9080</v>
      </c>
      <c r="R1073" s="234">
        <v>8626</v>
      </c>
      <c r="S1073" s="234" t="s">
        <v>3035</v>
      </c>
      <c r="T1073" s="236">
        <v>45949</v>
      </c>
    </row>
    <row r="1074" spans="1:20" ht="38.25" hidden="1">
      <c r="A1074" s="239" t="s">
        <v>2985</v>
      </c>
      <c r="B1074" s="240">
        <v>2463</v>
      </c>
      <c r="C1074" s="241">
        <v>2</v>
      </c>
      <c r="D1074" s="239" t="s">
        <v>2482</v>
      </c>
      <c r="E1074" s="239" t="s">
        <v>425</v>
      </c>
      <c r="F1074" s="239" t="s">
        <v>426</v>
      </c>
      <c r="G1074" s="239" t="s">
        <v>962</v>
      </c>
      <c r="H1074" s="239" t="s">
        <v>51</v>
      </c>
      <c r="I1074" s="239" t="s">
        <v>2465</v>
      </c>
      <c r="J1074" s="233">
        <v>32910</v>
      </c>
      <c r="K1074" s="235">
        <v>45948</v>
      </c>
      <c r="L1074" s="233">
        <v>3.9</v>
      </c>
      <c r="M1074" s="234" t="s">
        <v>2709</v>
      </c>
      <c r="N1074" s="234">
        <v>51770</v>
      </c>
      <c r="O1074" s="234">
        <v>18860</v>
      </c>
      <c r="P1074" s="242">
        <v>25</v>
      </c>
      <c r="Q1074" s="234">
        <v>32910</v>
      </c>
      <c r="R1074" s="234">
        <v>24682.5</v>
      </c>
      <c r="S1074" s="234" t="s">
        <v>3031</v>
      </c>
      <c r="T1074" s="236">
        <v>45948</v>
      </c>
    </row>
    <row r="1075" spans="1:20" ht="38.25" hidden="1">
      <c r="A1075" s="239" t="s">
        <v>2991</v>
      </c>
      <c r="B1075" s="240">
        <v>2469</v>
      </c>
      <c r="C1075" s="241">
        <v>65</v>
      </c>
      <c r="D1075" s="239" t="s">
        <v>2881</v>
      </c>
      <c r="E1075" s="239" t="s">
        <v>432</v>
      </c>
      <c r="F1075" s="239" t="s">
        <v>433</v>
      </c>
      <c r="G1075" s="239" t="s">
        <v>144</v>
      </c>
      <c r="H1075" s="239" t="s">
        <v>51</v>
      </c>
      <c r="I1075" s="239" t="s">
        <v>2882</v>
      </c>
      <c r="J1075" s="233"/>
      <c r="K1075" s="235">
        <v>45948</v>
      </c>
      <c r="L1075" s="233">
        <v>1.8</v>
      </c>
      <c r="M1075" s="234" t="s">
        <v>144</v>
      </c>
      <c r="N1075" s="234">
        <v>44210</v>
      </c>
      <c r="O1075" s="234">
        <v>15900</v>
      </c>
      <c r="P1075" s="242">
        <v>6</v>
      </c>
      <c r="Q1075" s="234">
        <v>28310</v>
      </c>
      <c r="R1075" s="234">
        <v>26611.4</v>
      </c>
      <c r="S1075" s="234" t="s">
        <v>3037</v>
      </c>
      <c r="T1075" s="236">
        <v>45949</v>
      </c>
    </row>
    <row r="1076" spans="1:20" ht="51" hidden="1">
      <c r="A1076" s="239" t="s">
        <v>2992</v>
      </c>
      <c r="B1076" s="240">
        <v>2470</v>
      </c>
      <c r="C1076" s="241">
        <v>67</v>
      </c>
      <c r="D1076" s="239" t="s">
        <v>2881</v>
      </c>
      <c r="E1076" s="239" t="s">
        <v>382</v>
      </c>
      <c r="F1076" s="239" t="s">
        <v>383</v>
      </c>
      <c r="G1076" s="239" t="s">
        <v>144</v>
      </c>
      <c r="H1076" s="239" t="s">
        <v>51</v>
      </c>
      <c r="I1076" s="239" t="s">
        <v>2882</v>
      </c>
      <c r="J1076" s="233"/>
      <c r="K1076" s="235">
        <v>45948</v>
      </c>
      <c r="L1076" s="233">
        <v>1.3</v>
      </c>
      <c r="M1076" s="234" t="s">
        <v>144</v>
      </c>
      <c r="N1076" s="234">
        <v>35440</v>
      </c>
      <c r="O1076" s="234">
        <v>14760</v>
      </c>
      <c r="P1076" s="242">
        <v>10</v>
      </c>
      <c r="Q1076" s="234">
        <v>20680</v>
      </c>
      <c r="R1076" s="234">
        <v>18612</v>
      </c>
      <c r="S1076" s="234" t="s">
        <v>3038</v>
      </c>
      <c r="T1076" s="236">
        <v>45949</v>
      </c>
    </row>
    <row r="1077" spans="1:20" ht="38.25" hidden="1">
      <c r="A1077" s="239" t="s">
        <v>2993</v>
      </c>
      <c r="B1077" s="240">
        <v>2471</v>
      </c>
      <c r="C1077" s="241">
        <v>69</v>
      </c>
      <c r="D1077" s="239" t="s">
        <v>2881</v>
      </c>
      <c r="E1077" s="239" t="s">
        <v>416</v>
      </c>
      <c r="F1077" s="239" t="s">
        <v>417</v>
      </c>
      <c r="G1077" s="239" t="s">
        <v>144</v>
      </c>
      <c r="H1077" s="239" t="s">
        <v>51</v>
      </c>
      <c r="I1077" s="239" t="s">
        <v>2882</v>
      </c>
      <c r="J1077" s="233"/>
      <c r="K1077" s="235">
        <v>45948</v>
      </c>
      <c r="L1077" s="233">
        <v>1.5</v>
      </c>
      <c r="M1077" s="234" t="s">
        <v>144</v>
      </c>
      <c r="N1077" s="234">
        <v>39110</v>
      </c>
      <c r="O1077" s="234">
        <v>14800</v>
      </c>
      <c r="P1077" s="242">
        <v>9</v>
      </c>
      <c r="Q1077" s="234">
        <v>24310</v>
      </c>
      <c r="R1077" s="234">
        <v>22122.1</v>
      </c>
      <c r="S1077" s="234" t="s">
        <v>3039</v>
      </c>
      <c r="T1077" s="236">
        <v>45949</v>
      </c>
    </row>
    <row r="1078" spans="1:20" ht="38.25" hidden="1">
      <c r="A1078" s="239" t="s">
        <v>2994</v>
      </c>
      <c r="B1078" s="240">
        <v>2472</v>
      </c>
      <c r="C1078" s="241">
        <v>68</v>
      </c>
      <c r="D1078" s="239" t="s">
        <v>2881</v>
      </c>
      <c r="E1078" s="239" t="s">
        <v>420</v>
      </c>
      <c r="F1078" s="239" t="s">
        <v>421</v>
      </c>
      <c r="G1078" s="239" t="s">
        <v>144</v>
      </c>
      <c r="H1078" s="239" t="s">
        <v>51</v>
      </c>
      <c r="I1078" s="239" t="s">
        <v>2882</v>
      </c>
      <c r="J1078" s="233"/>
      <c r="K1078" s="235">
        <v>45948</v>
      </c>
      <c r="L1078" s="233">
        <v>1.4</v>
      </c>
      <c r="M1078" s="234" t="s">
        <v>144</v>
      </c>
      <c r="N1078" s="234">
        <v>37550</v>
      </c>
      <c r="O1078" s="234">
        <v>14980</v>
      </c>
      <c r="P1078" s="242">
        <v>11</v>
      </c>
      <c r="Q1078" s="234">
        <v>22570</v>
      </c>
      <c r="R1078" s="234">
        <v>20087.3</v>
      </c>
      <c r="S1078" s="234" t="s">
        <v>3040</v>
      </c>
      <c r="T1078" s="236">
        <v>45949</v>
      </c>
    </row>
    <row r="1079" spans="1:20" ht="38.25" hidden="1">
      <c r="A1079" s="239" t="s">
        <v>2995</v>
      </c>
      <c r="B1079" s="240">
        <v>2480</v>
      </c>
      <c r="C1079" s="241">
        <v>1</v>
      </c>
      <c r="D1079" s="239" t="s">
        <v>2482</v>
      </c>
      <c r="E1079" s="239" t="s">
        <v>456</v>
      </c>
      <c r="F1079" s="239" t="s">
        <v>457</v>
      </c>
      <c r="G1079" s="239" t="s">
        <v>962</v>
      </c>
      <c r="H1079" s="239" t="s">
        <v>51</v>
      </c>
      <c r="I1079" s="239" t="s">
        <v>2465</v>
      </c>
      <c r="J1079" s="233">
        <v>32200</v>
      </c>
      <c r="K1079" s="235">
        <v>45949</v>
      </c>
      <c r="L1079" s="233">
        <v>3.9</v>
      </c>
      <c r="M1079" s="234" t="s">
        <v>2709</v>
      </c>
      <c r="N1079" s="234">
        <v>47940</v>
      </c>
      <c r="O1079" s="234">
        <v>15740</v>
      </c>
      <c r="P1079" s="242">
        <v>22</v>
      </c>
      <c r="Q1079" s="234">
        <v>32200</v>
      </c>
      <c r="R1079" s="234">
        <v>25116</v>
      </c>
      <c r="S1079" s="234" t="s">
        <v>3041</v>
      </c>
      <c r="T1079" s="236">
        <v>45949</v>
      </c>
    </row>
    <row r="1080" spans="1:20" ht="38.25" hidden="1">
      <c r="A1080" s="239" t="s">
        <v>2996</v>
      </c>
      <c r="B1080" s="240">
        <v>2481</v>
      </c>
      <c r="C1080" s="241">
        <v>2</v>
      </c>
      <c r="D1080" s="239" t="s">
        <v>2482</v>
      </c>
      <c r="E1080" s="239" t="s">
        <v>866</v>
      </c>
      <c r="F1080" s="239" t="s">
        <v>867</v>
      </c>
      <c r="G1080" s="239" t="s">
        <v>962</v>
      </c>
      <c r="H1080" s="239" t="s">
        <v>51</v>
      </c>
      <c r="I1080" s="239" t="s">
        <v>2465</v>
      </c>
      <c r="J1080" s="233">
        <v>24350</v>
      </c>
      <c r="K1080" s="235">
        <v>45949</v>
      </c>
      <c r="L1080" s="233">
        <v>2.9</v>
      </c>
      <c r="M1080" s="234" t="s">
        <v>2709</v>
      </c>
      <c r="N1080" s="234">
        <v>38970</v>
      </c>
      <c r="O1080" s="234">
        <v>14620</v>
      </c>
      <c r="P1080" s="242">
        <v>26</v>
      </c>
      <c r="Q1080" s="234">
        <v>24350</v>
      </c>
      <c r="R1080" s="234">
        <v>18019</v>
      </c>
      <c r="S1080" s="234" t="s">
        <v>3042</v>
      </c>
      <c r="T1080" s="236">
        <v>45949</v>
      </c>
    </row>
    <row r="1081" spans="1:20" ht="56.25" hidden="1" customHeight="1">
      <c r="A1081" s="239" t="s">
        <v>2997</v>
      </c>
      <c r="B1081" s="240">
        <v>2483</v>
      </c>
      <c r="C1081" s="241">
        <v>3</v>
      </c>
      <c r="D1081" s="239" t="s">
        <v>2482</v>
      </c>
      <c r="E1081" s="239" t="s">
        <v>369</v>
      </c>
      <c r="F1081" s="239" t="s">
        <v>370</v>
      </c>
      <c r="G1081" s="239" t="s">
        <v>962</v>
      </c>
      <c r="H1081" s="239" t="s">
        <v>51</v>
      </c>
      <c r="I1081" s="239" t="s">
        <v>2465</v>
      </c>
      <c r="J1081" s="233">
        <v>24350</v>
      </c>
      <c r="K1081" s="235">
        <v>45949</v>
      </c>
      <c r="L1081" s="233">
        <v>2.9</v>
      </c>
      <c r="M1081" s="234" t="s">
        <v>2709</v>
      </c>
      <c r="N1081" s="234">
        <v>39260</v>
      </c>
      <c r="O1081" s="234">
        <v>15280</v>
      </c>
      <c r="P1081" s="242">
        <v>37</v>
      </c>
      <c r="Q1081" s="234">
        <v>23980</v>
      </c>
      <c r="R1081" s="234">
        <v>15107.4</v>
      </c>
      <c r="S1081" s="234" t="s">
        <v>3043</v>
      </c>
      <c r="T1081" s="236">
        <v>45949</v>
      </c>
    </row>
    <row r="1082" spans="1:20" ht="56.25" hidden="1" customHeight="1">
      <c r="A1082" s="239" t="s">
        <v>3047</v>
      </c>
      <c r="B1082" s="240">
        <v>2486</v>
      </c>
      <c r="C1082" s="241">
        <v>4</v>
      </c>
      <c r="D1082" s="239" t="s">
        <v>2482</v>
      </c>
      <c r="E1082" s="239" t="s">
        <v>858</v>
      </c>
      <c r="F1082" s="239" t="s">
        <v>859</v>
      </c>
      <c r="G1082" s="239" t="s">
        <v>960</v>
      </c>
      <c r="H1082" s="239" t="s">
        <v>51</v>
      </c>
      <c r="I1082" s="239" t="s">
        <v>2465</v>
      </c>
      <c r="J1082" s="233">
        <f>Таблица24[[#This Row],[Вес нетто]]</f>
        <v>26930</v>
      </c>
      <c r="K1082" s="235">
        <v>45950</v>
      </c>
      <c r="L1082" s="233">
        <v>3.2</v>
      </c>
      <c r="M1082" s="234" t="s">
        <v>2709</v>
      </c>
      <c r="N1082" s="234">
        <v>42460</v>
      </c>
      <c r="O1082" s="234">
        <v>15530</v>
      </c>
      <c r="P1082" s="242">
        <v>16</v>
      </c>
      <c r="Q1082" s="234">
        <v>26930</v>
      </c>
      <c r="R1082" s="234">
        <v>22621.200000000001</v>
      </c>
      <c r="S1082" s="234" t="s">
        <v>3061</v>
      </c>
      <c r="T1082" s="236">
        <v>45950</v>
      </c>
    </row>
    <row r="1083" spans="1:20" ht="56.25" hidden="1" customHeight="1">
      <c r="A1083" s="239" t="s">
        <v>3048</v>
      </c>
      <c r="B1083" s="240">
        <v>2487</v>
      </c>
      <c r="C1083" s="241">
        <v>71</v>
      </c>
      <c r="D1083" s="239" t="s">
        <v>2881</v>
      </c>
      <c r="E1083" s="239" t="s">
        <v>447</v>
      </c>
      <c r="F1083" s="239" t="s">
        <v>448</v>
      </c>
      <c r="G1083" s="239" t="s">
        <v>949</v>
      </c>
      <c r="H1083" s="239" t="s">
        <v>51</v>
      </c>
      <c r="I1083" s="239" t="s">
        <v>2882</v>
      </c>
      <c r="J1083" s="233"/>
      <c r="K1083" s="235">
        <v>45950</v>
      </c>
      <c r="L1083" s="233">
        <v>1.1000000000000001</v>
      </c>
      <c r="M1083" s="234" t="s">
        <v>949</v>
      </c>
      <c r="N1083" s="234">
        <v>39270</v>
      </c>
      <c r="O1083" s="234">
        <v>16020</v>
      </c>
      <c r="P1083" s="242">
        <v>7</v>
      </c>
      <c r="Q1083" s="234">
        <v>23250</v>
      </c>
      <c r="R1083" s="234">
        <v>21622.5</v>
      </c>
      <c r="S1083" s="234" t="s">
        <v>3062</v>
      </c>
      <c r="T1083" s="236">
        <v>45950</v>
      </c>
    </row>
    <row r="1084" spans="1:20" ht="38.25" hidden="1">
      <c r="A1084" s="239" t="s">
        <v>3045</v>
      </c>
      <c r="B1084" s="240">
        <v>2488</v>
      </c>
      <c r="C1084" s="241">
        <v>5</v>
      </c>
      <c r="D1084" s="239" t="s">
        <v>2482</v>
      </c>
      <c r="E1084" s="239" t="s">
        <v>453</v>
      </c>
      <c r="F1084" s="239" t="s">
        <v>454</v>
      </c>
      <c r="G1084" s="239" t="s">
        <v>960</v>
      </c>
      <c r="H1084" s="239" t="s">
        <v>51</v>
      </c>
      <c r="I1084" s="239" t="s">
        <v>2465</v>
      </c>
      <c r="J1084" s="233">
        <f>Таблица24[[#This Row],[Вес нетто]]</f>
        <v>30960</v>
      </c>
      <c r="K1084" s="235">
        <v>45950</v>
      </c>
      <c r="L1084" s="233">
        <v>3.7</v>
      </c>
      <c r="M1084" s="234" t="s">
        <v>2709</v>
      </c>
      <c r="N1084" s="234">
        <v>55660</v>
      </c>
      <c r="O1084" s="234">
        <v>24700</v>
      </c>
      <c r="P1084" s="242">
        <v>7</v>
      </c>
      <c r="Q1084" s="234">
        <v>30960</v>
      </c>
      <c r="R1084" s="234">
        <v>28792.799999999999</v>
      </c>
      <c r="S1084" s="234" t="s">
        <v>3059</v>
      </c>
      <c r="T1084" s="236">
        <v>45950</v>
      </c>
    </row>
    <row r="1085" spans="1:20" ht="25.5" hidden="1">
      <c r="A1085" s="239" t="s">
        <v>3046</v>
      </c>
      <c r="B1085" s="240">
        <v>2489</v>
      </c>
      <c r="C1085" s="241">
        <v>72</v>
      </c>
      <c r="D1085" s="239" t="s">
        <v>2881</v>
      </c>
      <c r="E1085" s="239" t="s">
        <v>429</v>
      </c>
      <c r="F1085" s="239" t="s">
        <v>430</v>
      </c>
      <c r="G1085" s="239" t="s">
        <v>949</v>
      </c>
      <c r="H1085" s="239" t="s">
        <v>51</v>
      </c>
      <c r="I1085" s="239" t="s">
        <v>2882</v>
      </c>
      <c r="J1085" s="233"/>
      <c r="K1085" s="235">
        <v>45950</v>
      </c>
      <c r="L1085" s="233">
        <v>1.2</v>
      </c>
      <c r="M1085" s="234" t="s">
        <v>949</v>
      </c>
      <c r="N1085" s="234">
        <v>39880</v>
      </c>
      <c r="O1085" s="234">
        <v>14610</v>
      </c>
      <c r="P1085" s="242">
        <v>10</v>
      </c>
      <c r="Q1085" s="234">
        <v>25270</v>
      </c>
      <c r="R1085" s="234">
        <v>22743</v>
      </c>
      <c r="S1085" s="234" t="s">
        <v>3060</v>
      </c>
      <c r="T1085" s="236">
        <v>45950</v>
      </c>
    </row>
    <row r="1086" spans="1:20" ht="51" hidden="1">
      <c r="A1086" s="239" t="s">
        <v>3049</v>
      </c>
      <c r="B1086" s="240">
        <v>2490</v>
      </c>
      <c r="C1086" s="241">
        <v>75</v>
      </c>
      <c r="D1086" s="239" t="s">
        <v>2881</v>
      </c>
      <c r="E1086" s="239" t="s">
        <v>1410</v>
      </c>
      <c r="F1086" s="239" t="s">
        <v>437</v>
      </c>
      <c r="G1086" s="239" t="s">
        <v>949</v>
      </c>
      <c r="H1086" s="239" t="s">
        <v>51</v>
      </c>
      <c r="I1086" s="239" t="s">
        <v>2882</v>
      </c>
      <c r="J1086" s="233"/>
      <c r="K1086" s="235">
        <v>45950</v>
      </c>
      <c r="L1086" s="233">
        <v>1.2</v>
      </c>
      <c r="M1086" s="234" t="s">
        <v>949</v>
      </c>
      <c r="N1086" s="234">
        <v>40450</v>
      </c>
      <c r="O1086" s="234">
        <v>15170</v>
      </c>
      <c r="P1086" s="242">
        <v>8</v>
      </c>
      <c r="Q1086" s="234">
        <v>25280</v>
      </c>
      <c r="R1086" s="234">
        <v>23257.599999999999</v>
      </c>
      <c r="S1086" s="234" t="s">
        <v>3063</v>
      </c>
      <c r="T1086" s="236">
        <v>45950</v>
      </c>
    </row>
    <row r="1087" spans="1:20" ht="38.25" hidden="1">
      <c r="A1087" s="239" t="s">
        <v>3050</v>
      </c>
      <c r="B1087" s="240">
        <v>2491</v>
      </c>
      <c r="C1087" s="241">
        <v>76</v>
      </c>
      <c r="D1087" s="239" t="s">
        <v>2881</v>
      </c>
      <c r="E1087" s="239" t="s">
        <v>439</v>
      </c>
      <c r="F1087" s="239" t="s">
        <v>440</v>
      </c>
      <c r="G1087" s="239" t="s">
        <v>949</v>
      </c>
      <c r="H1087" s="239" t="s">
        <v>51</v>
      </c>
      <c r="I1087" s="239" t="s">
        <v>2882</v>
      </c>
      <c r="J1087" s="233"/>
      <c r="K1087" s="235">
        <v>45950</v>
      </c>
      <c r="L1087" s="233">
        <v>1.3</v>
      </c>
      <c r="M1087" s="234" t="s">
        <v>949</v>
      </c>
      <c r="N1087" s="234">
        <v>43540</v>
      </c>
      <c r="O1087" s="234">
        <v>15370</v>
      </c>
      <c r="P1087" s="242">
        <v>15</v>
      </c>
      <c r="Q1087" s="234">
        <v>28170</v>
      </c>
      <c r="R1087" s="234">
        <v>23944.5</v>
      </c>
      <c r="S1087" s="234" t="s">
        <v>3064</v>
      </c>
      <c r="T1087" s="236">
        <v>45950</v>
      </c>
    </row>
    <row r="1088" spans="1:20" ht="38.25" hidden="1">
      <c r="A1088" s="239" t="s">
        <v>3051</v>
      </c>
      <c r="B1088" s="240">
        <v>2493</v>
      </c>
      <c r="C1088" s="241">
        <v>6</v>
      </c>
      <c r="D1088" s="239" t="s">
        <v>2482</v>
      </c>
      <c r="E1088" s="239" t="s">
        <v>413</v>
      </c>
      <c r="F1088" s="239" t="s">
        <v>414</v>
      </c>
      <c r="G1088" s="239" t="s">
        <v>962</v>
      </c>
      <c r="H1088" s="239" t="s">
        <v>51</v>
      </c>
      <c r="I1088" s="239" t="s">
        <v>2465</v>
      </c>
      <c r="J1088" s="233">
        <f>Таблица24[[#This Row],[Вес нетто]]</f>
        <v>27830</v>
      </c>
      <c r="K1088" s="235">
        <v>45950</v>
      </c>
      <c r="L1088" s="233">
        <v>3.3</v>
      </c>
      <c r="M1088" s="234" t="s">
        <v>2709</v>
      </c>
      <c r="N1088" s="234">
        <v>42980</v>
      </c>
      <c r="O1088" s="234">
        <v>15150</v>
      </c>
      <c r="P1088" s="242">
        <v>15</v>
      </c>
      <c r="Q1088" s="234">
        <v>27830</v>
      </c>
      <c r="R1088" s="234">
        <v>23655.5</v>
      </c>
      <c r="S1088" s="234" t="s">
        <v>3065</v>
      </c>
      <c r="T1088" s="236">
        <v>45950</v>
      </c>
    </row>
    <row r="1089" spans="1:20" ht="38.25" hidden="1">
      <c r="A1089" s="239" t="s">
        <v>3052</v>
      </c>
      <c r="B1089" s="240">
        <v>2495</v>
      </c>
      <c r="C1089" s="241">
        <v>7</v>
      </c>
      <c r="D1089" s="239" t="s">
        <v>2482</v>
      </c>
      <c r="E1089" s="239" t="s">
        <v>392</v>
      </c>
      <c r="F1089" s="239" t="s">
        <v>393</v>
      </c>
      <c r="G1089" s="239" t="s">
        <v>962</v>
      </c>
      <c r="H1089" s="239" t="s">
        <v>51</v>
      </c>
      <c r="I1089" s="239" t="s">
        <v>2465</v>
      </c>
      <c r="J1089" s="233">
        <f>Таблица24[[#This Row],[Вес нетто]]</f>
        <v>25580</v>
      </c>
      <c r="K1089" s="235">
        <v>45950</v>
      </c>
      <c r="L1089" s="233">
        <v>3.1</v>
      </c>
      <c r="M1089" s="234" t="s">
        <v>2709</v>
      </c>
      <c r="N1089" s="234">
        <v>49850</v>
      </c>
      <c r="O1089" s="234">
        <v>24270</v>
      </c>
      <c r="P1089" s="242">
        <v>36</v>
      </c>
      <c r="Q1089" s="234">
        <v>25580</v>
      </c>
      <c r="R1089" s="234">
        <v>16371.2</v>
      </c>
      <c r="S1089" s="234" t="s">
        <v>3066</v>
      </c>
      <c r="T1089" s="236">
        <v>45950</v>
      </c>
    </row>
    <row r="1090" spans="1:20" ht="51" hidden="1">
      <c r="A1090" s="239" t="s">
        <v>3053</v>
      </c>
      <c r="B1090" s="240">
        <v>2497</v>
      </c>
      <c r="C1090" s="241">
        <v>8</v>
      </c>
      <c r="D1090" s="239" t="s">
        <v>2482</v>
      </c>
      <c r="E1090" s="239" t="s">
        <v>380</v>
      </c>
      <c r="F1090" s="239" t="s">
        <v>381</v>
      </c>
      <c r="G1090" s="239" t="s">
        <v>962</v>
      </c>
      <c r="H1090" s="239" t="s">
        <v>51</v>
      </c>
      <c r="I1090" s="239" t="s">
        <v>2465</v>
      </c>
      <c r="J1090" s="233">
        <f>Таблица24[[#This Row],[Вес нетто]]</f>
        <v>22430</v>
      </c>
      <c r="K1090" s="235">
        <v>45950</v>
      </c>
      <c r="L1090" s="233">
        <v>2.7</v>
      </c>
      <c r="M1090" s="234" t="s">
        <v>2709</v>
      </c>
      <c r="N1090" s="234">
        <v>37800</v>
      </c>
      <c r="O1090" s="234">
        <v>15370</v>
      </c>
      <c r="P1090" s="242">
        <v>37</v>
      </c>
      <c r="Q1090" s="234">
        <v>22430</v>
      </c>
      <c r="R1090" s="234">
        <v>14130.9</v>
      </c>
      <c r="S1090" s="234" t="s">
        <v>3067</v>
      </c>
      <c r="T1090" s="236">
        <v>45950</v>
      </c>
    </row>
    <row r="1091" spans="1:20" ht="38.25" hidden="1">
      <c r="A1091" s="239" t="s">
        <v>3054</v>
      </c>
      <c r="B1091" s="240">
        <v>2498</v>
      </c>
      <c r="C1091" s="241">
        <v>77</v>
      </c>
      <c r="D1091" s="239" t="s">
        <v>2881</v>
      </c>
      <c r="E1091" s="239" t="s">
        <v>416</v>
      </c>
      <c r="F1091" s="239" t="s">
        <v>417</v>
      </c>
      <c r="G1091" s="239" t="s">
        <v>949</v>
      </c>
      <c r="H1091" s="239" t="s">
        <v>51</v>
      </c>
      <c r="I1091" s="239" t="s">
        <v>2882</v>
      </c>
      <c r="J1091" s="233"/>
      <c r="K1091" s="235">
        <v>45950</v>
      </c>
      <c r="L1091" s="233">
        <v>1.1000000000000001</v>
      </c>
      <c r="M1091" s="234" t="s">
        <v>949</v>
      </c>
      <c r="N1091" s="234">
        <v>38280</v>
      </c>
      <c r="O1091" s="234">
        <v>15030</v>
      </c>
      <c r="P1091" s="242">
        <v>22</v>
      </c>
      <c r="Q1091" s="234">
        <v>23250</v>
      </c>
      <c r="R1091" s="234">
        <v>18135</v>
      </c>
      <c r="S1091" s="234" t="s">
        <v>3068</v>
      </c>
      <c r="T1091" s="236">
        <v>45950</v>
      </c>
    </row>
    <row r="1092" spans="1:20" ht="38.25" hidden="1">
      <c r="A1092" s="239" t="s">
        <v>3055</v>
      </c>
      <c r="B1092" s="240">
        <v>2499</v>
      </c>
      <c r="C1092" s="241">
        <v>78</v>
      </c>
      <c r="D1092" s="239" t="s">
        <v>2881</v>
      </c>
      <c r="E1092" s="239" t="s">
        <v>420</v>
      </c>
      <c r="F1092" s="239" t="s">
        <v>421</v>
      </c>
      <c r="G1092" s="239" t="s">
        <v>949</v>
      </c>
      <c r="H1092" s="239" t="s">
        <v>51</v>
      </c>
      <c r="I1092" s="239" t="s">
        <v>2882</v>
      </c>
      <c r="J1092" s="233"/>
      <c r="K1092" s="235">
        <v>45950</v>
      </c>
      <c r="L1092" s="233">
        <v>1</v>
      </c>
      <c r="M1092" s="234" t="s">
        <v>949</v>
      </c>
      <c r="N1092" s="234">
        <v>36970</v>
      </c>
      <c r="O1092" s="234">
        <v>15200</v>
      </c>
      <c r="P1092" s="242">
        <v>11</v>
      </c>
      <c r="Q1092" s="234">
        <v>21770</v>
      </c>
      <c r="R1092" s="234">
        <v>19375.3</v>
      </c>
      <c r="S1092" s="234" t="s">
        <v>3069</v>
      </c>
      <c r="T1092" s="236">
        <v>45950</v>
      </c>
    </row>
    <row r="1093" spans="1:20" ht="38.25" hidden="1">
      <c r="A1093" s="239" t="s">
        <v>3056</v>
      </c>
      <c r="B1093" s="240">
        <v>2501</v>
      </c>
      <c r="C1093" s="241">
        <v>79</v>
      </c>
      <c r="D1093" s="239" t="s">
        <v>2881</v>
      </c>
      <c r="E1093" s="239" t="s">
        <v>456</v>
      </c>
      <c r="F1093" s="239" t="s">
        <v>457</v>
      </c>
      <c r="G1093" s="239" t="s">
        <v>949</v>
      </c>
      <c r="H1093" s="239" t="s">
        <v>51</v>
      </c>
      <c r="I1093" s="239" t="s">
        <v>2882</v>
      </c>
      <c r="J1093" s="233"/>
      <c r="K1093" s="235">
        <v>45950</v>
      </c>
      <c r="L1093" s="233">
        <v>1.3</v>
      </c>
      <c r="M1093" s="234" t="s">
        <v>949</v>
      </c>
      <c r="N1093" s="234">
        <v>45180</v>
      </c>
      <c r="O1093" s="234">
        <v>16220</v>
      </c>
      <c r="P1093" s="242">
        <v>12</v>
      </c>
      <c r="Q1093" s="234">
        <v>28960</v>
      </c>
      <c r="R1093" s="234">
        <v>25484.799999999999</v>
      </c>
      <c r="S1093" s="234" t="s">
        <v>3070</v>
      </c>
      <c r="T1093" s="236">
        <v>45950</v>
      </c>
    </row>
    <row r="1094" spans="1:20" ht="38.25" hidden="1">
      <c r="A1094" s="239" t="s">
        <v>3057</v>
      </c>
      <c r="B1094" s="240">
        <v>2502</v>
      </c>
      <c r="C1094" s="241">
        <v>80</v>
      </c>
      <c r="D1094" s="239" t="s">
        <v>2881</v>
      </c>
      <c r="E1094" s="239" t="s">
        <v>377</v>
      </c>
      <c r="F1094" s="239" t="s">
        <v>378</v>
      </c>
      <c r="G1094" s="239" t="s">
        <v>949</v>
      </c>
      <c r="H1094" s="239" t="s">
        <v>51</v>
      </c>
      <c r="I1094" s="239" t="s">
        <v>2882</v>
      </c>
      <c r="J1094" s="233"/>
      <c r="K1094" s="235">
        <v>45950</v>
      </c>
      <c r="L1094" s="233">
        <v>1.1000000000000001</v>
      </c>
      <c r="M1094" s="234" t="s">
        <v>949</v>
      </c>
      <c r="N1094" s="234">
        <v>40060</v>
      </c>
      <c r="O1094" s="234">
        <v>15290</v>
      </c>
      <c r="P1094" s="242">
        <v>11</v>
      </c>
      <c r="Q1094" s="234">
        <v>24770</v>
      </c>
      <c r="R1094" s="234">
        <v>22045.3</v>
      </c>
      <c r="S1094" s="234" t="s">
        <v>3071</v>
      </c>
      <c r="T1094" s="236">
        <v>45950</v>
      </c>
    </row>
    <row r="1095" spans="1:20" ht="25.5" hidden="1">
      <c r="A1095" s="239" t="s">
        <v>3825</v>
      </c>
      <c r="B1095" s="240">
        <v>2503</v>
      </c>
      <c r="C1095" s="241">
        <v>81</v>
      </c>
      <c r="D1095" s="239" t="s">
        <v>2881</v>
      </c>
      <c r="E1095" s="239" t="s">
        <v>384</v>
      </c>
      <c r="F1095" s="239" t="s">
        <v>385</v>
      </c>
      <c r="G1095" s="239" t="s">
        <v>949</v>
      </c>
      <c r="H1095" s="239" t="s">
        <v>51</v>
      </c>
      <c r="I1095" s="239" t="s">
        <v>2882</v>
      </c>
      <c r="J1095" s="233"/>
      <c r="K1095" s="235">
        <v>45950</v>
      </c>
      <c r="L1095" s="233">
        <v>1</v>
      </c>
      <c r="M1095" s="234" t="s">
        <v>949</v>
      </c>
      <c r="N1095" s="234">
        <v>35000</v>
      </c>
      <c r="O1095" s="234">
        <v>14040</v>
      </c>
      <c r="P1095" s="242">
        <v>17</v>
      </c>
      <c r="Q1095" s="234">
        <v>20960</v>
      </c>
      <c r="R1095" s="234">
        <v>17396.8</v>
      </c>
      <c r="S1095" s="234" t="s">
        <v>3072</v>
      </c>
      <c r="T1095" s="236">
        <v>45951</v>
      </c>
    </row>
    <row r="1096" spans="1:20" ht="38.25" hidden="1">
      <c r="A1096" s="239" t="s">
        <v>3073</v>
      </c>
      <c r="B1096" s="240">
        <v>2504</v>
      </c>
      <c r="C1096" s="241">
        <v>82</v>
      </c>
      <c r="D1096" s="239" t="s">
        <v>2881</v>
      </c>
      <c r="E1096" s="239" t="s">
        <v>400</v>
      </c>
      <c r="F1096" s="239" t="s">
        <v>401</v>
      </c>
      <c r="G1096" s="239" t="s">
        <v>949</v>
      </c>
      <c r="H1096" s="239" t="s">
        <v>51</v>
      </c>
      <c r="I1096" s="239" t="s">
        <v>2882</v>
      </c>
      <c r="J1096" s="233"/>
      <c r="K1096" s="235">
        <v>45950</v>
      </c>
      <c r="L1096" s="233">
        <v>1</v>
      </c>
      <c r="M1096" s="234" t="s">
        <v>949</v>
      </c>
      <c r="N1096" s="234">
        <v>37350</v>
      </c>
      <c r="O1096" s="234">
        <v>14880</v>
      </c>
      <c r="P1096" s="242">
        <v>19</v>
      </c>
      <c r="Q1096" s="234">
        <v>22470</v>
      </c>
      <c r="R1096" s="234">
        <v>18200.7</v>
      </c>
      <c r="S1096" s="234" t="s">
        <v>3075</v>
      </c>
      <c r="T1096" s="236">
        <v>45951</v>
      </c>
    </row>
    <row r="1097" spans="1:20" ht="38.25" hidden="1">
      <c r="A1097" s="239" t="s">
        <v>3074</v>
      </c>
      <c r="B1097" s="240">
        <v>2505</v>
      </c>
      <c r="C1097" s="241">
        <v>83</v>
      </c>
      <c r="D1097" s="239" t="s">
        <v>2881</v>
      </c>
      <c r="E1097" s="239" t="s">
        <v>866</v>
      </c>
      <c r="F1097" s="239" t="s">
        <v>867</v>
      </c>
      <c r="G1097" s="239" t="s">
        <v>949</v>
      </c>
      <c r="H1097" s="239" t="s">
        <v>51</v>
      </c>
      <c r="I1097" s="239" t="s">
        <v>2882</v>
      </c>
      <c r="J1097" s="233"/>
      <c r="K1097" s="235">
        <v>45950</v>
      </c>
      <c r="L1097" s="233">
        <v>1.1000000000000001</v>
      </c>
      <c r="M1097" s="234" t="s">
        <v>949</v>
      </c>
      <c r="N1097" s="234">
        <v>38050</v>
      </c>
      <c r="O1097" s="234">
        <v>14640</v>
      </c>
      <c r="P1097" s="242">
        <v>12</v>
      </c>
      <c r="Q1097" s="234">
        <v>23410</v>
      </c>
      <c r="R1097" s="234">
        <v>20600.8</v>
      </c>
      <c r="S1097" s="234" t="s">
        <v>3076</v>
      </c>
      <c r="T1097" s="236">
        <v>45951</v>
      </c>
    </row>
    <row r="1098" spans="1:20" ht="51" hidden="1">
      <c r="A1098" s="239" t="s">
        <v>3077</v>
      </c>
      <c r="B1098" s="240">
        <v>2507</v>
      </c>
      <c r="C1098" s="241">
        <v>84</v>
      </c>
      <c r="D1098" s="239" t="s">
        <v>2881</v>
      </c>
      <c r="E1098" s="239" t="s">
        <v>369</v>
      </c>
      <c r="F1098" s="239" t="s">
        <v>370</v>
      </c>
      <c r="G1098" s="239" t="s">
        <v>949</v>
      </c>
      <c r="H1098" s="239" t="s">
        <v>51</v>
      </c>
      <c r="I1098" s="239" t="s">
        <v>2882</v>
      </c>
      <c r="J1098" s="233"/>
      <c r="K1098" s="235">
        <v>45950</v>
      </c>
      <c r="L1098" s="233">
        <v>1</v>
      </c>
      <c r="M1098" s="234" t="s">
        <v>949</v>
      </c>
      <c r="N1098" s="234">
        <v>37520</v>
      </c>
      <c r="O1098" s="234">
        <v>15320</v>
      </c>
      <c r="P1098" s="242">
        <v>19</v>
      </c>
      <c r="Q1098" s="234">
        <v>22200</v>
      </c>
      <c r="R1098" s="234">
        <v>17982</v>
      </c>
      <c r="S1098" s="234" t="s">
        <v>3079</v>
      </c>
      <c r="T1098" s="236">
        <v>45951</v>
      </c>
    </row>
    <row r="1099" spans="1:20" ht="38.25" hidden="1">
      <c r="A1099" s="239" t="s">
        <v>3078</v>
      </c>
      <c r="B1099" s="240">
        <v>2508</v>
      </c>
      <c r="C1099" s="241">
        <v>85</v>
      </c>
      <c r="D1099" s="239" t="s">
        <v>2881</v>
      </c>
      <c r="E1099" s="239" t="s">
        <v>447</v>
      </c>
      <c r="F1099" s="239" t="s">
        <v>448</v>
      </c>
      <c r="G1099" s="239" t="s">
        <v>949</v>
      </c>
      <c r="H1099" s="239" t="s">
        <v>51</v>
      </c>
      <c r="I1099" s="239" t="s">
        <v>2882</v>
      </c>
      <c r="J1099" s="233"/>
      <c r="K1099" s="235">
        <v>45950</v>
      </c>
      <c r="L1099" s="233">
        <v>1.1000000000000001</v>
      </c>
      <c r="M1099" s="234" t="s">
        <v>949</v>
      </c>
      <c r="N1099" s="234">
        <v>40140</v>
      </c>
      <c r="O1099" s="234">
        <v>15910</v>
      </c>
      <c r="P1099" s="242">
        <v>15</v>
      </c>
      <c r="Q1099" s="234">
        <v>24230</v>
      </c>
      <c r="R1099" s="234">
        <v>20595.5</v>
      </c>
      <c r="S1099" s="234" t="s">
        <v>3080</v>
      </c>
      <c r="T1099" s="236">
        <v>45951</v>
      </c>
    </row>
    <row r="1100" spans="1:20" ht="38.25" hidden="1">
      <c r="A1100" s="239" t="s">
        <v>3081</v>
      </c>
      <c r="B1100" s="240">
        <v>2509</v>
      </c>
      <c r="C1100" s="241">
        <v>86</v>
      </c>
      <c r="D1100" s="239" t="s">
        <v>2881</v>
      </c>
      <c r="E1100" s="239" t="s">
        <v>858</v>
      </c>
      <c r="F1100" s="239" t="s">
        <v>859</v>
      </c>
      <c r="G1100" s="239" t="s">
        <v>949</v>
      </c>
      <c r="H1100" s="239" t="s">
        <v>51</v>
      </c>
      <c r="I1100" s="239" t="s">
        <v>2882</v>
      </c>
      <c r="J1100" s="233"/>
      <c r="K1100" s="235">
        <v>45950</v>
      </c>
      <c r="L1100" s="233">
        <v>1.2</v>
      </c>
      <c r="M1100" s="234" t="s">
        <v>949</v>
      </c>
      <c r="N1100" s="234">
        <v>40400</v>
      </c>
      <c r="O1100" s="234">
        <v>15280</v>
      </c>
      <c r="P1100" s="242">
        <v>26</v>
      </c>
      <c r="Q1100" s="234">
        <v>25120</v>
      </c>
      <c r="R1100" s="234">
        <v>18588.8</v>
      </c>
      <c r="S1100" s="234" t="s">
        <v>3082</v>
      </c>
      <c r="T1100" s="236">
        <v>45951</v>
      </c>
    </row>
    <row r="1101" spans="1:20" ht="25.5" hidden="1">
      <c r="A1101" s="239" t="s">
        <v>3083</v>
      </c>
      <c r="B1101" s="240">
        <v>2511</v>
      </c>
      <c r="C1101" s="241">
        <v>87</v>
      </c>
      <c r="D1101" s="239" t="s">
        <v>2881</v>
      </c>
      <c r="E1101" s="239" t="s">
        <v>429</v>
      </c>
      <c r="F1101" s="239" t="s">
        <v>430</v>
      </c>
      <c r="G1101" s="239" t="s">
        <v>949</v>
      </c>
      <c r="H1101" s="239" t="s">
        <v>51</v>
      </c>
      <c r="I1101" s="239" t="s">
        <v>2882</v>
      </c>
      <c r="J1101" s="233"/>
      <c r="K1101" s="235">
        <v>45950</v>
      </c>
      <c r="L1101" s="233">
        <v>1.2</v>
      </c>
      <c r="M1101" s="234" t="s">
        <v>949</v>
      </c>
      <c r="N1101" s="234">
        <v>40870</v>
      </c>
      <c r="O1101" s="234">
        <v>14480</v>
      </c>
      <c r="P1101" s="242">
        <v>16</v>
      </c>
      <c r="Q1101" s="234">
        <v>26390</v>
      </c>
      <c r="R1101" s="234">
        <v>22167.599999999999</v>
      </c>
      <c r="S1101" s="234" t="s">
        <v>3084</v>
      </c>
      <c r="T1101" s="236">
        <v>45951</v>
      </c>
    </row>
    <row r="1102" spans="1:20" ht="38.25" hidden="1">
      <c r="A1102" s="239" t="s">
        <v>3085</v>
      </c>
      <c r="B1102" s="240">
        <v>2513</v>
      </c>
      <c r="C1102" s="241">
        <v>88</v>
      </c>
      <c r="D1102" s="239" t="s">
        <v>2881</v>
      </c>
      <c r="E1102" s="239" t="s">
        <v>442</v>
      </c>
      <c r="F1102" s="239" t="s">
        <v>443</v>
      </c>
      <c r="G1102" s="239" t="s">
        <v>949</v>
      </c>
      <c r="H1102" s="239" t="s">
        <v>51</v>
      </c>
      <c r="I1102" s="239" t="s">
        <v>2882</v>
      </c>
      <c r="J1102" s="233"/>
      <c r="K1102" s="235">
        <v>45950</v>
      </c>
      <c r="L1102" s="233">
        <v>0.9</v>
      </c>
      <c r="M1102" s="234" t="s">
        <v>949</v>
      </c>
      <c r="N1102" s="234">
        <v>34330</v>
      </c>
      <c r="O1102" s="234">
        <v>14710</v>
      </c>
      <c r="P1102" s="242">
        <v>18</v>
      </c>
      <c r="Q1102" s="234">
        <v>19620</v>
      </c>
      <c r="R1102" s="234">
        <v>16088.4</v>
      </c>
      <c r="S1102" s="234" t="s">
        <v>3087</v>
      </c>
      <c r="T1102" s="236">
        <v>45951</v>
      </c>
    </row>
    <row r="1103" spans="1:20" ht="25.5" hidden="1">
      <c r="A1103" s="239" t="s">
        <v>3086</v>
      </c>
      <c r="B1103" s="240">
        <v>2518</v>
      </c>
      <c r="C1103" s="241">
        <v>89</v>
      </c>
      <c r="D1103" s="239" t="s">
        <v>2881</v>
      </c>
      <c r="E1103" s="239" t="s">
        <v>780</v>
      </c>
      <c r="F1103" s="239" t="s">
        <v>781</v>
      </c>
      <c r="G1103" s="239" t="s">
        <v>949</v>
      </c>
      <c r="H1103" s="239" t="s">
        <v>51</v>
      </c>
      <c r="I1103" s="239" t="s">
        <v>2882</v>
      </c>
      <c r="J1103" s="233"/>
      <c r="K1103" s="235">
        <v>45951</v>
      </c>
      <c r="L1103" s="233">
        <v>0.9</v>
      </c>
      <c r="M1103" s="234" t="s">
        <v>949</v>
      </c>
      <c r="N1103" s="234">
        <v>34900</v>
      </c>
      <c r="O1103" s="234">
        <v>15120</v>
      </c>
      <c r="P1103" s="242">
        <v>13</v>
      </c>
      <c r="Q1103" s="234">
        <v>19780</v>
      </c>
      <c r="R1103" s="234">
        <v>17208.599999999999</v>
      </c>
      <c r="S1103" s="234" t="s">
        <v>3088</v>
      </c>
      <c r="T1103" s="236">
        <v>45951</v>
      </c>
    </row>
    <row r="1104" spans="1:20" ht="38.25" hidden="1">
      <c r="A1104" s="239" t="s">
        <v>3089</v>
      </c>
      <c r="B1104" s="240">
        <v>2521</v>
      </c>
      <c r="C1104" s="241">
        <v>1</v>
      </c>
      <c r="D1104" s="239" t="s">
        <v>2482</v>
      </c>
      <c r="E1104" s="239" t="s">
        <v>390</v>
      </c>
      <c r="F1104" s="239" t="s">
        <v>391</v>
      </c>
      <c r="G1104" s="239" t="s">
        <v>960</v>
      </c>
      <c r="H1104" s="239" t="s">
        <v>51</v>
      </c>
      <c r="I1104" s="239" t="s">
        <v>2465</v>
      </c>
      <c r="J1104" s="233">
        <f>Таблица24[[#This Row],[Вес нетто]]</f>
        <v>24200</v>
      </c>
      <c r="K1104" s="235">
        <v>45950</v>
      </c>
      <c r="L1104" s="233">
        <v>2.9</v>
      </c>
      <c r="M1104" s="234" t="s">
        <v>2709</v>
      </c>
      <c r="N1104" s="234">
        <v>39290</v>
      </c>
      <c r="O1104" s="234">
        <v>15090</v>
      </c>
      <c r="P1104" s="242">
        <v>27</v>
      </c>
      <c r="Q1104" s="234">
        <v>24200</v>
      </c>
      <c r="R1104" s="234">
        <v>17666</v>
      </c>
      <c r="S1104" s="234" t="s">
        <v>3106</v>
      </c>
      <c r="T1104" s="236">
        <v>45951</v>
      </c>
    </row>
    <row r="1105" spans="1:20" ht="25.5" hidden="1">
      <c r="A1105" s="239" t="s">
        <v>3090</v>
      </c>
      <c r="B1105" s="240">
        <v>2523</v>
      </c>
      <c r="C1105" s="241">
        <v>92</v>
      </c>
      <c r="D1105" s="239" t="s">
        <v>2881</v>
      </c>
      <c r="E1105" s="239" t="s">
        <v>374</v>
      </c>
      <c r="F1105" s="239" t="s">
        <v>375</v>
      </c>
      <c r="G1105" s="239" t="s">
        <v>949</v>
      </c>
      <c r="H1105" s="239" t="s">
        <v>51</v>
      </c>
      <c r="I1105" s="239" t="s">
        <v>2882</v>
      </c>
      <c r="J1105" s="233"/>
      <c r="K1105" s="235">
        <v>45951</v>
      </c>
      <c r="L1105" s="233">
        <v>1.1000000000000001</v>
      </c>
      <c r="M1105" s="234" t="s">
        <v>949</v>
      </c>
      <c r="N1105" s="234">
        <v>39510</v>
      </c>
      <c r="O1105" s="234">
        <v>15800</v>
      </c>
      <c r="P1105" s="242">
        <v>5</v>
      </c>
      <c r="Q1105" s="234">
        <v>23710</v>
      </c>
      <c r="R1105" s="234">
        <v>22524.5</v>
      </c>
      <c r="S1105" s="234" t="s">
        <v>3107</v>
      </c>
      <c r="T1105" s="236">
        <v>45951</v>
      </c>
    </row>
    <row r="1106" spans="1:20" ht="51" hidden="1">
      <c r="A1106" s="239" t="s">
        <v>3091</v>
      </c>
      <c r="B1106" s="240">
        <v>2524</v>
      </c>
      <c r="C1106" s="241">
        <v>90</v>
      </c>
      <c r="D1106" s="239" t="s">
        <v>2881</v>
      </c>
      <c r="E1106" s="239" t="s">
        <v>1410</v>
      </c>
      <c r="F1106" s="239" t="s">
        <v>437</v>
      </c>
      <c r="G1106" s="239" t="s">
        <v>949</v>
      </c>
      <c r="H1106" s="239" t="s">
        <v>51</v>
      </c>
      <c r="I1106" s="239" t="s">
        <v>2882</v>
      </c>
      <c r="J1106" s="233"/>
      <c r="K1106" s="235">
        <v>45951</v>
      </c>
      <c r="L1106" s="233">
        <v>1.1000000000000001</v>
      </c>
      <c r="M1106" s="234" t="s">
        <v>949</v>
      </c>
      <c r="N1106" s="234">
        <v>39990</v>
      </c>
      <c r="O1106" s="234">
        <v>15210</v>
      </c>
      <c r="P1106" s="242">
        <v>7</v>
      </c>
      <c r="Q1106" s="234">
        <v>24780</v>
      </c>
      <c r="R1106" s="234">
        <v>23045.4</v>
      </c>
      <c r="S1106" s="234" t="s">
        <v>3108</v>
      </c>
      <c r="T1106" s="236">
        <v>45951</v>
      </c>
    </row>
    <row r="1107" spans="1:20" ht="38.25" hidden="1">
      <c r="A1107" s="239" t="s">
        <v>3094</v>
      </c>
      <c r="B1107" s="240">
        <v>2525</v>
      </c>
      <c r="C1107" s="241">
        <v>91</v>
      </c>
      <c r="D1107" s="239" t="s">
        <v>2881</v>
      </c>
      <c r="E1107" s="239" t="s">
        <v>439</v>
      </c>
      <c r="F1107" s="239" t="s">
        <v>440</v>
      </c>
      <c r="G1107" s="239" t="s">
        <v>949</v>
      </c>
      <c r="H1107" s="239" t="s">
        <v>51</v>
      </c>
      <c r="I1107" s="239" t="s">
        <v>2882</v>
      </c>
      <c r="J1107" s="233"/>
      <c r="K1107" s="235">
        <v>45951</v>
      </c>
      <c r="L1107" s="233">
        <v>1.2</v>
      </c>
      <c r="M1107" s="234" t="s">
        <v>949</v>
      </c>
      <c r="N1107" s="234">
        <v>42050</v>
      </c>
      <c r="O1107" s="234">
        <v>15420</v>
      </c>
      <c r="P1107" s="242">
        <v>28</v>
      </c>
      <c r="Q1107" s="234">
        <v>26630</v>
      </c>
      <c r="R1107" s="234">
        <v>19173.599999999999</v>
      </c>
      <c r="S1107" s="234" t="s">
        <v>3111</v>
      </c>
      <c r="T1107" s="236">
        <v>45951</v>
      </c>
    </row>
    <row r="1108" spans="1:20" ht="38.25" hidden="1">
      <c r="A1108" s="239" t="s">
        <v>3097</v>
      </c>
      <c r="B1108" s="240">
        <v>2526</v>
      </c>
      <c r="C1108" s="241">
        <v>93</v>
      </c>
      <c r="D1108" s="239" t="s">
        <v>2881</v>
      </c>
      <c r="E1108" s="239" t="s">
        <v>413</v>
      </c>
      <c r="F1108" s="239" t="s">
        <v>414</v>
      </c>
      <c r="G1108" s="239" t="s">
        <v>949</v>
      </c>
      <c r="H1108" s="239" t="s">
        <v>51</v>
      </c>
      <c r="I1108" s="239" t="s">
        <v>2882</v>
      </c>
      <c r="J1108" s="233"/>
      <c r="K1108" s="235">
        <v>45951</v>
      </c>
      <c r="L1108" s="233">
        <v>1.3</v>
      </c>
      <c r="M1108" s="234" t="s">
        <v>949</v>
      </c>
      <c r="N1108" s="234">
        <v>42910</v>
      </c>
      <c r="O1108" s="234">
        <v>15260</v>
      </c>
      <c r="P1108" s="242">
        <v>7</v>
      </c>
      <c r="Q1108" s="234">
        <v>27650</v>
      </c>
      <c r="R1108" s="234">
        <v>25714.5</v>
      </c>
      <c r="S1108" s="234" t="s">
        <v>3114</v>
      </c>
      <c r="T1108" s="236">
        <v>45951</v>
      </c>
    </row>
    <row r="1109" spans="1:20" ht="38.25" hidden="1">
      <c r="A1109" s="239" t="s">
        <v>3092</v>
      </c>
      <c r="B1109" s="240">
        <v>2527</v>
      </c>
      <c r="C1109" s="241">
        <v>94</v>
      </c>
      <c r="D1109" s="239" t="s">
        <v>2881</v>
      </c>
      <c r="E1109" s="239" t="s">
        <v>416</v>
      </c>
      <c r="F1109" s="239" t="s">
        <v>417</v>
      </c>
      <c r="G1109" s="239" t="s">
        <v>949</v>
      </c>
      <c r="H1109" s="239" t="s">
        <v>51</v>
      </c>
      <c r="I1109" s="239" t="s">
        <v>2882</v>
      </c>
      <c r="J1109" s="233"/>
      <c r="K1109" s="235">
        <v>45951</v>
      </c>
      <c r="L1109" s="233">
        <v>1.1000000000000001</v>
      </c>
      <c r="M1109" s="234" t="s">
        <v>949</v>
      </c>
      <c r="N1109" s="234">
        <v>39240</v>
      </c>
      <c r="O1109" s="234">
        <v>15010</v>
      </c>
      <c r="P1109" s="242">
        <v>13</v>
      </c>
      <c r="Q1109" s="234">
        <v>24230</v>
      </c>
      <c r="R1109" s="234">
        <v>21080.1</v>
      </c>
      <c r="S1109" s="234" t="s">
        <v>3109</v>
      </c>
      <c r="T1109" s="236">
        <v>45951</v>
      </c>
    </row>
    <row r="1110" spans="1:20" ht="38.25" hidden="1">
      <c r="A1110" s="239" t="s">
        <v>3093</v>
      </c>
      <c r="B1110" s="240">
        <v>2528</v>
      </c>
      <c r="C1110" s="241">
        <v>95</v>
      </c>
      <c r="D1110" s="239" t="s">
        <v>2881</v>
      </c>
      <c r="E1110" s="239" t="s">
        <v>420</v>
      </c>
      <c r="F1110" s="239" t="s">
        <v>421</v>
      </c>
      <c r="G1110" s="239" t="s">
        <v>949</v>
      </c>
      <c r="H1110" s="239" t="s">
        <v>51</v>
      </c>
      <c r="I1110" s="239" t="s">
        <v>2882</v>
      </c>
      <c r="J1110" s="233"/>
      <c r="K1110" s="235">
        <v>45951</v>
      </c>
      <c r="L1110" s="233">
        <v>1</v>
      </c>
      <c r="M1110" s="234" t="s">
        <v>949</v>
      </c>
      <c r="N1110" s="234">
        <v>37070</v>
      </c>
      <c r="O1110" s="234">
        <v>15020</v>
      </c>
      <c r="P1110" s="242">
        <v>21</v>
      </c>
      <c r="Q1110" s="234">
        <v>22050</v>
      </c>
      <c r="R1110" s="234">
        <v>17419.5</v>
      </c>
      <c r="S1110" s="234" t="s">
        <v>3110</v>
      </c>
      <c r="T1110" s="236">
        <v>45951</v>
      </c>
    </row>
    <row r="1111" spans="1:20" ht="38.25" hidden="1">
      <c r="A1111" s="239" t="s">
        <v>3095</v>
      </c>
      <c r="B1111" s="240">
        <v>2530</v>
      </c>
      <c r="C1111" s="241">
        <v>97</v>
      </c>
      <c r="D1111" s="239" t="s">
        <v>2881</v>
      </c>
      <c r="E1111" s="239" t="s">
        <v>377</v>
      </c>
      <c r="F1111" s="239" t="s">
        <v>378</v>
      </c>
      <c r="G1111" s="239" t="s">
        <v>949</v>
      </c>
      <c r="H1111" s="239" t="s">
        <v>51</v>
      </c>
      <c r="I1111" s="239" t="s">
        <v>2882</v>
      </c>
      <c r="J1111" s="233"/>
      <c r="K1111" s="235">
        <v>45951</v>
      </c>
      <c r="L1111" s="233">
        <v>1.3</v>
      </c>
      <c r="M1111" s="234" t="s">
        <v>949</v>
      </c>
      <c r="N1111" s="234">
        <v>42430</v>
      </c>
      <c r="O1111" s="234">
        <v>15310</v>
      </c>
      <c r="P1111" s="242">
        <v>7</v>
      </c>
      <c r="Q1111" s="234">
        <v>27120</v>
      </c>
      <c r="R1111" s="234">
        <v>25221.599999999999</v>
      </c>
      <c r="S1111" s="234" t="s">
        <v>3112</v>
      </c>
      <c r="T1111" s="236">
        <v>45951</v>
      </c>
    </row>
    <row r="1112" spans="1:20" ht="38.25" hidden="1">
      <c r="A1112" s="239" t="s">
        <v>3096</v>
      </c>
      <c r="B1112" s="240">
        <v>2531</v>
      </c>
      <c r="C1112" s="241">
        <v>10324</v>
      </c>
      <c r="D1112" s="239" t="s">
        <v>2511</v>
      </c>
      <c r="E1112" s="239" t="s">
        <v>462</v>
      </c>
      <c r="F1112" s="239" t="s">
        <v>463</v>
      </c>
      <c r="G1112" s="239" t="s">
        <v>932</v>
      </c>
      <c r="H1112" s="239" t="s">
        <v>51</v>
      </c>
      <c r="I1112" s="239" t="s">
        <v>2512</v>
      </c>
      <c r="J1112" s="233"/>
      <c r="K1112" s="235">
        <v>45951</v>
      </c>
      <c r="L1112" s="233">
        <v>1.5</v>
      </c>
      <c r="M1112" s="234" t="s">
        <v>932</v>
      </c>
      <c r="N1112" s="234">
        <v>39440</v>
      </c>
      <c r="O1112" s="234">
        <v>16350</v>
      </c>
      <c r="P1112" s="242">
        <v>15</v>
      </c>
      <c r="Q1112" s="234">
        <v>23090</v>
      </c>
      <c r="R1112" s="234">
        <v>19626.5</v>
      </c>
      <c r="S1112" s="234" t="s">
        <v>3113</v>
      </c>
      <c r="T1112" s="236">
        <v>45951</v>
      </c>
    </row>
    <row r="1113" spans="1:20" ht="38.25" hidden="1">
      <c r="A1113" s="239" t="s">
        <v>3098</v>
      </c>
      <c r="B1113" s="240">
        <v>2532</v>
      </c>
      <c r="C1113" s="241">
        <v>10325</v>
      </c>
      <c r="D1113" s="239" t="s">
        <v>2511</v>
      </c>
      <c r="E1113" s="239" t="s">
        <v>472</v>
      </c>
      <c r="F1113" s="239" t="s">
        <v>473</v>
      </c>
      <c r="G1113" s="239" t="s">
        <v>932</v>
      </c>
      <c r="H1113" s="239" t="s">
        <v>51</v>
      </c>
      <c r="I1113" s="239" t="s">
        <v>2512</v>
      </c>
      <c r="J1113" s="233"/>
      <c r="K1113" s="235">
        <v>45951</v>
      </c>
      <c r="L1113" s="233">
        <v>1.5</v>
      </c>
      <c r="M1113" s="234" t="s">
        <v>932</v>
      </c>
      <c r="N1113" s="234">
        <v>40740</v>
      </c>
      <c r="O1113" s="234">
        <v>16460</v>
      </c>
      <c r="P1113" s="242">
        <v>11</v>
      </c>
      <c r="Q1113" s="234">
        <v>24280</v>
      </c>
      <c r="R1113" s="234">
        <v>21609.200000000001</v>
      </c>
      <c r="S1113" s="234" t="s">
        <v>3115</v>
      </c>
      <c r="T1113" s="236">
        <v>45951</v>
      </c>
    </row>
    <row r="1114" spans="1:20" ht="38.25" hidden="1">
      <c r="A1114" s="239" t="s">
        <v>3099</v>
      </c>
      <c r="B1114" s="240">
        <v>2533</v>
      </c>
      <c r="C1114" s="241">
        <v>96</v>
      </c>
      <c r="D1114" s="239" t="s">
        <v>2881</v>
      </c>
      <c r="E1114" s="239" t="s">
        <v>456</v>
      </c>
      <c r="F1114" s="239" t="s">
        <v>457</v>
      </c>
      <c r="G1114" s="239" t="s">
        <v>949</v>
      </c>
      <c r="H1114" s="239" t="s">
        <v>51</v>
      </c>
      <c r="I1114" s="239" t="s">
        <v>2882</v>
      </c>
      <c r="J1114" s="233"/>
      <c r="K1114" s="235">
        <v>45951</v>
      </c>
      <c r="L1114" s="233">
        <v>1.4</v>
      </c>
      <c r="M1114" s="234" t="s">
        <v>949</v>
      </c>
      <c r="N1114" s="234">
        <v>45390</v>
      </c>
      <c r="O1114" s="234">
        <v>16090</v>
      </c>
      <c r="P1114" s="242">
        <v>12</v>
      </c>
      <c r="Q1114" s="234">
        <v>29300</v>
      </c>
      <c r="R1114" s="234">
        <v>25784</v>
      </c>
      <c r="S1114" s="234" t="s">
        <v>3116</v>
      </c>
      <c r="T1114" s="236">
        <v>45951</v>
      </c>
    </row>
    <row r="1115" spans="1:20" ht="38.25" hidden="1">
      <c r="A1115" s="239" t="s">
        <v>3100</v>
      </c>
      <c r="B1115" s="240">
        <v>2535</v>
      </c>
      <c r="C1115" s="241">
        <v>10327</v>
      </c>
      <c r="D1115" s="239" t="s">
        <v>2511</v>
      </c>
      <c r="E1115" s="239" t="s">
        <v>841</v>
      </c>
      <c r="F1115" s="239" t="s">
        <v>845</v>
      </c>
      <c r="G1115" s="239" t="s">
        <v>932</v>
      </c>
      <c r="H1115" s="239" t="s">
        <v>51</v>
      </c>
      <c r="I1115" s="239" t="s">
        <v>2512</v>
      </c>
      <c r="J1115" s="233"/>
      <c r="K1115" s="235">
        <v>45951</v>
      </c>
      <c r="L1115" s="233">
        <v>1.6</v>
      </c>
      <c r="M1115" s="234" t="s">
        <v>932</v>
      </c>
      <c r="N1115" s="234">
        <v>41850</v>
      </c>
      <c r="O1115" s="234">
        <v>15910</v>
      </c>
      <c r="P1115" s="242">
        <v>9</v>
      </c>
      <c r="Q1115" s="234">
        <v>25940</v>
      </c>
      <c r="R1115" s="234">
        <v>23605.4</v>
      </c>
      <c r="S1115" s="234" t="s">
        <v>3117</v>
      </c>
      <c r="T1115" s="236">
        <v>45951</v>
      </c>
    </row>
    <row r="1116" spans="1:20" ht="38.25" hidden="1">
      <c r="A1116" s="239" t="s">
        <v>3101</v>
      </c>
      <c r="B1116" s="240">
        <v>2536</v>
      </c>
      <c r="C1116" s="241">
        <v>10326</v>
      </c>
      <c r="D1116" s="239" t="s">
        <v>2511</v>
      </c>
      <c r="E1116" s="239" t="s">
        <v>791</v>
      </c>
      <c r="F1116" s="239" t="s">
        <v>792</v>
      </c>
      <c r="G1116" s="239" t="s">
        <v>932</v>
      </c>
      <c r="H1116" s="239" t="s">
        <v>51</v>
      </c>
      <c r="I1116" s="239" t="s">
        <v>2512</v>
      </c>
      <c r="J1116" s="233"/>
      <c r="K1116" s="235">
        <v>45951</v>
      </c>
      <c r="L1116" s="233">
        <v>1.6</v>
      </c>
      <c r="M1116" s="234" t="s">
        <v>932</v>
      </c>
      <c r="N1116" s="234">
        <v>39980</v>
      </c>
      <c r="O1116" s="234">
        <v>14970</v>
      </c>
      <c r="P1116" s="242">
        <v>14</v>
      </c>
      <c r="Q1116" s="234">
        <v>25010</v>
      </c>
      <c r="R1116" s="234">
        <v>21508.6</v>
      </c>
      <c r="S1116" s="234" t="s">
        <v>3118</v>
      </c>
      <c r="T1116" s="236">
        <v>45951</v>
      </c>
    </row>
    <row r="1117" spans="1:20" ht="38.25" hidden="1">
      <c r="A1117" s="239" t="s">
        <v>3102</v>
      </c>
      <c r="B1117" s="240">
        <v>2537</v>
      </c>
      <c r="C1117" s="241">
        <v>10328</v>
      </c>
      <c r="D1117" s="239" t="s">
        <v>2511</v>
      </c>
      <c r="E1117" s="239" t="s">
        <v>794</v>
      </c>
      <c r="F1117" s="239" t="s">
        <v>795</v>
      </c>
      <c r="G1117" s="239" t="s">
        <v>932</v>
      </c>
      <c r="H1117" s="239" t="s">
        <v>51</v>
      </c>
      <c r="I1117" s="239" t="s">
        <v>2512</v>
      </c>
      <c r="J1117" s="233"/>
      <c r="K1117" s="235">
        <v>45951</v>
      </c>
      <c r="L1117" s="233">
        <v>1.5</v>
      </c>
      <c r="M1117" s="234" t="s">
        <v>932</v>
      </c>
      <c r="N1117" s="234">
        <v>40600</v>
      </c>
      <c r="O1117" s="234">
        <v>16140</v>
      </c>
      <c r="P1117" s="242">
        <v>8</v>
      </c>
      <c r="Q1117" s="234">
        <v>24460</v>
      </c>
      <c r="R1117" s="234">
        <v>22503.200000000001</v>
      </c>
      <c r="S1117" s="234" t="s">
        <v>3119</v>
      </c>
      <c r="T1117" s="236">
        <v>45951</v>
      </c>
    </row>
    <row r="1118" spans="1:20" ht="38.25" hidden="1">
      <c r="A1118" s="239" t="s">
        <v>3103</v>
      </c>
      <c r="B1118" s="240">
        <v>2540</v>
      </c>
      <c r="C1118" s="241">
        <v>10329</v>
      </c>
      <c r="D1118" s="239" t="s">
        <v>2511</v>
      </c>
      <c r="E1118" s="239" t="s">
        <v>786</v>
      </c>
      <c r="F1118" s="239" t="s">
        <v>787</v>
      </c>
      <c r="G1118" s="239" t="s">
        <v>932</v>
      </c>
      <c r="H1118" s="239" t="s">
        <v>51</v>
      </c>
      <c r="I1118" s="239" t="s">
        <v>2512</v>
      </c>
      <c r="J1118" s="233"/>
      <c r="K1118" s="235">
        <v>45951</v>
      </c>
      <c r="L1118" s="233">
        <v>1.4</v>
      </c>
      <c r="M1118" s="234" t="s">
        <v>932</v>
      </c>
      <c r="N1118" s="234">
        <v>35810</v>
      </c>
      <c r="O1118" s="234">
        <v>13990</v>
      </c>
      <c r="P1118" s="242">
        <v>9</v>
      </c>
      <c r="Q1118" s="234">
        <v>21820</v>
      </c>
      <c r="R1118" s="234">
        <v>19856.2</v>
      </c>
      <c r="S1118" s="234" t="s">
        <v>3120</v>
      </c>
      <c r="T1118" s="236">
        <v>45952</v>
      </c>
    </row>
    <row r="1119" spans="1:20" ht="38.25" hidden="1">
      <c r="A1119" s="239" t="s">
        <v>3104</v>
      </c>
      <c r="B1119" s="240">
        <v>2541</v>
      </c>
      <c r="C1119" s="241">
        <v>10343</v>
      </c>
      <c r="D1119" s="239" t="s">
        <v>2511</v>
      </c>
      <c r="E1119" s="239" t="s">
        <v>783</v>
      </c>
      <c r="F1119" s="239" t="s">
        <v>784</v>
      </c>
      <c r="G1119" s="239" t="s">
        <v>932</v>
      </c>
      <c r="H1119" s="239" t="s">
        <v>51</v>
      </c>
      <c r="I1119" s="239" t="s">
        <v>2512</v>
      </c>
      <c r="J1119" s="233"/>
      <c r="K1119" s="235">
        <v>45951</v>
      </c>
      <c r="L1119" s="233">
        <v>1.5</v>
      </c>
      <c r="M1119" s="234" t="s">
        <v>932</v>
      </c>
      <c r="N1119" s="234">
        <v>38400</v>
      </c>
      <c r="O1119" s="234">
        <v>14640</v>
      </c>
      <c r="P1119" s="242">
        <v>10</v>
      </c>
      <c r="Q1119" s="234">
        <v>23760</v>
      </c>
      <c r="R1119" s="234">
        <v>21384</v>
      </c>
      <c r="S1119" s="234" t="s">
        <v>3121</v>
      </c>
      <c r="T1119" s="236">
        <v>45952</v>
      </c>
    </row>
    <row r="1120" spans="1:20" ht="51" hidden="1">
      <c r="A1120" s="239" t="s">
        <v>3105</v>
      </c>
      <c r="B1120" s="240">
        <v>2542</v>
      </c>
      <c r="C1120" s="241">
        <v>10335</v>
      </c>
      <c r="D1120" s="239" t="s">
        <v>2511</v>
      </c>
      <c r="E1120" s="239" t="s">
        <v>380</v>
      </c>
      <c r="F1120" s="239" t="s">
        <v>381</v>
      </c>
      <c r="G1120" s="239" t="s">
        <v>932</v>
      </c>
      <c r="H1120" s="239" t="s">
        <v>51</v>
      </c>
      <c r="I1120" s="239" t="s">
        <v>2512</v>
      </c>
      <c r="J1120" s="233"/>
      <c r="K1120" s="235">
        <v>45951</v>
      </c>
      <c r="L1120" s="233">
        <v>1.5</v>
      </c>
      <c r="M1120" s="234" t="s">
        <v>932</v>
      </c>
      <c r="N1120" s="234">
        <v>39480</v>
      </c>
      <c r="O1120" s="234">
        <v>15210</v>
      </c>
      <c r="P1120" s="242">
        <v>17</v>
      </c>
      <c r="Q1120" s="234">
        <v>24270</v>
      </c>
      <c r="R1120" s="234">
        <v>20144.099999999999</v>
      </c>
      <c r="S1120" s="234" t="s">
        <v>3122</v>
      </c>
      <c r="T1120" s="236">
        <v>45952</v>
      </c>
    </row>
    <row r="1121" spans="1:20" ht="38.25" hidden="1">
      <c r="A1121" s="239" t="s">
        <v>3124</v>
      </c>
      <c r="B1121" s="240">
        <v>2544</v>
      </c>
      <c r="C1121" s="241">
        <v>10338</v>
      </c>
      <c r="D1121" s="239" t="s">
        <v>2511</v>
      </c>
      <c r="E1121" s="239" t="s">
        <v>1397</v>
      </c>
      <c r="F1121" s="239" t="s">
        <v>1398</v>
      </c>
      <c r="G1121" s="239" t="s">
        <v>932</v>
      </c>
      <c r="H1121" s="239" t="s">
        <v>51</v>
      </c>
      <c r="I1121" s="239" t="s">
        <v>2512</v>
      </c>
      <c r="J1121" s="233"/>
      <c r="K1121" s="235">
        <v>45951</v>
      </c>
      <c r="L1121" s="233">
        <v>1.6</v>
      </c>
      <c r="M1121" s="234" t="s">
        <v>932</v>
      </c>
      <c r="N1121" s="234">
        <v>42400</v>
      </c>
      <c r="O1121" s="234">
        <v>17160</v>
      </c>
      <c r="P1121" s="242">
        <v>16</v>
      </c>
      <c r="Q1121" s="234">
        <v>25240</v>
      </c>
      <c r="R1121" s="234">
        <v>21201.599999999999</v>
      </c>
      <c r="S1121" s="234" t="s">
        <v>3125</v>
      </c>
      <c r="T1121" s="236">
        <v>45952</v>
      </c>
    </row>
    <row r="1122" spans="1:20" ht="38.25" hidden="1">
      <c r="A1122" s="239" t="s">
        <v>3126</v>
      </c>
      <c r="B1122" s="240">
        <v>2545</v>
      </c>
      <c r="C1122" s="241">
        <v>10348</v>
      </c>
      <c r="D1122" s="239" t="s">
        <v>2511</v>
      </c>
      <c r="E1122" s="239" t="s">
        <v>1400</v>
      </c>
      <c r="F1122" s="239" t="s">
        <v>1401</v>
      </c>
      <c r="G1122" s="239" t="s">
        <v>932</v>
      </c>
      <c r="H1122" s="239" t="s">
        <v>51</v>
      </c>
      <c r="I1122" s="239" t="s">
        <v>2512</v>
      </c>
      <c r="J1122" s="233"/>
      <c r="K1122" s="235">
        <v>45951</v>
      </c>
      <c r="L1122" s="233">
        <v>1.4</v>
      </c>
      <c r="M1122" s="234" t="s">
        <v>932</v>
      </c>
      <c r="N1122" s="234">
        <v>36500</v>
      </c>
      <c r="O1122" s="234">
        <v>14750</v>
      </c>
      <c r="P1122" s="242">
        <v>6</v>
      </c>
      <c r="Q1122" s="234">
        <v>21750</v>
      </c>
      <c r="R1122" s="234">
        <v>20445</v>
      </c>
      <c r="S1122" s="234" t="s">
        <v>3127</v>
      </c>
      <c r="T1122" s="236">
        <v>45952</v>
      </c>
    </row>
    <row r="1123" spans="1:20" ht="38.25" hidden="1">
      <c r="A1123" s="239" t="s">
        <v>3128</v>
      </c>
      <c r="B1123" s="240">
        <v>2546</v>
      </c>
      <c r="C1123" s="241">
        <v>10350</v>
      </c>
      <c r="D1123" s="239" t="s">
        <v>2511</v>
      </c>
      <c r="E1123" s="239" t="s">
        <v>1403</v>
      </c>
      <c r="F1123" s="239" t="s">
        <v>1404</v>
      </c>
      <c r="G1123" s="239" t="s">
        <v>932</v>
      </c>
      <c r="H1123" s="239" t="s">
        <v>51</v>
      </c>
      <c r="I1123" s="239" t="s">
        <v>2512</v>
      </c>
      <c r="J1123" s="233"/>
      <c r="K1123" s="235">
        <v>45951</v>
      </c>
      <c r="L1123" s="233">
        <v>1.5</v>
      </c>
      <c r="M1123" s="234" t="s">
        <v>932</v>
      </c>
      <c r="N1123" s="234">
        <v>38610</v>
      </c>
      <c r="O1123" s="234">
        <v>15040</v>
      </c>
      <c r="P1123" s="242">
        <v>14</v>
      </c>
      <c r="Q1123" s="234">
        <v>23570</v>
      </c>
      <c r="R1123" s="234">
        <v>20270.2</v>
      </c>
      <c r="S1123" s="234" t="s">
        <v>3129</v>
      </c>
      <c r="T1123" s="236">
        <v>45952</v>
      </c>
    </row>
    <row r="1124" spans="1:20" ht="38.25" hidden="1">
      <c r="A1124" s="239" t="s">
        <v>3130</v>
      </c>
      <c r="B1124" s="240">
        <v>2548</v>
      </c>
      <c r="C1124" s="241">
        <v>10351</v>
      </c>
      <c r="D1124" s="239" t="s">
        <v>2511</v>
      </c>
      <c r="E1124" s="239" t="s">
        <v>453</v>
      </c>
      <c r="F1124" s="239" t="s">
        <v>454</v>
      </c>
      <c r="G1124" s="239" t="s">
        <v>932</v>
      </c>
      <c r="H1124" s="239" t="s">
        <v>51</v>
      </c>
      <c r="I1124" s="239" t="s">
        <v>2512</v>
      </c>
      <c r="J1124" s="233"/>
      <c r="K1124" s="235">
        <v>45951</v>
      </c>
      <c r="L1124" s="233">
        <v>2.6</v>
      </c>
      <c r="M1124" s="234" t="s">
        <v>932</v>
      </c>
      <c r="N1124" s="234">
        <v>65670</v>
      </c>
      <c r="O1124" s="234">
        <v>24580</v>
      </c>
      <c r="P1124" s="242">
        <v>25</v>
      </c>
      <c r="Q1124" s="234">
        <v>41090</v>
      </c>
      <c r="R1124" s="234">
        <v>30817.5</v>
      </c>
      <c r="S1124" s="234" t="s">
        <v>3131</v>
      </c>
      <c r="T1124" s="236">
        <v>45952</v>
      </c>
    </row>
    <row r="1125" spans="1:20" ht="38.25" hidden="1">
      <c r="A1125" s="239" t="s">
        <v>3132</v>
      </c>
      <c r="B1125" s="240">
        <v>2550</v>
      </c>
      <c r="C1125" s="241">
        <v>10364</v>
      </c>
      <c r="D1125" s="239" t="s">
        <v>2511</v>
      </c>
      <c r="E1125" s="239" t="s">
        <v>2793</v>
      </c>
      <c r="F1125" s="239" t="s">
        <v>2794</v>
      </c>
      <c r="G1125" s="239" t="s">
        <v>932</v>
      </c>
      <c r="H1125" s="239" t="s">
        <v>51</v>
      </c>
      <c r="I1125" s="239" t="s">
        <v>2512</v>
      </c>
      <c r="J1125" s="233"/>
      <c r="K1125" s="235">
        <v>45951</v>
      </c>
      <c r="L1125" s="233">
        <v>1.9</v>
      </c>
      <c r="M1125" s="234" t="s">
        <v>932</v>
      </c>
      <c r="N1125" s="234">
        <v>47450</v>
      </c>
      <c r="O1125" s="234">
        <v>17540</v>
      </c>
      <c r="P1125" s="242">
        <v>18</v>
      </c>
      <c r="Q1125" s="234">
        <v>29910</v>
      </c>
      <c r="R1125" s="234">
        <v>24526.2</v>
      </c>
      <c r="S1125" s="234" t="s">
        <v>3153</v>
      </c>
      <c r="T1125" s="236">
        <v>45952</v>
      </c>
    </row>
    <row r="1126" spans="1:20" ht="38.25" hidden="1">
      <c r="A1126" s="239" t="s">
        <v>3152</v>
      </c>
      <c r="B1126" s="240">
        <v>2534</v>
      </c>
      <c r="C1126" s="241">
        <v>2</v>
      </c>
      <c r="D1126" s="239" t="s">
        <v>2482</v>
      </c>
      <c r="E1126" s="239" t="s">
        <v>388</v>
      </c>
      <c r="F1126" s="239" t="s">
        <v>389</v>
      </c>
      <c r="G1126" s="239" t="s">
        <v>960</v>
      </c>
      <c r="H1126" s="239" t="s">
        <v>42</v>
      </c>
      <c r="I1126" s="239" t="s">
        <v>2465</v>
      </c>
      <c r="J1126" s="233">
        <f>Таблица24[[#This Row],[Вес нетто]]</f>
        <v>6050</v>
      </c>
      <c r="K1126" s="235">
        <v>45953</v>
      </c>
      <c r="L1126" s="233">
        <v>0.1</v>
      </c>
      <c r="M1126" s="234" t="s">
        <v>2709</v>
      </c>
      <c r="N1126" s="234">
        <v>27570</v>
      </c>
      <c r="O1126" s="234">
        <v>21520</v>
      </c>
      <c r="P1126" s="242">
        <v>12</v>
      </c>
      <c r="Q1126" s="234">
        <v>6050</v>
      </c>
      <c r="R1126" s="234">
        <v>5324</v>
      </c>
      <c r="S1126" s="234" t="s">
        <v>3154</v>
      </c>
      <c r="T1126" s="236">
        <v>45951</v>
      </c>
    </row>
    <row r="1127" spans="1:20" ht="38.25" hidden="1">
      <c r="A1127" s="239" t="s">
        <v>3133</v>
      </c>
      <c r="B1127" s="240">
        <v>2551</v>
      </c>
      <c r="C1127" s="241">
        <v>10361</v>
      </c>
      <c r="D1127" s="239" t="s">
        <v>2511</v>
      </c>
      <c r="E1127" s="239" t="s">
        <v>425</v>
      </c>
      <c r="F1127" s="239" t="s">
        <v>426</v>
      </c>
      <c r="G1127" s="239" t="s">
        <v>932</v>
      </c>
      <c r="H1127" s="239" t="s">
        <v>51</v>
      </c>
      <c r="I1127" s="239" t="s">
        <v>2512</v>
      </c>
      <c r="J1127" s="233"/>
      <c r="K1127" s="235">
        <v>45951</v>
      </c>
      <c r="L1127" s="233">
        <v>2</v>
      </c>
      <c r="M1127" s="234" t="s">
        <v>932</v>
      </c>
      <c r="N1127" s="234">
        <v>51140</v>
      </c>
      <c r="O1127" s="234">
        <v>18760</v>
      </c>
      <c r="P1127" s="242">
        <v>12</v>
      </c>
      <c r="Q1127" s="234">
        <v>32380</v>
      </c>
      <c r="R1127" s="234">
        <v>28494.400000000001</v>
      </c>
      <c r="S1127" s="234" t="s">
        <v>3155</v>
      </c>
      <c r="T1127" s="236">
        <v>45952</v>
      </c>
    </row>
    <row r="1128" spans="1:20" ht="38.25" hidden="1">
      <c r="A1128" s="239" t="s">
        <v>3134</v>
      </c>
      <c r="B1128" s="240">
        <v>2554</v>
      </c>
      <c r="C1128" s="241">
        <v>10401</v>
      </c>
      <c r="D1128" s="239" t="s">
        <v>2511</v>
      </c>
      <c r="E1128" s="239" t="s">
        <v>388</v>
      </c>
      <c r="F1128" s="239" t="s">
        <v>389</v>
      </c>
      <c r="G1128" s="239" t="s">
        <v>932</v>
      </c>
      <c r="H1128" s="239" t="s">
        <v>51</v>
      </c>
      <c r="I1128" s="239" t="s">
        <v>2512</v>
      </c>
      <c r="J1128" s="233"/>
      <c r="K1128" s="235">
        <v>45952</v>
      </c>
      <c r="L1128" s="233">
        <v>2.6</v>
      </c>
      <c r="M1128" s="234" t="s">
        <v>932</v>
      </c>
      <c r="N1128" s="234">
        <v>62070</v>
      </c>
      <c r="O1128" s="234">
        <v>21360</v>
      </c>
      <c r="P1128" s="242">
        <v>7</v>
      </c>
      <c r="Q1128" s="234">
        <v>40710</v>
      </c>
      <c r="R1128" s="234">
        <v>37860.300000000003</v>
      </c>
      <c r="S1128" s="234" t="s">
        <v>3156</v>
      </c>
      <c r="T1128" s="236">
        <v>45952</v>
      </c>
    </row>
    <row r="1129" spans="1:20" ht="38.25" hidden="1">
      <c r="A1129" s="239" t="s">
        <v>3135</v>
      </c>
      <c r="B1129" s="240">
        <v>2555</v>
      </c>
      <c r="C1129" s="241">
        <v>10384</v>
      </c>
      <c r="D1129" s="239" t="s">
        <v>2511</v>
      </c>
      <c r="E1129" s="239" t="s">
        <v>429</v>
      </c>
      <c r="F1129" s="239" t="s">
        <v>430</v>
      </c>
      <c r="G1129" s="239" t="s">
        <v>932</v>
      </c>
      <c r="H1129" s="239" t="s">
        <v>51</v>
      </c>
      <c r="I1129" s="239" t="s">
        <v>2512</v>
      </c>
      <c r="J1129" s="233"/>
      <c r="K1129" s="235">
        <v>45952</v>
      </c>
      <c r="L1129" s="233">
        <v>1.7</v>
      </c>
      <c r="M1129" s="234" t="s">
        <v>932</v>
      </c>
      <c r="N1129" s="234">
        <v>42030</v>
      </c>
      <c r="O1129" s="234">
        <v>14450</v>
      </c>
      <c r="P1129" s="242">
        <v>19</v>
      </c>
      <c r="Q1129" s="234">
        <v>27580</v>
      </c>
      <c r="R1129" s="234">
        <v>22339.8</v>
      </c>
      <c r="S1129" s="234" t="s">
        <v>3157</v>
      </c>
      <c r="T1129" s="236">
        <v>45952</v>
      </c>
    </row>
    <row r="1130" spans="1:20" ht="51" hidden="1">
      <c r="A1130" s="239" t="s">
        <v>3136</v>
      </c>
      <c r="B1130" s="240">
        <v>2556</v>
      </c>
      <c r="C1130" s="241">
        <v>1</v>
      </c>
      <c r="D1130" s="239" t="s">
        <v>2482</v>
      </c>
      <c r="E1130" s="239" t="s">
        <v>382</v>
      </c>
      <c r="F1130" s="239" t="s">
        <v>383</v>
      </c>
      <c r="G1130" s="239" t="s">
        <v>960</v>
      </c>
      <c r="H1130" s="239" t="s">
        <v>51</v>
      </c>
      <c r="I1130" s="239" t="s">
        <v>2465</v>
      </c>
      <c r="J1130" s="233">
        <f>Таблица24[[#This Row],[Вес нетто]]</f>
        <v>23670</v>
      </c>
      <c r="K1130" s="235">
        <v>45952</v>
      </c>
      <c r="L1130" s="233">
        <v>2.8</v>
      </c>
      <c r="M1130" s="234" t="s">
        <v>2709</v>
      </c>
      <c r="N1130" s="234">
        <v>38420</v>
      </c>
      <c r="O1130" s="234">
        <v>14750</v>
      </c>
      <c r="P1130" s="242">
        <v>13</v>
      </c>
      <c r="Q1130" s="234">
        <v>23670</v>
      </c>
      <c r="R1130" s="234">
        <v>20592.900000000001</v>
      </c>
      <c r="S1130" s="234" t="s">
        <v>3158</v>
      </c>
      <c r="T1130" s="236">
        <v>45952</v>
      </c>
    </row>
    <row r="1131" spans="1:20" ht="51" hidden="1">
      <c r="A1131" s="239" t="s">
        <v>3137</v>
      </c>
      <c r="B1131" s="240">
        <v>2557</v>
      </c>
      <c r="C1131" s="241">
        <v>10371</v>
      </c>
      <c r="D1131" s="239" t="s">
        <v>2511</v>
      </c>
      <c r="E1131" s="239" t="s">
        <v>475</v>
      </c>
      <c r="F1131" s="239" t="s">
        <v>476</v>
      </c>
      <c r="G1131" s="239" t="s">
        <v>932</v>
      </c>
      <c r="H1131" s="239" t="s">
        <v>51</v>
      </c>
      <c r="I1131" s="239" t="s">
        <v>2512</v>
      </c>
      <c r="J1131" s="233"/>
      <c r="K1131" s="235">
        <v>45952</v>
      </c>
      <c r="L1131" s="233">
        <v>1.5</v>
      </c>
      <c r="M1131" s="234" t="s">
        <v>932</v>
      </c>
      <c r="N1131" s="234">
        <v>40550</v>
      </c>
      <c r="O1131" s="234">
        <v>16210</v>
      </c>
      <c r="P1131" s="242">
        <v>11</v>
      </c>
      <c r="Q1131" s="234">
        <v>24340</v>
      </c>
      <c r="R1131" s="234">
        <v>21662.6</v>
      </c>
      <c r="S1131" s="234" t="s">
        <v>3159</v>
      </c>
      <c r="T1131" s="236">
        <v>45952</v>
      </c>
    </row>
    <row r="1132" spans="1:20" ht="38.25" hidden="1">
      <c r="A1132" s="239" t="s">
        <v>3138</v>
      </c>
      <c r="B1132" s="240">
        <v>2558</v>
      </c>
      <c r="C1132" s="241">
        <v>2</v>
      </c>
      <c r="D1132" s="239" t="s">
        <v>2482</v>
      </c>
      <c r="E1132" s="239" t="s">
        <v>400</v>
      </c>
      <c r="F1132" s="239" t="s">
        <v>401</v>
      </c>
      <c r="G1132" s="239" t="s">
        <v>958</v>
      </c>
      <c r="H1132" s="239" t="s">
        <v>51</v>
      </c>
      <c r="I1132" s="239" t="s">
        <v>2465</v>
      </c>
      <c r="J1132" s="233">
        <f>Таблица24[[#This Row],[Вес нетто]]</f>
        <v>24990</v>
      </c>
      <c r="K1132" s="235">
        <v>45952</v>
      </c>
      <c r="L1132" s="233">
        <v>3</v>
      </c>
      <c r="M1132" s="234" t="s">
        <v>2709</v>
      </c>
      <c r="N1132" s="234">
        <v>39860</v>
      </c>
      <c r="O1132" s="234">
        <v>14870</v>
      </c>
      <c r="P1132" s="242">
        <v>15</v>
      </c>
      <c r="Q1132" s="234">
        <v>24990</v>
      </c>
      <c r="R1132" s="234">
        <v>21241.5</v>
      </c>
      <c r="S1132" s="234" t="s">
        <v>3160</v>
      </c>
      <c r="T1132" s="236">
        <v>45952</v>
      </c>
    </row>
    <row r="1133" spans="1:20" ht="38.25" hidden="1">
      <c r="A1133" s="239" t="s">
        <v>3142</v>
      </c>
      <c r="B1133" s="240">
        <v>2559</v>
      </c>
      <c r="C1133" s="241">
        <v>3</v>
      </c>
      <c r="D1133" s="239" t="s">
        <v>2482</v>
      </c>
      <c r="E1133" s="239" t="s">
        <v>384</v>
      </c>
      <c r="F1133" s="239" t="s">
        <v>385</v>
      </c>
      <c r="G1133" s="239" t="s">
        <v>958</v>
      </c>
      <c r="H1133" s="239" t="s">
        <v>51</v>
      </c>
      <c r="I1133" s="239" t="s">
        <v>2465</v>
      </c>
      <c r="J1133" s="233">
        <f>Таблица24[[#This Row],[Вес нетто]]</f>
        <v>22510</v>
      </c>
      <c r="K1133" s="235">
        <v>45952</v>
      </c>
      <c r="L1133" s="233">
        <v>2.7</v>
      </c>
      <c r="M1133" s="234" t="s">
        <v>2709</v>
      </c>
      <c r="N1133" s="234">
        <v>36500</v>
      </c>
      <c r="O1133" s="234">
        <v>13990</v>
      </c>
      <c r="P1133" s="242">
        <v>12</v>
      </c>
      <c r="Q1133" s="234">
        <v>22510</v>
      </c>
      <c r="R1133" s="234">
        <v>19808.8</v>
      </c>
      <c r="S1133" s="234" t="s">
        <v>3164</v>
      </c>
      <c r="T1133" s="236">
        <v>45952</v>
      </c>
    </row>
    <row r="1134" spans="1:20" ht="38.25" hidden="1">
      <c r="A1134" s="239" t="s">
        <v>3144</v>
      </c>
      <c r="B1134" s="240">
        <v>2560</v>
      </c>
      <c r="C1134" s="241">
        <v>10387</v>
      </c>
      <c r="D1134" s="239" t="s">
        <v>2511</v>
      </c>
      <c r="E1134" s="239" t="s">
        <v>858</v>
      </c>
      <c r="F1134" s="239" t="s">
        <v>859</v>
      </c>
      <c r="G1134" s="239" t="s">
        <v>932</v>
      </c>
      <c r="H1134" s="239" t="s">
        <v>51</v>
      </c>
      <c r="I1134" s="239" t="s">
        <v>2512</v>
      </c>
      <c r="J1134" s="233"/>
      <c r="K1134" s="235">
        <v>45952</v>
      </c>
      <c r="L1134" s="233">
        <v>1.8</v>
      </c>
      <c r="M1134" s="234" t="s">
        <v>932</v>
      </c>
      <c r="N1134" s="234">
        <v>43350</v>
      </c>
      <c r="O1134" s="234">
        <v>14990</v>
      </c>
      <c r="P1134" s="242">
        <v>16</v>
      </c>
      <c r="Q1134" s="234">
        <v>28360</v>
      </c>
      <c r="R1134" s="234">
        <v>23822.400000000001</v>
      </c>
      <c r="S1134" s="234" t="s">
        <v>3166</v>
      </c>
      <c r="T1134" s="236">
        <v>45952</v>
      </c>
    </row>
    <row r="1135" spans="1:20" ht="38.25" hidden="1">
      <c r="A1135" s="239" t="s">
        <v>3139</v>
      </c>
      <c r="B1135" s="240">
        <v>2562</v>
      </c>
      <c r="C1135" s="241">
        <v>10386</v>
      </c>
      <c r="D1135" s="239" t="s">
        <v>2511</v>
      </c>
      <c r="E1135" s="239" t="s">
        <v>447</v>
      </c>
      <c r="F1135" s="239" t="s">
        <v>448</v>
      </c>
      <c r="G1135" s="239" t="s">
        <v>932</v>
      </c>
      <c r="H1135" s="239" t="s">
        <v>51</v>
      </c>
      <c r="I1135" s="239" t="s">
        <v>2512</v>
      </c>
      <c r="J1135" s="233"/>
      <c r="K1135" s="235">
        <v>45952</v>
      </c>
      <c r="L1135" s="233">
        <v>2.1</v>
      </c>
      <c r="M1135" s="234" t="s">
        <v>932</v>
      </c>
      <c r="N1135" s="234">
        <v>52800</v>
      </c>
      <c r="O1135" s="234">
        <v>19540</v>
      </c>
      <c r="P1135" s="242">
        <v>5</v>
      </c>
      <c r="Q1135" s="234">
        <v>33260</v>
      </c>
      <c r="R1135" s="234">
        <v>31597</v>
      </c>
      <c r="S1135" s="234" t="s">
        <v>3161</v>
      </c>
      <c r="T1135" s="236">
        <v>45952</v>
      </c>
    </row>
    <row r="1136" spans="1:20" ht="38.25" hidden="1">
      <c r="A1136" s="239" t="s">
        <v>3140</v>
      </c>
      <c r="B1136" s="240">
        <v>2563</v>
      </c>
      <c r="C1136" s="241">
        <v>10388</v>
      </c>
      <c r="D1136" s="239" t="s">
        <v>2511</v>
      </c>
      <c r="E1136" s="239" t="s">
        <v>392</v>
      </c>
      <c r="F1136" s="239" t="s">
        <v>393</v>
      </c>
      <c r="G1136" s="239" t="s">
        <v>932</v>
      </c>
      <c r="H1136" s="239" t="s">
        <v>51</v>
      </c>
      <c r="I1136" s="239" t="s">
        <v>2512</v>
      </c>
      <c r="J1136" s="233"/>
      <c r="K1136" s="235">
        <v>45952</v>
      </c>
      <c r="L1136" s="233">
        <v>2.5</v>
      </c>
      <c r="M1136" s="234" t="s">
        <v>932</v>
      </c>
      <c r="N1136" s="234">
        <v>64590</v>
      </c>
      <c r="O1136" s="234">
        <v>24190</v>
      </c>
      <c r="P1136" s="242">
        <v>5</v>
      </c>
      <c r="Q1136" s="234">
        <v>40400</v>
      </c>
      <c r="R1136" s="234">
        <v>38380</v>
      </c>
      <c r="S1136" s="234" t="s">
        <v>3162</v>
      </c>
      <c r="T1136" s="236">
        <v>45952</v>
      </c>
    </row>
    <row r="1137" spans="1:20" ht="38.25" hidden="1">
      <c r="A1137" s="239" t="s">
        <v>3141</v>
      </c>
      <c r="B1137" s="240">
        <v>2564</v>
      </c>
      <c r="C1137" s="241">
        <v>10389</v>
      </c>
      <c r="D1137" s="239" t="s">
        <v>2511</v>
      </c>
      <c r="E1137" s="239" t="s">
        <v>390</v>
      </c>
      <c r="F1137" s="239" t="s">
        <v>391</v>
      </c>
      <c r="G1137" s="239" t="s">
        <v>932</v>
      </c>
      <c r="H1137" s="239" t="s">
        <v>51</v>
      </c>
      <c r="I1137" s="239" t="s">
        <v>2512</v>
      </c>
      <c r="J1137" s="233"/>
      <c r="K1137" s="235">
        <v>45952</v>
      </c>
      <c r="L1137" s="233">
        <v>1.5</v>
      </c>
      <c r="M1137" s="234" t="s">
        <v>932</v>
      </c>
      <c r="N1137" s="234">
        <v>38780</v>
      </c>
      <c r="O1137" s="234">
        <v>15030</v>
      </c>
      <c r="P1137" s="242">
        <v>13</v>
      </c>
      <c r="Q1137" s="234">
        <v>23750</v>
      </c>
      <c r="R1137" s="234">
        <v>20662.5</v>
      </c>
      <c r="S1137" s="234" t="s">
        <v>3163</v>
      </c>
      <c r="T1137" s="236">
        <v>45952</v>
      </c>
    </row>
    <row r="1138" spans="1:20" ht="38.25" hidden="1">
      <c r="A1138" s="239" t="s">
        <v>3143</v>
      </c>
      <c r="B1138" s="240">
        <v>2565</v>
      </c>
      <c r="C1138" s="241">
        <v>4</v>
      </c>
      <c r="D1138" s="239" t="s">
        <v>2482</v>
      </c>
      <c r="E1138" s="239" t="s">
        <v>780</v>
      </c>
      <c r="F1138" s="239" t="s">
        <v>781</v>
      </c>
      <c r="G1138" s="239" t="s">
        <v>958</v>
      </c>
      <c r="H1138" s="239" t="s">
        <v>51</v>
      </c>
      <c r="I1138" s="239" t="s">
        <v>2465</v>
      </c>
      <c r="J1138" s="233">
        <f>Таблица24[[#This Row],[Вес нетто]]</f>
        <v>21900</v>
      </c>
      <c r="K1138" s="235">
        <v>45952</v>
      </c>
      <c r="L1138" s="233">
        <v>2.6</v>
      </c>
      <c r="M1138" s="234" t="s">
        <v>2709</v>
      </c>
      <c r="N1138" s="234">
        <v>36950</v>
      </c>
      <c r="O1138" s="234">
        <v>15050</v>
      </c>
      <c r="P1138" s="242">
        <v>22</v>
      </c>
      <c r="Q1138" s="234">
        <v>21900</v>
      </c>
      <c r="R1138" s="234">
        <v>17082</v>
      </c>
      <c r="S1138" s="234" t="s">
        <v>3165</v>
      </c>
      <c r="T1138" s="236">
        <v>45952</v>
      </c>
    </row>
    <row r="1139" spans="1:20" ht="38.25" hidden="1">
      <c r="A1139" s="239" t="s">
        <v>3145</v>
      </c>
      <c r="B1139" s="240">
        <v>2566</v>
      </c>
      <c r="C1139" s="241">
        <v>5</v>
      </c>
      <c r="D1139" s="239" t="s">
        <v>2482</v>
      </c>
      <c r="E1139" s="239" t="s">
        <v>442</v>
      </c>
      <c r="F1139" s="239" t="s">
        <v>443</v>
      </c>
      <c r="G1139" s="239" t="s">
        <v>958</v>
      </c>
      <c r="H1139" s="239" t="s">
        <v>51</v>
      </c>
      <c r="I1139" s="239" t="s">
        <v>2465</v>
      </c>
      <c r="J1139" s="233">
        <v>21420</v>
      </c>
      <c r="K1139" s="235">
        <v>45952</v>
      </c>
      <c r="L1139" s="233">
        <v>2.6</v>
      </c>
      <c r="M1139" s="234" t="s">
        <v>2709</v>
      </c>
      <c r="N1139" s="234">
        <v>36060</v>
      </c>
      <c r="O1139" s="234">
        <v>14640</v>
      </c>
      <c r="P1139" s="242">
        <v>29</v>
      </c>
      <c r="Q1139" s="234">
        <v>21420</v>
      </c>
      <c r="R1139" s="234">
        <v>15208.2</v>
      </c>
      <c r="S1139" s="234" t="s">
        <v>3167</v>
      </c>
      <c r="T1139" s="236">
        <v>45953</v>
      </c>
    </row>
    <row r="1140" spans="1:20" ht="38.25" hidden="1">
      <c r="A1140" s="239" t="s">
        <v>3146</v>
      </c>
      <c r="B1140" s="240">
        <v>2567</v>
      </c>
      <c r="C1140" s="241">
        <v>10390</v>
      </c>
      <c r="D1140" s="239" t="s">
        <v>2511</v>
      </c>
      <c r="E1140" s="239" t="s">
        <v>866</v>
      </c>
      <c r="F1140" s="239" t="s">
        <v>867</v>
      </c>
      <c r="G1140" s="239" t="s">
        <v>932</v>
      </c>
      <c r="H1140" s="239" t="s">
        <v>51</v>
      </c>
      <c r="I1140" s="239" t="s">
        <v>2512</v>
      </c>
      <c r="J1140" s="233"/>
      <c r="K1140" s="235">
        <v>45952</v>
      </c>
      <c r="L1140" s="233">
        <v>1.5</v>
      </c>
      <c r="M1140" s="234" t="s">
        <v>932</v>
      </c>
      <c r="N1140" s="234">
        <v>38200</v>
      </c>
      <c r="O1140" s="234">
        <v>14520</v>
      </c>
      <c r="P1140" s="242">
        <v>6</v>
      </c>
      <c r="Q1140" s="234">
        <v>23680</v>
      </c>
      <c r="R1140" s="234">
        <v>22259.200000000001</v>
      </c>
      <c r="S1140" s="234" t="s">
        <v>3168</v>
      </c>
      <c r="T1140" s="236">
        <v>45953</v>
      </c>
    </row>
    <row r="1141" spans="1:20" ht="51" hidden="1">
      <c r="A1141" s="239" t="s">
        <v>3147</v>
      </c>
      <c r="B1141" s="240">
        <v>2568</v>
      </c>
      <c r="C1141" s="241">
        <v>10391</v>
      </c>
      <c r="D1141" s="239" t="s">
        <v>2511</v>
      </c>
      <c r="E1141" s="239" t="s">
        <v>369</v>
      </c>
      <c r="F1141" s="239" t="s">
        <v>370</v>
      </c>
      <c r="G1141" s="239" t="s">
        <v>932</v>
      </c>
      <c r="H1141" s="239" t="s">
        <v>51</v>
      </c>
      <c r="I1141" s="239" t="s">
        <v>2512</v>
      </c>
      <c r="J1141" s="233"/>
      <c r="K1141" s="235">
        <v>45952</v>
      </c>
      <c r="L1141" s="233">
        <v>1.5</v>
      </c>
      <c r="M1141" s="234" t="s">
        <v>932</v>
      </c>
      <c r="N1141" s="234">
        <v>38670</v>
      </c>
      <c r="O1141" s="234">
        <v>15160</v>
      </c>
      <c r="P1141" s="242">
        <v>14</v>
      </c>
      <c r="Q1141" s="234">
        <v>23510</v>
      </c>
      <c r="R1141" s="234">
        <v>20218.599999999999</v>
      </c>
      <c r="S1141" s="234" t="s">
        <v>3169</v>
      </c>
      <c r="T1141" s="236">
        <v>45953</v>
      </c>
    </row>
    <row r="1142" spans="1:20" ht="38.25" hidden="1">
      <c r="A1142" s="239" t="s">
        <v>3148</v>
      </c>
      <c r="B1142" s="240">
        <v>2569</v>
      </c>
      <c r="C1142" s="241">
        <v>6</v>
      </c>
      <c r="D1142" s="239" t="s">
        <v>2482</v>
      </c>
      <c r="E1142" s="239" t="s">
        <v>453</v>
      </c>
      <c r="F1142" s="239" t="s">
        <v>454</v>
      </c>
      <c r="G1142" s="239" t="s">
        <v>962</v>
      </c>
      <c r="H1142" s="239" t="s">
        <v>51</v>
      </c>
      <c r="I1142" s="239" t="s">
        <v>2465</v>
      </c>
      <c r="J1142" s="233">
        <f>Таблица24[[#This Row],[Вес нетто]]</f>
        <v>41190</v>
      </c>
      <c r="K1142" s="235">
        <v>45952</v>
      </c>
      <c r="L1142" s="233">
        <v>4.9000000000000004</v>
      </c>
      <c r="M1142" s="234" t="s">
        <v>2709</v>
      </c>
      <c r="N1142" s="234">
        <v>65700</v>
      </c>
      <c r="O1142" s="234">
        <v>24510</v>
      </c>
      <c r="P1142" s="242">
        <v>16</v>
      </c>
      <c r="Q1142" s="234">
        <v>41190</v>
      </c>
      <c r="R1142" s="234">
        <v>34599.599999999999</v>
      </c>
      <c r="S1142" s="234" t="s">
        <v>3170</v>
      </c>
      <c r="T1142" s="236">
        <v>45953</v>
      </c>
    </row>
    <row r="1143" spans="1:20" ht="51" hidden="1">
      <c r="A1143" s="239" t="s">
        <v>3149</v>
      </c>
      <c r="B1143" s="240">
        <v>2570</v>
      </c>
      <c r="C1143" s="241">
        <v>10392</v>
      </c>
      <c r="D1143" s="239" t="s">
        <v>2511</v>
      </c>
      <c r="E1143" s="239" t="s">
        <v>1410</v>
      </c>
      <c r="F1143" s="239" t="s">
        <v>437</v>
      </c>
      <c r="G1143" s="239" t="s">
        <v>932</v>
      </c>
      <c r="H1143" s="239" t="s">
        <v>51</v>
      </c>
      <c r="I1143" s="239" t="s">
        <v>2512</v>
      </c>
      <c r="J1143" s="233"/>
      <c r="K1143" s="235">
        <v>45952</v>
      </c>
      <c r="L1143" s="233">
        <v>1.6</v>
      </c>
      <c r="M1143" s="234" t="s">
        <v>932</v>
      </c>
      <c r="N1143" s="234">
        <v>40890</v>
      </c>
      <c r="O1143" s="234">
        <v>14910</v>
      </c>
      <c r="P1143" s="242">
        <v>5</v>
      </c>
      <c r="Q1143" s="234">
        <v>25980</v>
      </c>
      <c r="R1143" s="234">
        <v>24681</v>
      </c>
      <c r="S1143" s="234" t="s">
        <v>3171</v>
      </c>
      <c r="T1143" s="236">
        <v>45953</v>
      </c>
    </row>
    <row r="1144" spans="1:20" ht="38.25" hidden="1">
      <c r="A1144" s="239" t="s">
        <v>3150</v>
      </c>
      <c r="B1144" s="240">
        <v>2571</v>
      </c>
      <c r="C1144" s="241">
        <v>10393</v>
      </c>
      <c r="D1144" s="239" t="s">
        <v>2511</v>
      </c>
      <c r="E1144" s="239" t="s">
        <v>439</v>
      </c>
      <c r="F1144" s="239" t="s">
        <v>440</v>
      </c>
      <c r="G1144" s="239" t="s">
        <v>932</v>
      </c>
      <c r="H1144" s="239" t="s">
        <v>51</v>
      </c>
      <c r="I1144" s="239" t="s">
        <v>2512</v>
      </c>
      <c r="J1144" s="233"/>
      <c r="K1144" s="235">
        <v>45952</v>
      </c>
      <c r="L1144" s="233">
        <v>1.8</v>
      </c>
      <c r="M1144" s="234" t="s">
        <v>932</v>
      </c>
      <c r="N1144" s="234">
        <v>43700</v>
      </c>
      <c r="O1144" s="234">
        <v>15110</v>
      </c>
      <c r="P1144" s="242">
        <v>9</v>
      </c>
      <c r="Q1144" s="234">
        <v>28590</v>
      </c>
      <c r="R1144" s="234">
        <v>26016.9</v>
      </c>
      <c r="S1144" s="234" t="s">
        <v>3172</v>
      </c>
      <c r="T1144" s="236">
        <v>45953</v>
      </c>
    </row>
    <row r="1145" spans="1:20" ht="38.25" hidden="1">
      <c r="A1145" s="239" t="s">
        <v>3151</v>
      </c>
      <c r="B1145" s="240">
        <v>2572</v>
      </c>
      <c r="C1145" s="241">
        <v>10394</v>
      </c>
      <c r="D1145" s="239" t="s">
        <v>2511</v>
      </c>
      <c r="E1145" s="239" t="s">
        <v>413</v>
      </c>
      <c r="F1145" s="239" t="s">
        <v>414</v>
      </c>
      <c r="G1145" s="239" t="s">
        <v>932</v>
      </c>
      <c r="H1145" s="239" t="s">
        <v>51</v>
      </c>
      <c r="I1145" s="239" t="s">
        <v>2512</v>
      </c>
      <c r="J1145" s="233"/>
      <c r="K1145" s="235">
        <v>45952</v>
      </c>
      <c r="L1145" s="233">
        <v>1.8</v>
      </c>
      <c r="M1145" s="234" t="s">
        <v>932</v>
      </c>
      <c r="N1145" s="234">
        <v>44290</v>
      </c>
      <c r="O1145" s="234">
        <v>15070</v>
      </c>
      <c r="P1145" s="242">
        <v>10</v>
      </c>
      <c r="Q1145" s="234">
        <v>29220</v>
      </c>
      <c r="R1145" s="234">
        <v>26298</v>
      </c>
      <c r="S1145" s="234" t="s">
        <v>3173</v>
      </c>
      <c r="T1145" s="236">
        <v>45953</v>
      </c>
    </row>
    <row r="1146" spans="1:20" ht="38.25" hidden="1">
      <c r="A1146" s="239" t="s">
        <v>3183</v>
      </c>
      <c r="B1146" s="240">
        <v>2573</v>
      </c>
      <c r="C1146" s="241">
        <v>10395</v>
      </c>
      <c r="D1146" s="239" t="s">
        <v>2511</v>
      </c>
      <c r="E1146" s="239" t="s">
        <v>410</v>
      </c>
      <c r="F1146" s="239" t="s">
        <v>411</v>
      </c>
      <c r="G1146" s="239" t="s">
        <v>932</v>
      </c>
      <c r="H1146" s="239" t="s">
        <v>51</v>
      </c>
      <c r="I1146" s="239" t="s">
        <v>2512</v>
      </c>
      <c r="J1146" s="233"/>
      <c r="K1146" s="235">
        <v>45952</v>
      </c>
      <c r="L1146" s="233">
        <v>1.6</v>
      </c>
      <c r="M1146" s="234" t="s">
        <v>932</v>
      </c>
      <c r="N1146" s="234">
        <v>39800</v>
      </c>
      <c r="O1146" s="234">
        <v>15050</v>
      </c>
      <c r="P1146" s="242">
        <v>12</v>
      </c>
      <c r="Q1146" s="234">
        <v>24750</v>
      </c>
      <c r="R1146" s="234">
        <v>21780</v>
      </c>
      <c r="S1146" s="234" t="s">
        <v>3254</v>
      </c>
      <c r="T1146" s="236">
        <v>45953</v>
      </c>
    </row>
    <row r="1147" spans="1:20" ht="51" hidden="1">
      <c r="A1147" s="239" t="s">
        <v>3175</v>
      </c>
      <c r="B1147" s="240">
        <v>2575</v>
      </c>
      <c r="C1147" s="241">
        <v>11</v>
      </c>
      <c r="D1147" s="239" t="s">
        <v>2482</v>
      </c>
      <c r="E1147" s="239" t="s">
        <v>382</v>
      </c>
      <c r="F1147" s="239" t="s">
        <v>383</v>
      </c>
      <c r="G1147" s="239" t="s">
        <v>962</v>
      </c>
      <c r="H1147" s="239" t="s">
        <v>42</v>
      </c>
      <c r="I1147" s="239" t="s">
        <v>2465</v>
      </c>
      <c r="J1147" s="233">
        <f>Таблица24[[#This Row],[Вес нетто]]</f>
        <v>14610</v>
      </c>
      <c r="K1147" s="235">
        <v>45953</v>
      </c>
      <c r="L1147" s="233">
        <v>0.4</v>
      </c>
      <c r="M1147" s="234" t="s">
        <v>2709</v>
      </c>
      <c r="N1147" s="234">
        <v>29340</v>
      </c>
      <c r="O1147" s="234">
        <v>14730</v>
      </c>
      <c r="P1147" s="242">
        <v>9</v>
      </c>
      <c r="Q1147" s="234">
        <v>14610</v>
      </c>
      <c r="R1147" s="234">
        <v>13295.1</v>
      </c>
      <c r="S1147" s="234" t="s">
        <v>3179</v>
      </c>
      <c r="T1147" s="236">
        <v>45953</v>
      </c>
    </row>
    <row r="1148" spans="1:20" ht="38.25" hidden="1">
      <c r="A1148" s="239" t="s">
        <v>3184</v>
      </c>
      <c r="B1148" s="240">
        <v>2576</v>
      </c>
      <c r="C1148" s="241">
        <v>10396</v>
      </c>
      <c r="D1148" s="239" t="s">
        <v>2511</v>
      </c>
      <c r="E1148" s="239" t="s">
        <v>432</v>
      </c>
      <c r="F1148" s="239" t="s">
        <v>433</v>
      </c>
      <c r="G1148" s="239" t="s">
        <v>932</v>
      </c>
      <c r="H1148" s="239" t="s">
        <v>51</v>
      </c>
      <c r="I1148" s="239" t="s">
        <v>2512</v>
      </c>
      <c r="J1148" s="233"/>
      <c r="K1148" s="235">
        <v>45952</v>
      </c>
      <c r="L1148" s="233">
        <v>1.8</v>
      </c>
      <c r="M1148" s="234" t="s">
        <v>932</v>
      </c>
      <c r="N1148" s="234">
        <v>44690</v>
      </c>
      <c r="O1148" s="234">
        <v>15780</v>
      </c>
      <c r="P1148" s="242">
        <v>12</v>
      </c>
      <c r="Q1148" s="234">
        <v>28910</v>
      </c>
      <c r="R1148" s="234">
        <v>25440.799999999999</v>
      </c>
      <c r="S1148" s="234" t="s">
        <v>3255</v>
      </c>
      <c r="T1148" s="236">
        <v>45953</v>
      </c>
    </row>
    <row r="1149" spans="1:20" ht="40.5" hidden="1" customHeight="1">
      <c r="A1149" s="239" t="s">
        <v>3187</v>
      </c>
      <c r="B1149" s="240">
        <v>2580</v>
      </c>
      <c r="C1149" s="241">
        <v>10397</v>
      </c>
      <c r="D1149" s="239" t="s">
        <v>2511</v>
      </c>
      <c r="E1149" s="239" t="s">
        <v>403</v>
      </c>
      <c r="F1149" s="239" t="s">
        <v>404</v>
      </c>
      <c r="G1149" s="239" t="s">
        <v>932</v>
      </c>
      <c r="H1149" s="239" t="s">
        <v>51</v>
      </c>
      <c r="I1149" s="239" t="s">
        <v>2512</v>
      </c>
      <c r="J1149" s="233"/>
      <c r="K1149" s="235">
        <v>45953</v>
      </c>
      <c r="L1149" s="233">
        <v>1.6</v>
      </c>
      <c r="M1149" s="234" t="s">
        <v>932</v>
      </c>
      <c r="N1149" s="234">
        <v>39390</v>
      </c>
      <c r="O1149" s="234">
        <v>14580</v>
      </c>
      <c r="P1149" s="242">
        <v>28</v>
      </c>
      <c r="Q1149" s="234">
        <v>24810</v>
      </c>
      <c r="R1149" s="234">
        <v>17863.2</v>
      </c>
      <c r="S1149" s="234" t="s">
        <v>3258</v>
      </c>
      <c r="T1149" s="236">
        <v>45953</v>
      </c>
    </row>
    <row r="1150" spans="1:20" ht="40.5" hidden="1" customHeight="1">
      <c r="A1150" s="239" t="s">
        <v>3188</v>
      </c>
      <c r="B1150" s="240">
        <v>2581</v>
      </c>
      <c r="C1150" s="241">
        <v>10398</v>
      </c>
      <c r="D1150" s="239" t="s">
        <v>2511</v>
      </c>
      <c r="E1150" s="239" t="s">
        <v>406</v>
      </c>
      <c r="F1150" s="239" t="s">
        <v>407</v>
      </c>
      <c r="G1150" s="239" t="s">
        <v>932</v>
      </c>
      <c r="H1150" s="239" t="s">
        <v>51</v>
      </c>
      <c r="I1150" s="239" t="s">
        <v>2512</v>
      </c>
      <c r="J1150" s="233"/>
      <c r="K1150" s="235">
        <v>45953</v>
      </c>
      <c r="L1150" s="233">
        <v>1.5</v>
      </c>
      <c r="M1150" s="234" t="s">
        <v>932</v>
      </c>
      <c r="N1150" s="234">
        <v>39540</v>
      </c>
      <c r="O1150" s="234">
        <v>15120</v>
      </c>
      <c r="P1150" s="242">
        <v>21</v>
      </c>
      <c r="Q1150" s="234">
        <v>24420</v>
      </c>
      <c r="R1150" s="234">
        <v>19291.8</v>
      </c>
      <c r="S1150" s="234" t="s">
        <v>3259</v>
      </c>
      <c r="T1150" s="236">
        <v>45953</v>
      </c>
    </row>
    <row r="1151" spans="1:20" ht="40.5" hidden="1" customHeight="1">
      <c r="A1151" s="239" t="s">
        <v>3198</v>
      </c>
      <c r="B1151" s="240">
        <v>2584</v>
      </c>
      <c r="C1151" s="241">
        <v>10399</v>
      </c>
      <c r="D1151" s="239" t="s">
        <v>2511</v>
      </c>
      <c r="E1151" s="239" t="s">
        <v>416</v>
      </c>
      <c r="F1151" s="239" t="s">
        <v>417</v>
      </c>
      <c r="G1151" s="239" t="s">
        <v>932</v>
      </c>
      <c r="H1151" s="239" t="s">
        <v>51</v>
      </c>
      <c r="I1151" s="239" t="s">
        <v>2512</v>
      </c>
      <c r="J1151" s="233"/>
      <c r="K1151" s="235">
        <v>45953</v>
      </c>
      <c r="L1151" s="233">
        <v>1.5</v>
      </c>
      <c r="M1151" s="234" t="s">
        <v>932</v>
      </c>
      <c r="N1151" s="234">
        <v>38940</v>
      </c>
      <c r="O1151" s="234">
        <v>14770</v>
      </c>
      <c r="P1151" s="242">
        <v>4</v>
      </c>
      <c r="Q1151" s="234">
        <v>24170</v>
      </c>
      <c r="R1151" s="234">
        <v>23203.200000000001</v>
      </c>
      <c r="S1151" s="234" t="s">
        <v>3269</v>
      </c>
      <c r="T1151" s="236">
        <v>45953</v>
      </c>
    </row>
    <row r="1152" spans="1:20" ht="40.5" hidden="1" customHeight="1">
      <c r="A1152" s="239" t="s">
        <v>3199</v>
      </c>
      <c r="B1152" s="240">
        <v>2587</v>
      </c>
      <c r="C1152" s="241">
        <v>10400</v>
      </c>
      <c r="D1152" s="239" t="s">
        <v>2511</v>
      </c>
      <c r="E1152" s="239" t="s">
        <v>420</v>
      </c>
      <c r="F1152" s="239" t="s">
        <v>421</v>
      </c>
      <c r="G1152" s="239" t="s">
        <v>932</v>
      </c>
      <c r="H1152" s="239" t="s">
        <v>51</v>
      </c>
      <c r="I1152" s="239" t="s">
        <v>2512</v>
      </c>
      <c r="J1152" s="233"/>
      <c r="K1152" s="235">
        <v>45953</v>
      </c>
      <c r="L1152" s="233">
        <v>1.5</v>
      </c>
      <c r="M1152" s="234" t="s">
        <v>932</v>
      </c>
      <c r="N1152" s="234">
        <v>38070</v>
      </c>
      <c r="O1152" s="234">
        <v>15030</v>
      </c>
      <c r="P1152" s="242">
        <v>7</v>
      </c>
      <c r="Q1152" s="234">
        <v>23040</v>
      </c>
      <c r="R1152" s="234">
        <v>21427.200000000001</v>
      </c>
      <c r="S1152" s="234" t="s">
        <v>3270</v>
      </c>
      <c r="T1152" s="236">
        <v>45953</v>
      </c>
    </row>
    <row r="1153" spans="1:20" ht="40.5" hidden="1" customHeight="1">
      <c r="A1153" s="239" t="s">
        <v>3176</v>
      </c>
      <c r="B1153" s="240">
        <v>2590</v>
      </c>
      <c r="C1153" s="241">
        <v>9</v>
      </c>
      <c r="D1153" s="239" t="s">
        <v>2482</v>
      </c>
      <c r="E1153" s="239" t="s">
        <v>1403</v>
      </c>
      <c r="F1153" s="239" t="s">
        <v>1404</v>
      </c>
      <c r="G1153" s="239" t="s">
        <v>960</v>
      </c>
      <c r="H1153" s="239" t="s">
        <v>42</v>
      </c>
      <c r="I1153" s="239" t="s">
        <v>2465</v>
      </c>
      <c r="J1153" s="233">
        <f>Таблица24[[#This Row],[Вес нетто]]</f>
        <v>24300</v>
      </c>
      <c r="K1153" s="235">
        <v>45953</v>
      </c>
      <c r="L1153" s="233">
        <v>0.6</v>
      </c>
      <c r="M1153" s="234" t="s">
        <v>2709</v>
      </c>
      <c r="N1153" s="234">
        <v>39370</v>
      </c>
      <c r="O1153" s="234">
        <v>15070</v>
      </c>
      <c r="P1153" s="242">
        <v>24</v>
      </c>
      <c r="Q1153" s="234">
        <v>24300</v>
      </c>
      <c r="R1153" s="234">
        <v>18468</v>
      </c>
      <c r="S1153" s="234" t="s">
        <v>3180</v>
      </c>
      <c r="T1153" s="236">
        <v>45953</v>
      </c>
    </row>
    <row r="1154" spans="1:20" ht="40.5" hidden="1" customHeight="1">
      <c r="A1154" s="239" t="s">
        <v>3177</v>
      </c>
      <c r="B1154" s="240">
        <v>2591</v>
      </c>
      <c r="C1154" s="241">
        <v>8</v>
      </c>
      <c r="D1154" s="239" t="s">
        <v>2482</v>
      </c>
      <c r="E1154" s="239" t="s">
        <v>1400</v>
      </c>
      <c r="F1154" s="239" t="s">
        <v>1401</v>
      </c>
      <c r="G1154" s="239" t="s">
        <v>960</v>
      </c>
      <c r="H1154" s="239" t="s">
        <v>42</v>
      </c>
      <c r="I1154" s="239" t="s">
        <v>2465</v>
      </c>
      <c r="J1154" s="233">
        <f>Таблица24[[#This Row],[Вес нетто]]</f>
        <v>22690</v>
      </c>
      <c r="K1154" s="235">
        <v>45953</v>
      </c>
      <c r="L1154" s="233">
        <v>0.6</v>
      </c>
      <c r="M1154" s="234" t="s">
        <v>2709</v>
      </c>
      <c r="N1154" s="234">
        <v>37650</v>
      </c>
      <c r="O1154" s="234">
        <v>14960</v>
      </c>
      <c r="P1154" s="242">
        <v>10</v>
      </c>
      <c r="Q1154" s="234">
        <v>22690</v>
      </c>
      <c r="R1154" s="234">
        <v>20421</v>
      </c>
      <c r="S1154" s="234" t="s">
        <v>3181</v>
      </c>
      <c r="T1154" s="236">
        <v>45953</v>
      </c>
    </row>
    <row r="1155" spans="1:20" ht="40.5" hidden="1" customHeight="1">
      <c r="A1155" s="239" t="s">
        <v>3182</v>
      </c>
      <c r="B1155" s="240">
        <v>2592</v>
      </c>
      <c r="C1155" s="241">
        <v>10402</v>
      </c>
      <c r="D1155" s="239" t="s">
        <v>2511</v>
      </c>
      <c r="E1155" s="239" t="s">
        <v>377</v>
      </c>
      <c r="F1155" s="239" t="s">
        <v>378</v>
      </c>
      <c r="G1155" s="239" t="s">
        <v>932</v>
      </c>
      <c r="H1155" s="239" t="s">
        <v>51</v>
      </c>
      <c r="I1155" s="239" t="s">
        <v>2512</v>
      </c>
      <c r="J1155" s="233"/>
      <c r="K1155" s="235">
        <v>45952</v>
      </c>
      <c r="L1155" s="233">
        <v>1.8</v>
      </c>
      <c r="M1155" s="234" t="s">
        <v>932</v>
      </c>
      <c r="N1155" s="234">
        <v>43410</v>
      </c>
      <c r="O1155" s="234">
        <v>15310</v>
      </c>
      <c r="P1155" s="242">
        <v>21</v>
      </c>
      <c r="Q1155" s="234">
        <v>28100</v>
      </c>
      <c r="R1155" s="234">
        <v>22199</v>
      </c>
      <c r="S1155" s="234" t="s">
        <v>3253</v>
      </c>
      <c r="T1155" s="236">
        <v>45953</v>
      </c>
    </row>
    <row r="1156" spans="1:20" ht="40.5" hidden="1" customHeight="1">
      <c r="A1156" s="239" t="s">
        <v>3185</v>
      </c>
      <c r="B1156" s="240">
        <v>2593</v>
      </c>
      <c r="C1156" s="241">
        <v>10404</v>
      </c>
      <c r="D1156" s="239" t="s">
        <v>2511</v>
      </c>
      <c r="E1156" s="239" t="s">
        <v>462</v>
      </c>
      <c r="F1156" s="239" t="s">
        <v>463</v>
      </c>
      <c r="G1156" s="239" t="s">
        <v>932</v>
      </c>
      <c r="H1156" s="239" t="s">
        <v>51</v>
      </c>
      <c r="I1156" s="239" t="s">
        <v>2512</v>
      </c>
      <c r="J1156" s="233"/>
      <c r="K1156" s="235">
        <v>45952</v>
      </c>
      <c r="L1156" s="233">
        <v>1.5</v>
      </c>
      <c r="M1156" s="234" t="s">
        <v>932</v>
      </c>
      <c r="N1156" s="234">
        <v>40070</v>
      </c>
      <c r="O1156" s="234">
        <v>16520</v>
      </c>
      <c r="P1156" s="242">
        <v>17</v>
      </c>
      <c r="Q1156" s="234">
        <v>23550</v>
      </c>
      <c r="R1156" s="234">
        <v>19546.5</v>
      </c>
      <c r="S1156" s="234" t="s">
        <v>3256</v>
      </c>
      <c r="T1156" s="236">
        <v>45953</v>
      </c>
    </row>
    <row r="1157" spans="1:20" ht="40.5" hidden="1" customHeight="1">
      <c r="A1157" s="239" t="s">
        <v>3186</v>
      </c>
      <c r="B1157" s="240">
        <v>2594</v>
      </c>
      <c r="C1157" s="241">
        <v>10405</v>
      </c>
      <c r="D1157" s="239" t="s">
        <v>2511</v>
      </c>
      <c r="E1157" s="239" t="s">
        <v>472</v>
      </c>
      <c r="F1157" s="239" t="s">
        <v>473</v>
      </c>
      <c r="G1157" s="239" t="s">
        <v>932</v>
      </c>
      <c r="H1157" s="239" t="s">
        <v>51</v>
      </c>
      <c r="I1157" s="239" t="s">
        <v>2512</v>
      </c>
      <c r="J1157" s="233"/>
      <c r="K1157" s="235">
        <v>45952</v>
      </c>
      <c r="L1157" s="233">
        <v>1.5</v>
      </c>
      <c r="M1157" s="234" t="s">
        <v>932</v>
      </c>
      <c r="N1157" s="234">
        <v>39890</v>
      </c>
      <c r="O1157" s="234">
        <v>16580</v>
      </c>
      <c r="P1157" s="242">
        <v>23</v>
      </c>
      <c r="Q1157" s="234">
        <v>23310</v>
      </c>
      <c r="R1157" s="234">
        <v>17948.7</v>
      </c>
      <c r="S1157" s="234" t="s">
        <v>3257</v>
      </c>
      <c r="T1157" s="236">
        <v>45953</v>
      </c>
    </row>
    <row r="1158" spans="1:20" ht="40.5" hidden="1" customHeight="1">
      <c r="A1158" s="239" t="s">
        <v>3189</v>
      </c>
      <c r="B1158" s="240">
        <v>2595</v>
      </c>
      <c r="C1158" s="241">
        <v>98</v>
      </c>
      <c r="D1158" s="239" t="s">
        <v>2881</v>
      </c>
      <c r="E1158" s="239" t="s">
        <v>475</v>
      </c>
      <c r="F1158" s="239" t="s">
        <v>476</v>
      </c>
      <c r="G1158" s="239" t="s">
        <v>144</v>
      </c>
      <c r="H1158" s="239" t="s">
        <v>51</v>
      </c>
      <c r="I1158" s="239" t="s">
        <v>2882</v>
      </c>
      <c r="J1158" s="233"/>
      <c r="K1158" s="235">
        <v>45953</v>
      </c>
      <c r="L1158" s="233">
        <v>1.6</v>
      </c>
      <c r="M1158" s="234" t="s">
        <v>144</v>
      </c>
      <c r="N1158" s="234">
        <v>42440</v>
      </c>
      <c r="O1158" s="234">
        <v>16580</v>
      </c>
      <c r="P1158" s="242">
        <v>9</v>
      </c>
      <c r="Q1158" s="234">
        <v>25860</v>
      </c>
      <c r="R1158" s="234">
        <v>23532.6</v>
      </c>
      <c r="S1158" s="234" t="s">
        <v>3260</v>
      </c>
      <c r="T1158" s="236">
        <v>45953</v>
      </c>
    </row>
    <row r="1159" spans="1:20" ht="40.5" hidden="1" customHeight="1">
      <c r="A1159" s="239" t="s">
        <v>3190</v>
      </c>
      <c r="B1159" s="240">
        <v>2596</v>
      </c>
      <c r="C1159" s="241">
        <v>101</v>
      </c>
      <c r="D1159" s="239" t="s">
        <v>2881</v>
      </c>
      <c r="E1159" s="239" t="s">
        <v>429</v>
      </c>
      <c r="F1159" s="239" t="s">
        <v>430</v>
      </c>
      <c r="G1159" s="239" t="s">
        <v>957</v>
      </c>
      <c r="H1159" s="239" t="s">
        <v>51</v>
      </c>
      <c r="I1159" s="239" t="s">
        <v>2882</v>
      </c>
      <c r="J1159" s="233"/>
      <c r="K1159" s="235">
        <v>45953</v>
      </c>
      <c r="L1159" s="233">
        <v>1.1000000000000001</v>
      </c>
      <c r="M1159" s="234" t="s">
        <v>957</v>
      </c>
      <c r="N1159" s="234">
        <v>41720</v>
      </c>
      <c r="O1159" s="234">
        <v>14690</v>
      </c>
      <c r="P1159" s="242">
        <v>20</v>
      </c>
      <c r="Q1159" s="234">
        <v>27030</v>
      </c>
      <c r="R1159" s="234">
        <v>21624</v>
      </c>
      <c r="S1159" s="234" t="s">
        <v>3261</v>
      </c>
      <c r="T1159" s="236">
        <v>45953</v>
      </c>
    </row>
    <row r="1160" spans="1:20" ht="40.5" hidden="1" customHeight="1">
      <c r="A1160" s="239" t="s">
        <v>3191</v>
      </c>
      <c r="B1160" s="240">
        <v>2597</v>
      </c>
      <c r="C1160" s="241">
        <v>10406</v>
      </c>
      <c r="D1160" s="239" t="s">
        <v>2511</v>
      </c>
      <c r="E1160" s="239" t="s">
        <v>456</v>
      </c>
      <c r="F1160" s="239" t="s">
        <v>457</v>
      </c>
      <c r="G1160" s="239" t="s">
        <v>932</v>
      </c>
      <c r="H1160" s="239" t="s">
        <v>51</v>
      </c>
      <c r="I1160" s="239" t="s">
        <v>2512</v>
      </c>
      <c r="J1160" s="233"/>
      <c r="K1160" s="235">
        <v>45953</v>
      </c>
      <c r="L1160" s="233">
        <v>2</v>
      </c>
      <c r="M1160" s="234" t="s">
        <v>932</v>
      </c>
      <c r="N1160" s="234">
        <v>47500</v>
      </c>
      <c r="O1160" s="234">
        <v>15870</v>
      </c>
      <c r="P1160" s="242">
        <v>12</v>
      </c>
      <c r="Q1160" s="234">
        <v>31630</v>
      </c>
      <c r="R1160" s="234">
        <v>27834.400000000001</v>
      </c>
      <c r="S1160" s="234" t="s">
        <v>3262</v>
      </c>
      <c r="T1160" s="236">
        <v>45953</v>
      </c>
    </row>
    <row r="1161" spans="1:20" ht="40.5" hidden="1" customHeight="1">
      <c r="A1161" s="239" t="s">
        <v>3192</v>
      </c>
      <c r="B1161" s="240">
        <v>2599</v>
      </c>
      <c r="C1161" s="241">
        <v>10422</v>
      </c>
      <c r="D1161" s="239" t="s">
        <v>2511</v>
      </c>
      <c r="E1161" s="239" t="s">
        <v>841</v>
      </c>
      <c r="F1161" s="239" t="s">
        <v>845</v>
      </c>
      <c r="G1161" s="239" t="s">
        <v>932</v>
      </c>
      <c r="H1161" s="239" t="s">
        <v>51</v>
      </c>
      <c r="I1161" s="239" t="s">
        <v>2512</v>
      </c>
      <c r="J1161" s="233"/>
      <c r="K1161" s="235">
        <v>45953</v>
      </c>
      <c r="L1161" s="233">
        <v>1.7</v>
      </c>
      <c r="M1161" s="234" t="s">
        <v>932</v>
      </c>
      <c r="N1161" s="234">
        <v>42510</v>
      </c>
      <c r="O1161" s="234">
        <v>15760</v>
      </c>
      <c r="P1161" s="242">
        <v>6</v>
      </c>
      <c r="Q1161" s="234">
        <v>26750</v>
      </c>
      <c r="R1161" s="234">
        <v>25145</v>
      </c>
      <c r="S1161" s="234" t="s">
        <v>3263</v>
      </c>
      <c r="T1161" s="236">
        <v>45953</v>
      </c>
    </row>
    <row r="1162" spans="1:20" ht="40.5" hidden="1" customHeight="1">
      <c r="A1162" s="239" t="s">
        <v>3174</v>
      </c>
      <c r="B1162" s="240">
        <v>2589</v>
      </c>
      <c r="C1162" s="241">
        <v>7</v>
      </c>
      <c r="D1162" s="239" t="s">
        <v>2482</v>
      </c>
      <c r="E1162" s="239" t="s">
        <v>1397</v>
      </c>
      <c r="F1162" s="239" t="s">
        <v>1398</v>
      </c>
      <c r="G1162" s="239" t="s">
        <v>960</v>
      </c>
      <c r="H1162" s="239" t="s">
        <v>51</v>
      </c>
      <c r="I1162" s="239" t="s">
        <v>2465</v>
      </c>
      <c r="J1162" s="233">
        <f>Таблица24[[#This Row],[Вес нетто]]</f>
        <v>26240</v>
      </c>
      <c r="K1162" s="235">
        <v>45952</v>
      </c>
      <c r="L1162" s="233">
        <v>3</v>
      </c>
      <c r="M1162" s="234" t="s">
        <v>2709</v>
      </c>
      <c r="N1162" s="234">
        <v>43490</v>
      </c>
      <c r="O1162" s="234">
        <v>17250</v>
      </c>
      <c r="P1162" s="242">
        <v>5</v>
      </c>
      <c r="Q1162" s="234">
        <v>26240</v>
      </c>
      <c r="R1162" s="234">
        <v>24928</v>
      </c>
      <c r="S1162" s="234" t="s">
        <v>3178</v>
      </c>
      <c r="T1162" s="236">
        <v>45953</v>
      </c>
    </row>
    <row r="1163" spans="1:20" ht="40.5" hidden="1" customHeight="1">
      <c r="A1163" s="239" t="s">
        <v>3193</v>
      </c>
      <c r="B1163" s="240">
        <v>2600</v>
      </c>
      <c r="C1163" s="241">
        <v>99</v>
      </c>
      <c r="D1163" s="239" t="s">
        <v>2881</v>
      </c>
      <c r="E1163" s="239" t="s">
        <v>783</v>
      </c>
      <c r="F1163" s="239" t="s">
        <v>784</v>
      </c>
      <c r="G1163" s="239" t="s">
        <v>949</v>
      </c>
      <c r="H1163" s="239" t="s">
        <v>51</v>
      </c>
      <c r="I1163" s="239" t="s">
        <v>2882</v>
      </c>
      <c r="J1163" s="233"/>
      <c r="K1163" s="235">
        <v>45953</v>
      </c>
      <c r="L1163" s="233">
        <v>1.1000000000000001</v>
      </c>
      <c r="M1163" s="234" t="s">
        <v>949</v>
      </c>
      <c r="N1163" s="234">
        <v>39310</v>
      </c>
      <c r="O1163" s="234">
        <v>14640</v>
      </c>
      <c r="P1163" s="242">
        <v>13</v>
      </c>
      <c r="Q1163" s="234">
        <v>24670</v>
      </c>
      <c r="R1163" s="234">
        <v>21462.9</v>
      </c>
      <c r="S1163" s="234" t="s">
        <v>3264</v>
      </c>
      <c r="T1163" s="236">
        <v>45953</v>
      </c>
    </row>
    <row r="1164" spans="1:20" ht="40.5" hidden="1" customHeight="1">
      <c r="A1164" s="239" t="s">
        <v>3194</v>
      </c>
      <c r="B1164" s="240">
        <v>2601</v>
      </c>
      <c r="C1164" s="241">
        <v>10429</v>
      </c>
      <c r="D1164" s="239" t="s">
        <v>2511</v>
      </c>
      <c r="E1164" s="239" t="s">
        <v>794</v>
      </c>
      <c r="F1164" s="239" t="s">
        <v>795</v>
      </c>
      <c r="G1164" s="239" t="s">
        <v>932</v>
      </c>
      <c r="H1164" s="239" t="s">
        <v>51</v>
      </c>
      <c r="I1164" s="239" t="s">
        <v>2512</v>
      </c>
      <c r="J1164" s="233"/>
      <c r="K1164" s="235">
        <v>45953</v>
      </c>
      <c r="L1164" s="233">
        <v>1.7</v>
      </c>
      <c r="M1164" s="234" t="s">
        <v>932</v>
      </c>
      <c r="N1164" s="234">
        <v>42490</v>
      </c>
      <c r="O1164" s="234">
        <v>16080</v>
      </c>
      <c r="P1164" s="242">
        <v>9</v>
      </c>
      <c r="Q1164" s="234">
        <v>26410</v>
      </c>
      <c r="R1164" s="234">
        <v>24033.1</v>
      </c>
      <c r="S1164" s="234" t="s">
        <v>3265</v>
      </c>
      <c r="T1164" s="236">
        <v>45953</v>
      </c>
    </row>
    <row r="1165" spans="1:20" ht="40.5" hidden="1" customHeight="1">
      <c r="A1165" s="239" t="s">
        <v>3195</v>
      </c>
      <c r="B1165" s="240">
        <v>2603</v>
      </c>
      <c r="C1165" s="241">
        <v>10424</v>
      </c>
      <c r="D1165" s="239" t="s">
        <v>2511</v>
      </c>
      <c r="E1165" s="239" t="s">
        <v>791</v>
      </c>
      <c r="F1165" s="239" t="s">
        <v>792</v>
      </c>
      <c r="G1165" s="239" t="s">
        <v>932</v>
      </c>
      <c r="H1165" s="239" t="s">
        <v>51</v>
      </c>
      <c r="I1165" s="239" t="s">
        <v>2512</v>
      </c>
      <c r="J1165" s="233"/>
      <c r="K1165" s="235">
        <v>45953</v>
      </c>
      <c r="L1165" s="233">
        <v>1.6</v>
      </c>
      <c r="M1165" s="234" t="s">
        <v>932</v>
      </c>
      <c r="N1165" s="234">
        <v>40770</v>
      </c>
      <c r="O1165" s="234">
        <v>14910</v>
      </c>
      <c r="P1165" s="242">
        <v>22</v>
      </c>
      <c r="Q1165" s="234">
        <v>25860</v>
      </c>
      <c r="R1165" s="234">
        <v>20170.8</v>
      </c>
      <c r="S1165" s="234" t="s">
        <v>3266</v>
      </c>
      <c r="T1165" s="236">
        <v>45953</v>
      </c>
    </row>
    <row r="1166" spans="1:20" ht="40.5" hidden="1" customHeight="1">
      <c r="A1166" s="239" t="s">
        <v>3196</v>
      </c>
      <c r="B1166" s="240">
        <v>2604</v>
      </c>
      <c r="C1166" s="241">
        <v>100</v>
      </c>
      <c r="D1166" s="239" t="s">
        <v>2881</v>
      </c>
      <c r="E1166" s="239" t="s">
        <v>786</v>
      </c>
      <c r="F1166" s="239" t="s">
        <v>787</v>
      </c>
      <c r="G1166" s="239" t="s">
        <v>951</v>
      </c>
      <c r="H1166" s="239" t="s">
        <v>51</v>
      </c>
      <c r="I1166" s="239" t="s">
        <v>2882</v>
      </c>
      <c r="J1166" s="233"/>
      <c r="K1166" s="235">
        <v>45953</v>
      </c>
      <c r="L1166" s="233">
        <v>1</v>
      </c>
      <c r="M1166" s="234" t="s">
        <v>951</v>
      </c>
      <c r="N1166" s="234">
        <v>35540</v>
      </c>
      <c r="O1166" s="234">
        <v>13860</v>
      </c>
      <c r="P1166" s="242">
        <v>18</v>
      </c>
      <c r="Q1166" s="234">
        <v>21680</v>
      </c>
      <c r="R1166" s="234">
        <v>17777.599999999999</v>
      </c>
      <c r="S1166" s="234" t="s">
        <v>3267</v>
      </c>
      <c r="T1166" s="236">
        <v>45953</v>
      </c>
    </row>
    <row r="1167" spans="1:20" ht="40.5" hidden="1" customHeight="1">
      <c r="A1167" s="239" t="s">
        <v>3197</v>
      </c>
      <c r="B1167" s="240">
        <v>2605</v>
      </c>
      <c r="C1167" s="241">
        <v>10592</v>
      </c>
      <c r="D1167" s="239" t="s">
        <v>2511</v>
      </c>
      <c r="E1167" s="239" t="s">
        <v>380</v>
      </c>
      <c r="F1167" s="239" t="s">
        <v>381</v>
      </c>
      <c r="G1167" s="239" t="s">
        <v>932</v>
      </c>
      <c r="H1167" s="239" t="s">
        <v>51</v>
      </c>
      <c r="I1167" s="239" t="s">
        <v>2512</v>
      </c>
      <c r="J1167" s="233"/>
      <c r="K1167" s="235">
        <v>45953</v>
      </c>
      <c r="L1167" s="233">
        <v>1.6</v>
      </c>
      <c r="M1167" s="234" t="s">
        <v>932</v>
      </c>
      <c r="N1167" s="234">
        <v>40040</v>
      </c>
      <c r="O1167" s="234">
        <v>15100</v>
      </c>
      <c r="P1167" s="242">
        <v>12</v>
      </c>
      <c r="Q1167" s="234">
        <v>24940</v>
      </c>
      <c r="R1167" s="234">
        <v>21947.200000000001</v>
      </c>
      <c r="S1167" s="234" t="s">
        <v>3268</v>
      </c>
      <c r="T1167" s="236">
        <v>45953</v>
      </c>
    </row>
    <row r="1168" spans="1:20" ht="40.5" hidden="1" customHeight="1">
      <c r="A1168" s="239" t="s">
        <v>3200</v>
      </c>
      <c r="B1168" s="240">
        <v>2606</v>
      </c>
      <c r="C1168" s="241">
        <v>10643</v>
      </c>
      <c r="D1168" s="239" t="s">
        <v>2511</v>
      </c>
      <c r="E1168" s="239" t="s">
        <v>372</v>
      </c>
      <c r="F1168" s="239" t="s">
        <v>373</v>
      </c>
      <c r="G1168" s="239" t="s">
        <v>932</v>
      </c>
      <c r="H1168" s="239" t="s">
        <v>51</v>
      </c>
      <c r="I1168" s="239" t="s">
        <v>2512</v>
      </c>
      <c r="J1168" s="233"/>
      <c r="K1168" s="235">
        <v>45953</v>
      </c>
      <c r="L1168" s="233">
        <v>1.5</v>
      </c>
      <c r="M1168" s="234" t="s">
        <v>932</v>
      </c>
      <c r="N1168" s="234">
        <v>39190</v>
      </c>
      <c r="O1168" s="234">
        <v>15080</v>
      </c>
      <c r="P1168" s="242">
        <v>26</v>
      </c>
      <c r="Q1168" s="234">
        <v>24110</v>
      </c>
      <c r="R1168" s="234">
        <v>17841.400000000001</v>
      </c>
      <c r="S1168" s="234" t="s">
        <v>3271</v>
      </c>
      <c r="T1168" s="236">
        <v>45954</v>
      </c>
    </row>
    <row r="1169" spans="1:20" ht="40.5" hidden="1" customHeight="1">
      <c r="A1169" s="239" t="s">
        <v>3201</v>
      </c>
      <c r="B1169" s="240">
        <v>2607</v>
      </c>
      <c r="C1169" s="241">
        <v>10653</v>
      </c>
      <c r="D1169" s="239" t="s">
        <v>2511</v>
      </c>
      <c r="E1169" s="239" t="s">
        <v>447</v>
      </c>
      <c r="F1169" s="239" t="s">
        <v>448</v>
      </c>
      <c r="G1169" s="239" t="s">
        <v>932</v>
      </c>
      <c r="H1169" s="239" t="s">
        <v>51</v>
      </c>
      <c r="I1169" s="239" t="s">
        <v>2512</v>
      </c>
      <c r="J1169" s="233"/>
      <c r="K1169" s="235">
        <v>45953</v>
      </c>
      <c r="L1169" s="233">
        <v>0.9</v>
      </c>
      <c r="M1169" s="234" t="s">
        <v>932</v>
      </c>
      <c r="N1169" s="234">
        <v>35510</v>
      </c>
      <c r="O1169" s="234">
        <v>19560</v>
      </c>
      <c r="P1169" s="242">
        <v>16</v>
      </c>
      <c r="Q1169" s="234">
        <v>15950</v>
      </c>
      <c r="R1169" s="234">
        <v>13398</v>
      </c>
      <c r="S1169" s="234" t="s">
        <v>3272</v>
      </c>
      <c r="T1169" s="236">
        <v>45954</v>
      </c>
    </row>
    <row r="1170" spans="1:20" ht="40.5" hidden="1" customHeight="1">
      <c r="A1170" s="239" t="s">
        <v>3202</v>
      </c>
      <c r="B1170" s="240">
        <v>2613</v>
      </c>
      <c r="C1170" s="241">
        <v>10630</v>
      </c>
      <c r="D1170" s="239" t="s">
        <v>2511</v>
      </c>
      <c r="E1170" s="239" t="s">
        <v>1978</v>
      </c>
      <c r="F1170" s="239" t="s">
        <v>1979</v>
      </c>
      <c r="G1170" s="239" t="s">
        <v>934</v>
      </c>
      <c r="H1170" s="239" t="s">
        <v>42</v>
      </c>
      <c r="I1170" s="239" t="s">
        <v>2512</v>
      </c>
      <c r="J1170" s="233"/>
      <c r="K1170" s="235">
        <v>45953</v>
      </c>
      <c r="L1170" s="233">
        <v>1</v>
      </c>
      <c r="M1170" s="234" t="s">
        <v>934</v>
      </c>
      <c r="N1170" s="234">
        <v>25770</v>
      </c>
      <c r="O1170" s="234">
        <v>14250</v>
      </c>
      <c r="P1170" s="242">
        <v>24</v>
      </c>
      <c r="Q1170" s="234">
        <v>11520</v>
      </c>
      <c r="R1170" s="234">
        <v>8755.2000000000007</v>
      </c>
      <c r="S1170" s="234" t="s">
        <v>3273</v>
      </c>
      <c r="T1170" s="236">
        <v>45954</v>
      </c>
    </row>
    <row r="1171" spans="1:20" ht="40.5" hidden="1" customHeight="1">
      <c r="A1171" s="239" t="s">
        <v>3203</v>
      </c>
      <c r="B1171" s="240">
        <v>2614</v>
      </c>
      <c r="C1171" s="241">
        <v>104</v>
      </c>
      <c r="D1171" s="239" t="s">
        <v>2881</v>
      </c>
      <c r="E1171" s="239" t="s">
        <v>369</v>
      </c>
      <c r="F1171" s="239" t="s">
        <v>370</v>
      </c>
      <c r="G1171" s="239" t="s">
        <v>144</v>
      </c>
      <c r="H1171" s="239" t="s">
        <v>51</v>
      </c>
      <c r="I1171" s="239" t="s">
        <v>2882</v>
      </c>
      <c r="J1171" s="233"/>
      <c r="K1171" s="235">
        <v>45954</v>
      </c>
      <c r="L1171" s="233">
        <v>1.5</v>
      </c>
      <c r="M1171" s="234" t="s">
        <v>144</v>
      </c>
      <c r="N1171" s="234">
        <v>39360</v>
      </c>
      <c r="O1171" s="234">
        <v>15280</v>
      </c>
      <c r="P1171" s="242">
        <v>6</v>
      </c>
      <c r="Q1171" s="234">
        <v>24080</v>
      </c>
      <c r="R1171" s="234">
        <v>22635.200000000001</v>
      </c>
      <c r="S1171" s="234" t="s">
        <v>3274</v>
      </c>
      <c r="T1171" s="236">
        <v>45954</v>
      </c>
    </row>
    <row r="1172" spans="1:20" ht="40.5" hidden="1" customHeight="1">
      <c r="A1172" s="239" t="s">
        <v>3204</v>
      </c>
      <c r="B1172" s="240">
        <v>2615</v>
      </c>
      <c r="C1172" s="241">
        <v>107</v>
      </c>
      <c r="D1172" s="239" t="s">
        <v>2881</v>
      </c>
      <c r="E1172" s="239" t="s">
        <v>390</v>
      </c>
      <c r="F1172" s="239" t="s">
        <v>391</v>
      </c>
      <c r="G1172" s="239" t="s">
        <v>144</v>
      </c>
      <c r="H1172" s="239" t="s">
        <v>51</v>
      </c>
      <c r="I1172" s="239" t="s">
        <v>2882</v>
      </c>
      <c r="J1172" s="233"/>
      <c r="K1172" s="235">
        <v>45954</v>
      </c>
      <c r="L1172" s="233">
        <v>1.5</v>
      </c>
      <c r="M1172" s="234" t="s">
        <v>144</v>
      </c>
      <c r="N1172" s="234">
        <v>39860</v>
      </c>
      <c r="O1172" s="234">
        <v>15190</v>
      </c>
      <c r="P1172" s="242">
        <v>7</v>
      </c>
      <c r="Q1172" s="234">
        <v>24670</v>
      </c>
      <c r="R1172" s="234">
        <v>22943.1</v>
      </c>
      <c r="S1172" s="234" t="s">
        <v>3275</v>
      </c>
      <c r="T1172" s="236">
        <v>45954</v>
      </c>
    </row>
    <row r="1173" spans="1:20" ht="40.5" hidden="1" customHeight="1">
      <c r="A1173" s="239" t="s">
        <v>3205</v>
      </c>
      <c r="B1173" s="240">
        <v>2617</v>
      </c>
      <c r="C1173" s="241">
        <v>105</v>
      </c>
      <c r="D1173" s="239" t="s">
        <v>2881</v>
      </c>
      <c r="E1173" s="239" t="s">
        <v>442</v>
      </c>
      <c r="F1173" s="239" t="s">
        <v>443</v>
      </c>
      <c r="G1173" s="239" t="s">
        <v>144</v>
      </c>
      <c r="H1173" s="239" t="s">
        <v>51</v>
      </c>
      <c r="I1173" s="239" t="s">
        <v>2882</v>
      </c>
      <c r="J1173" s="233"/>
      <c r="K1173" s="235">
        <v>45954</v>
      </c>
      <c r="L1173" s="233">
        <v>1.3</v>
      </c>
      <c r="M1173" s="234" t="s">
        <v>144</v>
      </c>
      <c r="N1173" s="234">
        <v>35770</v>
      </c>
      <c r="O1173" s="234">
        <v>14630</v>
      </c>
      <c r="P1173" s="242">
        <v>7</v>
      </c>
      <c r="Q1173" s="234">
        <v>21140</v>
      </c>
      <c r="R1173" s="234">
        <v>19660.2</v>
      </c>
      <c r="S1173" s="234" t="s">
        <v>3276</v>
      </c>
      <c r="T1173" s="236">
        <v>45954</v>
      </c>
    </row>
    <row r="1174" spans="1:20" ht="40.5" hidden="1" customHeight="1">
      <c r="A1174" s="239" t="s">
        <v>3206</v>
      </c>
      <c r="B1174" s="240">
        <v>2618</v>
      </c>
      <c r="C1174" s="241">
        <v>102</v>
      </c>
      <c r="D1174" s="239" t="s">
        <v>2881</v>
      </c>
      <c r="E1174" s="239" t="s">
        <v>432</v>
      </c>
      <c r="F1174" s="239" t="s">
        <v>433</v>
      </c>
      <c r="G1174" s="239" t="s">
        <v>144</v>
      </c>
      <c r="H1174" s="239" t="s">
        <v>51</v>
      </c>
      <c r="I1174" s="239" t="s">
        <v>2882</v>
      </c>
      <c r="J1174" s="233"/>
      <c r="K1174" s="235">
        <v>45954</v>
      </c>
      <c r="L1174" s="233">
        <v>2</v>
      </c>
      <c r="M1174" s="234" t="s">
        <v>144</v>
      </c>
      <c r="N1174" s="234">
        <v>47420</v>
      </c>
      <c r="O1174" s="234">
        <v>15920</v>
      </c>
      <c r="P1174" s="242">
        <v>7</v>
      </c>
      <c r="Q1174" s="234">
        <v>31500</v>
      </c>
      <c r="R1174" s="234">
        <v>29295</v>
      </c>
      <c r="S1174" s="234" t="s">
        <v>3277</v>
      </c>
      <c r="T1174" s="236">
        <v>45954</v>
      </c>
    </row>
    <row r="1175" spans="1:20" ht="40.5" hidden="1" customHeight="1">
      <c r="A1175" s="239" t="s">
        <v>3208</v>
      </c>
      <c r="B1175" s="240">
        <v>2620</v>
      </c>
      <c r="C1175" s="241">
        <v>109</v>
      </c>
      <c r="D1175" s="239" t="s">
        <v>2881</v>
      </c>
      <c r="E1175" s="239" t="s">
        <v>1410</v>
      </c>
      <c r="F1175" s="239" t="s">
        <v>437</v>
      </c>
      <c r="G1175" s="239" t="s">
        <v>144</v>
      </c>
      <c r="H1175" s="239" t="s">
        <v>51</v>
      </c>
      <c r="I1175" s="239" t="s">
        <v>2882</v>
      </c>
      <c r="J1175" s="233"/>
      <c r="K1175" s="235">
        <v>45954</v>
      </c>
      <c r="L1175" s="233">
        <v>1.7</v>
      </c>
      <c r="M1175" s="234" t="s">
        <v>144</v>
      </c>
      <c r="N1175" s="234">
        <v>42450</v>
      </c>
      <c r="O1175" s="234">
        <v>15120</v>
      </c>
      <c r="P1175" s="242">
        <v>8</v>
      </c>
      <c r="Q1175" s="234">
        <v>27330</v>
      </c>
      <c r="R1175" s="234">
        <v>25143.599999999999</v>
      </c>
      <c r="S1175" s="234" t="s">
        <v>3279</v>
      </c>
      <c r="T1175" s="236">
        <v>45954</v>
      </c>
    </row>
    <row r="1176" spans="1:20" ht="40.5" hidden="1" customHeight="1">
      <c r="A1176" s="239" t="s">
        <v>3211</v>
      </c>
      <c r="B1176" s="240">
        <v>2621</v>
      </c>
      <c r="C1176" s="241">
        <v>108</v>
      </c>
      <c r="D1176" s="239" t="s">
        <v>2881</v>
      </c>
      <c r="E1176" s="239" t="s">
        <v>475</v>
      </c>
      <c r="F1176" s="239" t="s">
        <v>476</v>
      </c>
      <c r="G1176" s="239" t="s">
        <v>144</v>
      </c>
      <c r="H1176" s="239" t="s">
        <v>51</v>
      </c>
      <c r="I1176" s="239" t="s">
        <v>2882</v>
      </c>
      <c r="J1176" s="233"/>
      <c r="K1176" s="235">
        <v>45954</v>
      </c>
      <c r="L1176" s="233">
        <v>1.6</v>
      </c>
      <c r="M1176" s="234" t="s">
        <v>144</v>
      </c>
      <c r="N1176" s="234">
        <v>42930</v>
      </c>
      <c r="O1176" s="234">
        <v>16560</v>
      </c>
      <c r="P1176" s="242">
        <v>9</v>
      </c>
      <c r="Q1176" s="234">
        <v>26370</v>
      </c>
      <c r="R1176" s="234">
        <v>23996.7</v>
      </c>
      <c r="S1176" s="234" t="s">
        <v>3282</v>
      </c>
      <c r="T1176" s="236">
        <v>45954</v>
      </c>
    </row>
    <row r="1177" spans="1:20" ht="40.5" hidden="1" customHeight="1">
      <c r="A1177" s="239" t="s">
        <v>3207</v>
      </c>
      <c r="B1177" s="240">
        <v>2623</v>
      </c>
      <c r="C1177" s="241">
        <v>110</v>
      </c>
      <c r="D1177" s="239" t="s">
        <v>2881</v>
      </c>
      <c r="E1177" s="239" t="s">
        <v>439</v>
      </c>
      <c r="F1177" s="239" t="s">
        <v>440</v>
      </c>
      <c r="G1177" s="239" t="s">
        <v>144</v>
      </c>
      <c r="H1177" s="239" t="s">
        <v>51</v>
      </c>
      <c r="I1177" s="239" t="s">
        <v>2882</v>
      </c>
      <c r="J1177" s="233"/>
      <c r="K1177" s="235">
        <v>45954</v>
      </c>
      <c r="L1177" s="233">
        <v>1.8</v>
      </c>
      <c r="M1177" s="234" t="s">
        <v>144</v>
      </c>
      <c r="N1177" s="234">
        <v>43580</v>
      </c>
      <c r="O1177" s="234">
        <v>15320</v>
      </c>
      <c r="P1177" s="242">
        <v>5</v>
      </c>
      <c r="Q1177" s="234">
        <v>28260</v>
      </c>
      <c r="R1177" s="234">
        <v>26847</v>
      </c>
      <c r="S1177" s="234" t="s">
        <v>3278</v>
      </c>
      <c r="T1177" s="236">
        <v>45954</v>
      </c>
    </row>
    <row r="1178" spans="1:20" ht="40.5" hidden="1" customHeight="1">
      <c r="A1178" s="239" t="s">
        <v>3209</v>
      </c>
      <c r="B1178" s="240">
        <v>2624</v>
      </c>
      <c r="C1178" s="241">
        <v>111</v>
      </c>
      <c r="D1178" s="239" t="s">
        <v>2881</v>
      </c>
      <c r="E1178" s="239" t="s">
        <v>413</v>
      </c>
      <c r="F1178" s="239" t="s">
        <v>414</v>
      </c>
      <c r="G1178" s="239" t="s">
        <v>144</v>
      </c>
      <c r="H1178" s="239" t="s">
        <v>51</v>
      </c>
      <c r="I1178" s="239" t="s">
        <v>2882</v>
      </c>
      <c r="J1178" s="233"/>
      <c r="K1178" s="235">
        <v>45954</v>
      </c>
      <c r="L1178" s="233">
        <v>1.9</v>
      </c>
      <c r="M1178" s="234" t="s">
        <v>144</v>
      </c>
      <c r="N1178" s="234">
        <v>45360</v>
      </c>
      <c r="O1178" s="234">
        <v>15180</v>
      </c>
      <c r="P1178" s="242">
        <v>6</v>
      </c>
      <c r="Q1178" s="234">
        <v>30180</v>
      </c>
      <c r="R1178" s="234">
        <v>28369.200000000001</v>
      </c>
      <c r="S1178" s="234" t="s">
        <v>3280</v>
      </c>
      <c r="T1178" s="236">
        <v>45954</v>
      </c>
    </row>
    <row r="1179" spans="1:20" ht="40.5" hidden="1" customHeight="1">
      <c r="A1179" s="239" t="s">
        <v>3210</v>
      </c>
      <c r="B1179" s="240">
        <v>2625</v>
      </c>
      <c r="C1179" s="241">
        <v>106</v>
      </c>
      <c r="D1179" s="239" t="s">
        <v>2881</v>
      </c>
      <c r="E1179" s="239" t="s">
        <v>392</v>
      </c>
      <c r="F1179" s="239" t="s">
        <v>393</v>
      </c>
      <c r="G1179" s="239" t="s">
        <v>144</v>
      </c>
      <c r="H1179" s="239" t="s">
        <v>51</v>
      </c>
      <c r="I1179" s="239" t="s">
        <v>2882</v>
      </c>
      <c r="J1179" s="233"/>
      <c r="K1179" s="235">
        <v>45954</v>
      </c>
      <c r="L1179" s="233">
        <v>2.6</v>
      </c>
      <c r="M1179" s="234" t="s">
        <v>144</v>
      </c>
      <c r="N1179" s="234">
        <v>65370</v>
      </c>
      <c r="O1179" s="234">
        <v>24190</v>
      </c>
      <c r="P1179" s="242">
        <v>10</v>
      </c>
      <c r="Q1179" s="234">
        <v>41180</v>
      </c>
      <c r="R1179" s="234">
        <v>37062</v>
      </c>
      <c r="S1179" s="234" t="s">
        <v>3281</v>
      </c>
      <c r="T1179" s="236">
        <v>45954</v>
      </c>
    </row>
    <row r="1180" spans="1:20" ht="40.5" hidden="1" customHeight="1">
      <c r="A1180" s="239" t="s">
        <v>3212</v>
      </c>
      <c r="B1180" s="240">
        <v>2626</v>
      </c>
      <c r="C1180" s="241">
        <v>112</v>
      </c>
      <c r="D1180" s="239" t="s">
        <v>2881</v>
      </c>
      <c r="E1180" s="239" t="s">
        <v>429</v>
      </c>
      <c r="F1180" s="239" t="s">
        <v>430</v>
      </c>
      <c r="G1180" s="239" t="s">
        <v>144</v>
      </c>
      <c r="H1180" s="239" t="s">
        <v>51</v>
      </c>
      <c r="I1180" s="239" t="s">
        <v>2882</v>
      </c>
      <c r="J1180" s="233"/>
      <c r="K1180" s="235">
        <v>45954</v>
      </c>
      <c r="L1180" s="233">
        <v>1.8</v>
      </c>
      <c r="M1180" s="234" t="s">
        <v>144</v>
      </c>
      <c r="N1180" s="234">
        <v>43030</v>
      </c>
      <c r="O1180" s="234">
        <v>14520</v>
      </c>
      <c r="P1180" s="242">
        <v>13</v>
      </c>
      <c r="Q1180" s="234">
        <v>28510</v>
      </c>
      <c r="R1180" s="234">
        <v>24803.7</v>
      </c>
      <c r="S1180" s="234" t="s">
        <v>3283</v>
      </c>
      <c r="T1180" s="236">
        <v>45954</v>
      </c>
    </row>
    <row r="1181" spans="1:20" ht="40.5" hidden="1" customHeight="1">
      <c r="A1181" s="239" t="s">
        <v>3213</v>
      </c>
      <c r="B1181" s="240">
        <v>2629</v>
      </c>
      <c r="C1181" s="241">
        <v>115</v>
      </c>
      <c r="D1181" s="239" t="s">
        <v>2881</v>
      </c>
      <c r="E1181" s="239" t="s">
        <v>416</v>
      </c>
      <c r="F1181" s="239" t="s">
        <v>417</v>
      </c>
      <c r="G1181" s="239" t="s">
        <v>144</v>
      </c>
      <c r="H1181" s="239" t="s">
        <v>51</v>
      </c>
      <c r="I1181" s="239" t="s">
        <v>2882</v>
      </c>
      <c r="J1181" s="233"/>
      <c r="K1181" s="235">
        <v>45954</v>
      </c>
      <c r="L1181" s="233">
        <v>1.5</v>
      </c>
      <c r="M1181" s="234" t="s">
        <v>144</v>
      </c>
      <c r="N1181" s="234">
        <v>39760</v>
      </c>
      <c r="O1181" s="234">
        <v>14960</v>
      </c>
      <c r="P1181" s="242">
        <v>8</v>
      </c>
      <c r="Q1181" s="234">
        <v>24800</v>
      </c>
      <c r="R1181" s="234">
        <v>22816</v>
      </c>
      <c r="S1181" s="234" t="s">
        <v>3284</v>
      </c>
      <c r="T1181" s="236">
        <v>45955</v>
      </c>
    </row>
    <row r="1182" spans="1:20" ht="40.5" hidden="1" customHeight="1">
      <c r="A1182" s="239" t="s">
        <v>3214</v>
      </c>
      <c r="B1182" s="240">
        <v>2630</v>
      </c>
      <c r="C1182" s="241">
        <v>114</v>
      </c>
      <c r="D1182" s="239" t="s">
        <v>2881</v>
      </c>
      <c r="E1182" s="239" t="s">
        <v>456</v>
      </c>
      <c r="F1182" s="239" t="s">
        <v>457</v>
      </c>
      <c r="G1182" s="239" t="s">
        <v>144</v>
      </c>
      <c r="H1182" s="239" t="s">
        <v>51</v>
      </c>
      <c r="I1182" s="239" t="s">
        <v>2882</v>
      </c>
      <c r="J1182" s="233"/>
      <c r="K1182" s="235">
        <v>45954</v>
      </c>
      <c r="L1182" s="233">
        <v>2</v>
      </c>
      <c r="M1182" s="234" t="s">
        <v>144</v>
      </c>
      <c r="N1182" s="234">
        <v>48380</v>
      </c>
      <c r="O1182" s="234">
        <v>16100</v>
      </c>
      <c r="P1182" s="242">
        <v>5</v>
      </c>
      <c r="Q1182" s="234">
        <v>32280</v>
      </c>
      <c r="R1182" s="234">
        <v>30666</v>
      </c>
      <c r="S1182" s="234" t="s">
        <v>3285</v>
      </c>
      <c r="T1182" s="236">
        <v>45955</v>
      </c>
    </row>
    <row r="1183" spans="1:20" ht="40.5" hidden="1" customHeight="1">
      <c r="A1183" s="239" t="s">
        <v>3215</v>
      </c>
      <c r="B1183" s="240">
        <v>2631</v>
      </c>
      <c r="C1183" s="241">
        <v>103</v>
      </c>
      <c r="D1183" s="239" t="s">
        <v>2881</v>
      </c>
      <c r="E1183" s="239" t="s">
        <v>388</v>
      </c>
      <c r="F1183" s="239" t="s">
        <v>389</v>
      </c>
      <c r="G1183" s="239" t="s">
        <v>144</v>
      </c>
      <c r="H1183" s="239" t="s">
        <v>51</v>
      </c>
      <c r="I1183" s="239" t="s">
        <v>2882</v>
      </c>
      <c r="J1183" s="233"/>
      <c r="K1183" s="235">
        <v>45954</v>
      </c>
      <c r="L1183" s="233">
        <v>2.7</v>
      </c>
      <c r="M1183" s="234" t="s">
        <v>144</v>
      </c>
      <c r="N1183" s="234">
        <v>65510</v>
      </c>
      <c r="O1183" s="234">
        <v>21340</v>
      </c>
      <c r="P1183" s="242">
        <v>9</v>
      </c>
      <c r="Q1183" s="234">
        <v>44170</v>
      </c>
      <c r="R1183" s="234">
        <v>40194.699999999997</v>
      </c>
      <c r="S1183" s="234" t="s">
        <v>3286</v>
      </c>
      <c r="T1183" s="236">
        <v>45955</v>
      </c>
    </row>
    <row r="1184" spans="1:20" ht="40.5" hidden="1" customHeight="1">
      <c r="A1184" s="239" t="s">
        <v>3216</v>
      </c>
      <c r="B1184" s="240">
        <v>2632</v>
      </c>
      <c r="C1184" s="241">
        <v>116</v>
      </c>
      <c r="D1184" s="239" t="s">
        <v>2881</v>
      </c>
      <c r="E1184" s="239" t="s">
        <v>420</v>
      </c>
      <c r="F1184" s="239" t="s">
        <v>421</v>
      </c>
      <c r="G1184" s="239" t="s">
        <v>949</v>
      </c>
      <c r="H1184" s="239" t="s">
        <v>51</v>
      </c>
      <c r="I1184" s="239" t="s">
        <v>2882</v>
      </c>
      <c r="J1184" s="233"/>
      <c r="K1184" s="235">
        <v>45954</v>
      </c>
      <c r="L1184" s="233">
        <v>1</v>
      </c>
      <c r="M1184" s="234" t="s">
        <v>949</v>
      </c>
      <c r="N1184" s="234">
        <v>36960</v>
      </c>
      <c r="O1184" s="234">
        <v>15100</v>
      </c>
      <c r="P1184" s="242">
        <v>36</v>
      </c>
      <c r="Q1184" s="234">
        <v>21860</v>
      </c>
      <c r="R1184" s="234">
        <v>13990.4</v>
      </c>
      <c r="S1184" s="234" t="s">
        <v>3287</v>
      </c>
      <c r="T1184" s="236">
        <v>45955</v>
      </c>
    </row>
    <row r="1185" spans="1:20" ht="40.5" hidden="1" customHeight="1">
      <c r="A1185" s="239" t="s">
        <v>3217</v>
      </c>
      <c r="B1185" s="240">
        <v>2633</v>
      </c>
      <c r="C1185" s="241">
        <v>113</v>
      </c>
      <c r="D1185" s="239" t="s">
        <v>2881</v>
      </c>
      <c r="E1185" s="239" t="s">
        <v>453</v>
      </c>
      <c r="F1185" s="239" t="s">
        <v>454</v>
      </c>
      <c r="G1185" s="239" t="s">
        <v>949</v>
      </c>
      <c r="H1185" s="239" t="s">
        <v>51</v>
      </c>
      <c r="I1185" s="239" t="s">
        <v>2882</v>
      </c>
      <c r="J1185" s="233"/>
      <c r="K1185" s="235">
        <v>45954</v>
      </c>
      <c r="L1185" s="233">
        <v>1.9</v>
      </c>
      <c r="M1185" s="234" t="s">
        <v>949</v>
      </c>
      <c r="N1185" s="234">
        <v>65120</v>
      </c>
      <c r="O1185" s="234">
        <v>24710</v>
      </c>
      <c r="P1185" s="242">
        <v>20</v>
      </c>
      <c r="Q1185" s="234">
        <v>40410</v>
      </c>
      <c r="R1185" s="234">
        <v>32328</v>
      </c>
      <c r="S1185" s="234" t="s">
        <v>3288</v>
      </c>
      <c r="T1185" s="236">
        <v>45955</v>
      </c>
    </row>
    <row r="1186" spans="1:20" ht="40.5" hidden="1" customHeight="1">
      <c r="A1186" s="239" t="s">
        <v>3218</v>
      </c>
      <c r="B1186" s="240">
        <v>2634</v>
      </c>
      <c r="C1186" s="241">
        <v>117</v>
      </c>
      <c r="D1186" s="239" t="s">
        <v>2881</v>
      </c>
      <c r="E1186" s="239" t="s">
        <v>400</v>
      </c>
      <c r="F1186" s="239" t="s">
        <v>401</v>
      </c>
      <c r="G1186" s="239" t="s">
        <v>949</v>
      </c>
      <c r="H1186" s="239" t="s">
        <v>51</v>
      </c>
      <c r="I1186" s="239" t="s">
        <v>2882</v>
      </c>
      <c r="J1186" s="233"/>
      <c r="K1186" s="235">
        <v>45954</v>
      </c>
      <c r="L1186" s="233">
        <v>1.2</v>
      </c>
      <c r="M1186" s="234" t="s">
        <v>949</v>
      </c>
      <c r="N1186" s="234">
        <v>40430</v>
      </c>
      <c r="O1186" s="234">
        <v>14910</v>
      </c>
      <c r="P1186" s="242">
        <v>15</v>
      </c>
      <c r="Q1186" s="234">
        <v>25520</v>
      </c>
      <c r="R1186" s="234">
        <v>21692</v>
      </c>
      <c r="S1186" s="234" t="s">
        <v>3289</v>
      </c>
      <c r="T1186" s="236">
        <v>45955</v>
      </c>
    </row>
    <row r="1187" spans="1:20" ht="40.5" hidden="1" customHeight="1">
      <c r="A1187" s="239" t="s">
        <v>3219</v>
      </c>
      <c r="B1187" s="240">
        <v>2635</v>
      </c>
      <c r="C1187" s="241">
        <v>118</v>
      </c>
      <c r="D1187" s="239" t="s">
        <v>2881</v>
      </c>
      <c r="E1187" s="239" t="s">
        <v>382</v>
      </c>
      <c r="F1187" s="239" t="s">
        <v>383</v>
      </c>
      <c r="G1187" s="239" t="s">
        <v>949</v>
      </c>
      <c r="H1187" s="239" t="s">
        <v>51</v>
      </c>
      <c r="I1187" s="239" t="s">
        <v>2882</v>
      </c>
      <c r="J1187" s="233"/>
      <c r="K1187" s="235">
        <v>45954</v>
      </c>
      <c r="L1187" s="233">
        <v>1</v>
      </c>
      <c r="M1187" s="234" t="s">
        <v>949</v>
      </c>
      <c r="N1187" s="234">
        <v>36670</v>
      </c>
      <c r="O1187" s="234">
        <v>14860</v>
      </c>
      <c r="P1187" s="242">
        <v>27</v>
      </c>
      <c r="Q1187" s="234">
        <v>21810</v>
      </c>
      <c r="R1187" s="234">
        <v>15921.3</v>
      </c>
      <c r="S1187" s="234" t="s">
        <v>3290</v>
      </c>
      <c r="T1187" s="236">
        <v>45955</v>
      </c>
    </row>
    <row r="1188" spans="1:20" ht="40.5" hidden="1" customHeight="1">
      <c r="A1188" s="239" t="s">
        <v>3220</v>
      </c>
      <c r="B1188" s="240">
        <v>2636</v>
      </c>
      <c r="C1188" s="241">
        <v>119</v>
      </c>
      <c r="D1188" s="239" t="s">
        <v>2881</v>
      </c>
      <c r="E1188" s="239" t="s">
        <v>841</v>
      </c>
      <c r="F1188" s="239" t="s">
        <v>845</v>
      </c>
      <c r="G1188" s="239" t="s">
        <v>949</v>
      </c>
      <c r="H1188" s="239" t="s">
        <v>51</v>
      </c>
      <c r="I1188" s="239" t="s">
        <v>2882</v>
      </c>
      <c r="J1188" s="233"/>
      <c r="K1188" s="235">
        <v>45954</v>
      </c>
      <c r="L1188" s="233">
        <v>1.2</v>
      </c>
      <c r="M1188" s="234" t="s">
        <v>949</v>
      </c>
      <c r="N1188" s="234">
        <v>41660</v>
      </c>
      <c r="O1188" s="234">
        <v>15900</v>
      </c>
      <c r="P1188" s="242">
        <v>9</v>
      </c>
      <c r="Q1188" s="234">
        <v>25760</v>
      </c>
      <c r="R1188" s="234">
        <v>23441.599999999999</v>
      </c>
      <c r="S1188" s="234" t="s">
        <v>3291</v>
      </c>
      <c r="T1188" s="236">
        <v>45955</v>
      </c>
    </row>
    <row r="1189" spans="1:20" ht="40.5" hidden="1" customHeight="1">
      <c r="A1189" s="239" t="s">
        <v>3221</v>
      </c>
      <c r="B1189" s="240">
        <v>2637</v>
      </c>
      <c r="C1189" s="241">
        <v>120</v>
      </c>
      <c r="D1189" s="239" t="s">
        <v>2881</v>
      </c>
      <c r="E1189" s="239" t="s">
        <v>425</v>
      </c>
      <c r="F1189" s="239" t="s">
        <v>426</v>
      </c>
      <c r="G1189" s="239" t="s">
        <v>949</v>
      </c>
      <c r="H1189" s="239" t="s">
        <v>51</v>
      </c>
      <c r="I1189" s="239" t="s">
        <v>2882</v>
      </c>
      <c r="J1189" s="233"/>
      <c r="K1189" s="235">
        <v>45954</v>
      </c>
      <c r="L1189" s="233">
        <v>1.3</v>
      </c>
      <c r="M1189" s="234" t="s">
        <v>949</v>
      </c>
      <c r="N1189" s="234">
        <v>47570</v>
      </c>
      <c r="O1189" s="234">
        <v>18960</v>
      </c>
      <c r="P1189" s="242">
        <v>13</v>
      </c>
      <c r="Q1189" s="234">
        <v>28610</v>
      </c>
      <c r="R1189" s="234">
        <v>24890.7</v>
      </c>
      <c r="S1189" s="234" t="s">
        <v>3292</v>
      </c>
      <c r="T1189" s="236">
        <v>45955</v>
      </c>
    </row>
    <row r="1190" spans="1:20" ht="40.5" hidden="1" customHeight="1">
      <c r="A1190" s="239" t="s">
        <v>3222</v>
      </c>
      <c r="B1190" s="240">
        <v>2638</v>
      </c>
      <c r="C1190" s="241">
        <v>122</v>
      </c>
      <c r="D1190" s="239" t="s">
        <v>2881</v>
      </c>
      <c r="E1190" s="239" t="s">
        <v>384</v>
      </c>
      <c r="F1190" s="239" t="s">
        <v>385</v>
      </c>
      <c r="G1190" s="239" t="s">
        <v>949</v>
      </c>
      <c r="H1190" s="239" t="s">
        <v>51</v>
      </c>
      <c r="I1190" s="239" t="s">
        <v>2882</v>
      </c>
      <c r="J1190" s="233"/>
      <c r="K1190" s="235">
        <v>45954</v>
      </c>
      <c r="L1190" s="233">
        <v>1</v>
      </c>
      <c r="M1190" s="234" t="s">
        <v>949</v>
      </c>
      <c r="N1190" s="234">
        <v>35900</v>
      </c>
      <c r="O1190" s="234">
        <v>14090</v>
      </c>
      <c r="P1190" s="242">
        <v>9</v>
      </c>
      <c r="Q1190" s="234">
        <v>21810</v>
      </c>
      <c r="R1190" s="234">
        <v>19847.099999999999</v>
      </c>
      <c r="S1190" s="234" t="s">
        <v>3293</v>
      </c>
      <c r="T1190" s="236">
        <v>45955</v>
      </c>
    </row>
    <row r="1191" spans="1:20" ht="40.5" hidden="1" customHeight="1">
      <c r="A1191" s="239" t="s">
        <v>3223</v>
      </c>
      <c r="B1191" s="240">
        <v>2639</v>
      </c>
      <c r="C1191" s="241">
        <v>121</v>
      </c>
      <c r="D1191" s="239" t="s">
        <v>2881</v>
      </c>
      <c r="E1191" s="239" t="s">
        <v>2793</v>
      </c>
      <c r="F1191" s="239" t="s">
        <v>2794</v>
      </c>
      <c r="G1191" s="239" t="s">
        <v>949</v>
      </c>
      <c r="H1191" s="239" t="s">
        <v>51</v>
      </c>
      <c r="I1191" s="239" t="s">
        <v>2882</v>
      </c>
      <c r="J1191" s="233"/>
      <c r="K1191" s="235">
        <v>45954</v>
      </c>
      <c r="L1191" s="233">
        <v>1.4</v>
      </c>
      <c r="M1191" s="234" t="s">
        <v>949</v>
      </c>
      <c r="N1191" s="234">
        <v>47350</v>
      </c>
      <c r="O1191" s="234">
        <v>17730</v>
      </c>
      <c r="P1191" s="242">
        <v>14</v>
      </c>
      <c r="Q1191" s="234">
        <v>29620</v>
      </c>
      <c r="R1191" s="234">
        <v>25473.200000000001</v>
      </c>
      <c r="S1191" s="234" t="s">
        <v>3294</v>
      </c>
      <c r="T1191" s="236">
        <v>45955</v>
      </c>
    </row>
    <row r="1192" spans="1:20" ht="40.5" hidden="1" customHeight="1">
      <c r="A1192" s="239" t="s">
        <v>3224</v>
      </c>
      <c r="B1192" s="240">
        <v>2642</v>
      </c>
      <c r="C1192" s="241">
        <v>123</v>
      </c>
      <c r="D1192" s="239" t="s">
        <v>2881</v>
      </c>
      <c r="E1192" s="239" t="s">
        <v>783</v>
      </c>
      <c r="F1192" s="239" t="s">
        <v>784</v>
      </c>
      <c r="G1192" s="239" t="s">
        <v>949</v>
      </c>
      <c r="H1192" s="239" t="s">
        <v>51</v>
      </c>
      <c r="I1192" s="239" t="s">
        <v>2882</v>
      </c>
      <c r="J1192" s="233"/>
      <c r="K1192" s="235">
        <v>45955</v>
      </c>
      <c r="L1192" s="233">
        <v>1.2</v>
      </c>
      <c r="M1192" s="234" t="s">
        <v>949</v>
      </c>
      <c r="N1192" s="234">
        <v>39590</v>
      </c>
      <c r="O1192" s="234">
        <v>14630</v>
      </c>
      <c r="P1192" s="242">
        <v>7</v>
      </c>
      <c r="Q1192" s="234">
        <v>24960</v>
      </c>
      <c r="R1192" s="234">
        <v>23212.799999999999</v>
      </c>
      <c r="S1192" s="234" t="s">
        <v>3295</v>
      </c>
      <c r="T1192" s="236">
        <v>45955</v>
      </c>
    </row>
    <row r="1193" spans="1:20" ht="40.5" hidden="1" customHeight="1">
      <c r="A1193" s="239" t="s">
        <v>3225</v>
      </c>
      <c r="B1193" s="240">
        <v>2644</v>
      </c>
      <c r="C1193" s="241">
        <v>124</v>
      </c>
      <c r="D1193" s="239" t="s">
        <v>2881</v>
      </c>
      <c r="E1193" s="239" t="s">
        <v>403</v>
      </c>
      <c r="F1193" s="239" t="s">
        <v>404</v>
      </c>
      <c r="G1193" s="239" t="s">
        <v>949</v>
      </c>
      <c r="H1193" s="239" t="s">
        <v>51</v>
      </c>
      <c r="I1193" s="239" t="s">
        <v>2882</v>
      </c>
      <c r="J1193" s="233"/>
      <c r="K1193" s="235">
        <v>45955</v>
      </c>
      <c r="L1193" s="233">
        <v>1.2</v>
      </c>
      <c r="M1193" s="234" t="s">
        <v>949</v>
      </c>
      <c r="N1193" s="234">
        <v>40220</v>
      </c>
      <c r="O1193" s="234">
        <v>14710</v>
      </c>
      <c r="P1193" s="242">
        <v>11</v>
      </c>
      <c r="Q1193" s="234">
        <v>25510</v>
      </c>
      <c r="R1193" s="234">
        <v>22703.9</v>
      </c>
      <c r="S1193" s="234" t="s">
        <v>3296</v>
      </c>
      <c r="T1193" s="236">
        <v>45955</v>
      </c>
    </row>
    <row r="1194" spans="1:20" ht="40.5" hidden="1" customHeight="1">
      <c r="A1194" s="239" t="s">
        <v>3226</v>
      </c>
      <c r="B1194" s="240">
        <v>2645</v>
      </c>
      <c r="C1194" s="241">
        <v>125</v>
      </c>
      <c r="D1194" s="239" t="s">
        <v>2881</v>
      </c>
      <c r="E1194" s="239" t="s">
        <v>406</v>
      </c>
      <c r="F1194" s="239" t="s">
        <v>407</v>
      </c>
      <c r="G1194" s="239" t="s">
        <v>949</v>
      </c>
      <c r="H1194" s="239" t="s">
        <v>51</v>
      </c>
      <c r="I1194" s="239" t="s">
        <v>2882</v>
      </c>
      <c r="J1194" s="233"/>
      <c r="K1194" s="235">
        <v>45955</v>
      </c>
      <c r="L1194" s="233">
        <v>1.1000000000000001</v>
      </c>
      <c r="M1194" s="234" t="s">
        <v>949</v>
      </c>
      <c r="N1194" s="234">
        <v>39450</v>
      </c>
      <c r="O1194" s="234">
        <v>15280</v>
      </c>
      <c r="P1194" s="242">
        <v>9</v>
      </c>
      <c r="Q1194" s="234">
        <v>24170</v>
      </c>
      <c r="R1194" s="234">
        <v>21994.7</v>
      </c>
      <c r="S1194" s="234" t="s">
        <v>3297</v>
      </c>
      <c r="T1194" s="236">
        <v>45955</v>
      </c>
    </row>
    <row r="1195" spans="1:20" ht="40.5" hidden="1" customHeight="1">
      <c r="A1195" s="239" t="s">
        <v>3227</v>
      </c>
      <c r="B1195" s="240">
        <v>2646</v>
      </c>
      <c r="C1195" s="241">
        <v>126</v>
      </c>
      <c r="D1195" s="239" t="s">
        <v>2881</v>
      </c>
      <c r="E1195" s="239" t="s">
        <v>794</v>
      </c>
      <c r="F1195" s="239" t="s">
        <v>795</v>
      </c>
      <c r="G1195" s="239" t="s">
        <v>949</v>
      </c>
      <c r="H1195" s="239" t="s">
        <v>51</v>
      </c>
      <c r="I1195" s="239" t="s">
        <v>2882</v>
      </c>
      <c r="J1195" s="233"/>
      <c r="K1195" s="235">
        <v>45955</v>
      </c>
      <c r="L1195" s="233">
        <v>1.2</v>
      </c>
      <c r="M1195" s="234" t="s">
        <v>949</v>
      </c>
      <c r="N1195" s="234">
        <v>42790</v>
      </c>
      <c r="O1195" s="234">
        <v>16240</v>
      </c>
      <c r="P1195" s="242">
        <v>11</v>
      </c>
      <c r="Q1195" s="234">
        <v>26550</v>
      </c>
      <c r="R1195" s="234">
        <v>23629.5</v>
      </c>
      <c r="S1195" s="234" t="s">
        <v>3298</v>
      </c>
      <c r="T1195" s="236">
        <v>45955</v>
      </c>
    </row>
    <row r="1196" spans="1:20" ht="40.5" hidden="1" customHeight="1">
      <c r="A1196" s="239" t="s">
        <v>3228</v>
      </c>
      <c r="B1196" s="240">
        <v>2648</v>
      </c>
      <c r="C1196" s="241">
        <v>127</v>
      </c>
      <c r="D1196" s="239" t="s">
        <v>2881</v>
      </c>
      <c r="E1196" s="239" t="s">
        <v>791</v>
      </c>
      <c r="F1196" s="239" t="s">
        <v>792</v>
      </c>
      <c r="G1196" s="239" t="s">
        <v>949</v>
      </c>
      <c r="H1196" s="239" t="s">
        <v>51</v>
      </c>
      <c r="I1196" s="239" t="s">
        <v>2882</v>
      </c>
      <c r="J1196" s="233"/>
      <c r="K1196" s="235">
        <v>45956</v>
      </c>
      <c r="L1196" s="233">
        <v>1.2</v>
      </c>
      <c r="M1196" s="234" t="s">
        <v>949</v>
      </c>
      <c r="N1196" s="234">
        <v>40190</v>
      </c>
      <c r="O1196" s="234">
        <v>15090</v>
      </c>
      <c r="P1196" s="242">
        <v>8</v>
      </c>
      <c r="Q1196" s="234">
        <v>25100</v>
      </c>
      <c r="R1196" s="234">
        <v>23092</v>
      </c>
      <c r="S1196" s="234" t="s">
        <v>3299</v>
      </c>
      <c r="T1196" s="236">
        <v>45955</v>
      </c>
    </row>
    <row r="1197" spans="1:20" ht="40.5" hidden="1" customHeight="1">
      <c r="A1197" s="239" t="s">
        <v>3229</v>
      </c>
      <c r="B1197" s="240">
        <v>2650</v>
      </c>
      <c r="C1197" s="241">
        <v>128</v>
      </c>
      <c r="D1197" s="239" t="s">
        <v>2881</v>
      </c>
      <c r="E1197" s="239" t="s">
        <v>786</v>
      </c>
      <c r="F1197" s="239" t="s">
        <v>787</v>
      </c>
      <c r="G1197" s="239" t="s">
        <v>949</v>
      </c>
      <c r="H1197" s="239" t="s">
        <v>51</v>
      </c>
      <c r="I1197" s="239" t="s">
        <v>2882</v>
      </c>
      <c r="J1197" s="233"/>
      <c r="K1197" s="235">
        <v>45956</v>
      </c>
      <c r="L1197" s="233">
        <v>1</v>
      </c>
      <c r="M1197" s="234" t="s">
        <v>949</v>
      </c>
      <c r="N1197" s="234">
        <v>34860</v>
      </c>
      <c r="O1197" s="234">
        <v>13990</v>
      </c>
      <c r="P1197" s="242">
        <v>9</v>
      </c>
      <c r="Q1197" s="234">
        <v>20870</v>
      </c>
      <c r="R1197" s="234">
        <v>18991.7</v>
      </c>
      <c r="S1197" s="234" t="s">
        <v>3300</v>
      </c>
      <c r="T1197" s="236">
        <v>45955</v>
      </c>
    </row>
    <row r="1198" spans="1:20" ht="51" hidden="1">
      <c r="A1198" s="239" t="s">
        <v>3230</v>
      </c>
      <c r="B1198" s="240">
        <v>2652</v>
      </c>
      <c r="C1198" s="241">
        <v>129</v>
      </c>
      <c r="D1198" s="239" t="s">
        <v>2881</v>
      </c>
      <c r="E1198" s="239" t="s">
        <v>380</v>
      </c>
      <c r="F1198" s="239" t="s">
        <v>381</v>
      </c>
      <c r="G1198" s="239" t="s">
        <v>949</v>
      </c>
      <c r="H1198" s="239" t="s">
        <v>51</v>
      </c>
      <c r="I1198" s="239" t="s">
        <v>2882</v>
      </c>
      <c r="J1198" s="233"/>
      <c r="K1198" s="235">
        <v>45955</v>
      </c>
      <c r="L1198" s="233">
        <v>1.1000000000000001</v>
      </c>
      <c r="M1198" s="234" t="s">
        <v>949</v>
      </c>
      <c r="N1198" s="234">
        <v>39070</v>
      </c>
      <c r="O1198" s="234">
        <v>15260</v>
      </c>
      <c r="P1198" s="242">
        <v>15</v>
      </c>
      <c r="Q1198" s="234">
        <v>23810</v>
      </c>
      <c r="R1198" s="234">
        <v>20238.5</v>
      </c>
      <c r="S1198" s="234" t="s">
        <v>3301</v>
      </c>
      <c r="T1198" s="236">
        <v>45955</v>
      </c>
    </row>
    <row r="1199" spans="1:20" ht="38.25" hidden="1">
      <c r="A1199" s="239" t="s">
        <v>3232</v>
      </c>
      <c r="B1199" s="240">
        <v>2654</v>
      </c>
      <c r="C1199" s="241">
        <v>130</v>
      </c>
      <c r="D1199" s="239" t="s">
        <v>2881</v>
      </c>
      <c r="E1199" s="239" t="s">
        <v>447</v>
      </c>
      <c r="F1199" s="239" t="s">
        <v>448</v>
      </c>
      <c r="G1199" s="239" t="s">
        <v>949</v>
      </c>
      <c r="H1199" s="239" t="s">
        <v>51</v>
      </c>
      <c r="I1199" s="239" t="s">
        <v>2882</v>
      </c>
      <c r="J1199" s="233"/>
      <c r="K1199" s="235">
        <v>45955</v>
      </c>
      <c r="L1199" s="233">
        <v>1.3</v>
      </c>
      <c r="M1199" s="234" t="s">
        <v>949</v>
      </c>
      <c r="N1199" s="234">
        <v>47720</v>
      </c>
      <c r="O1199" s="234">
        <v>19870</v>
      </c>
      <c r="P1199" s="242">
        <v>25</v>
      </c>
      <c r="Q1199" s="234">
        <v>27850</v>
      </c>
      <c r="R1199" s="234">
        <v>20887.5</v>
      </c>
      <c r="S1199" s="234" t="s">
        <v>3303</v>
      </c>
      <c r="T1199" s="236">
        <v>45955</v>
      </c>
    </row>
    <row r="1200" spans="1:20" ht="38.25" hidden="1">
      <c r="A1200" s="239" t="s">
        <v>3231</v>
      </c>
      <c r="B1200" s="240">
        <v>2655</v>
      </c>
      <c r="C1200" s="241">
        <v>131</v>
      </c>
      <c r="D1200" s="239" t="s">
        <v>2881</v>
      </c>
      <c r="E1200" s="239" t="s">
        <v>372</v>
      </c>
      <c r="F1200" s="239" t="s">
        <v>373</v>
      </c>
      <c r="G1200" s="239" t="s">
        <v>949</v>
      </c>
      <c r="H1200" s="239" t="s">
        <v>51</v>
      </c>
      <c r="I1200" s="239" t="s">
        <v>2882</v>
      </c>
      <c r="J1200" s="233"/>
      <c r="K1200" s="235">
        <v>45955</v>
      </c>
      <c r="L1200" s="233">
        <v>1</v>
      </c>
      <c r="M1200" s="234" t="s">
        <v>949</v>
      </c>
      <c r="N1200" s="234">
        <v>37840</v>
      </c>
      <c r="O1200" s="234">
        <v>15190</v>
      </c>
      <c r="P1200" s="242">
        <v>11</v>
      </c>
      <c r="Q1200" s="234">
        <v>22650</v>
      </c>
      <c r="R1200" s="234">
        <v>20158.5</v>
      </c>
      <c r="S1200" s="234" t="s">
        <v>3302</v>
      </c>
      <c r="T1200" s="236">
        <v>45955</v>
      </c>
    </row>
    <row r="1201" spans="1:20" ht="51" hidden="1">
      <c r="A1201" s="239" t="s">
        <v>3233</v>
      </c>
      <c r="B1201" s="240">
        <v>2656</v>
      </c>
      <c r="C1201" s="241">
        <v>132</v>
      </c>
      <c r="D1201" s="239" t="s">
        <v>2881</v>
      </c>
      <c r="E1201" s="239" t="s">
        <v>369</v>
      </c>
      <c r="F1201" s="239" t="s">
        <v>370</v>
      </c>
      <c r="G1201" s="239" t="s">
        <v>949</v>
      </c>
      <c r="H1201" s="239" t="s">
        <v>51</v>
      </c>
      <c r="I1201" s="239" t="s">
        <v>2882</v>
      </c>
      <c r="J1201" s="233"/>
      <c r="K1201" s="235">
        <v>45955</v>
      </c>
      <c r="L1201" s="233">
        <v>1.1000000000000001</v>
      </c>
      <c r="M1201" s="234" t="s">
        <v>949</v>
      </c>
      <c r="N1201" s="234">
        <v>38140</v>
      </c>
      <c r="O1201" s="234">
        <v>15310</v>
      </c>
      <c r="P1201" s="242">
        <v>18</v>
      </c>
      <c r="Q1201" s="234">
        <v>22830</v>
      </c>
      <c r="R1201" s="234">
        <v>18720.599999999999</v>
      </c>
      <c r="S1201" s="234" t="s">
        <v>3304</v>
      </c>
      <c r="T1201" s="236">
        <v>45956</v>
      </c>
    </row>
    <row r="1202" spans="1:20" ht="38.25" hidden="1">
      <c r="A1202" s="239" t="s">
        <v>3234</v>
      </c>
      <c r="B1202" s="240">
        <v>2657</v>
      </c>
      <c r="C1202" s="241">
        <v>133</v>
      </c>
      <c r="D1202" s="239" t="s">
        <v>2881</v>
      </c>
      <c r="E1202" s="239" t="s">
        <v>432</v>
      </c>
      <c r="F1202" s="239" t="s">
        <v>433</v>
      </c>
      <c r="G1202" s="239" t="s">
        <v>949</v>
      </c>
      <c r="H1202" s="239" t="s">
        <v>51</v>
      </c>
      <c r="I1202" s="239" t="s">
        <v>2882</v>
      </c>
      <c r="J1202" s="233"/>
      <c r="K1202" s="235">
        <v>45956</v>
      </c>
      <c r="L1202" s="233">
        <v>1.2</v>
      </c>
      <c r="M1202" s="234" t="s">
        <v>949</v>
      </c>
      <c r="N1202" s="234">
        <v>42840</v>
      </c>
      <c r="O1202" s="234">
        <v>16220</v>
      </c>
      <c r="P1202" s="242">
        <v>12</v>
      </c>
      <c r="Q1202" s="234">
        <v>26620</v>
      </c>
      <c r="R1202" s="234">
        <v>23425.599999999999</v>
      </c>
      <c r="S1202" s="234" t="s">
        <v>3305</v>
      </c>
      <c r="T1202" s="236">
        <v>45956</v>
      </c>
    </row>
    <row r="1203" spans="1:20" ht="51" hidden="1">
      <c r="A1203" s="239" t="s">
        <v>3235</v>
      </c>
      <c r="B1203" s="240">
        <v>2659</v>
      </c>
      <c r="C1203" s="241">
        <v>134</v>
      </c>
      <c r="D1203" s="239" t="s">
        <v>2881</v>
      </c>
      <c r="E1203" s="239" t="s">
        <v>1410</v>
      </c>
      <c r="F1203" s="239" t="s">
        <v>437</v>
      </c>
      <c r="G1203" s="239" t="s">
        <v>949</v>
      </c>
      <c r="H1203" s="239" t="s">
        <v>51</v>
      </c>
      <c r="I1203" s="239" t="s">
        <v>2882</v>
      </c>
      <c r="J1203" s="233"/>
      <c r="K1203" s="235">
        <v>45955</v>
      </c>
      <c r="L1203" s="233">
        <v>1.2</v>
      </c>
      <c r="M1203" s="234" t="s">
        <v>949</v>
      </c>
      <c r="N1203" s="234">
        <v>40760</v>
      </c>
      <c r="O1203" s="234">
        <v>15190</v>
      </c>
      <c r="P1203" s="242">
        <v>6</v>
      </c>
      <c r="Q1203" s="234">
        <v>25570</v>
      </c>
      <c r="R1203" s="234">
        <v>24035.8</v>
      </c>
      <c r="S1203" s="234" t="s">
        <v>3306</v>
      </c>
      <c r="T1203" s="236">
        <v>45956</v>
      </c>
    </row>
    <row r="1204" spans="1:20" ht="38.25" hidden="1">
      <c r="A1204" s="239" t="s">
        <v>3236</v>
      </c>
      <c r="B1204" s="240">
        <v>2660</v>
      </c>
      <c r="C1204" s="241">
        <v>135</v>
      </c>
      <c r="D1204" s="239" t="s">
        <v>2881</v>
      </c>
      <c r="E1204" s="239" t="s">
        <v>439</v>
      </c>
      <c r="F1204" s="239" t="s">
        <v>440</v>
      </c>
      <c r="G1204" s="239" t="s">
        <v>949</v>
      </c>
      <c r="H1204" s="239" t="s">
        <v>51</v>
      </c>
      <c r="I1204" s="239" t="s">
        <v>2882</v>
      </c>
      <c r="J1204" s="233"/>
      <c r="K1204" s="235">
        <v>45955</v>
      </c>
      <c r="L1204" s="233">
        <v>1.2</v>
      </c>
      <c r="M1204" s="234" t="s">
        <v>949</v>
      </c>
      <c r="N1204" s="234">
        <v>42230</v>
      </c>
      <c r="O1204" s="234">
        <v>15350</v>
      </c>
      <c r="P1204" s="242">
        <v>11</v>
      </c>
      <c r="Q1204" s="234">
        <v>26880</v>
      </c>
      <c r="R1204" s="234">
        <v>23923.200000000001</v>
      </c>
      <c r="S1204" s="234" t="s">
        <v>3307</v>
      </c>
      <c r="T1204" s="236">
        <v>45956</v>
      </c>
    </row>
    <row r="1205" spans="1:20" ht="38.25" hidden="1">
      <c r="A1205" s="239" t="s">
        <v>3237</v>
      </c>
      <c r="B1205" s="240">
        <v>2661</v>
      </c>
      <c r="C1205" s="241">
        <v>136</v>
      </c>
      <c r="D1205" s="239" t="s">
        <v>2881</v>
      </c>
      <c r="E1205" s="239" t="s">
        <v>413</v>
      </c>
      <c r="F1205" s="239" t="s">
        <v>414</v>
      </c>
      <c r="G1205" s="239" t="s">
        <v>949</v>
      </c>
      <c r="H1205" s="239" t="s">
        <v>51</v>
      </c>
      <c r="I1205" s="239" t="s">
        <v>2882</v>
      </c>
      <c r="J1205" s="233"/>
      <c r="K1205" s="235">
        <v>45955</v>
      </c>
      <c r="L1205" s="233">
        <v>1.3</v>
      </c>
      <c r="M1205" s="234" t="s">
        <v>949</v>
      </c>
      <c r="N1205" s="234">
        <v>42640</v>
      </c>
      <c r="O1205" s="234">
        <v>15310</v>
      </c>
      <c r="P1205" s="242">
        <v>16</v>
      </c>
      <c r="Q1205" s="234">
        <v>27330</v>
      </c>
      <c r="R1205" s="234">
        <v>22957.200000000001</v>
      </c>
      <c r="S1205" s="234" t="s">
        <v>3308</v>
      </c>
      <c r="T1205" s="236">
        <v>45956</v>
      </c>
    </row>
    <row r="1206" spans="1:20" ht="25.5" hidden="1">
      <c r="A1206" s="239" t="s">
        <v>3238</v>
      </c>
      <c r="B1206" s="240">
        <v>2662</v>
      </c>
      <c r="C1206" s="241">
        <v>137</v>
      </c>
      <c r="D1206" s="239" t="s">
        <v>2881</v>
      </c>
      <c r="E1206" s="239" t="s">
        <v>429</v>
      </c>
      <c r="F1206" s="239" t="s">
        <v>430</v>
      </c>
      <c r="G1206" s="239" t="s">
        <v>949</v>
      </c>
      <c r="H1206" s="239" t="s">
        <v>51</v>
      </c>
      <c r="I1206" s="239" t="s">
        <v>2882</v>
      </c>
      <c r="J1206" s="233"/>
      <c r="K1206" s="235">
        <v>45955</v>
      </c>
      <c r="L1206" s="233">
        <v>1.3</v>
      </c>
      <c r="M1206" s="234" t="s">
        <v>949</v>
      </c>
      <c r="N1206" s="234">
        <v>41830</v>
      </c>
      <c r="O1206" s="234">
        <v>14660</v>
      </c>
      <c r="P1206" s="242">
        <v>5</v>
      </c>
      <c r="Q1206" s="234">
        <v>27170</v>
      </c>
      <c r="R1206" s="234">
        <v>25811.5</v>
      </c>
      <c r="S1206" s="234" t="s">
        <v>3309</v>
      </c>
      <c r="T1206" s="236">
        <v>45956</v>
      </c>
    </row>
    <row r="1207" spans="1:20" ht="38.25" hidden="1">
      <c r="A1207" s="239" t="s">
        <v>3239</v>
      </c>
      <c r="B1207" s="240">
        <v>2663</v>
      </c>
      <c r="C1207" s="241">
        <v>138</v>
      </c>
      <c r="D1207" s="239" t="s">
        <v>2881</v>
      </c>
      <c r="E1207" s="239" t="s">
        <v>416</v>
      </c>
      <c r="F1207" s="239" t="s">
        <v>417</v>
      </c>
      <c r="G1207" s="239" t="s">
        <v>949</v>
      </c>
      <c r="H1207" s="239" t="s">
        <v>51</v>
      </c>
      <c r="I1207" s="239" t="s">
        <v>2882</v>
      </c>
      <c r="J1207" s="233"/>
      <c r="K1207" s="235">
        <v>45955</v>
      </c>
      <c r="L1207" s="233">
        <v>1.1000000000000001</v>
      </c>
      <c r="M1207" s="234" t="s">
        <v>949</v>
      </c>
      <c r="N1207" s="234">
        <v>39500</v>
      </c>
      <c r="O1207" s="234">
        <v>14960</v>
      </c>
      <c r="P1207" s="242">
        <v>17</v>
      </c>
      <c r="Q1207" s="234">
        <v>24540</v>
      </c>
      <c r="R1207" s="234">
        <v>20368.2</v>
      </c>
      <c r="S1207" s="234" t="s">
        <v>3310</v>
      </c>
      <c r="T1207" s="236">
        <v>45956</v>
      </c>
    </row>
    <row r="1208" spans="1:20" ht="38.25" hidden="1">
      <c r="A1208" s="239" t="s">
        <v>3241</v>
      </c>
      <c r="B1208" s="240">
        <v>2664</v>
      </c>
      <c r="C1208" s="241">
        <v>139</v>
      </c>
      <c r="D1208" s="239" t="s">
        <v>2881</v>
      </c>
      <c r="E1208" s="239" t="s">
        <v>456</v>
      </c>
      <c r="F1208" s="239" t="s">
        <v>457</v>
      </c>
      <c r="G1208" s="239" t="s">
        <v>949</v>
      </c>
      <c r="H1208" s="239" t="s">
        <v>51</v>
      </c>
      <c r="I1208" s="239" t="s">
        <v>2882</v>
      </c>
      <c r="J1208" s="233"/>
      <c r="K1208" s="235">
        <v>45955</v>
      </c>
      <c r="L1208" s="233">
        <v>1.4</v>
      </c>
      <c r="M1208" s="234" t="s">
        <v>949</v>
      </c>
      <c r="N1208" s="234">
        <v>47160</v>
      </c>
      <c r="O1208" s="234">
        <v>16140</v>
      </c>
      <c r="P1208" s="242">
        <v>10</v>
      </c>
      <c r="Q1208" s="234">
        <v>31020</v>
      </c>
      <c r="R1208" s="234">
        <v>27918</v>
      </c>
      <c r="S1208" s="234" t="s">
        <v>3312</v>
      </c>
      <c r="T1208" s="236">
        <v>45956</v>
      </c>
    </row>
    <row r="1209" spans="1:20" ht="38.25" hidden="1">
      <c r="A1209" s="239" t="s">
        <v>3242</v>
      </c>
      <c r="B1209" s="240">
        <v>2665</v>
      </c>
      <c r="C1209" s="241">
        <v>141</v>
      </c>
      <c r="D1209" s="239" t="s">
        <v>2881</v>
      </c>
      <c r="E1209" s="239" t="s">
        <v>420</v>
      </c>
      <c r="F1209" s="239" t="s">
        <v>421</v>
      </c>
      <c r="G1209" s="239" t="s">
        <v>949</v>
      </c>
      <c r="H1209" s="239" t="s">
        <v>51</v>
      </c>
      <c r="I1209" s="239" t="s">
        <v>2882</v>
      </c>
      <c r="J1209" s="233"/>
      <c r="K1209" s="235">
        <v>45955</v>
      </c>
      <c r="L1209" s="233">
        <v>1</v>
      </c>
      <c r="M1209" s="234" t="s">
        <v>949</v>
      </c>
      <c r="N1209" s="234">
        <v>37460</v>
      </c>
      <c r="O1209" s="234">
        <v>15070</v>
      </c>
      <c r="P1209" s="242">
        <v>9</v>
      </c>
      <c r="Q1209" s="234">
        <v>22390</v>
      </c>
      <c r="R1209" s="234">
        <v>20374.900000000001</v>
      </c>
      <c r="S1209" s="234" t="s">
        <v>3313</v>
      </c>
      <c r="T1209" s="236">
        <v>45956</v>
      </c>
    </row>
    <row r="1210" spans="1:20" ht="38.25" hidden="1">
      <c r="A1210" s="239" t="s">
        <v>3244</v>
      </c>
      <c r="B1210" s="240">
        <v>2666</v>
      </c>
      <c r="C1210" s="241">
        <v>143</v>
      </c>
      <c r="D1210" s="239" t="s">
        <v>2881</v>
      </c>
      <c r="E1210" s="239" t="s">
        <v>841</v>
      </c>
      <c r="F1210" s="239" t="s">
        <v>845</v>
      </c>
      <c r="G1210" s="239" t="s">
        <v>949</v>
      </c>
      <c r="H1210" s="239" t="s">
        <v>51</v>
      </c>
      <c r="I1210" s="239" t="s">
        <v>2882</v>
      </c>
      <c r="J1210" s="233"/>
      <c r="K1210" s="235">
        <v>45955</v>
      </c>
      <c r="L1210" s="233">
        <v>1.1000000000000001</v>
      </c>
      <c r="M1210" s="234" t="s">
        <v>949</v>
      </c>
      <c r="N1210" s="234">
        <v>39580</v>
      </c>
      <c r="O1210" s="234">
        <v>15960</v>
      </c>
      <c r="P1210" s="242">
        <v>14</v>
      </c>
      <c r="Q1210" s="234">
        <v>23620</v>
      </c>
      <c r="R1210" s="234">
        <v>20313.2</v>
      </c>
      <c r="S1210" s="234" t="s">
        <v>3315</v>
      </c>
      <c r="T1210" s="236">
        <v>45956</v>
      </c>
    </row>
    <row r="1211" spans="1:20" ht="38.25" hidden="1">
      <c r="A1211" s="239" t="s">
        <v>3247</v>
      </c>
      <c r="B1211" s="240">
        <v>2668</v>
      </c>
      <c r="C1211" s="241">
        <v>142</v>
      </c>
      <c r="D1211" s="239" t="s">
        <v>2881</v>
      </c>
      <c r="E1211" s="239" t="s">
        <v>453</v>
      </c>
      <c r="F1211" s="239" t="s">
        <v>454</v>
      </c>
      <c r="G1211" s="239" t="s">
        <v>949</v>
      </c>
      <c r="H1211" s="239" t="s">
        <v>51</v>
      </c>
      <c r="I1211" s="239" t="s">
        <v>2882</v>
      </c>
      <c r="J1211" s="233"/>
      <c r="K1211" s="235">
        <v>45955</v>
      </c>
      <c r="L1211" s="233">
        <v>1.6</v>
      </c>
      <c r="M1211" s="234" t="s">
        <v>949</v>
      </c>
      <c r="N1211" s="234">
        <v>60070</v>
      </c>
      <c r="O1211" s="234">
        <v>24880</v>
      </c>
      <c r="P1211" s="242">
        <v>19</v>
      </c>
      <c r="Q1211" s="234">
        <v>35190</v>
      </c>
      <c r="R1211" s="234">
        <v>28503.9</v>
      </c>
      <c r="S1211" s="234" t="s">
        <v>3318</v>
      </c>
      <c r="T1211" s="236">
        <v>45956</v>
      </c>
    </row>
    <row r="1212" spans="1:20" ht="38.25" hidden="1">
      <c r="A1212" s="239" t="s">
        <v>3249</v>
      </c>
      <c r="B1212" s="240">
        <v>2669</v>
      </c>
      <c r="C1212" s="241">
        <v>140</v>
      </c>
      <c r="D1212" s="239" t="s">
        <v>2881</v>
      </c>
      <c r="E1212" s="239" t="s">
        <v>388</v>
      </c>
      <c r="F1212" s="239" t="s">
        <v>389</v>
      </c>
      <c r="G1212" s="239" t="s">
        <v>949</v>
      </c>
      <c r="H1212" s="239" t="s">
        <v>51</v>
      </c>
      <c r="I1212" s="239" t="s">
        <v>2882</v>
      </c>
      <c r="J1212" s="233"/>
      <c r="K1212" s="235">
        <v>45955</v>
      </c>
      <c r="L1212" s="233">
        <v>1.7</v>
      </c>
      <c r="M1212" s="234" t="s">
        <v>949</v>
      </c>
      <c r="N1212" s="234">
        <v>57650</v>
      </c>
      <c r="O1212" s="234">
        <v>21550</v>
      </c>
      <c r="P1212" s="242">
        <v>12</v>
      </c>
      <c r="Q1212" s="234">
        <v>36100</v>
      </c>
      <c r="R1212" s="234">
        <v>31768</v>
      </c>
      <c r="S1212" s="234" t="s">
        <v>3320</v>
      </c>
      <c r="T1212" s="236">
        <v>45956</v>
      </c>
    </row>
    <row r="1213" spans="1:20" ht="38.25" hidden="1">
      <c r="A1213" s="239" t="s">
        <v>3250</v>
      </c>
      <c r="B1213" s="240">
        <v>2670</v>
      </c>
      <c r="C1213" s="241">
        <v>144</v>
      </c>
      <c r="D1213" s="239" t="s">
        <v>2881</v>
      </c>
      <c r="E1213" s="239" t="s">
        <v>858</v>
      </c>
      <c r="F1213" s="239" t="s">
        <v>859</v>
      </c>
      <c r="G1213" s="239" t="s">
        <v>949</v>
      </c>
      <c r="H1213" s="239" t="s">
        <v>51</v>
      </c>
      <c r="I1213" s="239" t="s">
        <v>2882</v>
      </c>
      <c r="J1213" s="233"/>
      <c r="K1213" s="235">
        <v>45955</v>
      </c>
      <c r="L1213" s="233">
        <v>1.2</v>
      </c>
      <c r="M1213" s="234" t="s">
        <v>949</v>
      </c>
      <c r="N1213" s="234">
        <v>41370</v>
      </c>
      <c r="O1213" s="234">
        <v>15080</v>
      </c>
      <c r="P1213" s="242">
        <v>14</v>
      </c>
      <c r="Q1213" s="234">
        <v>26290</v>
      </c>
      <c r="R1213" s="234">
        <v>22609.4</v>
      </c>
      <c r="S1213" s="234" t="s">
        <v>3321</v>
      </c>
      <c r="T1213" s="236">
        <v>45956</v>
      </c>
    </row>
    <row r="1214" spans="1:20" ht="38.25" hidden="1">
      <c r="A1214" s="239" t="s">
        <v>3251</v>
      </c>
      <c r="B1214" s="240">
        <v>2671</v>
      </c>
      <c r="C1214" s="241">
        <v>145</v>
      </c>
      <c r="D1214" s="239" t="s">
        <v>2881</v>
      </c>
      <c r="E1214" s="239" t="s">
        <v>400</v>
      </c>
      <c r="F1214" s="239" t="s">
        <v>401</v>
      </c>
      <c r="G1214" s="239" t="s">
        <v>949</v>
      </c>
      <c r="H1214" s="239" t="s">
        <v>51</v>
      </c>
      <c r="I1214" s="239" t="s">
        <v>2882</v>
      </c>
      <c r="J1214" s="233"/>
      <c r="K1214" s="235">
        <v>45955</v>
      </c>
      <c r="L1214" s="233">
        <v>1.1000000000000001</v>
      </c>
      <c r="M1214" s="234" t="s">
        <v>949</v>
      </c>
      <c r="N1214" s="234">
        <v>39590</v>
      </c>
      <c r="O1214" s="234">
        <v>14960</v>
      </c>
      <c r="P1214" s="242">
        <v>16</v>
      </c>
      <c r="Q1214" s="234">
        <v>24630</v>
      </c>
      <c r="R1214" s="234">
        <v>20689.2</v>
      </c>
      <c r="S1214" s="234" t="s">
        <v>3322</v>
      </c>
      <c r="T1214" s="236">
        <v>45956</v>
      </c>
    </row>
    <row r="1215" spans="1:20" ht="25.5" hidden="1">
      <c r="A1215" s="239" t="s">
        <v>3252</v>
      </c>
      <c r="B1215" s="240">
        <v>2672</v>
      </c>
      <c r="C1215" s="241">
        <v>146</v>
      </c>
      <c r="D1215" s="239" t="s">
        <v>2881</v>
      </c>
      <c r="E1215" s="239" t="s">
        <v>410</v>
      </c>
      <c r="F1215" s="239" t="s">
        <v>411</v>
      </c>
      <c r="G1215" s="239" t="s">
        <v>949</v>
      </c>
      <c r="H1215" s="239" t="s">
        <v>51</v>
      </c>
      <c r="I1215" s="239" t="s">
        <v>2882</v>
      </c>
      <c r="J1215" s="233"/>
      <c r="K1215" s="235">
        <v>45955</v>
      </c>
      <c r="L1215" s="233">
        <v>1.1000000000000001</v>
      </c>
      <c r="M1215" s="234" t="s">
        <v>949</v>
      </c>
      <c r="N1215" s="234">
        <v>39870</v>
      </c>
      <c r="O1215" s="234">
        <v>15470</v>
      </c>
      <c r="P1215" s="242">
        <v>17</v>
      </c>
      <c r="Q1215" s="234">
        <v>24400</v>
      </c>
      <c r="R1215" s="234">
        <v>20252</v>
      </c>
      <c r="S1215" s="234" t="s">
        <v>3323</v>
      </c>
      <c r="T1215" s="236">
        <v>45956</v>
      </c>
    </row>
    <row r="1216" spans="1:20" ht="51" hidden="1">
      <c r="A1216" s="239" t="s">
        <v>3240</v>
      </c>
      <c r="B1216" s="240">
        <v>2674</v>
      </c>
      <c r="C1216" s="241">
        <v>147</v>
      </c>
      <c r="D1216" s="239" t="s">
        <v>2881</v>
      </c>
      <c r="E1216" s="239" t="s">
        <v>382</v>
      </c>
      <c r="F1216" s="239" t="s">
        <v>383</v>
      </c>
      <c r="G1216" s="239" t="s">
        <v>949</v>
      </c>
      <c r="H1216" s="239" t="s">
        <v>51</v>
      </c>
      <c r="I1216" s="239" t="s">
        <v>2882</v>
      </c>
      <c r="J1216" s="233"/>
      <c r="K1216" s="235">
        <v>45955</v>
      </c>
      <c r="L1216" s="233">
        <v>1.1000000000000001</v>
      </c>
      <c r="M1216" s="234" t="s">
        <v>949</v>
      </c>
      <c r="N1216" s="234">
        <v>37950</v>
      </c>
      <c r="O1216" s="234">
        <v>14920</v>
      </c>
      <c r="P1216" s="242">
        <v>12</v>
      </c>
      <c r="Q1216" s="234">
        <v>23030</v>
      </c>
      <c r="R1216" s="234">
        <v>20266.400000000001</v>
      </c>
      <c r="S1216" s="234" t="s">
        <v>3311</v>
      </c>
      <c r="T1216" s="236">
        <v>45956</v>
      </c>
    </row>
    <row r="1217" spans="1:20" ht="38.25" hidden="1">
      <c r="A1217" s="239" t="s">
        <v>3243</v>
      </c>
      <c r="B1217" s="240">
        <v>2676</v>
      </c>
      <c r="C1217" s="241">
        <v>148</v>
      </c>
      <c r="D1217" s="239" t="s">
        <v>2881</v>
      </c>
      <c r="E1217" s="239" t="s">
        <v>390</v>
      </c>
      <c r="F1217" s="239" t="s">
        <v>391</v>
      </c>
      <c r="G1217" s="239" t="s">
        <v>949</v>
      </c>
      <c r="H1217" s="239" t="s">
        <v>51</v>
      </c>
      <c r="I1217" s="239" t="s">
        <v>2882</v>
      </c>
      <c r="J1217" s="233"/>
      <c r="K1217" s="235">
        <v>45956</v>
      </c>
      <c r="L1217" s="233">
        <v>1.1000000000000001</v>
      </c>
      <c r="M1217" s="234" t="s">
        <v>949</v>
      </c>
      <c r="N1217" s="234">
        <v>38650</v>
      </c>
      <c r="O1217" s="234">
        <v>15170</v>
      </c>
      <c r="P1217" s="242">
        <v>15</v>
      </c>
      <c r="Q1217" s="234">
        <v>23480</v>
      </c>
      <c r="R1217" s="234">
        <v>19958</v>
      </c>
      <c r="S1217" s="234" t="s">
        <v>3314</v>
      </c>
      <c r="T1217" s="236">
        <v>45956</v>
      </c>
    </row>
    <row r="1218" spans="1:20" ht="25.5" hidden="1">
      <c r="A1218" s="239" t="s">
        <v>3245</v>
      </c>
      <c r="B1218" s="240">
        <v>2679</v>
      </c>
      <c r="C1218" s="241">
        <v>150</v>
      </c>
      <c r="D1218" s="239" t="s">
        <v>2881</v>
      </c>
      <c r="E1218" s="239" t="s">
        <v>783</v>
      </c>
      <c r="F1218" s="239" t="s">
        <v>784</v>
      </c>
      <c r="G1218" s="239" t="s">
        <v>949</v>
      </c>
      <c r="H1218" s="239" t="s">
        <v>51</v>
      </c>
      <c r="I1218" s="239" t="s">
        <v>2882</v>
      </c>
      <c r="J1218" s="233"/>
      <c r="K1218" s="235">
        <v>45956</v>
      </c>
      <c r="L1218" s="233">
        <v>1.1000000000000001</v>
      </c>
      <c r="M1218" s="234" t="s">
        <v>949</v>
      </c>
      <c r="N1218" s="234">
        <v>38380</v>
      </c>
      <c r="O1218" s="234">
        <v>14800</v>
      </c>
      <c r="P1218" s="242">
        <v>20</v>
      </c>
      <c r="Q1218" s="234">
        <v>23580</v>
      </c>
      <c r="R1218" s="234">
        <v>18864</v>
      </c>
      <c r="S1218" s="234" t="s">
        <v>3316</v>
      </c>
      <c r="T1218" s="236">
        <v>45956</v>
      </c>
    </row>
    <row r="1219" spans="1:20" ht="25.5" hidden="1">
      <c r="A1219" s="239" t="s">
        <v>3246</v>
      </c>
      <c r="B1219" s="240">
        <v>2681</v>
      </c>
      <c r="C1219" s="241">
        <v>151</v>
      </c>
      <c r="D1219" s="239" t="s">
        <v>2881</v>
      </c>
      <c r="E1219" s="239" t="s">
        <v>794</v>
      </c>
      <c r="F1219" s="239" t="s">
        <v>795</v>
      </c>
      <c r="G1219" s="239" t="s">
        <v>949</v>
      </c>
      <c r="H1219" s="239" t="s">
        <v>51</v>
      </c>
      <c r="I1219" s="239" t="s">
        <v>2882</v>
      </c>
      <c r="J1219" s="233"/>
      <c r="K1219" s="235">
        <v>45956</v>
      </c>
      <c r="L1219" s="233">
        <v>1.1000000000000001</v>
      </c>
      <c r="M1219" s="234" t="s">
        <v>949</v>
      </c>
      <c r="N1219" s="234">
        <v>40120</v>
      </c>
      <c r="O1219" s="234">
        <v>16280</v>
      </c>
      <c r="P1219" s="242">
        <v>10</v>
      </c>
      <c r="Q1219" s="234">
        <v>23840</v>
      </c>
      <c r="R1219" s="234">
        <v>21456</v>
      </c>
      <c r="S1219" s="234" t="s">
        <v>3317</v>
      </c>
      <c r="T1219" s="236">
        <v>45956</v>
      </c>
    </row>
    <row r="1220" spans="1:20" ht="25.5" hidden="1">
      <c r="A1220" s="239" t="s">
        <v>3248</v>
      </c>
      <c r="B1220" s="240">
        <v>2682</v>
      </c>
      <c r="C1220" s="241">
        <v>152</v>
      </c>
      <c r="D1220" s="239" t="s">
        <v>2881</v>
      </c>
      <c r="E1220" s="239" t="s">
        <v>403</v>
      </c>
      <c r="F1220" s="239" t="s">
        <v>404</v>
      </c>
      <c r="G1220" s="239" t="s">
        <v>949</v>
      </c>
      <c r="H1220" s="239" t="s">
        <v>51</v>
      </c>
      <c r="I1220" s="239" t="s">
        <v>2882</v>
      </c>
      <c r="J1220" s="233"/>
      <c r="K1220" s="235">
        <v>45956</v>
      </c>
      <c r="L1220" s="233">
        <v>1.2</v>
      </c>
      <c r="M1220" s="234" t="s">
        <v>949</v>
      </c>
      <c r="N1220" s="234">
        <v>38970</v>
      </c>
      <c r="O1220" s="234">
        <v>14770</v>
      </c>
      <c r="P1220" s="242">
        <v>21</v>
      </c>
      <c r="Q1220" s="234">
        <v>24200</v>
      </c>
      <c r="R1220" s="234">
        <v>19118</v>
      </c>
      <c r="S1220" s="234" t="s">
        <v>3319</v>
      </c>
      <c r="T1220" s="236">
        <v>45956</v>
      </c>
    </row>
    <row r="1221" spans="1:20" ht="38.25" hidden="1">
      <c r="A1221" s="239" t="s">
        <v>3411</v>
      </c>
      <c r="B1221" s="240">
        <v>2683</v>
      </c>
      <c r="C1221" s="241">
        <v>149</v>
      </c>
      <c r="D1221" s="239" t="s">
        <v>2881</v>
      </c>
      <c r="E1221" s="239" t="s">
        <v>392</v>
      </c>
      <c r="F1221" s="239" t="s">
        <v>393</v>
      </c>
      <c r="G1221" s="239" t="s">
        <v>951</v>
      </c>
      <c r="H1221" s="239" t="s">
        <v>51</v>
      </c>
      <c r="I1221" s="239" t="s">
        <v>2882</v>
      </c>
      <c r="J1221" s="233"/>
      <c r="K1221" s="235">
        <v>45955</v>
      </c>
      <c r="L1221" s="233">
        <v>1.8</v>
      </c>
      <c r="M1221" s="234" t="s">
        <v>951</v>
      </c>
      <c r="N1221" s="234">
        <v>62600</v>
      </c>
      <c r="O1221" s="234">
        <v>24250</v>
      </c>
      <c r="P1221" s="242">
        <v>18</v>
      </c>
      <c r="Q1221" s="234">
        <v>38350</v>
      </c>
      <c r="R1221" s="234">
        <v>31447</v>
      </c>
      <c r="S1221" s="234" t="s">
        <v>3414</v>
      </c>
      <c r="T1221" s="236">
        <v>45956</v>
      </c>
    </row>
    <row r="1222" spans="1:20" ht="38.25" hidden="1">
      <c r="A1222" s="239" t="s">
        <v>3412</v>
      </c>
      <c r="B1222" s="240">
        <v>2685</v>
      </c>
      <c r="C1222" s="241">
        <v>154</v>
      </c>
      <c r="D1222" s="239" t="s">
        <v>2881</v>
      </c>
      <c r="E1222" s="239" t="s">
        <v>442</v>
      </c>
      <c r="F1222" s="239" t="s">
        <v>443</v>
      </c>
      <c r="G1222" s="239" t="s">
        <v>951</v>
      </c>
      <c r="H1222" s="239" t="s">
        <v>51</v>
      </c>
      <c r="I1222" s="239" t="s">
        <v>2882</v>
      </c>
      <c r="J1222" s="233"/>
      <c r="K1222" s="235">
        <v>45955</v>
      </c>
      <c r="L1222" s="233">
        <v>0.9</v>
      </c>
      <c r="M1222" s="234" t="s">
        <v>951</v>
      </c>
      <c r="N1222" s="234">
        <v>34980</v>
      </c>
      <c r="O1222" s="234">
        <v>14840</v>
      </c>
      <c r="P1222" s="242">
        <v>18</v>
      </c>
      <c r="Q1222" s="234">
        <v>20140</v>
      </c>
      <c r="R1222" s="234">
        <v>16514.8</v>
      </c>
      <c r="S1222" s="234" t="s">
        <v>3415</v>
      </c>
      <c r="T1222" s="236">
        <v>45956</v>
      </c>
    </row>
    <row r="1223" spans="1:20" ht="38.25" hidden="1">
      <c r="A1223" s="239" t="s">
        <v>3413</v>
      </c>
      <c r="B1223" s="240">
        <v>2686</v>
      </c>
      <c r="C1223" s="241">
        <v>155</v>
      </c>
      <c r="D1223" s="239" t="s">
        <v>2881</v>
      </c>
      <c r="E1223" s="239" t="s">
        <v>786</v>
      </c>
      <c r="F1223" s="239" t="s">
        <v>787</v>
      </c>
      <c r="G1223" s="239" t="s">
        <v>951</v>
      </c>
      <c r="H1223" s="239" t="s">
        <v>51</v>
      </c>
      <c r="I1223" s="239" t="s">
        <v>2882</v>
      </c>
      <c r="J1223" s="233"/>
      <c r="K1223" s="235">
        <v>45955</v>
      </c>
      <c r="L1223" s="233">
        <v>1</v>
      </c>
      <c r="M1223" s="234" t="s">
        <v>951</v>
      </c>
      <c r="N1223" s="234">
        <v>36390</v>
      </c>
      <c r="O1223" s="234">
        <v>14210</v>
      </c>
      <c r="P1223" s="242">
        <v>5</v>
      </c>
      <c r="Q1223" s="234">
        <v>22180</v>
      </c>
      <c r="R1223" s="234">
        <v>21071</v>
      </c>
      <c r="S1223" s="234" t="s">
        <v>3416</v>
      </c>
      <c r="T1223" s="236">
        <v>45956</v>
      </c>
    </row>
    <row r="1224" spans="1:20" ht="25.5" hidden="1">
      <c r="A1224" s="239" t="s">
        <v>3325</v>
      </c>
      <c r="B1224" s="240">
        <v>2688</v>
      </c>
      <c r="C1224" s="241">
        <v>153</v>
      </c>
      <c r="D1224" s="239" t="s">
        <v>2881</v>
      </c>
      <c r="E1224" s="239" t="s">
        <v>791</v>
      </c>
      <c r="F1224" s="239" t="s">
        <v>792</v>
      </c>
      <c r="G1224" s="239" t="s">
        <v>951</v>
      </c>
      <c r="H1224" s="239" t="s">
        <v>51</v>
      </c>
      <c r="I1224" s="239" t="s">
        <v>2882</v>
      </c>
      <c r="J1224" s="233"/>
      <c r="K1224" s="235">
        <v>45956</v>
      </c>
      <c r="L1224" s="233">
        <v>1.1000000000000001</v>
      </c>
      <c r="M1224" s="234" t="s">
        <v>951</v>
      </c>
      <c r="N1224" s="234">
        <v>39260</v>
      </c>
      <c r="O1224" s="234">
        <v>15160</v>
      </c>
      <c r="P1224" s="242">
        <v>5</v>
      </c>
      <c r="Q1224" s="234">
        <v>24100</v>
      </c>
      <c r="R1224" s="234">
        <v>22895</v>
      </c>
      <c r="S1224" s="234" t="s">
        <v>3347</v>
      </c>
      <c r="T1224" s="236">
        <v>45956</v>
      </c>
    </row>
    <row r="1225" spans="1:20" ht="38.25" hidden="1">
      <c r="A1225" s="239" t="s">
        <v>3326</v>
      </c>
      <c r="B1225" s="240">
        <v>2689</v>
      </c>
      <c r="C1225" s="241">
        <v>157</v>
      </c>
      <c r="D1225" s="239" t="s">
        <v>2881</v>
      </c>
      <c r="E1225" s="239" t="s">
        <v>372</v>
      </c>
      <c r="F1225" s="239" t="s">
        <v>373</v>
      </c>
      <c r="G1225" s="239" t="s">
        <v>951</v>
      </c>
      <c r="H1225" s="239" t="s">
        <v>51</v>
      </c>
      <c r="I1225" s="239" t="s">
        <v>2882</v>
      </c>
      <c r="J1225" s="233"/>
      <c r="K1225" s="235">
        <v>45956</v>
      </c>
      <c r="L1225" s="233">
        <v>1.1000000000000001</v>
      </c>
      <c r="M1225" s="234" t="s">
        <v>951</v>
      </c>
      <c r="N1225" s="234">
        <v>39280</v>
      </c>
      <c r="O1225" s="234">
        <v>15360</v>
      </c>
      <c r="P1225" s="242">
        <v>10</v>
      </c>
      <c r="Q1225" s="234">
        <v>23920</v>
      </c>
      <c r="R1225" s="234">
        <v>21528</v>
      </c>
      <c r="S1225" s="234" t="s">
        <v>3348</v>
      </c>
      <c r="T1225" s="236">
        <v>45956</v>
      </c>
    </row>
    <row r="1226" spans="1:20" ht="38.25" hidden="1">
      <c r="A1226" s="239" t="s">
        <v>3327</v>
      </c>
      <c r="B1226" s="240">
        <v>2691</v>
      </c>
      <c r="C1226" s="241">
        <v>156</v>
      </c>
      <c r="D1226" s="239" t="s">
        <v>2881</v>
      </c>
      <c r="E1226" s="239" t="s">
        <v>447</v>
      </c>
      <c r="F1226" s="239" t="s">
        <v>448</v>
      </c>
      <c r="G1226" s="239" t="s">
        <v>951</v>
      </c>
      <c r="H1226" s="239" t="s">
        <v>51</v>
      </c>
      <c r="I1226" s="239" t="s">
        <v>2882</v>
      </c>
      <c r="J1226" s="233"/>
      <c r="K1226" s="235">
        <v>45956</v>
      </c>
      <c r="L1226" s="233">
        <v>1.6</v>
      </c>
      <c r="M1226" s="234" t="s">
        <v>951</v>
      </c>
      <c r="N1226" s="234">
        <v>53440</v>
      </c>
      <c r="O1226" s="234">
        <v>19890</v>
      </c>
      <c r="P1226" s="242">
        <v>11</v>
      </c>
      <c r="Q1226" s="234">
        <v>33550</v>
      </c>
      <c r="R1226" s="234">
        <v>29859.5</v>
      </c>
      <c r="S1226" s="234" t="s">
        <v>3349</v>
      </c>
      <c r="T1226" s="236">
        <v>45956</v>
      </c>
    </row>
    <row r="1227" spans="1:20" ht="51" hidden="1">
      <c r="A1227" s="239" t="s">
        <v>3331</v>
      </c>
      <c r="B1227" s="240">
        <v>2692</v>
      </c>
      <c r="C1227" s="241">
        <v>159</v>
      </c>
      <c r="D1227" s="239" t="s">
        <v>2881</v>
      </c>
      <c r="E1227" s="239" t="s">
        <v>1410</v>
      </c>
      <c r="F1227" s="239" t="s">
        <v>437</v>
      </c>
      <c r="G1227" s="239" t="s">
        <v>951</v>
      </c>
      <c r="H1227" s="239" t="s">
        <v>51</v>
      </c>
      <c r="I1227" s="239" t="s">
        <v>2882</v>
      </c>
      <c r="J1227" s="233"/>
      <c r="K1227" s="235">
        <v>45956</v>
      </c>
      <c r="L1227" s="233">
        <v>1.2</v>
      </c>
      <c r="M1227" s="234" t="s">
        <v>951</v>
      </c>
      <c r="N1227" s="234">
        <v>41170</v>
      </c>
      <c r="O1227" s="234">
        <v>15440</v>
      </c>
      <c r="P1227" s="242">
        <v>8</v>
      </c>
      <c r="Q1227" s="234">
        <v>25730</v>
      </c>
      <c r="R1227" s="234">
        <v>23671.599999999999</v>
      </c>
      <c r="S1227" s="234" t="s">
        <v>3353</v>
      </c>
      <c r="T1227" s="236">
        <v>45957</v>
      </c>
    </row>
    <row r="1228" spans="1:20" ht="38.25" hidden="1">
      <c r="A1228" s="239" t="s">
        <v>3332</v>
      </c>
      <c r="B1228" s="240">
        <v>2695</v>
      </c>
      <c r="C1228" s="241">
        <v>160</v>
      </c>
      <c r="D1228" s="239" t="s">
        <v>2881</v>
      </c>
      <c r="E1228" s="239" t="s">
        <v>439</v>
      </c>
      <c r="F1228" s="239" t="s">
        <v>440</v>
      </c>
      <c r="G1228" s="239" t="s">
        <v>951</v>
      </c>
      <c r="H1228" s="239" t="s">
        <v>51</v>
      </c>
      <c r="I1228" s="239" t="s">
        <v>2882</v>
      </c>
      <c r="J1228" s="233"/>
      <c r="K1228" s="235">
        <v>45956</v>
      </c>
      <c r="L1228" s="233">
        <v>1.3</v>
      </c>
      <c r="M1228" s="234" t="s">
        <v>951</v>
      </c>
      <c r="N1228" s="234">
        <v>43410</v>
      </c>
      <c r="O1228" s="234">
        <v>15450</v>
      </c>
      <c r="P1228" s="242">
        <v>9</v>
      </c>
      <c r="Q1228" s="234">
        <v>27960</v>
      </c>
      <c r="R1228" s="234">
        <v>25443.599999999999</v>
      </c>
      <c r="S1228" s="234" t="s">
        <v>3354</v>
      </c>
      <c r="T1228" s="236">
        <v>45957</v>
      </c>
    </row>
    <row r="1229" spans="1:20" ht="38.25" hidden="1">
      <c r="A1229" s="239" t="s">
        <v>3334</v>
      </c>
      <c r="B1229" s="240">
        <v>2694</v>
      </c>
      <c r="C1229" s="241">
        <v>158</v>
      </c>
      <c r="D1229" s="239" t="s">
        <v>2881</v>
      </c>
      <c r="E1229" s="239" t="s">
        <v>432</v>
      </c>
      <c r="F1229" s="239" t="s">
        <v>433</v>
      </c>
      <c r="G1229" s="239" t="s">
        <v>951</v>
      </c>
      <c r="H1229" s="239" t="s">
        <v>51</v>
      </c>
      <c r="I1229" s="239" t="s">
        <v>2882</v>
      </c>
      <c r="J1229" s="233"/>
      <c r="K1229" s="235">
        <v>45957</v>
      </c>
      <c r="L1229" s="233">
        <v>1.3</v>
      </c>
      <c r="M1229" s="234" t="s">
        <v>951</v>
      </c>
      <c r="N1229" s="234">
        <v>43310</v>
      </c>
      <c r="O1229" s="234">
        <v>15910</v>
      </c>
      <c r="P1229" s="242">
        <v>8</v>
      </c>
      <c r="Q1229" s="234">
        <v>27400</v>
      </c>
      <c r="R1229" s="234">
        <v>25208</v>
      </c>
      <c r="S1229" s="234" t="s">
        <v>3356</v>
      </c>
      <c r="T1229" s="236">
        <v>45957</v>
      </c>
    </row>
    <row r="1230" spans="1:20" ht="38.25" hidden="1">
      <c r="A1230" s="239" t="s">
        <v>3338</v>
      </c>
      <c r="B1230" s="240">
        <v>2697</v>
      </c>
      <c r="C1230" s="241">
        <v>161</v>
      </c>
      <c r="D1230" s="239" t="s">
        <v>2881</v>
      </c>
      <c r="E1230" s="239" t="s">
        <v>413</v>
      </c>
      <c r="F1230" s="239" t="s">
        <v>414</v>
      </c>
      <c r="G1230" s="239" t="s">
        <v>951</v>
      </c>
      <c r="H1230" s="239" t="s">
        <v>51</v>
      </c>
      <c r="I1230" s="239" t="s">
        <v>2882</v>
      </c>
      <c r="J1230" s="233"/>
      <c r="K1230" s="235">
        <v>45957</v>
      </c>
      <c r="L1230" s="233">
        <v>1.3</v>
      </c>
      <c r="M1230" s="234" t="s">
        <v>951</v>
      </c>
      <c r="N1230" s="234">
        <v>43460</v>
      </c>
      <c r="O1230" s="234">
        <v>15230</v>
      </c>
      <c r="P1230" s="242">
        <v>9</v>
      </c>
      <c r="Q1230" s="234">
        <v>28230</v>
      </c>
      <c r="R1230" s="234">
        <v>25689.3</v>
      </c>
      <c r="S1230" s="234" t="s">
        <v>3360</v>
      </c>
      <c r="T1230" s="236">
        <v>45957</v>
      </c>
    </row>
    <row r="1231" spans="1:20" ht="25.5" hidden="1">
      <c r="A1231" s="239" t="s">
        <v>3340</v>
      </c>
      <c r="B1231" s="240">
        <v>2698</v>
      </c>
      <c r="C1231" s="241">
        <v>162</v>
      </c>
      <c r="D1231" s="239" t="s">
        <v>2881</v>
      </c>
      <c r="E1231" s="239" t="s">
        <v>429</v>
      </c>
      <c r="F1231" s="239" t="s">
        <v>430</v>
      </c>
      <c r="G1231" s="239" t="s">
        <v>951</v>
      </c>
      <c r="H1231" s="239" t="s">
        <v>51</v>
      </c>
      <c r="I1231" s="239" t="s">
        <v>2882</v>
      </c>
      <c r="J1231" s="233"/>
      <c r="K1231" s="235">
        <v>45957</v>
      </c>
      <c r="L1231" s="233">
        <v>1.2</v>
      </c>
      <c r="M1231" s="234" t="s">
        <v>951</v>
      </c>
      <c r="N1231" s="234">
        <v>40650</v>
      </c>
      <c r="O1231" s="234">
        <v>14530</v>
      </c>
      <c r="P1231" s="242">
        <v>11</v>
      </c>
      <c r="Q1231" s="234">
        <v>26120</v>
      </c>
      <c r="R1231" s="234">
        <v>23246.799999999999</v>
      </c>
      <c r="S1231" s="234" t="s">
        <v>3362</v>
      </c>
      <c r="T1231" s="236">
        <v>45957</v>
      </c>
    </row>
    <row r="1232" spans="1:20" ht="51" hidden="1">
      <c r="A1232" s="239" t="s">
        <v>3341</v>
      </c>
      <c r="B1232" s="240">
        <v>2703</v>
      </c>
      <c r="C1232" s="241">
        <v>163</v>
      </c>
      <c r="D1232" s="239" t="s">
        <v>2881</v>
      </c>
      <c r="E1232" s="239" t="s">
        <v>369</v>
      </c>
      <c r="F1232" s="239" t="s">
        <v>370</v>
      </c>
      <c r="G1232" s="239" t="s">
        <v>951</v>
      </c>
      <c r="H1232" s="239" t="s">
        <v>51</v>
      </c>
      <c r="I1232" s="239" t="s">
        <v>2882</v>
      </c>
      <c r="J1232" s="233"/>
      <c r="K1232" s="235">
        <v>45957</v>
      </c>
      <c r="L1232" s="233">
        <v>1.1000000000000001</v>
      </c>
      <c r="M1232" s="234" t="s">
        <v>951</v>
      </c>
      <c r="N1232" s="234">
        <v>38230</v>
      </c>
      <c r="O1232" s="234">
        <v>15680</v>
      </c>
      <c r="P1232" s="242">
        <v>7</v>
      </c>
      <c r="Q1232" s="234">
        <v>22550</v>
      </c>
      <c r="R1232" s="234">
        <v>20971.5</v>
      </c>
      <c r="S1232" s="234" t="s">
        <v>3363</v>
      </c>
      <c r="T1232" s="236">
        <v>45957</v>
      </c>
    </row>
    <row r="1233" spans="1:20" ht="25.5" hidden="1">
      <c r="A1233" s="239" t="s">
        <v>3328</v>
      </c>
      <c r="B1233" s="240">
        <v>2707</v>
      </c>
      <c r="C1233" s="241">
        <v>164</v>
      </c>
      <c r="D1233" s="239" t="s">
        <v>2881</v>
      </c>
      <c r="E1233" s="239" t="s">
        <v>425</v>
      </c>
      <c r="F1233" s="239" t="s">
        <v>426</v>
      </c>
      <c r="G1233" s="239" t="s">
        <v>951</v>
      </c>
      <c r="H1233" s="239" t="s">
        <v>51</v>
      </c>
      <c r="I1233" s="239" t="s">
        <v>2882</v>
      </c>
      <c r="J1233" s="233"/>
      <c r="K1233" s="235">
        <v>45956</v>
      </c>
      <c r="L1233" s="233">
        <v>1.5</v>
      </c>
      <c r="M1233" s="234" t="s">
        <v>951</v>
      </c>
      <c r="N1233" s="234">
        <v>50770</v>
      </c>
      <c r="O1233" s="234">
        <v>18900</v>
      </c>
      <c r="P1233" s="242">
        <v>5</v>
      </c>
      <c r="Q1233" s="234">
        <v>31870</v>
      </c>
      <c r="R1233" s="234">
        <v>30276.5</v>
      </c>
      <c r="S1233" s="234" t="s">
        <v>3350</v>
      </c>
      <c r="T1233" s="236">
        <v>45957</v>
      </c>
    </row>
    <row r="1234" spans="1:20" ht="38.25" hidden="1">
      <c r="A1234" s="239" t="s">
        <v>3329</v>
      </c>
      <c r="B1234" s="240">
        <v>2712</v>
      </c>
      <c r="C1234" s="241">
        <v>165</v>
      </c>
      <c r="D1234" s="239" t="s">
        <v>2881</v>
      </c>
      <c r="E1234" s="239" t="s">
        <v>416</v>
      </c>
      <c r="F1234" s="239" t="s">
        <v>417</v>
      </c>
      <c r="G1234" s="239" t="s">
        <v>951</v>
      </c>
      <c r="H1234" s="239" t="s">
        <v>51</v>
      </c>
      <c r="I1234" s="239" t="s">
        <v>2882</v>
      </c>
      <c r="J1234" s="233"/>
      <c r="K1234" s="235">
        <v>45956</v>
      </c>
      <c r="L1234" s="233">
        <v>1.2</v>
      </c>
      <c r="M1234" s="234" t="s">
        <v>951</v>
      </c>
      <c r="N1234" s="234">
        <v>39960</v>
      </c>
      <c r="O1234" s="234">
        <v>15130</v>
      </c>
      <c r="P1234" s="242">
        <v>7</v>
      </c>
      <c r="Q1234" s="234">
        <v>24830</v>
      </c>
      <c r="R1234" s="234">
        <v>23091.9</v>
      </c>
      <c r="S1234" s="234" t="s">
        <v>3351</v>
      </c>
      <c r="T1234" s="236">
        <v>45957</v>
      </c>
    </row>
    <row r="1235" spans="1:20" ht="38.25" hidden="1">
      <c r="A1235" s="239" t="s">
        <v>3330</v>
      </c>
      <c r="B1235" s="240">
        <v>2713</v>
      </c>
      <c r="C1235" s="241">
        <v>166</v>
      </c>
      <c r="D1235" s="239" t="s">
        <v>2881</v>
      </c>
      <c r="E1235" s="239" t="s">
        <v>420</v>
      </c>
      <c r="F1235" s="239" t="s">
        <v>421</v>
      </c>
      <c r="G1235" s="239" t="s">
        <v>951</v>
      </c>
      <c r="H1235" s="239" t="s">
        <v>51</v>
      </c>
      <c r="I1235" s="239" t="s">
        <v>2882</v>
      </c>
      <c r="J1235" s="233"/>
      <c r="K1235" s="235">
        <v>45956</v>
      </c>
      <c r="L1235" s="233">
        <v>1.1000000000000001</v>
      </c>
      <c r="M1235" s="234" t="s">
        <v>951</v>
      </c>
      <c r="N1235" s="234">
        <v>38270</v>
      </c>
      <c r="O1235" s="234">
        <v>15200</v>
      </c>
      <c r="P1235" s="242">
        <v>9</v>
      </c>
      <c r="Q1235" s="234">
        <v>23070</v>
      </c>
      <c r="R1235" s="234">
        <v>20993.7</v>
      </c>
      <c r="S1235" s="234" t="s">
        <v>3352</v>
      </c>
      <c r="T1235" s="236">
        <v>45957</v>
      </c>
    </row>
    <row r="1236" spans="1:20" ht="38.25" hidden="1">
      <c r="A1236" s="239" t="s">
        <v>3333</v>
      </c>
      <c r="B1236" s="240">
        <v>2715</v>
      </c>
      <c r="C1236" s="241">
        <v>167</v>
      </c>
      <c r="D1236" s="239" t="s">
        <v>2881</v>
      </c>
      <c r="E1236" s="239" t="s">
        <v>456</v>
      </c>
      <c r="F1236" s="239" t="s">
        <v>457</v>
      </c>
      <c r="G1236" s="239" t="s">
        <v>951</v>
      </c>
      <c r="H1236" s="239" t="s">
        <v>51</v>
      </c>
      <c r="I1236" s="239" t="s">
        <v>2882</v>
      </c>
      <c r="J1236" s="233"/>
      <c r="K1236" s="235">
        <v>45956</v>
      </c>
      <c r="L1236" s="233">
        <v>1.5</v>
      </c>
      <c r="M1236" s="234" t="s">
        <v>951</v>
      </c>
      <c r="N1236" s="234">
        <v>47940</v>
      </c>
      <c r="O1236" s="234">
        <v>16130</v>
      </c>
      <c r="P1236" s="242">
        <v>10</v>
      </c>
      <c r="Q1236" s="234">
        <v>31810</v>
      </c>
      <c r="R1236" s="234">
        <v>28629</v>
      </c>
      <c r="S1236" s="234" t="s">
        <v>3355</v>
      </c>
      <c r="T1236" s="236">
        <v>45957</v>
      </c>
    </row>
    <row r="1237" spans="1:20" ht="38.25" hidden="1">
      <c r="A1237" s="239" t="s">
        <v>3335</v>
      </c>
      <c r="B1237" s="240">
        <v>2716</v>
      </c>
      <c r="C1237" s="241">
        <v>168</v>
      </c>
      <c r="D1237" s="239" t="s">
        <v>2881</v>
      </c>
      <c r="E1237" s="239" t="s">
        <v>377</v>
      </c>
      <c r="F1237" s="239" t="s">
        <v>378</v>
      </c>
      <c r="G1237" s="239" t="s">
        <v>951</v>
      </c>
      <c r="H1237" s="239" t="s">
        <v>51</v>
      </c>
      <c r="I1237" s="239" t="s">
        <v>2882</v>
      </c>
      <c r="J1237" s="233"/>
      <c r="K1237" s="235">
        <v>45957</v>
      </c>
      <c r="L1237" s="233">
        <v>1.3</v>
      </c>
      <c r="M1237" s="234" t="s">
        <v>951</v>
      </c>
      <c r="N1237" s="234">
        <v>43360</v>
      </c>
      <c r="O1237" s="234">
        <v>15450</v>
      </c>
      <c r="P1237" s="242">
        <v>11</v>
      </c>
      <c r="Q1237" s="234">
        <v>27910</v>
      </c>
      <c r="R1237" s="234">
        <v>24839.9</v>
      </c>
      <c r="S1237" s="234" t="s">
        <v>3357</v>
      </c>
      <c r="T1237" s="236">
        <v>45957</v>
      </c>
    </row>
    <row r="1238" spans="1:20" ht="38.25" hidden="1">
      <c r="A1238" s="239" t="s">
        <v>3336</v>
      </c>
      <c r="B1238" s="240">
        <v>2718</v>
      </c>
      <c r="C1238" s="241">
        <v>169</v>
      </c>
      <c r="D1238" s="239" t="s">
        <v>2881</v>
      </c>
      <c r="E1238" s="239" t="s">
        <v>841</v>
      </c>
      <c r="F1238" s="239" t="s">
        <v>845</v>
      </c>
      <c r="G1238" s="239" t="s">
        <v>951</v>
      </c>
      <c r="H1238" s="239" t="s">
        <v>51</v>
      </c>
      <c r="I1238" s="239" t="s">
        <v>2882</v>
      </c>
      <c r="J1238" s="233"/>
      <c r="K1238" s="235">
        <v>45957</v>
      </c>
      <c r="L1238" s="233">
        <v>1.2</v>
      </c>
      <c r="M1238" s="234" t="s">
        <v>951</v>
      </c>
      <c r="N1238" s="234">
        <v>41890</v>
      </c>
      <c r="O1238" s="234">
        <v>16080</v>
      </c>
      <c r="P1238" s="242">
        <v>9</v>
      </c>
      <c r="Q1238" s="234">
        <v>25810</v>
      </c>
      <c r="R1238" s="234">
        <v>23487.1</v>
      </c>
      <c r="S1238" s="234" t="s">
        <v>3358</v>
      </c>
      <c r="T1238" s="236">
        <v>45957</v>
      </c>
    </row>
    <row r="1239" spans="1:20" ht="38.25" hidden="1">
      <c r="A1239" s="239" t="s">
        <v>3337</v>
      </c>
      <c r="B1239" s="240">
        <v>2719</v>
      </c>
      <c r="C1239" s="241">
        <v>170</v>
      </c>
      <c r="D1239" s="239" t="s">
        <v>2881</v>
      </c>
      <c r="E1239" s="239" t="s">
        <v>453</v>
      </c>
      <c r="F1239" s="239" t="s">
        <v>454</v>
      </c>
      <c r="G1239" s="239" t="s">
        <v>951</v>
      </c>
      <c r="H1239" s="239" t="s">
        <v>51</v>
      </c>
      <c r="I1239" s="239" t="s">
        <v>2882</v>
      </c>
      <c r="J1239" s="233"/>
      <c r="K1239" s="235">
        <v>45957</v>
      </c>
      <c r="L1239" s="233">
        <v>2</v>
      </c>
      <c r="M1239" s="234" t="s">
        <v>951</v>
      </c>
      <c r="N1239" s="234">
        <v>66710</v>
      </c>
      <c r="O1239" s="234">
        <v>24970</v>
      </c>
      <c r="P1239" s="242">
        <v>14</v>
      </c>
      <c r="Q1239" s="234">
        <v>41740</v>
      </c>
      <c r="R1239" s="234">
        <v>35896.400000000001</v>
      </c>
      <c r="S1239" s="234" t="s">
        <v>3359</v>
      </c>
      <c r="T1239" s="236">
        <v>45957</v>
      </c>
    </row>
    <row r="1240" spans="1:20" ht="38.25" hidden="1">
      <c r="A1240" s="239" t="s">
        <v>3342</v>
      </c>
      <c r="B1240" s="240">
        <v>2721</v>
      </c>
      <c r="C1240" s="241">
        <v>174</v>
      </c>
      <c r="D1240" s="239" t="s">
        <v>2881</v>
      </c>
      <c r="E1240" s="239" t="s">
        <v>400</v>
      </c>
      <c r="F1240" s="239" t="s">
        <v>401</v>
      </c>
      <c r="G1240" s="239" t="s">
        <v>951</v>
      </c>
      <c r="H1240" s="239" t="s">
        <v>51</v>
      </c>
      <c r="I1240" s="239" t="s">
        <v>2882</v>
      </c>
      <c r="J1240" s="233"/>
      <c r="K1240" s="235">
        <v>45957</v>
      </c>
      <c r="L1240" s="233">
        <v>1.1000000000000001</v>
      </c>
      <c r="M1240" s="234" t="s">
        <v>951</v>
      </c>
      <c r="N1240" s="234">
        <v>37930</v>
      </c>
      <c r="O1240" s="234">
        <v>14950</v>
      </c>
      <c r="P1240" s="242">
        <v>6</v>
      </c>
      <c r="Q1240" s="234">
        <v>22980</v>
      </c>
      <c r="R1240" s="234">
        <v>21601.200000000001</v>
      </c>
      <c r="S1240" s="234" t="s">
        <v>3364</v>
      </c>
      <c r="T1240" s="236">
        <v>45957</v>
      </c>
    </row>
    <row r="1241" spans="1:20" ht="38.25" hidden="1">
      <c r="A1241" s="239" t="s">
        <v>3343</v>
      </c>
      <c r="B1241" s="240">
        <v>2722</v>
      </c>
      <c r="C1241" s="241">
        <v>172</v>
      </c>
      <c r="D1241" s="239" t="s">
        <v>2881</v>
      </c>
      <c r="E1241" s="239" t="s">
        <v>388</v>
      </c>
      <c r="F1241" s="239" t="s">
        <v>389</v>
      </c>
      <c r="G1241" s="239" t="s">
        <v>951</v>
      </c>
      <c r="H1241" s="239" t="s">
        <v>51</v>
      </c>
      <c r="I1241" s="239" t="s">
        <v>2882</v>
      </c>
      <c r="J1241" s="233"/>
      <c r="K1241" s="235">
        <v>45957</v>
      </c>
      <c r="L1241" s="233">
        <v>1.9</v>
      </c>
      <c r="M1241" s="234" t="s">
        <v>951</v>
      </c>
      <c r="N1241" s="234">
        <v>62830</v>
      </c>
      <c r="O1241" s="234">
        <v>21410</v>
      </c>
      <c r="P1241" s="242">
        <v>16</v>
      </c>
      <c r="Q1241" s="234">
        <v>41420</v>
      </c>
      <c r="R1241" s="234">
        <v>34792.800000000003</v>
      </c>
      <c r="S1241" s="234" t="s">
        <v>3365</v>
      </c>
      <c r="T1241" s="236">
        <v>45957</v>
      </c>
    </row>
    <row r="1242" spans="1:20" ht="51" hidden="1">
      <c r="A1242" s="239" t="s">
        <v>3344</v>
      </c>
      <c r="B1242" s="240">
        <v>2724</v>
      </c>
      <c r="C1242" s="241">
        <v>175</v>
      </c>
      <c r="D1242" s="239" t="s">
        <v>2881</v>
      </c>
      <c r="E1242" s="239" t="s">
        <v>382</v>
      </c>
      <c r="F1242" s="239" t="s">
        <v>383</v>
      </c>
      <c r="G1242" s="239" t="s">
        <v>951</v>
      </c>
      <c r="H1242" s="239" t="s">
        <v>51</v>
      </c>
      <c r="I1242" s="239" t="s">
        <v>2882</v>
      </c>
      <c r="J1242" s="233"/>
      <c r="K1242" s="235">
        <v>45957</v>
      </c>
      <c r="L1242" s="233">
        <v>1</v>
      </c>
      <c r="M1242" s="234" t="s">
        <v>951</v>
      </c>
      <c r="N1242" s="234">
        <v>36980</v>
      </c>
      <c r="O1242" s="234">
        <v>14950</v>
      </c>
      <c r="P1242" s="242">
        <v>6</v>
      </c>
      <c r="Q1242" s="234">
        <v>22030</v>
      </c>
      <c r="R1242" s="234">
        <v>20708.2</v>
      </c>
      <c r="S1242" s="234" t="s">
        <v>3366</v>
      </c>
      <c r="T1242" s="236">
        <v>45957</v>
      </c>
    </row>
    <row r="1243" spans="1:20" ht="38.25" hidden="1">
      <c r="A1243" s="239" t="s">
        <v>3339</v>
      </c>
      <c r="B1243" s="240">
        <v>2720</v>
      </c>
      <c r="C1243" s="241">
        <v>173</v>
      </c>
      <c r="D1243" s="239" t="s">
        <v>2881</v>
      </c>
      <c r="E1243" s="239" t="s">
        <v>858</v>
      </c>
      <c r="F1243" s="239" t="s">
        <v>859</v>
      </c>
      <c r="G1243" s="239" t="s">
        <v>951</v>
      </c>
      <c r="H1243" s="239" t="s">
        <v>51</v>
      </c>
      <c r="I1243" s="239" t="s">
        <v>2882</v>
      </c>
      <c r="J1243" s="233"/>
      <c r="K1243" s="235">
        <v>45957</v>
      </c>
      <c r="L1243" s="233">
        <v>1.2</v>
      </c>
      <c r="M1243" s="234" t="s">
        <v>951</v>
      </c>
      <c r="N1243" s="234">
        <v>40500</v>
      </c>
      <c r="O1243" s="234">
        <v>15220</v>
      </c>
      <c r="P1243" s="242">
        <v>8</v>
      </c>
      <c r="Q1243" s="234">
        <v>25280</v>
      </c>
      <c r="R1243" s="234">
        <v>23257.599999999999</v>
      </c>
      <c r="S1243" s="234" t="s">
        <v>3361</v>
      </c>
      <c r="T1243" s="236">
        <v>45957</v>
      </c>
    </row>
    <row r="1244" spans="1:20" ht="25.5" hidden="1">
      <c r="A1244" s="239" t="s">
        <v>3345</v>
      </c>
      <c r="B1244" s="240">
        <v>2725</v>
      </c>
      <c r="C1244" s="241">
        <v>176</v>
      </c>
      <c r="D1244" s="239" t="s">
        <v>2881</v>
      </c>
      <c r="E1244" s="239" t="s">
        <v>783</v>
      </c>
      <c r="F1244" s="239" t="s">
        <v>784</v>
      </c>
      <c r="G1244" s="239" t="s">
        <v>951</v>
      </c>
      <c r="H1244" s="239" t="s">
        <v>51</v>
      </c>
      <c r="I1244" s="239" t="s">
        <v>2882</v>
      </c>
      <c r="J1244" s="233"/>
      <c r="K1244" s="235">
        <v>45957</v>
      </c>
      <c r="L1244" s="233">
        <v>1.1000000000000001</v>
      </c>
      <c r="M1244" s="234" t="s">
        <v>951</v>
      </c>
      <c r="N1244" s="234">
        <v>39170</v>
      </c>
      <c r="O1244" s="234">
        <v>14840</v>
      </c>
      <c r="P1244" s="242">
        <v>5</v>
      </c>
      <c r="Q1244" s="234">
        <v>24330</v>
      </c>
      <c r="R1244" s="234">
        <v>23113.5</v>
      </c>
      <c r="S1244" s="234" t="s">
        <v>3367</v>
      </c>
      <c r="T1244" s="236">
        <v>45957</v>
      </c>
    </row>
    <row r="1245" spans="1:20" ht="25.5" hidden="1">
      <c r="A1245" s="239" t="s">
        <v>3346</v>
      </c>
      <c r="B1245" s="240">
        <v>2727</v>
      </c>
      <c r="C1245" s="241">
        <v>177</v>
      </c>
      <c r="D1245" s="239" t="s">
        <v>2881</v>
      </c>
      <c r="E1245" s="239" t="s">
        <v>794</v>
      </c>
      <c r="F1245" s="239" t="s">
        <v>795</v>
      </c>
      <c r="G1245" s="239" t="s">
        <v>951</v>
      </c>
      <c r="H1245" s="239" t="s">
        <v>51</v>
      </c>
      <c r="I1245" s="239" t="s">
        <v>2882</v>
      </c>
      <c r="J1245" s="233"/>
      <c r="K1245" s="235">
        <v>45957</v>
      </c>
      <c r="L1245" s="233">
        <v>1.1000000000000001</v>
      </c>
      <c r="M1245" s="234" t="s">
        <v>951</v>
      </c>
      <c r="N1245" s="234">
        <v>39930</v>
      </c>
      <c r="O1245" s="234">
        <v>16150</v>
      </c>
      <c r="P1245" s="242">
        <v>8</v>
      </c>
      <c r="Q1245" s="234">
        <v>23780</v>
      </c>
      <c r="R1245" s="234">
        <v>21877.599999999999</v>
      </c>
      <c r="S1245" s="234" t="s">
        <v>3368</v>
      </c>
      <c r="T1245" s="236">
        <v>45958</v>
      </c>
    </row>
    <row r="1246" spans="1:20" ht="25.5" hidden="1">
      <c r="A1246" s="239" t="s">
        <v>3372</v>
      </c>
      <c r="B1246" s="240">
        <v>2728</v>
      </c>
      <c r="C1246" s="241">
        <v>178</v>
      </c>
      <c r="D1246" s="239" t="s">
        <v>2881</v>
      </c>
      <c r="E1246" s="239" t="s">
        <v>403</v>
      </c>
      <c r="F1246" s="239" t="s">
        <v>404</v>
      </c>
      <c r="G1246" s="239" t="s">
        <v>951</v>
      </c>
      <c r="H1246" s="239" t="s">
        <v>51</v>
      </c>
      <c r="I1246" s="239" t="s">
        <v>2882</v>
      </c>
      <c r="J1246" s="233"/>
      <c r="K1246" s="235">
        <v>45957</v>
      </c>
      <c r="L1246" s="233">
        <v>1.1000000000000001</v>
      </c>
      <c r="M1246" s="234" t="s">
        <v>951</v>
      </c>
      <c r="N1246" s="234">
        <v>39210</v>
      </c>
      <c r="O1246" s="234">
        <v>14730</v>
      </c>
      <c r="P1246" s="242">
        <v>10</v>
      </c>
      <c r="Q1246" s="234">
        <v>24480</v>
      </c>
      <c r="R1246" s="234">
        <v>22032</v>
      </c>
      <c r="S1246" s="234" t="s">
        <v>3393</v>
      </c>
      <c r="T1246" s="236">
        <v>45958</v>
      </c>
    </row>
    <row r="1247" spans="1:20" ht="25.5" hidden="1">
      <c r="A1247" s="239" t="s">
        <v>3373</v>
      </c>
      <c r="B1247" s="240">
        <v>2730</v>
      </c>
      <c r="C1247" s="241">
        <v>179</v>
      </c>
      <c r="D1247" s="239" t="s">
        <v>2881</v>
      </c>
      <c r="E1247" s="239" t="s">
        <v>384</v>
      </c>
      <c r="F1247" s="239" t="s">
        <v>385</v>
      </c>
      <c r="G1247" s="239" t="s">
        <v>951</v>
      </c>
      <c r="H1247" s="239" t="s">
        <v>51</v>
      </c>
      <c r="I1247" s="239" t="s">
        <v>2882</v>
      </c>
      <c r="J1247" s="233"/>
      <c r="K1247" s="235">
        <v>45957</v>
      </c>
      <c r="L1247" s="233">
        <v>1</v>
      </c>
      <c r="M1247" s="234" t="s">
        <v>951</v>
      </c>
      <c r="N1247" s="234">
        <v>35840</v>
      </c>
      <c r="O1247" s="234">
        <v>14030</v>
      </c>
      <c r="P1247" s="242">
        <v>32</v>
      </c>
      <c r="Q1247" s="234">
        <v>21810</v>
      </c>
      <c r="R1247" s="234">
        <v>14830.8</v>
      </c>
      <c r="S1247" s="234" t="s">
        <v>3394</v>
      </c>
      <c r="T1247" s="236">
        <v>45958</v>
      </c>
    </row>
    <row r="1248" spans="1:20" ht="38.25" hidden="1">
      <c r="A1248" s="239" t="s">
        <v>3374</v>
      </c>
      <c r="B1248" s="240">
        <v>2733</v>
      </c>
      <c r="C1248" s="241">
        <v>180</v>
      </c>
      <c r="D1248" s="239" t="s">
        <v>2881</v>
      </c>
      <c r="E1248" s="239" t="s">
        <v>390</v>
      </c>
      <c r="F1248" s="239" t="s">
        <v>391</v>
      </c>
      <c r="G1248" s="239" t="s">
        <v>951</v>
      </c>
      <c r="H1248" s="239" t="s">
        <v>51</v>
      </c>
      <c r="I1248" s="239" t="s">
        <v>2882</v>
      </c>
      <c r="J1248" s="233"/>
      <c r="K1248" s="235">
        <v>45957</v>
      </c>
      <c r="L1248" s="233">
        <v>1.1000000000000001</v>
      </c>
      <c r="M1248" s="234" t="s">
        <v>951</v>
      </c>
      <c r="N1248" s="234">
        <v>39030</v>
      </c>
      <c r="O1248" s="234">
        <v>15220</v>
      </c>
      <c r="P1248" s="242">
        <v>8</v>
      </c>
      <c r="Q1248" s="234">
        <v>23810</v>
      </c>
      <c r="R1248" s="234">
        <v>21905.200000000001</v>
      </c>
      <c r="S1248" s="234" t="s">
        <v>3395</v>
      </c>
      <c r="T1248" s="236">
        <v>45958</v>
      </c>
    </row>
    <row r="1249" spans="1:20" ht="38.25" hidden="1">
      <c r="A1249" s="239" t="s">
        <v>3375</v>
      </c>
      <c r="B1249" s="240">
        <v>2734</v>
      </c>
      <c r="C1249" s="241">
        <v>182</v>
      </c>
      <c r="D1249" s="239" t="s">
        <v>2881</v>
      </c>
      <c r="E1249" s="239" t="s">
        <v>786</v>
      </c>
      <c r="F1249" s="239" t="s">
        <v>787</v>
      </c>
      <c r="G1249" s="239" t="s">
        <v>951</v>
      </c>
      <c r="H1249" s="239" t="s">
        <v>51</v>
      </c>
      <c r="I1249" s="239" t="s">
        <v>2882</v>
      </c>
      <c r="J1249" s="233"/>
      <c r="K1249" s="235">
        <v>45957</v>
      </c>
      <c r="L1249" s="233">
        <v>1</v>
      </c>
      <c r="M1249" s="234" t="s">
        <v>951</v>
      </c>
      <c r="N1249" s="234">
        <v>35240</v>
      </c>
      <c r="O1249" s="234">
        <v>14150</v>
      </c>
      <c r="P1249" s="242">
        <v>18</v>
      </c>
      <c r="Q1249" s="234">
        <v>21090</v>
      </c>
      <c r="R1249" s="234">
        <v>17293.8</v>
      </c>
      <c r="S1249" s="234" t="s">
        <v>3396</v>
      </c>
      <c r="T1249" s="236">
        <v>45958</v>
      </c>
    </row>
    <row r="1250" spans="1:20" ht="51" hidden="1">
      <c r="A1250" s="239" t="s">
        <v>3376</v>
      </c>
      <c r="B1250" s="240">
        <v>2735</v>
      </c>
      <c r="C1250" s="241">
        <v>183</v>
      </c>
      <c r="D1250" s="239" t="s">
        <v>2881</v>
      </c>
      <c r="E1250" s="239" t="s">
        <v>380</v>
      </c>
      <c r="F1250" s="239" t="s">
        <v>381</v>
      </c>
      <c r="G1250" s="239" t="s">
        <v>951</v>
      </c>
      <c r="H1250" s="239" t="s">
        <v>51</v>
      </c>
      <c r="I1250" s="239" t="s">
        <v>2882</v>
      </c>
      <c r="J1250" s="233"/>
      <c r="K1250" s="235">
        <v>45957</v>
      </c>
      <c r="L1250" s="233">
        <v>1.1000000000000001</v>
      </c>
      <c r="M1250" s="234" t="s">
        <v>951</v>
      </c>
      <c r="N1250" s="234">
        <v>39530</v>
      </c>
      <c r="O1250" s="234">
        <v>15200</v>
      </c>
      <c r="P1250" s="242">
        <v>20</v>
      </c>
      <c r="Q1250" s="234">
        <v>24330</v>
      </c>
      <c r="R1250" s="234">
        <v>19464</v>
      </c>
      <c r="S1250" s="234" t="s">
        <v>3397</v>
      </c>
      <c r="T1250" s="236">
        <v>45958</v>
      </c>
    </row>
    <row r="1251" spans="1:20" ht="38.25" hidden="1">
      <c r="A1251" s="239" t="s">
        <v>3377</v>
      </c>
      <c r="B1251" s="240">
        <v>2736</v>
      </c>
      <c r="C1251" s="241">
        <v>171</v>
      </c>
      <c r="D1251" s="239" t="s">
        <v>2881</v>
      </c>
      <c r="E1251" s="239" t="s">
        <v>406</v>
      </c>
      <c r="F1251" s="239" t="s">
        <v>407</v>
      </c>
      <c r="G1251" s="239" t="s">
        <v>951</v>
      </c>
      <c r="H1251" s="239" t="s">
        <v>51</v>
      </c>
      <c r="I1251" s="239" t="s">
        <v>2882</v>
      </c>
      <c r="J1251" s="233"/>
      <c r="K1251" s="235">
        <v>45957</v>
      </c>
      <c r="L1251" s="233">
        <v>1.1000000000000001</v>
      </c>
      <c r="M1251" s="234" t="s">
        <v>951</v>
      </c>
      <c r="N1251" s="234">
        <v>39290</v>
      </c>
      <c r="O1251" s="234">
        <v>15280</v>
      </c>
      <c r="P1251" s="242">
        <v>27</v>
      </c>
      <c r="Q1251" s="234">
        <v>24010</v>
      </c>
      <c r="R1251" s="234">
        <v>17527.3</v>
      </c>
      <c r="S1251" s="234" t="s">
        <v>3398</v>
      </c>
      <c r="T1251" s="236">
        <v>45958</v>
      </c>
    </row>
    <row r="1252" spans="1:20" ht="25.5" hidden="1">
      <c r="A1252" s="239" t="s">
        <v>3379</v>
      </c>
      <c r="B1252" s="240">
        <v>2737</v>
      </c>
      <c r="C1252" s="241">
        <v>184</v>
      </c>
      <c r="D1252" s="239" t="s">
        <v>2881</v>
      </c>
      <c r="E1252" s="239" t="s">
        <v>791</v>
      </c>
      <c r="F1252" s="239" t="s">
        <v>792</v>
      </c>
      <c r="G1252" s="239" t="s">
        <v>951</v>
      </c>
      <c r="H1252" s="239" t="s">
        <v>51</v>
      </c>
      <c r="I1252" s="239" t="s">
        <v>2882</v>
      </c>
      <c r="J1252" s="233"/>
      <c r="K1252" s="235">
        <v>45957</v>
      </c>
      <c r="L1252" s="233">
        <v>1.2</v>
      </c>
      <c r="M1252" s="234" t="s">
        <v>951</v>
      </c>
      <c r="N1252" s="234">
        <v>40110</v>
      </c>
      <c r="O1252" s="234">
        <v>15070</v>
      </c>
      <c r="P1252" s="242">
        <v>14</v>
      </c>
      <c r="Q1252" s="234">
        <v>25040</v>
      </c>
      <c r="R1252" s="234">
        <v>21534.400000000001</v>
      </c>
      <c r="S1252" s="234" t="s">
        <v>3400</v>
      </c>
      <c r="T1252" s="236">
        <v>45958</v>
      </c>
    </row>
    <row r="1253" spans="1:20" ht="38.25" hidden="1">
      <c r="A1253" s="239" t="s">
        <v>3378</v>
      </c>
      <c r="B1253" s="240">
        <v>2755</v>
      </c>
      <c r="C1253" s="241">
        <v>8206</v>
      </c>
      <c r="D1253" s="239" t="s">
        <v>2511</v>
      </c>
      <c r="E1253" s="239" t="s">
        <v>2053</v>
      </c>
      <c r="F1253" s="239" t="s">
        <v>2054</v>
      </c>
      <c r="G1253" s="239" t="s">
        <v>934</v>
      </c>
      <c r="H1253" s="239" t="s">
        <v>42</v>
      </c>
      <c r="I1253" s="239" t="s">
        <v>2512</v>
      </c>
      <c r="J1253" s="233"/>
      <c r="K1253" s="235">
        <v>45958</v>
      </c>
      <c r="L1253" s="233">
        <v>1</v>
      </c>
      <c r="M1253" s="234" t="s">
        <v>934</v>
      </c>
      <c r="N1253" s="234">
        <v>30390</v>
      </c>
      <c r="O1253" s="234">
        <v>14430</v>
      </c>
      <c r="P1253" s="242">
        <v>17</v>
      </c>
      <c r="Q1253" s="234">
        <v>15960</v>
      </c>
      <c r="R1253" s="234">
        <v>13246.8</v>
      </c>
      <c r="S1253" s="234" t="s">
        <v>3399</v>
      </c>
      <c r="T1253" s="236">
        <v>45958</v>
      </c>
    </row>
    <row r="1254" spans="1:20" ht="25.5" hidden="1">
      <c r="A1254" s="239" t="s">
        <v>3380</v>
      </c>
      <c r="B1254" s="240">
        <v>2738</v>
      </c>
      <c r="C1254" s="241">
        <v>185</v>
      </c>
      <c r="D1254" s="239" t="s">
        <v>2881</v>
      </c>
      <c r="E1254" s="239" t="s">
        <v>2793</v>
      </c>
      <c r="F1254" s="239" t="s">
        <v>2794</v>
      </c>
      <c r="G1254" s="239" t="s">
        <v>951</v>
      </c>
      <c r="H1254" s="239" t="s">
        <v>51</v>
      </c>
      <c r="I1254" s="239" t="s">
        <v>2882</v>
      </c>
      <c r="J1254" s="233"/>
      <c r="K1254" s="235">
        <v>45957</v>
      </c>
      <c r="L1254" s="233">
        <v>1.4</v>
      </c>
      <c r="M1254" s="234" t="s">
        <v>951</v>
      </c>
      <c r="N1254" s="234">
        <v>47920</v>
      </c>
      <c r="O1254" s="234">
        <v>17670</v>
      </c>
      <c r="P1254" s="242">
        <v>11</v>
      </c>
      <c r="Q1254" s="234">
        <v>30250</v>
      </c>
      <c r="R1254" s="234">
        <v>26922.5</v>
      </c>
      <c r="S1254" s="234" t="s">
        <v>3401</v>
      </c>
      <c r="T1254" s="236">
        <v>45958</v>
      </c>
    </row>
    <row r="1255" spans="1:20" ht="25.5" hidden="1">
      <c r="A1255" s="239" t="s">
        <v>3381</v>
      </c>
      <c r="B1255" s="240">
        <v>2739</v>
      </c>
      <c r="C1255" s="241">
        <v>186</v>
      </c>
      <c r="D1255" s="239" t="s">
        <v>2881</v>
      </c>
      <c r="E1255" s="239" t="s">
        <v>410</v>
      </c>
      <c r="F1255" s="239" t="s">
        <v>411</v>
      </c>
      <c r="G1255" s="239" t="s">
        <v>951</v>
      </c>
      <c r="H1255" s="239" t="s">
        <v>51</v>
      </c>
      <c r="I1255" s="239" t="s">
        <v>2882</v>
      </c>
      <c r="J1255" s="233"/>
      <c r="K1255" s="235">
        <v>45957</v>
      </c>
      <c r="L1255" s="233">
        <v>1.1000000000000001</v>
      </c>
      <c r="M1255" s="234" t="s">
        <v>951</v>
      </c>
      <c r="N1255" s="234">
        <v>38550</v>
      </c>
      <c r="O1255" s="234">
        <v>15300</v>
      </c>
      <c r="P1255" s="242">
        <v>12</v>
      </c>
      <c r="Q1255" s="234">
        <v>23250</v>
      </c>
      <c r="R1255" s="234">
        <v>20460</v>
      </c>
      <c r="S1255" s="234" t="s">
        <v>3402</v>
      </c>
      <c r="T1255" s="236">
        <v>45958</v>
      </c>
    </row>
    <row r="1256" spans="1:20" ht="38.25" hidden="1">
      <c r="A1256" s="239" t="s">
        <v>3383</v>
      </c>
      <c r="B1256" s="240">
        <v>2740</v>
      </c>
      <c r="C1256" s="241">
        <v>187</v>
      </c>
      <c r="D1256" s="239" t="s">
        <v>2881</v>
      </c>
      <c r="E1256" s="239" t="s">
        <v>447</v>
      </c>
      <c r="F1256" s="239" t="s">
        <v>448</v>
      </c>
      <c r="G1256" s="239" t="s">
        <v>951</v>
      </c>
      <c r="H1256" s="239" t="s">
        <v>51</v>
      </c>
      <c r="I1256" s="239" t="s">
        <v>2882</v>
      </c>
      <c r="J1256" s="233"/>
      <c r="K1256" s="235">
        <v>45957</v>
      </c>
      <c r="L1256" s="233">
        <v>1.5</v>
      </c>
      <c r="M1256" s="234" t="s">
        <v>951</v>
      </c>
      <c r="N1256" s="234">
        <v>52090</v>
      </c>
      <c r="O1256" s="234">
        <v>19730</v>
      </c>
      <c r="P1256" s="242">
        <v>9</v>
      </c>
      <c r="Q1256" s="234">
        <v>32360</v>
      </c>
      <c r="R1256" s="234">
        <v>29447.599999999999</v>
      </c>
      <c r="S1256" s="234" t="s">
        <v>3404</v>
      </c>
      <c r="T1256" s="236">
        <v>45958</v>
      </c>
    </row>
    <row r="1257" spans="1:20" ht="38.25" hidden="1">
      <c r="A1257" s="239" t="s">
        <v>3369</v>
      </c>
      <c r="B1257" s="240">
        <v>2743</v>
      </c>
      <c r="C1257" s="241">
        <v>188</v>
      </c>
      <c r="D1257" s="239" t="s">
        <v>2881</v>
      </c>
      <c r="E1257" s="239" t="s">
        <v>866</v>
      </c>
      <c r="F1257" s="239" t="s">
        <v>867</v>
      </c>
      <c r="G1257" s="239" t="s">
        <v>951</v>
      </c>
      <c r="H1257" s="239" t="s">
        <v>51</v>
      </c>
      <c r="I1257" s="239" t="s">
        <v>2882</v>
      </c>
      <c r="J1257" s="233"/>
      <c r="K1257" s="235">
        <v>45957</v>
      </c>
      <c r="L1257" s="233">
        <v>1.1000000000000001</v>
      </c>
      <c r="M1257" s="234" t="s">
        <v>951</v>
      </c>
      <c r="N1257" s="234">
        <v>38980</v>
      </c>
      <c r="O1257" s="234">
        <v>14630</v>
      </c>
      <c r="P1257" s="242">
        <v>10</v>
      </c>
      <c r="Q1257" s="234">
        <v>24350</v>
      </c>
      <c r="R1257" s="234">
        <v>21915</v>
      </c>
      <c r="S1257" s="234" t="s">
        <v>3390</v>
      </c>
      <c r="T1257" s="236">
        <v>45958</v>
      </c>
    </row>
    <row r="1258" spans="1:20" ht="38.25" hidden="1">
      <c r="A1258" s="239" t="s">
        <v>3384</v>
      </c>
      <c r="B1258" s="240">
        <v>2746</v>
      </c>
      <c r="C1258" s="241">
        <v>189</v>
      </c>
      <c r="D1258" s="239" t="s">
        <v>2881</v>
      </c>
      <c r="E1258" s="239" t="s">
        <v>372</v>
      </c>
      <c r="F1258" s="239" t="s">
        <v>373</v>
      </c>
      <c r="G1258" s="239" t="s">
        <v>951</v>
      </c>
      <c r="H1258" s="239" t="s">
        <v>51</v>
      </c>
      <c r="I1258" s="239" t="s">
        <v>2882</v>
      </c>
      <c r="J1258" s="233"/>
      <c r="K1258" s="235">
        <v>45957</v>
      </c>
      <c r="L1258" s="233">
        <v>1.1000000000000001</v>
      </c>
      <c r="M1258" s="234" t="s">
        <v>951</v>
      </c>
      <c r="N1258" s="234">
        <v>38570</v>
      </c>
      <c r="O1258" s="234">
        <v>15160</v>
      </c>
      <c r="P1258" s="242">
        <v>10</v>
      </c>
      <c r="Q1258" s="234">
        <v>23410</v>
      </c>
      <c r="R1258" s="234">
        <v>21069</v>
      </c>
      <c r="S1258" s="234" t="s">
        <v>3405</v>
      </c>
      <c r="T1258" s="236">
        <v>45958</v>
      </c>
    </row>
    <row r="1259" spans="1:20" ht="51" hidden="1">
      <c r="A1259" s="239" t="s">
        <v>3370</v>
      </c>
      <c r="B1259" s="240">
        <v>2747</v>
      </c>
      <c r="C1259" s="241">
        <v>190</v>
      </c>
      <c r="D1259" s="239" t="s">
        <v>2881</v>
      </c>
      <c r="E1259" s="239" t="s">
        <v>1410</v>
      </c>
      <c r="F1259" s="239" t="s">
        <v>437</v>
      </c>
      <c r="G1259" s="239" t="s">
        <v>951</v>
      </c>
      <c r="H1259" s="239" t="s">
        <v>51</v>
      </c>
      <c r="I1259" s="239" t="s">
        <v>2882</v>
      </c>
      <c r="J1259" s="233"/>
      <c r="K1259" s="235">
        <v>45958</v>
      </c>
      <c r="L1259" s="233">
        <v>1.2</v>
      </c>
      <c r="M1259" s="234" t="s">
        <v>951</v>
      </c>
      <c r="N1259" s="234">
        <v>40840</v>
      </c>
      <c r="O1259" s="234">
        <v>15090</v>
      </c>
      <c r="P1259" s="242">
        <v>7</v>
      </c>
      <c r="Q1259" s="234">
        <v>25750</v>
      </c>
      <c r="R1259" s="234">
        <v>23947.5</v>
      </c>
      <c r="S1259" s="234" t="s">
        <v>3391</v>
      </c>
      <c r="T1259" s="236">
        <v>45958</v>
      </c>
    </row>
    <row r="1260" spans="1:20" ht="38.25" hidden="1">
      <c r="A1260" s="239" t="s">
        <v>3371</v>
      </c>
      <c r="B1260" s="240">
        <v>2748</v>
      </c>
      <c r="C1260" s="241">
        <v>191</v>
      </c>
      <c r="D1260" s="239" t="s">
        <v>2881</v>
      </c>
      <c r="E1260" s="239" t="s">
        <v>432</v>
      </c>
      <c r="F1260" s="239" t="s">
        <v>433</v>
      </c>
      <c r="G1260" s="239" t="s">
        <v>951</v>
      </c>
      <c r="H1260" s="239" t="s">
        <v>51</v>
      </c>
      <c r="I1260" s="239" t="s">
        <v>2882</v>
      </c>
      <c r="J1260" s="233"/>
      <c r="K1260" s="235">
        <v>45958</v>
      </c>
      <c r="L1260" s="233">
        <v>1.3</v>
      </c>
      <c r="M1260" s="234" t="s">
        <v>951</v>
      </c>
      <c r="N1260" s="234">
        <v>43030</v>
      </c>
      <c r="O1260" s="234">
        <v>15910</v>
      </c>
      <c r="P1260" s="242">
        <v>14</v>
      </c>
      <c r="Q1260" s="234">
        <v>27120</v>
      </c>
      <c r="R1260" s="234">
        <v>23323.200000000001</v>
      </c>
      <c r="S1260" s="234" t="s">
        <v>3392</v>
      </c>
      <c r="T1260" s="236">
        <v>45958</v>
      </c>
    </row>
    <row r="1261" spans="1:20" ht="51" hidden="1">
      <c r="A1261" s="239" t="s">
        <v>3382</v>
      </c>
      <c r="B1261" s="240">
        <v>2758</v>
      </c>
      <c r="C1261" s="241">
        <v>203</v>
      </c>
      <c r="D1261" s="239" t="s">
        <v>2881</v>
      </c>
      <c r="E1261" s="239" t="s">
        <v>382</v>
      </c>
      <c r="F1261" s="239" t="s">
        <v>383</v>
      </c>
      <c r="G1261" s="239" t="s">
        <v>957</v>
      </c>
      <c r="H1261" s="239" t="s">
        <v>51</v>
      </c>
      <c r="I1261" s="239" t="s">
        <v>2882</v>
      </c>
      <c r="J1261" s="233"/>
      <c r="K1261" s="235">
        <v>45958</v>
      </c>
      <c r="L1261" s="233">
        <v>1.2</v>
      </c>
      <c r="M1261" s="234" t="s">
        <v>951</v>
      </c>
      <c r="N1261" s="234">
        <v>34500</v>
      </c>
      <c r="O1261" s="234">
        <v>14970</v>
      </c>
      <c r="P1261" s="242">
        <v>5</v>
      </c>
      <c r="Q1261" s="234">
        <v>19530</v>
      </c>
      <c r="R1261" s="234">
        <v>18553.5</v>
      </c>
      <c r="S1261" s="234" t="s">
        <v>3403</v>
      </c>
      <c r="T1261" s="236">
        <v>45958</v>
      </c>
    </row>
    <row r="1262" spans="1:20" ht="38.25" hidden="1">
      <c r="A1262" s="239" t="s">
        <v>3385</v>
      </c>
      <c r="B1262" s="240">
        <v>2761</v>
      </c>
      <c r="C1262" s="241">
        <v>196</v>
      </c>
      <c r="D1262" s="239" t="s">
        <v>2881</v>
      </c>
      <c r="E1262" s="239" t="s">
        <v>456</v>
      </c>
      <c r="F1262" s="239" t="s">
        <v>457</v>
      </c>
      <c r="G1262" s="239" t="s">
        <v>957</v>
      </c>
      <c r="H1262" s="239" t="s">
        <v>51</v>
      </c>
      <c r="I1262" s="239" t="s">
        <v>2882</v>
      </c>
      <c r="J1262" s="233"/>
      <c r="K1262" s="235">
        <v>45957</v>
      </c>
      <c r="L1262" s="233">
        <v>1.3</v>
      </c>
      <c r="M1262" s="234" t="s">
        <v>957</v>
      </c>
      <c r="N1262" s="234">
        <v>43680</v>
      </c>
      <c r="O1262" s="234">
        <v>16350</v>
      </c>
      <c r="P1262" s="242">
        <v>12</v>
      </c>
      <c r="Q1262" s="234">
        <v>27330</v>
      </c>
      <c r="R1262" s="234">
        <v>24050.400000000001</v>
      </c>
      <c r="S1262" s="234" t="s">
        <v>3406</v>
      </c>
      <c r="T1262" s="236">
        <v>45958</v>
      </c>
    </row>
    <row r="1263" spans="1:20" ht="38.25" hidden="1">
      <c r="A1263" s="239" t="s">
        <v>3386</v>
      </c>
      <c r="B1263" s="240">
        <v>2762</v>
      </c>
      <c r="C1263" s="241">
        <v>193</v>
      </c>
      <c r="D1263" s="239" t="s">
        <v>2881</v>
      </c>
      <c r="E1263" s="239" t="s">
        <v>413</v>
      </c>
      <c r="F1263" s="239" t="s">
        <v>414</v>
      </c>
      <c r="G1263" s="239" t="s">
        <v>957</v>
      </c>
      <c r="H1263" s="239" t="s">
        <v>51</v>
      </c>
      <c r="I1263" s="239" t="s">
        <v>2882</v>
      </c>
      <c r="J1263" s="233"/>
      <c r="K1263" s="235">
        <v>45958</v>
      </c>
      <c r="L1263" s="233">
        <v>1.4</v>
      </c>
      <c r="M1263" s="234" t="s">
        <v>957</v>
      </c>
      <c r="N1263" s="234">
        <v>39000</v>
      </c>
      <c r="O1263" s="234">
        <v>15240</v>
      </c>
      <c r="P1263" s="242">
        <v>14</v>
      </c>
      <c r="Q1263" s="234">
        <v>23760</v>
      </c>
      <c r="R1263" s="234">
        <v>20433.599999999999</v>
      </c>
      <c r="S1263" s="234" t="s">
        <v>3407</v>
      </c>
      <c r="T1263" s="236">
        <v>45959</v>
      </c>
    </row>
    <row r="1264" spans="1:20" ht="38.25" hidden="1">
      <c r="A1264" s="239" t="s">
        <v>3387</v>
      </c>
      <c r="B1264" s="240">
        <v>2763</v>
      </c>
      <c r="C1264" s="241">
        <v>192</v>
      </c>
      <c r="D1264" s="239" t="s">
        <v>2881</v>
      </c>
      <c r="E1264" s="239" t="s">
        <v>439</v>
      </c>
      <c r="F1264" s="239" t="s">
        <v>440</v>
      </c>
      <c r="G1264" s="239" t="s">
        <v>957</v>
      </c>
      <c r="H1264" s="239" t="s">
        <v>51</v>
      </c>
      <c r="I1264" s="239" t="s">
        <v>2882</v>
      </c>
      <c r="J1264" s="233"/>
      <c r="K1264" s="235">
        <v>45958</v>
      </c>
      <c r="L1264" s="233">
        <v>1.5</v>
      </c>
      <c r="M1264" s="234" t="s">
        <v>957</v>
      </c>
      <c r="N1264" s="234">
        <v>39910</v>
      </c>
      <c r="O1264" s="234">
        <v>15280</v>
      </c>
      <c r="P1264" s="242">
        <v>21</v>
      </c>
      <c r="Q1264" s="234">
        <v>24630</v>
      </c>
      <c r="R1264" s="234">
        <v>19457.7</v>
      </c>
      <c r="S1264" s="234" t="s">
        <v>3408</v>
      </c>
      <c r="T1264" s="236">
        <v>45959</v>
      </c>
    </row>
    <row r="1265" spans="1:20" ht="25.5" hidden="1">
      <c r="A1265" s="239" t="s">
        <v>3388</v>
      </c>
      <c r="B1265" s="240">
        <v>2764</v>
      </c>
      <c r="C1265" s="241">
        <v>194</v>
      </c>
      <c r="D1265" s="239" t="s">
        <v>2881</v>
      </c>
      <c r="E1265" s="239" t="s">
        <v>429</v>
      </c>
      <c r="F1265" s="239" t="s">
        <v>430</v>
      </c>
      <c r="G1265" s="239" t="s">
        <v>957</v>
      </c>
      <c r="H1265" s="239" t="s">
        <v>51</v>
      </c>
      <c r="I1265" s="239" t="s">
        <v>2882</v>
      </c>
      <c r="J1265" s="233"/>
      <c r="K1265" s="235">
        <v>45958</v>
      </c>
      <c r="L1265" s="233">
        <v>1.4</v>
      </c>
      <c r="M1265" s="234" t="s">
        <v>957</v>
      </c>
      <c r="N1265" s="234">
        <v>37630</v>
      </c>
      <c r="O1265" s="234">
        <v>14510</v>
      </c>
      <c r="P1265" s="242">
        <v>20</v>
      </c>
      <c r="Q1265" s="234">
        <v>23120</v>
      </c>
      <c r="R1265" s="234">
        <v>18496</v>
      </c>
      <c r="S1265" s="234" t="s">
        <v>3409</v>
      </c>
      <c r="T1265" s="236">
        <v>45959</v>
      </c>
    </row>
    <row r="1266" spans="1:20" ht="38.25" hidden="1">
      <c r="A1266" s="239" t="s">
        <v>3389</v>
      </c>
      <c r="B1266" s="240">
        <v>2765</v>
      </c>
      <c r="C1266" s="241">
        <v>181</v>
      </c>
      <c r="D1266" s="239" t="s">
        <v>2881</v>
      </c>
      <c r="E1266" s="239" t="s">
        <v>392</v>
      </c>
      <c r="F1266" s="239" t="s">
        <v>393</v>
      </c>
      <c r="G1266" s="239" t="s">
        <v>957</v>
      </c>
      <c r="H1266" s="239" t="s">
        <v>51</v>
      </c>
      <c r="I1266" s="239" t="s">
        <v>2882</v>
      </c>
      <c r="J1266" s="233"/>
      <c r="K1266" s="235">
        <v>45958</v>
      </c>
      <c r="L1266" s="233">
        <v>1.2</v>
      </c>
      <c r="M1266" s="234" t="s">
        <v>957</v>
      </c>
      <c r="N1266" s="234">
        <v>43510</v>
      </c>
      <c r="O1266" s="234">
        <v>24180</v>
      </c>
      <c r="P1266" s="242">
        <v>4</v>
      </c>
      <c r="Q1266" s="234">
        <v>19330</v>
      </c>
      <c r="R1266" s="234">
        <v>18556.8</v>
      </c>
      <c r="S1266" s="234" t="s">
        <v>3410</v>
      </c>
      <c r="T1266" s="236">
        <v>45959</v>
      </c>
    </row>
    <row r="1267" spans="1:20" ht="51" hidden="1">
      <c r="A1267" s="239" t="s">
        <v>3417</v>
      </c>
      <c r="B1267" s="240">
        <v>2766</v>
      </c>
      <c r="C1267" s="241">
        <v>195</v>
      </c>
      <c r="D1267" s="239" t="s">
        <v>2881</v>
      </c>
      <c r="E1267" s="239" t="s">
        <v>369</v>
      </c>
      <c r="F1267" s="239" t="s">
        <v>370</v>
      </c>
      <c r="G1267" s="239" t="s">
        <v>957</v>
      </c>
      <c r="H1267" s="239" t="s">
        <v>51</v>
      </c>
      <c r="I1267" s="239" t="s">
        <v>2882</v>
      </c>
      <c r="J1267" s="233"/>
      <c r="K1267" s="235">
        <v>45958</v>
      </c>
      <c r="L1267" s="233">
        <v>1.3</v>
      </c>
      <c r="M1267" s="234" t="s">
        <v>957</v>
      </c>
      <c r="N1267" s="234">
        <v>36500</v>
      </c>
      <c r="O1267" s="234">
        <v>15380</v>
      </c>
      <c r="P1267" s="242">
        <v>6</v>
      </c>
      <c r="Q1267" s="234">
        <v>21120</v>
      </c>
      <c r="R1267" s="234">
        <v>19852.8</v>
      </c>
      <c r="S1267" s="234" t="s">
        <v>3418</v>
      </c>
      <c r="T1267" s="236">
        <v>45959</v>
      </c>
    </row>
    <row r="1268" spans="1:20" ht="38.25" hidden="1">
      <c r="A1268" s="239" t="s">
        <v>3422</v>
      </c>
      <c r="B1268" s="240">
        <v>2772</v>
      </c>
      <c r="C1268" s="241">
        <v>197</v>
      </c>
      <c r="D1268" s="239" t="s">
        <v>2881</v>
      </c>
      <c r="E1268" s="239" t="s">
        <v>377</v>
      </c>
      <c r="F1268" s="239" t="s">
        <v>378</v>
      </c>
      <c r="G1268" s="239" t="s">
        <v>957</v>
      </c>
      <c r="H1268" s="239" t="s">
        <v>51</v>
      </c>
      <c r="I1268" s="239" t="s">
        <v>2882</v>
      </c>
      <c r="J1268" s="233"/>
      <c r="K1268" s="235">
        <v>45959</v>
      </c>
      <c r="L1268" s="233">
        <v>1.3</v>
      </c>
      <c r="M1268" s="234" t="s">
        <v>957</v>
      </c>
      <c r="N1268" s="234">
        <v>38740</v>
      </c>
      <c r="O1268" s="234">
        <v>15430</v>
      </c>
      <c r="P1268" s="242">
        <v>12</v>
      </c>
      <c r="Q1268" s="234">
        <v>23310</v>
      </c>
      <c r="R1268" s="234">
        <v>20512.8</v>
      </c>
      <c r="S1268" s="234" t="s">
        <v>3434</v>
      </c>
      <c r="T1268" s="236">
        <v>45959</v>
      </c>
    </row>
    <row r="1269" spans="1:20" ht="38.25" hidden="1">
      <c r="A1269" s="239" t="s">
        <v>3424</v>
      </c>
      <c r="B1269" s="240">
        <v>2773</v>
      </c>
      <c r="C1269" s="241">
        <v>198</v>
      </c>
      <c r="D1269" s="239" t="s">
        <v>2881</v>
      </c>
      <c r="E1269" s="239" t="s">
        <v>841</v>
      </c>
      <c r="F1269" s="239" t="s">
        <v>845</v>
      </c>
      <c r="G1269" s="239" t="s">
        <v>957</v>
      </c>
      <c r="H1269" s="239" t="s">
        <v>51</v>
      </c>
      <c r="I1269" s="239" t="s">
        <v>2882</v>
      </c>
      <c r="J1269" s="233"/>
      <c r="K1269" s="235">
        <v>45959</v>
      </c>
      <c r="L1269" s="233">
        <v>1.3</v>
      </c>
      <c r="M1269" s="234" t="s">
        <v>957</v>
      </c>
      <c r="N1269" s="234">
        <v>39210</v>
      </c>
      <c r="O1269" s="234">
        <v>15840</v>
      </c>
      <c r="P1269" s="242">
        <v>6</v>
      </c>
      <c r="Q1269" s="234">
        <v>23370</v>
      </c>
      <c r="R1269" s="234">
        <v>21967.8</v>
      </c>
      <c r="S1269" s="234" t="s">
        <v>3436</v>
      </c>
      <c r="T1269" s="236">
        <v>45959</v>
      </c>
    </row>
    <row r="1270" spans="1:20" ht="38.25" hidden="1">
      <c r="A1270" s="239" t="s">
        <v>3427</v>
      </c>
      <c r="B1270" s="240">
        <v>2774</v>
      </c>
      <c r="C1270" s="241">
        <v>200</v>
      </c>
      <c r="D1270" s="239" t="s">
        <v>2881</v>
      </c>
      <c r="E1270" s="239" t="s">
        <v>858</v>
      </c>
      <c r="F1270" s="239" t="s">
        <v>859</v>
      </c>
      <c r="G1270" s="239" t="s">
        <v>957</v>
      </c>
      <c r="H1270" s="239" t="s">
        <v>51</v>
      </c>
      <c r="I1270" s="239" t="s">
        <v>2882</v>
      </c>
      <c r="J1270" s="233"/>
      <c r="K1270" s="235">
        <v>45959</v>
      </c>
      <c r="L1270" s="233">
        <v>1.4</v>
      </c>
      <c r="M1270" s="234" t="s">
        <v>957</v>
      </c>
      <c r="N1270" s="234">
        <v>39740</v>
      </c>
      <c r="O1270" s="234">
        <v>15150</v>
      </c>
      <c r="P1270" s="242">
        <v>14</v>
      </c>
      <c r="Q1270" s="234">
        <v>24590</v>
      </c>
      <c r="R1270" s="234">
        <v>21147.4</v>
      </c>
      <c r="S1270" s="234" t="s">
        <v>3439</v>
      </c>
      <c r="T1270" s="236">
        <v>45959</v>
      </c>
    </row>
    <row r="1271" spans="1:20" ht="38.25" hidden="1">
      <c r="A1271" s="239" t="s">
        <v>3429</v>
      </c>
      <c r="B1271" s="240">
        <v>2775</v>
      </c>
      <c r="C1271" s="241">
        <v>201</v>
      </c>
      <c r="D1271" s="239" t="s">
        <v>2881</v>
      </c>
      <c r="E1271" s="239" t="s">
        <v>400</v>
      </c>
      <c r="F1271" s="239" t="s">
        <v>401</v>
      </c>
      <c r="G1271" s="239" t="s">
        <v>957</v>
      </c>
      <c r="H1271" s="239" t="s">
        <v>51</v>
      </c>
      <c r="I1271" s="239" t="s">
        <v>2882</v>
      </c>
      <c r="J1271" s="233"/>
      <c r="K1271" s="235">
        <v>45959</v>
      </c>
      <c r="L1271" s="233">
        <v>1.3</v>
      </c>
      <c r="M1271" s="234" t="s">
        <v>957</v>
      </c>
      <c r="N1271" s="234">
        <v>37990</v>
      </c>
      <c r="O1271" s="234">
        <v>15020</v>
      </c>
      <c r="P1271" s="242">
        <v>14</v>
      </c>
      <c r="Q1271" s="234">
        <v>22970</v>
      </c>
      <c r="R1271" s="234">
        <v>19754.2</v>
      </c>
      <c r="S1271" s="234" t="s">
        <v>3441</v>
      </c>
      <c r="T1271" s="236">
        <v>45959</v>
      </c>
    </row>
    <row r="1272" spans="1:20" ht="38.25" hidden="1">
      <c r="A1272" s="239" t="s">
        <v>3421</v>
      </c>
      <c r="B1272" s="240">
        <v>2776</v>
      </c>
      <c r="C1272" s="241">
        <v>199</v>
      </c>
      <c r="D1272" s="239" t="s">
        <v>2881</v>
      </c>
      <c r="E1272" s="239" t="s">
        <v>453</v>
      </c>
      <c r="F1272" s="239" t="s">
        <v>454</v>
      </c>
      <c r="G1272" s="239" t="s">
        <v>957</v>
      </c>
      <c r="H1272" s="239" t="s">
        <v>51</v>
      </c>
      <c r="I1272" s="239" t="s">
        <v>2882</v>
      </c>
      <c r="J1272" s="233"/>
      <c r="K1272" s="235">
        <v>45959</v>
      </c>
      <c r="L1272" s="233">
        <v>2.2000000000000002</v>
      </c>
      <c r="M1272" s="234" t="s">
        <v>957</v>
      </c>
      <c r="N1272" s="234">
        <v>64100</v>
      </c>
      <c r="O1272" s="234">
        <v>24740</v>
      </c>
      <c r="P1272" s="242">
        <v>7</v>
      </c>
      <c r="Q1272" s="234">
        <v>39360</v>
      </c>
      <c r="R1272" s="234">
        <v>36604.800000000003</v>
      </c>
      <c r="S1272" s="234" t="s">
        <v>3433</v>
      </c>
      <c r="T1272" s="236">
        <v>45959</v>
      </c>
    </row>
    <row r="1273" spans="1:20" ht="25.5" hidden="1">
      <c r="A1273" s="239" t="s">
        <v>3423</v>
      </c>
      <c r="B1273" s="240">
        <v>2777</v>
      </c>
      <c r="C1273" s="241">
        <v>202</v>
      </c>
      <c r="D1273" s="239" t="s">
        <v>2881</v>
      </c>
      <c r="E1273" s="239" t="s">
        <v>425</v>
      </c>
      <c r="F1273" s="239" t="s">
        <v>426</v>
      </c>
      <c r="G1273" s="239" t="s">
        <v>957</v>
      </c>
      <c r="H1273" s="239" t="s">
        <v>51</v>
      </c>
      <c r="I1273" s="239" t="s">
        <v>2882</v>
      </c>
      <c r="J1273" s="233"/>
      <c r="K1273" s="235">
        <v>45959</v>
      </c>
      <c r="L1273" s="233">
        <v>1.7</v>
      </c>
      <c r="M1273" s="234" t="s">
        <v>957</v>
      </c>
      <c r="N1273" s="234">
        <v>50270</v>
      </c>
      <c r="O1273" s="234">
        <v>18920</v>
      </c>
      <c r="P1273" s="242">
        <v>9</v>
      </c>
      <c r="Q1273" s="234">
        <v>31350</v>
      </c>
      <c r="R1273" s="234">
        <v>28528.5</v>
      </c>
      <c r="S1273" s="234" t="s">
        <v>3435</v>
      </c>
      <c r="T1273" s="236">
        <v>45959</v>
      </c>
    </row>
    <row r="1274" spans="1:20" ht="25.5" hidden="1">
      <c r="A1274" s="239" t="s">
        <v>3425</v>
      </c>
      <c r="B1274" s="240">
        <v>2778</v>
      </c>
      <c r="C1274" s="241">
        <v>205</v>
      </c>
      <c r="D1274" s="239" t="s">
        <v>2881</v>
      </c>
      <c r="E1274" s="239" t="s">
        <v>783</v>
      </c>
      <c r="F1274" s="239" t="s">
        <v>784</v>
      </c>
      <c r="G1274" s="239" t="s">
        <v>957</v>
      </c>
      <c r="H1274" s="239" t="s">
        <v>51</v>
      </c>
      <c r="I1274" s="239" t="s">
        <v>2882</v>
      </c>
      <c r="J1274" s="233"/>
      <c r="K1274" s="235">
        <v>45959</v>
      </c>
      <c r="L1274" s="233">
        <v>1.3</v>
      </c>
      <c r="M1274" s="234" t="s">
        <v>957</v>
      </c>
      <c r="N1274" s="234">
        <v>38130</v>
      </c>
      <c r="O1274" s="234">
        <v>14880</v>
      </c>
      <c r="P1274" s="242">
        <v>7</v>
      </c>
      <c r="Q1274" s="234">
        <v>23250</v>
      </c>
      <c r="R1274" s="234">
        <v>21622.5</v>
      </c>
      <c r="S1274" s="234" t="s">
        <v>3437</v>
      </c>
      <c r="T1274" s="236">
        <v>45959</v>
      </c>
    </row>
    <row r="1275" spans="1:20" ht="25.5" hidden="1">
      <c r="A1275" s="239" t="s">
        <v>3426</v>
      </c>
      <c r="B1275" s="240">
        <v>2779</v>
      </c>
      <c r="C1275" s="241">
        <v>206</v>
      </c>
      <c r="D1275" s="239" t="s">
        <v>2881</v>
      </c>
      <c r="E1275" s="239" t="s">
        <v>794</v>
      </c>
      <c r="F1275" s="239" t="s">
        <v>795</v>
      </c>
      <c r="G1275" s="239" t="s">
        <v>957</v>
      </c>
      <c r="H1275" s="239" t="s">
        <v>51</v>
      </c>
      <c r="I1275" s="239" t="s">
        <v>2882</v>
      </c>
      <c r="J1275" s="233"/>
      <c r="K1275" s="235">
        <v>45959</v>
      </c>
      <c r="L1275" s="233">
        <v>1.4</v>
      </c>
      <c r="M1275" s="234" t="s">
        <v>957</v>
      </c>
      <c r="N1275" s="234">
        <v>41100</v>
      </c>
      <c r="O1275" s="234">
        <v>16280</v>
      </c>
      <c r="P1275" s="242">
        <v>14</v>
      </c>
      <c r="Q1275" s="234">
        <v>24820</v>
      </c>
      <c r="R1275" s="234">
        <v>21345.200000000001</v>
      </c>
      <c r="S1275" s="234" t="s">
        <v>3438</v>
      </c>
      <c r="T1275" s="236">
        <v>45959</v>
      </c>
    </row>
    <row r="1276" spans="1:20" ht="38.25" hidden="1">
      <c r="A1276" s="239" t="s">
        <v>3428</v>
      </c>
      <c r="B1276" s="240">
        <v>2780</v>
      </c>
      <c r="C1276" s="241">
        <v>204</v>
      </c>
      <c r="D1276" s="239" t="s">
        <v>2881</v>
      </c>
      <c r="E1276" s="239" t="s">
        <v>786</v>
      </c>
      <c r="F1276" s="239" t="s">
        <v>787</v>
      </c>
      <c r="G1276" s="239" t="s">
        <v>957</v>
      </c>
      <c r="H1276" s="239" t="s">
        <v>51</v>
      </c>
      <c r="I1276" s="239" t="s">
        <v>2882</v>
      </c>
      <c r="J1276" s="233"/>
      <c r="K1276" s="235">
        <v>45959</v>
      </c>
      <c r="L1276" s="233">
        <v>1.2</v>
      </c>
      <c r="M1276" s="234" t="s">
        <v>957</v>
      </c>
      <c r="N1276" s="234">
        <v>35310</v>
      </c>
      <c r="O1276" s="234">
        <v>14100</v>
      </c>
      <c r="P1276" s="242">
        <v>22</v>
      </c>
      <c r="Q1276" s="234">
        <v>21210</v>
      </c>
      <c r="R1276" s="234">
        <v>16543.8</v>
      </c>
      <c r="S1276" s="234" t="s">
        <v>3440</v>
      </c>
      <c r="T1276" s="236">
        <v>45959</v>
      </c>
    </row>
    <row r="1277" spans="1:20" ht="38.25" hidden="1">
      <c r="A1277" s="239" t="s">
        <v>3430</v>
      </c>
      <c r="B1277" s="240">
        <v>2781</v>
      </c>
      <c r="C1277" s="241">
        <v>207</v>
      </c>
      <c r="D1277" s="239" t="s">
        <v>2881</v>
      </c>
      <c r="E1277" s="239" t="s">
        <v>416</v>
      </c>
      <c r="F1277" s="239" t="s">
        <v>417</v>
      </c>
      <c r="G1277" s="239" t="s">
        <v>957</v>
      </c>
      <c r="H1277" s="239" t="s">
        <v>51</v>
      </c>
      <c r="I1277" s="239" t="s">
        <v>2882</v>
      </c>
      <c r="J1277" s="233"/>
      <c r="K1277" s="235">
        <v>45959</v>
      </c>
      <c r="L1277" s="233">
        <v>1.4</v>
      </c>
      <c r="M1277" s="234" t="s">
        <v>957</v>
      </c>
      <c r="N1277" s="234">
        <v>39290</v>
      </c>
      <c r="O1277" s="234">
        <v>14960</v>
      </c>
      <c r="P1277" s="242">
        <v>14</v>
      </c>
      <c r="Q1277" s="234">
        <v>24330</v>
      </c>
      <c r="R1277" s="234">
        <v>20923.8</v>
      </c>
      <c r="S1277" s="234" t="s">
        <v>3442</v>
      </c>
      <c r="T1277" s="236">
        <v>45960</v>
      </c>
    </row>
    <row r="1278" spans="1:20" ht="38.25" hidden="1">
      <c r="A1278" s="239" t="s">
        <v>3431</v>
      </c>
      <c r="B1278" s="240">
        <v>2782</v>
      </c>
      <c r="C1278" s="241">
        <v>208</v>
      </c>
      <c r="D1278" s="239" t="s">
        <v>2881</v>
      </c>
      <c r="E1278" s="239" t="s">
        <v>420</v>
      </c>
      <c r="F1278" s="239" t="s">
        <v>421</v>
      </c>
      <c r="G1278" s="239" t="s">
        <v>957</v>
      </c>
      <c r="H1278" s="239" t="s">
        <v>51</v>
      </c>
      <c r="I1278" s="239" t="s">
        <v>2882</v>
      </c>
      <c r="J1278" s="233"/>
      <c r="K1278" s="235">
        <v>45959</v>
      </c>
      <c r="L1278" s="233">
        <v>1.2</v>
      </c>
      <c r="M1278" s="234" t="s">
        <v>957</v>
      </c>
      <c r="N1278" s="234">
        <v>36590</v>
      </c>
      <c r="O1278" s="234">
        <v>15100</v>
      </c>
      <c r="P1278" s="242">
        <v>24</v>
      </c>
      <c r="Q1278" s="234">
        <v>21490</v>
      </c>
      <c r="R1278" s="234">
        <v>16332.4</v>
      </c>
      <c r="S1278" s="234" t="s">
        <v>3443</v>
      </c>
      <c r="T1278" s="236">
        <v>45960</v>
      </c>
    </row>
    <row r="1279" spans="1:20" ht="25.5" hidden="1">
      <c r="A1279" s="239" t="s">
        <v>3432</v>
      </c>
      <c r="B1279" s="240">
        <v>2783</v>
      </c>
      <c r="C1279" s="241">
        <v>209</v>
      </c>
      <c r="D1279" s="239" t="s">
        <v>2881</v>
      </c>
      <c r="E1279" s="239" t="s">
        <v>791</v>
      </c>
      <c r="F1279" s="239" t="s">
        <v>792</v>
      </c>
      <c r="G1279" s="239" t="s">
        <v>957</v>
      </c>
      <c r="H1279" s="239" t="s">
        <v>51</v>
      </c>
      <c r="I1279" s="239" t="s">
        <v>2882</v>
      </c>
      <c r="J1279" s="233"/>
      <c r="K1279" s="235">
        <v>45959</v>
      </c>
      <c r="L1279" s="233">
        <v>1.3</v>
      </c>
      <c r="M1279" s="234" t="s">
        <v>957</v>
      </c>
      <c r="N1279" s="234">
        <v>39010</v>
      </c>
      <c r="O1279" s="234">
        <v>15210</v>
      </c>
      <c r="P1279" s="242">
        <v>21</v>
      </c>
      <c r="Q1279" s="234">
        <v>23800</v>
      </c>
      <c r="R1279" s="234">
        <v>18802</v>
      </c>
      <c r="S1279" s="234" t="s">
        <v>3444</v>
      </c>
      <c r="T1279" s="236">
        <v>45960</v>
      </c>
    </row>
    <row r="1280" spans="1:20" ht="38.25" hidden="1">
      <c r="A1280" s="239" t="s">
        <v>3445</v>
      </c>
      <c r="B1280" s="240">
        <v>2784</v>
      </c>
      <c r="C1280" s="241">
        <v>211</v>
      </c>
      <c r="D1280" s="239" t="s">
        <v>2881</v>
      </c>
      <c r="E1280" s="239" t="s">
        <v>390</v>
      </c>
      <c r="F1280" s="239" t="s">
        <v>391</v>
      </c>
      <c r="G1280" s="239" t="s">
        <v>957</v>
      </c>
      <c r="H1280" s="239" t="s">
        <v>51</v>
      </c>
      <c r="I1280" s="239" t="s">
        <v>2882</v>
      </c>
      <c r="J1280" s="233"/>
      <c r="K1280" s="235">
        <v>45959</v>
      </c>
      <c r="L1280" s="233">
        <v>1.3</v>
      </c>
      <c r="M1280" s="234" t="s">
        <v>957</v>
      </c>
      <c r="N1280" s="234">
        <v>38810</v>
      </c>
      <c r="O1280" s="234">
        <v>15190</v>
      </c>
      <c r="P1280" s="242">
        <v>12</v>
      </c>
      <c r="Q1280" s="234">
        <v>23620</v>
      </c>
      <c r="R1280" s="234">
        <v>20785.599999999999</v>
      </c>
      <c r="S1280" s="234" t="s">
        <v>3446</v>
      </c>
      <c r="T1280" s="236">
        <v>45960</v>
      </c>
    </row>
    <row r="1281" spans="1:20" ht="38.25" hidden="1">
      <c r="A1281" s="239" t="s">
        <v>3447</v>
      </c>
      <c r="B1281" s="240">
        <v>2785</v>
      </c>
      <c r="C1281" s="241">
        <v>210</v>
      </c>
      <c r="D1281" s="239" t="s">
        <v>2881</v>
      </c>
      <c r="E1281" s="239" t="s">
        <v>388</v>
      </c>
      <c r="F1281" s="239" t="s">
        <v>389</v>
      </c>
      <c r="G1281" s="239" t="s">
        <v>957</v>
      </c>
      <c r="H1281" s="239" t="s">
        <v>51</v>
      </c>
      <c r="I1281" s="239" t="s">
        <v>2882</v>
      </c>
      <c r="J1281" s="233"/>
      <c r="K1281" s="235">
        <v>45959</v>
      </c>
      <c r="L1281" s="233">
        <v>2.2000000000000002</v>
      </c>
      <c r="M1281" s="234" t="s">
        <v>957</v>
      </c>
      <c r="N1281" s="234">
        <v>59920</v>
      </c>
      <c r="O1281" s="234">
        <v>21330</v>
      </c>
      <c r="P1281" s="242">
        <v>24</v>
      </c>
      <c r="Q1281" s="234">
        <v>38590</v>
      </c>
      <c r="R1281" s="234">
        <v>29328.400000000001</v>
      </c>
      <c r="S1281" s="234" t="s">
        <v>3448</v>
      </c>
      <c r="T1281" s="236">
        <v>45960</v>
      </c>
    </row>
    <row r="1282" spans="1:20" ht="38.25" hidden="1">
      <c r="A1282" s="239" t="s">
        <v>3449</v>
      </c>
      <c r="B1282" s="240">
        <v>2786</v>
      </c>
      <c r="C1282" s="241">
        <v>212</v>
      </c>
      <c r="D1282" s="239" t="s">
        <v>2881</v>
      </c>
      <c r="E1282" s="239" t="s">
        <v>447</v>
      </c>
      <c r="F1282" s="239" t="s">
        <v>448</v>
      </c>
      <c r="G1282" s="239" t="s">
        <v>957</v>
      </c>
      <c r="H1282" s="239" t="s">
        <v>51</v>
      </c>
      <c r="I1282" s="239" t="s">
        <v>2882</v>
      </c>
      <c r="J1282" s="233"/>
      <c r="K1282" s="235">
        <v>45959</v>
      </c>
      <c r="L1282" s="233">
        <v>1.8</v>
      </c>
      <c r="M1282" s="234" t="s">
        <v>957</v>
      </c>
      <c r="N1282" s="234">
        <v>52000</v>
      </c>
      <c r="O1282" s="234">
        <v>19590</v>
      </c>
      <c r="P1282" s="242">
        <v>8</v>
      </c>
      <c r="Q1282" s="234">
        <v>32410</v>
      </c>
      <c r="R1282" s="234">
        <v>29817.200000000001</v>
      </c>
      <c r="S1282" s="234" t="s">
        <v>3451</v>
      </c>
      <c r="T1282" s="236">
        <v>45960</v>
      </c>
    </row>
    <row r="1283" spans="1:20" ht="38.25" hidden="1">
      <c r="A1283" s="239" t="s">
        <v>3450</v>
      </c>
      <c r="B1283" s="240">
        <v>2787</v>
      </c>
      <c r="C1283" s="241">
        <v>213</v>
      </c>
      <c r="D1283" s="239" t="s">
        <v>2881</v>
      </c>
      <c r="E1283" s="239" t="s">
        <v>372</v>
      </c>
      <c r="F1283" s="239" t="s">
        <v>373</v>
      </c>
      <c r="G1283" s="239" t="s">
        <v>957</v>
      </c>
      <c r="H1283" s="239" t="s">
        <v>51</v>
      </c>
      <c r="I1283" s="239" t="s">
        <v>2882</v>
      </c>
      <c r="J1283" s="233"/>
      <c r="K1283" s="235">
        <v>45959</v>
      </c>
      <c r="L1283" s="233">
        <v>1.3</v>
      </c>
      <c r="M1283" s="234" t="s">
        <v>957</v>
      </c>
      <c r="N1283" s="234">
        <v>38140</v>
      </c>
      <c r="O1283" s="234">
        <v>15080</v>
      </c>
      <c r="P1283" s="242">
        <v>11</v>
      </c>
      <c r="Q1283" s="234">
        <v>23060</v>
      </c>
      <c r="R1283" s="234">
        <v>20523.400000000001</v>
      </c>
      <c r="S1283" s="234" t="s">
        <v>3452</v>
      </c>
      <c r="T1283" s="236">
        <v>45960</v>
      </c>
    </row>
    <row r="1284" spans="1:20" ht="38.25" hidden="1">
      <c r="A1284" s="239" t="s">
        <v>3453</v>
      </c>
      <c r="B1284" s="240">
        <v>2788</v>
      </c>
      <c r="C1284" s="241">
        <v>215</v>
      </c>
      <c r="D1284" s="239" t="s">
        <v>2881</v>
      </c>
      <c r="E1284" s="239" t="s">
        <v>432</v>
      </c>
      <c r="F1284" s="239" t="s">
        <v>433</v>
      </c>
      <c r="G1284" s="239" t="s">
        <v>957</v>
      </c>
      <c r="H1284" s="239" t="s">
        <v>51</v>
      </c>
      <c r="I1284" s="239" t="s">
        <v>2882</v>
      </c>
      <c r="J1284" s="233"/>
      <c r="K1284" s="235">
        <v>45959</v>
      </c>
      <c r="L1284" s="233">
        <v>1.5</v>
      </c>
      <c r="M1284" s="234" t="s">
        <v>957</v>
      </c>
      <c r="N1284" s="234">
        <v>43040</v>
      </c>
      <c r="O1284" s="234">
        <v>16020</v>
      </c>
      <c r="P1284" s="242">
        <v>15</v>
      </c>
      <c r="Q1284" s="234">
        <v>27020</v>
      </c>
      <c r="R1284" s="234">
        <v>22967</v>
      </c>
      <c r="S1284" s="234" t="s">
        <v>3454</v>
      </c>
      <c r="T1284" s="236">
        <v>45960</v>
      </c>
    </row>
    <row r="1285" spans="1:20" ht="38.25" hidden="1">
      <c r="A1285" s="239" t="s">
        <v>3455</v>
      </c>
      <c r="B1285" s="240">
        <v>2790</v>
      </c>
      <c r="C1285" s="241">
        <v>214</v>
      </c>
      <c r="D1285" s="239" t="s">
        <v>2881</v>
      </c>
      <c r="E1285" s="239" t="s">
        <v>413</v>
      </c>
      <c r="F1285" s="239" t="s">
        <v>414</v>
      </c>
      <c r="G1285" s="239" t="s">
        <v>957</v>
      </c>
      <c r="H1285" s="239" t="s">
        <v>51</v>
      </c>
      <c r="I1285" s="239" t="s">
        <v>2882</v>
      </c>
      <c r="J1285" s="233"/>
      <c r="K1285" s="235">
        <v>45959</v>
      </c>
      <c r="L1285" s="233">
        <v>1.4</v>
      </c>
      <c r="M1285" s="234" t="s">
        <v>957</v>
      </c>
      <c r="N1285" s="234">
        <v>40560</v>
      </c>
      <c r="O1285" s="234">
        <v>15130</v>
      </c>
      <c r="P1285" s="242">
        <v>16</v>
      </c>
      <c r="Q1285" s="234">
        <v>25430</v>
      </c>
      <c r="R1285" s="234">
        <v>21361.200000000001</v>
      </c>
      <c r="S1285" s="234" t="s">
        <v>3468</v>
      </c>
      <c r="T1285" s="236">
        <v>45960</v>
      </c>
    </row>
    <row r="1286" spans="1:20" ht="38.25" hidden="1">
      <c r="A1286" s="239" t="s">
        <v>3456</v>
      </c>
      <c r="B1286" s="240">
        <v>2793</v>
      </c>
      <c r="C1286" s="241">
        <v>216</v>
      </c>
      <c r="D1286" s="239" t="s">
        <v>2881</v>
      </c>
      <c r="E1286" s="239" t="s">
        <v>439</v>
      </c>
      <c r="F1286" s="239" t="s">
        <v>440</v>
      </c>
      <c r="G1286" s="239" t="s">
        <v>957</v>
      </c>
      <c r="H1286" s="239" t="s">
        <v>51</v>
      </c>
      <c r="I1286" s="239" t="s">
        <v>2882</v>
      </c>
      <c r="J1286" s="233"/>
      <c r="K1286" s="235">
        <v>45959</v>
      </c>
      <c r="L1286" s="233">
        <v>1.5</v>
      </c>
      <c r="M1286" s="234" t="s">
        <v>957</v>
      </c>
      <c r="N1286" s="234">
        <v>42970</v>
      </c>
      <c r="O1286" s="234">
        <v>15290</v>
      </c>
      <c r="P1286" s="242">
        <v>18</v>
      </c>
      <c r="Q1286" s="234">
        <v>27680</v>
      </c>
      <c r="R1286" s="234">
        <v>22697.599999999999</v>
      </c>
      <c r="S1286" s="234" t="s">
        <v>3469</v>
      </c>
      <c r="T1286" s="236">
        <v>45960</v>
      </c>
    </row>
    <row r="1287" spans="1:20" ht="25.5" hidden="1">
      <c r="A1287" s="239" t="s">
        <v>3457</v>
      </c>
      <c r="B1287" s="240">
        <v>2795</v>
      </c>
      <c r="C1287" s="241">
        <v>217</v>
      </c>
      <c r="D1287" s="239" t="s">
        <v>2881</v>
      </c>
      <c r="E1287" s="239" t="s">
        <v>429</v>
      </c>
      <c r="F1287" s="239" t="s">
        <v>430</v>
      </c>
      <c r="G1287" s="239" t="s">
        <v>957</v>
      </c>
      <c r="H1287" s="239" t="s">
        <v>51</v>
      </c>
      <c r="I1287" s="239" t="s">
        <v>2882</v>
      </c>
      <c r="J1287" s="233"/>
      <c r="K1287" s="235">
        <v>45960</v>
      </c>
      <c r="L1287" s="233">
        <v>1.3</v>
      </c>
      <c r="M1287" s="234" t="s">
        <v>957</v>
      </c>
      <c r="N1287" s="234">
        <v>38470</v>
      </c>
      <c r="O1287" s="234">
        <v>14670</v>
      </c>
      <c r="P1287" s="242">
        <v>8</v>
      </c>
      <c r="Q1287" s="234">
        <v>23800</v>
      </c>
      <c r="R1287" s="234">
        <v>21896</v>
      </c>
      <c r="S1287" s="234" t="s">
        <v>3470</v>
      </c>
      <c r="T1287" s="236">
        <v>45960</v>
      </c>
    </row>
    <row r="1288" spans="1:20" ht="38.25" hidden="1">
      <c r="A1288" s="239" t="s">
        <v>3458</v>
      </c>
      <c r="B1288" s="240">
        <v>2796</v>
      </c>
      <c r="C1288" s="241">
        <v>218</v>
      </c>
      <c r="D1288" s="239" t="s">
        <v>2881</v>
      </c>
      <c r="E1288" s="239" t="s">
        <v>456</v>
      </c>
      <c r="F1288" s="239" t="s">
        <v>457</v>
      </c>
      <c r="G1288" s="239" t="s">
        <v>957</v>
      </c>
      <c r="H1288" s="239" t="s">
        <v>51</v>
      </c>
      <c r="I1288" s="239" t="s">
        <v>2882</v>
      </c>
      <c r="J1288" s="233"/>
      <c r="K1288" s="235">
        <v>45960</v>
      </c>
      <c r="L1288" s="233">
        <v>1.4</v>
      </c>
      <c r="M1288" s="234" t="s">
        <v>957</v>
      </c>
      <c r="N1288" s="234">
        <v>41540</v>
      </c>
      <c r="O1288" s="234">
        <v>16290</v>
      </c>
      <c r="P1288" s="242">
        <v>29</v>
      </c>
      <c r="Q1288" s="234">
        <v>25250</v>
      </c>
      <c r="R1288" s="234">
        <v>17927.5</v>
      </c>
      <c r="S1288" s="234" t="s">
        <v>3471</v>
      </c>
      <c r="T1288" s="236">
        <v>45960</v>
      </c>
    </row>
    <row r="1289" spans="1:20" ht="51" hidden="1">
      <c r="A1289" s="239" t="s">
        <v>3462</v>
      </c>
      <c r="B1289" s="240">
        <v>2797</v>
      </c>
      <c r="C1289" s="241">
        <v>219</v>
      </c>
      <c r="D1289" s="239" t="s">
        <v>2881</v>
      </c>
      <c r="E1289" s="239" t="s">
        <v>1410</v>
      </c>
      <c r="F1289" s="239" t="s">
        <v>437</v>
      </c>
      <c r="G1289" s="239" t="s">
        <v>957</v>
      </c>
      <c r="H1289" s="239" t="s">
        <v>51</v>
      </c>
      <c r="I1289" s="239" t="s">
        <v>2882</v>
      </c>
      <c r="J1289" s="233"/>
      <c r="K1289" s="235">
        <v>45960</v>
      </c>
      <c r="L1289" s="233">
        <v>1.3</v>
      </c>
      <c r="M1289" s="234" t="s">
        <v>957</v>
      </c>
      <c r="N1289" s="234">
        <v>38490</v>
      </c>
      <c r="O1289" s="234">
        <v>15230</v>
      </c>
      <c r="P1289" s="242">
        <v>14</v>
      </c>
      <c r="Q1289" s="234">
        <v>23260</v>
      </c>
      <c r="R1289" s="234">
        <v>20003.599999999999</v>
      </c>
      <c r="S1289" s="234" t="s">
        <v>3475</v>
      </c>
      <c r="T1289" s="236">
        <v>45960</v>
      </c>
    </row>
    <row r="1290" spans="1:20" ht="38.25" hidden="1">
      <c r="A1290" s="239" t="s">
        <v>3463</v>
      </c>
      <c r="B1290" s="240">
        <v>2798</v>
      </c>
      <c r="C1290" s="241">
        <v>220</v>
      </c>
      <c r="D1290" s="239" t="s">
        <v>2881</v>
      </c>
      <c r="E1290" s="239" t="s">
        <v>392</v>
      </c>
      <c r="F1290" s="239" t="s">
        <v>393</v>
      </c>
      <c r="G1290" s="239" t="s">
        <v>951</v>
      </c>
      <c r="H1290" s="239" t="s">
        <v>51</v>
      </c>
      <c r="I1290" s="239" t="s">
        <v>2882</v>
      </c>
      <c r="J1290" s="233"/>
      <c r="K1290" s="235">
        <v>45960</v>
      </c>
      <c r="L1290" s="233">
        <v>1.1000000000000001</v>
      </c>
      <c r="M1290" s="234" t="s">
        <v>951</v>
      </c>
      <c r="N1290" s="234">
        <v>50670</v>
      </c>
      <c r="O1290" s="234">
        <v>24380</v>
      </c>
      <c r="P1290" s="242">
        <v>15</v>
      </c>
      <c r="Q1290" s="234">
        <v>26290</v>
      </c>
      <c r="R1290" s="234">
        <v>22346.5</v>
      </c>
      <c r="S1290" s="234" t="s">
        <v>3476</v>
      </c>
      <c r="T1290" s="236">
        <v>45960</v>
      </c>
    </row>
    <row r="1291" spans="1:20" ht="38.25" hidden="1">
      <c r="A1291" s="239" t="s">
        <v>3465</v>
      </c>
      <c r="B1291" s="240">
        <v>2799</v>
      </c>
      <c r="C1291" s="241">
        <v>11284</v>
      </c>
      <c r="D1291" s="239" t="s">
        <v>2511</v>
      </c>
      <c r="E1291" s="239" t="s">
        <v>866</v>
      </c>
      <c r="F1291" s="239" t="s">
        <v>867</v>
      </c>
      <c r="G1291" s="239" t="s">
        <v>934</v>
      </c>
      <c r="H1291" s="239" t="s">
        <v>42</v>
      </c>
      <c r="I1291" s="239" t="s">
        <v>2512</v>
      </c>
      <c r="J1291" s="233"/>
      <c r="K1291" s="235">
        <v>45960</v>
      </c>
      <c r="L1291" s="233">
        <v>1.7</v>
      </c>
      <c r="M1291" s="234" t="s">
        <v>934</v>
      </c>
      <c r="N1291" s="234">
        <v>40270</v>
      </c>
      <c r="O1291" s="234">
        <v>14630</v>
      </c>
      <c r="P1291" s="242">
        <v>6</v>
      </c>
      <c r="Q1291" s="234">
        <v>25640</v>
      </c>
      <c r="R1291" s="234">
        <v>24101.599999999999</v>
      </c>
      <c r="S1291" s="234" t="s">
        <v>3478</v>
      </c>
      <c r="T1291" s="236">
        <v>45960</v>
      </c>
    </row>
    <row r="1292" spans="1:20" ht="51" hidden="1">
      <c r="A1292" s="239" t="s">
        <v>3467</v>
      </c>
      <c r="B1292" s="240">
        <v>2800</v>
      </c>
      <c r="C1292" s="241">
        <v>11285</v>
      </c>
      <c r="D1292" s="239" t="s">
        <v>2511</v>
      </c>
      <c r="E1292" s="239" t="s">
        <v>369</v>
      </c>
      <c r="F1292" s="239" t="s">
        <v>370</v>
      </c>
      <c r="G1292" s="239" t="s">
        <v>934</v>
      </c>
      <c r="H1292" s="239" t="s">
        <v>42</v>
      </c>
      <c r="I1292" s="239" t="s">
        <v>2512</v>
      </c>
      <c r="J1292" s="233"/>
      <c r="K1292" s="235">
        <v>45960</v>
      </c>
      <c r="L1292" s="233">
        <v>1.6</v>
      </c>
      <c r="M1292" s="234" t="s">
        <v>934</v>
      </c>
      <c r="N1292" s="234">
        <v>40310</v>
      </c>
      <c r="O1292" s="234">
        <v>15310</v>
      </c>
      <c r="P1292" s="242">
        <v>11</v>
      </c>
      <c r="Q1292" s="234">
        <v>25000</v>
      </c>
      <c r="R1292" s="234">
        <v>22250</v>
      </c>
      <c r="S1292" s="234" t="s">
        <v>3480</v>
      </c>
      <c r="T1292" s="236">
        <v>45960</v>
      </c>
    </row>
    <row r="1293" spans="1:20" ht="51" hidden="1">
      <c r="A1293" s="239" t="s">
        <v>3459</v>
      </c>
      <c r="B1293" s="240">
        <v>2801</v>
      </c>
      <c r="C1293" s="241">
        <v>11294</v>
      </c>
      <c r="D1293" s="239" t="s">
        <v>2511</v>
      </c>
      <c r="E1293" s="239" t="s">
        <v>380</v>
      </c>
      <c r="F1293" s="239" t="s">
        <v>381</v>
      </c>
      <c r="G1293" s="239" t="s">
        <v>934</v>
      </c>
      <c r="H1293" s="239" t="s">
        <v>42</v>
      </c>
      <c r="I1293" s="239" t="s">
        <v>2512</v>
      </c>
      <c r="J1293" s="233"/>
      <c r="K1293" s="235">
        <v>45960</v>
      </c>
      <c r="L1293" s="233">
        <v>1.7</v>
      </c>
      <c r="M1293" s="234" t="s">
        <v>934</v>
      </c>
      <c r="N1293" s="234">
        <v>40300</v>
      </c>
      <c r="O1293" s="234">
        <v>15120</v>
      </c>
      <c r="P1293" s="242">
        <v>6</v>
      </c>
      <c r="Q1293" s="234">
        <v>25180</v>
      </c>
      <c r="R1293" s="234">
        <v>23669.200000000001</v>
      </c>
      <c r="S1293" s="234" t="s">
        <v>3472</v>
      </c>
      <c r="T1293" s="236">
        <v>45960</v>
      </c>
    </row>
    <row r="1294" spans="1:20" ht="38.25" hidden="1">
      <c r="A1294" s="239" t="s">
        <v>3460</v>
      </c>
      <c r="B1294" s="240">
        <v>2802</v>
      </c>
      <c r="C1294" s="241">
        <v>221</v>
      </c>
      <c r="D1294" s="239" t="s">
        <v>2881</v>
      </c>
      <c r="E1294" s="239" t="s">
        <v>841</v>
      </c>
      <c r="F1294" s="239" t="s">
        <v>845</v>
      </c>
      <c r="G1294" s="239" t="s">
        <v>951</v>
      </c>
      <c r="H1294" s="239" t="s">
        <v>51</v>
      </c>
      <c r="I1294" s="239" t="s">
        <v>2882</v>
      </c>
      <c r="J1294" s="233"/>
      <c r="K1294" s="235">
        <v>45960</v>
      </c>
      <c r="L1294" s="233">
        <v>0.9</v>
      </c>
      <c r="M1294" s="234" t="s">
        <v>951</v>
      </c>
      <c r="N1294" s="234">
        <v>38170</v>
      </c>
      <c r="O1294" s="234">
        <v>16110</v>
      </c>
      <c r="P1294" s="242">
        <v>6</v>
      </c>
      <c r="Q1294" s="234">
        <v>22060</v>
      </c>
      <c r="R1294" s="234">
        <v>20736.400000000001</v>
      </c>
      <c r="S1294" s="234" t="s">
        <v>3473</v>
      </c>
      <c r="T1294" s="236">
        <v>45960</v>
      </c>
    </row>
    <row r="1295" spans="1:20" ht="38.25" hidden="1">
      <c r="A1295" s="239" t="s">
        <v>3461</v>
      </c>
      <c r="B1295" s="240">
        <v>2803</v>
      </c>
      <c r="C1295" s="241">
        <v>222</v>
      </c>
      <c r="D1295" s="239" t="s">
        <v>2881</v>
      </c>
      <c r="E1295" s="239" t="s">
        <v>453</v>
      </c>
      <c r="F1295" s="239" t="s">
        <v>454</v>
      </c>
      <c r="G1295" s="239" t="s">
        <v>951</v>
      </c>
      <c r="H1295" s="239" t="s">
        <v>51</v>
      </c>
      <c r="I1295" s="239" t="s">
        <v>2882</v>
      </c>
      <c r="J1295" s="233"/>
      <c r="K1295" s="235">
        <v>45960</v>
      </c>
      <c r="L1295" s="233">
        <v>1.3</v>
      </c>
      <c r="M1295" s="234" t="s">
        <v>951</v>
      </c>
      <c r="N1295" s="234">
        <v>56080</v>
      </c>
      <c r="O1295" s="234">
        <v>24950</v>
      </c>
      <c r="P1295" s="242">
        <v>10</v>
      </c>
      <c r="Q1295" s="234">
        <v>31130</v>
      </c>
      <c r="R1295" s="234">
        <v>28017</v>
      </c>
      <c r="S1295" s="234" t="s">
        <v>3474</v>
      </c>
      <c r="T1295" s="236">
        <v>45960</v>
      </c>
    </row>
    <row r="1296" spans="1:20" ht="25.5" hidden="1">
      <c r="A1296" s="239" t="s">
        <v>3464</v>
      </c>
      <c r="B1296" s="240">
        <v>2804</v>
      </c>
      <c r="C1296" s="241">
        <v>223</v>
      </c>
      <c r="D1296" s="239" t="s">
        <v>2881</v>
      </c>
      <c r="E1296" s="239" t="s">
        <v>425</v>
      </c>
      <c r="F1296" s="239" t="s">
        <v>426</v>
      </c>
      <c r="G1296" s="239" t="s">
        <v>951</v>
      </c>
      <c r="H1296" s="239" t="s">
        <v>51</v>
      </c>
      <c r="I1296" s="239" t="s">
        <v>2882</v>
      </c>
      <c r="J1296" s="233"/>
      <c r="K1296" s="235">
        <v>45960</v>
      </c>
      <c r="L1296" s="233">
        <v>1.2</v>
      </c>
      <c r="M1296" s="234" t="s">
        <v>951</v>
      </c>
      <c r="N1296" s="234">
        <v>48210</v>
      </c>
      <c r="O1296" s="234">
        <v>18970</v>
      </c>
      <c r="P1296" s="242">
        <v>4</v>
      </c>
      <c r="Q1296" s="234">
        <v>29240</v>
      </c>
      <c r="R1296" s="234">
        <v>28070.400000000001</v>
      </c>
      <c r="S1296" s="234" t="s">
        <v>3477</v>
      </c>
      <c r="T1296" s="236">
        <v>45960</v>
      </c>
    </row>
    <row r="1297" spans="1:20" ht="25.5" hidden="1">
      <c r="A1297" s="239" t="s">
        <v>3466</v>
      </c>
      <c r="B1297" s="240">
        <v>2805</v>
      </c>
      <c r="C1297" s="241">
        <v>224</v>
      </c>
      <c r="D1297" s="239" t="s">
        <v>2881</v>
      </c>
      <c r="E1297" s="239" t="s">
        <v>783</v>
      </c>
      <c r="F1297" s="239" t="s">
        <v>784</v>
      </c>
      <c r="G1297" s="239" t="s">
        <v>951</v>
      </c>
      <c r="H1297" s="239" t="s">
        <v>51</v>
      </c>
      <c r="I1297" s="239" t="s">
        <v>2882</v>
      </c>
      <c r="J1297" s="233"/>
      <c r="K1297" s="235">
        <v>45960</v>
      </c>
      <c r="L1297" s="233">
        <v>1</v>
      </c>
      <c r="M1297" s="234" t="s">
        <v>951</v>
      </c>
      <c r="N1297" s="234">
        <v>38220</v>
      </c>
      <c r="O1297" s="234">
        <v>14880</v>
      </c>
      <c r="P1297" s="242">
        <v>15</v>
      </c>
      <c r="Q1297" s="234">
        <v>23340</v>
      </c>
      <c r="R1297" s="234">
        <v>19839</v>
      </c>
      <c r="S1297" s="234" t="s">
        <v>3479</v>
      </c>
      <c r="T1297" s="236">
        <v>45960</v>
      </c>
    </row>
    <row r="1298" spans="1:20" ht="25.5" hidden="1">
      <c r="A1298" s="239" t="s">
        <v>3481</v>
      </c>
      <c r="B1298" s="240">
        <v>2806</v>
      </c>
      <c r="C1298" s="241">
        <v>225</v>
      </c>
      <c r="D1298" s="239" t="s">
        <v>2881</v>
      </c>
      <c r="E1298" s="239" t="s">
        <v>794</v>
      </c>
      <c r="F1298" s="239" t="s">
        <v>795</v>
      </c>
      <c r="G1298" s="239" t="s">
        <v>951</v>
      </c>
      <c r="H1298" s="239" t="s">
        <v>51</v>
      </c>
      <c r="I1298" s="239" t="s">
        <v>2882</v>
      </c>
      <c r="J1298" s="233"/>
      <c r="K1298" s="235">
        <v>45960</v>
      </c>
      <c r="L1298" s="233">
        <v>1</v>
      </c>
      <c r="M1298" s="234" t="s">
        <v>951</v>
      </c>
      <c r="N1298" s="234">
        <v>40660</v>
      </c>
      <c r="O1298" s="234">
        <v>16440</v>
      </c>
      <c r="P1298" s="242">
        <v>9</v>
      </c>
      <c r="Q1298" s="234">
        <v>24220</v>
      </c>
      <c r="R1298" s="234">
        <v>22040.2</v>
      </c>
      <c r="S1298" s="234" t="s">
        <v>3485</v>
      </c>
      <c r="T1298" s="236">
        <v>45961</v>
      </c>
    </row>
    <row r="1299" spans="1:20" ht="38.25" hidden="1">
      <c r="A1299" s="239" t="s">
        <v>3482</v>
      </c>
      <c r="B1299" s="240">
        <v>2807</v>
      </c>
      <c r="C1299" s="241">
        <v>226</v>
      </c>
      <c r="D1299" s="239" t="s">
        <v>2881</v>
      </c>
      <c r="E1299" s="239" t="s">
        <v>786</v>
      </c>
      <c r="F1299" s="239" t="s">
        <v>787</v>
      </c>
      <c r="G1299" s="239" t="s">
        <v>951</v>
      </c>
      <c r="H1299" s="239" t="s">
        <v>51</v>
      </c>
      <c r="I1299" s="239" t="s">
        <v>2882</v>
      </c>
      <c r="J1299" s="233"/>
      <c r="K1299" s="235">
        <v>45960</v>
      </c>
      <c r="L1299" s="233">
        <v>0.9</v>
      </c>
      <c r="M1299" s="234" t="s">
        <v>951</v>
      </c>
      <c r="N1299" s="234">
        <v>34970</v>
      </c>
      <c r="O1299" s="234">
        <v>14020</v>
      </c>
      <c r="P1299" s="242">
        <v>7</v>
      </c>
      <c r="Q1299" s="234">
        <v>20950</v>
      </c>
      <c r="R1299" s="234">
        <v>19483.5</v>
      </c>
      <c r="S1299" s="234" t="s">
        <v>3486</v>
      </c>
      <c r="T1299" s="236">
        <v>45961</v>
      </c>
    </row>
    <row r="1300" spans="1:20" ht="38.25" hidden="1">
      <c r="A1300" s="239" t="s">
        <v>3483</v>
      </c>
      <c r="B1300" s="240">
        <v>2808</v>
      </c>
      <c r="C1300" s="241">
        <v>227</v>
      </c>
      <c r="D1300" s="239" t="s">
        <v>2881</v>
      </c>
      <c r="E1300" s="239" t="s">
        <v>416</v>
      </c>
      <c r="F1300" s="239" t="s">
        <v>417</v>
      </c>
      <c r="G1300" s="239" t="s">
        <v>951</v>
      </c>
      <c r="H1300" s="239" t="s">
        <v>51</v>
      </c>
      <c r="I1300" s="239" t="s">
        <v>2882</v>
      </c>
      <c r="J1300" s="233"/>
      <c r="K1300" s="235">
        <v>45960</v>
      </c>
      <c r="L1300" s="233">
        <v>1</v>
      </c>
      <c r="M1300" s="234" t="s">
        <v>951</v>
      </c>
      <c r="N1300" s="234">
        <v>38690</v>
      </c>
      <c r="O1300" s="234">
        <v>15060</v>
      </c>
      <c r="P1300" s="242">
        <v>7</v>
      </c>
      <c r="Q1300" s="234">
        <v>23630</v>
      </c>
      <c r="R1300" s="234">
        <v>21975.9</v>
      </c>
      <c r="S1300" s="234" t="s">
        <v>3487</v>
      </c>
      <c r="T1300" s="236">
        <v>45961</v>
      </c>
    </row>
    <row r="1301" spans="1:20" ht="38.25" hidden="1">
      <c r="A1301" s="239" t="s">
        <v>3484</v>
      </c>
      <c r="B1301" s="240">
        <v>2809</v>
      </c>
      <c r="C1301" s="241">
        <v>228</v>
      </c>
      <c r="D1301" s="239" t="s">
        <v>2881</v>
      </c>
      <c r="E1301" s="239" t="s">
        <v>420</v>
      </c>
      <c r="F1301" s="239" t="s">
        <v>421</v>
      </c>
      <c r="G1301" s="239" t="s">
        <v>951</v>
      </c>
      <c r="H1301" s="239" t="s">
        <v>51</v>
      </c>
      <c r="I1301" s="239" t="s">
        <v>2882</v>
      </c>
      <c r="J1301" s="233"/>
      <c r="K1301" s="235">
        <v>45960</v>
      </c>
      <c r="L1301" s="233">
        <v>0.9</v>
      </c>
      <c r="M1301" s="234" t="s">
        <v>951</v>
      </c>
      <c r="N1301" s="234">
        <v>36990</v>
      </c>
      <c r="O1301" s="234">
        <v>15220</v>
      </c>
      <c r="P1301" s="242">
        <v>7</v>
      </c>
      <c r="Q1301" s="234">
        <v>21770</v>
      </c>
      <c r="R1301" s="234">
        <v>20246.099999999999</v>
      </c>
      <c r="S1301" s="234" t="s">
        <v>3488</v>
      </c>
      <c r="T1301" s="236">
        <v>45961</v>
      </c>
    </row>
    <row r="1302" spans="1:20" ht="25.5" hidden="1">
      <c r="A1302" s="239" t="s">
        <v>3489</v>
      </c>
      <c r="B1302" s="240">
        <v>2810</v>
      </c>
      <c r="C1302" s="241">
        <v>229</v>
      </c>
      <c r="D1302" s="239" t="s">
        <v>2881</v>
      </c>
      <c r="E1302" s="239" t="s">
        <v>791</v>
      </c>
      <c r="F1302" s="239" t="s">
        <v>792</v>
      </c>
      <c r="G1302" s="239" t="s">
        <v>951</v>
      </c>
      <c r="H1302" s="239" t="s">
        <v>51</v>
      </c>
      <c r="I1302" s="239" t="s">
        <v>2882</v>
      </c>
      <c r="J1302" s="233"/>
      <c r="K1302" s="235">
        <v>45960</v>
      </c>
      <c r="L1302" s="233">
        <v>1</v>
      </c>
      <c r="M1302" s="234" t="s">
        <v>951</v>
      </c>
      <c r="N1302" s="234">
        <v>38680</v>
      </c>
      <c r="O1302" s="234">
        <v>15130</v>
      </c>
      <c r="P1302" s="242">
        <v>5</v>
      </c>
      <c r="Q1302" s="234">
        <v>23550</v>
      </c>
      <c r="R1302" s="234">
        <v>22372.5</v>
      </c>
      <c r="S1302" s="234" t="s">
        <v>3506</v>
      </c>
      <c r="T1302" s="236">
        <v>45961</v>
      </c>
    </row>
    <row r="1303" spans="1:20" ht="51" hidden="1">
      <c r="A1303" s="239" t="s">
        <v>3490</v>
      </c>
      <c r="B1303" s="240">
        <v>2811</v>
      </c>
      <c r="C1303" s="241">
        <v>230</v>
      </c>
      <c r="D1303" s="239" t="s">
        <v>2881</v>
      </c>
      <c r="E1303" s="239" t="s">
        <v>382</v>
      </c>
      <c r="F1303" s="239" t="s">
        <v>383</v>
      </c>
      <c r="G1303" s="239" t="s">
        <v>951</v>
      </c>
      <c r="H1303" s="239" t="s">
        <v>51</v>
      </c>
      <c r="I1303" s="239" t="s">
        <v>2882</v>
      </c>
      <c r="J1303" s="233"/>
      <c r="K1303" s="235">
        <v>45960</v>
      </c>
      <c r="L1303" s="233">
        <v>0.9</v>
      </c>
      <c r="M1303" s="234" t="s">
        <v>951</v>
      </c>
      <c r="N1303" s="234">
        <v>36090</v>
      </c>
      <c r="O1303" s="234">
        <v>15050</v>
      </c>
      <c r="P1303" s="242">
        <v>6</v>
      </c>
      <c r="Q1303" s="234">
        <v>21040</v>
      </c>
      <c r="R1303" s="234">
        <v>19777.599999999999</v>
      </c>
      <c r="S1303" s="234" t="s">
        <v>3507</v>
      </c>
      <c r="T1303" s="236">
        <v>45961</v>
      </c>
    </row>
    <row r="1304" spans="1:20" ht="38.25" hidden="1">
      <c r="A1304" s="239" t="s">
        <v>3491</v>
      </c>
      <c r="B1304" s="240">
        <v>2812</v>
      </c>
      <c r="C1304" s="241">
        <v>231</v>
      </c>
      <c r="D1304" s="239" t="s">
        <v>2881</v>
      </c>
      <c r="E1304" s="239" t="s">
        <v>400</v>
      </c>
      <c r="F1304" s="239" t="s">
        <v>401</v>
      </c>
      <c r="G1304" s="239" t="s">
        <v>951</v>
      </c>
      <c r="H1304" s="239" t="s">
        <v>51</v>
      </c>
      <c r="I1304" s="239" t="s">
        <v>2882</v>
      </c>
      <c r="J1304" s="233"/>
      <c r="K1304" s="235">
        <v>45960</v>
      </c>
      <c r="L1304" s="233">
        <v>1</v>
      </c>
      <c r="M1304" s="234" t="s">
        <v>951</v>
      </c>
      <c r="N1304" s="234">
        <v>39020</v>
      </c>
      <c r="O1304" s="234">
        <v>15140</v>
      </c>
      <c r="P1304" s="242">
        <v>8</v>
      </c>
      <c r="Q1304" s="234">
        <v>23880</v>
      </c>
      <c r="R1304" s="234">
        <v>21969.599999999999</v>
      </c>
      <c r="S1304" s="234" t="s">
        <v>3508</v>
      </c>
      <c r="T1304" s="236">
        <v>45961</v>
      </c>
    </row>
    <row r="1305" spans="1:20" ht="25.5" hidden="1">
      <c r="A1305" s="239" t="s">
        <v>3492</v>
      </c>
      <c r="B1305" s="240">
        <v>2813</v>
      </c>
      <c r="C1305" s="241">
        <v>232</v>
      </c>
      <c r="D1305" s="239" t="s">
        <v>2881</v>
      </c>
      <c r="E1305" s="239" t="s">
        <v>403</v>
      </c>
      <c r="F1305" s="239" t="s">
        <v>404</v>
      </c>
      <c r="G1305" s="239" t="s">
        <v>951</v>
      </c>
      <c r="H1305" s="239" t="s">
        <v>51</v>
      </c>
      <c r="I1305" s="239" t="s">
        <v>2882</v>
      </c>
      <c r="J1305" s="233"/>
      <c r="K1305" s="235">
        <v>45960</v>
      </c>
      <c r="L1305" s="233">
        <v>1</v>
      </c>
      <c r="M1305" s="234" t="s">
        <v>951</v>
      </c>
      <c r="N1305" s="234">
        <v>38890</v>
      </c>
      <c r="O1305" s="234">
        <v>14750</v>
      </c>
      <c r="P1305" s="242">
        <v>14</v>
      </c>
      <c r="Q1305" s="234">
        <v>24140</v>
      </c>
      <c r="R1305" s="234">
        <v>20760.400000000001</v>
      </c>
      <c r="S1305" s="234" t="s">
        <v>3509</v>
      </c>
      <c r="T1305" s="236">
        <v>45961</v>
      </c>
    </row>
    <row r="1306" spans="1:20" ht="38.25" hidden="1">
      <c r="A1306" s="239" t="s">
        <v>3493</v>
      </c>
      <c r="B1306" s="240">
        <v>2816</v>
      </c>
      <c r="C1306" s="241">
        <v>233</v>
      </c>
      <c r="D1306" s="239" t="s">
        <v>2881</v>
      </c>
      <c r="E1306" s="239" t="s">
        <v>406</v>
      </c>
      <c r="F1306" s="239" t="s">
        <v>407</v>
      </c>
      <c r="G1306" s="239" t="s">
        <v>951</v>
      </c>
      <c r="H1306" s="239" t="s">
        <v>51</v>
      </c>
      <c r="I1306" s="239" t="s">
        <v>2882</v>
      </c>
      <c r="J1306" s="233"/>
      <c r="K1306" s="235">
        <v>45960</v>
      </c>
      <c r="L1306" s="233">
        <v>0.9</v>
      </c>
      <c r="M1306" s="234" t="s">
        <v>951</v>
      </c>
      <c r="N1306" s="234">
        <v>37530</v>
      </c>
      <c r="O1306" s="234">
        <v>15190</v>
      </c>
      <c r="P1306" s="242">
        <v>17</v>
      </c>
      <c r="Q1306" s="234">
        <v>22340</v>
      </c>
      <c r="R1306" s="234">
        <v>18542.2</v>
      </c>
      <c r="S1306" s="234" t="s">
        <v>3510</v>
      </c>
      <c r="T1306" s="236">
        <v>45961</v>
      </c>
    </row>
    <row r="1307" spans="1:20" ht="38.25" hidden="1">
      <c r="A1307" s="239" t="s">
        <v>3494</v>
      </c>
      <c r="B1307" s="240">
        <v>2817</v>
      </c>
      <c r="C1307" s="241">
        <v>234</v>
      </c>
      <c r="D1307" s="239" t="s">
        <v>2881</v>
      </c>
      <c r="E1307" s="239" t="s">
        <v>442</v>
      </c>
      <c r="F1307" s="239" t="s">
        <v>443</v>
      </c>
      <c r="G1307" s="239" t="s">
        <v>951</v>
      </c>
      <c r="H1307" s="239" t="s">
        <v>51</v>
      </c>
      <c r="I1307" s="239" t="s">
        <v>2882</v>
      </c>
      <c r="J1307" s="233"/>
      <c r="K1307" s="235">
        <v>45961</v>
      </c>
      <c r="L1307" s="233">
        <v>0.9</v>
      </c>
      <c r="M1307" s="234" t="s">
        <v>951</v>
      </c>
      <c r="N1307" s="234">
        <v>34350</v>
      </c>
      <c r="O1307" s="234">
        <v>14680</v>
      </c>
      <c r="P1307" s="242">
        <v>29</v>
      </c>
      <c r="Q1307" s="234">
        <v>19670</v>
      </c>
      <c r="R1307" s="234">
        <v>13965.7</v>
      </c>
      <c r="S1307" s="234" t="s">
        <v>3511</v>
      </c>
      <c r="T1307" s="236">
        <v>45961</v>
      </c>
    </row>
    <row r="1308" spans="1:20" ht="25.5" hidden="1">
      <c r="A1308" s="239" t="s">
        <v>3495</v>
      </c>
      <c r="B1308" s="240">
        <v>2818</v>
      </c>
      <c r="C1308" s="241">
        <v>235</v>
      </c>
      <c r="D1308" s="239" t="s">
        <v>2881</v>
      </c>
      <c r="E1308" s="239" t="s">
        <v>374</v>
      </c>
      <c r="F1308" s="239" t="s">
        <v>375</v>
      </c>
      <c r="G1308" s="239" t="s">
        <v>951</v>
      </c>
      <c r="H1308" s="239" t="s">
        <v>51</v>
      </c>
      <c r="I1308" s="239" t="s">
        <v>2882</v>
      </c>
      <c r="J1308" s="233"/>
      <c r="K1308" s="235">
        <v>45961</v>
      </c>
      <c r="L1308" s="233">
        <v>1.1000000000000001</v>
      </c>
      <c r="M1308" s="234" t="s">
        <v>951</v>
      </c>
      <c r="N1308" s="234">
        <v>38830</v>
      </c>
      <c r="O1308" s="234">
        <v>15730</v>
      </c>
      <c r="P1308" s="242">
        <v>5</v>
      </c>
      <c r="Q1308" s="234">
        <v>23100</v>
      </c>
      <c r="R1308" s="234">
        <v>21945</v>
      </c>
      <c r="S1308" s="234" t="s">
        <v>3512</v>
      </c>
      <c r="T1308" s="236">
        <v>45961</v>
      </c>
    </row>
    <row r="1309" spans="1:20" ht="38.25" hidden="1">
      <c r="A1309" s="239" t="s">
        <v>3496</v>
      </c>
      <c r="B1309" s="240">
        <v>2820</v>
      </c>
      <c r="C1309" s="241">
        <v>236</v>
      </c>
      <c r="D1309" s="239" t="s">
        <v>2881</v>
      </c>
      <c r="E1309" s="239" t="s">
        <v>447</v>
      </c>
      <c r="F1309" s="239" t="s">
        <v>448</v>
      </c>
      <c r="G1309" s="239" t="s">
        <v>951</v>
      </c>
      <c r="H1309" s="239" t="s">
        <v>51</v>
      </c>
      <c r="I1309" s="239" t="s">
        <v>2882</v>
      </c>
      <c r="J1309" s="233"/>
      <c r="K1309" s="235">
        <v>45961</v>
      </c>
      <c r="L1309" s="233">
        <v>1.5</v>
      </c>
      <c r="M1309" s="234" t="s">
        <v>951</v>
      </c>
      <c r="N1309" s="234">
        <v>50150</v>
      </c>
      <c r="O1309" s="234">
        <v>19580</v>
      </c>
      <c r="P1309" s="242">
        <v>8</v>
      </c>
      <c r="Q1309" s="234">
        <v>30570</v>
      </c>
      <c r="R1309" s="234">
        <v>28124.400000000001</v>
      </c>
      <c r="S1309" s="234" t="s">
        <v>3513</v>
      </c>
      <c r="T1309" s="236">
        <v>45961</v>
      </c>
    </row>
    <row r="1310" spans="1:20" ht="38.25" hidden="1">
      <c r="A1310" s="239" t="s">
        <v>3497</v>
      </c>
      <c r="B1310" s="240">
        <v>2821</v>
      </c>
      <c r="C1310" s="241">
        <v>238</v>
      </c>
      <c r="D1310" s="239" t="s">
        <v>2881</v>
      </c>
      <c r="E1310" s="239" t="s">
        <v>377</v>
      </c>
      <c r="F1310" s="239" t="s">
        <v>378</v>
      </c>
      <c r="G1310" s="239" t="s">
        <v>951</v>
      </c>
      <c r="H1310" s="239" t="s">
        <v>51</v>
      </c>
      <c r="I1310" s="239" t="s">
        <v>2882</v>
      </c>
      <c r="J1310" s="233"/>
      <c r="K1310" s="235">
        <v>45961</v>
      </c>
      <c r="L1310" s="233">
        <v>1.3</v>
      </c>
      <c r="M1310" s="234" t="s">
        <v>951</v>
      </c>
      <c r="N1310" s="234">
        <v>42080</v>
      </c>
      <c r="O1310" s="234">
        <v>15350</v>
      </c>
      <c r="P1310" s="242">
        <v>8</v>
      </c>
      <c r="Q1310" s="234">
        <v>26730</v>
      </c>
      <c r="R1310" s="234">
        <v>24591.599999999999</v>
      </c>
      <c r="S1310" s="234" t="s">
        <v>3514</v>
      </c>
      <c r="T1310" s="236">
        <v>45961</v>
      </c>
    </row>
    <row r="1311" spans="1:20" ht="38.25" hidden="1">
      <c r="A1311" s="239" t="s">
        <v>3498</v>
      </c>
      <c r="B1311" s="240">
        <v>2822</v>
      </c>
      <c r="C1311" s="241">
        <v>237</v>
      </c>
      <c r="D1311" s="239" t="s">
        <v>2881</v>
      </c>
      <c r="E1311" s="239" t="s">
        <v>388</v>
      </c>
      <c r="F1311" s="239" t="s">
        <v>389</v>
      </c>
      <c r="G1311" s="239" t="s">
        <v>951</v>
      </c>
      <c r="H1311" s="239" t="s">
        <v>51</v>
      </c>
      <c r="I1311" s="239" t="s">
        <v>2882</v>
      </c>
      <c r="J1311" s="233"/>
      <c r="K1311" s="235">
        <v>45961</v>
      </c>
      <c r="L1311" s="233">
        <v>2.1</v>
      </c>
      <c r="M1311" s="234" t="s">
        <v>951</v>
      </c>
      <c r="N1311" s="234">
        <v>62880</v>
      </c>
      <c r="O1311" s="234">
        <v>21410</v>
      </c>
      <c r="P1311" s="242">
        <v>9</v>
      </c>
      <c r="Q1311" s="234">
        <v>41470</v>
      </c>
      <c r="R1311" s="234">
        <v>37737.699999999997</v>
      </c>
      <c r="S1311" s="234" t="s">
        <v>3515</v>
      </c>
      <c r="T1311" s="236">
        <v>45961</v>
      </c>
    </row>
    <row r="1312" spans="1:20" ht="38.25" hidden="1">
      <c r="A1312" s="239" t="s">
        <v>3499</v>
      </c>
      <c r="B1312" s="240">
        <v>2823</v>
      </c>
      <c r="C1312" s="241">
        <v>239</v>
      </c>
      <c r="D1312" s="239" t="s">
        <v>2881</v>
      </c>
      <c r="E1312" s="239" t="s">
        <v>432</v>
      </c>
      <c r="F1312" s="239" t="s">
        <v>433</v>
      </c>
      <c r="G1312" s="239" t="s">
        <v>951</v>
      </c>
      <c r="H1312" s="239" t="s">
        <v>51</v>
      </c>
      <c r="I1312" s="239" t="s">
        <v>2882</v>
      </c>
      <c r="J1312" s="233"/>
      <c r="K1312" s="235">
        <v>45961</v>
      </c>
      <c r="L1312" s="233">
        <v>1.3</v>
      </c>
      <c r="M1312" s="234" t="s">
        <v>951</v>
      </c>
      <c r="N1312" s="234">
        <v>44970</v>
      </c>
      <c r="O1312" s="234">
        <v>15990</v>
      </c>
      <c r="P1312" s="242">
        <v>13</v>
      </c>
      <c r="Q1312" s="234">
        <v>28980</v>
      </c>
      <c r="R1312" s="234">
        <v>25212.6</v>
      </c>
      <c r="S1312" s="234" t="s">
        <v>3516</v>
      </c>
      <c r="T1312" s="236">
        <v>45961</v>
      </c>
    </row>
    <row r="1313" spans="1:20" ht="38.25" hidden="1">
      <c r="A1313" s="239" t="s">
        <v>3500</v>
      </c>
      <c r="B1313" s="240">
        <v>2824</v>
      </c>
      <c r="C1313" s="241">
        <v>240</v>
      </c>
      <c r="D1313" s="239" t="s">
        <v>2881</v>
      </c>
      <c r="E1313" s="239" t="s">
        <v>413</v>
      </c>
      <c r="F1313" s="239" t="s">
        <v>414</v>
      </c>
      <c r="G1313" s="239" t="s">
        <v>951</v>
      </c>
      <c r="H1313" s="239" t="s">
        <v>51</v>
      </c>
      <c r="I1313" s="239" t="s">
        <v>2882</v>
      </c>
      <c r="J1313" s="233"/>
      <c r="K1313" s="235">
        <v>45961</v>
      </c>
      <c r="L1313" s="233">
        <v>1.3</v>
      </c>
      <c r="M1313" s="234" t="s">
        <v>951</v>
      </c>
      <c r="N1313" s="234">
        <v>44250</v>
      </c>
      <c r="O1313" s="234">
        <v>15310</v>
      </c>
      <c r="P1313" s="242">
        <v>7</v>
      </c>
      <c r="Q1313" s="234">
        <v>28940</v>
      </c>
      <c r="R1313" s="234">
        <v>26914.2</v>
      </c>
      <c r="S1313" s="234" t="s">
        <v>3517</v>
      </c>
      <c r="T1313" s="236">
        <v>45961</v>
      </c>
    </row>
    <row r="1314" spans="1:20" ht="25.5" hidden="1">
      <c r="A1314" s="239" t="s">
        <v>3501</v>
      </c>
      <c r="B1314" s="240">
        <v>2825</v>
      </c>
      <c r="C1314" s="241">
        <v>241</v>
      </c>
      <c r="D1314" s="239" t="s">
        <v>2881</v>
      </c>
      <c r="E1314" s="239" t="s">
        <v>429</v>
      </c>
      <c r="F1314" s="239" t="s">
        <v>430</v>
      </c>
      <c r="G1314" s="239" t="s">
        <v>951</v>
      </c>
      <c r="H1314" s="239" t="s">
        <v>51</v>
      </c>
      <c r="I1314" s="239" t="s">
        <v>2882</v>
      </c>
      <c r="J1314" s="233"/>
      <c r="K1314" s="235">
        <v>45961</v>
      </c>
      <c r="L1314" s="233">
        <v>1.3</v>
      </c>
      <c r="M1314" s="234" t="s">
        <v>951</v>
      </c>
      <c r="N1314" s="234">
        <v>42810</v>
      </c>
      <c r="O1314" s="234">
        <v>14590</v>
      </c>
      <c r="P1314" s="242">
        <v>4</v>
      </c>
      <c r="Q1314" s="234">
        <v>28220</v>
      </c>
      <c r="R1314" s="234">
        <v>27091.200000000001</v>
      </c>
      <c r="S1314" s="234" t="s">
        <v>3518</v>
      </c>
      <c r="T1314" s="236">
        <v>45961</v>
      </c>
    </row>
    <row r="1315" spans="1:20" ht="38.25" hidden="1">
      <c r="A1315" s="239" t="s">
        <v>3502</v>
      </c>
      <c r="B1315" s="240">
        <v>2826</v>
      </c>
      <c r="C1315" s="241">
        <v>242</v>
      </c>
      <c r="D1315" s="239" t="s">
        <v>2881</v>
      </c>
      <c r="E1315" s="239" t="s">
        <v>439</v>
      </c>
      <c r="F1315" s="239" t="s">
        <v>440</v>
      </c>
      <c r="G1315" s="239" t="s">
        <v>951</v>
      </c>
      <c r="H1315" s="239" t="s">
        <v>51</v>
      </c>
      <c r="I1315" s="239" t="s">
        <v>2882</v>
      </c>
      <c r="J1315" s="233"/>
      <c r="K1315" s="235">
        <v>45961</v>
      </c>
      <c r="L1315" s="233">
        <v>1.4</v>
      </c>
      <c r="M1315" s="234" t="s">
        <v>951</v>
      </c>
      <c r="N1315" s="234">
        <v>44670</v>
      </c>
      <c r="O1315" s="234">
        <v>15410</v>
      </c>
      <c r="P1315" s="242">
        <v>13</v>
      </c>
      <c r="Q1315" s="234">
        <v>29260</v>
      </c>
      <c r="R1315" s="234">
        <v>25456.2</v>
      </c>
      <c r="S1315" s="234" t="s">
        <v>3519</v>
      </c>
      <c r="T1315" s="236">
        <v>45961</v>
      </c>
    </row>
    <row r="1316" spans="1:20" ht="51" hidden="1">
      <c r="A1316" s="239" t="s">
        <v>3503</v>
      </c>
      <c r="B1316" s="240">
        <v>2828</v>
      </c>
      <c r="C1316" s="241">
        <v>244</v>
      </c>
      <c r="D1316" s="239" t="s">
        <v>2881</v>
      </c>
      <c r="E1316" s="239" t="s">
        <v>1410</v>
      </c>
      <c r="F1316" s="239" t="s">
        <v>437</v>
      </c>
      <c r="G1316" s="239" t="s">
        <v>951</v>
      </c>
      <c r="H1316" s="239" t="s">
        <v>51</v>
      </c>
      <c r="I1316" s="239" t="s">
        <v>2882</v>
      </c>
      <c r="J1316" s="233"/>
      <c r="K1316" s="235">
        <v>45961</v>
      </c>
      <c r="L1316" s="233">
        <v>1.1000000000000001</v>
      </c>
      <c r="M1316" s="234" t="s">
        <v>951</v>
      </c>
      <c r="N1316" s="234">
        <v>42230</v>
      </c>
      <c r="O1316" s="234">
        <v>15100</v>
      </c>
      <c r="P1316" s="242">
        <v>9</v>
      </c>
      <c r="Q1316" s="234">
        <v>27130</v>
      </c>
      <c r="R1316" s="234">
        <v>24688.3</v>
      </c>
      <c r="S1316" s="234" t="s">
        <v>3520</v>
      </c>
      <c r="T1316" s="236">
        <v>45961</v>
      </c>
    </row>
    <row r="1317" spans="1:20" ht="38.25" hidden="1">
      <c r="A1317" s="239" t="s">
        <v>3504</v>
      </c>
      <c r="B1317" s="240">
        <v>2827</v>
      </c>
      <c r="C1317" s="241">
        <v>243</v>
      </c>
      <c r="D1317" s="239" t="s">
        <v>2881</v>
      </c>
      <c r="E1317" s="239" t="s">
        <v>456</v>
      </c>
      <c r="F1317" s="239" t="s">
        <v>457</v>
      </c>
      <c r="G1317" s="239" t="s">
        <v>951</v>
      </c>
      <c r="H1317" s="239" t="s">
        <v>51</v>
      </c>
      <c r="I1317" s="239" t="s">
        <v>2882</v>
      </c>
      <c r="J1317" s="233"/>
      <c r="K1317" s="235">
        <v>45961</v>
      </c>
      <c r="L1317" s="233">
        <v>1.2</v>
      </c>
      <c r="M1317" s="234" t="s">
        <v>951</v>
      </c>
      <c r="N1317" s="234">
        <v>47460</v>
      </c>
      <c r="O1317" s="234">
        <v>16110</v>
      </c>
      <c r="P1317" s="242">
        <v>8</v>
      </c>
      <c r="Q1317" s="234">
        <v>31350</v>
      </c>
      <c r="R1317" s="234">
        <v>28842</v>
      </c>
      <c r="S1317" s="234" t="s">
        <v>3521</v>
      </c>
      <c r="T1317" s="236">
        <v>45961</v>
      </c>
    </row>
    <row r="1318" spans="1:20" ht="38.25" hidden="1">
      <c r="A1318" s="239" t="s">
        <v>3505</v>
      </c>
      <c r="B1318" s="240">
        <v>2829</v>
      </c>
      <c r="C1318" s="241">
        <v>246</v>
      </c>
      <c r="D1318" s="239" t="s">
        <v>2881</v>
      </c>
      <c r="E1318" s="239" t="s">
        <v>453</v>
      </c>
      <c r="F1318" s="239" t="s">
        <v>454</v>
      </c>
      <c r="G1318" s="239" t="s">
        <v>951</v>
      </c>
      <c r="H1318" s="239" t="s">
        <v>51</v>
      </c>
      <c r="I1318" s="239" t="s">
        <v>2882</v>
      </c>
      <c r="J1318" s="233"/>
      <c r="K1318" s="235">
        <v>45961</v>
      </c>
      <c r="L1318" s="233">
        <v>1.1000000000000001</v>
      </c>
      <c r="M1318" s="243" t="s">
        <v>951</v>
      </c>
      <c r="N1318" s="234">
        <v>65660</v>
      </c>
      <c r="O1318" s="234">
        <v>24820</v>
      </c>
      <c r="P1318" s="242">
        <v>10</v>
      </c>
      <c r="Q1318" s="234">
        <v>40840</v>
      </c>
      <c r="R1318" s="234">
        <v>36756</v>
      </c>
      <c r="S1318" s="234" t="s">
        <v>3522</v>
      </c>
      <c r="T1318" s="236">
        <v>45961</v>
      </c>
    </row>
    <row r="1319" spans="1:20" ht="38.25" hidden="1">
      <c r="A1319" s="239" t="s">
        <v>3523</v>
      </c>
      <c r="B1319" s="240">
        <v>2830</v>
      </c>
      <c r="C1319" s="241">
        <v>245</v>
      </c>
      <c r="D1319" s="239" t="s">
        <v>2881</v>
      </c>
      <c r="E1319" s="239" t="s">
        <v>841</v>
      </c>
      <c r="F1319" s="239" t="s">
        <v>845</v>
      </c>
      <c r="G1319" s="239" t="s">
        <v>951</v>
      </c>
      <c r="H1319" s="239" t="s">
        <v>51</v>
      </c>
      <c r="I1319" s="239" t="s">
        <v>2882</v>
      </c>
      <c r="J1319" s="233"/>
      <c r="K1319" s="235">
        <v>45961</v>
      </c>
      <c r="L1319" s="233">
        <v>1.1000000000000001</v>
      </c>
      <c r="M1319" s="234" t="s">
        <v>951</v>
      </c>
      <c r="N1319" s="234">
        <v>43100</v>
      </c>
      <c r="O1319" s="234">
        <v>15930</v>
      </c>
      <c r="P1319" s="242">
        <v>11</v>
      </c>
      <c r="Q1319" s="234">
        <v>27170</v>
      </c>
      <c r="R1319" s="234">
        <v>24181.3</v>
      </c>
      <c r="S1319" s="234" t="s">
        <v>3526</v>
      </c>
      <c r="T1319" s="236">
        <v>45962</v>
      </c>
    </row>
    <row r="1320" spans="1:20" ht="25.5" hidden="1">
      <c r="A1320" s="239" t="s">
        <v>3524</v>
      </c>
      <c r="B1320" s="240">
        <v>2831</v>
      </c>
      <c r="C1320" s="241">
        <v>247</v>
      </c>
      <c r="D1320" s="239" t="s">
        <v>2881</v>
      </c>
      <c r="E1320" s="239" t="s">
        <v>783</v>
      </c>
      <c r="F1320" s="239" t="s">
        <v>784</v>
      </c>
      <c r="G1320" s="239" t="s">
        <v>951</v>
      </c>
      <c r="H1320" s="239" t="s">
        <v>51</v>
      </c>
      <c r="I1320" s="239" t="s">
        <v>2882</v>
      </c>
      <c r="J1320" s="233"/>
      <c r="K1320" s="235">
        <v>45961</v>
      </c>
      <c r="L1320" s="233">
        <v>0.8</v>
      </c>
      <c r="M1320" s="243" t="s">
        <v>951</v>
      </c>
      <c r="N1320" s="234">
        <v>39120</v>
      </c>
      <c r="O1320" s="234">
        <v>14840</v>
      </c>
      <c r="P1320" s="242">
        <v>23</v>
      </c>
      <c r="Q1320" s="234">
        <v>24280</v>
      </c>
      <c r="R1320" s="234">
        <v>18695.599999999999</v>
      </c>
      <c r="S1320" s="234" t="s">
        <v>3527</v>
      </c>
      <c r="T1320" s="236">
        <v>45962</v>
      </c>
    </row>
    <row r="1321" spans="1:20" ht="38.25" hidden="1">
      <c r="A1321" s="239" t="s">
        <v>3525</v>
      </c>
      <c r="B1321" s="240">
        <v>2832</v>
      </c>
      <c r="C1321" s="241">
        <v>248</v>
      </c>
      <c r="D1321" s="239" t="s">
        <v>2881</v>
      </c>
      <c r="E1321" s="239" t="s">
        <v>786</v>
      </c>
      <c r="F1321" s="239" t="s">
        <v>787</v>
      </c>
      <c r="G1321" s="239" t="s">
        <v>951</v>
      </c>
      <c r="H1321" s="239" t="s">
        <v>51</v>
      </c>
      <c r="I1321" s="239" t="s">
        <v>2882</v>
      </c>
      <c r="J1321" s="233"/>
      <c r="K1321" s="235">
        <v>45961</v>
      </c>
      <c r="L1321" s="233">
        <v>0.8</v>
      </c>
      <c r="M1321" s="243" t="s">
        <v>951</v>
      </c>
      <c r="N1321" s="234">
        <v>35970</v>
      </c>
      <c r="O1321" s="234">
        <v>14040</v>
      </c>
      <c r="P1321" s="242">
        <v>12</v>
      </c>
      <c r="Q1321" s="234">
        <v>21930</v>
      </c>
      <c r="R1321" s="234">
        <v>19298.400000000001</v>
      </c>
      <c r="S1321" s="234" t="s">
        <v>3528</v>
      </c>
      <c r="T1321" s="236">
        <v>45962</v>
      </c>
    </row>
    <row r="1322" spans="1:20" ht="38.25" hidden="1">
      <c r="A1322" s="239" t="s">
        <v>3529</v>
      </c>
      <c r="B1322" s="240">
        <v>2833</v>
      </c>
      <c r="C1322" s="241">
        <v>250</v>
      </c>
      <c r="D1322" s="239" t="s">
        <v>2881</v>
      </c>
      <c r="E1322" s="239" t="s">
        <v>372</v>
      </c>
      <c r="F1322" s="239" t="s">
        <v>373</v>
      </c>
      <c r="G1322" s="239" t="s">
        <v>957</v>
      </c>
      <c r="H1322" s="239" t="s">
        <v>51</v>
      </c>
      <c r="I1322" s="239" t="s">
        <v>2882</v>
      </c>
      <c r="J1322" s="233"/>
      <c r="K1322" s="235">
        <v>45961</v>
      </c>
      <c r="L1322" s="233">
        <v>0.8</v>
      </c>
      <c r="M1322" s="234" t="s">
        <v>957</v>
      </c>
      <c r="N1322" s="234">
        <v>37510</v>
      </c>
      <c r="O1322" s="234">
        <v>15240</v>
      </c>
      <c r="P1322" s="242">
        <v>8</v>
      </c>
      <c r="Q1322" s="234">
        <v>22270</v>
      </c>
      <c r="R1322" s="234">
        <v>20488.400000000001</v>
      </c>
      <c r="S1322" s="234" t="s">
        <v>3531</v>
      </c>
      <c r="T1322" s="236">
        <v>45962</v>
      </c>
    </row>
    <row r="1323" spans="1:20" ht="51" hidden="1">
      <c r="A1323" s="239" t="s">
        <v>3530</v>
      </c>
      <c r="B1323" s="240">
        <v>2834</v>
      </c>
      <c r="C1323" s="241">
        <v>249</v>
      </c>
      <c r="D1323" s="239" t="s">
        <v>2881</v>
      </c>
      <c r="E1323" s="239" t="s">
        <v>380</v>
      </c>
      <c r="F1323" s="239" t="s">
        <v>381</v>
      </c>
      <c r="G1323" s="239" t="s">
        <v>957</v>
      </c>
      <c r="H1323" s="239" t="s">
        <v>51</v>
      </c>
      <c r="I1323" s="239" t="s">
        <v>2882</v>
      </c>
      <c r="J1323" s="233"/>
      <c r="K1323" s="235">
        <v>45961</v>
      </c>
      <c r="L1323" s="233">
        <v>0.8</v>
      </c>
      <c r="M1323" s="234" t="s">
        <v>957</v>
      </c>
      <c r="N1323" s="234">
        <v>39390</v>
      </c>
      <c r="O1323" s="234">
        <v>15220</v>
      </c>
      <c r="P1323" s="242">
        <v>18</v>
      </c>
      <c r="Q1323" s="234">
        <v>24170</v>
      </c>
      <c r="R1323" s="234">
        <v>19819.400000000001</v>
      </c>
      <c r="S1323" s="234" t="s">
        <v>3532</v>
      </c>
      <c r="T1323" s="236">
        <v>45962</v>
      </c>
    </row>
    <row r="1324" spans="1:20" ht="51" hidden="1">
      <c r="A1324" s="239" t="s">
        <v>3538</v>
      </c>
      <c r="B1324" s="240">
        <v>2836</v>
      </c>
      <c r="C1324" s="241">
        <v>252</v>
      </c>
      <c r="D1324" s="239" t="s">
        <v>2881</v>
      </c>
      <c r="E1324" s="239" t="s">
        <v>369</v>
      </c>
      <c r="F1324" s="239" t="s">
        <v>370</v>
      </c>
      <c r="G1324" s="239" t="s">
        <v>957</v>
      </c>
      <c r="H1324" s="239" t="s">
        <v>51</v>
      </c>
      <c r="I1324" s="239" t="s">
        <v>2882</v>
      </c>
      <c r="J1324" s="233"/>
      <c r="K1324" s="235">
        <v>45961</v>
      </c>
      <c r="L1324" s="233">
        <v>0.9</v>
      </c>
      <c r="M1324" s="234" t="s">
        <v>957</v>
      </c>
      <c r="N1324" s="234">
        <v>39980</v>
      </c>
      <c r="O1324" s="234">
        <v>15310</v>
      </c>
      <c r="P1324" s="242">
        <v>12</v>
      </c>
      <c r="Q1324" s="234">
        <v>24670</v>
      </c>
      <c r="R1324" s="234">
        <v>21709.599999999999</v>
      </c>
      <c r="S1324" s="234" t="s">
        <v>3608</v>
      </c>
      <c r="T1324" s="236">
        <v>45962</v>
      </c>
    </row>
    <row r="1325" spans="1:20" ht="38.25" hidden="1">
      <c r="A1325" s="239" t="s">
        <v>3539</v>
      </c>
      <c r="B1325" s="240">
        <v>2837</v>
      </c>
      <c r="C1325" s="241">
        <v>253</v>
      </c>
      <c r="D1325" s="239" t="s">
        <v>2881</v>
      </c>
      <c r="E1325" s="239" t="s">
        <v>416</v>
      </c>
      <c r="F1325" s="239" t="s">
        <v>417</v>
      </c>
      <c r="G1325" s="239" t="s">
        <v>957</v>
      </c>
      <c r="H1325" s="239" t="s">
        <v>51</v>
      </c>
      <c r="I1325" s="239" t="s">
        <v>2882</v>
      </c>
      <c r="J1325" s="233"/>
      <c r="K1325" s="235">
        <v>45961</v>
      </c>
      <c r="L1325" s="233">
        <v>0.9</v>
      </c>
      <c r="M1325" s="234" t="s">
        <v>957</v>
      </c>
      <c r="N1325" s="234">
        <v>39610</v>
      </c>
      <c r="O1325" s="234">
        <v>14920</v>
      </c>
      <c r="P1325" s="242">
        <v>14</v>
      </c>
      <c r="Q1325" s="234">
        <v>24690</v>
      </c>
      <c r="R1325" s="234">
        <v>21233.4</v>
      </c>
      <c r="S1325" s="234" t="s">
        <v>3609</v>
      </c>
      <c r="T1325" s="236">
        <v>45962</v>
      </c>
    </row>
    <row r="1326" spans="1:20" ht="25.5" hidden="1">
      <c r="A1326" s="239" t="s">
        <v>3540</v>
      </c>
      <c r="B1326" s="240">
        <v>2844</v>
      </c>
      <c r="C1326" s="241">
        <v>254</v>
      </c>
      <c r="D1326" s="239" t="s">
        <v>2881</v>
      </c>
      <c r="E1326" s="239" t="s">
        <v>791</v>
      </c>
      <c r="F1326" s="239" t="s">
        <v>792</v>
      </c>
      <c r="G1326" s="239" t="s">
        <v>957</v>
      </c>
      <c r="H1326" s="239" t="s">
        <v>51</v>
      </c>
      <c r="I1326" s="239" t="s">
        <v>2882</v>
      </c>
      <c r="J1326" s="233"/>
      <c r="K1326" s="235">
        <v>45961</v>
      </c>
      <c r="L1326" s="233">
        <v>0.9</v>
      </c>
      <c r="M1326" s="234" t="s">
        <v>957</v>
      </c>
      <c r="N1326" s="234">
        <v>39820</v>
      </c>
      <c r="O1326" s="234">
        <v>15190</v>
      </c>
      <c r="P1326" s="242">
        <v>6</v>
      </c>
      <c r="Q1326" s="234">
        <v>24630</v>
      </c>
      <c r="R1326" s="234">
        <v>23152.2</v>
      </c>
      <c r="S1326" s="234" t="s">
        <v>3610</v>
      </c>
      <c r="T1326" s="236">
        <v>45962</v>
      </c>
    </row>
    <row r="1327" spans="1:20" ht="25.5" hidden="1">
      <c r="A1327" s="239" t="s">
        <v>3547</v>
      </c>
      <c r="B1327" s="240">
        <v>2842</v>
      </c>
      <c r="C1327" s="241">
        <v>255</v>
      </c>
      <c r="D1327" s="239" t="s">
        <v>2881</v>
      </c>
      <c r="E1327" s="239" t="s">
        <v>425</v>
      </c>
      <c r="F1327" s="239" t="s">
        <v>426</v>
      </c>
      <c r="G1327" s="239" t="s">
        <v>957</v>
      </c>
      <c r="H1327" s="239" t="s">
        <v>51</v>
      </c>
      <c r="I1327" s="239" t="s">
        <v>2882</v>
      </c>
      <c r="J1327" s="233"/>
      <c r="K1327" s="235">
        <v>45962</v>
      </c>
      <c r="L1327" s="233">
        <v>1.6</v>
      </c>
      <c r="M1327" s="234" t="s">
        <v>957</v>
      </c>
      <c r="N1327" s="234">
        <v>51070</v>
      </c>
      <c r="O1327" s="234">
        <v>18870</v>
      </c>
      <c r="P1327" s="242">
        <v>10</v>
      </c>
      <c r="Q1327" s="234">
        <v>32200</v>
      </c>
      <c r="R1327" s="234">
        <v>28980</v>
      </c>
      <c r="S1327" s="234" t="s">
        <v>3617</v>
      </c>
      <c r="T1327" s="236">
        <v>45962</v>
      </c>
    </row>
    <row r="1328" spans="1:20" ht="38.25" hidden="1">
      <c r="A1328" s="239" t="s">
        <v>3548</v>
      </c>
      <c r="B1328" s="240">
        <v>2846</v>
      </c>
      <c r="C1328" s="241">
        <v>256</v>
      </c>
      <c r="D1328" s="239" t="s">
        <v>2881</v>
      </c>
      <c r="E1328" s="239" t="s">
        <v>400</v>
      </c>
      <c r="F1328" s="239" t="s">
        <v>401</v>
      </c>
      <c r="G1328" s="239" t="s">
        <v>957</v>
      </c>
      <c r="H1328" s="239" t="s">
        <v>51</v>
      </c>
      <c r="I1328" s="239" t="s">
        <v>2882</v>
      </c>
      <c r="J1328" s="233"/>
      <c r="K1328" s="235">
        <v>45962</v>
      </c>
      <c r="L1328" s="233">
        <v>1.3</v>
      </c>
      <c r="M1328" s="234" t="s">
        <v>957</v>
      </c>
      <c r="N1328" s="234">
        <v>40220</v>
      </c>
      <c r="O1328" s="234">
        <v>15070</v>
      </c>
      <c r="P1328" s="242">
        <v>13</v>
      </c>
      <c r="Q1328" s="234">
        <v>25150</v>
      </c>
      <c r="R1328" s="234">
        <v>21880.5</v>
      </c>
      <c r="S1328" s="234" t="s">
        <v>3618</v>
      </c>
      <c r="T1328" s="236">
        <v>45962</v>
      </c>
    </row>
    <row r="1329" spans="1:20" ht="38.25" hidden="1">
      <c r="A1329" s="239" t="s">
        <v>3551</v>
      </c>
      <c r="B1329" s="240">
        <v>2852</v>
      </c>
      <c r="C1329" s="241">
        <v>258</v>
      </c>
      <c r="D1329" s="239" t="s">
        <v>2881</v>
      </c>
      <c r="E1329" s="239" t="s">
        <v>390</v>
      </c>
      <c r="F1329" s="239" t="s">
        <v>391</v>
      </c>
      <c r="G1329" s="239" t="s">
        <v>957</v>
      </c>
      <c r="H1329" s="239" t="s">
        <v>51</v>
      </c>
      <c r="I1329" s="239" t="s">
        <v>2882</v>
      </c>
      <c r="J1329" s="233"/>
      <c r="K1329" s="235">
        <v>45962</v>
      </c>
      <c r="L1329" s="233">
        <v>1.3</v>
      </c>
      <c r="M1329" s="234" t="s">
        <v>957</v>
      </c>
      <c r="N1329" s="234">
        <v>40860</v>
      </c>
      <c r="O1329" s="234">
        <v>15150</v>
      </c>
      <c r="P1329" s="242">
        <v>8</v>
      </c>
      <c r="Q1329" s="234">
        <v>25710</v>
      </c>
      <c r="R1329" s="234">
        <v>23653.200000000001</v>
      </c>
      <c r="S1329" s="234" t="s">
        <v>3621</v>
      </c>
      <c r="T1329" s="236">
        <v>45962</v>
      </c>
    </row>
    <row r="1330" spans="1:20" ht="25.5" hidden="1">
      <c r="A1330" s="239" t="s">
        <v>3552</v>
      </c>
      <c r="B1330" s="240">
        <v>2858</v>
      </c>
      <c r="C1330" s="241">
        <v>271</v>
      </c>
      <c r="D1330" s="239" t="s">
        <v>2881</v>
      </c>
      <c r="E1330" s="239" t="s">
        <v>2053</v>
      </c>
      <c r="F1330" s="239" t="s">
        <v>2054</v>
      </c>
      <c r="G1330" s="239" t="s">
        <v>957</v>
      </c>
      <c r="H1330" s="239" t="s">
        <v>51</v>
      </c>
      <c r="I1330" s="239" t="s">
        <v>2882</v>
      </c>
      <c r="J1330" s="233"/>
      <c r="K1330" s="235">
        <v>45962</v>
      </c>
      <c r="L1330" s="233">
        <v>0.8</v>
      </c>
      <c r="M1330" s="234" t="s">
        <v>957</v>
      </c>
      <c r="N1330" s="234">
        <v>29670</v>
      </c>
      <c r="O1330" s="234">
        <v>14320</v>
      </c>
      <c r="P1330" s="242">
        <v>10</v>
      </c>
      <c r="Q1330" s="234">
        <v>15350</v>
      </c>
      <c r="R1330" s="234">
        <v>13815</v>
      </c>
      <c r="S1330" s="234" t="s">
        <v>3622</v>
      </c>
      <c r="T1330" s="236">
        <v>45962</v>
      </c>
    </row>
    <row r="1331" spans="1:20" ht="38.25" hidden="1">
      <c r="A1331" s="239" t="s">
        <v>3557</v>
      </c>
      <c r="B1331" s="240">
        <v>2849</v>
      </c>
      <c r="C1331" s="241">
        <v>257</v>
      </c>
      <c r="D1331" s="239" t="s">
        <v>2881</v>
      </c>
      <c r="E1331" s="239" t="s">
        <v>392</v>
      </c>
      <c r="F1331" s="239" t="s">
        <v>393</v>
      </c>
      <c r="G1331" s="239" t="s">
        <v>957</v>
      </c>
      <c r="H1331" s="239" t="s">
        <v>51</v>
      </c>
      <c r="I1331" s="239" t="s">
        <v>2882</v>
      </c>
      <c r="J1331" s="233"/>
      <c r="K1331" s="235">
        <v>45962</v>
      </c>
      <c r="L1331" s="233">
        <v>1.9</v>
      </c>
      <c r="M1331" s="234" t="s">
        <v>957</v>
      </c>
      <c r="N1331" s="234">
        <v>61960</v>
      </c>
      <c r="O1331" s="234">
        <v>24260</v>
      </c>
      <c r="P1331" s="242">
        <v>9</v>
      </c>
      <c r="Q1331" s="234">
        <v>37700</v>
      </c>
      <c r="R1331" s="234">
        <v>34307</v>
      </c>
      <c r="S1331" s="234" t="s">
        <v>3627</v>
      </c>
      <c r="T1331" s="236">
        <v>45962</v>
      </c>
    </row>
    <row r="1332" spans="1:20" ht="38.25" hidden="1">
      <c r="A1332" s="239" t="s">
        <v>3558</v>
      </c>
      <c r="B1332" s="240">
        <v>2853</v>
      </c>
      <c r="C1332" s="241">
        <v>259</v>
      </c>
      <c r="D1332" s="239" t="s">
        <v>2881</v>
      </c>
      <c r="E1332" s="239" t="s">
        <v>447</v>
      </c>
      <c r="F1332" s="239" t="s">
        <v>448</v>
      </c>
      <c r="G1332" s="239" t="s">
        <v>957</v>
      </c>
      <c r="H1332" s="239" t="s">
        <v>51</v>
      </c>
      <c r="I1332" s="239" t="s">
        <v>2882</v>
      </c>
      <c r="J1332" s="233"/>
      <c r="K1332" s="235">
        <v>45962</v>
      </c>
      <c r="L1332" s="233">
        <v>1.7</v>
      </c>
      <c r="M1332" s="234" t="s">
        <v>957</v>
      </c>
      <c r="N1332" s="234">
        <v>52710</v>
      </c>
      <c r="O1332" s="234">
        <v>19690</v>
      </c>
      <c r="P1332" s="242">
        <v>8</v>
      </c>
      <c r="Q1332" s="234">
        <v>33020</v>
      </c>
      <c r="R1332" s="234">
        <v>30378.400000000001</v>
      </c>
      <c r="S1332" s="234" t="s">
        <v>3628</v>
      </c>
      <c r="T1332" s="236">
        <v>45962</v>
      </c>
    </row>
    <row r="1333" spans="1:20" ht="38.25" hidden="1">
      <c r="A1333" s="239" t="s">
        <v>3541</v>
      </c>
      <c r="B1333" s="240">
        <v>2854</v>
      </c>
      <c r="C1333" s="241">
        <v>260</v>
      </c>
      <c r="D1333" s="239" t="s">
        <v>2881</v>
      </c>
      <c r="E1333" s="239" t="s">
        <v>858</v>
      </c>
      <c r="F1333" s="239" t="s">
        <v>859</v>
      </c>
      <c r="G1333" s="239" t="s">
        <v>957</v>
      </c>
      <c r="H1333" s="239" t="s">
        <v>51</v>
      </c>
      <c r="I1333" s="239" t="s">
        <v>2882</v>
      </c>
      <c r="J1333" s="233"/>
      <c r="K1333" s="235">
        <v>45962</v>
      </c>
      <c r="L1333" s="233">
        <v>1.4</v>
      </c>
      <c r="M1333" s="234" t="s">
        <v>957</v>
      </c>
      <c r="N1333" s="234">
        <v>42170</v>
      </c>
      <c r="O1333" s="234">
        <v>15200</v>
      </c>
      <c r="P1333" s="242">
        <v>8</v>
      </c>
      <c r="Q1333" s="234">
        <v>26970</v>
      </c>
      <c r="R1333" s="234">
        <v>24812.400000000001</v>
      </c>
      <c r="S1333" s="234" t="s">
        <v>3611</v>
      </c>
      <c r="T1333" s="236">
        <v>45962</v>
      </c>
    </row>
    <row r="1334" spans="1:20" ht="38.25" hidden="1">
      <c r="A1334" s="239" t="s">
        <v>3542</v>
      </c>
      <c r="B1334" s="240">
        <v>2855</v>
      </c>
      <c r="C1334" s="241">
        <v>261</v>
      </c>
      <c r="D1334" s="239" t="s">
        <v>2881</v>
      </c>
      <c r="E1334" s="239" t="s">
        <v>432</v>
      </c>
      <c r="F1334" s="239" t="s">
        <v>433</v>
      </c>
      <c r="G1334" s="239" t="s">
        <v>957</v>
      </c>
      <c r="H1334" s="239" t="s">
        <v>51</v>
      </c>
      <c r="I1334" s="239" t="s">
        <v>2882</v>
      </c>
      <c r="J1334" s="233"/>
      <c r="K1334" s="235">
        <v>45962</v>
      </c>
      <c r="L1334" s="233">
        <v>1.4</v>
      </c>
      <c r="M1334" s="234" t="s">
        <v>957</v>
      </c>
      <c r="N1334" s="234">
        <v>43170</v>
      </c>
      <c r="O1334" s="234">
        <v>15860</v>
      </c>
      <c r="P1334" s="242">
        <v>8</v>
      </c>
      <c r="Q1334" s="234">
        <v>27310</v>
      </c>
      <c r="R1334" s="234">
        <v>25125.200000000001</v>
      </c>
      <c r="S1334" s="234" t="s">
        <v>3612</v>
      </c>
      <c r="T1334" s="236">
        <v>45962</v>
      </c>
    </row>
    <row r="1335" spans="1:20" ht="38.25" hidden="1">
      <c r="A1335" s="239" t="s">
        <v>3543</v>
      </c>
      <c r="B1335" s="240">
        <v>2856</v>
      </c>
      <c r="C1335" s="241">
        <v>11480</v>
      </c>
      <c r="D1335" s="239" t="s">
        <v>2511</v>
      </c>
      <c r="E1335" s="239" t="s">
        <v>403</v>
      </c>
      <c r="F1335" s="239" t="s">
        <v>404</v>
      </c>
      <c r="G1335" s="239" t="s">
        <v>934</v>
      </c>
      <c r="H1335" s="239" t="s">
        <v>42</v>
      </c>
      <c r="I1335" s="239" t="s">
        <v>2512</v>
      </c>
      <c r="J1335" s="233"/>
      <c r="K1335" s="235">
        <v>45962</v>
      </c>
      <c r="L1335" s="233">
        <v>1.6</v>
      </c>
      <c r="M1335" s="234" t="s">
        <v>934</v>
      </c>
      <c r="N1335" s="234">
        <v>40400</v>
      </c>
      <c r="O1335" s="234">
        <v>14630</v>
      </c>
      <c r="P1335" s="242">
        <v>15</v>
      </c>
      <c r="Q1335" s="234">
        <v>25770</v>
      </c>
      <c r="R1335" s="234">
        <v>21904.5</v>
      </c>
      <c r="S1335" s="234" t="s">
        <v>3613</v>
      </c>
      <c r="T1335" s="236">
        <v>45962</v>
      </c>
    </row>
    <row r="1336" spans="1:20" ht="38.25" hidden="1">
      <c r="A1336" s="239" t="s">
        <v>3544</v>
      </c>
      <c r="B1336" s="240">
        <v>2857</v>
      </c>
      <c r="C1336" s="241">
        <v>11482</v>
      </c>
      <c r="D1336" s="239" t="s">
        <v>2511</v>
      </c>
      <c r="E1336" s="239" t="s">
        <v>406</v>
      </c>
      <c r="F1336" s="239" t="s">
        <v>407</v>
      </c>
      <c r="G1336" s="239" t="s">
        <v>934</v>
      </c>
      <c r="H1336" s="239" t="s">
        <v>42</v>
      </c>
      <c r="I1336" s="239" t="s">
        <v>2512</v>
      </c>
      <c r="J1336" s="233"/>
      <c r="K1336" s="235">
        <v>45962</v>
      </c>
      <c r="L1336" s="233">
        <v>1.6</v>
      </c>
      <c r="M1336" s="234" t="s">
        <v>934</v>
      </c>
      <c r="N1336" s="234">
        <v>41350</v>
      </c>
      <c r="O1336" s="234">
        <v>15130</v>
      </c>
      <c r="P1336" s="242">
        <v>8</v>
      </c>
      <c r="Q1336" s="234">
        <v>26220</v>
      </c>
      <c r="R1336" s="234">
        <v>24122.400000000001</v>
      </c>
      <c r="S1336" s="234" t="s">
        <v>3614</v>
      </c>
      <c r="T1336" s="236">
        <v>45962</v>
      </c>
    </row>
    <row r="1337" spans="1:20" ht="38.25" hidden="1">
      <c r="A1337" s="239" t="s">
        <v>3545</v>
      </c>
      <c r="B1337" s="240">
        <v>2859</v>
      </c>
      <c r="C1337" s="241">
        <v>11499</v>
      </c>
      <c r="D1337" s="239" t="s">
        <v>2511</v>
      </c>
      <c r="E1337" s="239" t="s">
        <v>377</v>
      </c>
      <c r="F1337" s="239" t="s">
        <v>378</v>
      </c>
      <c r="G1337" s="239" t="s">
        <v>934</v>
      </c>
      <c r="H1337" s="239" t="s">
        <v>42</v>
      </c>
      <c r="I1337" s="239" t="s">
        <v>2512</v>
      </c>
      <c r="J1337" s="233"/>
      <c r="K1337" s="235">
        <v>45962</v>
      </c>
      <c r="L1337" s="233">
        <v>1.8</v>
      </c>
      <c r="M1337" s="234" t="s">
        <v>934</v>
      </c>
      <c r="N1337" s="234">
        <v>43770</v>
      </c>
      <c r="O1337" s="234">
        <v>15270</v>
      </c>
      <c r="P1337" s="242">
        <v>8</v>
      </c>
      <c r="Q1337" s="234">
        <v>28500</v>
      </c>
      <c r="R1337" s="234">
        <v>26220</v>
      </c>
      <c r="S1337" s="234" t="s">
        <v>3615</v>
      </c>
      <c r="T1337" s="236">
        <v>45962</v>
      </c>
    </row>
    <row r="1338" spans="1:20" ht="38.25" hidden="1">
      <c r="A1338" s="239" t="s">
        <v>3546</v>
      </c>
      <c r="B1338" s="240">
        <v>2860</v>
      </c>
      <c r="C1338" s="241">
        <v>263</v>
      </c>
      <c r="D1338" s="239" t="s">
        <v>2881</v>
      </c>
      <c r="E1338" s="239" t="s">
        <v>413</v>
      </c>
      <c r="F1338" s="239" t="s">
        <v>414</v>
      </c>
      <c r="G1338" s="239" t="s">
        <v>957</v>
      </c>
      <c r="H1338" s="239" t="s">
        <v>51</v>
      </c>
      <c r="I1338" s="239" t="s">
        <v>2882</v>
      </c>
      <c r="J1338" s="233"/>
      <c r="K1338" s="235">
        <v>45962</v>
      </c>
      <c r="L1338" s="233">
        <v>1.5</v>
      </c>
      <c r="M1338" s="234" t="s">
        <v>957</v>
      </c>
      <c r="N1338" s="234">
        <v>44900</v>
      </c>
      <c r="O1338" s="234">
        <v>15130</v>
      </c>
      <c r="P1338" s="242">
        <v>15</v>
      </c>
      <c r="Q1338" s="234">
        <v>29770</v>
      </c>
      <c r="R1338" s="234">
        <v>25304.5</v>
      </c>
      <c r="S1338" s="234" t="s">
        <v>3616</v>
      </c>
      <c r="T1338" s="236">
        <v>45962</v>
      </c>
    </row>
    <row r="1339" spans="1:20" ht="38.25" hidden="1">
      <c r="A1339" s="239" t="s">
        <v>3537</v>
      </c>
      <c r="B1339" s="240">
        <v>2835</v>
      </c>
      <c r="C1339" s="241">
        <v>251</v>
      </c>
      <c r="D1339" s="239" t="s">
        <v>2881</v>
      </c>
      <c r="E1339" s="239" t="s">
        <v>866</v>
      </c>
      <c r="F1339" s="239" t="s">
        <v>867</v>
      </c>
      <c r="G1339" s="239" t="s">
        <v>957</v>
      </c>
      <c r="H1339" s="239" t="s">
        <v>51</v>
      </c>
      <c r="I1339" s="239" t="s">
        <v>2882</v>
      </c>
      <c r="J1339" s="233"/>
      <c r="K1339" s="235">
        <v>45961</v>
      </c>
      <c r="L1339" s="233">
        <v>0.8</v>
      </c>
      <c r="M1339" s="234" t="s">
        <v>957</v>
      </c>
      <c r="N1339" s="234">
        <v>37990</v>
      </c>
      <c r="O1339" s="234">
        <v>14660</v>
      </c>
      <c r="P1339" s="242">
        <v>16</v>
      </c>
      <c r="Q1339" s="234">
        <v>23330</v>
      </c>
      <c r="R1339" s="234">
        <v>19597.2</v>
      </c>
      <c r="S1339" s="234" t="s">
        <v>3607</v>
      </c>
      <c r="T1339" s="236">
        <v>45962</v>
      </c>
    </row>
    <row r="1340" spans="1:20" ht="38.25" hidden="1">
      <c r="A1340" s="239" t="s">
        <v>3549</v>
      </c>
      <c r="B1340" s="240">
        <v>2861</v>
      </c>
      <c r="C1340" s="241">
        <v>262</v>
      </c>
      <c r="D1340" s="239" t="s">
        <v>2881</v>
      </c>
      <c r="E1340" s="239" t="s">
        <v>388</v>
      </c>
      <c r="F1340" s="239" t="s">
        <v>389</v>
      </c>
      <c r="G1340" s="239" t="s">
        <v>957</v>
      </c>
      <c r="H1340" s="239" t="s">
        <v>51</v>
      </c>
      <c r="I1340" s="239" t="s">
        <v>2882</v>
      </c>
      <c r="J1340" s="233"/>
      <c r="K1340" s="235">
        <v>45962</v>
      </c>
      <c r="L1340" s="233">
        <v>2.1</v>
      </c>
      <c r="M1340" s="234" t="s">
        <v>957</v>
      </c>
      <c r="N1340" s="234">
        <v>63860</v>
      </c>
      <c r="O1340" s="234">
        <v>21510</v>
      </c>
      <c r="P1340" s="242">
        <v>10</v>
      </c>
      <c r="Q1340" s="234">
        <v>42350</v>
      </c>
      <c r="R1340" s="234">
        <v>38115</v>
      </c>
      <c r="S1340" s="234" t="s">
        <v>3619</v>
      </c>
      <c r="T1340" s="236">
        <v>45962</v>
      </c>
    </row>
    <row r="1341" spans="1:20" ht="38.25" hidden="1">
      <c r="A1341" s="239" t="s">
        <v>3550</v>
      </c>
      <c r="B1341" s="240">
        <v>2862</v>
      </c>
      <c r="C1341" s="241">
        <v>265</v>
      </c>
      <c r="D1341" s="239" t="s">
        <v>2881</v>
      </c>
      <c r="E1341" s="239" t="s">
        <v>439</v>
      </c>
      <c r="F1341" s="239" t="s">
        <v>440</v>
      </c>
      <c r="G1341" s="239" t="s">
        <v>957</v>
      </c>
      <c r="H1341" s="239" t="s">
        <v>51</v>
      </c>
      <c r="I1341" s="239" t="s">
        <v>2882</v>
      </c>
      <c r="J1341" s="233"/>
      <c r="K1341" s="235">
        <v>45962</v>
      </c>
      <c r="L1341" s="233">
        <v>1.5</v>
      </c>
      <c r="M1341" s="234" t="s">
        <v>957</v>
      </c>
      <c r="N1341" s="234">
        <v>45950</v>
      </c>
      <c r="O1341" s="234">
        <v>15380</v>
      </c>
      <c r="P1341" s="242">
        <v>7</v>
      </c>
      <c r="Q1341" s="234">
        <v>30570</v>
      </c>
      <c r="R1341" s="234">
        <v>28430.1</v>
      </c>
      <c r="S1341" s="234" t="s">
        <v>3620</v>
      </c>
      <c r="T1341" s="236">
        <v>45962</v>
      </c>
    </row>
    <row r="1342" spans="1:20" ht="51" hidden="1">
      <c r="A1342" s="239" t="s">
        <v>3553</v>
      </c>
      <c r="B1342" s="240">
        <v>2864</v>
      </c>
      <c r="C1342" s="241">
        <v>264</v>
      </c>
      <c r="D1342" s="239" t="s">
        <v>2881</v>
      </c>
      <c r="E1342" s="239" t="s">
        <v>382</v>
      </c>
      <c r="F1342" s="239" t="s">
        <v>383</v>
      </c>
      <c r="G1342" s="239" t="s">
        <v>957</v>
      </c>
      <c r="H1342" s="239" t="s">
        <v>51</v>
      </c>
      <c r="I1342" s="239" t="s">
        <v>2882</v>
      </c>
      <c r="J1342" s="233"/>
      <c r="K1342" s="235">
        <v>45962</v>
      </c>
      <c r="L1342" s="233">
        <v>1.2</v>
      </c>
      <c r="M1342" s="234" t="s">
        <v>957</v>
      </c>
      <c r="N1342" s="234">
        <v>38830</v>
      </c>
      <c r="O1342" s="234">
        <v>14970</v>
      </c>
      <c r="P1342" s="242">
        <v>11</v>
      </c>
      <c r="Q1342" s="234">
        <v>23860</v>
      </c>
      <c r="R1342" s="234">
        <v>21235.4</v>
      </c>
      <c r="S1342" s="234" t="s">
        <v>3623</v>
      </c>
      <c r="T1342" s="236">
        <v>45962</v>
      </c>
    </row>
    <row r="1343" spans="1:20" ht="38.25" hidden="1">
      <c r="A1343" s="239" t="s">
        <v>3554</v>
      </c>
      <c r="B1343" s="240">
        <v>2865</v>
      </c>
      <c r="C1343" s="241">
        <v>266</v>
      </c>
      <c r="D1343" s="239" t="s">
        <v>2881</v>
      </c>
      <c r="E1343" s="239" t="s">
        <v>456</v>
      </c>
      <c r="F1343" s="239" t="s">
        <v>457</v>
      </c>
      <c r="G1343" s="239" t="s">
        <v>957</v>
      </c>
      <c r="H1343" s="239" t="s">
        <v>51</v>
      </c>
      <c r="I1343" s="239" t="s">
        <v>2882</v>
      </c>
      <c r="J1343" s="233"/>
      <c r="K1343" s="235">
        <v>45962</v>
      </c>
      <c r="L1343" s="233">
        <v>1.6</v>
      </c>
      <c r="M1343" s="234" t="s">
        <v>957</v>
      </c>
      <c r="N1343" s="234">
        <v>49030</v>
      </c>
      <c r="O1343" s="234">
        <v>16210</v>
      </c>
      <c r="P1343" s="242">
        <v>6</v>
      </c>
      <c r="Q1343" s="234">
        <v>32820</v>
      </c>
      <c r="R1343" s="234">
        <v>30850.799999999999</v>
      </c>
      <c r="S1343" s="234" t="s">
        <v>3624</v>
      </c>
      <c r="T1343" s="236">
        <v>45962</v>
      </c>
    </row>
    <row r="1344" spans="1:20" ht="51" hidden="1">
      <c r="A1344" s="239" t="s">
        <v>3555</v>
      </c>
      <c r="B1344" s="240">
        <v>2866</v>
      </c>
      <c r="C1344" s="241">
        <v>267</v>
      </c>
      <c r="D1344" s="239" t="s">
        <v>2881</v>
      </c>
      <c r="E1344" s="239" t="s">
        <v>1410</v>
      </c>
      <c r="F1344" s="239" t="s">
        <v>437</v>
      </c>
      <c r="G1344" s="239" t="s">
        <v>957</v>
      </c>
      <c r="H1344" s="239" t="s">
        <v>51</v>
      </c>
      <c r="I1344" s="239" t="s">
        <v>2882</v>
      </c>
      <c r="J1344" s="233"/>
      <c r="K1344" s="235">
        <v>45962</v>
      </c>
      <c r="L1344" s="233">
        <v>1.3</v>
      </c>
      <c r="M1344" s="234" t="s">
        <v>957</v>
      </c>
      <c r="N1344" s="234">
        <v>41610</v>
      </c>
      <c r="O1344" s="234">
        <v>15010</v>
      </c>
      <c r="P1344" s="242">
        <v>10</v>
      </c>
      <c r="Q1344" s="234">
        <v>26600</v>
      </c>
      <c r="R1344" s="234">
        <v>23940</v>
      </c>
      <c r="S1344" s="234" t="s">
        <v>3625</v>
      </c>
      <c r="T1344" s="236">
        <v>45962</v>
      </c>
    </row>
    <row r="1345" spans="1:20" ht="38.25" hidden="1">
      <c r="A1345" s="239" t="s">
        <v>3556</v>
      </c>
      <c r="B1345" s="240">
        <v>2867</v>
      </c>
      <c r="C1345" s="241">
        <v>269</v>
      </c>
      <c r="D1345" s="239" t="s">
        <v>2881</v>
      </c>
      <c r="E1345" s="239" t="s">
        <v>841</v>
      </c>
      <c r="F1345" s="239" t="s">
        <v>845</v>
      </c>
      <c r="G1345" s="239" t="s">
        <v>957</v>
      </c>
      <c r="H1345" s="239" t="s">
        <v>51</v>
      </c>
      <c r="I1345" s="239" t="s">
        <v>2882</v>
      </c>
      <c r="J1345" s="233"/>
      <c r="K1345" s="235">
        <v>45962</v>
      </c>
      <c r="L1345" s="233">
        <v>1.4</v>
      </c>
      <c r="M1345" s="234" t="s">
        <v>957</v>
      </c>
      <c r="N1345" s="234">
        <v>44800</v>
      </c>
      <c r="O1345" s="234">
        <v>16020</v>
      </c>
      <c r="P1345" s="242">
        <v>6</v>
      </c>
      <c r="Q1345" s="234">
        <v>28780</v>
      </c>
      <c r="R1345" s="234">
        <v>27053.200000000001</v>
      </c>
      <c r="S1345" s="234" t="s">
        <v>3626</v>
      </c>
      <c r="T1345" s="236">
        <v>45962</v>
      </c>
    </row>
    <row r="1346" spans="1:20" ht="25.5" hidden="1">
      <c r="A1346" s="239" t="s">
        <v>3559</v>
      </c>
      <c r="B1346" s="240">
        <v>2868</v>
      </c>
      <c r="C1346" s="241">
        <v>270</v>
      </c>
      <c r="D1346" s="239" t="s">
        <v>2881</v>
      </c>
      <c r="E1346" s="239" t="s">
        <v>783</v>
      </c>
      <c r="F1346" s="239" t="s">
        <v>784</v>
      </c>
      <c r="G1346" s="239" t="s">
        <v>957</v>
      </c>
      <c r="H1346" s="239" t="s">
        <v>51</v>
      </c>
      <c r="I1346" s="239" t="s">
        <v>2882</v>
      </c>
      <c r="J1346" s="233"/>
      <c r="K1346" s="235">
        <v>45962</v>
      </c>
      <c r="L1346" s="233">
        <v>1.3</v>
      </c>
      <c r="M1346" s="234" t="s">
        <v>957</v>
      </c>
      <c r="N1346" s="234">
        <v>40230</v>
      </c>
      <c r="O1346" s="234">
        <v>14760</v>
      </c>
      <c r="P1346" s="242">
        <v>9</v>
      </c>
      <c r="Q1346" s="234">
        <v>25470</v>
      </c>
      <c r="R1346" s="234">
        <v>23177.7</v>
      </c>
      <c r="S1346" s="234" t="s">
        <v>3629</v>
      </c>
      <c r="T1346" s="236">
        <v>45962</v>
      </c>
    </row>
    <row r="1347" spans="1:20" ht="38.25" hidden="1">
      <c r="A1347" s="239" t="s">
        <v>3560</v>
      </c>
      <c r="B1347" s="240">
        <v>2869</v>
      </c>
      <c r="C1347" s="241">
        <v>274</v>
      </c>
      <c r="D1347" s="239" t="s">
        <v>2881</v>
      </c>
      <c r="E1347" s="239" t="s">
        <v>372</v>
      </c>
      <c r="F1347" s="239" t="s">
        <v>373</v>
      </c>
      <c r="G1347" s="239" t="s">
        <v>957</v>
      </c>
      <c r="H1347" s="239" t="s">
        <v>51</v>
      </c>
      <c r="I1347" s="239" t="s">
        <v>2882</v>
      </c>
      <c r="J1347" s="233"/>
      <c r="K1347" s="235">
        <v>45962</v>
      </c>
      <c r="L1347" s="233">
        <v>1.3</v>
      </c>
      <c r="M1347" s="234" t="s">
        <v>957</v>
      </c>
      <c r="N1347" s="234">
        <v>40450</v>
      </c>
      <c r="O1347" s="234">
        <v>15080</v>
      </c>
      <c r="P1347" s="242">
        <v>31</v>
      </c>
      <c r="Q1347" s="234">
        <v>25370</v>
      </c>
      <c r="R1347" s="234">
        <v>17505.3</v>
      </c>
      <c r="S1347" s="234" t="s">
        <v>3630</v>
      </c>
      <c r="T1347" s="236">
        <v>45962</v>
      </c>
    </row>
    <row r="1348" spans="1:20" ht="38.25" hidden="1">
      <c r="A1348" s="239" t="s">
        <v>3569</v>
      </c>
      <c r="B1348" s="240">
        <v>2870</v>
      </c>
      <c r="C1348" s="241">
        <v>268</v>
      </c>
      <c r="D1348" s="239" t="s">
        <v>2881</v>
      </c>
      <c r="E1348" s="239" t="s">
        <v>453</v>
      </c>
      <c r="F1348" s="239" t="s">
        <v>454</v>
      </c>
      <c r="G1348" s="239" t="s">
        <v>957</v>
      </c>
      <c r="H1348" s="239" t="s">
        <v>51</v>
      </c>
      <c r="I1348" s="239" t="s">
        <v>2882</v>
      </c>
      <c r="J1348" s="233"/>
      <c r="K1348" s="235">
        <v>45963</v>
      </c>
      <c r="L1348" s="233">
        <v>2.2999999999999998</v>
      </c>
      <c r="M1348" s="234" t="s">
        <v>957</v>
      </c>
      <c r="N1348" s="234">
        <v>68260</v>
      </c>
      <c r="O1348" s="234">
        <v>24870</v>
      </c>
      <c r="P1348" s="242">
        <v>6</v>
      </c>
      <c r="Q1348" s="234">
        <v>43390</v>
      </c>
      <c r="R1348" s="234">
        <v>40786.6</v>
      </c>
      <c r="S1348" s="234" t="s">
        <v>3639</v>
      </c>
      <c r="T1348" s="236">
        <v>45963</v>
      </c>
    </row>
    <row r="1349" spans="1:20" ht="51" hidden="1">
      <c r="A1349" s="239" t="s">
        <v>3575</v>
      </c>
      <c r="B1349" s="240">
        <v>2871</v>
      </c>
      <c r="C1349" s="241">
        <v>273</v>
      </c>
      <c r="D1349" s="239" t="s">
        <v>2881</v>
      </c>
      <c r="E1349" s="239" t="s">
        <v>380</v>
      </c>
      <c r="F1349" s="239" t="s">
        <v>381</v>
      </c>
      <c r="G1349" s="239" t="s">
        <v>957</v>
      </c>
      <c r="H1349" s="239" t="s">
        <v>51</v>
      </c>
      <c r="I1349" s="239" t="s">
        <v>2882</v>
      </c>
      <c r="J1349" s="233"/>
      <c r="K1349" s="235">
        <v>45963</v>
      </c>
      <c r="L1349" s="233">
        <v>1.4</v>
      </c>
      <c r="M1349" s="234" t="s">
        <v>957</v>
      </c>
      <c r="N1349" s="234">
        <v>41280</v>
      </c>
      <c r="O1349" s="234">
        <v>15280</v>
      </c>
      <c r="P1349" s="242">
        <v>7</v>
      </c>
      <c r="Q1349" s="234">
        <v>26000</v>
      </c>
      <c r="R1349" s="234">
        <v>24180</v>
      </c>
      <c r="S1349" s="234" t="s">
        <v>3645</v>
      </c>
      <c r="T1349" s="236">
        <v>45963</v>
      </c>
    </row>
    <row r="1350" spans="1:20" ht="38.25" hidden="1">
      <c r="A1350" s="239" t="s">
        <v>3576</v>
      </c>
      <c r="B1350" s="240">
        <v>2872</v>
      </c>
      <c r="C1350" s="241">
        <v>272</v>
      </c>
      <c r="D1350" s="239" t="s">
        <v>2881</v>
      </c>
      <c r="E1350" s="239" t="s">
        <v>786</v>
      </c>
      <c r="F1350" s="239" t="s">
        <v>787</v>
      </c>
      <c r="G1350" s="239" t="s">
        <v>957</v>
      </c>
      <c r="H1350" s="239" t="s">
        <v>51</v>
      </c>
      <c r="I1350" s="239" t="s">
        <v>2882</v>
      </c>
      <c r="J1350" s="233"/>
      <c r="K1350" s="235">
        <v>45963</v>
      </c>
      <c r="L1350" s="233">
        <v>1.3</v>
      </c>
      <c r="M1350" s="234" t="s">
        <v>957</v>
      </c>
      <c r="N1350" s="234">
        <v>38420</v>
      </c>
      <c r="O1350" s="234">
        <v>14120</v>
      </c>
      <c r="P1350" s="242">
        <v>13</v>
      </c>
      <c r="Q1350" s="234">
        <v>24300</v>
      </c>
      <c r="R1350" s="234">
        <v>21141</v>
      </c>
      <c r="S1350" s="234" t="s">
        <v>3646</v>
      </c>
      <c r="T1350" s="236">
        <v>45963</v>
      </c>
    </row>
    <row r="1351" spans="1:20" ht="38.25" hidden="1">
      <c r="A1351" s="239" t="s">
        <v>3577</v>
      </c>
      <c r="B1351" s="240">
        <v>2874</v>
      </c>
      <c r="C1351" s="241">
        <v>276</v>
      </c>
      <c r="D1351" s="239" t="s">
        <v>2881</v>
      </c>
      <c r="E1351" s="239" t="s">
        <v>420</v>
      </c>
      <c r="F1351" s="239" t="s">
        <v>421</v>
      </c>
      <c r="G1351" s="239" t="s">
        <v>957</v>
      </c>
      <c r="H1351" s="239" t="s">
        <v>51</v>
      </c>
      <c r="I1351" s="239" t="s">
        <v>2882</v>
      </c>
      <c r="J1351" s="233"/>
      <c r="K1351" s="235">
        <v>45963</v>
      </c>
      <c r="L1351" s="233">
        <v>1.2</v>
      </c>
      <c r="M1351" s="234" t="s">
        <v>957</v>
      </c>
      <c r="N1351" s="234">
        <v>38580</v>
      </c>
      <c r="O1351" s="234">
        <v>15060</v>
      </c>
      <c r="P1351" s="242">
        <v>24</v>
      </c>
      <c r="Q1351" s="234">
        <v>23520</v>
      </c>
      <c r="R1351" s="234">
        <v>17875.2</v>
      </c>
      <c r="S1351" s="234" t="s">
        <v>3647</v>
      </c>
      <c r="T1351" s="236">
        <v>45963</v>
      </c>
    </row>
    <row r="1352" spans="1:20" ht="38.25" hidden="1">
      <c r="A1352" s="239" t="s">
        <v>3578</v>
      </c>
      <c r="B1352" s="240">
        <v>2875</v>
      </c>
      <c r="C1352" s="241">
        <v>275</v>
      </c>
      <c r="D1352" s="239" t="s">
        <v>2881</v>
      </c>
      <c r="E1352" s="239" t="s">
        <v>416</v>
      </c>
      <c r="F1352" s="239" t="s">
        <v>417</v>
      </c>
      <c r="G1352" s="239" t="s">
        <v>957</v>
      </c>
      <c r="H1352" s="239" t="s">
        <v>51</v>
      </c>
      <c r="I1352" s="239" t="s">
        <v>2882</v>
      </c>
      <c r="J1352" s="233"/>
      <c r="K1352" s="235">
        <v>45963</v>
      </c>
      <c r="L1352" s="233">
        <v>1.4</v>
      </c>
      <c r="M1352" s="234" t="s">
        <v>957</v>
      </c>
      <c r="N1352" s="234">
        <v>41060</v>
      </c>
      <c r="O1352" s="234">
        <v>15010</v>
      </c>
      <c r="P1352" s="242">
        <v>9</v>
      </c>
      <c r="Q1352" s="234">
        <v>26050</v>
      </c>
      <c r="R1352" s="234">
        <v>23705.5</v>
      </c>
      <c r="S1352" s="234" t="s">
        <v>3648</v>
      </c>
      <c r="T1352" s="236">
        <v>45963</v>
      </c>
    </row>
    <row r="1353" spans="1:20" ht="38.25" hidden="1">
      <c r="A1353" s="239" t="s">
        <v>3561</v>
      </c>
      <c r="B1353" s="240">
        <v>2873</v>
      </c>
      <c r="C1353" s="241">
        <v>279</v>
      </c>
      <c r="D1353" s="239" t="s">
        <v>2881</v>
      </c>
      <c r="E1353" s="239" t="s">
        <v>400</v>
      </c>
      <c r="F1353" s="239" t="s">
        <v>401</v>
      </c>
      <c r="G1353" s="239" t="s">
        <v>957</v>
      </c>
      <c r="H1353" s="239" t="s">
        <v>51</v>
      </c>
      <c r="I1353" s="239" t="s">
        <v>2882</v>
      </c>
      <c r="J1353" s="233"/>
      <c r="K1353" s="235">
        <v>45962</v>
      </c>
      <c r="L1353" s="233">
        <v>1.3</v>
      </c>
      <c r="M1353" s="234" t="s">
        <v>957</v>
      </c>
      <c r="N1353" s="234">
        <v>40440</v>
      </c>
      <c r="O1353" s="234">
        <v>15020</v>
      </c>
      <c r="P1353" s="242">
        <v>23</v>
      </c>
      <c r="Q1353" s="234">
        <v>25420</v>
      </c>
      <c r="R1353" s="234">
        <v>19573.400000000001</v>
      </c>
      <c r="S1353" s="234" t="s">
        <v>3631</v>
      </c>
      <c r="T1353" s="236">
        <v>45963</v>
      </c>
    </row>
    <row r="1354" spans="1:20" ht="25.5" hidden="1">
      <c r="A1354" s="239" t="s">
        <v>3565</v>
      </c>
      <c r="B1354" s="240">
        <v>2881</v>
      </c>
      <c r="C1354" s="241">
        <v>277</v>
      </c>
      <c r="D1354" s="239" t="s">
        <v>2881</v>
      </c>
      <c r="E1354" s="239" t="s">
        <v>425</v>
      </c>
      <c r="F1354" s="239" t="s">
        <v>426</v>
      </c>
      <c r="G1354" s="239" t="s">
        <v>957</v>
      </c>
      <c r="H1354" s="239" t="s">
        <v>51</v>
      </c>
      <c r="I1354" s="239" t="s">
        <v>2882</v>
      </c>
      <c r="J1354" s="233"/>
      <c r="K1354" s="235">
        <v>45962</v>
      </c>
      <c r="L1354" s="233">
        <v>1.6</v>
      </c>
      <c r="M1354" s="234" t="s">
        <v>957</v>
      </c>
      <c r="N1354" s="234">
        <v>51190</v>
      </c>
      <c r="O1354" s="234">
        <v>18780</v>
      </c>
      <c r="P1354" s="242">
        <v>8</v>
      </c>
      <c r="Q1354" s="234">
        <v>32410</v>
      </c>
      <c r="R1354" s="234">
        <v>29817.200000000001</v>
      </c>
      <c r="S1354" s="234" t="s">
        <v>3635</v>
      </c>
      <c r="T1354" s="236">
        <v>45963</v>
      </c>
    </row>
    <row r="1355" spans="1:20" ht="25.5" hidden="1">
      <c r="A1355" s="239" t="s">
        <v>3564</v>
      </c>
      <c r="B1355" s="240">
        <v>2880</v>
      </c>
      <c r="C1355" s="241">
        <v>278</v>
      </c>
      <c r="D1355" s="239" t="s">
        <v>2881</v>
      </c>
      <c r="E1355" s="239" t="s">
        <v>2793</v>
      </c>
      <c r="F1355" s="239" t="s">
        <v>2794</v>
      </c>
      <c r="G1355" s="239" t="s">
        <v>957</v>
      </c>
      <c r="H1355" s="239" t="s">
        <v>51</v>
      </c>
      <c r="I1355" s="239" t="s">
        <v>2882</v>
      </c>
      <c r="J1355" s="233"/>
      <c r="K1355" s="235">
        <v>45962</v>
      </c>
      <c r="L1355" s="233">
        <v>1.6</v>
      </c>
      <c r="M1355" s="234" t="s">
        <v>957</v>
      </c>
      <c r="N1355" s="234">
        <v>48470</v>
      </c>
      <c r="O1355" s="234">
        <v>17490</v>
      </c>
      <c r="P1355" s="242">
        <v>11</v>
      </c>
      <c r="Q1355" s="234">
        <v>30980</v>
      </c>
      <c r="R1355" s="234">
        <v>27572.2</v>
      </c>
      <c r="S1355" s="234" t="s">
        <v>3634</v>
      </c>
      <c r="T1355" s="236">
        <v>45963</v>
      </c>
    </row>
    <row r="1356" spans="1:20" ht="38.25" hidden="1">
      <c r="A1356" s="239" t="s">
        <v>3566</v>
      </c>
      <c r="B1356" s="240">
        <v>2882</v>
      </c>
      <c r="C1356" s="241">
        <v>280</v>
      </c>
      <c r="D1356" s="239" t="s">
        <v>2881</v>
      </c>
      <c r="E1356" s="239" t="s">
        <v>447</v>
      </c>
      <c r="F1356" s="239" t="s">
        <v>448</v>
      </c>
      <c r="G1356" s="239" t="s">
        <v>957</v>
      </c>
      <c r="H1356" s="239" t="s">
        <v>51</v>
      </c>
      <c r="I1356" s="239" t="s">
        <v>2882</v>
      </c>
      <c r="J1356" s="233"/>
      <c r="K1356" s="235">
        <v>45962</v>
      </c>
      <c r="L1356" s="233">
        <v>1.7</v>
      </c>
      <c r="M1356" s="234" t="s">
        <v>957</v>
      </c>
      <c r="N1356" s="234">
        <v>53920</v>
      </c>
      <c r="O1356" s="234">
        <v>19540</v>
      </c>
      <c r="P1356" s="242">
        <v>4</v>
      </c>
      <c r="Q1356" s="234">
        <v>34380</v>
      </c>
      <c r="R1356" s="234">
        <v>33004.800000000003</v>
      </c>
      <c r="S1356" s="234" t="s">
        <v>3636</v>
      </c>
      <c r="T1356" s="236">
        <v>45963</v>
      </c>
    </row>
    <row r="1357" spans="1:20" ht="38.25" hidden="1">
      <c r="A1357" s="239" t="s">
        <v>3574</v>
      </c>
      <c r="B1357" s="240">
        <v>2889</v>
      </c>
      <c r="C1357" s="241">
        <v>281</v>
      </c>
      <c r="D1357" s="239" t="s">
        <v>2881</v>
      </c>
      <c r="E1357" s="239" t="s">
        <v>392</v>
      </c>
      <c r="F1357" s="239" t="s">
        <v>393</v>
      </c>
      <c r="G1357" s="239" t="s">
        <v>957</v>
      </c>
      <c r="H1357" s="239" t="s">
        <v>51</v>
      </c>
      <c r="I1357" s="239" t="s">
        <v>2882</v>
      </c>
      <c r="J1357" s="233"/>
      <c r="K1357" s="235">
        <v>45963</v>
      </c>
      <c r="L1357" s="233">
        <v>2.1</v>
      </c>
      <c r="M1357" s="234" t="s">
        <v>957</v>
      </c>
      <c r="N1357" s="234">
        <v>63830</v>
      </c>
      <c r="O1357" s="234">
        <v>24290</v>
      </c>
      <c r="P1357" s="242">
        <v>9</v>
      </c>
      <c r="Q1357" s="234">
        <v>39540</v>
      </c>
      <c r="R1357" s="234">
        <v>35981.4</v>
      </c>
      <c r="S1357" s="234" t="s">
        <v>3644</v>
      </c>
      <c r="T1357" s="236">
        <v>45963</v>
      </c>
    </row>
    <row r="1358" spans="1:20" ht="38.25" hidden="1">
      <c r="A1358" s="239" t="s">
        <v>3562</v>
      </c>
      <c r="B1358" s="240">
        <v>2878</v>
      </c>
      <c r="C1358" s="241">
        <v>11576</v>
      </c>
      <c r="D1358" s="239" t="s">
        <v>2511</v>
      </c>
      <c r="E1358" s="239" t="s">
        <v>866</v>
      </c>
      <c r="F1358" s="239" t="s">
        <v>867</v>
      </c>
      <c r="G1358" s="239" t="s">
        <v>934</v>
      </c>
      <c r="H1358" s="239" t="s">
        <v>42</v>
      </c>
      <c r="I1358" s="239" t="s">
        <v>2512</v>
      </c>
      <c r="J1358" s="233"/>
      <c r="K1358" s="235">
        <v>45963</v>
      </c>
      <c r="L1358" s="233">
        <v>1.6</v>
      </c>
      <c r="M1358" s="234" t="s">
        <v>934</v>
      </c>
      <c r="N1358" s="234">
        <v>38580</v>
      </c>
      <c r="O1358" s="234">
        <v>14540</v>
      </c>
      <c r="P1358" s="242">
        <v>13</v>
      </c>
      <c r="Q1358" s="234">
        <v>24040</v>
      </c>
      <c r="R1358" s="234">
        <v>20914.8</v>
      </c>
      <c r="S1358" s="234" t="s">
        <v>3632</v>
      </c>
      <c r="T1358" s="236">
        <v>45963</v>
      </c>
    </row>
    <row r="1359" spans="1:20" ht="51" hidden="1">
      <c r="A1359" s="239" t="s">
        <v>3563</v>
      </c>
      <c r="B1359" s="240">
        <v>2879</v>
      </c>
      <c r="C1359" s="241">
        <v>11577</v>
      </c>
      <c r="D1359" s="239" t="s">
        <v>2511</v>
      </c>
      <c r="E1359" s="239" t="s">
        <v>369</v>
      </c>
      <c r="F1359" s="239" t="s">
        <v>370</v>
      </c>
      <c r="G1359" s="239" t="s">
        <v>934</v>
      </c>
      <c r="H1359" s="239" t="s">
        <v>42</v>
      </c>
      <c r="I1359" s="239" t="s">
        <v>2512</v>
      </c>
      <c r="J1359" s="233"/>
      <c r="K1359" s="235">
        <v>45963</v>
      </c>
      <c r="L1359" s="233">
        <v>1.7</v>
      </c>
      <c r="M1359" s="234" t="s">
        <v>934</v>
      </c>
      <c r="N1359" s="234">
        <v>39560</v>
      </c>
      <c r="O1359" s="234">
        <v>15220</v>
      </c>
      <c r="P1359" s="242">
        <v>9</v>
      </c>
      <c r="Q1359" s="234">
        <v>24340</v>
      </c>
      <c r="R1359" s="234">
        <v>22149.4</v>
      </c>
      <c r="S1359" s="234" t="s">
        <v>3633</v>
      </c>
      <c r="T1359" s="236">
        <v>45963</v>
      </c>
    </row>
    <row r="1360" spans="1:20" ht="38.25" hidden="1">
      <c r="A1360" s="239" t="s">
        <v>3567</v>
      </c>
      <c r="B1360" s="240">
        <v>2883</v>
      </c>
      <c r="C1360" s="241">
        <v>11579</v>
      </c>
      <c r="D1360" s="239" t="s">
        <v>2511</v>
      </c>
      <c r="E1360" s="239" t="s">
        <v>791</v>
      </c>
      <c r="F1360" s="239" t="s">
        <v>792</v>
      </c>
      <c r="G1360" s="239" t="s">
        <v>934</v>
      </c>
      <c r="H1360" s="239" t="s">
        <v>42</v>
      </c>
      <c r="I1360" s="239" t="s">
        <v>2512</v>
      </c>
      <c r="J1360" s="233"/>
      <c r="K1360" s="235">
        <v>45963</v>
      </c>
      <c r="L1360" s="233">
        <v>1.8</v>
      </c>
      <c r="M1360" s="234" t="s">
        <v>934</v>
      </c>
      <c r="N1360" s="234">
        <v>41850</v>
      </c>
      <c r="O1360" s="234">
        <v>15050</v>
      </c>
      <c r="P1360" s="242">
        <v>12</v>
      </c>
      <c r="Q1360" s="234">
        <v>26800</v>
      </c>
      <c r="R1360" s="234">
        <v>23584</v>
      </c>
      <c r="S1360" s="234" t="s">
        <v>3637</v>
      </c>
      <c r="T1360" s="236">
        <v>45963</v>
      </c>
    </row>
    <row r="1361" spans="1:20" ht="38.25" hidden="1">
      <c r="A1361" s="239" t="s">
        <v>3570</v>
      </c>
      <c r="B1361" s="240">
        <v>2885</v>
      </c>
      <c r="C1361" s="241">
        <v>11602</v>
      </c>
      <c r="D1361" s="239" t="s">
        <v>2511</v>
      </c>
      <c r="E1361" s="239" t="s">
        <v>1397</v>
      </c>
      <c r="F1361" s="239" t="s">
        <v>1398</v>
      </c>
      <c r="G1361" s="239" t="s">
        <v>934</v>
      </c>
      <c r="H1361" s="239" t="s">
        <v>42</v>
      </c>
      <c r="I1361" s="239" t="s">
        <v>2512</v>
      </c>
      <c r="J1361" s="233"/>
      <c r="K1361" s="235">
        <v>45963</v>
      </c>
      <c r="L1361" s="233">
        <v>1.8</v>
      </c>
      <c r="M1361" s="234" t="s">
        <v>934</v>
      </c>
      <c r="N1361" s="234">
        <v>43490</v>
      </c>
      <c r="O1361" s="234">
        <v>17170</v>
      </c>
      <c r="P1361" s="242">
        <v>8</v>
      </c>
      <c r="Q1361" s="234">
        <v>26320</v>
      </c>
      <c r="R1361" s="234">
        <v>24214.400000000001</v>
      </c>
      <c r="S1361" s="234" t="s">
        <v>3640</v>
      </c>
      <c r="T1361" s="236">
        <v>45963</v>
      </c>
    </row>
    <row r="1362" spans="1:20" ht="38.25" hidden="1">
      <c r="A1362" s="239" t="s">
        <v>3571</v>
      </c>
      <c r="B1362" s="240">
        <v>2886</v>
      </c>
      <c r="C1362" s="241">
        <v>11601</v>
      </c>
      <c r="D1362" s="239" t="s">
        <v>2511</v>
      </c>
      <c r="E1362" s="239" t="s">
        <v>1403</v>
      </c>
      <c r="F1362" s="239" t="s">
        <v>1404</v>
      </c>
      <c r="G1362" s="239" t="s">
        <v>934</v>
      </c>
      <c r="H1362" s="239" t="s">
        <v>42</v>
      </c>
      <c r="I1362" s="239" t="s">
        <v>2512</v>
      </c>
      <c r="J1362" s="233"/>
      <c r="K1362" s="235">
        <v>45963</v>
      </c>
      <c r="L1362" s="233">
        <v>1.7</v>
      </c>
      <c r="M1362" s="234" t="s">
        <v>934</v>
      </c>
      <c r="N1362" s="234">
        <v>40260</v>
      </c>
      <c r="O1362" s="234">
        <v>15000</v>
      </c>
      <c r="P1362" s="242">
        <v>11</v>
      </c>
      <c r="Q1362" s="234">
        <v>25260</v>
      </c>
      <c r="R1362" s="234">
        <v>22481.4</v>
      </c>
      <c r="S1362" s="234" t="s">
        <v>3641</v>
      </c>
      <c r="T1362" s="236">
        <v>45963</v>
      </c>
    </row>
    <row r="1363" spans="1:20" ht="38.25" hidden="1">
      <c r="A1363" s="239" t="s">
        <v>3572</v>
      </c>
      <c r="B1363" s="240">
        <v>2887</v>
      </c>
      <c r="C1363" s="241">
        <v>283</v>
      </c>
      <c r="D1363" s="239" t="s">
        <v>2881</v>
      </c>
      <c r="E1363" s="239" t="s">
        <v>858</v>
      </c>
      <c r="F1363" s="239" t="s">
        <v>859</v>
      </c>
      <c r="G1363" s="239" t="s">
        <v>957</v>
      </c>
      <c r="H1363" s="239" t="s">
        <v>51</v>
      </c>
      <c r="I1363" s="239" t="s">
        <v>2882</v>
      </c>
      <c r="J1363" s="233"/>
      <c r="K1363" s="235">
        <v>45963</v>
      </c>
      <c r="L1363" s="233">
        <v>1.5</v>
      </c>
      <c r="M1363" s="234" t="s">
        <v>957</v>
      </c>
      <c r="N1363" s="234">
        <v>42850</v>
      </c>
      <c r="O1363" s="234">
        <v>14990</v>
      </c>
      <c r="P1363" s="242">
        <v>10</v>
      </c>
      <c r="Q1363" s="234">
        <v>27860</v>
      </c>
      <c r="R1363" s="234">
        <v>25074</v>
      </c>
      <c r="S1363" s="234" t="s">
        <v>3642</v>
      </c>
      <c r="T1363" s="236">
        <v>45963</v>
      </c>
    </row>
    <row r="1364" spans="1:20" ht="38.25" hidden="1">
      <c r="A1364" s="239" t="s">
        <v>3573</v>
      </c>
      <c r="B1364" s="240">
        <v>2888</v>
      </c>
      <c r="C1364" s="241">
        <v>284</v>
      </c>
      <c r="D1364" s="239" t="s">
        <v>2881</v>
      </c>
      <c r="E1364" s="239" t="s">
        <v>432</v>
      </c>
      <c r="F1364" s="239" t="s">
        <v>433</v>
      </c>
      <c r="G1364" s="239" t="s">
        <v>957</v>
      </c>
      <c r="H1364" s="239" t="s">
        <v>51</v>
      </c>
      <c r="I1364" s="239" t="s">
        <v>2882</v>
      </c>
      <c r="J1364" s="233"/>
      <c r="K1364" s="235">
        <v>45963</v>
      </c>
      <c r="L1364" s="233">
        <v>1.6</v>
      </c>
      <c r="M1364" s="234" t="s">
        <v>957</v>
      </c>
      <c r="N1364" s="234">
        <v>45660</v>
      </c>
      <c r="O1364" s="234">
        <v>15970</v>
      </c>
      <c r="P1364" s="242">
        <v>7</v>
      </c>
      <c r="Q1364" s="234">
        <v>29690</v>
      </c>
      <c r="R1364" s="234">
        <v>27611.7</v>
      </c>
      <c r="S1364" s="234" t="s">
        <v>3643</v>
      </c>
      <c r="T1364" s="236">
        <v>45963</v>
      </c>
    </row>
    <row r="1365" spans="1:20" ht="38.25" hidden="1">
      <c r="A1365" s="239" t="s">
        <v>3568</v>
      </c>
      <c r="B1365" s="240">
        <v>2884</v>
      </c>
      <c r="C1365" s="241">
        <v>282</v>
      </c>
      <c r="D1365" s="239" t="s">
        <v>2881</v>
      </c>
      <c r="E1365" s="239" t="s">
        <v>390</v>
      </c>
      <c r="F1365" s="239" t="s">
        <v>391</v>
      </c>
      <c r="G1365" s="239" t="s">
        <v>957</v>
      </c>
      <c r="H1365" s="239" t="s">
        <v>51</v>
      </c>
      <c r="I1365" s="239" t="s">
        <v>2882</v>
      </c>
      <c r="J1365" s="233"/>
      <c r="K1365" s="235">
        <v>45962</v>
      </c>
      <c r="L1365" s="233">
        <v>1.3</v>
      </c>
      <c r="M1365" s="234" t="s">
        <v>957</v>
      </c>
      <c r="N1365" s="234">
        <v>41350</v>
      </c>
      <c r="O1365" s="234">
        <v>15120</v>
      </c>
      <c r="P1365" s="242">
        <v>10</v>
      </c>
      <c r="Q1365" s="234">
        <v>26230</v>
      </c>
      <c r="R1365" s="234">
        <v>23607</v>
      </c>
      <c r="S1365" s="234" t="s">
        <v>3638</v>
      </c>
      <c r="T1365" s="236">
        <v>45963</v>
      </c>
    </row>
    <row r="1366" spans="1:20" ht="38.25" hidden="1">
      <c r="A1366" s="239" t="s">
        <v>3579</v>
      </c>
      <c r="B1366" s="240">
        <v>2890</v>
      </c>
      <c r="C1366" s="241">
        <v>286</v>
      </c>
      <c r="D1366" s="239" t="s">
        <v>2881</v>
      </c>
      <c r="E1366" s="239" t="s">
        <v>406</v>
      </c>
      <c r="F1366" s="239" t="s">
        <v>407</v>
      </c>
      <c r="G1366" s="239" t="s">
        <v>957</v>
      </c>
      <c r="H1366" s="239" t="s">
        <v>51</v>
      </c>
      <c r="I1366" s="239" t="s">
        <v>2882</v>
      </c>
      <c r="J1366" s="233"/>
      <c r="K1366" s="235">
        <v>45963</v>
      </c>
      <c r="L1366" s="233">
        <v>1.4</v>
      </c>
      <c r="M1366" s="234" t="s">
        <v>957</v>
      </c>
      <c r="N1366" s="234">
        <v>41140</v>
      </c>
      <c r="O1366" s="234">
        <v>15260</v>
      </c>
      <c r="P1366" s="242">
        <v>5</v>
      </c>
      <c r="Q1366" s="234">
        <v>25880</v>
      </c>
      <c r="R1366" s="234">
        <v>24586</v>
      </c>
      <c r="S1366" s="234" t="s">
        <v>3649</v>
      </c>
      <c r="T1366" s="236">
        <v>45963</v>
      </c>
    </row>
    <row r="1367" spans="1:20" ht="25.5" hidden="1">
      <c r="A1367" s="239" t="s">
        <v>3584</v>
      </c>
      <c r="B1367" s="240">
        <v>2891</v>
      </c>
      <c r="C1367" s="241">
        <v>285</v>
      </c>
      <c r="D1367" s="239" t="s">
        <v>2881</v>
      </c>
      <c r="E1367" s="239" t="s">
        <v>403</v>
      </c>
      <c r="F1367" s="239" t="s">
        <v>404</v>
      </c>
      <c r="G1367" s="239" t="s">
        <v>957</v>
      </c>
      <c r="H1367" s="239" t="s">
        <v>51</v>
      </c>
      <c r="I1367" s="239" t="s">
        <v>2882</v>
      </c>
      <c r="J1367" s="233"/>
      <c r="K1367" s="235">
        <v>45964</v>
      </c>
      <c r="L1367" s="233">
        <v>1.6</v>
      </c>
      <c r="M1367" s="234" t="s">
        <v>957</v>
      </c>
      <c r="N1367" s="234">
        <v>40350</v>
      </c>
      <c r="O1367" s="234">
        <v>14620</v>
      </c>
      <c r="P1367" s="242">
        <v>12</v>
      </c>
      <c r="Q1367" s="234">
        <v>25730</v>
      </c>
      <c r="R1367" s="234">
        <v>22642.400000000001</v>
      </c>
      <c r="S1367" s="234" t="s">
        <v>3654</v>
      </c>
      <c r="T1367" s="236">
        <v>45964</v>
      </c>
    </row>
    <row r="1368" spans="1:20" ht="38.25" hidden="1">
      <c r="A1368" s="239" t="s">
        <v>3585</v>
      </c>
      <c r="B1368" s="240">
        <v>2896</v>
      </c>
      <c r="C1368" s="241">
        <v>287</v>
      </c>
      <c r="D1368" s="239" t="s">
        <v>2881</v>
      </c>
      <c r="E1368" s="239" t="s">
        <v>377</v>
      </c>
      <c r="F1368" s="239" t="s">
        <v>378</v>
      </c>
      <c r="G1368" s="239" t="s">
        <v>957</v>
      </c>
      <c r="H1368" s="239" t="s">
        <v>51</v>
      </c>
      <c r="I1368" s="239" t="s">
        <v>2882</v>
      </c>
      <c r="J1368" s="233"/>
      <c r="K1368" s="235">
        <v>45964</v>
      </c>
      <c r="L1368" s="233">
        <v>1.7</v>
      </c>
      <c r="M1368" s="234" t="s">
        <v>957</v>
      </c>
      <c r="N1368" s="234">
        <v>42510</v>
      </c>
      <c r="O1368" s="234">
        <v>15310</v>
      </c>
      <c r="P1368" s="242">
        <v>3</v>
      </c>
      <c r="Q1368" s="234">
        <v>27200</v>
      </c>
      <c r="R1368" s="234">
        <v>26384</v>
      </c>
      <c r="S1368" s="234" t="s">
        <v>3655</v>
      </c>
      <c r="T1368" s="236">
        <v>45964</v>
      </c>
    </row>
    <row r="1369" spans="1:20" ht="38.25" hidden="1">
      <c r="A1369" s="239" t="s">
        <v>3587</v>
      </c>
      <c r="B1369" s="240">
        <v>2897</v>
      </c>
      <c r="C1369" s="241">
        <v>288</v>
      </c>
      <c r="D1369" s="239" t="s">
        <v>2881</v>
      </c>
      <c r="E1369" s="239" t="s">
        <v>413</v>
      </c>
      <c r="F1369" s="239" t="s">
        <v>414</v>
      </c>
      <c r="G1369" s="239" t="s">
        <v>957</v>
      </c>
      <c r="H1369" s="239" t="s">
        <v>51</v>
      </c>
      <c r="I1369" s="239" t="s">
        <v>2882</v>
      </c>
      <c r="J1369" s="233"/>
      <c r="K1369" s="235">
        <v>45964</v>
      </c>
      <c r="L1369" s="233">
        <v>1.8</v>
      </c>
      <c r="M1369" s="234" t="s">
        <v>957</v>
      </c>
      <c r="N1369" s="234">
        <v>44190</v>
      </c>
      <c r="O1369" s="234">
        <v>15230</v>
      </c>
      <c r="P1369" s="242">
        <v>7</v>
      </c>
      <c r="Q1369" s="234">
        <v>28960</v>
      </c>
      <c r="R1369" s="234">
        <v>26932.799999999999</v>
      </c>
      <c r="S1369" s="234" t="s">
        <v>3657</v>
      </c>
      <c r="T1369" s="236">
        <v>45964</v>
      </c>
    </row>
    <row r="1370" spans="1:20" ht="38.25" hidden="1">
      <c r="A1370" s="239" t="s">
        <v>3589</v>
      </c>
      <c r="B1370" s="240">
        <v>2898</v>
      </c>
      <c r="C1370" s="241">
        <v>290</v>
      </c>
      <c r="D1370" s="239" t="s">
        <v>2881</v>
      </c>
      <c r="E1370" s="239" t="s">
        <v>439</v>
      </c>
      <c r="F1370" s="239" t="s">
        <v>440</v>
      </c>
      <c r="G1370" s="239" t="s">
        <v>957</v>
      </c>
      <c r="H1370" s="239" t="s">
        <v>51</v>
      </c>
      <c r="I1370" s="239" t="s">
        <v>2882</v>
      </c>
      <c r="J1370" s="233"/>
      <c r="K1370" s="235">
        <v>45964</v>
      </c>
      <c r="L1370" s="233">
        <v>1.8</v>
      </c>
      <c r="M1370" s="234" t="s">
        <v>957</v>
      </c>
      <c r="N1370" s="234">
        <v>45140</v>
      </c>
      <c r="O1370" s="234">
        <v>15240</v>
      </c>
      <c r="P1370" s="242">
        <v>13</v>
      </c>
      <c r="Q1370" s="234">
        <v>29900</v>
      </c>
      <c r="R1370" s="234">
        <v>26013</v>
      </c>
      <c r="S1370" s="234" t="s">
        <v>3659</v>
      </c>
      <c r="T1370" s="236">
        <v>45964</v>
      </c>
    </row>
    <row r="1371" spans="1:20" ht="25.5" hidden="1">
      <c r="A1371" s="239" t="s">
        <v>3592</v>
      </c>
      <c r="B1371" s="240">
        <v>2899</v>
      </c>
      <c r="C1371" s="241">
        <v>289</v>
      </c>
      <c r="D1371" s="239" t="s">
        <v>2881</v>
      </c>
      <c r="E1371" s="239" t="s">
        <v>384</v>
      </c>
      <c r="F1371" s="239" t="s">
        <v>385</v>
      </c>
      <c r="G1371" s="239" t="s">
        <v>957</v>
      </c>
      <c r="H1371" s="239" t="s">
        <v>51</v>
      </c>
      <c r="I1371" s="239" t="s">
        <v>2882</v>
      </c>
      <c r="J1371" s="233"/>
      <c r="K1371" s="235">
        <v>45964</v>
      </c>
      <c r="L1371" s="233">
        <v>1.4</v>
      </c>
      <c r="M1371" s="234" t="s">
        <v>957</v>
      </c>
      <c r="N1371" s="234">
        <v>37060</v>
      </c>
      <c r="O1371" s="234">
        <v>13940</v>
      </c>
      <c r="P1371" s="242">
        <v>14</v>
      </c>
      <c r="Q1371" s="234">
        <v>23120</v>
      </c>
      <c r="R1371" s="234">
        <v>19883.2</v>
      </c>
      <c r="S1371" s="234" t="s">
        <v>3662</v>
      </c>
      <c r="T1371" s="236">
        <v>45964</v>
      </c>
    </row>
    <row r="1372" spans="1:20" ht="25.5" hidden="1">
      <c r="A1372" s="239" t="s">
        <v>3580</v>
      </c>
      <c r="B1372" s="240">
        <v>2900</v>
      </c>
      <c r="C1372" s="241">
        <v>291</v>
      </c>
      <c r="D1372" s="239" t="s">
        <v>2881</v>
      </c>
      <c r="E1372" s="239" t="s">
        <v>374</v>
      </c>
      <c r="F1372" s="239" t="s">
        <v>375</v>
      </c>
      <c r="G1372" s="239" t="s">
        <v>957</v>
      </c>
      <c r="H1372" s="239" t="s">
        <v>51</v>
      </c>
      <c r="I1372" s="239" t="s">
        <v>2882</v>
      </c>
      <c r="J1372" s="233"/>
      <c r="K1372" s="235">
        <v>45964</v>
      </c>
      <c r="L1372" s="233">
        <v>1.5</v>
      </c>
      <c r="M1372" s="234" t="s">
        <v>957</v>
      </c>
      <c r="N1372" s="234">
        <v>40740</v>
      </c>
      <c r="O1372" s="234">
        <v>15700</v>
      </c>
      <c r="P1372" s="242">
        <v>15</v>
      </c>
      <c r="Q1372" s="234">
        <v>25040</v>
      </c>
      <c r="R1372" s="234">
        <v>21284</v>
      </c>
      <c r="S1372" s="234" t="s">
        <v>3650</v>
      </c>
      <c r="T1372" s="236">
        <v>45964</v>
      </c>
    </row>
    <row r="1373" spans="1:20" ht="38.25" hidden="1">
      <c r="A1373" s="239" t="s">
        <v>3581</v>
      </c>
      <c r="B1373" s="240">
        <v>2902</v>
      </c>
      <c r="C1373" s="241">
        <v>293</v>
      </c>
      <c r="D1373" s="239" t="s">
        <v>2881</v>
      </c>
      <c r="E1373" s="239" t="s">
        <v>456</v>
      </c>
      <c r="F1373" s="239" t="s">
        <v>457</v>
      </c>
      <c r="G1373" s="239" t="s">
        <v>957</v>
      </c>
      <c r="H1373" s="239" t="s">
        <v>51</v>
      </c>
      <c r="I1373" s="239" t="s">
        <v>2882</v>
      </c>
      <c r="J1373" s="233"/>
      <c r="K1373" s="235">
        <v>45964</v>
      </c>
      <c r="L1373" s="233">
        <v>2</v>
      </c>
      <c r="M1373" s="234" t="s">
        <v>957</v>
      </c>
      <c r="N1373" s="234">
        <v>48850</v>
      </c>
      <c r="O1373" s="234">
        <v>16010</v>
      </c>
      <c r="P1373" s="242">
        <v>13</v>
      </c>
      <c r="Q1373" s="234">
        <v>32840</v>
      </c>
      <c r="R1373" s="234">
        <v>28570.799999999999</v>
      </c>
      <c r="S1373" s="234" t="s">
        <v>3651</v>
      </c>
      <c r="T1373" s="236">
        <v>45964</v>
      </c>
    </row>
    <row r="1374" spans="1:20" ht="51" hidden="1">
      <c r="A1374" s="239" t="s">
        <v>3582</v>
      </c>
      <c r="B1374" s="240">
        <v>2903</v>
      </c>
      <c r="C1374" s="241">
        <v>294</v>
      </c>
      <c r="D1374" s="239" t="s">
        <v>2881</v>
      </c>
      <c r="E1374" s="239" t="s">
        <v>382</v>
      </c>
      <c r="F1374" s="239" t="s">
        <v>383</v>
      </c>
      <c r="G1374" s="239" t="s">
        <v>957</v>
      </c>
      <c r="H1374" s="239" t="s">
        <v>51</v>
      </c>
      <c r="I1374" s="239" t="s">
        <v>2882</v>
      </c>
      <c r="J1374" s="233"/>
      <c r="K1374" s="235">
        <v>45964</v>
      </c>
      <c r="L1374" s="233">
        <v>1.6</v>
      </c>
      <c r="M1374" s="234" t="s">
        <v>957</v>
      </c>
      <c r="N1374" s="234">
        <v>40580</v>
      </c>
      <c r="O1374" s="234">
        <v>14920</v>
      </c>
      <c r="P1374" s="242">
        <v>13</v>
      </c>
      <c r="Q1374" s="234">
        <v>25660</v>
      </c>
      <c r="R1374" s="234">
        <v>22324.2</v>
      </c>
      <c r="S1374" s="234" t="s">
        <v>3652</v>
      </c>
      <c r="T1374" s="236">
        <v>45964</v>
      </c>
    </row>
    <row r="1375" spans="1:20" ht="38.25" hidden="1">
      <c r="A1375" s="239" t="s">
        <v>3586</v>
      </c>
      <c r="B1375" s="240">
        <v>2905</v>
      </c>
      <c r="C1375" s="241">
        <v>292</v>
      </c>
      <c r="D1375" s="239" t="s">
        <v>2881</v>
      </c>
      <c r="E1375" s="239" t="s">
        <v>388</v>
      </c>
      <c r="F1375" s="239" t="s">
        <v>389</v>
      </c>
      <c r="G1375" s="239" t="s">
        <v>957</v>
      </c>
      <c r="H1375" s="239" t="s">
        <v>51</v>
      </c>
      <c r="I1375" s="239" t="s">
        <v>2882</v>
      </c>
      <c r="J1375" s="233"/>
      <c r="K1375" s="235">
        <v>45964</v>
      </c>
      <c r="L1375" s="233">
        <v>2.7</v>
      </c>
      <c r="M1375" s="234" t="s">
        <v>957</v>
      </c>
      <c r="N1375" s="234">
        <v>65330</v>
      </c>
      <c r="O1375" s="234">
        <v>21320</v>
      </c>
      <c r="P1375" s="242">
        <v>4</v>
      </c>
      <c r="Q1375" s="234">
        <v>44010</v>
      </c>
      <c r="R1375" s="234">
        <v>42249.599999999999</v>
      </c>
      <c r="S1375" s="234" t="s">
        <v>3656</v>
      </c>
      <c r="T1375" s="236">
        <v>45964</v>
      </c>
    </row>
    <row r="1376" spans="1:20" ht="25.5" hidden="1">
      <c r="A1376" s="239" t="s">
        <v>3583</v>
      </c>
      <c r="B1376" s="240">
        <v>2904</v>
      </c>
      <c r="C1376" s="241">
        <v>295</v>
      </c>
      <c r="D1376" s="239" t="s">
        <v>2881</v>
      </c>
      <c r="E1376" s="239" t="s">
        <v>429</v>
      </c>
      <c r="F1376" s="239" t="s">
        <v>430</v>
      </c>
      <c r="G1376" s="239" t="s">
        <v>957</v>
      </c>
      <c r="H1376" s="239" t="s">
        <v>51</v>
      </c>
      <c r="I1376" s="239" t="s">
        <v>2882</v>
      </c>
      <c r="J1376" s="233"/>
      <c r="K1376" s="235">
        <v>45964</v>
      </c>
      <c r="L1376" s="233">
        <v>1.9</v>
      </c>
      <c r="M1376" s="234" t="s">
        <v>957</v>
      </c>
      <c r="N1376" s="234">
        <v>45150</v>
      </c>
      <c r="O1376" s="234">
        <v>14660</v>
      </c>
      <c r="P1376" s="242">
        <v>13</v>
      </c>
      <c r="Q1376" s="234">
        <v>30490</v>
      </c>
      <c r="R1376" s="234">
        <v>26526.3</v>
      </c>
      <c r="S1376" s="234" t="s">
        <v>3653</v>
      </c>
      <c r="T1376" s="236">
        <v>45964</v>
      </c>
    </row>
    <row r="1377" spans="1:20" ht="51" hidden="1">
      <c r="A1377" s="239" t="s">
        <v>3588</v>
      </c>
      <c r="B1377" s="240">
        <v>2907</v>
      </c>
      <c r="C1377" s="241">
        <v>296</v>
      </c>
      <c r="D1377" s="239" t="s">
        <v>2881</v>
      </c>
      <c r="E1377" s="239" t="s">
        <v>1410</v>
      </c>
      <c r="F1377" s="239" t="s">
        <v>437</v>
      </c>
      <c r="G1377" s="239" t="s">
        <v>957</v>
      </c>
      <c r="H1377" s="239" t="s">
        <v>51</v>
      </c>
      <c r="I1377" s="239" t="s">
        <v>2882</v>
      </c>
      <c r="J1377" s="233"/>
      <c r="K1377" s="235">
        <v>45964</v>
      </c>
      <c r="L1377" s="233">
        <v>1.8</v>
      </c>
      <c r="M1377" s="234" t="s">
        <v>957</v>
      </c>
      <c r="N1377" s="234">
        <v>43790</v>
      </c>
      <c r="O1377" s="234">
        <v>15130</v>
      </c>
      <c r="P1377" s="242">
        <v>6</v>
      </c>
      <c r="Q1377" s="234">
        <v>28660</v>
      </c>
      <c r="R1377" s="234">
        <v>26940.400000000001</v>
      </c>
      <c r="S1377" s="234" t="s">
        <v>3658</v>
      </c>
      <c r="T1377" s="236">
        <v>45964</v>
      </c>
    </row>
    <row r="1378" spans="1:20" ht="25.5" hidden="1">
      <c r="A1378" s="239" t="s">
        <v>3590</v>
      </c>
      <c r="B1378" s="240">
        <v>2908</v>
      </c>
      <c r="C1378" s="241">
        <v>298</v>
      </c>
      <c r="D1378" s="239" t="s">
        <v>2881</v>
      </c>
      <c r="E1378" s="239" t="s">
        <v>783</v>
      </c>
      <c r="F1378" s="239" t="s">
        <v>784</v>
      </c>
      <c r="G1378" s="239" t="s">
        <v>957</v>
      </c>
      <c r="H1378" s="239" t="s">
        <v>51</v>
      </c>
      <c r="I1378" s="239" t="s">
        <v>2882</v>
      </c>
      <c r="J1378" s="233"/>
      <c r="K1378" s="235">
        <v>45964</v>
      </c>
      <c r="L1378" s="233">
        <v>1.5</v>
      </c>
      <c r="M1378" s="234" t="s">
        <v>957</v>
      </c>
      <c r="N1378" s="234">
        <v>39290</v>
      </c>
      <c r="O1378" s="234">
        <v>14810</v>
      </c>
      <c r="P1378" s="242">
        <v>6</v>
      </c>
      <c r="Q1378" s="234">
        <v>24480</v>
      </c>
      <c r="R1378" s="234">
        <v>23011.200000000001</v>
      </c>
      <c r="S1378" s="234" t="s">
        <v>3660</v>
      </c>
      <c r="T1378" s="236">
        <v>45964</v>
      </c>
    </row>
    <row r="1379" spans="1:20" ht="38.25" hidden="1">
      <c r="A1379" s="239" t="s">
        <v>3591</v>
      </c>
      <c r="B1379" s="240">
        <v>2909</v>
      </c>
      <c r="C1379" s="241">
        <v>297</v>
      </c>
      <c r="D1379" s="239" t="s">
        <v>2881</v>
      </c>
      <c r="E1379" s="239" t="s">
        <v>841</v>
      </c>
      <c r="F1379" s="239" t="s">
        <v>845</v>
      </c>
      <c r="G1379" s="239" t="s">
        <v>957</v>
      </c>
      <c r="H1379" s="239" t="s">
        <v>51</v>
      </c>
      <c r="I1379" s="239" t="s">
        <v>2882</v>
      </c>
      <c r="J1379" s="233"/>
      <c r="K1379" s="235">
        <v>45964</v>
      </c>
      <c r="L1379" s="233">
        <v>1.7</v>
      </c>
      <c r="M1379" s="234" t="s">
        <v>957</v>
      </c>
      <c r="N1379" s="234">
        <v>43960</v>
      </c>
      <c r="O1379" s="234">
        <v>15890</v>
      </c>
      <c r="P1379" s="242">
        <v>11</v>
      </c>
      <c r="Q1379" s="234">
        <v>28070</v>
      </c>
      <c r="R1379" s="234">
        <v>24982.3</v>
      </c>
      <c r="S1379" s="234" t="s">
        <v>3661</v>
      </c>
      <c r="T1379" s="236">
        <v>45964</v>
      </c>
    </row>
    <row r="1380" spans="1:20" ht="38.25" hidden="1">
      <c r="A1380" s="239" t="s">
        <v>3593</v>
      </c>
      <c r="B1380" s="240">
        <v>2910</v>
      </c>
      <c r="C1380" s="241">
        <v>299</v>
      </c>
      <c r="D1380" s="239" t="s">
        <v>2881</v>
      </c>
      <c r="E1380" s="239" t="s">
        <v>442</v>
      </c>
      <c r="F1380" s="239" t="s">
        <v>443</v>
      </c>
      <c r="G1380" s="239" t="s">
        <v>957</v>
      </c>
      <c r="H1380" s="239" t="s">
        <v>51</v>
      </c>
      <c r="I1380" s="239" t="s">
        <v>2882</v>
      </c>
      <c r="J1380" s="233"/>
      <c r="K1380" s="235">
        <v>45964</v>
      </c>
      <c r="L1380" s="233">
        <v>1.3</v>
      </c>
      <c r="M1380" s="234" t="s">
        <v>957</v>
      </c>
      <c r="N1380" s="234">
        <v>36130</v>
      </c>
      <c r="O1380" s="234">
        <v>14640</v>
      </c>
      <c r="P1380" s="242">
        <v>14</v>
      </c>
      <c r="Q1380" s="234">
        <v>21490</v>
      </c>
      <c r="R1380" s="234">
        <v>18481.400000000001</v>
      </c>
      <c r="S1380" s="234" t="s">
        <v>3663</v>
      </c>
      <c r="T1380" s="236">
        <v>45964</v>
      </c>
    </row>
    <row r="1381" spans="1:20" ht="51" hidden="1">
      <c r="A1381" s="239" t="s">
        <v>3596</v>
      </c>
      <c r="B1381" s="240">
        <v>2911</v>
      </c>
      <c r="C1381" s="241">
        <v>301</v>
      </c>
      <c r="D1381" s="239" t="s">
        <v>2881</v>
      </c>
      <c r="E1381" s="239" t="s">
        <v>380</v>
      </c>
      <c r="F1381" s="239" t="s">
        <v>381</v>
      </c>
      <c r="G1381" s="239" t="s">
        <v>957</v>
      </c>
      <c r="H1381" s="239" t="s">
        <v>51</v>
      </c>
      <c r="I1381" s="239" t="s">
        <v>2882</v>
      </c>
      <c r="J1381" s="233"/>
      <c r="K1381" s="235">
        <v>45964</v>
      </c>
      <c r="L1381" s="233">
        <v>1.6</v>
      </c>
      <c r="M1381" s="234" t="s">
        <v>957</v>
      </c>
      <c r="N1381" s="234">
        <v>41260</v>
      </c>
      <c r="O1381" s="234">
        <v>15220</v>
      </c>
      <c r="P1381" s="242">
        <v>9</v>
      </c>
      <c r="Q1381" s="234">
        <v>26040</v>
      </c>
      <c r="R1381" s="234">
        <v>23696.400000000001</v>
      </c>
      <c r="S1381" s="234" t="s">
        <v>3666</v>
      </c>
      <c r="T1381" s="236">
        <v>45965</v>
      </c>
    </row>
    <row r="1382" spans="1:20" ht="38.25" hidden="1">
      <c r="A1382" s="239" t="s">
        <v>3597</v>
      </c>
      <c r="B1382" s="240">
        <v>2913</v>
      </c>
      <c r="C1382" s="241">
        <v>302</v>
      </c>
      <c r="D1382" s="239" t="s">
        <v>2881</v>
      </c>
      <c r="E1382" s="239" t="s">
        <v>786</v>
      </c>
      <c r="F1382" s="239" t="s">
        <v>787</v>
      </c>
      <c r="G1382" s="239" t="s">
        <v>957</v>
      </c>
      <c r="H1382" s="239" t="s">
        <v>51</v>
      </c>
      <c r="I1382" s="239" t="s">
        <v>2882</v>
      </c>
      <c r="J1382" s="233"/>
      <c r="K1382" s="235">
        <v>45964</v>
      </c>
      <c r="L1382" s="233">
        <v>1.4</v>
      </c>
      <c r="M1382" s="234" t="s">
        <v>957</v>
      </c>
      <c r="N1382" s="234">
        <v>36730</v>
      </c>
      <c r="O1382" s="234">
        <v>13980</v>
      </c>
      <c r="P1382" s="242">
        <v>17</v>
      </c>
      <c r="Q1382" s="234">
        <v>22750</v>
      </c>
      <c r="R1382" s="234">
        <v>18882.5</v>
      </c>
      <c r="S1382" s="234" t="s">
        <v>3667</v>
      </c>
      <c r="T1382" s="236">
        <v>45965</v>
      </c>
    </row>
    <row r="1383" spans="1:20" ht="38.25" hidden="1">
      <c r="A1383" s="239" t="s">
        <v>3599</v>
      </c>
      <c r="B1383" s="240">
        <v>2914</v>
      </c>
      <c r="C1383" s="241">
        <v>303</v>
      </c>
      <c r="D1383" s="239" t="s">
        <v>2881</v>
      </c>
      <c r="E1383" s="239" t="s">
        <v>416</v>
      </c>
      <c r="F1383" s="239" t="s">
        <v>417</v>
      </c>
      <c r="G1383" s="239" t="s">
        <v>957</v>
      </c>
      <c r="H1383" s="239" t="s">
        <v>51</v>
      </c>
      <c r="I1383" s="239" t="s">
        <v>2882</v>
      </c>
      <c r="J1383" s="233"/>
      <c r="K1383" s="235">
        <v>45964</v>
      </c>
      <c r="L1383" s="233">
        <v>1.5</v>
      </c>
      <c r="M1383" s="234" t="s">
        <v>957</v>
      </c>
      <c r="N1383" s="234">
        <v>39450</v>
      </c>
      <c r="O1383" s="234">
        <v>14860</v>
      </c>
      <c r="P1383" s="242">
        <v>6</v>
      </c>
      <c r="Q1383" s="234">
        <v>24590</v>
      </c>
      <c r="R1383" s="234">
        <v>23114.6</v>
      </c>
      <c r="S1383" s="234" t="s">
        <v>3669</v>
      </c>
      <c r="T1383" s="236">
        <v>45965</v>
      </c>
    </row>
    <row r="1384" spans="1:20" ht="38.25" hidden="1">
      <c r="A1384" s="239" t="s">
        <v>3601</v>
      </c>
      <c r="B1384" s="240">
        <v>2915</v>
      </c>
      <c r="C1384" s="241">
        <v>300</v>
      </c>
      <c r="D1384" s="239" t="s">
        <v>2881</v>
      </c>
      <c r="E1384" s="239" t="s">
        <v>453</v>
      </c>
      <c r="F1384" s="239" t="s">
        <v>454</v>
      </c>
      <c r="G1384" s="239" t="s">
        <v>957</v>
      </c>
      <c r="H1384" s="239" t="s">
        <v>51</v>
      </c>
      <c r="I1384" s="239" t="s">
        <v>2882</v>
      </c>
      <c r="J1384" s="233"/>
      <c r="K1384" s="235">
        <v>45965</v>
      </c>
      <c r="L1384" s="233">
        <v>1.8</v>
      </c>
      <c r="M1384" s="234" t="s">
        <v>957</v>
      </c>
      <c r="N1384" s="234">
        <v>68020</v>
      </c>
      <c r="O1384" s="234">
        <v>24790</v>
      </c>
      <c r="P1384" s="242">
        <v>10</v>
      </c>
      <c r="Q1384" s="234">
        <v>43230</v>
      </c>
      <c r="R1384" s="234">
        <v>38907</v>
      </c>
      <c r="S1384" s="234" t="s">
        <v>3671</v>
      </c>
      <c r="T1384" s="236">
        <v>45965</v>
      </c>
    </row>
    <row r="1385" spans="1:20" ht="38.25" hidden="1">
      <c r="A1385" s="239" t="s">
        <v>3602</v>
      </c>
      <c r="B1385" s="240">
        <v>2916</v>
      </c>
      <c r="C1385" s="241">
        <v>304</v>
      </c>
      <c r="D1385" s="239" t="s">
        <v>2881</v>
      </c>
      <c r="E1385" s="239" t="s">
        <v>420</v>
      </c>
      <c r="F1385" s="239" t="s">
        <v>421</v>
      </c>
      <c r="G1385" s="239" t="s">
        <v>957</v>
      </c>
      <c r="H1385" s="239" t="s">
        <v>51</v>
      </c>
      <c r="I1385" s="239" t="s">
        <v>2882</v>
      </c>
      <c r="J1385" s="233"/>
      <c r="K1385" s="235">
        <v>45965</v>
      </c>
      <c r="L1385" s="233">
        <v>1.3</v>
      </c>
      <c r="M1385" s="234" t="s">
        <v>957</v>
      </c>
      <c r="N1385" s="234">
        <v>39940</v>
      </c>
      <c r="O1385" s="234">
        <v>15110</v>
      </c>
      <c r="P1385" s="242">
        <v>13</v>
      </c>
      <c r="Q1385" s="234">
        <v>24830</v>
      </c>
      <c r="R1385" s="234">
        <v>21602.1</v>
      </c>
      <c r="S1385" s="234" t="s">
        <v>3672</v>
      </c>
      <c r="T1385" s="236">
        <v>45965</v>
      </c>
    </row>
    <row r="1386" spans="1:20" ht="25.5" hidden="1">
      <c r="A1386" s="239" t="s">
        <v>3604</v>
      </c>
      <c r="B1386" s="240">
        <v>2917</v>
      </c>
      <c r="C1386" s="241">
        <v>306</v>
      </c>
      <c r="D1386" s="239" t="s">
        <v>2881</v>
      </c>
      <c r="E1386" s="239" t="s">
        <v>794</v>
      </c>
      <c r="F1386" s="239" t="s">
        <v>795</v>
      </c>
      <c r="G1386" s="239" t="s">
        <v>957</v>
      </c>
      <c r="H1386" s="239" t="s">
        <v>51</v>
      </c>
      <c r="I1386" s="239" t="s">
        <v>2882</v>
      </c>
      <c r="J1386" s="233"/>
      <c r="K1386" s="235">
        <v>45965</v>
      </c>
      <c r="L1386" s="233">
        <v>1.3</v>
      </c>
      <c r="M1386" s="234" t="s">
        <v>957</v>
      </c>
      <c r="N1386" s="234">
        <v>43260</v>
      </c>
      <c r="O1386" s="234">
        <v>16300</v>
      </c>
      <c r="P1386" s="242">
        <v>8</v>
      </c>
      <c r="Q1386" s="234">
        <v>26960</v>
      </c>
      <c r="R1386" s="234">
        <v>24803.200000000001</v>
      </c>
      <c r="S1386" s="234" t="s">
        <v>3674</v>
      </c>
      <c r="T1386" s="236">
        <v>45965</v>
      </c>
    </row>
    <row r="1387" spans="1:20" ht="38.25" hidden="1">
      <c r="A1387" s="239" t="s">
        <v>3605</v>
      </c>
      <c r="B1387" s="240">
        <v>2918</v>
      </c>
      <c r="C1387" s="241">
        <v>307</v>
      </c>
      <c r="D1387" s="239" t="s">
        <v>2881</v>
      </c>
      <c r="E1387" s="239" t="s">
        <v>866</v>
      </c>
      <c r="F1387" s="239" t="s">
        <v>867</v>
      </c>
      <c r="G1387" s="239" t="s">
        <v>957</v>
      </c>
      <c r="H1387" s="239" t="s">
        <v>51</v>
      </c>
      <c r="I1387" s="239" t="s">
        <v>2882</v>
      </c>
      <c r="J1387" s="233"/>
      <c r="K1387" s="235">
        <v>45965</v>
      </c>
      <c r="L1387" s="233">
        <v>1.3</v>
      </c>
      <c r="M1387" s="234" t="s">
        <v>957</v>
      </c>
      <c r="N1387" s="234">
        <v>39590</v>
      </c>
      <c r="O1387" s="234">
        <v>14580</v>
      </c>
      <c r="P1387" s="242">
        <v>14</v>
      </c>
      <c r="Q1387" s="234">
        <v>25010</v>
      </c>
      <c r="R1387" s="234">
        <v>21508.6</v>
      </c>
      <c r="S1387" s="234" t="s">
        <v>3675</v>
      </c>
      <c r="T1387" s="236">
        <v>45965</v>
      </c>
    </row>
    <row r="1388" spans="1:20" ht="51" hidden="1">
      <c r="A1388" s="239" t="s">
        <v>3606</v>
      </c>
      <c r="B1388" s="240">
        <v>2919</v>
      </c>
      <c r="C1388" s="241">
        <v>308</v>
      </c>
      <c r="D1388" s="239" t="s">
        <v>2881</v>
      </c>
      <c r="E1388" s="239" t="s">
        <v>369</v>
      </c>
      <c r="F1388" s="239" t="s">
        <v>370</v>
      </c>
      <c r="G1388" s="239" t="s">
        <v>957</v>
      </c>
      <c r="H1388" s="239" t="s">
        <v>51</v>
      </c>
      <c r="I1388" s="239" t="s">
        <v>2882</v>
      </c>
      <c r="J1388" s="233"/>
      <c r="K1388" s="235">
        <v>45965</v>
      </c>
      <c r="L1388" s="233">
        <v>1.2</v>
      </c>
      <c r="M1388" s="234" t="s">
        <v>957</v>
      </c>
      <c r="N1388" s="234">
        <v>40280</v>
      </c>
      <c r="O1388" s="234">
        <v>15270</v>
      </c>
      <c r="P1388" s="242">
        <v>10</v>
      </c>
      <c r="Q1388" s="234">
        <v>25010</v>
      </c>
      <c r="R1388" s="234">
        <v>22509</v>
      </c>
      <c r="S1388" s="234" t="s">
        <v>3676</v>
      </c>
      <c r="T1388" s="236">
        <v>45965</v>
      </c>
    </row>
    <row r="1389" spans="1:20" ht="38.25" hidden="1">
      <c r="A1389" s="239" t="s">
        <v>3594</v>
      </c>
      <c r="B1389" s="240">
        <v>2921</v>
      </c>
      <c r="C1389" s="241">
        <v>305</v>
      </c>
      <c r="D1389" s="239" t="s">
        <v>2881</v>
      </c>
      <c r="E1389" s="239" t="s">
        <v>447</v>
      </c>
      <c r="F1389" s="239" t="s">
        <v>448</v>
      </c>
      <c r="G1389" s="239" t="s">
        <v>957</v>
      </c>
      <c r="H1389" s="239" t="s">
        <v>51</v>
      </c>
      <c r="I1389" s="239" t="s">
        <v>2882</v>
      </c>
      <c r="J1389" s="233"/>
      <c r="K1389" s="235">
        <v>45964</v>
      </c>
      <c r="L1389" s="233">
        <v>2.2999999999999998</v>
      </c>
      <c r="M1389" s="234" t="s">
        <v>957</v>
      </c>
      <c r="N1389" s="234">
        <v>54770</v>
      </c>
      <c r="O1389" s="234">
        <v>19680</v>
      </c>
      <c r="P1389" s="242">
        <v>17</v>
      </c>
      <c r="Q1389" s="234">
        <v>35090</v>
      </c>
      <c r="R1389" s="234">
        <v>29124.7</v>
      </c>
      <c r="S1389" s="234" t="s">
        <v>3664</v>
      </c>
      <c r="T1389" s="236">
        <v>45965</v>
      </c>
    </row>
    <row r="1390" spans="1:20" ht="25.5" hidden="1">
      <c r="A1390" s="239" t="s">
        <v>3595</v>
      </c>
      <c r="B1390" s="240">
        <v>2922</v>
      </c>
      <c r="C1390" s="241">
        <v>309</v>
      </c>
      <c r="D1390" s="239" t="s">
        <v>2881</v>
      </c>
      <c r="E1390" s="239" t="s">
        <v>791</v>
      </c>
      <c r="F1390" s="239" t="s">
        <v>792</v>
      </c>
      <c r="G1390" s="239" t="s">
        <v>957</v>
      </c>
      <c r="H1390" s="239" t="s">
        <v>51</v>
      </c>
      <c r="I1390" s="239" t="s">
        <v>2882</v>
      </c>
      <c r="J1390" s="233"/>
      <c r="K1390" s="235">
        <v>45964</v>
      </c>
      <c r="L1390" s="233">
        <v>1.7</v>
      </c>
      <c r="M1390" s="234" t="s">
        <v>957</v>
      </c>
      <c r="N1390" s="234">
        <v>41000</v>
      </c>
      <c r="O1390" s="234">
        <v>15130</v>
      </c>
      <c r="P1390" s="242">
        <v>4</v>
      </c>
      <c r="Q1390" s="234">
        <v>25870</v>
      </c>
      <c r="R1390" s="234">
        <v>24835.200000000001</v>
      </c>
      <c r="S1390" s="234" t="s">
        <v>3665</v>
      </c>
      <c r="T1390" s="236">
        <v>45965</v>
      </c>
    </row>
    <row r="1391" spans="1:20" ht="38.25" hidden="1">
      <c r="A1391" s="239" t="s">
        <v>3598</v>
      </c>
      <c r="B1391" s="240">
        <v>2923</v>
      </c>
      <c r="C1391" s="241">
        <v>311</v>
      </c>
      <c r="D1391" s="239" t="s">
        <v>2881</v>
      </c>
      <c r="E1391" s="239" t="s">
        <v>400</v>
      </c>
      <c r="F1391" s="239" t="s">
        <v>401</v>
      </c>
      <c r="G1391" s="239" t="s">
        <v>957</v>
      </c>
      <c r="H1391" s="239" t="s">
        <v>51</v>
      </c>
      <c r="I1391" s="239" t="s">
        <v>2882</v>
      </c>
      <c r="J1391" s="233"/>
      <c r="K1391" s="235">
        <v>45964</v>
      </c>
      <c r="L1391" s="233">
        <v>1.7</v>
      </c>
      <c r="M1391" s="234" t="s">
        <v>957</v>
      </c>
      <c r="N1391" s="234">
        <v>40350</v>
      </c>
      <c r="O1391" s="234">
        <v>14940</v>
      </c>
      <c r="P1391" s="242">
        <v>11</v>
      </c>
      <c r="Q1391" s="234">
        <v>25410</v>
      </c>
      <c r="R1391" s="234">
        <v>22614.9</v>
      </c>
      <c r="S1391" s="234" t="s">
        <v>3668</v>
      </c>
      <c r="T1391" s="236">
        <v>45965</v>
      </c>
    </row>
    <row r="1392" spans="1:20" ht="25.5" hidden="1">
      <c r="A1392" s="239" t="s">
        <v>3600</v>
      </c>
      <c r="B1392" s="240">
        <v>2924</v>
      </c>
      <c r="C1392" s="241">
        <v>310</v>
      </c>
      <c r="D1392" s="239" t="s">
        <v>2881</v>
      </c>
      <c r="E1392" s="239" t="s">
        <v>2793</v>
      </c>
      <c r="F1392" s="239" t="s">
        <v>2794</v>
      </c>
      <c r="G1392" s="239" t="s">
        <v>957</v>
      </c>
      <c r="H1392" s="239" t="s">
        <v>51</v>
      </c>
      <c r="I1392" s="239" t="s">
        <v>2882</v>
      </c>
      <c r="J1392" s="233"/>
      <c r="K1392" s="235">
        <v>45965</v>
      </c>
      <c r="L1392" s="233">
        <v>1.5</v>
      </c>
      <c r="M1392" s="234" t="s">
        <v>957</v>
      </c>
      <c r="N1392" s="234">
        <v>48070</v>
      </c>
      <c r="O1392" s="234">
        <v>17560</v>
      </c>
      <c r="P1392" s="242">
        <v>16</v>
      </c>
      <c r="Q1392" s="234">
        <v>30510</v>
      </c>
      <c r="R1392" s="234">
        <v>25628.400000000001</v>
      </c>
      <c r="S1392" s="234" t="s">
        <v>3670</v>
      </c>
      <c r="T1392" s="236">
        <v>45965</v>
      </c>
    </row>
    <row r="1393" spans="1:20" ht="38.25" hidden="1">
      <c r="A1393" s="239" t="s">
        <v>3603</v>
      </c>
      <c r="B1393" s="240">
        <v>2926</v>
      </c>
      <c r="C1393" s="241">
        <v>312</v>
      </c>
      <c r="D1393" s="239" t="s">
        <v>2881</v>
      </c>
      <c r="E1393" s="239" t="s">
        <v>372</v>
      </c>
      <c r="F1393" s="239" t="s">
        <v>373</v>
      </c>
      <c r="G1393" s="239" t="s">
        <v>957</v>
      </c>
      <c r="H1393" s="239" t="s">
        <v>51</v>
      </c>
      <c r="I1393" s="239" t="s">
        <v>2882</v>
      </c>
      <c r="J1393" s="233"/>
      <c r="K1393" s="235">
        <v>45965</v>
      </c>
      <c r="L1393" s="233">
        <v>1.3</v>
      </c>
      <c r="M1393" s="234" t="s">
        <v>957</v>
      </c>
      <c r="N1393" s="234">
        <v>41640</v>
      </c>
      <c r="O1393" s="234">
        <v>15140</v>
      </c>
      <c r="P1393" s="242">
        <v>11</v>
      </c>
      <c r="Q1393" s="234">
        <v>26500</v>
      </c>
      <c r="R1393" s="234">
        <v>23585</v>
      </c>
      <c r="S1393" s="234" t="s">
        <v>3673</v>
      </c>
      <c r="T1393" s="236">
        <v>45965</v>
      </c>
    </row>
    <row r="1394" spans="1:20" ht="38.25" hidden="1">
      <c r="A1394" s="239" t="s">
        <v>3736</v>
      </c>
      <c r="B1394" s="240">
        <v>2928</v>
      </c>
      <c r="C1394" s="241">
        <v>313</v>
      </c>
      <c r="D1394" s="239" t="s">
        <v>2881</v>
      </c>
      <c r="E1394" s="239" t="s">
        <v>1397</v>
      </c>
      <c r="F1394" s="239" t="s">
        <v>1398</v>
      </c>
      <c r="G1394" s="239" t="s">
        <v>957</v>
      </c>
      <c r="H1394" s="239" t="s">
        <v>51</v>
      </c>
      <c r="I1394" s="239" t="s">
        <v>2882</v>
      </c>
      <c r="J1394" s="233"/>
      <c r="K1394" s="235">
        <v>45965</v>
      </c>
      <c r="L1394" s="233">
        <v>1.4</v>
      </c>
      <c r="M1394" s="234" t="s">
        <v>957</v>
      </c>
      <c r="N1394" s="234">
        <v>46470</v>
      </c>
      <c r="O1394" s="234">
        <v>16990</v>
      </c>
      <c r="P1394" s="242">
        <v>8</v>
      </c>
      <c r="Q1394" s="234">
        <v>29480</v>
      </c>
      <c r="R1394" s="234">
        <v>27121.599999999999</v>
      </c>
      <c r="S1394" s="234" t="s">
        <v>3738</v>
      </c>
      <c r="T1394" s="236">
        <v>45965</v>
      </c>
    </row>
    <row r="1395" spans="1:20" ht="38.25" hidden="1">
      <c r="A1395" s="239" t="s">
        <v>3735</v>
      </c>
      <c r="B1395" s="240">
        <v>2927</v>
      </c>
      <c r="C1395" s="241">
        <v>314</v>
      </c>
      <c r="D1395" s="239" t="s">
        <v>2881</v>
      </c>
      <c r="E1395" s="239" t="s">
        <v>1403</v>
      </c>
      <c r="F1395" s="239" t="s">
        <v>1404</v>
      </c>
      <c r="G1395" s="239" t="s">
        <v>957</v>
      </c>
      <c r="H1395" s="239" t="s">
        <v>51</v>
      </c>
      <c r="I1395" s="239" t="s">
        <v>2882</v>
      </c>
      <c r="J1395" s="233"/>
      <c r="K1395" s="235">
        <v>45965</v>
      </c>
      <c r="L1395" s="233">
        <v>1.3</v>
      </c>
      <c r="M1395" s="234" t="s">
        <v>957</v>
      </c>
      <c r="N1395" s="234">
        <v>40160</v>
      </c>
      <c r="O1395" s="234">
        <v>14810</v>
      </c>
      <c r="P1395" s="242">
        <v>4</v>
      </c>
      <c r="Q1395" s="234">
        <v>25350</v>
      </c>
      <c r="R1395" s="234">
        <v>24336</v>
      </c>
      <c r="S1395" s="234" t="s">
        <v>3737</v>
      </c>
      <c r="T1395" s="236">
        <v>45965</v>
      </c>
    </row>
    <row r="1396" spans="1:20" ht="38.25" hidden="1">
      <c r="A1396" s="239" t="s">
        <v>3820</v>
      </c>
      <c r="B1396" s="240">
        <v>2929</v>
      </c>
      <c r="C1396" s="241">
        <v>8319</v>
      </c>
      <c r="D1396" s="239" t="s">
        <v>2511</v>
      </c>
      <c r="E1396" s="239" t="s">
        <v>377</v>
      </c>
      <c r="F1396" s="239" t="s">
        <v>378</v>
      </c>
      <c r="G1396" s="239" t="s">
        <v>934</v>
      </c>
      <c r="H1396" s="239" t="s">
        <v>42</v>
      </c>
      <c r="I1396" s="239" t="s">
        <v>2512</v>
      </c>
      <c r="J1396" s="233"/>
      <c r="K1396" s="235">
        <v>45965</v>
      </c>
      <c r="L1396" s="233">
        <v>1.8</v>
      </c>
      <c r="M1396" s="234" t="s">
        <v>934</v>
      </c>
      <c r="N1396" s="234">
        <v>43270</v>
      </c>
      <c r="O1396" s="234">
        <v>15200</v>
      </c>
      <c r="P1396" s="242">
        <v>22</v>
      </c>
      <c r="Q1396" s="234">
        <v>28070</v>
      </c>
      <c r="R1396" s="234">
        <v>21894.6</v>
      </c>
      <c r="S1396" s="234" t="s">
        <v>3679</v>
      </c>
      <c r="T1396" s="236">
        <v>45966</v>
      </c>
    </row>
    <row r="1397" spans="1:20" ht="43.5" hidden="1" customHeight="1">
      <c r="A1397" s="239" t="s">
        <v>3821</v>
      </c>
      <c r="B1397" s="240">
        <v>2930</v>
      </c>
      <c r="C1397" s="241">
        <v>8320</v>
      </c>
      <c r="D1397" s="239" t="s">
        <v>2511</v>
      </c>
      <c r="E1397" s="239" t="s">
        <v>413</v>
      </c>
      <c r="F1397" s="239" t="s">
        <v>414</v>
      </c>
      <c r="G1397" s="239" t="s">
        <v>934</v>
      </c>
      <c r="H1397" s="239" t="s">
        <v>42</v>
      </c>
      <c r="I1397" s="239" t="s">
        <v>2512</v>
      </c>
      <c r="J1397" s="233"/>
      <c r="K1397" s="235">
        <v>45965</v>
      </c>
      <c r="L1397" s="233">
        <v>1.9</v>
      </c>
      <c r="M1397" s="234" t="s">
        <v>934</v>
      </c>
      <c r="N1397" s="234">
        <v>45580</v>
      </c>
      <c r="O1397" s="234">
        <v>15080</v>
      </c>
      <c r="P1397" s="242">
        <v>14</v>
      </c>
      <c r="Q1397" s="234">
        <v>30500</v>
      </c>
      <c r="R1397" s="234">
        <v>26230</v>
      </c>
      <c r="S1397" s="234" t="s">
        <v>3680</v>
      </c>
      <c r="T1397" s="236">
        <v>45966</v>
      </c>
    </row>
    <row r="1398" spans="1:20" ht="43.5" hidden="1" customHeight="1">
      <c r="A1398" s="239" t="s">
        <v>3684</v>
      </c>
      <c r="B1398" s="240">
        <v>2931</v>
      </c>
      <c r="C1398" s="241">
        <v>8322</v>
      </c>
      <c r="D1398" s="239" t="s">
        <v>2511</v>
      </c>
      <c r="E1398" s="239" t="s">
        <v>384</v>
      </c>
      <c r="F1398" s="239" t="s">
        <v>385</v>
      </c>
      <c r="G1398" s="239" t="s">
        <v>934</v>
      </c>
      <c r="H1398" s="239" t="s">
        <v>42</v>
      </c>
      <c r="I1398" s="239" t="s">
        <v>2512</v>
      </c>
      <c r="J1398" s="233"/>
      <c r="K1398" s="235">
        <v>45965</v>
      </c>
      <c r="L1398" s="233">
        <v>1.5</v>
      </c>
      <c r="M1398" s="234" t="s">
        <v>934</v>
      </c>
      <c r="N1398" s="234">
        <v>37080</v>
      </c>
      <c r="O1398" s="234">
        <v>13930</v>
      </c>
      <c r="P1398" s="242">
        <v>20</v>
      </c>
      <c r="Q1398" s="234">
        <v>23150</v>
      </c>
      <c r="R1398" s="234">
        <v>18520</v>
      </c>
      <c r="S1398" s="234" t="s">
        <v>3696</v>
      </c>
      <c r="T1398" s="236">
        <v>45966</v>
      </c>
    </row>
    <row r="1399" spans="1:20" ht="43.5" hidden="1" customHeight="1">
      <c r="A1399" s="239" t="s">
        <v>3685</v>
      </c>
      <c r="B1399" s="240">
        <v>2933</v>
      </c>
      <c r="C1399" s="241">
        <v>8323</v>
      </c>
      <c r="D1399" s="239" t="s">
        <v>2511</v>
      </c>
      <c r="E1399" s="239" t="s">
        <v>432</v>
      </c>
      <c r="F1399" s="239" t="s">
        <v>433</v>
      </c>
      <c r="G1399" s="239" t="s">
        <v>934</v>
      </c>
      <c r="H1399" s="239" t="s">
        <v>42</v>
      </c>
      <c r="I1399" s="239" t="s">
        <v>2512</v>
      </c>
      <c r="J1399" s="233"/>
      <c r="K1399" s="235">
        <v>45965</v>
      </c>
      <c r="L1399" s="233">
        <v>1.9</v>
      </c>
      <c r="M1399" s="234" t="s">
        <v>934</v>
      </c>
      <c r="N1399" s="234">
        <v>46390</v>
      </c>
      <c r="O1399" s="234">
        <v>15780</v>
      </c>
      <c r="P1399" s="242">
        <v>7</v>
      </c>
      <c r="Q1399" s="234">
        <v>30610</v>
      </c>
      <c r="R1399" s="234">
        <v>28467.3</v>
      </c>
      <c r="S1399" s="234" t="s">
        <v>3697</v>
      </c>
      <c r="T1399" s="236">
        <v>45966</v>
      </c>
    </row>
    <row r="1400" spans="1:20" ht="43.5" hidden="1" customHeight="1">
      <c r="A1400" s="239" t="s">
        <v>3686</v>
      </c>
      <c r="B1400" s="240">
        <v>2934</v>
      </c>
      <c r="C1400" s="241">
        <v>8321</v>
      </c>
      <c r="D1400" s="239" t="s">
        <v>2511</v>
      </c>
      <c r="E1400" s="239" t="s">
        <v>392</v>
      </c>
      <c r="F1400" s="239" t="s">
        <v>393</v>
      </c>
      <c r="G1400" s="239" t="s">
        <v>934</v>
      </c>
      <c r="H1400" s="239" t="s">
        <v>42</v>
      </c>
      <c r="I1400" s="239" t="s">
        <v>2512</v>
      </c>
      <c r="J1400" s="233"/>
      <c r="K1400" s="235">
        <v>45965</v>
      </c>
      <c r="L1400" s="233">
        <v>2.5</v>
      </c>
      <c r="M1400" s="234" t="s">
        <v>934</v>
      </c>
      <c r="N1400" s="234">
        <v>64280</v>
      </c>
      <c r="O1400" s="234">
        <v>24140</v>
      </c>
      <c r="P1400" s="242">
        <v>10</v>
      </c>
      <c r="Q1400" s="234">
        <v>40140</v>
      </c>
      <c r="R1400" s="234">
        <v>36126</v>
      </c>
      <c r="S1400" s="234" t="s">
        <v>3698</v>
      </c>
      <c r="T1400" s="236">
        <v>45966</v>
      </c>
    </row>
    <row r="1401" spans="1:20" ht="43.5" hidden="1" customHeight="1">
      <c r="A1401" s="239" t="s">
        <v>3688</v>
      </c>
      <c r="B1401" s="240">
        <v>2935</v>
      </c>
      <c r="C1401" s="241">
        <v>8324</v>
      </c>
      <c r="D1401" s="239" t="s">
        <v>2511</v>
      </c>
      <c r="E1401" s="239" t="s">
        <v>390</v>
      </c>
      <c r="F1401" s="239" t="s">
        <v>391</v>
      </c>
      <c r="G1401" s="239" t="s">
        <v>934</v>
      </c>
      <c r="H1401" s="239" t="s">
        <v>42</v>
      </c>
      <c r="I1401" s="239" t="s">
        <v>2512</v>
      </c>
      <c r="J1401" s="233"/>
      <c r="K1401" s="235">
        <v>45965</v>
      </c>
      <c r="L1401" s="233">
        <v>1.7</v>
      </c>
      <c r="M1401" s="234" t="s">
        <v>934</v>
      </c>
      <c r="N1401" s="234">
        <v>41600</v>
      </c>
      <c r="O1401" s="234">
        <v>15030</v>
      </c>
      <c r="P1401" s="242">
        <v>20</v>
      </c>
      <c r="Q1401" s="234">
        <v>26570</v>
      </c>
      <c r="R1401" s="234">
        <v>21256</v>
      </c>
      <c r="S1401" s="234" t="s">
        <v>3700</v>
      </c>
      <c r="T1401" s="236">
        <v>45966</v>
      </c>
    </row>
    <row r="1402" spans="1:20" ht="43.5" hidden="1" customHeight="1">
      <c r="A1402" s="239" t="s">
        <v>3691</v>
      </c>
      <c r="B1402" s="240">
        <v>2938</v>
      </c>
      <c r="C1402" s="241">
        <v>8325</v>
      </c>
      <c r="D1402" s="239" t="s">
        <v>2511</v>
      </c>
      <c r="E1402" s="239" t="s">
        <v>388</v>
      </c>
      <c r="F1402" s="239" t="s">
        <v>389</v>
      </c>
      <c r="G1402" s="239" t="s">
        <v>934</v>
      </c>
      <c r="H1402" s="239" t="s">
        <v>42</v>
      </c>
      <c r="I1402" s="239" t="s">
        <v>2512</v>
      </c>
      <c r="J1402" s="233"/>
      <c r="K1402" s="235">
        <v>45965</v>
      </c>
      <c r="L1402" s="233">
        <v>2.7</v>
      </c>
      <c r="M1402" s="234" t="s">
        <v>934</v>
      </c>
      <c r="N1402" s="234">
        <v>63940</v>
      </c>
      <c r="O1402" s="234">
        <v>21240</v>
      </c>
      <c r="P1402" s="242">
        <v>7</v>
      </c>
      <c r="Q1402" s="234">
        <v>42700</v>
      </c>
      <c r="R1402" s="234">
        <v>39711</v>
      </c>
      <c r="S1402" s="234" t="s">
        <v>3703</v>
      </c>
      <c r="T1402" s="236">
        <v>45966</v>
      </c>
    </row>
    <row r="1403" spans="1:20" ht="43.5" hidden="1" customHeight="1">
      <c r="A1403" s="239" t="s">
        <v>3692</v>
      </c>
      <c r="B1403" s="240">
        <v>2952</v>
      </c>
      <c r="C1403" s="241">
        <v>319</v>
      </c>
      <c r="D1403" s="239" t="s">
        <v>2881</v>
      </c>
      <c r="E1403" s="239" t="s">
        <v>2053</v>
      </c>
      <c r="F1403" s="239" t="s">
        <v>2054</v>
      </c>
      <c r="G1403" s="239" t="s">
        <v>956</v>
      </c>
      <c r="H1403" s="239" t="s">
        <v>51</v>
      </c>
      <c r="I1403" s="239" t="s">
        <v>2882</v>
      </c>
      <c r="J1403" s="233"/>
      <c r="K1403" s="235">
        <v>45966</v>
      </c>
      <c r="L1403" s="233">
        <v>0.8</v>
      </c>
      <c r="M1403" s="234" t="s">
        <v>956</v>
      </c>
      <c r="N1403" s="234">
        <v>27770</v>
      </c>
      <c r="O1403" s="234">
        <v>14360</v>
      </c>
      <c r="P1403" s="242">
        <v>22</v>
      </c>
      <c r="Q1403" s="234">
        <v>13410</v>
      </c>
      <c r="R1403" s="234">
        <v>10459.799999999999</v>
      </c>
      <c r="S1403" s="234" t="s">
        <v>3704</v>
      </c>
      <c r="T1403" s="236">
        <v>45966</v>
      </c>
    </row>
    <row r="1404" spans="1:20" ht="43.5" hidden="1" customHeight="1">
      <c r="A1404" s="239" t="s">
        <v>3693</v>
      </c>
      <c r="B1404" s="240">
        <v>2941</v>
      </c>
      <c r="C1404" s="241">
        <v>8326</v>
      </c>
      <c r="D1404" s="239" t="s">
        <v>2511</v>
      </c>
      <c r="E1404" s="239" t="s">
        <v>429</v>
      </c>
      <c r="F1404" s="239" t="s">
        <v>430</v>
      </c>
      <c r="G1404" s="239" t="s">
        <v>934</v>
      </c>
      <c r="H1404" s="239" t="s">
        <v>42</v>
      </c>
      <c r="I1404" s="239" t="s">
        <v>2512</v>
      </c>
      <c r="J1404" s="233"/>
      <c r="K1404" s="235">
        <v>45965</v>
      </c>
      <c r="L1404" s="233">
        <v>1.9</v>
      </c>
      <c r="M1404" s="234" t="s">
        <v>934</v>
      </c>
      <c r="N1404" s="234">
        <v>44150</v>
      </c>
      <c r="O1404" s="234">
        <v>14480</v>
      </c>
      <c r="P1404" s="242">
        <v>14</v>
      </c>
      <c r="Q1404" s="234">
        <v>29670</v>
      </c>
      <c r="R1404" s="234">
        <v>25516.2</v>
      </c>
      <c r="S1404" s="234" t="s">
        <v>3705</v>
      </c>
      <c r="T1404" s="236">
        <v>45966</v>
      </c>
    </row>
    <row r="1405" spans="1:20" ht="43.5" hidden="1" customHeight="1">
      <c r="A1405" s="239" t="s">
        <v>3682</v>
      </c>
      <c r="B1405" s="240">
        <v>2947</v>
      </c>
      <c r="C1405" s="241">
        <v>8327</v>
      </c>
      <c r="D1405" s="239" t="s">
        <v>2511</v>
      </c>
      <c r="E1405" s="239" t="s">
        <v>1410</v>
      </c>
      <c r="F1405" s="239" t="s">
        <v>437</v>
      </c>
      <c r="G1405" s="239" t="s">
        <v>934</v>
      </c>
      <c r="H1405" s="239" t="s">
        <v>42</v>
      </c>
      <c r="I1405" s="239" t="s">
        <v>2512</v>
      </c>
      <c r="J1405" s="233"/>
      <c r="K1405" s="235">
        <v>45966</v>
      </c>
      <c r="L1405" s="233">
        <v>1.9</v>
      </c>
      <c r="M1405" s="234" t="s">
        <v>934</v>
      </c>
      <c r="N1405" s="234">
        <v>42180</v>
      </c>
      <c r="O1405" s="234">
        <v>14980</v>
      </c>
      <c r="P1405" s="242">
        <v>24</v>
      </c>
      <c r="Q1405" s="234">
        <v>27200</v>
      </c>
      <c r="R1405" s="234">
        <v>20672</v>
      </c>
      <c r="S1405" s="234" t="s">
        <v>3694</v>
      </c>
      <c r="T1405" s="236">
        <v>45966</v>
      </c>
    </row>
    <row r="1406" spans="1:20" ht="43.5" hidden="1" customHeight="1">
      <c r="A1406" s="239" t="s">
        <v>3683</v>
      </c>
      <c r="B1406" s="240">
        <v>2948</v>
      </c>
      <c r="C1406" s="241">
        <v>8328</v>
      </c>
      <c r="D1406" s="239" t="s">
        <v>2511</v>
      </c>
      <c r="E1406" s="239" t="s">
        <v>439</v>
      </c>
      <c r="F1406" s="239" t="s">
        <v>440</v>
      </c>
      <c r="G1406" s="239" t="s">
        <v>934</v>
      </c>
      <c r="H1406" s="239" t="s">
        <v>42</v>
      </c>
      <c r="I1406" s="239" t="s">
        <v>2512</v>
      </c>
      <c r="J1406" s="233"/>
      <c r="K1406" s="235">
        <v>45966</v>
      </c>
      <c r="L1406" s="233">
        <v>2.1</v>
      </c>
      <c r="M1406" s="234" t="s">
        <v>934</v>
      </c>
      <c r="N1406" s="234">
        <v>46070</v>
      </c>
      <c r="O1406" s="234">
        <v>15250</v>
      </c>
      <c r="P1406" s="242">
        <v>27</v>
      </c>
      <c r="Q1406" s="234">
        <v>30820</v>
      </c>
      <c r="R1406" s="234">
        <v>22498.6</v>
      </c>
      <c r="S1406" s="234" t="s">
        <v>3695</v>
      </c>
      <c r="T1406" s="236">
        <v>45966</v>
      </c>
    </row>
    <row r="1407" spans="1:20" ht="43.5" hidden="1" customHeight="1">
      <c r="A1407" s="239" t="s">
        <v>3687</v>
      </c>
      <c r="B1407" s="240">
        <v>2951</v>
      </c>
      <c r="C1407" s="241">
        <v>8329</v>
      </c>
      <c r="D1407" s="239" t="s">
        <v>2511</v>
      </c>
      <c r="E1407" s="239" t="s">
        <v>858</v>
      </c>
      <c r="F1407" s="239" t="s">
        <v>859</v>
      </c>
      <c r="G1407" s="239" t="s">
        <v>934</v>
      </c>
      <c r="H1407" s="239" t="s">
        <v>42</v>
      </c>
      <c r="I1407" s="239" t="s">
        <v>2512</v>
      </c>
      <c r="J1407" s="233"/>
      <c r="K1407" s="235">
        <v>45966</v>
      </c>
      <c r="L1407" s="233">
        <v>2</v>
      </c>
      <c r="M1407" s="234" t="s">
        <v>934</v>
      </c>
      <c r="N1407" s="234">
        <v>43320</v>
      </c>
      <c r="O1407" s="234">
        <v>15010</v>
      </c>
      <c r="P1407" s="242">
        <v>20</v>
      </c>
      <c r="Q1407" s="234">
        <v>28310</v>
      </c>
      <c r="R1407" s="234">
        <v>22648</v>
      </c>
      <c r="S1407" s="234" t="s">
        <v>3699</v>
      </c>
      <c r="T1407" s="236">
        <v>45966</v>
      </c>
    </row>
    <row r="1408" spans="1:20" ht="43.5" hidden="1" customHeight="1">
      <c r="A1408" s="239" t="s">
        <v>3689</v>
      </c>
      <c r="B1408" s="240">
        <v>2953</v>
      </c>
      <c r="C1408" s="241">
        <v>8330</v>
      </c>
      <c r="D1408" s="239" t="s">
        <v>2511</v>
      </c>
      <c r="E1408" s="239" t="s">
        <v>374</v>
      </c>
      <c r="F1408" s="239" t="s">
        <v>375</v>
      </c>
      <c r="G1408" s="239" t="s">
        <v>934</v>
      </c>
      <c r="H1408" s="239" t="s">
        <v>42</v>
      </c>
      <c r="I1408" s="239" t="s">
        <v>2512</v>
      </c>
      <c r="J1408" s="233"/>
      <c r="K1408" s="235">
        <v>45966</v>
      </c>
      <c r="L1408" s="233">
        <v>1.7</v>
      </c>
      <c r="M1408" s="234" t="s">
        <v>934</v>
      </c>
      <c r="N1408" s="234">
        <v>40390</v>
      </c>
      <c r="O1408" s="234">
        <v>15640</v>
      </c>
      <c r="P1408" s="242">
        <v>18</v>
      </c>
      <c r="Q1408" s="234">
        <v>24750</v>
      </c>
      <c r="R1408" s="234">
        <v>20295</v>
      </c>
      <c r="S1408" s="234" t="s">
        <v>3701</v>
      </c>
      <c r="T1408" s="236">
        <v>45966</v>
      </c>
    </row>
    <row r="1409" spans="1:20" ht="43.5" hidden="1" customHeight="1">
      <c r="A1409" s="239" t="s">
        <v>3690</v>
      </c>
      <c r="B1409" s="240">
        <v>2954</v>
      </c>
      <c r="C1409" s="241">
        <v>8333</v>
      </c>
      <c r="D1409" s="239" t="s">
        <v>2511</v>
      </c>
      <c r="E1409" s="239" t="s">
        <v>380</v>
      </c>
      <c r="F1409" s="239" t="s">
        <v>381</v>
      </c>
      <c r="G1409" s="239" t="s">
        <v>934</v>
      </c>
      <c r="H1409" s="239" t="s">
        <v>42</v>
      </c>
      <c r="I1409" s="239" t="s">
        <v>2512</v>
      </c>
      <c r="J1409" s="233"/>
      <c r="K1409" s="235">
        <v>45966</v>
      </c>
      <c r="L1409" s="233">
        <v>1.8</v>
      </c>
      <c r="M1409" s="234" t="s">
        <v>934</v>
      </c>
      <c r="N1409" s="234">
        <v>40920</v>
      </c>
      <c r="O1409" s="234">
        <v>15110</v>
      </c>
      <c r="P1409" s="242">
        <v>24</v>
      </c>
      <c r="Q1409" s="234">
        <v>25810</v>
      </c>
      <c r="R1409" s="234">
        <v>19615.599999999999</v>
      </c>
      <c r="S1409" s="234" t="s">
        <v>3702</v>
      </c>
      <c r="T1409" s="236">
        <v>45966</v>
      </c>
    </row>
    <row r="1410" spans="1:20" ht="43.5" hidden="1" customHeight="1">
      <c r="A1410" s="239" t="s">
        <v>3707</v>
      </c>
      <c r="B1410" s="240">
        <v>2956</v>
      </c>
      <c r="C1410" s="241">
        <v>8334</v>
      </c>
      <c r="D1410" s="239" t="s">
        <v>2511</v>
      </c>
      <c r="E1410" s="239" t="s">
        <v>403</v>
      </c>
      <c r="F1410" s="239" t="s">
        <v>404</v>
      </c>
      <c r="G1410" s="239" t="s">
        <v>934</v>
      </c>
      <c r="H1410" s="239" t="s">
        <v>42</v>
      </c>
      <c r="I1410" s="239" t="s">
        <v>2512</v>
      </c>
      <c r="J1410" s="233"/>
      <c r="K1410" s="235">
        <v>45966</v>
      </c>
      <c r="L1410" s="233">
        <v>1.8</v>
      </c>
      <c r="M1410" s="234" t="s">
        <v>934</v>
      </c>
      <c r="N1410" s="234">
        <v>40240</v>
      </c>
      <c r="O1410" s="234">
        <v>14610</v>
      </c>
      <c r="P1410" s="242">
        <v>18</v>
      </c>
      <c r="Q1410" s="234">
        <v>25630</v>
      </c>
      <c r="R1410" s="234">
        <v>21016.6</v>
      </c>
      <c r="S1410" s="234" t="s">
        <v>3710</v>
      </c>
      <c r="T1410" s="236">
        <v>45966</v>
      </c>
    </row>
    <row r="1411" spans="1:20" ht="43.5" hidden="1" customHeight="1">
      <c r="A1411" s="239" t="s">
        <v>3708</v>
      </c>
      <c r="B1411" s="240">
        <v>2957</v>
      </c>
      <c r="C1411" s="241">
        <v>8335</v>
      </c>
      <c r="D1411" s="239" t="s">
        <v>2511</v>
      </c>
      <c r="E1411" s="239" t="s">
        <v>406</v>
      </c>
      <c r="F1411" s="239" t="s">
        <v>407</v>
      </c>
      <c r="G1411" s="239" t="s">
        <v>934</v>
      </c>
      <c r="H1411" s="239" t="s">
        <v>42</v>
      </c>
      <c r="I1411" s="239" t="s">
        <v>2512</v>
      </c>
      <c r="J1411" s="233"/>
      <c r="K1411" s="235">
        <v>45966</v>
      </c>
      <c r="L1411" s="233">
        <v>1.9</v>
      </c>
      <c r="M1411" s="234" t="s">
        <v>934</v>
      </c>
      <c r="N1411" s="234">
        <v>41950</v>
      </c>
      <c r="O1411" s="234">
        <v>15140</v>
      </c>
      <c r="P1411" s="242">
        <v>11</v>
      </c>
      <c r="Q1411" s="234">
        <v>26810</v>
      </c>
      <c r="R1411" s="234">
        <v>23860.9</v>
      </c>
      <c r="S1411" s="234" t="s">
        <v>3711</v>
      </c>
      <c r="T1411" s="236">
        <v>45966</v>
      </c>
    </row>
    <row r="1412" spans="1:20" ht="43.5" hidden="1" customHeight="1">
      <c r="A1412" s="239" t="s">
        <v>3709</v>
      </c>
      <c r="B1412" s="240">
        <v>2958</v>
      </c>
      <c r="C1412" s="241">
        <v>8337</v>
      </c>
      <c r="D1412" s="239" t="s">
        <v>2511</v>
      </c>
      <c r="E1412" s="239" t="s">
        <v>382</v>
      </c>
      <c r="F1412" s="239" t="s">
        <v>383</v>
      </c>
      <c r="G1412" s="239" t="s">
        <v>934</v>
      </c>
      <c r="H1412" s="239" t="s">
        <v>42</v>
      </c>
      <c r="I1412" s="239" t="s">
        <v>2512</v>
      </c>
      <c r="J1412" s="233"/>
      <c r="K1412" s="235">
        <v>45966</v>
      </c>
      <c r="L1412" s="233">
        <v>1.7</v>
      </c>
      <c r="M1412" s="234" t="s">
        <v>934</v>
      </c>
      <c r="N1412" s="234">
        <v>39290</v>
      </c>
      <c r="O1412" s="234">
        <v>14770</v>
      </c>
      <c r="P1412" s="242">
        <v>25</v>
      </c>
      <c r="Q1412" s="234">
        <v>24520</v>
      </c>
      <c r="R1412" s="234">
        <v>18390</v>
      </c>
      <c r="S1412" s="234" t="s">
        <v>3712</v>
      </c>
      <c r="T1412" s="236">
        <v>45967</v>
      </c>
    </row>
    <row r="1413" spans="1:20" ht="43.5" hidden="1" customHeight="1">
      <c r="A1413" s="239" t="s">
        <v>3716</v>
      </c>
      <c r="B1413" s="240">
        <v>2959</v>
      </c>
      <c r="C1413" s="241">
        <v>8339</v>
      </c>
      <c r="D1413" s="239" t="s">
        <v>2511</v>
      </c>
      <c r="E1413" s="239" t="s">
        <v>453</v>
      </c>
      <c r="F1413" s="239" t="s">
        <v>454</v>
      </c>
      <c r="G1413" s="239" t="s">
        <v>934</v>
      </c>
      <c r="H1413" s="239" t="s">
        <v>42</v>
      </c>
      <c r="I1413" s="239" t="s">
        <v>2512</v>
      </c>
      <c r="J1413" s="233"/>
      <c r="K1413" s="235">
        <v>45966</v>
      </c>
      <c r="L1413" s="233">
        <v>2.9</v>
      </c>
      <c r="M1413" s="234" t="s">
        <v>934</v>
      </c>
      <c r="N1413" s="234">
        <v>66540</v>
      </c>
      <c r="O1413" s="234">
        <v>24550</v>
      </c>
      <c r="P1413" s="242">
        <v>20</v>
      </c>
      <c r="Q1413" s="234">
        <v>41990</v>
      </c>
      <c r="R1413" s="234">
        <v>33592</v>
      </c>
      <c r="S1413" s="234" t="s">
        <v>3727</v>
      </c>
      <c r="T1413" s="236">
        <v>45967</v>
      </c>
    </row>
    <row r="1414" spans="1:20" ht="43.5" hidden="1" customHeight="1">
      <c r="A1414" s="239" t="s">
        <v>3717</v>
      </c>
      <c r="B1414" s="240">
        <v>2960</v>
      </c>
      <c r="C1414" s="241">
        <v>8342</v>
      </c>
      <c r="D1414" s="239" t="s">
        <v>2511</v>
      </c>
      <c r="E1414" s="239" t="s">
        <v>794</v>
      </c>
      <c r="F1414" s="239" t="s">
        <v>795</v>
      </c>
      <c r="G1414" s="239" t="s">
        <v>934</v>
      </c>
      <c r="H1414" s="239" t="s">
        <v>42</v>
      </c>
      <c r="I1414" s="239" t="s">
        <v>2512</v>
      </c>
      <c r="J1414" s="233"/>
      <c r="K1414" s="235">
        <v>45966</v>
      </c>
      <c r="L1414" s="233">
        <v>1.9</v>
      </c>
      <c r="M1414" s="234" t="s">
        <v>934</v>
      </c>
      <c r="N1414" s="234">
        <v>43090</v>
      </c>
      <c r="O1414" s="234">
        <v>16200</v>
      </c>
      <c r="P1414" s="242">
        <v>8</v>
      </c>
      <c r="Q1414" s="234">
        <v>26890</v>
      </c>
      <c r="R1414" s="234">
        <v>24738.799999999999</v>
      </c>
      <c r="S1414" s="234" t="s">
        <v>3728</v>
      </c>
      <c r="T1414" s="236">
        <v>45967</v>
      </c>
    </row>
    <row r="1415" spans="1:20" ht="43.5" hidden="1" customHeight="1">
      <c r="A1415" s="239" t="s">
        <v>3720</v>
      </c>
      <c r="B1415" s="240">
        <v>2961</v>
      </c>
      <c r="C1415" s="241">
        <v>8340</v>
      </c>
      <c r="D1415" s="239" t="s">
        <v>2511</v>
      </c>
      <c r="E1415" s="239" t="s">
        <v>416</v>
      </c>
      <c r="F1415" s="239" t="s">
        <v>417</v>
      </c>
      <c r="G1415" s="239" t="s">
        <v>934</v>
      </c>
      <c r="H1415" s="239" t="s">
        <v>42</v>
      </c>
      <c r="I1415" s="239" t="s">
        <v>2512</v>
      </c>
      <c r="J1415" s="233"/>
      <c r="K1415" s="235">
        <v>45966</v>
      </c>
      <c r="L1415" s="233">
        <v>1.8</v>
      </c>
      <c r="M1415" s="234" t="s">
        <v>934</v>
      </c>
      <c r="N1415" s="234">
        <v>40410</v>
      </c>
      <c r="O1415" s="234">
        <v>14810</v>
      </c>
      <c r="P1415" s="242">
        <v>27</v>
      </c>
      <c r="Q1415" s="234">
        <v>25600</v>
      </c>
      <c r="R1415" s="234">
        <v>18688</v>
      </c>
      <c r="S1415" s="234" t="s">
        <v>3731</v>
      </c>
      <c r="T1415" s="236">
        <v>45967</v>
      </c>
    </row>
    <row r="1416" spans="1:20" ht="43.5" hidden="1" customHeight="1">
      <c r="A1416" s="239" t="s">
        <v>3721</v>
      </c>
      <c r="B1416" s="240">
        <v>2962</v>
      </c>
      <c r="C1416" s="241">
        <v>8341</v>
      </c>
      <c r="D1416" s="239" t="s">
        <v>2511</v>
      </c>
      <c r="E1416" s="239" t="s">
        <v>420</v>
      </c>
      <c r="F1416" s="239" t="s">
        <v>421</v>
      </c>
      <c r="G1416" s="239" t="s">
        <v>934</v>
      </c>
      <c r="H1416" s="239" t="s">
        <v>42</v>
      </c>
      <c r="I1416" s="239" t="s">
        <v>2512</v>
      </c>
      <c r="J1416" s="233"/>
      <c r="K1416" s="235">
        <v>45966</v>
      </c>
      <c r="L1416" s="233">
        <v>1.6</v>
      </c>
      <c r="M1416" s="234" t="s">
        <v>934</v>
      </c>
      <c r="N1416" s="234">
        <v>38670</v>
      </c>
      <c r="O1416" s="234">
        <v>14980</v>
      </c>
      <c r="P1416" s="242">
        <v>27</v>
      </c>
      <c r="Q1416" s="234">
        <v>23690</v>
      </c>
      <c r="R1416" s="234">
        <v>17293.7</v>
      </c>
      <c r="S1416" s="234" t="s">
        <v>3732</v>
      </c>
      <c r="T1416" s="236">
        <v>45967</v>
      </c>
    </row>
    <row r="1417" spans="1:20" ht="43.5" hidden="1" customHeight="1">
      <c r="A1417" s="239" t="s">
        <v>3722</v>
      </c>
      <c r="B1417" s="240">
        <v>2963</v>
      </c>
      <c r="C1417" s="241">
        <v>8344</v>
      </c>
      <c r="D1417" s="239" t="s">
        <v>2511</v>
      </c>
      <c r="E1417" s="239" t="s">
        <v>866</v>
      </c>
      <c r="F1417" s="239" t="s">
        <v>867</v>
      </c>
      <c r="G1417" s="239" t="s">
        <v>934</v>
      </c>
      <c r="H1417" s="239" t="s">
        <v>42</v>
      </c>
      <c r="I1417" s="239" t="s">
        <v>2512</v>
      </c>
      <c r="J1417" s="233"/>
      <c r="K1417" s="235">
        <v>45966</v>
      </c>
      <c r="L1417" s="233">
        <v>1.7</v>
      </c>
      <c r="M1417" s="234" t="s">
        <v>934</v>
      </c>
      <c r="N1417" s="234">
        <v>39440</v>
      </c>
      <c r="O1417" s="234">
        <v>14550</v>
      </c>
      <c r="P1417" s="242">
        <v>30</v>
      </c>
      <c r="Q1417" s="234">
        <v>24890</v>
      </c>
      <c r="R1417" s="234">
        <v>17423</v>
      </c>
      <c r="S1417" s="234" t="s">
        <v>3733</v>
      </c>
      <c r="T1417" s="236">
        <v>45967</v>
      </c>
    </row>
    <row r="1418" spans="1:20" ht="43.5" hidden="1" customHeight="1">
      <c r="A1418" s="239" t="s">
        <v>3723</v>
      </c>
      <c r="B1418" s="240">
        <v>2964</v>
      </c>
      <c r="C1418" s="241">
        <v>8345</v>
      </c>
      <c r="D1418" s="239" t="s">
        <v>2511</v>
      </c>
      <c r="E1418" s="239" t="s">
        <v>369</v>
      </c>
      <c r="F1418" s="239" t="s">
        <v>370</v>
      </c>
      <c r="G1418" s="239" t="s">
        <v>934</v>
      </c>
      <c r="H1418" s="239" t="s">
        <v>42</v>
      </c>
      <c r="I1418" s="239" t="s">
        <v>2512</v>
      </c>
      <c r="J1418" s="233"/>
      <c r="K1418" s="235">
        <v>45966</v>
      </c>
      <c r="L1418" s="233">
        <v>1.7</v>
      </c>
      <c r="M1418" s="234" t="s">
        <v>934</v>
      </c>
      <c r="N1418" s="234">
        <v>39310</v>
      </c>
      <c r="O1418" s="234">
        <v>15230</v>
      </c>
      <c r="P1418" s="242">
        <v>14</v>
      </c>
      <c r="Q1418" s="234">
        <v>24080</v>
      </c>
      <c r="R1418" s="234">
        <v>20708.8</v>
      </c>
      <c r="S1418" s="234" t="s">
        <v>3734</v>
      </c>
      <c r="T1418" s="236">
        <v>45967</v>
      </c>
    </row>
    <row r="1419" spans="1:20" ht="43.5" hidden="1" customHeight="1">
      <c r="A1419" s="239" t="s">
        <v>3713</v>
      </c>
      <c r="B1419" s="240">
        <v>2967</v>
      </c>
      <c r="C1419" s="241">
        <v>8348</v>
      </c>
      <c r="D1419" s="239" t="s">
        <v>2511</v>
      </c>
      <c r="E1419" s="239" t="s">
        <v>791</v>
      </c>
      <c r="F1419" s="239" t="s">
        <v>792</v>
      </c>
      <c r="G1419" s="239" t="s">
        <v>934</v>
      </c>
      <c r="H1419" s="239" t="s">
        <v>42</v>
      </c>
      <c r="I1419" s="239" t="s">
        <v>2512</v>
      </c>
      <c r="J1419" s="233"/>
      <c r="K1419" s="235">
        <v>45966</v>
      </c>
      <c r="L1419" s="233">
        <v>1.8</v>
      </c>
      <c r="M1419" s="234" t="s">
        <v>934</v>
      </c>
      <c r="N1419" s="234">
        <v>41120</v>
      </c>
      <c r="O1419" s="234">
        <v>15020</v>
      </c>
      <c r="P1419" s="242">
        <v>14</v>
      </c>
      <c r="Q1419" s="234">
        <v>26100</v>
      </c>
      <c r="R1419" s="234">
        <v>22446</v>
      </c>
      <c r="S1419" s="234" t="s">
        <v>3724</v>
      </c>
      <c r="T1419" s="236">
        <v>45967</v>
      </c>
    </row>
    <row r="1420" spans="1:20" ht="43.5" hidden="1" customHeight="1">
      <c r="A1420" s="239" t="s">
        <v>3714</v>
      </c>
      <c r="B1420" s="240">
        <v>2969</v>
      </c>
      <c r="C1420" s="241">
        <v>8353</v>
      </c>
      <c r="D1420" s="239" t="s">
        <v>2511</v>
      </c>
      <c r="E1420" s="239" t="s">
        <v>783</v>
      </c>
      <c r="F1420" s="239" t="s">
        <v>784</v>
      </c>
      <c r="G1420" s="239" t="s">
        <v>934</v>
      </c>
      <c r="H1420" s="239" t="s">
        <v>42</v>
      </c>
      <c r="I1420" s="239" t="s">
        <v>2512</v>
      </c>
      <c r="J1420" s="233"/>
      <c r="K1420" s="235">
        <v>45966</v>
      </c>
      <c r="L1420" s="233">
        <v>1.8</v>
      </c>
      <c r="M1420" s="234" t="s">
        <v>934</v>
      </c>
      <c r="N1420" s="234">
        <v>40590</v>
      </c>
      <c r="O1420" s="234">
        <v>14790</v>
      </c>
      <c r="P1420" s="242">
        <v>13</v>
      </c>
      <c r="Q1420" s="234">
        <v>25800</v>
      </c>
      <c r="R1420" s="234">
        <v>22446</v>
      </c>
      <c r="S1420" s="234" t="s">
        <v>3725</v>
      </c>
      <c r="T1420" s="236">
        <v>45967</v>
      </c>
    </row>
    <row r="1421" spans="1:20" ht="38.25" hidden="1">
      <c r="A1421" s="239" t="s">
        <v>3715</v>
      </c>
      <c r="B1421" s="240">
        <v>2970</v>
      </c>
      <c r="C1421" s="241">
        <v>8354</v>
      </c>
      <c r="D1421" s="239" t="s">
        <v>2511</v>
      </c>
      <c r="E1421" s="239" t="s">
        <v>786</v>
      </c>
      <c r="F1421" s="239" t="s">
        <v>787</v>
      </c>
      <c r="G1421" s="239" t="s">
        <v>934</v>
      </c>
      <c r="H1421" s="239" t="s">
        <v>42</v>
      </c>
      <c r="I1421" s="239" t="s">
        <v>2512</v>
      </c>
      <c r="J1421" s="233"/>
      <c r="K1421" s="235">
        <v>45967</v>
      </c>
      <c r="L1421" s="233">
        <v>1.2</v>
      </c>
      <c r="M1421" s="234" t="s">
        <v>934</v>
      </c>
      <c r="N1421" s="234">
        <v>37050</v>
      </c>
      <c r="O1421" s="234">
        <v>14120</v>
      </c>
      <c r="P1421" s="242">
        <v>27</v>
      </c>
      <c r="Q1421" s="234">
        <v>22930</v>
      </c>
      <c r="R1421" s="234">
        <v>16738.900000000001</v>
      </c>
      <c r="S1421" s="234" t="s">
        <v>3726</v>
      </c>
      <c r="T1421" s="236">
        <v>45967</v>
      </c>
    </row>
    <row r="1422" spans="1:20" ht="38.25" hidden="1">
      <c r="A1422" s="239" t="s">
        <v>3718</v>
      </c>
      <c r="B1422" s="240">
        <v>2971</v>
      </c>
      <c r="C1422" s="241">
        <v>8010</v>
      </c>
      <c r="D1422" s="239" t="s">
        <v>2511</v>
      </c>
      <c r="E1422" s="239" t="s">
        <v>841</v>
      </c>
      <c r="F1422" s="239" t="s">
        <v>845</v>
      </c>
      <c r="G1422" s="239" t="s">
        <v>934</v>
      </c>
      <c r="H1422" s="239" t="s">
        <v>42</v>
      </c>
      <c r="I1422" s="239" t="s">
        <v>2512</v>
      </c>
      <c r="J1422" s="233"/>
      <c r="K1422" s="235">
        <v>45967</v>
      </c>
      <c r="L1422" s="233">
        <v>1.5</v>
      </c>
      <c r="M1422" s="234" t="s">
        <v>934</v>
      </c>
      <c r="N1422" s="234">
        <v>43960</v>
      </c>
      <c r="O1422" s="234">
        <v>16200</v>
      </c>
      <c r="P1422" s="242">
        <v>13</v>
      </c>
      <c r="Q1422" s="234">
        <v>27760</v>
      </c>
      <c r="R1422" s="234">
        <v>24151.200000000001</v>
      </c>
      <c r="S1422" s="234" t="s">
        <v>3729</v>
      </c>
      <c r="T1422" s="236">
        <v>45967</v>
      </c>
    </row>
    <row r="1423" spans="1:20" ht="38.25" hidden="1">
      <c r="A1423" s="239" t="s">
        <v>3719</v>
      </c>
      <c r="B1423" s="240">
        <v>2972</v>
      </c>
      <c r="C1423" s="241">
        <v>8355</v>
      </c>
      <c r="D1423" s="239" t="s">
        <v>2511</v>
      </c>
      <c r="E1423" s="239" t="s">
        <v>447</v>
      </c>
      <c r="F1423" s="239" t="s">
        <v>448</v>
      </c>
      <c r="G1423" s="239" t="s">
        <v>934</v>
      </c>
      <c r="H1423" s="239" t="s">
        <v>42</v>
      </c>
      <c r="I1423" s="239" t="s">
        <v>2512</v>
      </c>
      <c r="J1423" s="233"/>
      <c r="K1423" s="235">
        <v>45967</v>
      </c>
      <c r="L1423" s="233">
        <v>1.8</v>
      </c>
      <c r="M1423" s="234" t="s">
        <v>934</v>
      </c>
      <c r="N1423" s="234">
        <v>52590</v>
      </c>
      <c r="O1423" s="234">
        <v>19380</v>
      </c>
      <c r="P1423" s="242">
        <v>8</v>
      </c>
      <c r="Q1423" s="234">
        <v>33210</v>
      </c>
      <c r="R1423" s="234">
        <v>30553.200000000001</v>
      </c>
      <c r="S1423" s="234" t="s">
        <v>3730</v>
      </c>
      <c r="T1423" s="236">
        <v>45967</v>
      </c>
    </row>
    <row r="1424" spans="1:20" ht="38.25" hidden="1">
      <c r="A1424" s="239" t="s">
        <v>3739</v>
      </c>
      <c r="B1424" s="240">
        <v>2973</v>
      </c>
      <c r="C1424" s="241">
        <v>8387</v>
      </c>
      <c r="D1424" s="239" t="s">
        <v>2511</v>
      </c>
      <c r="E1424" s="239" t="s">
        <v>1397</v>
      </c>
      <c r="F1424" s="239" t="s">
        <v>1398</v>
      </c>
      <c r="G1424" s="239" t="s">
        <v>934</v>
      </c>
      <c r="H1424" s="239" t="s">
        <v>42</v>
      </c>
      <c r="I1424" s="239" t="s">
        <v>2512</v>
      </c>
      <c r="J1424" s="233"/>
      <c r="K1424" s="235">
        <v>45967</v>
      </c>
      <c r="L1424" s="233">
        <v>1.5</v>
      </c>
      <c r="M1424" s="234" t="s">
        <v>934</v>
      </c>
      <c r="N1424" s="234">
        <v>45520</v>
      </c>
      <c r="O1424" s="234">
        <v>17120</v>
      </c>
      <c r="P1424" s="242">
        <v>5</v>
      </c>
      <c r="Q1424" s="234">
        <v>28400</v>
      </c>
      <c r="R1424" s="234">
        <v>26980</v>
      </c>
      <c r="S1424" s="234" t="s">
        <v>3740</v>
      </c>
      <c r="T1424" s="236">
        <v>45967</v>
      </c>
    </row>
    <row r="1425" spans="1:20" ht="25.5" hidden="1">
      <c r="A1425" s="239" t="s">
        <v>3741</v>
      </c>
      <c r="B1425" s="240">
        <v>2984</v>
      </c>
      <c r="C1425" s="241">
        <v>328</v>
      </c>
      <c r="D1425" s="239" t="s">
        <v>2881</v>
      </c>
      <c r="E1425" s="239" t="s">
        <v>2053</v>
      </c>
      <c r="F1425" s="239" t="s">
        <v>2054</v>
      </c>
      <c r="G1425" s="239" t="s">
        <v>956</v>
      </c>
      <c r="H1425" s="239" t="s">
        <v>51</v>
      </c>
      <c r="I1425" s="239" t="s">
        <v>2882</v>
      </c>
      <c r="J1425" s="233"/>
      <c r="K1425" s="235">
        <v>45969</v>
      </c>
      <c r="L1425" s="233">
        <v>0.7</v>
      </c>
      <c r="M1425" s="234" t="s">
        <v>956</v>
      </c>
      <c r="N1425" s="234">
        <v>28290</v>
      </c>
      <c r="O1425" s="234">
        <v>14290</v>
      </c>
      <c r="P1425" s="242">
        <v>25</v>
      </c>
      <c r="Q1425" s="234">
        <v>14000</v>
      </c>
      <c r="R1425" s="234">
        <v>10500</v>
      </c>
      <c r="S1425" s="234" t="s">
        <v>3766</v>
      </c>
      <c r="T1425" s="236">
        <v>45969</v>
      </c>
    </row>
    <row r="1426" spans="1:20" ht="38.25" hidden="1">
      <c r="A1426" s="239" t="s">
        <v>3742</v>
      </c>
      <c r="B1426" s="240">
        <v>2986</v>
      </c>
      <c r="C1426" s="241">
        <v>320</v>
      </c>
      <c r="D1426" s="239" t="s">
        <v>2881</v>
      </c>
      <c r="E1426" s="239" t="s">
        <v>442</v>
      </c>
      <c r="F1426" s="239" t="s">
        <v>443</v>
      </c>
      <c r="G1426" s="239" t="s">
        <v>956</v>
      </c>
      <c r="H1426" s="239" t="s">
        <v>51</v>
      </c>
      <c r="I1426" s="239" t="s">
        <v>2882</v>
      </c>
      <c r="J1426" s="233"/>
      <c r="K1426" s="235">
        <v>45969</v>
      </c>
      <c r="L1426" s="233">
        <v>1</v>
      </c>
      <c r="M1426" s="234" t="s">
        <v>956</v>
      </c>
      <c r="N1426" s="234">
        <v>34810</v>
      </c>
      <c r="O1426" s="234">
        <v>14650</v>
      </c>
      <c r="P1426" s="242">
        <v>24</v>
      </c>
      <c r="Q1426" s="234">
        <v>20160</v>
      </c>
      <c r="R1426" s="234">
        <v>15321.6</v>
      </c>
      <c r="S1426" s="234" t="s">
        <v>3767</v>
      </c>
      <c r="T1426" s="236">
        <v>45969</v>
      </c>
    </row>
    <row r="1427" spans="1:20" ht="25.5" hidden="1">
      <c r="A1427" s="239" t="s">
        <v>3743</v>
      </c>
      <c r="B1427" s="240">
        <v>2987</v>
      </c>
      <c r="C1427" s="241">
        <v>321</v>
      </c>
      <c r="D1427" s="239" t="s">
        <v>2881</v>
      </c>
      <c r="E1427" s="239" t="s">
        <v>780</v>
      </c>
      <c r="F1427" s="239" t="s">
        <v>781</v>
      </c>
      <c r="G1427" s="239" t="s">
        <v>956</v>
      </c>
      <c r="H1427" s="239" t="s">
        <v>51</v>
      </c>
      <c r="I1427" s="239" t="s">
        <v>2882</v>
      </c>
      <c r="J1427" s="233"/>
      <c r="K1427" s="235">
        <v>45969</v>
      </c>
      <c r="L1427" s="233">
        <v>1.1000000000000001</v>
      </c>
      <c r="M1427" s="234" t="s">
        <v>956</v>
      </c>
      <c r="N1427" s="234">
        <v>35670</v>
      </c>
      <c r="O1427" s="234">
        <v>15010</v>
      </c>
      <c r="P1427" s="242">
        <v>29</v>
      </c>
      <c r="Q1427" s="234">
        <v>20660</v>
      </c>
      <c r="R1427" s="234">
        <v>14668.6</v>
      </c>
      <c r="S1427" s="234" t="s">
        <v>3768</v>
      </c>
      <c r="T1427" s="236">
        <v>45969</v>
      </c>
    </row>
    <row r="1428" spans="1:20" ht="25.5" hidden="1">
      <c r="A1428" s="239" t="s">
        <v>3744</v>
      </c>
      <c r="B1428" s="240">
        <v>2989</v>
      </c>
      <c r="C1428" s="241">
        <v>322</v>
      </c>
      <c r="D1428" s="239" t="s">
        <v>2881</v>
      </c>
      <c r="E1428" s="239" t="s">
        <v>384</v>
      </c>
      <c r="F1428" s="239" t="s">
        <v>385</v>
      </c>
      <c r="G1428" s="239" t="s">
        <v>956</v>
      </c>
      <c r="H1428" s="239" t="s">
        <v>51</v>
      </c>
      <c r="I1428" s="239" t="s">
        <v>2882</v>
      </c>
      <c r="J1428" s="233"/>
      <c r="K1428" s="235">
        <v>45969</v>
      </c>
      <c r="L1428" s="233">
        <v>1.1000000000000001</v>
      </c>
      <c r="M1428" s="234" t="s">
        <v>956</v>
      </c>
      <c r="N1428" s="234">
        <v>35450</v>
      </c>
      <c r="O1428" s="234">
        <v>13920</v>
      </c>
      <c r="P1428" s="242">
        <v>29</v>
      </c>
      <c r="Q1428" s="234">
        <v>21530</v>
      </c>
      <c r="R1428" s="234">
        <v>15286.3</v>
      </c>
      <c r="S1428" s="234" t="s">
        <v>3769</v>
      </c>
      <c r="T1428" s="236">
        <v>45969</v>
      </c>
    </row>
    <row r="1429" spans="1:20" ht="38.25" hidden="1">
      <c r="A1429" s="239" t="s">
        <v>3745</v>
      </c>
      <c r="B1429" s="240">
        <v>2990</v>
      </c>
      <c r="C1429" s="241">
        <v>323</v>
      </c>
      <c r="D1429" s="239" t="s">
        <v>2881</v>
      </c>
      <c r="E1429" s="239" t="s">
        <v>372</v>
      </c>
      <c r="F1429" s="239" t="s">
        <v>373</v>
      </c>
      <c r="G1429" s="239" t="s">
        <v>956</v>
      </c>
      <c r="H1429" s="239" t="s">
        <v>51</v>
      </c>
      <c r="I1429" s="239" t="s">
        <v>2882</v>
      </c>
      <c r="J1429" s="233"/>
      <c r="K1429" s="235">
        <v>45969</v>
      </c>
      <c r="L1429" s="233">
        <v>1.2</v>
      </c>
      <c r="M1429" s="234" t="s">
        <v>956</v>
      </c>
      <c r="N1429" s="234">
        <v>38240</v>
      </c>
      <c r="O1429" s="234">
        <v>15010</v>
      </c>
      <c r="P1429" s="242">
        <v>25</v>
      </c>
      <c r="Q1429" s="234">
        <v>23230</v>
      </c>
      <c r="R1429" s="234">
        <v>17422.5</v>
      </c>
      <c r="S1429" s="234" t="s">
        <v>3770</v>
      </c>
      <c r="T1429" s="236">
        <v>45969</v>
      </c>
    </row>
    <row r="1430" spans="1:20" ht="38.25" hidden="1">
      <c r="A1430" s="239" t="s">
        <v>3746</v>
      </c>
      <c r="B1430" s="240">
        <v>2991</v>
      </c>
      <c r="C1430" s="241">
        <v>324</v>
      </c>
      <c r="D1430" s="239" t="s">
        <v>2881</v>
      </c>
      <c r="E1430" s="239" t="s">
        <v>866</v>
      </c>
      <c r="F1430" s="239" t="s">
        <v>867</v>
      </c>
      <c r="G1430" s="239" t="s">
        <v>956</v>
      </c>
      <c r="H1430" s="239" t="s">
        <v>51</v>
      </c>
      <c r="I1430" s="239" t="s">
        <v>2882</v>
      </c>
      <c r="J1430" s="233"/>
      <c r="K1430" s="235">
        <v>45969</v>
      </c>
      <c r="L1430" s="233">
        <v>1.2</v>
      </c>
      <c r="M1430" s="234" t="s">
        <v>956</v>
      </c>
      <c r="N1430" s="234">
        <v>37440</v>
      </c>
      <c r="O1430" s="234">
        <v>14610</v>
      </c>
      <c r="P1430" s="242">
        <v>32</v>
      </c>
      <c r="Q1430" s="234">
        <v>22830</v>
      </c>
      <c r="R1430" s="234">
        <v>15524.4</v>
      </c>
      <c r="S1430" s="234" t="s">
        <v>3771</v>
      </c>
      <c r="T1430" s="236">
        <v>45969</v>
      </c>
    </row>
    <row r="1431" spans="1:20" ht="51" hidden="1">
      <c r="A1431" s="239" t="s">
        <v>3747</v>
      </c>
      <c r="B1431" s="240">
        <v>2992</v>
      </c>
      <c r="C1431" s="241">
        <v>325</v>
      </c>
      <c r="D1431" s="239" t="s">
        <v>2881</v>
      </c>
      <c r="E1431" s="239" t="s">
        <v>369</v>
      </c>
      <c r="F1431" s="239" t="s">
        <v>370</v>
      </c>
      <c r="G1431" s="239" t="s">
        <v>956</v>
      </c>
      <c r="H1431" s="239" t="s">
        <v>51</v>
      </c>
      <c r="I1431" s="239" t="s">
        <v>2882</v>
      </c>
      <c r="J1431" s="233"/>
      <c r="K1431" s="235">
        <v>45969</v>
      </c>
      <c r="L1431" s="233">
        <v>1.2</v>
      </c>
      <c r="M1431" s="234" t="s">
        <v>956</v>
      </c>
      <c r="N1431" s="234">
        <v>37700</v>
      </c>
      <c r="O1431" s="234">
        <v>15250</v>
      </c>
      <c r="P1431" s="242">
        <v>35</v>
      </c>
      <c r="Q1431" s="234">
        <v>22450</v>
      </c>
      <c r="R1431" s="234">
        <v>14592.5</v>
      </c>
      <c r="S1431" s="234" t="s">
        <v>3772</v>
      </c>
      <c r="T1431" s="236">
        <v>45969</v>
      </c>
    </row>
    <row r="1432" spans="1:20" ht="51" hidden="1">
      <c r="A1432" s="239" t="s">
        <v>3748</v>
      </c>
      <c r="B1432" s="240">
        <v>2993</v>
      </c>
      <c r="C1432" s="241">
        <v>326</v>
      </c>
      <c r="D1432" s="239" t="s">
        <v>2881</v>
      </c>
      <c r="E1432" s="239" t="s">
        <v>380</v>
      </c>
      <c r="F1432" s="239" t="s">
        <v>381</v>
      </c>
      <c r="G1432" s="239" t="s">
        <v>956</v>
      </c>
      <c r="H1432" s="239" t="s">
        <v>51</v>
      </c>
      <c r="I1432" s="239" t="s">
        <v>2882</v>
      </c>
      <c r="J1432" s="233"/>
      <c r="K1432" s="235">
        <v>45969</v>
      </c>
      <c r="L1432" s="233">
        <v>1.2</v>
      </c>
      <c r="M1432" s="234" t="s">
        <v>956</v>
      </c>
      <c r="N1432" s="234">
        <v>38530</v>
      </c>
      <c r="O1432" s="234">
        <v>15180</v>
      </c>
      <c r="P1432" s="242">
        <v>23</v>
      </c>
      <c r="Q1432" s="234">
        <v>23350</v>
      </c>
      <c r="R1432" s="234">
        <v>17979.5</v>
      </c>
      <c r="S1432" s="234" t="s">
        <v>3773</v>
      </c>
      <c r="T1432" s="236">
        <v>45969</v>
      </c>
    </row>
    <row r="1433" spans="1:20" ht="38.25" hidden="1">
      <c r="A1433" s="239" t="s">
        <v>3749</v>
      </c>
      <c r="B1433" s="240">
        <v>2994</v>
      </c>
      <c r="C1433" s="241">
        <v>327</v>
      </c>
      <c r="D1433" s="239" t="s">
        <v>2881</v>
      </c>
      <c r="E1433" s="239" t="s">
        <v>400</v>
      </c>
      <c r="F1433" s="239" t="s">
        <v>401</v>
      </c>
      <c r="G1433" s="239" t="s">
        <v>956</v>
      </c>
      <c r="H1433" s="239" t="s">
        <v>51</v>
      </c>
      <c r="I1433" s="239" t="s">
        <v>2882</v>
      </c>
      <c r="J1433" s="233"/>
      <c r="K1433" s="235">
        <v>45969</v>
      </c>
      <c r="L1433" s="233">
        <v>1.2</v>
      </c>
      <c r="M1433" s="234" t="s">
        <v>956</v>
      </c>
      <c r="N1433" s="234">
        <v>38760</v>
      </c>
      <c r="O1433" s="234">
        <v>15000</v>
      </c>
      <c r="P1433" s="242">
        <v>38</v>
      </c>
      <c r="Q1433" s="234">
        <v>23760</v>
      </c>
      <c r="R1433" s="234">
        <v>14731.2</v>
      </c>
      <c r="S1433" s="234" t="s">
        <v>3774</v>
      </c>
      <c r="T1433" s="236">
        <v>45970</v>
      </c>
    </row>
    <row r="1434" spans="1:20" ht="38.25" hidden="1">
      <c r="A1434" s="239" t="s">
        <v>3750</v>
      </c>
      <c r="B1434" s="240">
        <v>2995</v>
      </c>
      <c r="C1434" s="241">
        <v>329</v>
      </c>
      <c r="D1434" s="239" t="s">
        <v>2881</v>
      </c>
      <c r="E1434" s="239" t="s">
        <v>858</v>
      </c>
      <c r="F1434" s="239" t="s">
        <v>859</v>
      </c>
      <c r="G1434" s="239" t="s">
        <v>956</v>
      </c>
      <c r="H1434" s="239" t="s">
        <v>51</v>
      </c>
      <c r="I1434" s="239" t="s">
        <v>2882</v>
      </c>
      <c r="J1434" s="233"/>
      <c r="K1434" s="235">
        <v>45969</v>
      </c>
      <c r="L1434" s="233">
        <v>1.3</v>
      </c>
      <c r="M1434" s="234" t="s">
        <v>956</v>
      </c>
      <c r="N1434" s="234">
        <v>40920</v>
      </c>
      <c r="O1434" s="234">
        <v>14930</v>
      </c>
      <c r="P1434" s="242">
        <v>24</v>
      </c>
      <c r="Q1434" s="234">
        <v>25990</v>
      </c>
      <c r="R1434" s="234">
        <v>19752.400000000001</v>
      </c>
      <c r="S1434" s="234" t="s">
        <v>3775</v>
      </c>
      <c r="T1434" s="236">
        <v>45970</v>
      </c>
    </row>
    <row r="1435" spans="1:20" ht="25.5" hidden="1">
      <c r="A1435" s="239" t="s">
        <v>3751</v>
      </c>
      <c r="B1435" s="240">
        <v>2996</v>
      </c>
      <c r="C1435" s="241">
        <v>330</v>
      </c>
      <c r="D1435" s="239" t="s">
        <v>2881</v>
      </c>
      <c r="E1435" s="239" t="s">
        <v>374</v>
      </c>
      <c r="F1435" s="239" t="s">
        <v>375</v>
      </c>
      <c r="G1435" s="239" t="s">
        <v>956</v>
      </c>
      <c r="H1435" s="239" t="s">
        <v>51</v>
      </c>
      <c r="I1435" s="239" t="s">
        <v>2882</v>
      </c>
      <c r="J1435" s="233"/>
      <c r="K1435" s="235">
        <v>45969</v>
      </c>
      <c r="L1435" s="233">
        <v>1.3</v>
      </c>
      <c r="M1435" s="234" t="s">
        <v>956</v>
      </c>
      <c r="N1435" s="234">
        <v>39980</v>
      </c>
      <c r="O1435" s="234">
        <v>15730</v>
      </c>
      <c r="P1435" s="242">
        <v>23</v>
      </c>
      <c r="Q1435" s="234">
        <v>24250</v>
      </c>
      <c r="R1435" s="234">
        <v>18672.5</v>
      </c>
      <c r="S1435" s="234" t="s">
        <v>3776</v>
      </c>
      <c r="T1435" s="236">
        <v>45970</v>
      </c>
    </row>
    <row r="1436" spans="1:20" ht="25.5" hidden="1">
      <c r="A1436" s="239" t="s">
        <v>3752</v>
      </c>
      <c r="B1436" s="240">
        <v>2997</v>
      </c>
      <c r="C1436" s="241">
        <v>332</v>
      </c>
      <c r="D1436" s="239" t="s">
        <v>2881</v>
      </c>
      <c r="E1436" s="239" t="s">
        <v>425</v>
      </c>
      <c r="F1436" s="239" t="s">
        <v>426</v>
      </c>
      <c r="G1436" s="239" t="s">
        <v>956</v>
      </c>
      <c r="H1436" s="239" t="s">
        <v>51</v>
      </c>
      <c r="I1436" s="239" t="s">
        <v>2882</v>
      </c>
      <c r="J1436" s="233"/>
      <c r="K1436" s="235">
        <v>45969</v>
      </c>
      <c r="L1436" s="233">
        <v>1.6</v>
      </c>
      <c r="M1436" s="234" t="s">
        <v>956</v>
      </c>
      <c r="N1436" s="234">
        <v>49950</v>
      </c>
      <c r="O1436" s="234">
        <v>18900</v>
      </c>
      <c r="P1436" s="242">
        <v>28</v>
      </c>
      <c r="Q1436" s="234">
        <v>31050</v>
      </c>
      <c r="R1436" s="234">
        <v>22356</v>
      </c>
      <c r="S1436" s="234" t="s">
        <v>3777</v>
      </c>
      <c r="T1436" s="236">
        <v>45970</v>
      </c>
    </row>
    <row r="1437" spans="1:20" ht="38.25" hidden="1">
      <c r="A1437" s="239" t="s">
        <v>3753</v>
      </c>
      <c r="B1437" s="240">
        <v>2998</v>
      </c>
      <c r="C1437" s="241">
        <v>331</v>
      </c>
      <c r="D1437" s="239" t="s">
        <v>2881</v>
      </c>
      <c r="E1437" s="239" t="s">
        <v>388</v>
      </c>
      <c r="F1437" s="239" t="s">
        <v>389</v>
      </c>
      <c r="G1437" s="239" t="s">
        <v>956</v>
      </c>
      <c r="H1437" s="239" t="s">
        <v>51</v>
      </c>
      <c r="I1437" s="239" t="s">
        <v>2882</v>
      </c>
      <c r="J1437" s="233"/>
      <c r="K1437" s="235">
        <v>45969</v>
      </c>
      <c r="L1437" s="233">
        <v>2.1</v>
      </c>
      <c r="M1437" s="234" t="s">
        <v>956</v>
      </c>
      <c r="N1437" s="234">
        <v>61810</v>
      </c>
      <c r="O1437" s="234">
        <v>21330</v>
      </c>
      <c r="P1437" s="242">
        <v>23</v>
      </c>
      <c r="Q1437" s="234">
        <v>40480</v>
      </c>
      <c r="R1437" s="234">
        <v>31169.599999999999</v>
      </c>
      <c r="S1437" s="234" t="s">
        <v>3778</v>
      </c>
      <c r="T1437" s="236">
        <v>45970</v>
      </c>
    </row>
    <row r="1438" spans="1:20" ht="25.5" hidden="1">
      <c r="A1438" s="239" t="s">
        <v>3754</v>
      </c>
      <c r="B1438" s="240">
        <v>2999</v>
      </c>
      <c r="C1438" s="241">
        <v>333</v>
      </c>
      <c r="D1438" s="239" t="s">
        <v>2881</v>
      </c>
      <c r="E1438" s="239" t="s">
        <v>2793</v>
      </c>
      <c r="F1438" s="239" t="s">
        <v>2794</v>
      </c>
      <c r="G1438" s="239" t="s">
        <v>956</v>
      </c>
      <c r="H1438" s="239" t="s">
        <v>51</v>
      </c>
      <c r="I1438" s="239" t="s">
        <v>2882</v>
      </c>
      <c r="J1438" s="233"/>
      <c r="K1438" s="235">
        <v>45969</v>
      </c>
      <c r="L1438" s="233">
        <v>1.4</v>
      </c>
      <c r="M1438" s="234" t="s">
        <v>956</v>
      </c>
      <c r="N1438" s="234">
        <v>44980</v>
      </c>
      <c r="O1438" s="234">
        <v>17590</v>
      </c>
      <c r="P1438" s="242">
        <v>37</v>
      </c>
      <c r="Q1438" s="234">
        <v>27390</v>
      </c>
      <c r="R1438" s="234">
        <v>17255.7</v>
      </c>
      <c r="S1438" s="234" t="s">
        <v>3779</v>
      </c>
      <c r="T1438" s="236">
        <v>45970</v>
      </c>
    </row>
    <row r="1439" spans="1:20" ht="38.25" hidden="1">
      <c r="A1439" s="239" t="s">
        <v>3755</v>
      </c>
      <c r="B1439" s="240">
        <v>3000</v>
      </c>
      <c r="C1439" s="241">
        <v>334</v>
      </c>
      <c r="D1439" s="239" t="s">
        <v>2881</v>
      </c>
      <c r="E1439" s="239" t="s">
        <v>377</v>
      </c>
      <c r="F1439" s="239" t="s">
        <v>378</v>
      </c>
      <c r="G1439" s="239" t="s">
        <v>956</v>
      </c>
      <c r="H1439" s="239" t="s">
        <v>51</v>
      </c>
      <c r="I1439" s="239" t="s">
        <v>2882</v>
      </c>
      <c r="J1439" s="233"/>
      <c r="K1439" s="235">
        <v>45969</v>
      </c>
      <c r="L1439" s="233">
        <v>1.3</v>
      </c>
      <c r="M1439" s="234" t="s">
        <v>956</v>
      </c>
      <c r="N1439" s="234">
        <v>40940</v>
      </c>
      <c r="O1439" s="234">
        <v>15200</v>
      </c>
      <c r="P1439" s="242">
        <v>39</v>
      </c>
      <c r="Q1439" s="234">
        <v>25740</v>
      </c>
      <c r="R1439" s="234">
        <v>15701.4</v>
      </c>
      <c r="S1439" s="234" t="s">
        <v>3780</v>
      </c>
      <c r="T1439" s="236">
        <v>45970</v>
      </c>
    </row>
    <row r="1440" spans="1:20" ht="25.5" hidden="1">
      <c r="A1440" s="239" t="s">
        <v>3756</v>
      </c>
      <c r="B1440" s="240">
        <v>3001</v>
      </c>
      <c r="C1440" s="241">
        <v>335</v>
      </c>
      <c r="D1440" s="239" t="s">
        <v>2881</v>
      </c>
      <c r="E1440" s="239" t="s">
        <v>403</v>
      </c>
      <c r="F1440" s="239" t="s">
        <v>404</v>
      </c>
      <c r="G1440" s="239" t="s">
        <v>956</v>
      </c>
      <c r="H1440" s="239" t="s">
        <v>51</v>
      </c>
      <c r="I1440" s="239" t="s">
        <v>2882</v>
      </c>
      <c r="J1440" s="233"/>
      <c r="K1440" s="235">
        <v>45969</v>
      </c>
      <c r="L1440" s="233">
        <v>1.2</v>
      </c>
      <c r="M1440" s="234" t="s">
        <v>956</v>
      </c>
      <c r="N1440" s="234">
        <v>38080</v>
      </c>
      <c r="O1440" s="234">
        <v>14600</v>
      </c>
      <c r="P1440" s="242">
        <v>34</v>
      </c>
      <c r="Q1440" s="234">
        <v>23480</v>
      </c>
      <c r="R1440" s="234">
        <v>15496.8</v>
      </c>
      <c r="S1440" s="234" t="s">
        <v>3781</v>
      </c>
      <c r="T1440" s="236">
        <v>45970</v>
      </c>
    </row>
    <row r="1441" spans="1:20" ht="38.25" hidden="1">
      <c r="A1441" s="239" t="s">
        <v>3757</v>
      </c>
      <c r="B1441" s="240">
        <v>3002</v>
      </c>
      <c r="C1441" s="241">
        <v>336</v>
      </c>
      <c r="D1441" s="239" t="s">
        <v>2881</v>
      </c>
      <c r="E1441" s="239" t="s">
        <v>406</v>
      </c>
      <c r="F1441" s="239" t="s">
        <v>407</v>
      </c>
      <c r="G1441" s="239" t="s">
        <v>956</v>
      </c>
      <c r="H1441" s="239" t="s">
        <v>51</v>
      </c>
      <c r="I1441" s="239" t="s">
        <v>2882</v>
      </c>
      <c r="J1441" s="233"/>
      <c r="K1441" s="235">
        <v>45969</v>
      </c>
      <c r="L1441" s="233">
        <v>1.2</v>
      </c>
      <c r="M1441" s="234" t="s">
        <v>956</v>
      </c>
      <c r="N1441" s="234">
        <v>38030</v>
      </c>
      <c r="O1441" s="234">
        <v>15230</v>
      </c>
      <c r="P1441" s="242">
        <v>27</v>
      </c>
      <c r="Q1441" s="234">
        <v>22800</v>
      </c>
      <c r="R1441" s="234">
        <v>16644</v>
      </c>
      <c r="S1441" s="234" t="s">
        <v>3782</v>
      </c>
      <c r="T1441" s="236">
        <v>45970</v>
      </c>
    </row>
    <row r="1442" spans="1:20" ht="38.25" hidden="1">
      <c r="A1442" s="239" t="s">
        <v>3758</v>
      </c>
      <c r="B1442" s="240">
        <v>3003</v>
      </c>
      <c r="C1442" s="241">
        <v>337</v>
      </c>
      <c r="D1442" s="239" t="s">
        <v>2881</v>
      </c>
      <c r="E1442" s="239" t="s">
        <v>392</v>
      </c>
      <c r="F1442" s="239" t="s">
        <v>393</v>
      </c>
      <c r="G1442" s="239" t="s">
        <v>956</v>
      </c>
      <c r="H1442" s="239" t="s">
        <v>51</v>
      </c>
      <c r="I1442" s="239" t="s">
        <v>2882</v>
      </c>
      <c r="J1442" s="233"/>
      <c r="K1442" s="235">
        <v>45969</v>
      </c>
      <c r="L1442" s="233">
        <v>2</v>
      </c>
      <c r="M1442" s="234" t="s">
        <v>956</v>
      </c>
      <c r="N1442" s="234">
        <v>62190</v>
      </c>
      <c r="O1442" s="234">
        <v>24320</v>
      </c>
      <c r="P1442" s="242">
        <v>23</v>
      </c>
      <c r="Q1442" s="234">
        <v>37870</v>
      </c>
      <c r="R1442" s="234">
        <v>29159.9</v>
      </c>
      <c r="S1442" s="234" t="s">
        <v>3783</v>
      </c>
      <c r="T1442" s="236">
        <v>45970</v>
      </c>
    </row>
    <row r="1443" spans="1:20" ht="38.25" hidden="1">
      <c r="A1443" s="239" t="s">
        <v>3759</v>
      </c>
      <c r="B1443" s="240">
        <v>3004</v>
      </c>
      <c r="C1443" s="241">
        <v>338</v>
      </c>
      <c r="D1443" s="239" t="s">
        <v>2881</v>
      </c>
      <c r="E1443" s="239" t="s">
        <v>413</v>
      </c>
      <c r="F1443" s="239" t="s">
        <v>414</v>
      </c>
      <c r="G1443" s="239" t="s">
        <v>956</v>
      </c>
      <c r="H1443" s="239" t="s">
        <v>51</v>
      </c>
      <c r="I1443" s="239" t="s">
        <v>2882</v>
      </c>
      <c r="J1443" s="233"/>
      <c r="K1443" s="235">
        <v>45970</v>
      </c>
      <c r="L1443" s="233">
        <v>1.3</v>
      </c>
      <c r="M1443" s="234" t="s">
        <v>956</v>
      </c>
      <c r="N1443" s="234">
        <v>41780</v>
      </c>
      <c r="O1443" s="234">
        <v>15240</v>
      </c>
      <c r="P1443" s="242">
        <v>18</v>
      </c>
      <c r="Q1443" s="234">
        <v>26540</v>
      </c>
      <c r="R1443" s="234">
        <v>21762.799999999999</v>
      </c>
      <c r="S1443" s="234" t="s">
        <v>3784</v>
      </c>
      <c r="T1443" s="236">
        <v>45970</v>
      </c>
    </row>
    <row r="1444" spans="1:20" ht="38.25" hidden="1">
      <c r="A1444" s="239" t="s">
        <v>3760</v>
      </c>
      <c r="B1444" s="240">
        <v>3005</v>
      </c>
      <c r="C1444" s="241">
        <v>339</v>
      </c>
      <c r="D1444" s="239" t="s">
        <v>2881</v>
      </c>
      <c r="E1444" s="239" t="s">
        <v>432</v>
      </c>
      <c r="F1444" s="239" t="s">
        <v>433</v>
      </c>
      <c r="G1444" s="239" t="s">
        <v>956</v>
      </c>
      <c r="H1444" s="239" t="s">
        <v>51</v>
      </c>
      <c r="I1444" s="239" t="s">
        <v>2882</v>
      </c>
      <c r="J1444" s="233"/>
      <c r="K1444" s="235">
        <v>45970</v>
      </c>
      <c r="L1444" s="233">
        <v>1.4</v>
      </c>
      <c r="M1444" s="234" t="s">
        <v>956</v>
      </c>
      <c r="N1444" s="234">
        <v>43500</v>
      </c>
      <c r="O1444" s="234">
        <v>15920</v>
      </c>
      <c r="P1444" s="242">
        <v>23</v>
      </c>
      <c r="Q1444" s="234">
        <v>27580</v>
      </c>
      <c r="R1444" s="234">
        <v>21236.6</v>
      </c>
      <c r="S1444" s="234" t="s">
        <v>3785</v>
      </c>
      <c r="T1444" s="236">
        <v>45970</v>
      </c>
    </row>
    <row r="1445" spans="1:20" ht="25.5" hidden="1">
      <c r="A1445" s="239" t="s">
        <v>3761</v>
      </c>
      <c r="B1445" s="240">
        <v>3006</v>
      </c>
      <c r="C1445" s="241">
        <v>340</v>
      </c>
      <c r="D1445" s="239" t="s">
        <v>2881</v>
      </c>
      <c r="E1445" s="239" t="s">
        <v>429</v>
      </c>
      <c r="F1445" s="239" t="s">
        <v>430</v>
      </c>
      <c r="G1445" s="239" t="s">
        <v>956</v>
      </c>
      <c r="H1445" s="239" t="s">
        <v>51</v>
      </c>
      <c r="I1445" s="239" t="s">
        <v>2882</v>
      </c>
      <c r="J1445" s="233"/>
      <c r="K1445" s="235">
        <v>45970</v>
      </c>
      <c r="L1445" s="233">
        <v>1.4</v>
      </c>
      <c r="M1445" s="234" t="s">
        <v>956</v>
      </c>
      <c r="N1445" s="234">
        <v>41930</v>
      </c>
      <c r="O1445" s="234">
        <v>14610</v>
      </c>
      <c r="P1445" s="242">
        <v>19</v>
      </c>
      <c r="Q1445" s="234">
        <v>27320</v>
      </c>
      <c r="R1445" s="234">
        <v>22129.200000000001</v>
      </c>
      <c r="S1445" s="234" t="s">
        <v>3786</v>
      </c>
      <c r="T1445" s="236">
        <v>45970</v>
      </c>
    </row>
    <row r="1446" spans="1:20" ht="51" hidden="1">
      <c r="A1446" s="239" t="s">
        <v>3762</v>
      </c>
      <c r="B1446" s="240">
        <v>3008</v>
      </c>
      <c r="C1446" s="241">
        <v>341</v>
      </c>
      <c r="D1446" s="239" t="s">
        <v>2881</v>
      </c>
      <c r="E1446" s="239" t="s">
        <v>1410</v>
      </c>
      <c r="F1446" s="239" t="s">
        <v>437</v>
      </c>
      <c r="G1446" s="239" t="s">
        <v>956</v>
      </c>
      <c r="H1446" s="239" t="s">
        <v>51</v>
      </c>
      <c r="I1446" s="239" t="s">
        <v>2882</v>
      </c>
      <c r="J1446" s="233"/>
      <c r="K1446" s="235">
        <v>45970</v>
      </c>
      <c r="L1446" s="233">
        <v>1.3</v>
      </c>
      <c r="M1446" s="234" t="s">
        <v>956</v>
      </c>
      <c r="N1446" s="234">
        <v>40410</v>
      </c>
      <c r="O1446" s="234">
        <v>15120</v>
      </c>
      <c r="P1446" s="242">
        <v>21</v>
      </c>
      <c r="Q1446" s="234">
        <v>25290</v>
      </c>
      <c r="R1446" s="234">
        <v>19979.099999999999</v>
      </c>
      <c r="S1446" s="234" t="s">
        <v>3787</v>
      </c>
      <c r="T1446" s="236">
        <v>45970</v>
      </c>
    </row>
    <row r="1447" spans="1:20" ht="38.25" hidden="1">
      <c r="A1447" s="239" t="s">
        <v>3763</v>
      </c>
      <c r="B1447" s="240">
        <v>3009</v>
      </c>
      <c r="C1447" s="241">
        <v>342</v>
      </c>
      <c r="D1447" s="239" t="s">
        <v>2881</v>
      </c>
      <c r="E1447" s="239" t="s">
        <v>439</v>
      </c>
      <c r="F1447" s="239" t="s">
        <v>440</v>
      </c>
      <c r="G1447" s="239" t="s">
        <v>956</v>
      </c>
      <c r="H1447" s="239" t="s">
        <v>51</v>
      </c>
      <c r="I1447" s="239" t="s">
        <v>2882</v>
      </c>
      <c r="J1447" s="233"/>
      <c r="K1447" s="235">
        <v>45970</v>
      </c>
      <c r="L1447" s="233">
        <v>1.4</v>
      </c>
      <c r="M1447" s="234" t="s">
        <v>956</v>
      </c>
      <c r="N1447" s="234">
        <v>44030</v>
      </c>
      <c r="O1447" s="234">
        <v>15320</v>
      </c>
      <c r="P1447" s="242">
        <v>26</v>
      </c>
      <c r="Q1447" s="234">
        <v>28710</v>
      </c>
      <c r="R1447" s="234">
        <v>21245.4</v>
      </c>
      <c r="S1447" s="234" t="s">
        <v>3788</v>
      </c>
      <c r="T1447" s="236">
        <v>45970</v>
      </c>
    </row>
    <row r="1448" spans="1:20" ht="38.25" hidden="1">
      <c r="A1448" s="239" t="s">
        <v>3764</v>
      </c>
      <c r="B1448" s="240">
        <v>3010</v>
      </c>
      <c r="C1448" s="241">
        <v>343</v>
      </c>
      <c r="D1448" s="239" t="s">
        <v>2881</v>
      </c>
      <c r="E1448" s="239" t="s">
        <v>447</v>
      </c>
      <c r="F1448" s="239" t="s">
        <v>448</v>
      </c>
      <c r="G1448" s="239" t="s">
        <v>956</v>
      </c>
      <c r="H1448" s="239" t="s">
        <v>51</v>
      </c>
      <c r="I1448" s="239" t="s">
        <v>2882</v>
      </c>
      <c r="J1448" s="233"/>
      <c r="K1448" s="235">
        <v>45970</v>
      </c>
      <c r="L1448" s="233">
        <v>1.7</v>
      </c>
      <c r="M1448" s="234" t="s">
        <v>956</v>
      </c>
      <c r="N1448" s="234">
        <v>52560</v>
      </c>
      <c r="O1448" s="234">
        <v>19660</v>
      </c>
      <c r="P1448" s="242">
        <v>40</v>
      </c>
      <c r="Q1448" s="234">
        <v>32900</v>
      </c>
      <c r="R1448" s="234">
        <v>19740</v>
      </c>
      <c r="S1448" s="234" t="s">
        <v>3789</v>
      </c>
      <c r="T1448" s="236">
        <v>45970</v>
      </c>
    </row>
    <row r="1449" spans="1:20" ht="38.25" hidden="1">
      <c r="A1449" s="239" t="s">
        <v>3765</v>
      </c>
      <c r="B1449" s="240">
        <v>3011</v>
      </c>
      <c r="C1449" s="241">
        <v>344</v>
      </c>
      <c r="D1449" s="239" t="s">
        <v>2881</v>
      </c>
      <c r="E1449" s="239" t="s">
        <v>453</v>
      </c>
      <c r="F1449" s="239" t="s">
        <v>454</v>
      </c>
      <c r="G1449" s="239" t="s">
        <v>956</v>
      </c>
      <c r="H1449" s="239" t="s">
        <v>51</v>
      </c>
      <c r="I1449" s="239" t="s">
        <v>2882</v>
      </c>
      <c r="J1449" s="233"/>
      <c r="K1449" s="235">
        <v>45970</v>
      </c>
      <c r="L1449" s="233">
        <v>2.1</v>
      </c>
      <c r="M1449" s="234" t="s">
        <v>956</v>
      </c>
      <c r="N1449" s="234">
        <v>65320</v>
      </c>
      <c r="O1449" s="234">
        <v>24720</v>
      </c>
      <c r="P1449" s="242">
        <v>17</v>
      </c>
      <c r="Q1449" s="234">
        <v>40600</v>
      </c>
      <c r="R1449" s="234">
        <v>33698</v>
      </c>
      <c r="S1449" s="234" t="s">
        <v>3790</v>
      </c>
      <c r="T1449" s="236">
        <v>45970</v>
      </c>
    </row>
    <row r="1450" spans="1:20" ht="38.25" hidden="1">
      <c r="A1450" s="239" t="s">
        <v>3791</v>
      </c>
      <c r="B1450" s="240">
        <v>2932</v>
      </c>
      <c r="C1450" s="241">
        <v>8336</v>
      </c>
      <c r="D1450" s="239" t="s">
        <v>2511</v>
      </c>
      <c r="E1450" s="239" t="s">
        <v>456</v>
      </c>
      <c r="F1450" s="239" t="s">
        <v>457</v>
      </c>
      <c r="G1450" s="239" t="s">
        <v>934</v>
      </c>
      <c r="H1450" s="239" t="s">
        <v>42</v>
      </c>
      <c r="I1450" s="239" t="s">
        <v>2512</v>
      </c>
      <c r="J1450" s="233"/>
      <c r="K1450" s="235">
        <v>45965</v>
      </c>
      <c r="L1450" s="233">
        <v>2</v>
      </c>
      <c r="M1450" s="234" t="s">
        <v>934</v>
      </c>
      <c r="N1450" s="234">
        <v>49130</v>
      </c>
      <c r="O1450" s="234">
        <v>15960</v>
      </c>
      <c r="P1450" s="242">
        <v>19</v>
      </c>
      <c r="Q1450" s="234">
        <v>28130</v>
      </c>
      <c r="R1450" s="234">
        <v>22785.3</v>
      </c>
      <c r="S1450" s="234" t="s">
        <v>3792</v>
      </c>
      <c r="T1450" s="236">
        <v>45966</v>
      </c>
    </row>
    <row r="1451" spans="1:20" ht="38.25" hidden="1">
      <c r="A1451" s="239" t="s">
        <v>3793</v>
      </c>
      <c r="B1451" s="240">
        <v>3012</v>
      </c>
      <c r="C1451" s="241">
        <v>345</v>
      </c>
      <c r="D1451" s="239" t="s">
        <v>2881</v>
      </c>
      <c r="E1451" s="239" t="s">
        <v>456</v>
      </c>
      <c r="F1451" s="239" t="s">
        <v>457</v>
      </c>
      <c r="G1451" s="239" t="s">
        <v>956</v>
      </c>
      <c r="H1451" s="239" t="s">
        <v>51</v>
      </c>
      <c r="I1451" s="239" t="s">
        <v>2882</v>
      </c>
      <c r="J1451" s="233"/>
      <c r="K1451" s="235">
        <v>45970</v>
      </c>
      <c r="L1451" s="233">
        <v>1.6</v>
      </c>
      <c r="M1451" s="234" t="s">
        <v>956</v>
      </c>
      <c r="N1451" s="234">
        <v>46980</v>
      </c>
      <c r="O1451" s="234">
        <v>16090</v>
      </c>
      <c r="P1451" s="242">
        <v>26</v>
      </c>
      <c r="Q1451" s="234">
        <v>30890</v>
      </c>
      <c r="R1451" s="234">
        <v>22858.6</v>
      </c>
      <c r="S1451" s="234" t="s">
        <v>3797</v>
      </c>
      <c r="T1451" s="236">
        <v>45970</v>
      </c>
    </row>
    <row r="1452" spans="1:20" ht="25.5" hidden="1">
      <c r="A1452" s="239" t="s">
        <v>3794</v>
      </c>
      <c r="B1452" s="240">
        <v>3013</v>
      </c>
      <c r="C1452" s="241">
        <v>348</v>
      </c>
      <c r="D1452" s="239" t="s">
        <v>2881</v>
      </c>
      <c r="E1452" s="239" t="s">
        <v>384</v>
      </c>
      <c r="F1452" s="239" t="s">
        <v>385</v>
      </c>
      <c r="G1452" s="239" t="s">
        <v>956</v>
      </c>
      <c r="H1452" s="239" t="s">
        <v>51</v>
      </c>
      <c r="I1452" s="239" t="s">
        <v>2882</v>
      </c>
      <c r="J1452" s="233"/>
      <c r="K1452" s="235">
        <v>45970</v>
      </c>
      <c r="L1452" s="233">
        <v>1.1000000000000001</v>
      </c>
      <c r="M1452" s="234" t="s">
        <v>956</v>
      </c>
      <c r="N1452" s="234">
        <v>35360</v>
      </c>
      <c r="O1452" s="234">
        <v>13940</v>
      </c>
      <c r="P1452" s="242">
        <v>33</v>
      </c>
      <c r="Q1452" s="234">
        <v>21420</v>
      </c>
      <c r="R1452" s="234">
        <v>14351.4</v>
      </c>
      <c r="S1452" s="234" t="s">
        <v>3798</v>
      </c>
      <c r="T1452" s="236">
        <v>45970</v>
      </c>
    </row>
    <row r="1453" spans="1:20" ht="38.25" hidden="1">
      <c r="A1453" s="239" t="s">
        <v>3795</v>
      </c>
      <c r="B1453" s="240">
        <v>3014</v>
      </c>
      <c r="C1453" s="241">
        <v>347</v>
      </c>
      <c r="D1453" s="239" t="s">
        <v>2881</v>
      </c>
      <c r="E1453" s="239" t="s">
        <v>420</v>
      </c>
      <c r="F1453" s="239" t="s">
        <v>421</v>
      </c>
      <c r="G1453" s="239" t="s">
        <v>956</v>
      </c>
      <c r="H1453" s="239" t="s">
        <v>51</v>
      </c>
      <c r="I1453" s="239" t="s">
        <v>2882</v>
      </c>
      <c r="J1453" s="233"/>
      <c r="K1453" s="235">
        <v>45970</v>
      </c>
      <c r="L1453" s="233">
        <v>1.1000000000000001</v>
      </c>
      <c r="M1453" s="234" t="s">
        <v>956</v>
      </c>
      <c r="N1453" s="234">
        <v>37640</v>
      </c>
      <c r="O1453" s="234">
        <v>15090</v>
      </c>
      <c r="P1453" s="242">
        <v>47</v>
      </c>
      <c r="Q1453" s="234">
        <v>22550</v>
      </c>
      <c r="R1453" s="234">
        <v>11951.5</v>
      </c>
      <c r="S1453" s="234" t="s">
        <v>3799</v>
      </c>
      <c r="T1453" s="236">
        <v>45970</v>
      </c>
    </row>
    <row r="1454" spans="1:20" ht="38.25" hidden="1">
      <c r="A1454" s="239" t="s">
        <v>3796</v>
      </c>
      <c r="B1454" s="240">
        <v>3015</v>
      </c>
      <c r="C1454" s="241">
        <v>346</v>
      </c>
      <c r="D1454" s="239" t="s">
        <v>2881</v>
      </c>
      <c r="E1454" s="239" t="s">
        <v>416</v>
      </c>
      <c r="F1454" s="239" t="s">
        <v>417</v>
      </c>
      <c r="G1454" s="239" t="s">
        <v>956</v>
      </c>
      <c r="H1454" s="239" t="s">
        <v>51</v>
      </c>
      <c r="I1454" s="239" t="s">
        <v>2882</v>
      </c>
      <c r="J1454" s="233"/>
      <c r="K1454" s="235">
        <v>45970</v>
      </c>
      <c r="L1454" s="233">
        <v>1.2</v>
      </c>
      <c r="M1454" s="234" t="s">
        <v>956</v>
      </c>
      <c r="N1454" s="234">
        <v>37810</v>
      </c>
      <c r="O1454" s="234">
        <v>14970</v>
      </c>
      <c r="P1454" s="242">
        <v>36</v>
      </c>
      <c r="Q1454" s="234">
        <v>22840</v>
      </c>
      <c r="R1454" s="234">
        <v>14617.6</v>
      </c>
      <c r="S1454" s="234" t="s">
        <v>3800</v>
      </c>
      <c r="T1454" s="236">
        <v>45970</v>
      </c>
    </row>
    <row r="1455" spans="1:20" ht="25.5" hidden="1">
      <c r="A1455" s="239" t="s">
        <v>3801</v>
      </c>
      <c r="B1455" s="240">
        <v>3016</v>
      </c>
      <c r="C1455" s="241">
        <v>349</v>
      </c>
      <c r="D1455" s="239" t="s">
        <v>2881</v>
      </c>
      <c r="E1455" s="239" t="s">
        <v>780</v>
      </c>
      <c r="F1455" s="239" t="s">
        <v>781</v>
      </c>
      <c r="G1455" s="239" t="s">
        <v>956</v>
      </c>
      <c r="H1455" s="239" t="s">
        <v>51</v>
      </c>
      <c r="I1455" s="239" t="s">
        <v>2882</v>
      </c>
      <c r="J1455" s="233"/>
      <c r="K1455" s="235">
        <v>45970</v>
      </c>
      <c r="L1455" s="233">
        <v>1.1000000000000001</v>
      </c>
      <c r="M1455" s="234" t="s">
        <v>956</v>
      </c>
      <c r="N1455" s="234">
        <v>36200</v>
      </c>
      <c r="O1455" s="234">
        <v>14980</v>
      </c>
      <c r="P1455" s="242">
        <v>39</v>
      </c>
      <c r="Q1455" s="234">
        <v>21220</v>
      </c>
      <c r="R1455" s="234">
        <v>12944.2</v>
      </c>
      <c r="S1455" s="234" t="s">
        <v>3806</v>
      </c>
      <c r="T1455" s="236">
        <v>45970</v>
      </c>
    </row>
    <row r="1456" spans="1:20" ht="38.25" hidden="1">
      <c r="A1456" s="239" t="s">
        <v>3802</v>
      </c>
      <c r="B1456" s="240">
        <v>3017</v>
      </c>
      <c r="C1456" s="241">
        <v>350</v>
      </c>
      <c r="D1456" s="239" t="s">
        <v>2881</v>
      </c>
      <c r="E1456" s="239" t="s">
        <v>442</v>
      </c>
      <c r="F1456" s="239" t="s">
        <v>443</v>
      </c>
      <c r="G1456" s="239" t="s">
        <v>956</v>
      </c>
      <c r="H1456" s="239" t="s">
        <v>51</v>
      </c>
      <c r="I1456" s="239" t="s">
        <v>2882</v>
      </c>
      <c r="J1456" s="233"/>
      <c r="K1456" s="235">
        <v>45970</v>
      </c>
      <c r="L1456" s="233">
        <v>1</v>
      </c>
      <c r="M1456" s="234" t="s">
        <v>956</v>
      </c>
      <c r="N1456" s="234">
        <v>34090</v>
      </c>
      <c r="O1456" s="234">
        <v>14640</v>
      </c>
      <c r="P1456" s="242">
        <v>43</v>
      </c>
      <c r="Q1456" s="234">
        <v>19450</v>
      </c>
      <c r="R1456" s="234">
        <v>11086.5</v>
      </c>
      <c r="S1456" s="234" t="s">
        <v>3807</v>
      </c>
      <c r="T1456" s="236">
        <v>45970</v>
      </c>
    </row>
    <row r="1457" spans="1:20" ht="25.5" hidden="1">
      <c r="A1457" s="239" t="s">
        <v>3803</v>
      </c>
      <c r="B1457" s="240">
        <v>3018</v>
      </c>
      <c r="C1457" s="241">
        <v>351</v>
      </c>
      <c r="D1457" s="239" t="s">
        <v>2881</v>
      </c>
      <c r="E1457" s="239" t="s">
        <v>425</v>
      </c>
      <c r="F1457" s="239" t="s">
        <v>426</v>
      </c>
      <c r="G1457" s="239" t="s">
        <v>956</v>
      </c>
      <c r="H1457" s="239" t="s">
        <v>51</v>
      </c>
      <c r="I1457" s="239" t="s">
        <v>2882</v>
      </c>
      <c r="J1457" s="233"/>
      <c r="K1457" s="235">
        <v>45970</v>
      </c>
      <c r="L1457" s="233">
        <v>1.6</v>
      </c>
      <c r="M1457" s="234" t="s">
        <v>956</v>
      </c>
      <c r="N1457" s="234">
        <v>50930</v>
      </c>
      <c r="O1457" s="234">
        <v>18800</v>
      </c>
      <c r="P1457" s="242">
        <v>27</v>
      </c>
      <c r="Q1457" s="234">
        <v>32130</v>
      </c>
      <c r="R1457" s="234">
        <v>23454.9</v>
      </c>
      <c r="S1457" s="234" t="s">
        <v>3808</v>
      </c>
      <c r="T1457" s="236">
        <v>45970</v>
      </c>
    </row>
    <row r="1458" spans="1:20" ht="38.25" hidden="1">
      <c r="A1458" s="239" t="s">
        <v>3804</v>
      </c>
      <c r="B1458" s="240">
        <v>3019</v>
      </c>
      <c r="C1458" s="241">
        <v>353</v>
      </c>
      <c r="D1458" s="239" t="s">
        <v>2881</v>
      </c>
      <c r="E1458" s="239" t="s">
        <v>372</v>
      </c>
      <c r="F1458" s="239" t="s">
        <v>373</v>
      </c>
      <c r="G1458" s="239" t="s">
        <v>956</v>
      </c>
      <c r="H1458" s="239" t="s">
        <v>51</v>
      </c>
      <c r="I1458" s="239" t="s">
        <v>2882</v>
      </c>
      <c r="J1458" s="233"/>
      <c r="K1458" s="235">
        <v>45970</v>
      </c>
      <c r="L1458" s="233">
        <v>0.6</v>
      </c>
      <c r="M1458" s="234" t="s">
        <v>956</v>
      </c>
      <c r="N1458" s="234">
        <v>26840</v>
      </c>
      <c r="O1458" s="234">
        <v>14980</v>
      </c>
      <c r="P1458" s="242">
        <v>37</v>
      </c>
      <c r="Q1458" s="234">
        <v>11860</v>
      </c>
      <c r="R1458" s="234">
        <v>7471.8</v>
      </c>
      <c r="S1458" s="234" t="s">
        <v>3809</v>
      </c>
      <c r="T1458" s="236">
        <v>45970</v>
      </c>
    </row>
    <row r="1459" spans="1:20" ht="38.25" hidden="1">
      <c r="A1459" s="239" t="s">
        <v>3805</v>
      </c>
      <c r="B1459" s="240">
        <v>3020</v>
      </c>
      <c r="C1459" s="241">
        <v>352</v>
      </c>
      <c r="D1459" s="239" t="s">
        <v>2881</v>
      </c>
      <c r="E1459" s="239" t="s">
        <v>388</v>
      </c>
      <c r="F1459" s="239" t="s">
        <v>389</v>
      </c>
      <c r="G1459" s="239" t="s">
        <v>956</v>
      </c>
      <c r="H1459" s="239" t="s">
        <v>51</v>
      </c>
      <c r="I1459" s="239" t="s">
        <v>2882</v>
      </c>
      <c r="J1459" s="233"/>
      <c r="K1459" s="235">
        <v>45970</v>
      </c>
      <c r="L1459" s="233">
        <v>1</v>
      </c>
      <c r="M1459" s="234" t="s">
        <v>956</v>
      </c>
      <c r="N1459" s="234">
        <v>45980</v>
      </c>
      <c r="O1459" s="234">
        <v>21380</v>
      </c>
      <c r="P1459" s="242">
        <v>35</v>
      </c>
      <c r="Q1459" s="234">
        <v>24600</v>
      </c>
      <c r="R1459" s="234">
        <v>15990</v>
      </c>
      <c r="S1459" s="234" t="s">
        <v>3810</v>
      </c>
      <c r="T1459" s="236">
        <v>45970</v>
      </c>
    </row>
    <row r="1460" spans="1:20" ht="38.25" hidden="1">
      <c r="A1460" s="239" t="s">
        <v>3813</v>
      </c>
      <c r="B1460" s="240">
        <v>2932</v>
      </c>
      <c r="C1460" s="241">
        <v>8336</v>
      </c>
      <c r="D1460" s="239" t="s">
        <v>2881</v>
      </c>
      <c r="E1460" s="239" t="s">
        <v>456</v>
      </c>
      <c r="F1460" s="239" t="s">
        <v>457</v>
      </c>
      <c r="G1460" s="239" t="s">
        <v>957</v>
      </c>
      <c r="H1460" s="239" t="s">
        <v>42</v>
      </c>
      <c r="I1460" s="239" t="s">
        <v>2882</v>
      </c>
      <c r="J1460" s="233"/>
      <c r="K1460" s="235">
        <v>45965</v>
      </c>
      <c r="L1460" s="233">
        <v>0.5</v>
      </c>
      <c r="M1460" s="234" t="s">
        <v>957</v>
      </c>
      <c r="N1460" s="234">
        <v>49130</v>
      </c>
      <c r="O1460" s="234">
        <v>15960</v>
      </c>
      <c r="P1460" s="242">
        <v>19</v>
      </c>
      <c r="Q1460" s="234">
        <v>5040</v>
      </c>
      <c r="R1460" s="234">
        <v>4082.4</v>
      </c>
      <c r="S1460" s="234" t="s">
        <v>3814</v>
      </c>
      <c r="T1460" s="236">
        <v>45966</v>
      </c>
    </row>
    <row r="1461" spans="1:20">
      <c r="A1461" s="239"/>
      <c r="B1461" s="240"/>
      <c r="C1461" s="241"/>
      <c r="D1461" s="239"/>
      <c r="E1461" s="239"/>
      <c r="F1461" s="239"/>
      <c r="G1461" s="239"/>
      <c r="H1461" s="239"/>
      <c r="I1461" s="239"/>
      <c r="J1461" s="233">
        <f>SUBTOTAL(109,Таблица24[Вес нетто ЗАКУПКА])</f>
        <v>0</v>
      </c>
      <c r="K1461" s="235"/>
      <c r="L1461" s="233">
        <f>SUBTOTAL(109,Таблица24[Площадь уборки, га])</f>
        <v>22</v>
      </c>
      <c r="M1461" s="234"/>
      <c r="N1461" s="234"/>
      <c r="O1461" s="234"/>
      <c r="P1461" s="242"/>
      <c r="Q1461" s="234">
        <f>SUBTOTAL(109,Таблица24[Вес нетто])</f>
        <v>528240</v>
      </c>
      <c r="R1461" s="234">
        <f>SUBTOTAL(109,Таблица24[Зачетный вес])</f>
        <v>435916.99999999994</v>
      </c>
      <c r="S1461" s="234"/>
      <c r="T1461" s="236"/>
    </row>
  </sheetData>
  <phoneticPr fontId="30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A423D-A6A0-40DC-BFF9-313F5BB077FD}">
  <sheetPr>
    <tabColor theme="1" tint="0.499984740745262"/>
    <pageSetUpPr fitToPage="1"/>
  </sheetPr>
  <dimension ref="B2:W54"/>
  <sheetViews>
    <sheetView zoomScale="70" zoomScaleNormal="70" workbookViewId="0">
      <pane xSplit="1" ySplit="4" topLeftCell="B5" activePane="bottomRight" state="frozen"/>
      <selection activeCell="I14" sqref="I14"/>
      <selection pane="topRight" activeCell="I14" sqref="I14"/>
      <selection pane="bottomLeft" activeCell="I14" sqref="I14"/>
      <selection pane="bottomRight" activeCell="F36" sqref="F36"/>
    </sheetView>
  </sheetViews>
  <sheetFormatPr defaultColWidth="9.140625" defaultRowHeight="14.25" outlineLevelCol="1"/>
  <cols>
    <col min="1" max="1" width="3.28515625" style="5" customWidth="1"/>
    <col min="2" max="2" width="46.28515625" style="5" customWidth="1"/>
    <col min="3" max="9" width="14.5703125" style="5" customWidth="1"/>
    <col min="10" max="10" width="8.5703125" style="5" customWidth="1"/>
    <col min="11" max="11" width="10.85546875" style="5" customWidth="1"/>
    <col min="12" max="12" width="13.85546875" style="5" customWidth="1"/>
    <col min="13" max="13" width="18.85546875" style="5" customWidth="1" outlineLevel="1"/>
    <col min="14" max="14" width="12.140625" style="5" customWidth="1" outlineLevel="1"/>
    <col min="15" max="15" width="16.85546875" style="5" customWidth="1" outlineLevel="1"/>
    <col min="16" max="16" width="13.42578125" style="9" customWidth="1" outlineLevel="1"/>
    <col min="17" max="17" width="11.140625" style="5" customWidth="1"/>
    <col min="18" max="18" width="20.5703125" style="5" hidden="1" customWidth="1" outlineLevel="1"/>
    <col min="19" max="19" width="17.5703125" style="5" hidden="1" customWidth="1" outlineLevel="1"/>
    <col min="20" max="20" width="15.5703125" style="5" customWidth="1" collapsed="1"/>
    <col min="21" max="21" width="17.5703125" style="5" customWidth="1"/>
    <col min="22" max="22" width="63.7109375" style="5" customWidth="1"/>
    <col min="23" max="24" width="14.42578125" style="5" bestFit="1" customWidth="1"/>
    <col min="25" max="16384" width="9.140625" style="5"/>
  </cols>
  <sheetData>
    <row r="2" spans="2:22" ht="60" customHeight="1">
      <c r="B2" s="366" t="s">
        <v>287</v>
      </c>
      <c r="C2" s="361"/>
      <c r="D2" s="361"/>
      <c r="E2" s="361"/>
      <c r="F2" s="361"/>
      <c r="G2" s="361"/>
      <c r="H2" s="361"/>
      <c r="I2" s="361"/>
      <c r="J2" s="361"/>
      <c r="K2" s="361"/>
      <c r="L2" s="361"/>
      <c r="M2" s="361"/>
      <c r="N2" s="361"/>
      <c r="O2" s="361"/>
      <c r="P2" s="361"/>
      <c r="Q2" s="361"/>
      <c r="R2" s="361"/>
      <c r="S2" s="361"/>
      <c r="T2" s="361"/>
      <c r="U2" s="62"/>
    </row>
    <row r="3" spans="2:22" ht="45">
      <c r="J3" s="6"/>
      <c r="K3" s="6"/>
      <c r="L3" s="10" t="s">
        <v>262</v>
      </c>
      <c r="M3" s="10" t="s">
        <v>24</v>
      </c>
      <c r="N3" s="10" t="s">
        <v>26</v>
      </c>
      <c r="O3" s="10" t="s">
        <v>28</v>
      </c>
      <c r="P3" s="10" t="s">
        <v>19</v>
      </c>
      <c r="Q3" s="10" t="s">
        <v>13</v>
      </c>
      <c r="R3" s="10" t="s">
        <v>204</v>
      </c>
      <c r="S3" s="10" t="s">
        <v>205</v>
      </c>
      <c r="T3" s="65" t="s">
        <v>269</v>
      </c>
      <c r="U3" s="10" t="s">
        <v>206</v>
      </c>
    </row>
    <row r="4" spans="2:22" ht="17.25" customHeight="1">
      <c r="B4" s="7" t="s">
        <v>0</v>
      </c>
      <c r="C4" s="8" t="s">
        <v>1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338</v>
      </c>
      <c r="I4" s="260"/>
      <c r="L4" s="115">
        <v>45943</v>
      </c>
      <c r="M4" s="115" t="s">
        <v>949</v>
      </c>
      <c r="N4" s="64">
        <v>75</v>
      </c>
      <c r="O4" s="64" t="s">
        <v>51</v>
      </c>
      <c r="P4" s="116">
        <v>1</v>
      </c>
      <c r="Q4" s="64">
        <v>1.2</v>
      </c>
      <c r="R4" s="106"/>
      <c r="S4" s="117"/>
      <c r="T4" s="106">
        <v>24870</v>
      </c>
      <c r="U4" s="117">
        <f t="shared" ref="U4:U46" si="0">IFERROR(T4/Q4/100, "-")</f>
        <v>207.25</v>
      </c>
    </row>
    <row r="5" spans="2:22" s="9" customFormat="1" ht="17.25" customHeight="1">
      <c r="B5" s="11" t="s">
        <v>6</v>
      </c>
      <c r="C5" s="12">
        <v>44095</v>
      </c>
      <c r="D5" s="12">
        <v>44437</v>
      </c>
      <c r="E5" s="12">
        <v>44828</v>
      </c>
      <c r="F5" s="12">
        <v>45201</v>
      </c>
      <c r="G5" s="12">
        <v>45557</v>
      </c>
      <c r="H5" s="12">
        <f>L4</f>
        <v>45943</v>
      </c>
      <c r="I5" s="12"/>
      <c r="L5" s="115"/>
      <c r="M5" s="115" t="s">
        <v>142</v>
      </c>
      <c r="N5" s="64">
        <v>53</v>
      </c>
      <c r="O5" s="64" t="s">
        <v>42</v>
      </c>
      <c r="P5" s="116">
        <v>1</v>
      </c>
      <c r="Q5" s="64">
        <v>1.1000000000000001</v>
      </c>
      <c r="R5" s="106"/>
      <c r="S5" s="117"/>
      <c r="T5" s="106">
        <v>25720</v>
      </c>
      <c r="U5" s="117">
        <f t="shared" si="0"/>
        <v>233.81818181818181</v>
      </c>
      <c r="V5" s="128"/>
    </row>
    <row r="6" spans="2:22" ht="17.25" customHeight="1">
      <c r="B6" s="11" t="s">
        <v>7</v>
      </c>
      <c r="C6" s="12">
        <v>44127</v>
      </c>
      <c r="D6" s="12">
        <v>44499</v>
      </c>
      <c r="E6" s="12">
        <v>44860</v>
      </c>
      <c r="F6" s="12">
        <v>45229</v>
      </c>
      <c r="G6" s="12">
        <v>45585</v>
      </c>
      <c r="H6" s="12"/>
      <c r="I6" s="12"/>
      <c r="J6" s="33"/>
      <c r="L6" s="115"/>
      <c r="M6" s="115" t="s">
        <v>144</v>
      </c>
      <c r="N6" s="64">
        <v>33</v>
      </c>
      <c r="O6" s="64" t="s">
        <v>51</v>
      </c>
      <c r="P6" s="116">
        <v>1</v>
      </c>
      <c r="Q6" s="64">
        <v>1.5</v>
      </c>
      <c r="R6" s="106"/>
      <c r="S6" s="117"/>
      <c r="T6" s="106">
        <v>23970</v>
      </c>
      <c r="U6" s="117">
        <f t="shared" si="0"/>
        <v>159.80000000000001</v>
      </c>
    </row>
    <row r="7" spans="2:22" ht="17.25" customHeight="1">
      <c r="B7" s="11" t="s">
        <v>8</v>
      </c>
      <c r="C7" s="19">
        <f>IF(C6=0,"-",C6-C5+1)</f>
        <v>33</v>
      </c>
      <c r="D7" s="19">
        <f>IF(D6=0,"-",D6-D5+1)</f>
        <v>63</v>
      </c>
      <c r="E7" s="19">
        <f>IF(E6=0,"-",E6-E5+1)</f>
        <v>33</v>
      </c>
      <c r="F7" s="19">
        <f>IF(F6=0,"-",F6-F5+1)</f>
        <v>29</v>
      </c>
      <c r="G7" s="19">
        <v>29</v>
      </c>
      <c r="H7" s="19" t="str">
        <f>IF(H6=0,"-",H6-H5+1)</f>
        <v>-</v>
      </c>
      <c r="I7" s="19"/>
      <c r="L7" s="115">
        <v>45944</v>
      </c>
      <c r="M7" s="115"/>
      <c r="N7" s="64"/>
      <c r="O7" s="64"/>
      <c r="P7" s="116"/>
      <c r="Q7" s="64"/>
      <c r="R7" s="106"/>
      <c r="S7" s="117"/>
      <c r="T7" s="129"/>
      <c r="U7" s="267" t="str">
        <f t="shared" si="0"/>
        <v>-</v>
      </c>
    </row>
    <row r="8" spans="2:22" ht="17.25" customHeight="1">
      <c r="B8" s="11" t="s">
        <v>9</v>
      </c>
      <c r="C8" s="19"/>
      <c r="D8" s="19"/>
      <c r="E8" s="19">
        <v>8</v>
      </c>
      <c r="F8" s="19">
        <v>8</v>
      </c>
      <c r="G8" s="19">
        <v>19</v>
      </c>
      <c r="H8" s="19"/>
      <c r="I8" s="19"/>
      <c r="L8" s="115">
        <v>45945</v>
      </c>
      <c r="M8" s="115" t="s">
        <v>142</v>
      </c>
      <c r="N8" s="64">
        <v>53</v>
      </c>
      <c r="O8" s="64" t="s">
        <v>42</v>
      </c>
      <c r="P8" s="116">
        <v>14</v>
      </c>
      <c r="Q8" s="64">
        <v>16.89</v>
      </c>
      <c r="R8" s="106"/>
      <c r="S8" s="117"/>
      <c r="T8" s="129">
        <v>383660</v>
      </c>
      <c r="U8" s="267">
        <f t="shared" si="0"/>
        <v>227.15216104203671</v>
      </c>
      <c r="V8" s="276"/>
    </row>
    <row r="9" spans="2:22" ht="17.25" customHeight="1">
      <c r="B9" s="11" t="s">
        <v>10</v>
      </c>
      <c r="C9" s="20"/>
      <c r="D9" s="20"/>
      <c r="E9" s="20"/>
      <c r="F9" s="20"/>
      <c r="G9" s="20" t="s">
        <v>284</v>
      </c>
      <c r="H9" s="20" t="s">
        <v>312</v>
      </c>
      <c r="I9" s="20"/>
      <c r="L9" s="115">
        <v>45946</v>
      </c>
      <c r="M9" s="115" t="s">
        <v>142</v>
      </c>
      <c r="N9" s="64">
        <v>53</v>
      </c>
      <c r="O9" s="64" t="s">
        <v>42</v>
      </c>
      <c r="P9" s="116">
        <v>20</v>
      </c>
      <c r="Q9" s="64">
        <v>24</v>
      </c>
      <c r="R9" s="106"/>
      <c r="S9" s="117"/>
      <c r="T9" s="145">
        <v>542620</v>
      </c>
      <c r="U9" s="268">
        <f t="shared" si="0"/>
        <v>226.09166666666667</v>
      </c>
      <c r="V9" s="71"/>
    </row>
    <row r="10" spans="2:22" ht="17.25" customHeight="1">
      <c r="B10" s="11" t="s">
        <v>11</v>
      </c>
      <c r="C10" s="34">
        <v>9394.42</v>
      </c>
      <c r="D10" s="34">
        <v>7409.64</v>
      </c>
      <c r="E10" s="34">
        <v>9977.4</v>
      </c>
      <c r="F10" s="34">
        <v>10250.58</v>
      </c>
      <c r="G10" s="34">
        <v>7397.2</v>
      </c>
      <c r="H10" s="34">
        <f>T47/1000</f>
        <v>9223.7003000000004</v>
      </c>
      <c r="I10" s="34"/>
      <c r="L10" s="115">
        <v>45947</v>
      </c>
      <c r="M10" s="115" t="s">
        <v>142</v>
      </c>
      <c r="N10" s="64">
        <v>53</v>
      </c>
      <c r="O10" s="64" t="s">
        <v>42</v>
      </c>
      <c r="P10" s="116">
        <v>10</v>
      </c>
      <c r="Q10" s="64">
        <v>11</v>
      </c>
      <c r="R10" s="106"/>
      <c r="S10" s="117"/>
      <c r="T10" s="145">
        <v>260890</v>
      </c>
      <c r="U10" s="268">
        <f t="shared" si="0"/>
        <v>237.17272727272729</v>
      </c>
    </row>
    <row r="11" spans="2:22" ht="17.25" customHeight="1">
      <c r="B11" s="11" t="s">
        <v>12</v>
      </c>
      <c r="C11" s="22">
        <v>459</v>
      </c>
      <c r="D11" s="22">
        <v>448.5</v>
      </c>
      <c r="E11" s="22">
        <v>510</v>
      </c>
      <c r="F11" s="22">
        <v>552.6</v>
      </c>
      <c r="G11" s="140">
        <v>460.5</v>
      </c>
      <c r="H11" s="140">
        <v>451</v>
      </c>
      <c r="I11" s="140"/>
      <c r="K11" s="131"/>
      <c r="L11" s="115"/>
      <c r="M11" s="115" t="s">
        <v>144</v>
      </c>
      <c r="N11" s="64">
        <v>22</v>
      </c>
      <c r="O11" s="64" t="s">
        <v>42</v>
      </c>
      <c r="P11" s="116">
        <v>4</v>
      </c>
      <c r="Q11" s="64">
        <v>6.1</v>
      </c>
      <c r="R11" s="106"/>
      <c r="S11" s="117"/>
      <c r="T11" s="145">
        <v>146910</v>
      </c>
      <c r="U11" s="268">
        <f t="shared" si="0"/>
        <v>240.8360655737705</v>
      </c>
    </row>
    <row r="12" spans="2:22" ht="17.25" customHeight="1">
      <c r="B12" s="11" t="s">
        <v>13</v>
      </c>
      <c r="C12" s="22">
        <v>459</v>
      </c>
      <c r="D12" s="22">
        <v>448.5</v>
      </c>
      <c r="E12" s="22">
        <v>510</v>
      </c>
      <c r="F12" s="22">
        <v>552.6</v>
      </c>
      <c r="G12" s="22">
        <v>460.5</v>
      </c>
      <c r="H12" s="22">
        <f>Q47</f>
        <v>451.02948004836759</v>
      </c>
      <c r="I12" s="22"/>
      <c r="J12" s="33"/>
      <c r="L12" s="115">
        <v>45948</v>
      </c>
      <c r="M12" s="115" t="s">
        <v>144</v>
      </c>
      <c r="N12" s="64">
        <v>33</v>
      </c>
      <c r="O12" s="64" t="s">
        <v>51</v>
      </c>
      <c r="P12" s="116">
        <v>4</v>
      </c>
      <c r="Q12" s="64">
        <v>6</v>
      </c>
      <c r="R12" s="106"/>
      <c r="S12" s="117"/>
      <c r="T12" s="145">
        <v>95870</v>
      </c>
      <c r="U12" s="268">
        <f t="shared" si="0"/>
        <v>159.78333333333333</v>
      </c>
    </row>
    <row r="13" spans="2:22" ht="17.25" customHeight="1">
      <c r="B13" s="11" t="s">
        <v>14</v>
      </c>
      <c r="C13" s="23">
        <f>C10*10/C12</f>
        <v>204.6714596949891</v>
      </c>
      <c r="D13" s="23">
        <f>D10*10/D12</f>
        <v>165.20936454849499</v>
      </c>
      <c r="E13" s="23">
        <f>E10*10/E12</f>
        <v>195.63529411764705</v>
      </c>
      <c r="F13" s="23">
        <f>F10*10/F12</f>
        <v>185.4972855591748</v>
      </c>
      <c r="G13" s="23">
        <v>160.63409337676438</v>
      </c>
      <c r="H13" s="23">
        <f>IFERROR(H10/H12*10,0)</f>
        <v>204.5032688109626</v>
      </c>
      <c r="I13" s="23"/>
      <c r="L13" s="115"/>
      <c r="M13" s="115" t="s">
        <v>144</v>
      </c>
      <c r="N13" s="64">
        <v>22</v>
      </c>
      <c r="O13" s="64" t="s">
        <v>42</v>
      </c>
      <c r="P13" s="116">
        <v>15</v>
      </c>
      <c r="Q13" s="64">
        <v>15.9</v>
      </c>
      <c r="R13" s="106"/>
      <c r="S13" s="117"/>
      <c r="T13" s="145">
        <v>381330</v>
      </c>
      <c r="U13" s="268">
        <f t="shared" si="0"/>
        <v>239.83018867924528</v>
      </c>
    </row>
    <row r="14" spans="2:22" ht="17.25" customHeight="1">
      <c r="B14" s="11"/>
      <c r="C14" s="24"/>
      <c r="D14" s="24"/>
      <c r="E14" s="24"/>
      <c r="F14" s="24"/>
      <c r="G14" s="24"/>
      <c r="H14" s="24"/>
      <c r="I14" s="24"/>
      <c r="L14" s="115">
        <v>45949</v>
      </c>
      <c r="M14" s="115"/>
      <c r="N14" s="64"/>
      <c r="O14" s="64"/>
      <c r="P14" s="116"/>
      <c r="Q14" s="64"/>
      <c r="R14" s="106"/>
      <c r="S14" s="117"/>
      <c r="T14" s="106"/>
      <c r="U14" s="267" t="str">
        <f t="shared" si="0"/>
        <v>-</v>
      </c>
    </row>
    <row r="15" spans="2:22" ht="17.25" customHeight="1">
      <c r="B15" s="27" t="s">
        <v>339</v>
      </c>
      <c r="C15" s="28"/>
      <c r="D15" s="28"/>
      <c r="E15" s="28"/>
      <c r="L15" s="115">
        <v>45950</v>
      </c>
      <c r="M15" s="115" t="s">
        <v>949</v>
      </c>
      <c r="N15" s="64">
        <v>75</v>
      </c>
      <c r="O15" s="64" t="s">
        <v>51</v>
      </c>
      <c r="P15" s="116">
        <v>16</v>
      </c>
      <c r="Q15" s="64">
        <v>17.8</v>
      </c>
      <c r="R15" s="106"/>
      <c r="S15" s="117"/>
      <c r="T15" s="106">
        <v>385120</v>
      </c>
      <c r="U15" s="267">
        <f t="shared" si="0"/>
        <v>216.35955056179773</v>
      </c>
      <c r="V15" s="277"/>
    </row>
    <row r="16" spans="2:22" s="25" customFormat="1" ht="17.25" customHeight="1">
      <c r="B16" s="11" t="s">
        <v>16</v>
      </c>
      <c r="C16" s="34">
        <v>8569</v>
      </c>
      <c r="D16" s="166">
        <f>C16/E16</f>
        <v>19</v>
      </c>
      <c r="E16" s="138">
        <v>451</v>
      </c>
      <c r="F16" s="363"/>
      <c r="G16" s="363"/>
      <c r="H16" s="128"/>
      <c r="I16" s="128"/>
      <c r="J16" s="5"/>
      <c r="L16" s="115">
        <v>45951</v>
      </c>
      <c r="M16" s="115" t="s">
        <v>949</v>
      </c>
      <c r="N16" s="64">
        <v>75</v>
      </c>
      <c r="O16" s="64" t="s">
        <v>51</v>
      </c>
      <c r="P16" s="116">
        <v>9</v>
      </c>
      <c r="Q16" s="64">
        <v>10.4</v>
      </c>
      <c r="R16" s="106"/>
      <c r="S16" s="117"/>
      <c r="T16" s="129">
        <v>225250</v>
      </c>
      <c r="U16" s="269">
        <f t="shared" si="0"/>
        <v>216.58653846153845</v>
      </c>
      <c r="V16" s="119"/>
    </row>
    <row r="17" spans="2:23" ht="17.25" customHeight="1">
      <c r="B17" s="120" t="s">
        <v>17</v>
      </c>
      <c r="C17" s="69">
        <f>T47/1000</f>
        <v>9223.7003000000004</v>
      </c>
      <c r="D17" s="167">
        <f>IFERROR(C17/E17,)</f>
        <v>20.45032688109626</v>
      </c>
      <c r="E17" s="122">
        <f>Q47</f>
        <v>451.02948004836759</v>
      </c>
      <c r="G17" s="3"/>
      <c r="H17" s="3"/>
      <c r="I17" s="3"/>
      <c r="L17" s="115">
        <v>45952</v>
      </c>
      <c r="M17" s="115"/>
      <c r="N17" s="64"/>
      <c r="O17" s="64"/>
      <c r="P17" s="116"/>
      <c r="Q17" s="64"/>
      <c r="R17" s="106"/>
      <c r="S17" s="117"/>
      <c r="T17" s="129"/>
      <c r="U17" s="269" t="str">
        <f t="shared" si="0"/>
        <v>-</v>
      </c>
    </row>
    <row r="18" spans="2:23" ht="17.25" customHeight="1">
      <c r="B18" s="11" t="s">
        <v>179</v>
      </c>
      <c r="C18" s="2">
        <f>C17/C16</f>
        <v>1.0764033492822966</v>
      </c>
      <c r="D18" s="1"/>
      <c r="E18" s="138"/>
      <c r="G18" s="3"/>
      <c r="H18" s="3"/>
      <c r="I18" s="3"/>
      <c r="L18" s="115">
        <v>45953</v>
      </c>
      <c r="M18" s="115" t="s">
        <v>144</v>
      </c>
      <c r="N18" s="64">
        <v>33</v>
      </c>
      <c r="O18" s="64" t="s">
        <v>51</v>
      </c>
      <c r="P18" s="116">
        <v>1</v>
      </c>
      <c r="Q18" s="64">
        <v>1.6</v>
      </c>
      <c r="R18" s="106"/>
      <c r="S18" s="117"/>
      <c r="T18" s="106">
        <v>25860</v>
      </c>
      <c r="U18" s="267">
        <f t="shared" si="0"/>
        <v>161.625</v>
      </c>
      <c r="V18" s="5" t="s">
        <v>3324</v>
      </c>
    </row>
    <row r="19" spans="2:23" ht="17.25" customHeight="1">
      <c r="B19" s="11" t="s">
        <v>180</v>
      </c>
      <c r="C19" s="2">
        <f>IFERROR(E17/E16, )</f>
        <v>1.0000653659609038</v>
      </c>
      <c r="G19" s="3"/>
      <c r="H19" s="3"/>
      <c r="I19" s="3"/>
      <c r="L19" s="115"/>
      <c r="M19" s="115" t="s">
        <v>957</v>
      </c>
      <c r="N19" s="64">
        <v>140</v>
      </c>
      <c r="O19" s="64" t="s">
        <v>51</v>
      </c>
      <c r="P19" s="116">
        <v>1</v>
      </c>
      <c r="Q19" s="64">
        <v>1.0894800483675937</v>
      </c>
      <c r="R19" s="106"/>
      <c r="S19" s="117"/>
      <c r="T19" s="106">
        <v>27030</v>
      </c>
      <c r="U19" s="267">
        <f t="shared" si="0"/>
        <v>248.1</v>
      </c>
      <c r="V19" s="5" t="s">
        <v>3324</v>
      </c>
    </row>
    <row r="20" spans="2:23" ht="17.25" customHeight="1">
      <c r="B20" s="11"/>
      <c r="C20" s="2"/>
      <c r="E20" s="139"/>
      <c r="G20" s="3"/>
      <c r="H20" s="3"/>
      <c r="I20" s="3"/>
      <c r="L20" s="115"/>
      <c r="M20" s="115" t="s">
        <v>949</v>
      </c>
      <c r="N20" s="64">
        <v>75</v>
      </c>
      <c r="O20" s="64" t="s">
        <v>51</v>
      </c>
      <c r="P20" s="116">
        <v>1</v>
      </c>
      <c r="Q20" s="64">
        <v>1.1000000000000001</v>
      </c>
      <c r="R20" s="106"/>
      <c r="S20" s="117"/>
      <c r="T20" s="106">
        <v>24670</v>
      </c>
      <c r="U20" s="267">
        <f t="shared" si="0"/>
        <v>224.27272727272725</v>
      </c>
      <c r="V20" s="5" t="s">
        <v>3324</v>
      </c>
    </row>
    <row r="21" spans="2:23" ht="17.25" customHeight="1">
      <c r="B21" s="11"/>
      <c r="C21" s="2"/>
      <c r="G21" s="3"/>
      <c r="H21" s="3"/>
      <c r="I21" s="3"/>
      <c r="L21" s="115"/>
      <c r="M21" s="115" t="s">
        <v>951</v>
      </c>
      <c r="N21" s="64">
        <v>83</v>
      </c>
      <c r="O21" s="64" t="s">
        <v>51</v>
      </c>
      <c r="P21" s="116">
        <v>1</v>
      </c>
      <c r="Q21" s="64">
        <v>1</v>
      </c>
      <c r="R21" s="106"/>
      <c r="S21" s="117"/>
      <c r="T21" s="106">
        <v>21680</v>
      </c>
      <c r="U21" s="267">
        <f t="shared" si="0"/>
        <v>216.8</v>
      </c>
      <c r="V21" s="5" t="s">
        <v>3324</v>
      </c>
    </row>
    <row r="22" spans="2:23" ht="17.25" customHeight="1">
      <c r="B22" s="11"/>
      <c r="C22" s="2"/>
      <c r="G22" s="3"/>
      <c r="H22" s="3"/>
      <c r="I22" s="3"/>
      <c r="L22" s="115">
        <v>45954</v>
      </c>
      <c r="M22" s="115" t="s">
        <v>949</v>
      </c>
      <c r="N22" s="64">
        <v>75</v>
      </c>
      <c r="O22" s="64" t="s">
        <v>51</v>
      </c>
      <c r="P22" s="116">
        <v>8</v>
      </c>
      <c r="Q22" s="64">
        <v>10</v>
      </c>
      <c r="R22" s="106"/>
      <c r="S22" s="117"/>
      <c r="T22" s="106">
        <v>215400</v>
      </c>
      <c r="U22" s="267">
        <f t="shared" si="0"/>
        <v>215.4</v>
      </c>
    </row>
    <row r="23" spans="2:23" ht="17.25" customHeight="1">
      <c r="B23" s="11"/>
      <c r="C23" s="2"/>
      <c r="G23" s="3"/>
      <c r="H23" s="3"/>
      <c r="I23" s="3"/>
      <c r="L23" s="115"/>
      <c r="M23" s="115" t="s">
        <v>144</v>
      </c>
      <c r="N23" s="64">
        <v>33</v>
      </c>
      <c r="O23" s="64" t="s">
        <v>51</v>
      </c>
      <c r="P23" s="116">
        <v>13</v>
      </c>
      <c r="Q23" s="64">
        <v>23.9</v>
      </c>
      <c r="R23" s="106"/>
      <c r="S23" s="117"/>
      <c r="T23" s="106">
        <v>384470</v>
      </c>
      <c r="U23" s="267">
        <f t="shared" si="0"/>
        <v>160.86610878661088</v>
      </c>
      <c r="W23" s="80"/>
    </row>
    <row r="24" spans="2:23" ht="17.25" customHeight="1">
      <c r="B24" s="11"/>
      <c r="C24" s="2"/>
      <c r="G24" s="3"/>
      <c r="H24" s="3"/>
      <c r="I24" s="3"/>
      <c r="L24" s="115">
        <v>45955</v>
      </c>
      <c r="M24" s="115" t="s">
        <v>949</v>
      </c>
      <c r="N24" s="64">
        <v>75</v>
      </c>
      <c r="O24" s="64" t="s">
        <v>51</v>
      </c>
      <c r="P24" s="116">
        <v>22</v>
      </c>
      <c r="Q24" s="64">
        <v>26.7</v>
      </c>
      <c r="R24" s="106"/>
      <c r="S24" s="117"/>
      <c r="T24" s="106">
        <v>576490</v>
      </c>
      <c r="U24" s="267">
        <f t="shared" si="0"/>
        <v>215.91385767790263</v>
      </c>
      <c r="W24" s="80"/>
    </row>
    <row r="25" spans="2:23" ht="17.25" customHeight="1">
      <c r="B25" s="11"/>
      <c r="C25" s="2"/>
      <c r="G25" s="3"/>
      <c r="H25" s="3"/>
      <c r="I25" s="3"/>
      <c r="L25" s="115"/>
      <c r="M25" s="115" t="s">
        <v>951</v>
      </c>
      <c r="N25" s="64">
        <v>83</v>
      </c>
      <c r="O25" s="64" t="s">
        <v>51</v>
      </c>
      <c r="P25" s="116">
        <v>3</v>
      </c>
      <c r="Q25" s="64">
        <v>3.8</v>
      </c>
      <c r="R25" s="106"/>
      <c r="S25" s="117"/>
      <c r="T25" s="106">
        <v>80670</v>
      </c>
      <c r="U25" s="267">
        <f t="shared" si="0"/>
        <v>212.28947368421052</v>
      </c>
      <c r="W25" s="80"/>
    </row>
    <row r="26" spans="2:23" ht="17.25" customHeight="1">
      <c r="B26" s="11"/>
      <c r="C26" s="2"/>
      <c r="G26" s="3"/>
      <c r="H26" s="3"/>
      <c r="I26" s="3"/>
      <c r="L26" s="115">
        <v>45956</v>
      </c>
      <c r="M26" s="115" t="s">
        <v>949</v>
      </c>
      <c r="N26" s="64">
        <v>75</v>
      </c>
      <c r="O26" s="64" t="s">
        <v>51</v>
      </c>
      <c r="P26" s="116">
        <v>7</v>
      </c>
      <c r="Q26" s="64">
        <v>7.8</v>
      </c>
      <c r="R26" s="106"/>
      <c r="S26" s="117"/>
      <c r="T26" s="106">
        <v>167690</v>
      </c>
      <c r="U26" s="267">
        <f t="shared" si="0"/>
        <v>214.9871794871795</v>
      </c>
      <c r="W26" s="80"/>
    </row>
    <row r="27" spans="2:23" ht="17.25" customHeight="1">
      <c r="G27" s="3"/>
      <c r="H27" s="3"/>
      <c r="I27" s="3"/>
      <c r="L27" s="115"/>
      <c r="M27" s="115" t="s">
        <v>951</v>
      </c>
      <c r="N27" s="64">
        <v>83</v>
      </c>
      <c r="O27" s="64" t="s">
        <v>51</v>
      </c>
      <c r="P27" s="116">
        <v>9</v>
      </c>
      <c r="Q27" s="64">
        <v>11.6</v>
      </c>
      <c r="R27" s="106"/>
      <c r="S27" s="117"/>
      <c r="T27" s="145">
        <v>246840</v>
      </c>
      <c r="U27" s="268">
        <f t="shared" si="0"/>
        <v>212.79310344827587</v>
      </c>
      <c r="W27" s="80"/>
    </row>
    <row r="28" spans="2:23" ht="17.25" customHeight="1">
      <c r="C28" s="72"/>
      <c r="G28" s="3"/>
      <c r="H28" s="3"/>
      <c r="I28" s="3"/>
      <c r="L28" s="115">
        <v>45957</v>
      </c>
      <c r="M28" s="115" t="s">
        <v>951</v>
      </c>
      <c r="N28" s="64">
        <v>83</v>
      </c>
      <c r="O28" s="64" t="s">
        <v>51</v>
      </c>
      <c r="P28" s="116">
        <v>26</v>
      </c>
      <c r="Q28" s="64">
        <v>32.1</v>
      </c>
      <c r="R28" s="106"/>
      <c r="S28" s="117"/>
      <c r="T28" s="106">
        <v>685100</v>
      </c>
      <c r="U28" s="268">
        <f t="shared" si="0"/>
        <v>213.42679127725856</v>
      </c>
      <c r="W28" s="80"/>
    </row>
    <row r="29" spans="2:23" ht="17.25" customHeight="1">
      <c r="G29" s="3"/>
      <c r="H29" s="3"/>
      <c r="I29" s="3"/>
      <c r="L29" s="115">
        <v>45958</v>
      </c>
      <c r="M29" s="115" t="s">
        <v>951</v>
      </c>
      <c r="N29" s="64">
        <v>83</v>
      </c>
      <c r="O29" s="64" t="s">
        <v>51</v>
      </c>
      <c r="P29" s="116">
        <v>2</v>
      </c>
      <c r="Q29" s="64">
        <v>2.5</v>
      </c>
      <c r="R29" s="106"/>
      <c r="S29" s="117"/>
      <c r="T29" s="106">
        <v>52870</v>
      </c>
      <c r="U29" s="268">
        <f t="shared" si="0"/>
        <v>211.48</v>
      </c>
      <c r="W29" s="80"/>
    </row>
    <row r="30" spans="2:23" ht="17.25" customHeight="1">
      <c r="C30" s="72"/>
      <c r="G30" s="32"/>
      <c r="H30" s="32"/>
      <c r="I30" s="32"/>
      <c r="L30" s="115"/>
      <c r="M30" s="115" t="s">
        <v>957</v>
      </c>
      <c r="N30" s="64">
        <v>140</v>
      </c>
      <c r="O30" s="64" t="s">
        <v>51</v>
      </c>
      <c r="P30" s="116">
        <v>6</v>
      </c>
      <c r="Q30" s="64">
        <v>8</v>
      </c>
      <c r="R30" s="106"/>
      <c r="S30" s="117"/>
      <c r="T30" s="106">
        <v>131490</v>
      </c>
      <c r="U30" s="268">
        <f t="shared" si="0"/>
        <v>164.36250000000001</v>
      </c>
      <c r="W30" s="80"/>
    </row>
    <row r="31" spans="2:23" ht="17.25" customHeight="1">
      <c r="L31" s="115">
        <v>45959</v>
      </c>
      <c r="M31" s="115" t="s">
        <v>957</v>
      </c>
      <c r="N31" s="64">
        <v>140</v>
      </c>
      <c r="O31" s="64" t="s">
        <v>51</v>
      </c>
      <c r="P31" s="116">
        <v>19</v>
      </c>
      <c r="Q31" s="64">
        <v>28</v>
      </c>
      <c r="R31" s="106"/>
      <c r="S31" s="117"/>
      <c r="T31" s="106">
        <v>501660</v>
      </c>
      <c r="U31" s="268">
        <f t="shared" si="0"/>
        <v>179.16428571428571</v>
      </c>
      <c r="W31" s="80"/>
    </row>
    <row r="32" spans="2:23" ht="17.45" customHeight="1">
      <c r="L32" s="115">
        <v>45960</v>
      </c>
      <c r="M32" s="115" t="s">
        <v>957</v>
      </c>
      <c r="N32" s="64">
        <v>140</v>
      </c>
      <c r="O32" s="64" t="s">
        <v>51</v>
      </c>
      <c r="P32" s="116">
        <v>3</v>
      </c>
      <c r="Q32" s="64">
        <v>4</v>
      </c>
      <c r="R32" s="106"/>
      <c r="S32" s="117"/>
      <c r="T32" s="106">
        <v>72310</v>
      </c>
      <c r="U32" s="268">
        <f t="shared" si="0"/>
        <v>180.77500000000001</v>
      </c>
      <c r="W32" s="80"/>
    </row>
    <row r="33" spans="12:23" ht="16.899999999999999" customHeight="1">
      <c r="L33" s="115"/>
      <c r="M33" s="115" t="s">
        <v>951</v>
      </c>
      <c r="N33" s="64">
        <v>83</v>
      </c>
      <c r="O33" s="64" t="s">
        <v>51</v>
      </c>
      <c r="P33" s="116">
        <v>14</v>
      </c>
      <c r="Q33" s="64">
        <v>14</v>
      </c>
      <c r="R33" s="106"/>
      <c r="S33" s="117"/>
      <c r="T33" s="106">
        <v>337580</v>
      </c>
      <c r="U33" s="268">
        <f t="shared" si="0"/>
        <v>241.12857142857141</v>
      </c>
      <c r="W33" s="80"/>
    </row>
    <row r="34" spans="12:23" ht="16.899999999999999" customHeight="1">
      <c r="L34" s="115">
        <v>45961</v>
      </c>
      <c r="M34" s="115" t="s">
        <v>951</v>
      </c>
      <c r="N34" s="64">
        <v>83</v>
      </c>
      <c r="O34" s="64" t="s">
        <v>51</v>
      </c>
      <c r="P34" s="116">
        <v>12</v>
      </c>
      <c r="Q34" s="64">
        <v>18</v>
      </c>
      <c r="R34" s="106"/>
      <c r="S34" s="117"/>
      <c r="T34" s="106">
        <v>342590</v>
      </c>
      <c r="U34" s="268">
        <f t="shared" si="0"/>
        <v>190.32777777777778</v>
      </c>
      <c r="W34" s="80"/>
    </row>
    <row r="35" spans="12:23" ht="16.899999999999999" customHeight="1">
      <c r="L35" s="115"/>
      <c r="M35" s="115" t="s">
        <v>957</v>
      </c>
      <c r="N35" s="64">
        <v>140</v>
      </c>
      <c r="O35" s="64" t="s">
        <v>51</v>
      </c>
      <c r="P35" s="116">
        <v>9</v>
      </c>
      <c r="Q35" s="64">
        <v>8</v>
      </c>
      <c r="R35" s="106"/>
      <c r="S35" s="117"/>
      <c r="T35" s="106">
        <v>230810</v>
      </c>
      <c r="U35" s="268">
        <f t="shared" si="0"/>
        <v>288.51249999999999</v>
      </c>
      <c r="W35" s="80"/>
    </row>
    <row r="36" spans="12:23" ht="16.899999999999999" customHeight="1">
      <c r="L36" s="115">
        <v>45962</v>
      </c>
      <c r="M36" s="115" t="s">
        <v>957</v>
      </c>
      <c r="N36" s="64">
        <v>140</v>
      </c>
      <c r="O36" s="64" t="s">
        <v>51</v>
      </c>
      <c r="P36" s="116">
        <v>22</v>
      </c>
      <c r="Q36" s="64">
        <v>32</v>
      </c>
      <c r="R36" s="106"/>
      <c r="S36" s="117"/>
      <c r="T36" s="106">
        <v>638420</v>
      </c>
      <c r="U36" s="268">
        <f t="shared" si="0"/>
        <v>199.50624999999999</v>
      </c>
      <c r="W36" s="80"/>
    </row>
    <row r="37" spans="12:23" ht="16.899999999999999" customHeight="1">
      <c r="L37" s="115">
        <v>45963</v>
      </c>
      <c r="M37" s="115" t="s">
        <v>957</v>
      </c>
      <c r="N37" s="64">
        <v>140</v>
      </c>
      <c r="O37" s="64" t="s">
        <v>51</v>
      </c>
      <c r="P37" s="116">
        <v>9</v>
      </c>
      <c r="Q37" s="64">
        <v>14</v>
      </c>
      <c r="R37" s="106"/>
      <c r="S37" s="117"/>
      <c r="T37" s="106">
        <v>266230</v>
      </c>
      <c r="U37" s="268">
        <f t="shared" si="0"/>
        <v>190.16428571428571</v>
      </c>
    </row>
    <row r="38" spans="12:23" ht="16.899999999999999" customHeight="1">
      <c r="L38" s="115">
        <v>45964</v>
      </c>
      <c r="M38" s="115" t="s">
        <v>957</v>
      </c>
      <c r="N38" s="64">
        <v>140</v>
      </c>
      <c r="O38" s="64" t="s">
        <v>51</v>
      </c>
      <c r="P38" s="116">
        <v>20</v>
      </c>
      <c r="Q38" s="64">
        <v>34</v>
      </c>
      <c r="R38" s="106"/>
      <c r="S38" s="117"/>
      <c r="T38" s="106">
        <v>555400</v>
      </c>
      <c r="U38" s="268">
        <f t="shared" si="0"/>
        <v>163.35294117647061</v>
      </c>
    </row>
    <row r="39" spans="12:23" ht="16.899999999999999" customHeight="1">
      <c r="L39" s="115">
        <v>45965</v>
      </c>
      <c r="M39" s="115" t="s">
        <v>957</v>
      </c>
      <c r="N39" s="64">
        <v>140</v>
      </c>
      <c r="O39" s="64" t="s">
        <v>51</v>
      </c>
      <c r="P39" s="116">
        <v>9</v>
      </c>
      <c r="Q39" s="64">
        <v>10.9</v>
      </c>
      <c r="R39" s="106"/>
      <c r="S39" s="117"/>
      <c r="T39" s="106">
        <v>261900.3</v>
      </c>
      <c r="U39" s="268">
        <f t="shared" si="0"/>
        <v>240.27550458715595</v>
      </c>
      <c r="V39" s="5" t="s">
        <v>3812</v>
      </c>
    </row>
    <row r="40" spans="12:23" ht="16.899999999999999" customHeight="1">
      <c r="L40" s="115">
        <v>45966</v>
      </c>
      <c r="M40" s="115" t="s">
        <v>956</v>
      </c>
      <c r="N40" s="64">
        <v>45</v>
      </c>
      <c r="O40" s="64" t="s">
        <v>51</v>
      </c>
      <c r="P40" s="116">
        <v>1</v>
      </c>
      <c r="Q40" s="64">
        <v>0.8</v>
      </c>
      <c r="R40" s="106"/>
      <c r="S40" s="117"/>
      <c r="T40" s="106">
        <v>13410</v>
      </c>
      <c r="U40" s="268">
        <f t="shared" si="0"/>
        <v>167.625</v>
      </c>
      <c r="V40" s="5" t="s">
        <v>3706</v>
      </c>
    </row>
    <row r="41" spans="12:23">
      <c r="L41" s="115">
        <v>45967</v>
      </c>
      <c r="M41" s="115"/>
      <c r="N41" s="64"/>
      <c r="O41" s="64"/>
      <c r="P41" s="116"/>
      <c r="Q41" s="64"/>
      <c r="R41" s="106"/>
      <c r="S41" s="117"/>
      <c r="T41" s="106"/>
      <c r="U41" s="268"/>
    </row>
    <row r="42" spans="12:23">
      <c r="L42" s="115">
        <v>45968</v>
      </c>
      <c r="M42" s="115"/>
      <c r="N42" s="64"/>
      <c r="O42" s="64"/>
      <c r="P42" s="116"/>
      <c r="Q42" s="64"/>
      <c r="R42" s="106"/>
      <c r="S42" s="117"/>
      <c r="T42" s="106"/>
      <c r="U42" s="268"/>
    </row>
    <row r="43" spans="12:23">
      <c r="L43" s="115">
        <v>45969</v>
      </c>
      <c r="M43" s="115" t="s">
        <v>956</v>
      </c>
      <c r="N43" s="64">
        <v>45</v>
      </c>
      <c r="O43" s="64" t="s">
        <v>51</v>
      </c>
      <c r="P43" s="116">
        <v>18</v>
      </c>
      <c r="Q43" s="64">
        <v>23.25</v>
      </c>
      <c r="R43" s="106"/>
      <c r="S43" s="117"/>
      <c r="T43" s="106">
        <v>451020</v>
      </c>
      <c r="U43" s="268">
        <f t="shared" si="0"/>
        <v>193.98709677419356</v>
      </c>
    </row>
    <row r="44" spans="12:23">
      <c r="L44" s="115">
        <v>45970</v>
      </c>
      <c r="M44" s="115" t="s">
        <v>956</v>
      </c>
      <c r="N44" s="64">
        <v>45</v>
      </c>
      <c r="O44" s="64" t="s">
        <v>51</v>
      </c>
      <c r="P44" s="116">
        <v>16</v>
      </c>
      <c r="Q44" s="64">
        <v>21</v>
      </c>
      <c r="R44" s="106"/>
      <c r="S44" s="117"/>
      <c r="T44" s="106">
        <v>415900</v>
      </c>
      <c r="U44" s="268">
        <f t="shared" si="0"/>
        <v>198.04761904761904</v>
      </c>
    </row>
    <row r="45" spans="12:23">
      <c r="L45" s="115"/>
      <c r="M45" s="115"/>
      <c r="N45" s="64"/>
      <c r="O45" s="64"/>
      <c r="P45" s="116"/>
      <c r="Q45" s="64"/>
      <c r="R45" s="106"/>
      <c r="S45" s="117"/>
      <c r="T45" s="106"/>
      <c r="U45" s="268"/>
    </row>
    <row r="46" spans="12:23" ht="16.5" customHeight="1">
      <c r="L46" s="115"/>
      <c r="M46" s="115"/>
      <c r="N46" s="64"/>
      <c r="O46" s="64"/>
      <c r="P46" s="116"/>
      <c r="Q46" s="64"/>
      <c r="R46" s="106"/>
      <c r="S46" s="117"/>
      <c r="T46" s="106"/>
      <c r="U46" s="268" t="str">
        <f t="shared" si="0"/>
        <v>-</v>
      </c>
    </row>
    <row r="47" spans="12:23">
      <c r="L47" s="10" t="s">
        <v>21</v>
      </c>
      <c r="M47" s="10"/>
      <c r="N47" s="10"/>
      <c r="O47" s="10"/>
      <c r="P47" s="10">
        <f>SUM(P4:P46)</f>
        <v>347</v>
      </c>
      <c r="Q47" s="273">
        <f>SUM(Q4:Q46)</f>
        <v>451.02948004836759</v>
      </c>
      <c r="R47" s="274">
        <f>SUM(R4:R46)</f>
        <v>0</v>
      </c>
      <c r="S47" s="275"/>
      <c r="T47" s="274">
        <f>SUM(T4:T46)</f>
        <v>9223700.3000000007</v>
      </c>
      <c r="U47" s="31">
        <f>T47/Q47/100</f>
        <v>204.5032688109626</v>
      </c>
    </row>
    <row r="51" spans="17:20">
      <c r="Q51" s="26"/>
      <c r="R51" s="26"/>
      <c r="S51" s="26"/>
      <c r="T51" s="26"/>
    </row>
    <row r="52" spans="17:20">
      <c r="Q52" s="26"/>
      <c r="R52" s="80"/>
      <c r="T52" s="80"/>
    </row>
    <row r="53" spans="17:20">
      <c r="T53" s="80"/>
    </row>
    <row r="54" spans="17:20">
      <c r="T54" s="80"/>
    </row>
  </sheetData>
  <autoFilter ref="L3:U47" xr:uid="{EA93015D-5D62-4C68-AFF2-B4A6FB7D7DBA}"/>
  <mergeCells count="2">
    <mergeCell ref="B2:T2"/>
    <mergeCell ref="F16:G16"/>
  </mergeCells>
  <phoneticPr fontId="30" type="noConversion"/>
  <pageMargins left="0.7" right="0.7" top="0.75" bottom="0.75" header="0.3" footer="0.3"/>
  <pageSetup paperSize="9" scale="23" fitToHeight="0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9026-3DBA-412E-979D-9A9CFCFB84E5}">
  <sheetPr>
    <tabColor theme="2" tint="-0.249977111117893"/>
    <pageSetUpPr fitToPage="1"/>
  </sheetPr>
  <dimension ref="B2:X45"/>
  <sheetViews>
    <sheetView tabSelected="1" zoomScale="80" zoomScaleNormal="80" workbookViewId="0">
      <pane xSplit="1" ySplit="4" topLeftCell="B5" activePane="bottomRight" state="frozen"/>
      <selection activeCell="I14" sqref="I14"/>
      <selection pane="topRight" activeCell="I14" sqref="I14"/>
      <selection pane="bottomLeft" activeCell="I14" sqref="I14"/>
      <selection pane="bottomRight" activeCell="T25" sqref="T25"/>
    </sheetView>
  </sheetViews>
  <sheetFormatPr defaultColWidth="9.140625" defaultRowHeight="14.25" outlineLevelCol="1"/>
  <cols>
    <col min="1" max="1" width="3.28515625" style="5" customWidth="1"/>
    <col min="2" max="2" width="35.28515625" style="5" customWidth="1"/>
    <col min="3" max="10" width="12.28515625" style="5" customWidth="1"/>
    <col min="11" max="11" width="10.85546875" style="5" customWidth="1"/>
    <col min="12" max="12" width="17.7109375" style="5" customWidth="1"/>
    <col min="13" max="13" width="24.7109375" style="5" customWidth="1" outlineLevel="1"/>
    <col min="14" max="14" width="12.140625" style="5" customWidth="1" outlineLevel="1"/>
    <col min="15" max="15" width="13.5703125" style="5" customWidth="1" outlineLevel="1"/>
    <col min="16" max="16" width="13.42578125" style="9" customWidth="1" outlineLevel="1"/>
    <col min="17" max="17" width="11.140625" style="5" customWidth="1"/>
    <col min="18" max="18" width="18" style="5" hidden="1" customWidth="1" outlineLevel="1"/>
    <col min="19" max="19" width="17.5703125" style="5" hidden="1" customWidth="1" outlineLevel="1"/>
    <col min="20" max="20" width="19.42578125" style="5" customWidth="1" collapsed="1"/>
    <col min="21" max="21" width="17.5703125" style="5" customWidth="1"/>
    <col min="22" max="22" width="64" style="5" customWidth="1"/>
    <col min="23" max="23" width="11.7109375" style="5" bestFit="1" customWidth="1"/>
    <col min="24" max="25" width="14.42578125" style="5" bestFit="1" customWidth="1"/>
    <col min="26" max="16384" width="9.140625" style="5"/>
  </cols>
  <sheetData>
    <row r="2" spans="2:23" ht="60" customHeight="1">
      <c r="B2" s="366" t="s">
        <v>286</v>
      </c>
      <c r="C2" s="361"/>
      <c r="D2" s="361"/>
      <c r="E2" s="361"/>
      <c r="F2" s="361"/>
      <c r="G2" s="361"/>
      <c r="H2" s="361"/>
      <c r="I2" s="361"/>
      <c r="J2" s="361"/>
      <c r="K2" s="361"/>
      <c r="L2" s="361"/>
      <c r="M2" s="361"/>
      <c r="N2" s="361"/>
      <c r="O2" s="361"/>
      <c r="P2" s="361"/>
      <c r="Q2" s="361"/>
      <c r="R2" s="361"/>
      <c r="S2" s="361"/>
      <c r="T2" s="361"/>
      <c r="U2" s="62"/>
    </row>
    <row r="3" spans="2:23" ht="36.75" customHeight="1">
      <c r="I3" s="6"/>
      <c r="J3" s="6"/>
      <c r="K3" s="6"/>
      <c r="L3" s="62"/>
      <c r="M3" s="62"/>
      <c r="N3" s="62"/>
      <c r="O3" s="62"/>
      <c r="P3" s="62"/>
      <c r="Q3" s="62"/>
      <c r="R3" s="62"/>
      <c r="S3" s="62"/>
      <c r="T3" s="62"/>
      <c r="U3" s="62"/>
    </row>
    <row r="4" spans="2:23" ht="57" customHeight="1">
      <c r="B4" s="7" t="s">
        <v>0</v>
      </c>
      <c r="C4" s="8" t="s">
        <v>1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338</v>
      </c>
      <c r="I4" s="8" t="s">
        <v>3831</v>
      </c>
      <c r="J4" s="260"/>
      <c r="L4" s="332" t="s">
        <v>262</v>
      </c>
      <c r="M4" s="332" t="s">
        <v>24</v>
      </c>
      <c r="N4" s="332" t="s">
        <v>26</v>
      </c>
      <c r="O4" s="332" t="s">
        <v>28</v>
      </c>
      <c r="P4" s="332" t="s">
        <v>19</v>
      </c>
      <c r="Q4" s="332" t="s">
        <v>13</v>
      </c>
      <c r="R4" s="332" t="s">
        <v>204</v>
      </c>
      <c r="S4" s="332" t="s">
        <v>205</v>
      </c>
      <c r="T4" s="336" t="s">
        <v>269</v>
      </c>
      <c r="U4" s="337" t="s">
        <v>206</v>
      </c>
    </row>
    <row r="5" spans="2:23" s="9" customFormat="1" ht="16.5" customHeight="1">
      <c r="B5" s="11" t="s">
        <v>6</v>
      </c>
      <c r="C5" s="12"/>
      <c r="D5" s="12"/>
      <c r="E5" s="12">
        <v>44856</v>
      </c>
      <c r="F5" s="12">
        <v>45164</v>
      </c>
      <c r="G5" s="12">
        <v>45553</v>
      </c>
      <c r="H5" s="12">
        <v>45935</v>
      </c>
      <c r="I5" s="12">
        <f>L5</f>
        <v>46241</v>
      </c>
      <c r="J5" s="12"/>
      <c r="L5" s="340">
        <v>46241</v>
      </c>
      <c r="M5" s="13" t="s">
        <v>3968</v>
      </c>
      <c r="N5" s="15">
        <v>143</v>
      </c>
      <c r="O5" s="255" t="s">
        <v>51</v>
      </c>
      <c r="P5" s="14">
        <v>10</v>
      </c>
      <c r="Q5" s="15">
        <f>SUMIFS('Реестр уборки 2026'!L:L,'Реестр уборки 2026'!I:I,'Реестр уборки 2026'!$I$117,'Реестр уборки 2026'!G:G,M5,'Реестр уборки 2026'!K:K,L5)</f>
        <v>10.999999999999998</v>
      </c>
      <c r="R5" s="16">
        <v>247220</v>
      </c>
      <c r="S5" s="331">
        <f>R5/Q5/1000</f>
        <v>22.47454545454546</v>
      </c>
      <c r="T5" s="329">
        <f>SUMIFS('Реестр уборки 2026'!Q:Q,'Реестр уборки 2026'!I:I,'Реестр уборки 2026'!$I$117,'Реестр уборки 2026'!G:G,M5,'Реестр уборки 2026'!K:K,L5)</f>
        <v>245770</v>
      </c>
      <c r="U5" s="331">
        <f>IFERROR(T5/Q5/1000, "-")</f>
        <v>22.342727272727277</v>
      </c>
      <c r="V5" s="134"/>
      <c r="W5" s="128"/>
    </row>
    <row r="6" spans="2:23" ht="16.5" customHeight="1">
      <c r="B6" s="11" t="s">
        <v>7</v>
      </c>
      <c r="C6" s="12"/>
      <c r="D6" s="12"/>
      <c r="E6" s="12">
        <v>44864</v>
      </c>
      <c r="F6" s="12">
        <v>45171</v>
      </c>
      <c r="G6" s="12">
        <v>45569</v>
      </c>
      <c r="H6" s="12">
        <v>45967</v>
      </c>
      <c r="I6" s="12"/>
      <c r="J6" s="12"/>
      <c r="L6" s="340">
        <v>46242</v>
      </c>
      <c r="M6" s="13" t="s">
        <v>3968</v>
      </c>
      <c r="N6" s="15">
        <v>143</v>
      </c>
      <c r="O6" s="255" t="str">
        <f>O5</f>
        <v>Роялти</v>
      </c>
      <c r="P6" s="14">
        <v>26</v>
      </c>
      <c r="Q6" s="15">
        <f>SUMIFS('Реестр уборки 2026'!L:L,'Реестр уборки 2026'!I:I,'Реестр уборки 2026'!$I$117,'Реестр уборки 2026'!G:G,M6,'Реестр уборки 2026'!K:K,L6)</f>
        <v>31.000000000000004</v>
      </c>
      <c r="R6" s="16">
        <v>610660</v>
      </c>
      <c r="S6" s="331">
        <f t="shared" ref="S6:S8" si="0">R6/Q6/1000</f>
        <v>19.698709677419352</v>
      </c>
      <c r="T6" s="329">
        <f>SUMIFS('Реестр уборки 2026'!Q:Q,'Реестр уборки 2026'!I:I,'Реестр уборки 2026'!$I$117,'Реестр уборки 2026'!G:G,M6,'Реестр уборки 2026'!K:K,L6)</f>
        <v>603790</v>
      </c>
      <c r="U6" s="331">
        <f t="shared" ref="U6:U15" si="1">IFERROR(T6/Q6/1000, "-")</f>
        <v>19.477096774193544</v>
      </c>
      <c r="V6" s="134"/>
    </row>
    <row r="7" spans="2:23" ht="16.5" customHeight="1">
      <c r="B7" s="11" t="s">
        <v>8</v>
      </c>
      <c r="C7" s="19"/>
      <c r="D7" s="19"/>
      <c r="E7" s="19">
        <f>IF(E6=0,"-",E6-E5+1)</f>
        <v>9</v>
      </c>
      <c r="F7" s="19">
        <f>IF(F6=0,"-",F6-F5+1)</f>
        <v>8</v>
      </c>
      <c r="G7" s="19">
        <v>17</v>
      </c>
      <c r="H7" s="19">
        <f>IF(H6=0,"-",H6-H5+1)</f>
        <v>33</v>
      </c>
      <c r="I7" s="19" t="str">
        <f>IF(I6=0,"-",I6-I5+1)</f>
        <v>-</v>
      </c>
      <c r="J7" s="19"/>
      <c r="L7" s="340">
        <v>46243</v>
      </c>
      <c r="M7" s="13" t="s">
        <v>3968</v>
      </c>
      <c r="N7" s="64">
        <v>143</v>
      </c>
      <c r="O7" s="255" t="str">
        <f t="shared" ref="O7:O8" si="2">O6</f>
        <v>Роялти</v>
      </c>
      <c r="P7" s="116">
        <v>27</v>
      </c>
      <c r="Q7" s="15">
        <f>SUMIFS('Реестр уборки 2026'!L:L,'Реестр уборки 2026'!I:I,'Реестр уборки 2026'!$I$117,'Реестр уборки 2026'!G:G,M7,'Реестр уборки 2026'!K:K,L7)</f>
        <v>25</v>
      </c>
      <c r="R7" s="16">
        <v>647020</v>
      </c>
      <c r="S7" s="331">
        <f t="shared" si="0"/>
        <v>25.880800000000001</v>
      </c>
      <c r="T7" s="329">
        <f>SUMIFS('Реестр уборки 2026'!Q:Q,'Реестр уборки 2026'!I:I,'Реестр уборки 2026'!$I$117,'Реестр уборки 2026'!G:G,M7,'Реестр уборки 2026'!K:K,L7)</f>
        <v>639960</v>
      </c>
      <c r="U7" s="331">
        <f t="shared" si="1"/>
        <v>25.598400000000002</v>
      </c>
      <c r="V7" s="134"/>
    </row>
    <row r="8" spans="2:23" ht="16.5" customHeight="1">
      <c r="B8" s="11" t="s">
        <v>9</v>
      </c>
      <c r="C8" s="19"/>
      <c r="D8" s="19"/>
      <c r="E8" s="19">
        <v>8</v>
      </c>
      <c r="F8" s="19">
        <v>8</v>
      </c>
      <c r="G8" s="19">
        <v>13</v>
      </c>
      <c r="H8" s="19">
        <v>17</v>
      </c>
      <c r="I8" s="19">
        <v>17</v>
      </c>
      <c r="J8" s="19"/>
      <c r="L8" s="340">
        <v>46244</v>
      </c>
      <c r="M8" s="13" t="s">
        <v>3968</v>
      </c>
      <c r="N8" s="64">
        <v>143</v>
      </c>
      <c r="O8" s="255" t="str">
        <f t="shared" si="2"/>
        <v>Роялти</v>
      </c>
      <c r="P8" s="116">
        <v>12</v>
      </c>
      <c r="Q8" s="15">
        <f>SUMIFS('Реестр уборки 2026'!L:L,'Реестр уборки 2026'!I:I,'Реестр уборки 2026'!$I$117,'Реестр уборки 2026'!G:G,M8,'Реестр уборки 2026'!K:K,L8)</f>
        <v>24</v>
      </c>
      <c r="R8" s="16">
        <f>T8</f>
        <v>276220</v>
      </c>
      <c r="S8" s="331">
        <f t="shared" si="0"/>
        <v>11.509166666666665</v>
      </c>
      <c r="T8" s="329">
        <f>SUMIFS('Реестр уборки 2026'!Q:Q,'Реестр уборки 2026'!I:I,'Реестр уборки 2026'!$I$117,'Реестр уборки 2026'!G:G,M8,'Реестр уборки 2026'!K:K,L8)</f>
        <v>276220</v>
      </c>
      <c r="U8" s="331">
        <f t="shared" si="1"/>
        <v>11.509166666666665</v>
      </c>
      <c r="V8" s="134"/>
    </row>
    <row r="9" spans="2:23" ht="16.5" customHeight="1">
      <c r="B9" s="11" t="s">
        <v>10</v>
      </c>
      <c r="C9" s="20"/>
      <c r="D9" s="20"/>
      <c r="E9" s="20"/>
      <c r="F9" s="20"/>
      <c r="G9" s="20" t="s">
        <v>268</v>
      </c>
      <c r="H9" s="20" t="s">
        <v>328</v>
      </c>
      <c r="I9" s="20" t="s">
        <v>284</v>
      </c>
      <c r="J9" s="20"/>
      <c r="L9" s="340"/>
      <c r="M9" s="13"/>
      <c r="N9" s="64"/>
      <c r="O9" s="64"/>
      <c r="P9" s="116"/>
      <c r="Q9" s="64"/>
      <c r="R9" s="106"/>
      <c r="S9" s="17"/>
      <c r="T9" s="129"/>
      <c r="U9" s="331" t="str">
        <f t="shared" si="1"/>
        <v>-</v>
      </c>
      <c r="V9" s="128"/>
    </row>
    <row r="10" spans="2:23" ht="16.5" customHeight="1">
      <c r="B10" s="11" t="s">
        <v>11</v>
      </c>
      <c r="C10" s="34"/>
      <c r="D10" s="34"/>
      <c r="E10" s="34">
        <v>1823.61</v>
      </c>
      <c r="F10" s="34">
        <v>1986.5500000000002</v>
      </c>
      <c r="G10" s="34">
        <v>3497.07</v>
      </c>
      <c r="H10" s="34">
        <v>4688.0497000000005</v>
      </c>
      <c r="I10" s="34">
        <f>T16/1000</f>
        <v>1765.74</v>
      </c>
      <c r="J10" s="34"/>
      <c r="L10" s="340"/>
      <c r="M10" s="13"/>
      <c r="N10" s="64"/>
      <c r="O10" s="64"/>
      <c r="P10" s="116"/>
      <c r="Q10" s="64"/>
      <c r="R10" s="106"/>
      <c r="S10" s="17"/>
      <c r="T10" s="129"/>
      <c r="U10" s="331" t="str">
        <f t="shared" si="1"/>
        <v>-</v>
      </c>
      <c r="V10" s="128"/>
    </row>
    <row r="11" spans="2:23" ht="16.5" customHeight="1">
      <c r="B11" s="11" t="s">
        <v>12</v>
      </c>
      <c r="C11" s="22"/>
      <c r="D11" s="22"/>
      <c r="E11" s="22">
        <v>110</v>
      </c>
      <c r="F11" s="22">
        <v>150</v>
      </c>
      <c r="G11" s="22">
        <v>302</v>
      </c>
      <c r="H11" s="22">
        <v>297</v>
      </c>
      <c r="I11" s="22">
        <v>297</v>
      </c>
      <c r="J11" s="22"/>
      <c r="K11" s="131"/>
      <c r="L11" s="115"/>
      <c r="M11" s="115"/>
      <c r="N11" s="64"/>
      <c r="O11" s="64"/>
      <c r="P11" s="116"/>
      <c r="Q11" s="64"/>
      <c r="R11" s="106"/>
      <c r="S11" s="117"/>
      <c r="T11" s="106"/>
      <c r="U11" s="331" t="str">
        <f t="shared" si="1"/>
        <v>-</v>
      </c>
      <c r="V11" s="128"/>
    </row>
    <row r="12" spans="2:23" ht="16.5" customHeight="1">
      <c r="B12" s="11" t="s">
        <v>13</v>
      </c>
      <c r="C12" s="22"/>
      <c r="D12" s="22"/>
      <c r="E12" s="22">
        <v>110</v>
      </c>
      <c r="F12" s="22">
        <v>136</v>
      </c>
      <c r="G12" s="22">
        <v>302</v>
      </c>
      <c r="H12" s="22">
        <v>297</v>
      </c>
      <c r="I12" s="22">
        <f>Q16</f>
        <v>91</v>
      </c>
      <c r="J12" s="22"/>
      <c r="L12" s="115"/>
      <c r="M12" s="115"/>
      <c r="N12" s="64"/>
      <c r="O12" s="64"/>
      <c r="P12" s="116"/>
      <c r="Q12" s="64"/>
      <c r="R12" s="106"/>
      <c r="S12" s="117"/>
      <c r="T12" s="106"/>
      <c r="U12" s="331" t="str">
        <f t="shared" si="1"/>
        <v>-</v>
      </c>
      <c r="V12" s="134"/>
    </row>
    <row r="13" spans="2:23" ht="16.5" customHeight="1">
      <c r="B13" s="11" t="s">
        <v>14</v>
      </c>
      <c r="C13" s="23"/>
      <c r="D13" s="23"/>
      <c r="E13" s="166">
        <f>E10/E12</f>
        <v>16.578272727272726</v>
      </c>
      <c r="F13" s="166">
        <f t="shared" ref="F13:I13" si="3">F10/F12</f>
        <v>14.606985294117649</v>
      </c>
      <c r="G13" s="166">
        <f t="shared" si="3"/>
        <v>11.579701986754968</v>
      </c>
      <c r="H13" s="166">
        <f t="shared" si="3"/>
        <v>15.784679124579126</v>
      </c>
      <c r="I13" s="166">
        <f t="shared" si="3"/>
        <v>19.403736263736263</v>
      </c>
      <c r="J13" s="23"/>
      <c r="L13" s="115"/>
      <c r="M13" s="115"/>
      <c r="N13" s="64"/>
      <c r="O13" s="64"/>
      <c r="P13" s="116"/>
      <c r="Q13" s="64"/>
      <c r="R13" s="106"/>
      <c r="S13" s="117"/>
      <c r="T13" s="106"/>
      <c r="U13" s="331" t="str">
        <f t="shared" si="1"/>
        <v>-</v>
      </c>
      <c r="V13" s="128"/>
    </row>
    <row r="14" spans="2:23" ht="16.5" customHeight="1">
      <c r="B14" s="11"/>
      <c r="C14" s="24"/>
      <c r="D14" s="24"/>
      <c r="E14" s="24"/>
      <c r="F14" s="24"/>
      <c r="G14" s="24"/>
      <c r="H14" s="24"/>
      <c r="L14" s="115"/>
      <c r="M14" s="115"/>
      <c r="N14" s="64"/>
      <c r="O14" s="64"/>
      <c r="P14" s="116"/>
      <c r="Q14" s="64"/>
      <c r="R14" s="106"/>
      <c r="S14" s="117"/>
      <c r="T14" s="106"/>
      <c r="U14" s="331" t="str">
        <f t="shared" si="1"/>
        <v>-</v>
      </c>
      <c r="V14" s="128"/>
    </row>
    <row r="15" spans="2:23" ht="16.5" customHeight="1">
      <c r="L15" s="115"/>
      <c r="M15" s="115"/>
      <c r="N15" s="64"/>
      <c r="O15" s="64"/>
      <c r="P15" s="116"/>
      <c r="Q15" s="64"/>
      <c r="R15" s="106"/>
      <c r="S15" s="117"/>
      <c r="T15" s="106"/>
      <c r="U15" s="331" t="str">
        <f t="shared" si="1"/>
        <v>-</v>
      </c>
      <c r="V15" s="134"/>
    </row>
    <row r="16" spans="2:23" ht="16.5" customHeight="1">
      <c r="B16" s="27" t="s">
        <v>3832</v>
      </c>
      <c r="C16" s="28"/>
      <c r="D16" s="28"/>
      <c r="E16" s="28"/>
      <c r="L16" s="332" t="s">
        <v>21</v>
      </c>
      <c r="M16" s="332"/>
      <c r="N16" s="332"/>
      <c r="O16" s="332"/>
      <c r="P16" s="332">
        <f>SUM(P5:P15)</f>
        <v>75</v>
      </c>
      <c r="Q16" s="333">
        <f>SUM(Q5:Q15)</f>
        <v>91</v>
      </c>
      <c r="R16" s="334">
        <f>SUM(R5:R15)</f>
        <v>1781120</v>
      </c>
      <c r="S16" s="344">
        <f>R16/Q16/1000</f>
        <v>19.572747252747252</v>
      </c>
      <c r="T16" s="334">
        <f>SUM(T5:T15)</f>
        <v>1765740</v>
      </c>
      <c r="U16" s="343">
        <f>IFERROR(T16/Q16/1000, "-")</f>
        <v>19.403736263736263</v>
      </c>
      <c r="V16" s="134"/>
    </row>
    <row r="17" spans="2:24" ht="16.5" customHeight="1">
      <c r="B17" s="11" t="s">
        <v>16</v>
      </c>
      <c r="C17" s="34">
        <v>13392</v>
      </c>
      <c r="D17" s="166">
        <f>C17/E17</f>
        <v>18</v>
      </c>
      <c r="E17" s="138">
        <v>744</v>
      </c>
      <c r="O17" s="9"/>
      <c r="P17" s="5"/>
      <c r="S17" s="80"/>
    </row>
    <row r="18" spans="2:24" ht="16.5" customHeight="1">
      <c r="B18" s="120" t="s">
        <v>17</v>
      </c>
      <c r="C18" s="69">
        <f>T16/1000</f>
        <v>1765.74</v>
      </c>
      <c r="D18" s="167">
        <f>IFERROR(C18/E18,)</f>
        <v>19.403736263736263</v>
      </c>
      <c r="E18" s="165">
        <f>Q16</f>
        <v>91</v>
      </c>
      <c r="O18" s="9"/>
      <c r="P18" s="5"/>
      <c r="S18" s="80"/>
    </row>
    <row r="19" spans="2:24" ht="16.5" customHeight="1">
      <c r="B19" s="11" t="s">
        <v>179</v>
      </c>
      <c r="C19" s="2">
        <f>C18/C17</f>
        <v>0.13185035842293907</v>
      </c>
      <c r="D19" s="1"/>
      <c r="E19" s="138"/>
      <c r="O19" s="9"/>
      <c r="P19" s="5"/>
    </row>
    <row r="20" spans="2:24" ht="16.5" customHeight="1">
      <c r="B20" s="11" t="s">
        <v>180</v>
      </c>
      <c r="C20" s="2">
        <f>IFERROR(E18/E17, )</f>
        <v>0.12231182795698925</v>
      </c>
      <c r="O20" s="9"/>
      <c r="P20" s="5"/>
    </row>
    <row r="21" spans="2:24" ht="16.5" customHeight="1">
      <c r="B21" s="11"/>
      <c r="C21" s="2"/>
      <c r="E21" s="139"/>
      <c r="F21" s="363"/>
      <c r="G21" s="363"/>
      <c r="H21" s="128"/>
      <c r="O21" s="9"/>
      <c r="P21" s="5"/>
    </row>
    <row r="22" spans="2:24" ht="16.5" customHeight="1">
      <c r="B22" s="11"/>
      <c r="C22" s="2"/>
      <c r="E22" s="138"/>
      <c r="F22" s="363"/>
      <c r="G22" s="363"/>
      <c r="H22" s="128"/>
      <c r="O22" s="9"/>
      <c r="P22" s="5"/>
      <c r="V22" s="80"/>
      <c r="X22" s="80"/>
    </row>
    <row r="23" spans="2:24" ht="16.5" customHeight="1">
      <c r="B23" s="11"/>
      <c r="C23" s="2"/>
      <c r="E23" s="26"/>
      <c r="G23" s="3"/>
      <c r="H23" s="3"/>
      <c r="V23" s="281"/>
      <c r="X23" s="80"/>
    </row>
    <row r="24" spans="2:24" ht="16.5" customHeight="1">
      <c r="B24" s="11"/>
      <c r="C24" s="2"/>
      <c r="G24" s="3"/>
      <c r="H24" s="3"/>
      <c r="V24" s="281"/>
      <c r="X24" s="80"/>
    </row>
    <row r="25" spans="2:24" ht="16.5" customHeight="1">
      <c r="B25" s="11"/>
      <c r="C25" s="2"/>
      <c r="G25" s="3"/>
      <c r="H25" s="3"/>
      <c r="V25" s="134"/>
      <c r="X25" s="80"/>
    </row>
    <row r="26" spans="2:24" ht="16.5" customHeight="1">
      <c r="B26" s="11"/>
      <c r="C26" s="2"/>
      <c r="G26" s="3"/>
      <c r="H26" s="3"/>
      <c r="V26" s="134"/>
      <c r="X26" s="80"/>
    </row>
    <row r="27" spans="2:24" ht="16.5" customHeight="1">
      <c r="B27" s="11"/>
      <c r="C27" s="2"/>
      <c r="G27" s="3"/>
      <c r="H27" s="3"/>
      <c r="V27" s="134"/>
      <c r="X27" s="80"/>
    </row>
    <row r="28" spans="2:24" ht="16.5" customHeight="1">
      <c r="B28" s="11"/>
      <c r="C28" s="2"/>
      <c r="G28" s="3"/>
      <c r="H28" s="3"/>
      <c r="V28" s="134"/>
      <c r="X28" s="80"/>
    </row>
    <row r="29" spans="2:24" ht="16.5" customHeight="1">
      <c r="B29" s="11"/>
      <c r="C29" s="2"/>
      <c r="G29" s="3"/>
      <c r="H29" s="3"/>
      <c r="V29" s="134"/>
      <c r="X29" s="80"/>
    </row>
    <row r="30" spans="2:24" ht="16.5" customHeight="1">
      <c r="B30" s="11"/>
      <c r="C30" s="2"/>
      <c r="G30" s="3"/>
      <c r="H30" s="3"/>
      <c r="V30" s="134"/>
      <c r="X30" s="80"/>
    </row>
    <row r="31" spans="2:24" ht="16.5" customHeight="1">
      <c r="B31" s="11"/>
      <c r="C31" s="2"/>
      <c r="G31" s="3"/>
      <c r="H31" s="3"/>
      <c r="V31" s="128"/>
      <c r="X31" s="80"/>
    </row>
    <row r="32" spans="2:24" ht="16.5" customHeight="1">
      <c r="B32" s="11"/>
      <c r="C32" s="2"/>
      <c r="G32" s="3"/>
      <c r="H32" s="3"/>
      <c r="V32" s="128"/>
      <c r="X32" s="80"/>
    </row>
    <row r="33" spans="2:24" ht="16.5" customHeight="1">
      <c r="B33" s="11"/>
      <c r="C33" s="2"/>
      <c r="G33" s="3"/>
      <c r="H33" s="3"/>
      <c r="V33" s="128"/>
      <c r="X33" s="80"/>
    </row>
    <row r="34" spans="2:24" ht="16.5" customHeight="1">
      <c r="B34" s="11"/>
      <c r="C34" s="2"/>
      <c r="G34" s="3"/>
      <c r="H34" s="3"/>
      <c r="V34" s="128"/>
      <c r="X34" s="80"/>
    </row>
    <row r="35" spans="2:24" ht="16.5" customHeight="1">
      <c r="B35" s="11"/>
      <c r="C35" s="2"/>
      <c r="G35" s="3"/>
      <c r="H35" s="3"/>
      <c r="V35" s="128"/>
      <c r="X35" s="80"/>
    </row>
    <row r="36" spans="2:24" ht="16.5" customHeight="1">
      <c r="G36" s="32"/>
      <c r="H36" s="32"/>
      <c r="V36" s="128"/>
    </row>
    <row r="37" spans="2:24" ht="16.5" customHeight="1">
      <c r="C37" s="72"/>
    </row>
    <row r="38" spans="2:24" ht="16.5" customHeight="1">
      <c r="V38" s="304"/>
    </row>
    <row r="39" spans="2:24" ht="16.5" customHeight="1">
      <c r="C39" s="72"/>
    </row>
    <row r="40" spans="2:24" ht="16.5" customHeight="1"/>
    <row r="41" spans="2:24" ht="16.5" customHeight="1"/>
    <row r="42" spans="2:24" ht="16.5" customHeight="1"/>
    <row r="43" spans="2:24" ht="16.5" customHeight="1"/>
    <row r="45" spans="2:24" ht="16.5" customHeight="1"/>
  </sheetData>
  <autoFilter ref="L4:U16" xr:uid="{EA93015D-5D62-4C68-AFF2-B4A6FB7D7DBA}"/>
  <mergeCells count="3">
    <mergeCell ref="F22:G22"/>
    <mergeCell ref="B2:T2"/>
    <mergeCell ref="F21:G21"/>
  </mergeCells>
  <phoneticPr fontId="30" type="noConversion"/>
  <pageMargins left="0.7" right="0.7" top="0.75" bottom="0.75" header="0.3" footer="0.3"/>
  <pageSetup paperSize="9" scale="23" fitToHeight="0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7740B-ECFD-4A48-BA02-A3423FAB88DB}">
  <dimension ref="A1:U192"/>
  <sheetViews>
    <sheetView topLeftCell="B1" zoomScale="90" zoomScaleNormal="90" workbookViewId="0">
      <pane ySplit="1" topLeftCell="A168" activePane="bottomLeft" state="frozen"/>
      <selection pane="bottomLeft" activeCell="L201" sqref="L201"/>
    </sheetView>
  </sheetViews>
  <sheetFormatPr defaultRowHeight="15"/>
  <cols>
    <col min="1" max="1" width="52.5703125" customWidth="1"/>
    <col min="2" max="2" width="10.140625" customWidth="1"/>
    <col min="3" max="3" width="17.28515625" customWidth="1"/>
    <col min="4" max="4" width="13.42578125" customWidth="1"/>
    <col min="5" max="5" width="12" customWidth="1"/>
    <col min="6" max="6" width="14.5703125" customWidth="1"/>
    <col min="7" max="7" width="14.28515625" customWidth="1"/>
    <col min="9" max="9" width="20.7109375" customWidth="1"/>
    <col min="10" max="10" width="10.28515625" customWidth="1"/>
    <col min="11" max="11" width="14.42578125" style="35" customWidth="1"/>
    <col min="12" max="12" width="21.42578125" customWidth="1"/>
    <col min="14" max="14" width="12.85546875" customWidth="1"/>
    <col min="15" max="15" width="11.28515625" customWidth="1"/>
    <col min="16" max="16" width="6.28515625" customWidth="1"/>
    <col min="17" max="17" width="11.85546875" customWidth="1"/>
    <col min="18" max="18" width="15.42578125" customWidth="1"/>
    <col min="19" max="19" width="13.7109375" customWidth="1"/>
    <col min="20" max="20" width="11.7109375" customWidth="1"/>
    <col min="21" max="21" width="14.85546875" customWidth="1"/>
  </cols>
  <sheetData>
    <row r="1" spans="1:21">
      <c r="A1" t="s">
        <v>354</v>
      </c>
      <c r="B1" t="s">
        <v>355</v>
      </c>
      <c r="C1" t="s">
        <v>356</v>
      </c>
      <c r="D1" t="s">
        <v>27</v>
      </c>
      <c r="E1" t="s">
        <v>357</v>
      </c>
      <c r="F1" t="s">
        <v>358</v>
      </c>
      <c r="G1" t="s">
        <v>359</v>
      </c>
      <c r="H1" t="s">
        <v>360</v>
      </c>
      <c r="I1" t="s">
        <v>361</v>
      </c>
      <c r="J1" t="s">
        <v>220</v>
      </c>
      <c r="K1" s="35" t="s">
        <v>548</v>
      </c>
      <c r="L1" t="s">
        <v>37</v>
      </c>
      <c r="M1" t="s">
        <v>3858</v>
      </c>
      <c r="N1" t="s">
        <v>362</v>
      </c>
      <c r="O1" t="s">
        <v>363</v>
      </c>
      <c r="P1" t="s">
        <v>364</v>
      </c>
      <c r="Q1" t="s">
        <v>365</v>
      </c>
      <c r="R1" t="s">
        <v>366</v>
      </c>
      <c r="S1" t="s">
        <v>543</v>
      </c>
      <c r="T1" t="s">
        <v>544</v>
      </c>
      <c r="U1" t="s">
        <v>105</v>
      </c>
    </row>
    <row r="2" spans="1:21">
      <c r="A2" t="s">
        <v>3833</v>
      </c>
      <c r="B2">
        <v>913</v>
      </c>
      <c r="C2" t="s">
        <v>3834</v>
      </c>
      <c r="D2" t="s">
        <v>591</v>
      </c>
      <c r="E2" t="s">
        <v>3835</v>
      </c>
      <c r="F2" t="s">
        <v>1979</v>
      </c>
      <c r="G2" t="s">
        <v>116</v>
      </c>
      <c r="H2" t="s">
        <v>46</v>
      </c>
      <c r="I2" t="s">
        <v>3836</v>
      </c>
      <c r="K2" s="35">
        <v>46237</v>
      </c>
      <c r="L2">
        <v>0.7</v>
      </c>
      <c r="M2">
        <v>1</v>
      </c>
      <c r="N2">
        <v>27710</v>
      </c>
      <c r="O2">
        <v>14270</v>
      </c>
      <c r="P2">
        <v>10</v>
      </c>
      <c r="Q2">
        <v>13440</v>
      </c>
      <c r="R2">
        <v>12096</v>
      </c>
    </row>
    <row r="3" spans="1:21">
      <c r="A3" t="s">
        <v>3837</v>
      </c>
      <c r="B3">
        <v>916</v>
      </c>
      <c r="C3" t="s">
        <v>3838</v>
      </c>
      <c r="D3" t="s">
        <v>591</v>
      </c>
      <c r="E3" t="s">
        <v>3835</v>
      </c>
      <c r="F3" t="s">
        <v>1979</v>
      </c>
      <c r="G3" t="s">
        <v>116</v>
      </c>
      <c r="H3" t="s">
        <v>46</v>
      </c>
      <c r="I3" t="s">
        <v>3836</v>
      </c>
      <c r="K3" s="35">
        <v>46237</v>
      </c>
      <c r="L3">
        <v>0.7</v>
      </c>
      <c r="M3">
        <v>1</v>
      </c>
      <c r="N3">
        <v>28040</v>
      </c>
      <c r="O3">
        <v>14260</v>
      </c>
      <c r="P3">
        <v>5</v>
      </c>
      <c r="Q3">
        <v>13780</v>
      </c>
      <c r="R3">
        <v>13091</v>
      </c>
    </row>
    <row r="4" spans="1:21">
      <c r="A4" t="s">
        <v>3839</v>
      </c>
      <c r="B4">
        <v>920</v>
      </c>
      <c r="C4" t="s">
        <v>3840</v>
      </c>
      <c r="D4" t="s">
        <v>591</v>
      </c>
      <c r="E4" t="s">
        <v>3835</v>
      </c>
      <c r="F4" t="s">
        <v>1979</v>
      </c>
      <c r="G4" t="s">
        <v>116</v>
      </c>
      <c r="H4" t="s">
        <v>46</v>
      </c>
      <c r="I4" t="s">
        <v>3836</v>
      </c>
      <c r="K4" s="35">
        <v>46237</v>
      </c>
      <c r="L4">
        <v>0.7</v>
      </c>
      <c r="M4">
        <v>1</v>
      </c>
      <c r="N4">
        <v>27390</v>
      </c>
      <c r="O4">
        <v>14240</v>
      </c>
      <c r="P4">
        <v>8</v>
      </c>
      <c r="Q4">
        <v>13150</v>
      </c>
      <c r="R4">
        <v>12098</v>
      </c>
    </row>
    <row r="5" spans="1:21">
      <c r="A5" t="s">
        <v>3841</v>
      </c>
      <c r="B5">
        <v>922</v>
      </c>
      <c r="C5" t="s">
        <v>3842</v>
      </c>
      <c r="D5" t="s">
        <v>591</v>
      </c>
      <c r="E5" t="s">
        <v>384</v>
      </c>
      <c r="F5" t="s">
        <v>3843</v>
      </c>
      <c r="G5" t="s">
        <v>116</v>
      </c>
      <c r="H5" t="s">
        <v>46</v>
      </c>
      <c r="I5" t="s">
        <v>3836</v>
      </c>
      <c r="K5" s="35">
        <v>46237</v>
      </c>
      <c r="L5">
        <v>1.1000000000000001</v>
      </c>
      <c r="M5">
        <v>1</v>
      </c>
      <c r="N5">
        <v>36520</v>
      </c>
      <c r="O5">
        <v>15840</v>
      </c>
      <c r="P5">
        <v>5</v>
      </c>
      <c r="Q5">
        <v>20680</v>
      </c>
      <c r="R5">
        <v>19646</v>
      </c>
    </row>
    <row r="6" spans="1:21">
      <c r="A6" t="s">
        <v>3844</v>
      </c>
      <c r="B6">
        <v>923</v>
      </c>
      <c r="C6" t="s">
        <v>3845</v>
      </c>
      <c r="D6" t="s">
        <v>591</v>
      </c>
      <c r="E6" t="s">
        <v>369</v>
      </c>
      <c r="F6" t="s">
        <v>370</v>
      </c>
      <c r="G6" t="s">
        <v>116</v>
      </c>
      <c r="H6" t="s">
        <v>46</v>
      </c>
      <c r="I6" t="s">
        <v>3836</v>
      </c>
      <c r="K6" s="35">
        <v>46237</v>
      </c>
      <c r="L6">
        <v>1.1000000000000001</v>
      </c>
      <c r="M6">
        <v>1</v>
      </c>
      <c r="N6">
        <v>35390</v>
      </c>
      <c r="O6">
        <v>15170</v>
      </c>
      <c r="P6">
        <v>7</v>
      </c>
      <c r="Q6">
        <v>20220</v>
      </c>
      <c r="R6">
        <v>18804.599999999999</v>
      </c>
    </row>
    <row r="7" spans="1:21">
      <c r="A7" t="s">
        <v>3846</v>
      </c>
      <c r="B7">
        <v>924</v>
      </c>
      <c r="C7" t="s">
        <v>3847</v>
      </c>
      <c r="D7" t="s">
        <v>591</v>
      </c>
      <c r="E7" t="s">
        <v>3835</v>
      </c>
      <c r="F7" t="s">
        <v>1979</v>
      </c>
      <c r="G7" t="s">
        <v>116</v>
      </c>
      <c r="H7" t="s">
        <v>46</v>
      </c>
      <c r="I7" t="s">
        <v>3836</v>
      </c>
      <c r="K7" s="35">
        <v>46237</v>
      </c>
      <c r="L7">
        <v>0.7</v>
      </c>
      <c r="M7">
        <v>1</v>
      </c>
      <c r="N7">
        <v>26820</v>
      </c>
      <c r="O7">
        <v>14210</v>
      </c>
      <c r="P7">
        <v>6</v>
      </c>
      <c r="Q7">
        <v>12610</v>
      </c>
      <c r="R7">
        <v>11853.4</v>
      </c>
    </row>
    <row r="8" spans="1:21">
      <c r="A8" t="s">
        <v>3848</v>
      </c>
      <c r="B8">
        <v>925</v>
      </c>
      <c r="C8">
        <v>7</v>
      </c>
      <c r="D8" t="s">
        <v>591</v>
      </c>
      <c r="E8" t="s">
        <v>400</v>
      </c>
      <c r="F8" t="s">
        <v>401</v>
      </c>
      <c r="G8" t="s">
        <v>116</v>
      </c>
      <c r="H8" t="s">
        <v>46</v>
      </c>
      <c r="I8" t="s">
        <v>3836</v>
      </c>
      <c r="K8" s="35">
        <v>46237</v>
      </c>
      <c r="L8">
        <v>1.1000000000000001</v>
      </c>
      <c r="M8">
        <v>1</v>
      </c>
      <c r="N8">
        <v>35680</v>
      </c>
      <c r="O8">
        <v>14910</v>
      </c>
      <c r="P8">
        <v>7</v>
      </c>
      <c r="Q8">
        <v>20770</v>
      </c>
      <c r="R8">
        <v>19316.099999999999</v>
      </c>
    </row>
    <row r="9" spans="1:21">
      <c r="A9" t="s">
        <v>3849</v>
      </c>
      <c r="B9">
        <v>927</v>
      </c>
      <c r="C9">
        <v>8</v>
      </c>
      <c r="D9" t="s">
        <v>591</v>
      </c>
      <c r="E9" t="s">
        <v>369</v>
      </c>
      <c r="F9" t="s">
        <v>370</v>
      </c>
      <c r="G9" t="s">
        <v>116</v>
      </c>
      <c r="H9" t="s">
        <v>46</v>
      </c>
      <c r="I9" t="s">
        <v>3836</v>
      </c>
      <c r="K9" s="35">
        <v>46237</v>
      </c>
      <c r="L9">
        <v>1.1000000000000001</v>
      </c>
      <c r="M9">
        <v>1</v>
      </c>
      <c r="N9">
        <v>36460</v>
      </c>
      <c r="O9">
        <v>15170</v>
      </c>
      <c r="P9">
        <v>9</v>
      </c>
      <c r="Q9">
        <v>21290</v>
      </c>
      <c r="R9">
        <v>19373.900000000001</v>
      </c>
    </row>
    <row r="10" spans="1:21">
      <c r="A10" t="s">
        <v>3850</v>
      </c>
      <c r="B10">
        <v>929</v>
      </c>
      <c r="C10">
        <v>9</v>
      </c>
      <c r="D10" t="s">
        <v>591</v>
      </c>
      <c r="E10" t="s">
        <v>3835</v>
      </c>
      <c r="F10" t="s">
        <v>1979</v>
      </c>
      <c r="G10" t="s">
        <v>116</v>
      </c>
      <c r="H10" t="s">
        <v>46</v>
      </c>
      <c r="I10" t="s">
        <v>3836</v>
      </c>
      <c r="K10" s="35">
        <v>46237</v>
      </c>
      <c r="L10">
        <v>0.7</v>
      </c>
      <c r="M10">
        <v>1</v>
      </c>
      <c r="N10">
        <v>27770</v>
      </c>
      <c r="O10">
        <v>14220</v>
      </c>
      <c r="P10">
        <v>8</v>
      </c>
      <c r="Q10">
        <v>13550</v>
      </c>
      <c r="R10">
        <v>12466</v>
      </c>
    </row>
    <row r="11" spans="1:21">
      <c r="A11" t="s">
        <v>3851</v>
      </c>
      <c r="B11">
        <v>930</v>
      </c>
      <c r="C11">
        <v>10</v>
      </c>
      <c r="D11" t="s">
        <v>591</v>
      </c>
      <c r="E11" t="s">
        <v>400</v>
      </c>
      <c r="F11" t="s">
        <v>401</v>
      </c>
      <c r="G11" t="s">
        <v>116</v>
      </c>
      <c r="H11" t="s">
        <v>46</v>
      </c>
      <c r="I11" t="s">
        <v>3836</v>
      </c>
      <c r="K11" s="35">
        <v>46237</v>
      </c>
      <c r="L11">
        <v>1.2</v>
      </c>
      <c r="M11">
        <v>1</v>
      </c>
      <c r="N11">
        <v>36850</v>
      </c>
      <c r="O11">
        <v>14880</v>
      </c>
      <c r="P11">
        <v>6</v>
      </c>
      <c r="Q11">
        <v>21970</v>
      </c>
      <c r="R11">
        <v>20651.8</v>
      </c>
    </row>
    <row r="12" spans="1:21">
      <c r="A12" t="s">
        <v>3852</v>
      </c>
      <c r="B12">
        <v>931</v>
      </c>
      <c r="C12">
        <v>11</v>
      </c>
      <c r="D12" t="s">
        <v>591</v>
      </c>
      <c r="E12" t="s">
        <v>369</v>
      </c>
      <c r="F12" t="s">
        <v>370</v>
      </c>
      <c r="G12" t="s">
        <v>116</v>
      </c>
      <c r="H12" t="s">
        <v>46</v>
      </c>
      <c r="I12" t="s">
        <v>3836</v>
      </c>
      <c r="K12" s="35">
        <v>46237</v>
      </c>
      <c r="L12">
        <v>1.1000000000000001</v>
      </c>
      <c r="M12">
        <v>1</v>
      </c>
      <c r="N12">
        <v>36050</v>
      </c>
      <c r="O12">
        <v>15160</v>
      </c>
      <c r="P12">
        <v>9</v>
      </c>
      <c r="Q12">
        <v>20890</v>
      </c>
      <c r="R12">
        <v>19009.900000000001</v>
      </c>
    </row>
    <row r="13" spans="1:21">
      <c r="A13" t="s">
        <v>3853</v>
      </c>
      <c r="B13">
        <v>933</v>
      </c>
      <c r="C13">
        <v>12</v>
      </c>
      <c r="D13" t="s">
        <v>591</v>
      </c>
      <c r="E13" t="s">
        <v>3835</v>
      </c>
      <c r="F13" t="s">
        <v>1979</v>
      </c>
      <c r="G13" t="s">
        <v>116</v>
      </c>
      <c r="H13" t="s">
        <v>46</v>
      </c>
      <c r="I13" t="s">
        <v>3836</v>
      </c>
      <c r="K13" s="35">
        <v>46237</v>
      </c>
      <c r="L13">
        <v>0.7</v>
      </c>
      <c r="M13">
        <v>1</v>
      </c>
      <c r="N13">
        <v>27260</v>
      </c>
      <c r="O13">
        <v>14220</v>
      </c>
      <c r="P13">
        <v>7</v>
      </c>
      <c r="Q13">
        <v>13040</v>
      </c>
      <c r="R13">
        <v>12127.2</v>
      </c>
    </row>
    <row r="14" spans="1:21">
      <c r="A14" t="s">
        <v>3854</v>
      </c>
      <c r="B14">
        <v>934</v>
      </c>
      <c r="C14">
        <v>13</v>
      </c>
      <c r="D14" t="s">
        <v>591</v>
      </c>
      <c r="E14" t="s">
        <v>400</v>
      </c>
      <c r="F14" t="s">
        <v>401</v>
      </c>
      <c r="G14" t="s">
        <v>116</v>
      </c>
      <c r="H14" t="s">
        <v>46</v>
      </c>
      <c r="I14" t="s">
        <v>3836</v>
      </c>
      <c r="K14" s="35">
        <v>46237</v>
      </c>
      <c r="L14">
        <v>1.1000000000000001</v>
      </c>
      <c r="M14">
        <v>1</v>
      </c>
      <c r="N14">
        <v>36220</v>
      </c>
      <c r="O14">
        <v>14880</v>
      </c>
      <c r="P14">
        <v>6</v>
      </c>
      <c r="Q14">
        <v>21340</v>
      </c>
      <c r="R14">
        <v>20059.599999999999</v>
      </c>
    </row>
    <row r="15" spans="1:21">
      <c r="A15" t="s">
        <v>3855</v>
      </c>
      <c r="B15">
        <v>935</v>
      </c>
      <c r="C15">
        <v>14</v>
      </c>
      <c r="D15" t="s">
        <v>591</v>
      </c>
      <c r="E15" t="s">
        <v>369</v>
      </c>
      <c r="F15" t="s">
        <v>370</v>
      </c>
      <c r="G15" t="s">
        <v>116</v>
      </c>
      <c r="H15" t="s">
        <v>46</v>
      </c>
      <c r="I15" t="s">
        <v>3836</v>
      </c>
      <c r="K15" s="35">
        <v>46237</v>
      </c>
      <c r="L15">
        <v>1.1000000000000001</v>
      </c>
      <c r="M15">
        <v>1</v>
      </c>
      <c r="N15">
        <v>35400</v>
      </c>
      <c r="O15">
        <v>15190</v>
      </c>
      <c r="P15">
        <v>6</v>
      </c>
      <c r="Q15">
        <v>20210</v>
      </c>
      <c r="R15">
        <v>18997.400000000001</v>
      </c>
    </row>
    <row r="16" spans="1:21">
      <c r="A16" t="s">
        <v>3856</v>
      </c>
      <c r="B16">
        <v>937</v>
      </c>
      <c r="C16">
        <v>15</v>
      </c>
      <c r="D16" t="s">
        <v>591</v>
      </c>
      <c r="E16" t="s">
        <v>3835</v>
      </c>
      <c r="F16" t="s">
        <v>1979</v>
      </c>
      <c r="G16" t="s">
        <v>116</v>
      </c>
      <c r="H16" t="s">
        <v>46</v>
      </c>
      <c r="I16" t="s">
        <v>3836</v>
      </c>
      <c r="K16" s="35">
        <v>46237</v>
      </c>
      <c r="L16">
        <v>0.7</v>
      </c>
      <c r="M16">
        <v>1</v>
      </c>
      <c r="N16">
        <v>26450</v>
      </c>
      <c r="O16">
        <v>14210</v>
      </c>
      <c r="P16">
        <v>8</v>
      </c>
      <c r="Q16">
        <v>12240</v>
      </c>
      <c r="R16">
        <v>11260.8</v>
      </c>
    </row>
    <row r="17" spans="1:18">
      <c r="A17" t="s">
        <v>3857</v>
      </c>
      <c r="B17">
        <v>938</v>
      </c>
      <c r="C17">
        <v>16</v>
      </c>
      <c r="D17" t="s">
        <v>591</v>
      </c>
      <c r="E17" t="s">
        <v>400</v>
      </c>
      <c r="F17" t="s">
        <v>401</v>
      </c>
      <c r="G17" t="s">
        <v>116</v>
      </c>
      <c r="H17" t="s">
        <v>46</v>
      </c>
      <c r="I17" t="s">
        <v>3836</v>
      </c>
      <c r="K17" s="35">
        <v>46237</v>
      </c>
      <c r="L17">
        <v>1.2</v>
      </c>
      <c r="M17">
        <v>1</v>
      </c>
      <c r="N17">
        <v>34690</v>
      </c>
      <c r="O17">
        <v>14870</v>
      </c>
      <c r="P17">
        <v>8</v>
      </c>
      <c r="Q17">
        <v>19820</v>
      </c>
      <c r="R17">
        <v>18234.400000000001</v>
      </c>
    </row>
    <row r="18" spans="1:18">
      <c r="A18" t="s">
        <v>3860</v>
      </c>
      <c r="B18">
        <v>940</v>
      </c>
      <c r="C18">
        <v>17</v>
      </c>
      <c r="D18" t="s">
        <v>591</v>
      </c>
      <c r="E18" t="s">
        <v>369</v>
      </c>
      <c r="F18" t="s">
        <v>370</v>
      </c>
      <c r="G18" t="s">
        <v>116</v>
      </c>
      <c r="H18" t="s">
        <v>46</v>
      </c>
      <c r="I18" t="s">
        <v>3836</v>
      </c>
      <c r="K18" s="35">
        <v>46238</v>
      </c>
      <c r="L18">
        <v>0.9</v>
      </c>
      <c r="M18">
        <v>2</v>
      </c>
      <c r="N18">
        <v>36390</v>
      </c>
      <c r="O18">
        <v>15150</v>
      </c>
      <c r="P18">
        <v>10</v>
      </c>
      <c r="Q18">
        <v>21240</v>
      </c>
      <c r="R18">
        <v>19116</v>
      </c>
    </row>
    <row r="19" spans="1:18">
      <c r="A19" t="s">
        <v>3861</v>
      </c>
      <c r="B19">
        <v>942</v>
      </c>
      <c r="C19">
        <v>18</v>
      </c>
      <c r="D19" t="s">
        <v>591</v>
      </c>
      <c r="E19" t="s">
        <v>2053</v>
      </c>
      <c r="F19" t="s">
        <v>2054</v>
      </c>
      <c r="G19" t="s">
        <v>116</v>
      </c>
      <c r="H19" t="s">
        <v>46</v>
      </c>
      <c r="I19" t="s">
        <v>3836</v>
      </c>
      <c r="K19" s="35">
        <v>46238</v>
      </c>
      <c r="L19">
        <v>0.6</v>
      </c>
      <c r="M19">
        <v>2</v>
      </c>
      <c r="N19">
        <v>27460</v>
      </c>
      <c r="O19">
        <v>14400</v>
      </c>
      <c r="P19">
        <v>11</v>
      </c>
      <c r="Q19">
        <v>13060</v>
      </c>
      <c r="R19">
        <v>11623.4</v>
      </c>
    </row>
    <row r="20" spans="1:18">
      <c r="A20" t="s">
        <v>3862</v>
      </c>
      <c r="B20">
        <v>943</v>
      </c>
      <c r="C20">
        <v>19</v>
      </c>
      <c r="D20" t="s">
        <v>591</v>
      </c>
      <c r="E20" t="s">
        <v>382</v>
      </c>
      <c r="F20" t="s">
        <v>383</v>
      </c>
      <c r="G20" t="s">
        <v>116</v>
      </c>
      <c r="H20" t="s">
        <v>46</v>
      </c>
      <c r="I20" t="s">
        <v>3836</v>
      </c>
      <c r="K20" s="35">
        <v>46238</v>
      </c>
      <c r="L20">
        <v>0.9</v>
      </c>
      <c r="M20">
        <v>2</v>
      </c>
      <c r="N20">
        <v>34170</v>
      </c>
      <c r="O20">
        <v>14320</v>
      </c>
      <c r="P20">
        <v>4</v>
      </c>
      <c r="Q20">
        <v>19850</v>
      </c>
      <c r="R20">
        <v>19056</v>
      </c>
    </row>
    <row r="21" spans="1:18">
      <c r="A21" t="s">
        <v>3863</v>
      </c>
      <c r="B21">
        <v>944</v>
      </c>
      <c r="C21">
        <v>20</v>
      </c>
      <c r="D21" t="s">
        <v>591</v>
      </c>
      <c r="E21" t="s">
        <v>377</v>
      </c>
      <c r="F21" t="s">
        <v>378</v>
      </c>
      <c r="G21" t="s">
        <v>116</v>
      </c>
      <c r="H21" t="s">
        <v>46</v>
      </c>
      <c r="I21" t="s">
        <v>3836</v>
      </c>
      <c r="K21" s="35">
        <v>46238</v>
      </c>
      <c r="L21">
        <v>1.1000000000000001</v>
      </c>
      <c r="M21">
        <v>2</v>
      </c>
      <c r="N21">
        <v>39970</v>
      </c>
      <c r="O21">
        <v>15070</v>
      </c>
      <c r="P21">
        <v>6</v>
      </c>
      <c r="Q21">
        <v>24900</v>
      </c>
      <c r="R21">
        <v>23406</v>
      </c>
    </row>
    <row r="22" spans="1:18">
      <c r="A22" t="s">
        <v>3864</v>
      </c>
      <c r="B22">
        <v>946</v>
      </c>
      <c r="C22">
        <v>21</v>
      </c>
      <c r="D22" t="s">
        <v>591</v>
      </c>
      <c r="E22" t="s">
        <v>372</v>
      </c>
      <c r="F22" t="s">
        <v>373</v>
      </c>
      <c r="G22" t="s">
        <v>116</v>
      </c>
      <c r="H22" t="s">
        <v>46</v>
      </c>
      <c r="I22" t="s">
        <v>3836</v>
      </c>
      <c r="K22" s="35">
        <v>46238</v>
      </c>
      <c r="L22">
        <v>1</v>
      </c>
      <c r="M22">
        <v>2</v>
      </c>
      <c r="N22">
        <v>37620</v>
      </c>
      <c r="O22">
        <v>15330</v>
      </c>
      <c r="P22">
        <v>4</v>
      </c>
      <c r="Q22">
        <v>22290</v>
      </c>
      <c r="R22">
        <v>21398.400000000001</v>
      </c>
    </row>
    <row r="23" spans="1:18">
      <c r="A23" t="s">
        <v>3865</v>
      </c>
      <c r="B23">
        <v>947</v>
      </c>
      <c r="C23">
        <v>22</v>
      </c>
      <c r="D23" t="s">
        <v>591</v>
      </c>
      <c r="E23" t="s">
        <v>2053</v>
      </c>
      <c r="F23" t="s">
        <v>2054</v>
      </c>
      <c r="G23" t="s">
        <v>116</v>
      </c>
      <c r="H23" t="s">
        <v>46</v>
      </c>
      <c r="I23" t="s">
        <v>3836</v>
      </c>
      <c r="K23" s="35">
        <v>46238</v>
      </c>
      <c r="L23">
        <v>0.6</v>
      </c>
      <c r="M23">
        <v>2</v>
      </c>
      <c r="N23">
        <v>27880</v>
      </c>
      <c r="O23">
        <v>14410</v>
      </c>
      <c r="P23">
        <v>3</v>
      </c>
      <c r="Q23">
        <v>13470</v>
      </c>
      <c r="R23">
        <v>13065.9</v>
      </c>
    </row>
    <row r="24" spans="1:18">
      <c r="A24" t="s">
        <v>3866</v>
      </c>
      <c r="B24">
        <v>949</v>
      </c>
      <c r="C24">
        <v>23</v>
      </c>
      <c r="D24" t="s">
        <v>591</v>
      </c>
      <c r="E24" t="s">
        <v>382</v>
      </c>
      <c r="F24" t="s">
        <v>383</v>
      </c>
      <c r="G24" t="s">
        <v>116</v>
      </c>
      <c r="H24" t="s">
        <v>46</v>
      </c>
      <c r="I24" t="s">
        <v>3836</v>
      </c>
      <c r="K24" s="35">
        <v>46238</v>
      </c>
      <c r="L24">
        <v>0.9</v>
      </c>
      <c r="M24">
        <v>2</v>
      </c>
      <c r="N24">
        <v>35810</v>
      </c>
      <c r="O24">
        <v>14470</v>
      </c>
      <c r="P24">
        <v>14</v>
      </c>
      <c r="Q24">
        <v>21340</v>
      </c>
      <c r="R24">
        <v>18352.400000000001</v>
      </c>
    </row>
    <row r="25" spans="1:18">
      <c r="A25" t="s">
        <v>3867</v>
      </c>
      <c r="B25">
        <v>950</v>
      </c>
      <c r="C25">
        <v>24</v>
      </c>
      <c r="D25" t="s">
        <v>591</v>
      </c>
      <c r="E25" t="s">
        <v>377</v>
      </c>
      <c r="F25" t="s">
        <v>378</v>
      </c>
      <c r="G25" t="s">
        <v>116</v>
      </c>
      <c r="H25" t="s">
        <v>46</v>
      </c>
      <c r="I25" t="s">
        <v>3836</v>
      </c>
      <c r="K25" s="35">
        <v>46238</v>
      </c>
      <c r="L25">
        <v>1.1000000000000001</v>
      </c>
      <c r="M25">
        <v>2</v>
      </c>
      <c r="N25">
        <v>40230</v>
      </c>
      <c r="O25">
        <v>15070</v>
      </c>
      <c r="P25">
        <v>5</v>
      </c>
      <c r="Q25">
        <v>25160</v>
      </c>
      <c r="R25">
        <v>23902</v>
      </c>
    </row>
    <row r="26" spans="1:18">
      <c r="A26" t="s">
        <v>3868</v>
      </c>
      <c r="B26">
        <v>952</v>
      </c>
      <c r="C26">
        <v>26</v>
      </c>
      <c r="D26" t="s">
        <v>591</v>
      </c>
      <c r="E26" t="s">
        <v>2053</v>
      </c>
      <c r="F26" t="s">
        <v>2054</v>
      </c>
      <c r="G26" t="s">
        <v>116</v>
      </c>
      <c r="H26" t="s">
        <v>46</v>
      </c>
      <c r="I26" t="s">
        <v>3836</v>
      </c>
      <c r="K26" s="35">
        <v>46238</v>
      </c>
      <c r="L26">
        <v>0.6</v>
      </c>
      <c r="M26">
        <v>2</v>
      </c>
      <c r="N26">
        <v>27470</v>
      </c>
      <c r="O26">
        <v>14430</v>
      </c>
      <c r="P26">
        <v>8</v>
      </c>
      <c r="Q26">
        <v>13040</v>
      </c>
      <c r="R26">
        <v>11996.8</v>
      </c>
    </row>
    <row r="27" spans="1:18">
      <c r="A27" t="s">
        <v>3869</v>
      </c>
      <c r="B27">
        <v>951</v>
      </c>
      <c r="C27">
        <v>25</v>
      </c>
      <c r="D27" t="s">
        <v>591</v>
      </c>
      <c r="E27" t="s">
        <v>372</v>
      </c>
      <c r="F27" t="s">
        <v>373</v>
      </c>
      <c r="G27" t="s">
        <v>116</v>
      </c>
      <c r="H27" t="s">
        <v>46</v>
      </c>
      <c r="I27" t="s">
        <v>3836</v>
      </c>
      <c r="K27" s="35">
        <v>46238</v>
      </c>
      <c r="L27">
        <v>1</v>
      </c>
      <c r="M27">
        <v>2</v>
      </c>
      <c r="N27">
        <v>37150</v>
      </c>
      <c r="O27">
        <v>15310</v>
      </c>
      <c r="P27">
        <v>6</v>
      </c>
      <c r="Q27">
        <v>21840</v>
      </c>
      <c r="R27">
        <v>20529.599999999999</v>
      </c>
    </row>
    <row r="28" spans="1:18">
      <c r="A28" t="s">
        <v>3870</v>
      </c>
      <c r="B28">
        <v>955</v>
      </c>
      <c r="C28">
        <v>27</v>
      </c>
      <c r="D28" t="s">
        <v>591</v>
      </c>
      <c r="E28" t="s">
        <v>382</v>
      </c>
      <c r="F28" t="s">
        <v>383</v>
      </c>
      <c r="G28" t="s">
        <v>3871</v>
      </c>
      <c r="H28" t="s">
        <v>46</v>
      </c>
      <c r="I28" t="s">
        <v>3836</v>
      </c>
      <c r="K28" s="35">
        <v>46238</v>
      </c>
      <c r="L28">
        <v>1.2</v>
      </c>
      <c r="M28">
        <v>2</v>
      </c>
      <c r="N28">
        <v>38760</v>
      </c>
      <c r="O28">
        <v>14470</v>
      </c>
      <c r="P28">
        <v>17</v>
      </c>
      <c r="Q28">
        <v>24290</v>
      </c>
      <c r="R28">
        <v>20160.7</v>
      </c>
    </row>
    <row r="29" spans="1:18">
      <c r="A29" t="s">
        <v>3872</v>
      </c>
      <c r="B29">
        <v>956</v>
      </c>
      <c r="C29">
        <v>28</v>
      </c>
      <c r="D29" t="s">
        <v>591</v>
      </c>
      <c r="E29" t="s">
        <v>2053</v>
      </c>
      <c r="F29" t="s">
        <v>2054</v>
      </c>
      <c r="G29" t="s">
        <v>116</v>
      </c>
      <c r="H29" t="s">
        <v>46</v>
      </c>
      <c r="I29" t="s">
        <v>3836</v>
      </c>
      <c r="K29" s="35">
        <v>46238</v>
      </c>
      <c r="L29">
        <v>0.3</v>
      </c>
      <c r="M29">
        <v>2</v>
      </c>
      <c r="N29">
        <v>27170</v>
      </c>
      <c r="O29">
        <v>20690</v>
      </c>
      <c r="P29">
        <v>9</v>
      </c>
      <c r="Q29">
        <v>6480</v>
      </c>
      <c r="R29">
        <v>5896.8</v>
      </c>
    </row>
    <row r="30" spans="1:18">
      <c r="A30" t="s">
        <v>3873</v>
      </c>
      <c r="B30">
        <v>959</v>
      </c>
      <c r="C30">
        <v>28</v>
      </c>
      <c r="D30" t="s">
        <v>591</v>
      </c>
      <c r="E30" t="s">
        <v>2053</v>
      </c>
      <c r="F30" t="s">
        <v>2054</v>
      </c>
      <c r="G30" t="s">
        <v>3871</v>
      </c>
      <c r="H30" t="s">
        <v>46</v>
      </c>
      <c r="I30" t="s">
        <v>3836</v>
      </c>
      <c r="K30" s="35">
        <v>46238</v>
      </c>
      <c r="L30">
        <v>0.3</v>
      </c>
      <c r="M30">
        <v>2</v>
      </c>
      <c r="N30">
        <v>20690</v>
      </c>
      <c r="O30">
        <v>14430</v>
      </c>
      <c r="P30">
        <v>7</v>
      </c>
      <c r="Q30">
        <v>6260</v>
      </c>
      <c r="R30">
        <v>5821.8</v>
      </c>
    </row>
    <row r="31" spans="1:18">
      <c r="A31" t="s">
        <v>3874</v>
      </c>
      <c r="B31">
        <v>957</v>
      </c>
      <c r="C31">
        <v>29</v>
      </c>
      <c r="D31" t="s">
        <v>591</v>
      </c>
      <c r="E31" t="s">
        <v>377</v>
      </c>
      <c r="F31" t="s">
        <v>378</v>
      </c>
      <c r="G31" t="s">
        <v>116</v>
      </c>
      <c r="H31" t="s">
        <v>46</v>
      </c>
      <c r="I31" t="s">
        <v>3836</v>
      </c>
      <c r="K31" s="35">
        <v>46238</v>
      </c>
      <c r="L31">
        <v>1.1000000000000001</v>
      </c>
      <c r="M31">
        <v>2</v>
      </c>
      <c r="N31">
        <v>40950</v>
      </c>
      <c r="O31">
        <v>15070</v>
      </c>
      <c r="P31">
        <v>7</v>
      </c>
      <c r="Q31">
        <v>25880</v>
      </c>
      <c r="R31">
        <v>24068.400000000001</v>
      </c>
    </row>
    <row r="32" spans="1:18">
      <c r="A32" t="s">
        <v>3875</v>
      </c>
      <c r="B32">
        <v>963</v>
      </c>
      <c r="C32">
        <v>33</v>
      </c>
      <c r="D32" t="s">
        <v>591</v>
      </c>
      <c r="E32" t="s">
        <v>377</v>
      </c>
      <c r="F32" t="s">
        <v>378</v>
      </c>
      <c r="G32" t="s">
        <v>116</v>
      </c>
      <c r="H32" t="s">
        <v>46</v>
      </c>
      <c r="I32" t="s">
        <v>3836</v>
      </c>
      <c r="K32" s="35">
        <v>46238</v>
      </c>
      <c r="L32">
        <v>1</v>
      </c>
      <c r="M32">
        <v>2</v>
      </c>
      <c r="N32">
        <v>37330</v>
      </c>
      <c r="O32">
        <v>15060</v>
      </c>
      <c r="P32">
        <v>7</v>
      </c>
      <c r="Q32">
        <v>22270</v>
      </c>
      <c r="R32">
        <v>20711.099999999999</v>
      </c>
    </row>
    <row r="33" spans="1:18">
      <c r="A33" t="s">
        <v>3876</v>
      </c>
      <c r="B33">
        <v>960</v>
      </c>
      <c r="C33">
        <v>30</v>
      </c>
      <c r="D33" t="s">
        <v>591</v>
      </c>
      <c r="E33" t="s">
        <v>372</v>
      </c>
      <c r="F33" t="s">
        <v>373</v>
      </c>
      <c r="G33" t="s">
        <v>116</v>
      </c>
      <c r="H33" t="s">
        <v>46</v>
      </c>
      <c r="I33" t="s">
        <v>3836</v>
      </c>
      <c r="K33" s="35">
        <v>46238</v>
      </c>
      <c r="L33">
        <v>1</v>
      </c>
      <c r="M33">
        <v>2</v>
      </c>
      <c r="N33">
        <v>37660</v>
      </c>
      <c r="O33">
        <v>15300</v>
      </c>
      <c r="P33">
        <v>4</v>
      </c>
      <c r="Q33">
        <v>22360</v>
      </c>
      <c r="R33">
        <v>21465.599999999999</v>
      </c>
    </row>
    <row r="34" spans="1:18">
      <c r="A34" t="s">
        <v>3877</v>
      </c>
      <c r="B34">
        <v>961</v>
      </c>
      <c r="C34">
        <v>31</v>
      </c>
      <c r="D34" t="s">
        <v>591</v>
      </c>
      <c r="E34" t="s">
        <v>382</v>
      </c>
      <c r="F34" t="s">
        <v>383</v>
      </c>
      <c r="G34" t="s">
        <v>116</v>
      </c>
      <c r="H34" t="s">
        <v>46</v>
      </c>
      <c r="I34" t="s">
        <v>3836</v>
      </c>
      <c r="K34" s="35">
        <v>46238</v>
      </c>
      <c r="L34">
        <v>1</v>
      </c>
      <c r="M34">
        <v>2</v>
      </c>
      <c r="N34">
        <v>37800</v>
      </c>
      <c r="O34">
        <v>14460</v>
      </c>
      <c r="P34">
        <v>4</v>
      </c>
      <c r="Q34">
        <v>23340</v>
      </c>
      <c r="R34">
        <v>22406.400000000001</v>
      </c>
    </row>
    <row r="35" spans="1:18">
      <c r="A35" t="s">
        <v>3878</v>
      </c>
      <c r="B35">
        <v>962</v>
      </c>
      <c r="C35">
        <v>32</v>
      </c>
      <c r="D35" t="s">
        <v>591</v>
      </c>
      <c r="E35" t="s">
        <v>2053</v>
      </c>
      <c r="F35" t="s">
        <v>2054</v>
      </c>
      <c r="G35" t="s">
        <v>116</v>
      </c>
      <c r="H35" t="s">
        <v>46</v>
      </c>
      <c r="I35" t="s">
        <v>3836</v>
      </c>
      <c r="K35" s="35">
        <v>46238</v>
      </c>
      <c r="L35">
        <v>0.5</v>
      </c>
      <c r="M35">
        <v>2</v>
      </c>
      <c r="N35">
        <v>26350</v>
      </c>
      <c r="O35">
        <v>14420</v>
      </c>
      <c r="P35">
        <v>4</v>
      </c>
      <c r="Q35">
        <v>11930</v>
      </c>
      <c r="R35">
        <v>11452.8</v>
      </c>
    </row>
    <row r="36" spans="1:18">
      <c r="A36" t="s">
        <v>3879</v>
      </c>
      <c r="B36">
        <v>964</v>
      </c>
      <c r="C36">
        <v>34</v>
      </c>
      <c r="D36" t="s">
        <v>591</v>
      </c>
      <c r="E36" t="s">
        <v>372</v>
      </c>
      <c r="F36" t="s">
        <v>373</v>
      </c>
      <c r="G36" t="s">
        <v>116</v>
      </c>
      <c r="H36" t="s">
        <v>46</v>
      </c>
      <c r="I36" t="s">
        <v>3836</v>
      </c>
      <c r="K36" s="35">
        <v>46238</v>
      </c>
      <c r="L36">
        <v>0.9</v>
      </c>
      <c r="M36">
        <v>2</v>
      </c>
      <c r="N36">
        <v>38150</v>
      </c>
      <c r="O36">
        <v>15300</v>
      </c>
      <c r="P36">
        <v>9</v>
      </c>
      <c r="Q36">
        <v>22850</v>
      </c>
      <c r="R36">
        <v>20793.5</v>
      </c>
    </row>
    <row r="37" spans="1:18">
      <c r="A37" t="s">
        <v>3880</v>
      </c>
      <c r="B37">
        <v>966</v>
      </c>
      <c r="C37">
        <v>35</v>
      </c>
      <c r="D37" t="s">
        <v>591</v>
      </c>
      <c r="E37" t="s">
        <v>382</v>
      </c>
      <c r="F37" t="s">
        <v>383</v>
      </c>
      <c r="G37" t="s">
        <v>116</v>
      </c>
      <c r="H37" t="s">
        <v>46</v>
      </c>
      <c r="I37" t="s">
        <v>3836</v>
      </c>
      <c r="K37" s="35">
        <v>46238</v>
      </c>
      <c r="L37">
        <v>0.9</v>
      </c>
      <c r="M37">
        <v>2</v>
      </c>
      <c r="N37">
        <v>36540</v>
      </c>
      <c r="O37">
        <v>14430</v>
      </c>
      <c r="P37">
        <v>7</v>
      </c>
      <c r="Q37">
        <v>22110</v>
      </c>
      <c r="R37">
        <v>20562.3</v>
      </c>
    </row>
    <row r="38" spans="1:18">
      <c r="A38" t="s">
        <v>3881</v>
      </c>
      <c r="B38">
        <v>967</v>
      </c>
      <c r="C38">
        <v>36</v>
      </c>
      <c r="D38" t="s">
        <v>591</v>
      </c>
      <c r="E38" t="s">
        <v>2053</v>
      </c>
      <c r="F38" t="s">
        <v>2054</v>
      </c>
      <c r="G38" t="s">
        <v>116</v>
      </c>
      <c r="H38" t="s">
        <v>46</v>
      </c>
      <c r="I38" t="s">
        <v>3836</v>
      </c>
      <c r="K38" s="35">
        <v>46238</v>
      </c>
      <c r="L38">
        <v>0.6</v>
      </c>
      <c r="M38">
        <v>2</v>
      </c>
      <c r="N38">
        <v>27070</v>
      </c>
      <c r="O38">
        <v>14410</v>
      </c>
      <c r="P38">
        <v>4</v>
      </c>
      <c r="Q38">
        <v>12660</v>
      </c>
      <c r="R38">
        <v>12153.6</v>
      </c>
    </row>
    <row r="39" spans="1:18">
      <c r="A39" t="s">
        <v>3882</v>
      </c>
      <c r="B39">
        <v>970</v>
      </c>
      <c r="C39">
        <v>39</v>
      </c>
      <c r="D39" t="s">
        <v>591</v>
      </c>
      <c r="E39" t="s">
        <v>395</v>
      </c>
      <c r="F39" t="s">
        <v>383</v>
      </c>
      <c r="G39" t="s">
        <v>116</v>
      </c>
      <c r="H39" t="s">
        <v>46</v>
      </c>
      <c r="I39" t="s">
        <v>3836</v>
      </c>
      <c r="K39" s="35">
        <v>46238</v>
      </c>
      <c r="L39">
        <v>0.6</v>
      </c>
      <c r="M39">
        <v>2</v>
      </c>
      <c r="N39">
        <v>37790</v>
      </c>
      <c r="O39">
        <v>24950</v>
      </c>
      <c r="P39">
        <v>5</v>
      </c>
      <c r="Q39">
        <v>12840</v>
      </c>
      <c r="R39">
        <v>12198</v>
      </c>
    </row>
    <row r="40" spans="1:18">
      <c r="A40" t="s">
        <v>3883</v>
      </c>
      <c r="B40">
        <v>968</v>
      </c>
      <c r="C40">
        <v>37</v>
      </c>
      <c r="D40" t="s">
        <v>591</v>
      </c>
      <c r="E40" t="s">
        <v>377</v>
      </c>
      <c r="F40" t="s">
        <v>378</v>
      </c>
      <c r="G40" t="s">
        <v>116</v>
      </c>
      <c r="H40" t="s">
        <v>46</v>
      </c>
      <c r="I40" t="s">
        <v>3836</v>
      </c>
      <c r="K40" s="35">
        <v>46238</v>
      </c>
      <c r="L40">
        <v>0.9</v>
      </c>
      <c r="M40">
        <v>2</v>
      </c>
      <c r="N40">
        <v>38220</v>
      </c>
      <c r="O40">
        <v>15150</v>
      </c>
      <c r="P40">
        <v>3</v>
      </c>
      <c r="Q40">
        <v>23070</v>
      </c>
      <c r="R40">
        <v>22377.9</v>
      </c>
    </row>
    <row r="41" spans="1:18">
      <c r="A41" t="s">
        <v>3884</v>
      </c>
      <c r="B41">
        <v>969</v>
      </c>
      <c r="C41">
        <v>38</v>
      </c>
      <c r="D41" t="s">
        <v>591</v>
      </c>
      <c r="E41" t="s">
        <v>372</v>
      </c>
      <c r="F41" t="s">
        <v>373</v>
      </c>
      <c r="G41" t="s">
        <v>116</v>
      </c>
      <c r="H41" t="s">
        <v>46</v>
      </c>
      <c r="I41" t="s">
        <v>3836</v>
      </c>
      <c r="K41" s="35">
        <v>46238</v>
      </c>
      <c r="L41">
        <v>0.9</v>
      </c>
      <c r="M41">
        <v>2</v>
      </c>
      <c r="N41">
        <v>36670</v>
      </c>
      <c r="O41">
        <v>15300</v>
      </c>
      <c r="P41">
        <v>5</v>
      </c>
      <c r="Q41">
        <v>21370</v>
      </c>
      <c r="R41">
        <v>20301.5</v>
      </c>
    </row>
    <row r="42" spans="1:18">
      <c r="A42" t="s">
        <v>3885</v>
      </c>
      <c r="B42">
        <v>971</v>
      </c>
      <c r="C42">
        <v>40</v>
      </c>
      <c r="D42" t="s">
        <v>591</v>
      </c>
      <c r="E42" t="s">
        <v>2053</v>
      </c>
      <c r="F42" t="s">
        <v>2054</v>
      </c>
      <c r="G42" t="s">
        <v>116</v>
      </c>
      <c r="H42" t="s">
        <v>46</v>
      </c>
      <c r="I42" t="s">
        <v>3836</v>
      </c>
      <c r="K42" s="35">
        <v>46238</v>
      </c>
      <c r="L42">
        <v>0.6</v>
      </c>
      <c r="M42">
        <v>2</v>
      </c>
      <c r="N42">
        <v>27640</v>
      </c>
      <c r="O42">
        <v>14400</v>
      </c>
      <c r="P42">
        <v>4</v>
      </c>
      <c r="Q42">
        <v>13240</v>
      </c>
      <c r="R42">
        <v>12710.4</v>
      </c>
    </row>
    <row r="43" spans="1:18">
      <c r="A43" t="s">
        <v>3887</v>
      </c>
      <c r="B43">
        <v>972</v>
      </c>
      <c r="C43">
        <v>41</v>
      </c>
      <c r="D43" t="s">
        <v>591</v>
      </c>
      <c r="E43" t="s">
        <v>377</v>
      </c>
      <c r="F43" t="s">
        <v>378</v>
      </c>
      <c r="G43" t="s">
        <v>116</v>
      </c>
      <c r="H43" t="s">
        <v>46</v>
      </c>
      <c r="I43" t="s">
        <v>3836</v>
      </c>
      <c r="K43" s="35">
        <v>46239</v>
      </c>
      <c r="L43">
        <v>1.4</v>
      </c>
      <c r="M43">
        <v>3</v>
      </c>
      <c r="N43">
        <v>39170</v>
      </c>
      <c r="O43">
        <v>15160</v>
      </c>
      <c r="P43">
        <v>5</v>
      </c>
      <c r="Q43">
        <v>24010</v>
      </c>
      <c r="R43">
        <v>22809.5</v>
      </c>
    </row>
    <row r="44" spans="1:18">
      <c r="A44" t="s">
        <v>3888</v>
      </c>
      <c r="B44">
        <v>975</v>
      </c>
      <c r="C44">
        <v>42</v>
      </c>
      <c r="D44" t="s">
        <v>591</v>
      </c>
      <c r="E44" t="s">
        <v>374</v>
      </c>
      <c r="F44" t="s">
        <v>375</v>
      </c>
      <c r="G44" t="s">
        <v>116</v>
      </c>
      <c r="H44" t="s">
        <v>46</v>
      </c>
      <c r="I44" t="s">
        <v>3836</v>
      </c>
      <c r="K44" s="35">
        <v>46239</v>
      </c>
      <c r="L44">
        <v>1.3</v>
      </c>
      <c r="M44">
        <v>3</v>
      </c>
      <c r="N44">
        <v>37890</v>
      </c>
      <c r="O44">
        <v>15680</v>
      </c>
      <c r="P44">
        <v>4</v>
      </c>
      <c r="Q44">
        <v>22210</v>
      </c>
      <c r="R44">
        <v>21321.599999999999</v>
      </c>
    </row>
    <row r="45" spans="1:18">
      <c r="A45" t="s">
        <v>3889</v>
      </c>
      <c r="B45">
        <v>976</v>
      </c>
      <c r="C45">
        <v>43</v>
      </c>
      <c r="D45" t="s">
        <v>591</v>
      </c>
      <c r="E45" t="s">
        <v>3890</v>
      </c>
      <c r="F45" t="s">
        <v>3891</v>
      </c>
      <c r="G45" t="s">
        <v>116</v>
      </c>
      <c r="H45" t="s">
        <v>46</v>
      </c>
      <c r="I45" t="s">
        <v>3836</v>
      </c>
      <c r="K45" s="35">
        <v>46239</v>
      </c>
      <c r="L45">
        <v>1.3</v>
      </c>
      <c r="M45">
        <v>3</v>
      </c>
      <c r="N45">
        <v>38270</v>
      </c>
      <c r="O45">
        <v>15520</v>
      </c>
      <c r="P45">
        <v>4</v>
      </c>
      <c r="Q45">
        <v>22750</v>
      </c>
      <c r="R45">
        <v>21840</v>
      </c>
    </row>
    <row r="46" spans="1:18">
      <c r="A46" t="s">
        <v>3892</v>
      </c>
      <c r="B46">
        <v>978</v>
      </c>
      <c r="C46">
        <v>46</v>
      </c>
      <c r="D46" t="s">
        <v>591</v>
      </c>
      <c r="E46" t="s">
        <v>382</v>
      </c>
      <c r="F46" t="s">
        <v>383</v>
      </c>
      <c r="G46" t="s">
        <v>116</v>
      </c>
      <c r="H46" t="s">
        <v>46</v>
      </c>
      <c r="I46" t="s">
        <v>3836</v>
      </c>
      <c r="K46" s="35">
        <v>46239</v>
      </c>
      <c r="L46">
        <v>0.6</v>
      </c>
      <c r="M46">
        <v>3</v>
      </c>
      <c r="N46">
        <v>24940</v>
      </c>
      <c r="O46">
        <v>14410</v>
      </c>
      <c r="P46">
        <v>5</v>
      </c>
      <c r="Q46">
        <v>10530</v>
      </c>
      <c r="R46">
        <v>10003.5</v>
      </c>
    </row>
    <row r="47" spans="1:18">
      <c r="A47" t="s">
        <v>3893</v>
      </c>
      <c r="B47">
        <v>977</v>
      </c>
      <c r="C47">
        <v>44</v>
      </c>
      <c r="D47" t="s">
        <v>591</v>
      </c>
      <c r="E47" t="s">
        <v>3894</v>
      </c>
      <c r="F47" t="s">
        <v>3895</v>
      </c>
      <c r="G47" t="s">
        <v>116</v>
      </c>
      <c r="H47" t="s">
        <v>46</v>
      </c>
      <c r="I47" t="s">
        <v>3836</v>
      </c>
      <c r="K47" s="35">
        <v>46239</v>
      </c>
      <c r="L47">
        <v>1.3</v>
      </c>
      <c r="M47">
        <v>3</v>
      </c>
      <c r="N47">
        <v>39310</v>
      </c>
      <c r="O47">
        <v>16270</v>
      </c>
      <c r="P47">
        <v>8</v>
      </c>
      <c r="Q47">
        <v>23040</v>
      </c>
      <c r="R47">
        <v>21196.799999999999</v>
      </c>
    </row>
    <row r="48" spans="1:18">
      <c r="A48" t="s">
        <v>3896</v>
      </c>
      <c r="B48">
        <v>980</v>
      </c>
      <c r="C48">
        <v>45</v>
      </c>
      <c r="D48" t="s">
        <v>591</v>
      </c>
      <c r="E48" t="s">
        <v>3835</v>
      </c>
      <c r="F48" t="s">
        <v>1979</v>
      </c>
      <c r="G48" t="s">
        <v>116</v>
      </c>
      <c r="H48" t="s">
        <v>46</v>
      </c>
      <c r="I48" t="s">
        <v>3836</v>
      </c>
      <c r="K48" s="35">
        <v>46239</v>
      </c>
      <c r="L48">
        <v>0.7</v>
      </c>
      <c r="M48">
        <v>3</v>
      </c>
      <c r="N48">
        <v>27120</v>
      </c>
      <c r="O48">
        <v>14280</v>
      </c>
      <c r="P48">
        <v>3</v>
      </c>
      <c r="Q48">
        <v>12840</v>
      </c>
      <c r="R48">
        <v>12454.8</v>
      </c>
    </row>
    <row r="49" spans="1:18">
      <c r="A49" t="s">
        <v>3897</v>
      </c>
      <c r="B49">
        <v>983</v>
      </c>
      <c r="C49">
        <v>47</v>
      </c>
      <c r="D49" t="s">
        <v>591</v>
      </c>
      <c r="E49" t="s">
        <v>3890</v>
      </c>
      <c r="F49" t="s">
        <v>3891</v>
      </c>
      <c r="G49" t="s">
        <v>116</v>
      </c>
      <c r="H49" t="s">
        <v>46</v>
      </c>
      <c r="I49" t="s">
        <v>3836</v>
      </c>
      <c r="K49" s="35">
        <v>46239</v>
      </c>
      <c r="L49">
        <v>1.4</v>
      </c>
      <c r="M49">
        <v>3</v>
      </c>
      <c r="N49">
        <v>39820</v>
      </c>
      <c r="O49">
        <v>15710</v>
      </c>
      <c r="P49">
        <v>8</v>
      </c>
      <c r="Q49">
        <v>24110</v>
      </c>
      <c r="R49">
        <v>22181.200000000001</v>
      </c>
    </row>
    <row r="50" spans="1:18">
      <c r="A50" t="s">
        <v>3898</v>
      </c>
      <c r="B50">
        <v>984</v>
      </c>
      <c r="C50">
        <v>48</v>
      </c>
      <c r="D50" t="s">
        <v>591</v>
      </c>
      <c r="E50" t="s">
        <v>374</v>
      </c>
      <c r="F50" t="s">
        <v>375</v>
      </c>
      <c r="G50" t="s">
        <v>116</v>
      </c>
      <c r="H50" t="s">
        <v>46</v>
      </c>
      <c r="I50" t="s">
        <v>3836</v>
      </c>
      <c r="K50" s="35">
        <v>46239</v>
      </c>
      <c r="L50">
        <v>1.2</v>
      </c>
      <c r="M50">
        <v>3</v>
      </c>
      <c r="N50">
        <v>36770</v>
      </c>
      <c r="O50">
        <v>15660</v>
      </c>
      <c r="P50">
        <v>9</v>
      </c>
      <c r="Q50">
        <v>21110</v>
      </c>
      <c r="R50">
        <v>19210.099999999999</v>
      </c>
    </row>
    <row r="51" spans="1:18">
      <c r="A51" t="s">
        <v>3899</v>
      </c>
      <c r="B51">
        <v>985</v>
      </c>
      <c r="C51">
        <v>49</v>
      </c>
      <c r="D51" t="s">
        <v>591</v>
      </c>
      <c r="E51" t="s">
        <v>3894</v>
      </c>
      <c r="F51" t="s">
        <v>3895</v>
      </c>
      <c r="G51" t="s">
        <v>116</v>
      </c>
      <c r="H51" t="s">
        <v>46</v>
      </c>
      <c r="I51" t="s">
        <v>3836</v>
      </c>
      <c r="K51" s="35">
        <v>46239</v>
      </c>
      <c r="L51">
        <v>1.4</v>
      </c>
      <c r="M51">
        <v>3</v>
      </c>
      <c r="N51">
        <v>41140</v>
      </c>
      <c r="O51">
        <v>16270</v>
      </c>
      <c r="P51">
        <v>5</v>
      </c>
      <c r="Q51">
        <v>24870</v>
      </c>
      <c r="R51">
        <v>23626.5</v>
      </c>
    </row>
    <row r="52" spans="1:18">
      <c r="A52" t="s">
        <v>3900</v>
      </c>
      <c r="B52">
        <v>987</v>
      </c>
      <c r="C52">
        <v>50</v>
      </c>
      <c r="D52" t="s">
        <v>591</v>
      </c>
      <c r="E52" t="s">
        <v>3890</v>
      </c>
      <c r="F52" t="s">
        <v>3891</v>
      </c>
      <c r="G52" t="s">
        <v>116</v>
      </c>
      <c r="H52" t="s">
        <v>46</v>
      </c>
      <c r="I52" t="s">
        <v>3836</v>
      </c>
      <c r="K52" s="35">
        <v>46239</v>
      </c>
      <c r="L52">
        <v>1.4</v>
      </c>
      <c r="M52">
        <v>3</v>
      </c>
      <c r="N52">
        <v>40160</v>
      </c>
      <c r="O52">
        <v>15910</v>
      </c>
      <c r="P52">
        <v>3</v>
      </c>
      <c r="Q52">
        <v>24250</v>
      </c>
      <c r="R52">
        <v>23522.5</v>
      </c>
    </row>
    <row r="53" spans="1:18">
      <c r="A53" t="s">
        <v>3901</v>
      </c>
      <c r="B53">
        <v>988</v>
      </c>
      <c r="C53">
        <v>51</v>
      </c>
      <c r="D53" t="s">
        <v>591</v>
      </c>
      <c r="E53" t="s">
        <v>3835</v>
      </c>
      <c r="F53" t="s">
        <v>1979</v>
      </c>
      <c r="G53" t="s">
        <v>116</v>
      </c>
      <c r="H53" t="s">
        <v>46</v>
      </c>
      <c r="I53" t="s">
        <v>3836</v>
      </c>
      <c r="K53" s="35">
        <v>46239</v>
      </c>
      <c r="L53">
        <v>0.7</v>
      </c>
      <c r="M53">
        <v>3</v>
      </c>
      <c r="N53">
        <v>26850</v>
      </c>
      <c r="O53">
        <v>14270</v>
      </c>
      <c r="P53">
        <v>5</v>
      </c>
      <c r="Q53">
        <v>12580</v>
      </c>
      <c r="R53">
        <v>11951</v>
      </c>
    </row>
    <row r="54" spans="1:18">
      <c r="A54" t="s">
        <v>3902</v>
      </c>
      <c r="B54">
        <v>989</v>
      </c>
      <c r="C54">
        <v>52</v>
      </c>
      <c r="D54" t="s">
        <v>591</v>
      </c>
      <c r="E54" t="s">
        <v>374</v>
      </c>
      <c r="F54" t="s">
        <v>375</v>
      </c>
      <c r="G54" t="s">
        <v>116</v>
      </c>
      <c r="H54" t="s">
        <v>46</v>
      </c>
      <c r="I54" t="s">
        <v>3836</v>
      </c>
      <c r="K54" s="35">
        <v>46239</v>
      </c>
      <c r="L54">
        <v>1.3</v>
      </c>
      <c r="M54">
        <v>3</v>
      </c>
      <c r="N54">
        <v>38860</v>
      </c>
      <c r="O54">
        <v>15640</v>
      </c>
      <c r="P54">
        <v>4</v>
      </c>
      <c r="Q54">
        <v>23220</v>
      </c>
      <c r="R54">
        <v>22291.200000000001</v>
      </c>
    </row>
    <row r="55" spans="1:18">
      <c r="A55" t="s">
        <v>3903</v>
      </c>
      <c r="B55">
        <v>990</v>
      </c>
      <c r="C55">
        <v>53</v>
      </c>
      <c r="D55" t="s">
        <v>591</v>
      </c>
      <c r="E55" t="s">
        <v>3894</v>
      </c>
      <c r="F55" t="s">
        <v>3895</v>
      </c>
      <c r="G55" t="s">
        <v>116</v>
      </c>
      <c r="H55" t="s">
        <v>46</v>
      </c>
      <c r="I55" t="s">
        <v>3836</v>
      </c>
      <c r="K55" s="35">
        <v>46239</v>
      </c>
      <c r="L55">
        <v>1.4</v>
      </c>
      <c r="M55">
        <v>3</v>
      </c>
      <c r="N55">
        <v>40560</v>
      </c>
      <c r="O55">
        <v>16160</v>
      </c>
      <c r="P55">
        <v>4</v>
      </c>
      <c r="Q55">
        <v>24400</v>
      </c>
      <c r="R55">
        <v>23424</v>
      </c>
    </row>
    <row r="56" spans="1:18">
      <c r="A56" t="s">
        <v>3904</v>
      </c>
      <c r="B56">
        <v>991</v>
      </c>
      <c r="C56">
        <v>54</v>
      </c>
      <c r="D56" t="s">
        <v>591</v>
      </c>
      <c r="E56" t="s">
        <v>3890</v>
      </c>
      <c r="F56" t="s">
        <v>3891</v>
      </c>
      <c r="G56" t="s">
        <v>116</v>
      </c>
      <c r="H56" t="s">
        <v>46</v>
      </c>
      <c r="I56" t="s">
        <v>3836</v>
      </c>
      <c r="K56" s="35">
        <v>46239</v>
      </c>
      <c r="L56">
        <v>1.4</v>
      </c>
      <c r="M56">
        <v>3</v>
      </c>
      <c r="N56">
        <v>40310</v>
      </c>
      <c r="O56">
        <v>15390</v>
      </c>
      <c r="P56">
        <v>5</v>
      </c>
      <c r="Q56">
        <v>24920</v>
      </c>
      <c r="R56">
        <v>23674</v>
      </c>
    </row>
    <row r="57" spans="1:18">
      <c r="A57" t="s">
        <v>3905</v>
      </c>
      <c r="B57">
        <v>992</v>
      </c>
      <c r="C57">
        <v>55</v>
      </c>
      <c r="D57" t="s">
        <v>591</v>
      </c>
      <c r="E57" t="s">
        <v>3835</v>
      </c>
      <c r="F57" t="s">
        <v>1979</v>
      </c>
      <c r="G57" t="s">
        <v>116</v>
      </c>
      <c r="H57" t="s">
        <v>46</v>
      </c>
      <c r="I57" t="s">
        <v>3836</v>
      </c>
      <c r="K57" s="35">
        <v>46239</v>
      </c>
      <c r="L57">
        <v>0.8</v>
      </c>
      <c r="M57">
        <v>3</v>
      </c>
      <c r="N57">
        <v>27750</v>
      </c>
      <c r="O57">
        <v>14250</v>
      </c>
      <c r="P57">
        <v>3</v>
      </c>
      <c r="Q57">
        <v>13500</v>
      </c>
      <c r="R57">
        <v>13095</v>
      </c>
    </row>
    <row r="58" spans="1:18">
      <c r="A58" t="s">
        <v>3906</v>
      </c>
      <c r="B58">
        <v>993</v>
      </c>
      <c r="C58">
        <v>56</v>
      </c>
      <c r="D58" t="s">
        <v>591</v>
      </c>
      <c r="E58" t="s">
        <v>374</v>
      </c>
      <c r="F58" t="s">
        <v>375</v>
      </c>
      <c r="G58" t="s">
        <v>116</v>
      </c>
      <c r="H58" t="s">
        <v>46</v>
      </c>
      <c r="I58" t="s">
        <v>3836</v>
      </c>
      <c r="K58" s="35">
        <v>46239</v>
      </c>
      <c r="L58">
        <v>1.4</v>
      </c>
      <c r="M58">
        <v>3</v>
      </c>
      <c r="N58">
        <v>41910</v>
      </c>
      <c r="O58">
        <v>15620</v>
      </c>
      <c r="P58">
        <v>5</v>
      </c>
      <c r="Q58">
        <v>26290</v>
      </c>
      <c r="R58">
        <v>24975.5</v>
      </c>
    </row>
    <row r="59" spans="1:18">
      <c r="A59" t="s">
        <v>3907</v>
      </c>
      <c r="B59">
        <v>994</v>
      </c>
      <c r="C59">
        <v>57</v>
      </c>
      <c r="D59" t="s">
        <v>591</v>
      </c>
      <c r="E59" t="s">
        <v>3894</v>
      </c>
      <c r="F59" t="s">
        <v>3895</v>
      </c>
      <c r="G59" t="s">
        <v>116</v>
      </c>
      <c r="H59" t="s">
        <v>46</v>
      </c>
      <c r="I59" t="s">
        <v>3836</v>
      </c>
      <c r="K59" s="35">
        <v>46239</v>
      </c>
      <c r="L59">
        <v>1.4</v>
      </c>
      <c r="M59">
        <v>3</v>
      </c>
      <c r="N59">
        <v>41980</v>
      </c>
      <c r="O59">
        <v>16220</v>
      </c>
      <c r="P59">
        <v>7</v>
      </c>
      <c r="Q59">
        <v>25760</v>
      </c>
      <c r="R59">
        <v>23956.799999999999</v>
      </c>
    </row>
    <row r="60" spans="1:18">
      <c r="A60" t="s">
        <v>3908</v>
      </c>
      <c r="B60">
        <v>997</v>
      </c>
      <c r="C60">
        <v>60</v>
      </c>
      <c r="D60" t="s">
        <v>591</v>
      </c>
      <c r="E60" t="s">
        <v>374</v>
      </c>
      <c r="F60" t="s">
        <v>375</v>
      </c>
      <c r="G60" t="s">
        <v>116</v>
      </c>
      <c r="H60" t="s">
        <v>46</v>
      </c>
      <c r="I60" t="s">
        <v>3836</v>
      </c>
      <c r="K60" s="35">
        <v>46239</v>
      </c>
      <c r="L60">
        <v>1.2</v>
      </c>
      <c r="M60">
        <v>3</v>
      </c>
      <c r="N60">
        <v>37360</v>
      </c>
      <c r="O60">
        <v>15600</v>
      </c>
      <c r="P60">
        <v>5</v>
      </c>
      <c r="Q60">
        <v>21760</v>
      </c>
      <c r="R60">
        <v>20672</v>
      </c>
    </row>
    <row r="61" spans="1:18">
      <c r="A61" t="s">
        <v>3909</v>
      </c>
      <c r="B61">
        <v>995</v>
      </c>
      <c r="C61">
        <v>58</v>
      </c>
      <c r="D61" t="s">
        <v>591</v>
      </c>
      <c r="E61" t="s">
        <v>3890</v>
      </c>
      <c r="F61" t="s">
        <v>3891</v>
      </c>
      <c r="G61" t="s">
        <v>116</v>
      </c>
      <c r="H61" t="s">
        <v>46</v>
      </c>
      <c r="I61" t="s">
        <v>3836</v>
      </c>
      <c r="K61" s="35">
        <v>46239</v>
      </c>
      <c r="L61">
        <v>1.3</v>
      </c>
      <c r="M61">
        <v>3</v>
      </c>
      <c r="N61">
        <v>39290</v>
      </c>
      <c r="O61">
        <v>15880</v>
      </c>
      <c r="P61">
        <v>7</v>
      </c>
      <c r="Q61">
        <v>23410</v>
      </c>
      <c r="R61">
        <v>21771.3</v>
      </c>
    </row>
    <row r="62" spans="1:18">
      <c r="A62" t="s">
        <v>3910</v>
      </c>
      <c r="B62">
        <v>996</v>
      </c>
      <c r="C62">
        <v>59</v>
      </c>
      <c r="D62" t="s">
        <v>591</v>
      </c>
      <c r="E62" t="s">
        <v>3835</v>
      </c>
      <c r="F62" t="s">
        <v>1979</v>
      </c>
      <c r="G62" t="s">
        <v>116</v>
      </c>
      <c r="H62" t="s">
        <v>46</v>
      </c>
      <c r="I62" t="s">
        <v>3836</v>
      </c>
      <c r="K62" s="35">
        <v>46239</v>
      </c>
      <c r="L62">
        <v>0.6</v>
      </c>
      <c r="M62">
        <v>3</v>
      </c>
      <c r="N62">
        <v>25710</v>
      </c>
      <c r="O62">
        <v>14240</v>
      </c>
      <c r="P62">
        <v>6</v>
      </c>
      <c r="Q62">
        <v>11470</v>
      </c>
      <c r="R62">
        <v>10781.8</v>
      </c>
    </row>
    <row r="63" spans="1:18">
      <c r="A63" t="s">
        <v>3911</v>
      </c>
      <c r="B63">
        <v>998</v>
      </c>
      <c r="C63">
        <v>61</v>
      </c>
      <c r="D63" t="s">
        <v>591</v>
      </c>
      <c r="E63" t="s">
        <v>3894</v>
      </c>
      <c r="F63" t="s">
        <v>3895</v>
      </c>
      <c r="G63" t="s">
        <v>3871</v>
      </c>
      <c r="H63" t="s">
        <v>46</v>
      </c>
      <c r="I63" t="s">
        <v>3836</v>
      </c>
      <c r="K63" s="35">
        <v>46239</v>
      </c>
      <c r="L63">
        <v>0.4</v>
      </c>
      <c r="M63">
        <v>3</v>
      </c>
      <c r="N63">
        <v>35490</v>
      </c>
      <c r="O63">
        <v>25350</v>
      </c>
      <c r="P63">
        <v>6</v>
      </c>
      <c r="Q63">
        <v>10140</v>
      </c>
      <c r="R63">
        <v>9531.6</v>
      </c>
    </row>
    <row r="64" spans="1:18">
      <c r="A64" t="s">
        <v>3912</v>
      </c>
      <c r="B64">
        <v>999</v>
      </c>
      <c r="C64">
        <v>61</v>
      </c>
      <c r="D64" t="s">
        <v>591</v>
      </c>
      <c r="E64" t="s">
        <v>3894</v>
      </c>
      <c r="F64" t="s">
        <v>3895</v>
      </c>
      <c r="G64" t="s">
        <v>116</v>
      </c>
      <c r="H64" t="s">
        <v>46</v>
      </c>
      <c r="I64" t="s">
        <v>3836</v>
      </c>
      <c r="K64" s="35">
        <v>46239</v>
      </c>
      <c r="L64">
        <v>0.5</v>
      </c>
      <c r="M64">
        <v>3</v>
      </c>
      <c r="N64">
        <v>25350</v>
      </c>
      <c r="O64">
        <v>16210</v>
      </c>
      <c r="P64">
        <v>4</v>
      </c>
      <c r="Q64">
        <v>9140</v>
      </c>
      <c r="R64">
        <v>8774.4</v>
      </c>
    </row>
    <row r="65" spans="1:18">
      <c r="A65" t="s">
        <v>3913</v>
      </c>
      <c r="B65">
        <v>1000</v>
      </c>
      <c r="C65">
        <v>62</v>
      </c>
      <c r="D65" t="s">
        <v>591</v>
      </c>
      <c r="E65" t="s">
        <v>3890</v>
      </c>
      <c r="F65" t="s">
        <v>3891</v>
      </c>
      <c r="G65" t="s">
        <v>3871</v>
      </c>
      <c r="H65" t="s">
        <v>46</v>
      </c>
      <c r="I65" t="s">
        <v>3836</v>
      </c>
      <c r="K65" s="35">
        <v>46239</v>
      </c>
      <c r="L65">
        <v>0.9</v>
      </c>
      <c r="M65">
        <v>3</v>
      </c>
      <c r="N65">
        <v>36750</v>
      </c>
      <c r="O65">
        <v>15870</v>
      </c>
      <c r="P65">
        <v>7</v>
      </c>
      <c r="Q65">
        <v>20880</v>
      </c>
      <c r="R65">
        <v>19418.400000000001</v>
      </c>
    </row>
    <row r="66" spans="1:18">
      <c r="A66" t="s">
        <v>3914</v>
      </c>
      <c r="B66">
        <v>1001</v>
      </c>
      <c r="C66">
        <v>63</v>
      </c>
      <c r="D66" t="s">
        <v>591</v>
      </c>
      <c r="E66" t="s">
        <v>3835</v>
      </c>
      <c r="F66" t="s">
        <v>1979</v>
      </c>
      <c r="G66" t="s">
        <v>3871</v>
      </c>
      <c r="H66" t="s">
        <v>46</v>
      </c>
      <c r="I66" t="s">
        <v>3836</v>
      </c>
      <c r="K66" s="35">
        <v>46239</v>
      </c>
      <c r="L66">
        <v>0.4</v>
      </c>
      <c r="M66">
        <v>3</v>
      </c>
      <c r="N66">
        <v>24540</v>
      </c>
      <c r="O66">
        <v>14260</v>
      </c>
      <c r="P66">
        <v>7</v>
      </c>
      <c r="Q66">
        <v>10280</v>
      </c>
      <c r="R66">
        <v>9560.4</v>
      </c>
    </row>
    <row r="67" spans="1:18">
      <c r="A67" t="s">
        <v>3915</v>
      </c>
      <c r="B67">
        <v>1003</v>
      </c>
      <c r="C67">
        <v>64</v>
      </c>
      <c r="D67" t="s">
        <v>591</v>
      </c>
      <c r="E67" t="s">
        <v>374</v>
      </c>
      <c r="F67" t="s">
        <v>375</v>
      </c>
      <c r="G67" t="s">
        <v>3871</v>
      </c>
      <c r="H67" t="s">
        <v>46</v>
      </c>
      <c r="I67" t="s">
        <v>3836</v>
      </c>
      <c r="K67" s="35">
        <v>46239</v>
      </c>
      <c r="L67">
        <v>0.9</v>
      </c>
      <c r="M67">
        <v>3</v>
      </c>
      <c r="N67">
        <v>36540</v>
      </c>
      <c r="O67">
        <v>15600</v>
      </c>
      <c r="P67">
        <v>6</v>
      </c>
      <c r="Q67">
        <v>20940</v>
      </c>
      <c r="R67">
        <v>19683.599999999999</v>
      </c>
    </row>
    <row r="68" spans="1:18">
      <c r="A68" t="s">
        <v>3916</v>
      </c>
      <c r="B68">
        <v>1004</v>
      </c>
      <c r="C68">
        <v>65</v>
      </c>
      <c r="D68" t="s">
        <v>591</v>
      </c>
      <c r="E68" t="s">
        <v>3894</v>
      </c>
      <c r="F68" t="s">
        <v>3895</v>
      </c>
      <c r="G68" t="s">
        <v>3871</v>
      </c>
      <c r="H68" t="s">
        <v>46</v>
      </c>
      <c r="I68" t="s">
        <v>3836</v>
      </c>
      <c r="K68" s="35">
        <v>46239</v>
      </c>
      <c r="L68">
        <v>1</v>
      </c>
      <c r="M68">
        <v>3</v>
      </c>
      <c r="N68">
        <v>38810</v>
      </c>
      <c r="O68">
        <v>16210</v>
      </c>
      <c r="P68">
        <v>6</v>
      </c>
      <c r="Q68">
        <v>22600</v>
      </c>
      <c r="R68">
        <v>21244</v>
      </c>
    </row>
    <row r="69" spans="1:18">
      <c r="A69" t="s">
        <v>3917</v>
      </c>
      <c r="B69">
        <v>1007</v>
      </c>
      <c r="C69">
        <v>68</v>
      </c>
      <c r="D69" t="s">
        <v>591</v>
      </c>
      <c r="E69" t="s">
        <v>374</v>
      </c>
      <c r="F69" t="s">
        <v>375</v>
      </c>
      <c r="G69" t="s">
        <v>3871</v>
      </c>
      <c r="H69" t="s">
        <v>46</v>
      </c>
      <c r="I69" t="s">
        <v>3836</v>
      </c>
      <c r="K69" s="35">
        <v>46239</v>
      </c>
      <c r="L69">
        <v>1</v>
      </c>
      <c r="M69">
        <v>3</v>
      </c>
      <c r="N69">
        <v>36220</v>
      </c>
      <c r="O69">
        <v>15620</v>
      </c>
      <c r="P69">
        <v>4</v>
      </c>
      <c r="Q69">
        <v>20600</v>
      </c>
      <c r="R69">
        <v>19776</v>
      </c>
    </row>
    <row r="70" spans="1:18">
      <c r="A70" t="s">
        <v>3918</v>
      </c>
      <c r="B70">
        <v>1005</v>
      </c>
      <c r="C70">
        <v>66</v>
      </c>
      <c r="D70" t="s">
        <v>591</v>
      </c>
      <c r="E70" t="s">
        <v>3890</v>
      </c>
      <c r="F70" t="s">
        <v>3891</v>
      </c>
      <c r="G70" t="s">
        <v>3871</v>
      </c>
      <c r="H70" t="s">
        <v>46</v>
      </c>
      <c r="I70" t="s">
        <v>3836</v>
      </c>
      <c r="K70" s="35">
        <v>46239</v>
      </c>
      <c r="L70">
        <v>0.9</v>
      </c>
      <c r="M70">
        <v>3</v>
      </c>
      <c r="N70">
        <v>38050</v>
      </c>
      <c r="O70">
        <v>15940</v>
      </c>
      <c r="P70">
        <v>4</v>
      </c>
      <c r="Q70">
        <v>22110</v>
      </c>
      <c r="R70">
        <v>21225.599999999999</v>
      </c>
    </row>
    <row r="71" spans="1:18">
      <c r="A71" t="s">
        <v>3919</v>
      </c>
      <c r="B71">
        <v>1008</v>
      </c>
      <c r="C71">
        <v>69</v>
      </c>
      <c r="D71" t="s">
        <v>591</v>
      </c>
      <c r="E71" t="s">
        <v>3894</v>
      </c>
      <c r="F71" t="s">
        <v>3895</v>
      </c>
      <c r="G71" t="s">
        <v>3871</v>
      </c>
      <c r="H71" t="s">
        <v>46</v>
      </c>
      <c r="I71" t="s">
        <v>3836</v>
      </c>
      <c r="K71" s="35">
        <v>46239</v>
      </c>
      <c r="L71">
        <v>1</v>
      </c>
      <c r="M71">
        <v>3</v>
      </c>
      <c r="N71">
        <v>40260</v>
      </c>
      <c r="O71">
        <v>16200</v>
      </c>
      <c r="P71">
        <v>3</v>
      </c>
      <c r="Q71">
        <v>24060</v>
      </c>
      <c r="R71">
        <v>23338.2</v>
      </c>
    </row>
    <row r="72" spans="1:18">
      <c r="A72" t="s">
        <v>3920</v>
      </c>
      <c r="B72">
        <v>1006</v>
      </c>
      <c r="C72">
        <v>67</v>
      </c>
      <c r="D72" t="s">
        <v>591</v>
      </c>
      <c r="E72" t="s">
        <v>3835</v>
      </c>
      <c r="F72" t="s">
        <v>1979</v>
      </c>
      <c r="G72" t="s">
        <v>3871</v>
      </c>
      <c r="H72" t="s">
        <v>46</v>
      </c>
      <c r="I72" t="s">
        <v>3836</v>
      </c>
      <c r="K72" s="35">
        <v>46239</v>
      </c>
      <c r="L72">
        <v>0.5</v>
      </c>
      <c r="M72">
        <v>3</v>
      </c>
      <c r="N72">
        <v>26280</v>
      </c>
      <c r="O72">
        <v>14250</v>
      </c>
      <c r="P72">
        <v>5</v>
      </c>
      <c r="Q72">
        <v>12030</v>
      </c>
      <c r="R72">
        <v>11428.5</v>
      </c>
    </row>
    <row r="73" spans="1:18">
      <c r="A73" t="s">
        <v>3921</v>
      </c>
      <c r="B73">
        <v>1013</v>
      </c>
      <c r="C73">
        <v>70</v>
      </c>
      <c r="D73" t="s">
        <v>591</v>
      </c>
      <c r="E73" t="s">
        <v>369</v>
      </c>
      <c r="F73" t="s">
        <v>370</v>
      </c>
      <c r="G73" t="s">
        <v>3871</v>
      </c>
      <c r="H73" t="s">
        <v>46</v>
      </c>
      <c r="I73" t="s">
        <v>3836</v>
      </c>
      <c r="K73" s="35">
        <v>46240</v>
      </c>
      <c r="L73">
        <v>1.2</v>
      </c>
      <c r="M73">
        <v>4</v>
      </c>
      <c r="N73">
        <v>36320</v>
      </c>
      <c r="O73">
        <v>15110</v>
      </c>
      <c r="P73">
        <v>5</v>
      </c>
      <c r="Q73">
        <v>21210</v>
      </c>
      <c r="R73">
        <v>20149.5</v>
      </c>
    </row>
    <row r="74" spans="1:18">
      <c r="A74" t="s">
        <v>3922</v>
      </c>
      <c r="B74">
        <v>1014</v>
      </c>
      <c r="C74">
        <v>71</v>
      </c>
      <c r="D74" t="s">
        <v>591</v>
      </c>
      <c r="E74" t="s">
        <v>400</v>
      </c>
      <c r="F74" t="s">
        <v>401</v>
      </c>
      <c r="G74" t="s">
        <v>3871</v>
      </c>
      <c r="H74" t="s">
        <v>46</v>
      </c>
      <c r="I74" t="s">
        <v>3836</v>
      </c>
      <c r="K74" s="35">
        <v>46240</v>
      </c>
      <c r="L74">
        <v>1.2</v>
      </c>
      <c r="M74">
        <v>4</v>
      </c>
      <c r="N74">
        <v>36470</v>
      </c>
      <c r="O74">
        <v>14850</v>
      </c>
      <c r="P74">
        <v>4</v>
      </c>
      <c r="Q74">
        <v>21620</v>
      </c>
      <c r="R74">
        <v>20755.2</v>
      </c>
    </row>
    <row r="75" spans="1:18">
      <c r="A75" t="s">
        <v>3923</v>
      </c>
      <c r="B75">
        <v>1016</v>
      </c>
      <c r="C75">
        <v>72</v>
      </c>
      <c r="D75" t="s">
        <v>591</v>
      </c>
      <c r="E75" t="s">
        <v>372</v>
      </c>
      <c r="F75" t="s">
        <v>373</v>
      </c>
      <c r="G75" t="s">
        <v>3871</v>
      </c>
      <c r="H75" t="s">
        <v>46</v>
      </c>
      <c r="I75" t="s">
        <v>3836</v>
      </c>
      <c r="K75" s="35">
        <v>46240</v>
      </c>
      <c r="L75">
        <v>1.2</v>
      </c>
      <c r="M75">
        <v>4</v>
      </c>
      <c r="N75">
        <v>37220</v>
      </c>
      <c r="O75">
        <v>15240</v>
      </c>
      <c r="P75">
        <v>3</v>
      </c>
      <c r="Q75">
        <v>21980</v>
      </c>
      <c r="R75">
        <v>21320.6</v>
      </c>
    </row>
    <row r="76" spans="1:18">
      <c r="A76" t="s">
        <v>3924</v>
      </c>
      <c r="B76">
        <v>1017</v>
      </c>
      <c r="C76">
        <v>73</v>
      </c>
      <c r="D76" t="s">
        <v>591</v>
      </c>
      <c r="E76" t="s">
        <v>2053</v>
      </c>
      <c r="F76" t="s">
        <v>2054</v>
      </c>
      <c r="G76" t="s">
        <v>3871</v>
      </c>
      <c r="H76" t="s">
        <v>46</v>
      </c>
      <c r="I76" t="s">
        <v>3836</v>
      </c>
      <c r="K76" s="35">
        <v>46240</v>
      </c>
      <c r="L76">
        <v>0.7</v>
      </c>
      <c r="M76">
        <v>4</v>
      </c>
      <c r="N76">
        <v>26900</v>
      </c>
      <c r="O76">
        <v>14280</v>
      </c>
      <c r="P76">
        <v>2</v>
      </c>
      <c r="Q76">
        <v>12620</v>
      </c>
      <c r="R76">
        <v>12367.6</v>
      </c>
    </row>
    <row r="77" spans="1:18">
      <c r="A77" t="s">
        <v>3925</v>
      </c>
      <c r="B77">
        <v>1018</v>
      </c>
      <c r="C77">
        <v>74</v>
      </c>
      <c r="D77" t="s">
        <v>591</v>
      </c>
      <c r="E77" t="s">
        <v>369</v>
      </c>
      <c r="F77" t="s">
        <v>370</v>
      </c>
      <c r="G77" t="s">
        <v>3871</v>
      </c>
      <c r="H77" t="s">
        <v>46</v>
      </c>
      <c r="I77" t="s">
        <v>3836</v>
      </c>
      <c r="K77" s="35">
        <v>46240</v>
      </c>
      <c r="L77">
        <v>1.2</v>
      </c>
      <c r="M77">
        <v>4</v>
      </c>
      <c r="N77">
        <v>36620</v>
      </c>
      <c r="O77">
        <v>15100</v>
      </c>
      <c r="P77">
        <v>2</v>
      </c>
      <c r="Q77">
        <v>21520</v>
      </c>
      <c r="R77">
        <v>21089.599999999999</v>
      </c>
    </row>
    <row r="78" spans="1:18">
      <c r="A78" t="s">
        <v>3926</v>
      </c>
      <c r="B78">
        <v>1019</v>
      </c>
      <c r="C78">
        <v>75</v>
      </c>
      <c r="D78" t="s">
        <v>591</v>
      </c>
      <c r="E78" t="s">
        <v>400</v>
      </c>
      <c r="F78" t="s">
        <v>401</v>
      </c>
      <c r="G78" t="s">
        <v>3871</v>
      </c>
      <c r="H78" t="s">
        <v>46</v>
      </c>
      <c r="I78" t="s">
        <v>3836</v>
      </c>
      <c r="K78" s="35">
        <v>46240</v>
      </c>
      <c r="L78">
        <v>1.2</v>
      </c>
      <c r="M78">
        <v>4</v>
      </c>
      <c r="N78">
        <v>36560</v>
      </c>
      <c r="O78">
        <v>14840</v>
      </c>
      <c r="P78">
        <v>5</v>
      </c>
      <c r="Q78">
        <v>21720</v>
      </c>
      <c r="R78">
        <v>20634</v>
      </c>
    </row>
    <row r="79" spans="1:18">
      <c r="A79" t="s">
        <v>3927</v>
      </c>
      <c r="B79">
        <v>1020</v>
      </c>
      <c r="C79">
        <v>76</v>
      </c>
      <c r="D79" t="s">
        <v>591</v>
      </c>
      <c r="E79" t="s">
        <v>372</v>
      </c>
      <c r="F79" t="s">
        <v>373</v>
      </c>
      <c r="G79" t="s">
        <v>3871</v>
      </c>
      <c r="H79" t="s">
        <v>46</v>
      </c>
      <c r="I79" t="s">
        <v>3836</v>
      </c>
      <c r="K79" s="35">
        <v>46240</v>
      </c>
      <c r="L79">
        <v>1.3</v>
      </c>
      <c r="M79">
        <v>4</v>
      </c>
      <c r="N79">
        <v>37800</v>
      </c>
      <c r="O79">
        <v>15220</v>
      </c>
      <c r="P79">
        <v>2</v>
      </c>
      <c r="Q79">
        <v>22580</v>
      </c>
      <c r="R79">
        <v>22128.400000000001</v>
      </c>
    </row>
    <row r="80" spans="1:18">
      <c r="A80" t="s">
        <v>3928</v>
      </c>
      <c r="B80">
        <v>1022</v>
      </c>
      <c r="C80">
        <v>77</v>
      </c>
      <c r="D80" t="s">
        <v>591</v>
      </c>
      <c r="E80" t="s">
        <v>2053</v>
      </c>
      <c r="F80" t="s">
        <v>2054</v>
      </c>
      <c r="G80" t="s">
        <v>3871</v>
      </c>
      <c r="H80" t="s">
        <v>46</v>
      </c>
      <c r="I80" t="s">
        <v>3836</v>
      </c>
      <c r="K80" s="35">
        <v>46240</v>
      </c>
      <c r="L80">
        <v>0.7</v>
      </c>
      <c r="M80">
        <v>4</v>
      </c>
      <c r="N80">
        <v>26490</v>
      </c>
      <c r="O80">
        <v>14400</v>
      </c>
      <c r="P80">
        <v>6</v>
      </c>
      <c r="Q80">
        <v>12090</v>
      </c>
      <c r="R80">
        <v>11364.6</v>
      </c>
    </row>
    <row r="81" spans="1:18">
      <c r="A81" t="s">
        <v>3929</v>
      </c>
      <c r="B81">
        <v>1023</v>
      </c>
      <c r="C81">
        <v>78</v>
      </c>
      <c r="D81" t="s">
        <v>591</v>
      </c>
      <c r="E81" t="s">
        <v>369</v>
      </c>
      <c r="F81" t="s">
        <v>370</v>
      </c>
      <c r="G81" t="s">
        <v>3871</v>
      </c>
      <c r="H81" t="s">
        <v>46</v>
      </c>
      <c r="I81" t="s">
        <v>3836</v>
      </c>
      <c r="K81" s="35">
        <v>46240</v>
      </c>
      <c r="L81">
        <v>1.2</v>
      </c>
      <c r="M81">
        <v>4</v>
      </c>
      <c r="N81">
        <v>36840</v>
      </c>
      <c r="O81">
        <v>15110</v>
      </c>
      <c r="P81">
        <v>6</v>
      </c>
      <c r="Q81">
        <v>21730</v>
      </c>
      <c r="R81">
        <v>20426.2</v>
      </c>
    </row>
    <row r="82" spans="1:18">
      <c r="A82" t="s">
        <v>3930</v>
      </c>
      <c r="B82">
        <v>1024</v>
      </c>
      <c r="C82">
        <v>79</v>
      </c>
      <c r="D82" t="s">
        <v>591</v>
      </c>
      <c r="E82" t="s">
        <v>400</v>
      </c>
      <c r="F82" t="s">
        <v>401</v>
      </c>
      <c r="G82" t="s">
        <v>3871</v>
      </c>
      <c r="H82" t="s">
        <v>46</v>
      </c>
      <c r="I82" t="s">
        <v>3836</v>
      </c>
      <c r="K82" s="35">
        <v>46240</v>
      </c>
      <c r="L82">
        <v>1.2</v>
      </c>
      <c r="M82">
        <v>4</v>
      </c>
      <c r="N82">
        <v>36800</v>
      </c>
      <c r="O82">
        <v>14830</v>
      </c>
      <c r="P82">
        <v>7</v>
      </c>
      <c r="Q82">
        <v>21970</v>
      </c>
      <c r="R82">
        <v>20432.099999999999</v>
      </c>
    </row>
    <row r="83" spans="1:18">
      <c r="A83" t="s">
        <v>3931</v>
      </c>
      <c r="B83">
        <v>1025</v>
      </c>
      <c r="C83">
        <v>80</v>
      </c>
      <c r="D83" t="s">
        <v>591</v>
      </c>
      <c r="E83" t="s">
        <v>372</v>
      </c>
      <c r="F83" t="s">
        <v>373</v>
      </c>
      <c r="G83" t="s">
        <v>3871</v>
      </c>
      <c r="H83" t="s">
        <v>46</v>
      </c>
      <c r="I83" t="s">
        <v>3836</v>
      </c>
      <c r="K83" s="35">
        <v>46240</v>
      </c>
      <c r="L83">
        <v>1.3</v>
      </c>
      <c r="M83">
        <v>4</v>
      </c>
      <c r="N83">
        <v>37750</v>
      </c>
      <c r="O83">
        <v>15200</v>
      </c>
      <c r="P83">
        <v>7</v>
      </c>
      <c r="Q83">
        <v>22550</v>
      </c>
      <c r="R83">
        <v>20971.5</v>
      </c>
    </row>
    <row r="84" spans="1:18">
      <c r="A84" t="s">
        <v>3932</v>
      </c>
      <c r="B84">
        <v>1026</v>
      </c>
      <c r="C84">
        <v>81</v>
      </c>
      <c r="D84" t="s">
        <v>591</v>
      </c>
      <c r="E84" t="s">
        <v>2053</v>
      </c>
      <c r="F84" t="s">
        <v>2054</v>
      </c>
      <c r="G84" t="s">
        <v>3871</v>
      </c>
      <c r="H84" t="s">
        <v>46</v>
      </c>
      <c r="I84" t="s">
        <v>3836</v>
      </c>
      <c r="K84" s="35">
        <v>46240</v>
      </c>
      <c r="L84">
        <v>0.9</v>
      </c>
      <c r="M84">
        <v>4</v>
      </c>
      <c r="N84">
        <v>30950</v>
      </c>
      <c r="O84">
        <v>14390</v>
      </c>
      <c r="P84">
        <v>5</v>
      </c>
      <c r="Q84">
        <v>16560</v>
      </c>
      <c r="R84">
        <v>15732</v>
      </c>
    </row>
    <row r="85" spans="1:18">
      <c r="A85" t="s">
        <v>3933</v>
      </c>
      <c r="B85">
        <v>1027</v>
      </c>
      <c r="C85">
        <v>82</v>
      </c>
      <c r="D85" t="s">
        <v>591</v>
      </c>
      <c r="E85" t="s">
        <v>369</v>
      </c>
      <c r="F85" t="s">
        <v>370</v>
      </c>
      <c r="G85" t="s">
        <v>3871</v>
      </c>
      <c r="H85" t="s">
        <v>46</v>
      </c>
      <c r="I85" t="s">
        <v>3836</v>
      </c>
      <c r="K85" s="35">
        <v>46240</v>
      </c>
      <c r="L85">
        <v>1.1000000000000001</v>
      </c>
      <c r="M85">
        <v>4</v>
      </c>
      <c r="N85">
        <v>35040</v>
      </c>
      <c r="O85">
        <v>15070</v>
      </c>
      <c r="P85">
        <v>6</v>
      </c>
      <c r="Q85">
        <v>19970</v>
      </c>
      <c r="R85">
        <v>18771.8</v>
      </c>
    </row>
    <row r="86" spans="1:18">
      <c r="A86" t="s">
        <v>3934</v>
      </c>
      <c r="B86">
        <v>1029</v>
      </c>
      <c r="C86">
        <v>83</v>
      </c>
      <c r="D86" t="s">
        <v>591</v>
      </c>
      <c r="E86" t="s">
        <v>400</v>
      </c>
      <c r="F86" t="s">
        <v>401</v>
      </c>
      <c r="G86" t="s">
        <v>3871</v>
      </c>
      <c r="H86" t="s">
        <v>46</v>
      </c>
      <c r="I86" t="s">
        <v>3836</v>
      </c>
      <c r="K86" s="35">
        <v>46240</v>
      </c>
      <c r="L86">
        <v>0.9</v>
      </c>
      <c r="M86">
        <v>4</v>
      </c>
      <c r="N86">
        <v>31810</v>
      </c>
      <c r="O86">
        <v>14820</v>
      </c>
      <c r="P86">
        <v>5</v>
      </c>
      <c r="Q86">
        <v>16990</v>
      </c>
      <c r="R86">
        <v>16140.5</v>
      </c>
    </row>
    <row r="87" spans="1:18">
      <c r="A87" t="s">
        <v>3935</v>
      </c>
      <c r="B87">
        <v>1030</v>
      </c>
      <c r="C87">
        <v>84</v>
      </c>
      <c r="D87" t="s">
        <v>591</v>
      </c>
      <c r="E87" t="s">
        <v>372</v>
      </c>
      <c r="F87" t="s">
        <v>373</v>
      </c>
      <c r="G87" t="s">
        <v>3871</v>
      </c>
      <c r="H87" t="s">
        <v>46</v>
      </c>
      <c r="I87" t="s">
        <v>3836</v>
      </c>
      <c r="K87" s="35">
        <v>46240</v>
      </c>
      <c r="L87">
        <v>1.3</v>
      </c>
      <c r="M87">
        <v>4</v>
      </c>
      <c r="N87">
        <v>37660</v>
      </c>
      <c r="O87">
        <v>15190</v>
      </c>
      <c r="P87">
        <v>9</v>
      </c>
      <c r="Q87">
        <v>22470</v>
      </c>
      <c r="R87">
        <v>20447.7</v>
      </c>
    </row>
    <row r="88" spans="1:18">
      <c r="A88" t="s">
        <v>3936</v>
      </c>
      <c r="B88">
        <v>1033</v>
      </c>
      <c r="C88">
        <v>87</v>
      </c>
      <c r="D88" t="s">
        <v>591</v>
      </c>
      <c r="E88" t="s">
        <v>400</v>
      </c>
      <c r="F88" t="s">
        <v>401</v>
      </c>
      <c r="G88" t="s">
        <v>3871</v>
      </c>
      <c r="H88" t="s">
        <v>46</v>
      </c>
      <c r="I88" t="s">
        <v>3836</v>
      </c>
      <c r="K88" s="35">
        <v>46240</v>
      </c>
      <c r="L88">
        <v>1.1000000000000001</v>
      </c>
      <c r="M88">
        <v>4</v>
      </c>
      <c r="N88">
        <v>33810</v>
      </c>
      <c r="O88">
        <v>14800</v>
      </c>
      <c r="P88">
        <v>7</v>
      </c>
      <c r="Q88">
        <v>19010</v>
      </c>
      <c r="R88">
        <v>17679.3</v>
      </c>
    </row>
    <row r="89" spans="1:18">
      <c r="A89" t="s">
        <v>3937</v>
      </c>
      <c r="B89">
        <v>1031</v>
      </c>
      <c r="C89">
        <v>85</v>
      </c>
      <c r="D89" t="s">
        <v>591</v>
      </c>
      <c r="E89" t="s">
        <v>2053</v>
      </c>
      <c r="F89" t="s">
        <v>2054</v>
      </c>
      <c r="G89" t="s">
        <v>3871</v>
      </c>
      <c r="H89" t="s">
        <v>46</v>
      </c>
      <c r="I89" t="s">
        <v>3836</v>
      </c>
      <c r="K89" s="35">
        <v>46240</v>
      </c>
      <c r="L89">
        <v>0.6</v>
      </c>
      <c r="M89">
        <v>4</v>
      </c>
      <c r="N89">
        <v>25920</v>
      </c>
      <c r="O89">
        <v>14380</v>
      </c>
      <c r="P89">
        <v>4</v>
      </c>
      <c r="Q89">
        <v>11540</v>
      </c>
      <c r="R89">
        <v>11078.4</v>
      </c>
    </row>
    <row r="90" spans="1:18">
      <c r="A90" t="s">
        <v>3938</v>
      </c>
      <c r="B90">
        <v>1032</v>
      </c>
      <c r="C90">
        <v>86</v>
      </c>
      <c r="D90" t="s">
        <v>591</v>
      </c>
      <c r="E90" t="s">
        <v>369</v>
      </c>
      <c r="F90" t="s">
        <v>370</v>
      </c>
      <c r="G90" t="s">
        <v>3871</v>
      </c>
      <c r="H90" t="s">
        <v>46</v>
      </c>
      <c r="I90" t="s">
        <v>3836</v>
      </c>
      <c r="K90" s="35">
        <v>46240</v>
      </c>
      <c r="L90">
        <v>1</v>
      </c>
      <c r="M90">
        <v>4</v>
      </c>
      <c r="N90">
        <v>32280</v>
      </c>
      <c r="O90">
        <v>15060</v>
      </c>
      <c r="P90">
        <v>4</v>
      </c>
      <c r="Q90">
        <v>17220</v>
      </c>
      <c r="R90">
        <v>16531.2</v>
      </c>
    </row>
    <row r="91" spans="1:18">
      <c r="A91" t="s">
        <v>3939</v>
      </c>
      <c r="B91">
        <v>1034</v>
      </c>
      <c r="C91">
        <v>88</v>
      </c>
      <c r="D91" t="s">
        <v>591</v>
      </c>
      <c r="E91" t="s">
        <v>372</v>
      </c>
      <c r="F91" t="s">
        <v>373</v>
      </c>
      <c r="G91" t="s">
        <v>3871</v>
      </c>
      <c r="H91" t="s">
        <v>46</v>
      </c>
      <c r="I91" t="s">
        <v>3836</v>
      </c>
      <c r="K91" s="35">
        <v>46240</v>
      </c>
      <c r="L91">
        <v>1.2</v>
      </c>
      <c r="M91">
        <v>4</v>
      </c>
      <c r="N91">
        <v>36650</v>
      </c>
      <c r="O91">
        <v>15170</v>
      </c>
      <c r="P91">
        <v>6</v>
      </c>
      <c r="Q91">
        <v>21480</v>
      </c>
      <c r="R91">
        <v>20191.2</v>
      </c>
    </row>
    <row r="92" spans="1:18">
      <c r="A92" t="s">
        <v>3940</v>
      </c>
      <c r="B92">
        <v>1035</v>
      </c>
      <c r="C92">
        <v>89</v>
      </c>
      <c r="D92" t="s">
        <v>591</v>
      </c>
      <c r="E92" t="s">
        <v>2053</v>
      </c>
      <c r="F92" t="s">
        <v>2054</v>
      </c>
      <c r="G92" t="s">
        <v>3871</v>
      </c>
      <c r="H92" t="s">
        <v>46</v>
      </c>
      <c r="I92" t="s">
        <v>3836</v>
      </c>
      <c r="K92" s="35">
        <v>46240</v>
      </c>
      <c r="L92">
        <v>0.7</v>
      </c>
      <c r="M92">
        <v>4</v>
      </c>
      <c r="N92">
        <v>27290</v>
      </c>
      <c r="O92">
        <v>14400</v>
      </c>
      <c r="P92">
        <v>5</v>
      </c>
      <c r="Q92">
        <v>12890</v>
      </c>
      <c r="R92">
        <v>12245.5</v>
      </c>
    </row>
    <row r="93" spans="1:18">
      <c r="A93" t="s">
        <v>3941</v>
      </c>
      <c r="B93">
        <v>1036</v>
      </c>
      <c r="C93">
        <v>90</v>
      </c>
      <c r="D93" t="s">
        <v>591</v>
      </c>
      <c r="E93" t="s">
        <v>369</v>
      </c>
      <c r="F93" t="s">
        <v>370</v>
      </c>
      <c r="G93" t="s">
        <v>3871</v>
      </c>
      <c r="H93" t="s">
        <v>46</v>
      </c>
      <c r="I93" t="s">
        <v>3836</v>
      </c>
      <c r="K93" s="35">
        <v>46240</v>
      </c>
      <c r="L93">
        <v>1.1000000000000001</v>
      </c>
      <c r="M93">
        <v>4</v>
      </c>
      <c r="N93">
        <v>34860</v>
      </c>
      <c r="O93">
        <v>15070</v>
      </c>
      <c r="P93">
        <v>3</v>
      </c>
      <c r="Q93">
        <v>19790</v>
      </c>
      <c r="R93">
        <v>19196.3</v>
      </c>
    </row>
    <row r="94" spans="1:18">
      <c r="A94" t="s">
        <v>3942</v>
      </c>
      <c r="B94">
        <v>1037</v>
      </c>
      <c r="C94">
        <v>91</v>
      </c>
      <c r="D94" t="s">
        <v>591</v>
      </c>
      <c r="E94" t="s">
        <v>400</v>
      </c>
      <c r="F94" t="s">
        <v>401</v>
      </c>
      <c r="G94" t="s">
        <v>3871</v>
      </c>
      <c r="H94" t="s">
        <v>46</v>
      </c>
      <c r="I94" t="s">
        <v>3836</v>
      </c>
      <c r="K94" s="35">
        <v>46240</v>
      </c>
      <c r="L94">
        <v>1.1000000000000001</v>
      </c>
      <c r="M94">
        <v>4</v>
      </c>
      <c r="N94">
        <v>35150</v>
      </c>
      <c r="O94">
        <v>14800</v>
      </c>
      <c r="P94">
        <v>6</v>
      </c>
      <c r="Q94">
        <v>20350</v>
      </c>
      <c r="R94">
        <v>19129</v>
      </c>
    </row>
    <row r="95" spans="1:18">
      <c r="A95" t="s">
        <v>3943</v>
      </c>
      <c r="B95">
        <v>1039</v>
      </c>
      <c r="C95">
        <v>92</v>
      </c>
      <c r="D95" t="s">
        <v>591</v>
      </c>
      <c r="E95" t="s">
        <v>372</v>
      </c>
      <c r="F95" t="s">
        <v>373</v>
      </c>
      <c r="G95" t="s">
        <v>3871</v>
      </c>
      <c r="H95" t="s">
        <v>46</v>
      </c>
      <c r="I95" t="s">
        <v>3836</v>
      </c>
      <c r="K95" s="35">
        <v>46240</v>
      </c>
      <c r="L95">
        <v>1.2</v>
      </c>
      <c r="M95">
        <v>4</v>
      </c>
      <c r="N95">
        <v>36730</v>
      </c>
      <c r="O95">
        <v>15210</v>
      </c>
      <c r="P95">
        <v>3</v>
      </c>
      <c r="Q95">
        <v>21520</v>
      </c>
      <c r="R95">
        <v>20874.400000000001</v>
      </c>
    </row>
    <row r="96" spans="1:18">
      <c r="A96" t="s">
        <v>3944</v>
      </c>
      <c r="B96">
        <v>1040</v>
      </c>
      <c r="C96">
        <v>93</v>
      </c>
      <c r="D96" t="s">
        <v>591</v>
      </c>
      <c r="E96" t="s">
        <v>2053</v>
      </c>
      <c r="F96" t="s">
        <v>2054</v>
      </c>
      <c r="G96" t="s">
        <v>3871</v>
      </c>
      <c r="H96" t="s">
        <v>46</v>
      </c>
      <c r="I96" t="s">
        <v>3836</v>
      </c>
      <c r="K96" s="35">
        <v>46240</v>
      </c>
      <c r="L96">
        <v>0.7</v>
      </c>
      <c r="M96">
        <v>4</v>
      </c>
      <c r="N96">
        <v>26400</v>
      </c>
      <c r="O96">
        <v>14400</v>
      </c>
      <c r="P96">
        <v>4</v>
      </c>
      <c r="Q96">
        <v>12000</v>
      </c>
      <c r="R96">
        <v>11520</v>
      </c>
    </row>
    <row r="97" spans="1:18">
      <c r="A97" t="s">
        <v>3945</v>
      </c>
      <c r="B97">
        <v>1041</v>
      </c>
      <c r="C97">
        <v>94</v>
      </c>
      <c r="D97" t="s">
        <v>591</v>
      </c>
      <c r="E97" t="s">
        <v>369</v>
      </c>
      <c r="F97" t="s">
        <v>370</v>
      </c>
      <c r="G97" t="s">
        <v>3871</v>
      </c>
      <c r="H97" t="s">
        <v>46</v>
      </c>
      <c r="I97" t="s">
        <v>3836</v>
      </c>
      <c r="K97" s="35">
        <v>46240</v>
      </c>
      <c r="L97">
        <v>1.1000000000000001</v>
      </c>
      <c r="M97">
        <v>4</v>
      </c>
      <c r="N97">
        <v>34930</v>
      </c>
      <c r="O97">
        <v>15050</v>
      </c>
      <c r="P97">
        <v>5</v>
      </c>
      <c r="Q97">
        <v>19880</v>
      </c>
      <c r="R97">
        <v>18886</v>
      </c>
    </row>
    <row r="98" spans="1:18">
      <c r="A98" t="s">
        <v>3946</v>
      </c>
      <c r="B98">
        <v>1042</v>
      </c>
      <c r="C98">
        <v>95</v>
      </c>
      <c r="D98" t="s">
        <v>591</v>
      </c>
      <c r="E98" t="s">
        <v>400</v>
      </c>
      <c r="F98" t="s">
        <v>401</v>
      </c>
      <c r="G98" t="s">
        <v>3871</v>
      </c>
      <c r="H98" t="s">
        <v>46</v>
      </c>
      <c r="I98" t="s">
        <v>3836</v>
      </c>
      <c r="K98" s="35">
        <v>46240</v>
      </c>
      <c r="L98">
        <v>1.1000000000000001</v>
      </c>
      <c r="M98">
        <v>4</v>
      </c>
      <c r="N98">
        <v>33480</v>
      </c>
      <c r="O98">
        <v>14800</v>
      </c>
      <c r="P98">
        <v>6</v>
      </c>
      <c r="Q98">
        <v>18680</v>
      </c>
      <c r="R98">
        <v>17559.2</v>
      </c>
    </row>
    <row r="99" spans="1:18">
      <c r="A99" t="s">
        <v>3948</v>
      </c>
      <c r="B99">
        <v>1043</v>
      </c>
      <c r="C99">
        <v>96</v>
      </c>
      <c r="D99" t="s">
        <v>591</v>
      </c>
      <c r="E99" t="s">
        <v>2053</v>
      </c>
      <c r="F99" t="s">
        <v>2054</v>
      </c>
      <c r="G99" t="s">
        <v>3871</v>
      </c>
      <c r="H99" t="s">
        <v>46</v>
      </c>
      <c r="I99" t="s">
        <v>3836</v>
      </c>
      <c r="K99" s="35">
        <v>46241</v>
      </c>
      <c r="L99" s="61">
        <f>23*Таблица7[[#This Row],[Вес нетто]]/386860</f>
        <v>0.77526753864447084</v>
      </c>
      <c r="M99">
        <v>5</v>
      </c>
      <c r="N99">
        <v>27440</v>
      </c>
      <c r="O99">
        <v>14400</v>
      </c>
      <c r="P99">
        <v>6</v>
      </c>
      <c r="Q99">
        <v>13040</v>
      </c>
      <c r="R99">
        <v>12257.6</v>
      </c>
    </row>
    <row r="100" spans="1:18">
      <c r="A100" t="s">
        <v>3949</v>
      </c>
      <c r="B100">
        <v>1044</v>
      </c>
      <c r="C100">
        <v>97</v>
      </c>
      <c r="D100" t="s">
        <v>591</v>
      </c>
      <c r="E100" t="s">
        <v>369</v>
      </c>
      <c r="F100" t="s">
        <v>370</v>
      </c>
      <c r="G100" t="s">
        <v>3871</v>
      </c>
      <c r="H100" t="s">
        <v>46</v>
      </c>
      <c r="I100" t="s">
        <v>3836</v>
      </c>
      <c r="K100" s="35">
        <v>46241</v>
      </c>
      <c r="L100" s="61">
        <f>23*Таблица7[[#This Row],[Вес нетто]]/386860</f>
        <v>1.1837098692033294</v>
      </c>
      <c r="M100">
        <v>5</v>
      </c>
      <c r="N100">
        <v>34930</v>
      </c>
      <c r="O100">
        <v>15020</v>
      </c>
      <c r="P100">
        <v>7</v>
      </c>
      <c r="Q100">
        <v>19910</v>
      </c>
      <c r="R100">
        <v>18516.3</v>
      </c>
    </row>
    <row r="101" spans="1:18">
      <c r="A101" t="s">
        <v>3950</v>
      </c>
      <c r="B101">
        <v>1046</v>
      </c>
      <c r="C101">
        <v>98</v>
      </c>
      <c r="D101" t="s">
        <v>591</v>
      </c>
      <c r="E101" t="s">
        <v>410</v>
      </c>
      <c r="F101" t="s">
        <v>411</v>
      </c>
      <c r="G101" t="s">
        <v>3871</v>
      </c>
      <c r="H101" t="s">
        <v>46</v>
      </c>
      <c r="I101" t="s">
        <v>3836</v>
      </c>
      <c r="K101" s="35">
        <v>46241</v>
      </c>
      <c r="L101" s="61">
        <f>23*Таблица7[[#This Row],[Вес нетто]]/386860</f>
        <v>1.2175980975029725</v>
      </c>
      <c r="M101">
        <v>5</v>
      </c>
      <c r="N101">
        <v>35760</v>
      </c>
      <c r="O101">
        <v>15280</v>
      </c>
      <c r="P101">
        <v>5</v>
      </c>
      <c r="Q101">
        <v>20480</v>
      </c>
      <c r="R101">
        <v>19456</v>
      </c>
    </row>
    <row r="102" spans="1:18">
      <c r="A102" t="s">
        <v>3951</v>
      </c>
      <c r="B102">
        <v>1047</v>
      </c>
      <c r="C102">
        <v>99</v>
      </c>
      <c r="D102" t="s">
        <v>591</v>
      </c>
      <c r="E102" t="s">
        <v>382</v>
      </c>
      <c r="F102" t="s">
        <v>383</v>
      </c>
      <c r="G102" t="s">
        <v>3871</v>
      </c>
      <c r="H102" t="s">
        <v>46</v>
      </c>
      <c r="I102" t="s">
        <v>3836</v>
      </c>
      <c r="K102" s="35">
        <v>46241</v>
      </c>
      <c r="L102" s="61">
        <f>23*Таблица7[[#This Row],[Вес нетто]]/386860</f>
        <v>1.3216409036860879</v>
      </c>
      <c r="M102">
        <v>5</v>
      </c>
      <c r="N102">
        <v>36710</v>
      </c>
      <c r="O102">
        <v>14480</v>
      </c>
      <c r="P102">
        <v>21</v>
      </c>
      <c r="Q102">
        <v>22230</v>
      </c>
      <c r="R102">
        <v>17561.7</v>
      </c>
    </row>
    <row r="103" spans="1:18">
      <c r="A103" t="s">
        <v>3952</v>
      </c>
      <c r="B103">
        <v>1048</v>
      </c>
      <c r="C103">
        <v>100</v>
      </c>
      <c r="D103" t="s">
        <v>591</v>
      </c>
      <c r="E103" t="s">
        <v>3835</v>
      </c>
      <c r="F103" t="s">
        <v>1979</v>
      </c>
      <c r="G103" t="s">
        <v>3871</v>
      </c>
      <c r="H103" t="s">
        <v>46</v>
      </c>
      <c r="I103" t="s">
        <v>3836</v>
      </c>
      <c r="K103" s="35">
        <v>46241</v>
      </c>
      <c r="L103" s="61">
        <f>23*Таблица7[[#This Row],[Вес нетто]]/386860</f>
        <v>0.95838287752675388</v>
      </c>
      <c r="M103">
        <v>5</v>
      </c>
      <c r="N103">
        <v>30400</v>
      </c>
      <c r="O103">
        <v>14280</v>
      </c>
      <c r="P103">
        <v>15</v>
      </c>
      <c r="Q103">
        <v>16120</v>
      </c>
      <c r="R103">
        <v>13702</v>
      </c>
    </row>
    <row r="104" spans="1:18">
      <c r="A104" t="s">
        <v>3953</v>
      </c>
      <c r="B104">
        <v>1049</v>
      </c>
      <c r="C104">
        <v>101</v>
      </c>
      <c r="D104" t="s">
        <v>591</v>
      </c>
      <c r="E104" t="s">
        <v>377</v>
      </c>
      <c r="F104" t="s">
        <v>378</v>
      </c>
      <c r="G104" t="s">
        <v>3871</v>
      </c>
      <c r="H104" t="s">
        <v>46</v>
      </c>
      <c r="I104" t="s">
        <v>3836</v>
      </c>
      <c r="K104" s="35">
        <v>46241</v>
      </c>
      <c r="L104" s="61">
        <f>23*Таблица7[[#This Row],[Вес нетто]]/386860</f>
        <v>1.5778834720570749</v>
      </c>
      <c r="M104">
        <v>5</v>
      </c>
      <c r="N104">
        <v>41680</v>
      </c>
      <c r="O104">
        <v>15140</v>
      </c>
      <c r="P104">
        <v>9</v>
      </c>
      <c r="Q104">
        <v>26540</v>
      </c>
      <c r="R104">
        <v>24151.4</v>
      </c>
    </row>
    <row r="105" spans="1:18">
      <c r="A105" t="s">
        <v>3954</v>
      </c>
      <c r="B105">
        <v>1050</v>
      </c>
      <c r="C105">
        <v>102</v>
      </c>
      <c r="D105" t="s">
        <v>591</v>
      </c>
      <c r="E105" t="s">
        <v>369</v>
      </c>
      <c r="F105" t="s">
        <v>370</v>
      </c>
      <c r="G105" t="s">
        <v>3871</v>
      </c>
      <c r="H105" t="s">
        <v>46</v>
      </c>
      <c r="I105" t="s">
        <v>3836</v>
      </c>
      <c r="K105" s="35">
        <v>46241</v>
      </c>
      <c r="L105" s="61">
        <f>23*Таблица7[[#This Row],[Вес нетто]]/386860</f>
        <v>1.2449464922711058</v>
      </c>
      <c r="M105">
        <v>5</v>
      </c>
      <c r="N105">
        <v>35940</v>
      </c>
      <c r="O105">
        <v>15000</v>
      </c>
      <c r="P105">
        <v>12</v>
      </c>
      <c r="Q105">
        <v>20940</v>
      </c>
      <c r="R105">
        <v>18427.2</v>
      </c>
    </row>
    <row r="106" spans="1:18">
      <c r="A106" t="s">
        <v>3955</v>
      </c>
      <c r="B106">
        <v>1051</v>
      </c>
      <c r="C106">
        <v>103</v>
      </c>
      <c r="D106" t="s">
        <v>591</v>
      </c>
      <c r="E106" t="s">
        <v>410</v>
      </c>
      <c r="F106" t="s">
        <v>411</v>
      </c>
      <c r="G106" t="s">
        <v>3871</v>
      </c>
      <c r="H106" t="s">
        <v>46</v>
      </c>
      <c r="I106" t="s">
        <v>3836</v>
      </c>
      <c r="K106" s="35">
        <v>46241</v>
      </c>
      <c r="L106" s="61">
        <f>23*Таблица7[[#This Row],[Вес нетто]]/386860</f>
        <v>1.3376932223543401</v>
      </c>
      <c r="M106">
        <v>5</v>
      </c>
      <c r="N106">
        <v>37770</v>
      </c>
      <c r="O106">
        <v>15270</v>
      </c>
      <c r="P106">
        <v>8</v>
      </c>
      <c r="Q106">
        <v>22500</v>
      </c>
      <c r="R106">
        <v>20700</v>
      </c>
    </row>
    <row r="107" spans="1:18">
      <c r="A107" t="s">
        <v>3956</v>
      </c>
      <c r="B107">
        <v>1053</v>
      </c>
      <c r="C107">
        <v>104</v>
      </c>
      <c r="D107" t="s">
        <v>591</v>
      </c>
      <c r="E107" t="s">
        <v>382</v>
      </c>
      <c r="F107" t="s">
        <v>383</v>
      </c>
      <c r="G107" t="s">
        <v>3871</v>
      </c>
      <c r="H107" t="s">
        <v>46</v>
      </c>
      <c r="I107" t="s">
        <v>3836</v>
      </c>
      <c r="K107" s="35">
        <v>46241</v>
      </c>
      <c r="L107" s="61">
        <f>23*Таблица7[[#This Row],[Вес нетто]]/386860</f>
        <v>1.2378121284185493</v>
      </c>
      <c r="M107">
        <v>5</v>
      </c>
      <c r="N107">
        <v>35270</v>
      </c>
      <c r="O107">
        <v>14450</v>
      </c>
      <c r="P107">
        <v>14</v>
      </c>
      <c r="Q107">
        <v>20820</v>
      </c>
      <c r="R107">
        <v>17905.2</v>
      </c>
    </row>
    <row r="108" spans="1:18">
      <c r="A108" t="s">
        <v>3957</v>
      </c>
      <c r="B108">
        <v>1054</v>
      </c>
      <c r="C108">
        <v>105</v>
      </c>
      <c r="D108" t="s">
        <v>591</v>
      </c>
      <c r="E108" t="s">
        <v>377</v>
      </c>
      <c r="F108" t="s">
        <v>378</v>
      </c>
      <c r="G108" t="s">
        <v>3871</v>
      </c>
      <c r="H108" t="s">
        <v>46</v>
      </c>
      <c r="I108" t="s">
        <v>3836</v>
      </c>
      <c r="K108" s="35">
        <v>46241</v>
      </c>
      <c r="L108" s="61">
        <f>23*Таблица7[[#This Row],[Вес нетто]]/386860</f>
        <v>1.5612366230677766</v>
      </c>
      <c r="M108">
        <v>5</v>
      </c>
      <c r="N108">
        <v>41380</v>
      </c>
      <c r="O108">
        <v>15120</v>
      </c>
      <c r="P108">
        <v>14</v>
      </c>
      <c r="Q108">
        <v>26260</v>
      </c>
      <c r="R108">
        <v>22583.599999999999</v>
      </c>
    </row>
    <row r="109" spans="1:18">
      <c r="A109" t="s">
        <v>3958</v>
      </c>
      <c r="B109">
        <v>1057</v>
      </c>
      <c r="C109">
        <v>106</v>
      </c>
      <c r="D109" t="s">
        <v>591</v>
      </c>
      <c r="E109" t="s">
        <v>369</v>
      </c>
      <c r="F109" t="s">
        <v>370</v>
      </c>
      <c r="G109" t="s">
        <v>3871</v>
      </c>
      <c r="H109" t="s">
        <v>46</v>
      </c>
      <c r="I109" t="s">
        <v>3836</v>
      </c>
      <c r="K109" s="35">
        <v>46241</v>
      </c>
      <c r="L109" s="61">
        <f>23*Таблица7[[#This Row],[Вес нетто]]/386860</f>
        <v>1.3145065398335316</v>
      </c>
      <c r="M109">
        <v>5</v>
      </c>
      <c r="N109">
        <v>37130</v>
      </c>
      <c r="O109">
        <v>15020</v>
      </c>
      <c r="P109">
        <v>8</v>
      </c>
      <c r="Q109">
        <v>22110</v>
      </c>
      <c r="R109">
        <v>20341.2</v>
      </c>
    </row>
    <row r="110" spans="1:18">
      <c r="A110" t="s">
        <v>3959</v>
      </c>
      <c r="B110">
        <v>1058</v>
      </c>
      <c r="C110">
        <v>107</v>
      </c>
      <c r="D110" t="s">
        <v>591</v>
      </c>
      <c r="E110" t="s">
        <v>410</v>
      </c>
      <c r="F110" t="s">
        <v>411</v>
      </c>
      <c r="G110" t="s">
        <v>3871</v>
      </c>
      <c r="H110" t="s">
        <v>46</v>
      </c>
      <c r="I110" t="s">
        <v>3836</v>
      </c>
      <c r="K110" s="35">
        <v>46241</v>
      </c>
      <c r="L110" s="61">
        <f>23*Таблица7[[#This Row],[Вес нетто]]/386860</f>
        <v>1.3579072532699168</v>
      </c>
      <c r="M110">
        <v>5</v>
      </c>
      <c r="N110">
        <v>38100</v>
      </c>
      <c r="O110">
        <v>15260</v>
      </c>
      <c r="P110">
        <v>3</v>
      </c>
      <c r="Q110">
        <v>22840</v>
      </c>
      <c r="R110">
        <v>22154.799999999999</v>
      </c>
    </row>
    <row r="111" spans="1:18">
      <c r="A111" t="s">
        <v>3960</v>
      </c>
      <c r="B111">
        <v>1059</v>
      </c>
      <c r="C111">
        <v>108</v>
      </c>
      <c r="D111" t="s">
        <v>591</v>
      </c>
      <c r="E111" t="s">
        <v>377</v>
      </c>
      <c r="F111" t="s">
        <v>378</v>
      </c>
      <c r="G111" t="s">
        <v>3871</v>
      </c>
      <c r="H111" t="s">
        <v>46</v>
      </c>
      <c r="I111" t="s">
        <v>3836</v>
      </c>
      <c r="K111" s="35">
        <v>46241</v>
      </c>
      <c r="L111" s="61">
        <f>23*Таблица7[[#This Row],[Вес нетто]]/386860</f>
        <v>1.5095124851367421</v>
      </c>
      <c r="M111">
        <v>5</v>
      </c>
      <c r="N111">
        <v>40500</v>
      </c>
      <c r="O111">
        <v>15110</v>
      </c>
      <c r="P111">
        <v>3</v>
      </c>
      <c r="Q111">
        <v>25390</v>
      </c>
      <c r="R111">
        <v>24628.3</v>
      </c>
    </row>
    <row r="112" spans="1:18">
      <c r="A112" t="s">
        <v>3961</v>
      </c>
      <c r="B112">
        <v>1060</v>
      </c>
      <c r="C112">
        <v>109</v>
      </c>
      <c r="D112" t="s">
        <v>591</v>
      </c>
      <c r="E112" t="s">
        <v>382</v>
      </c>
      <c r="F112" t="s">
        <v>383</v>
      </c>
      <c r="G112" t="s">
        <v>3871</v>
      </c>
      <c r="H112" t="s">
        <v>46</v>
      </c>
      <c r="I112" t="s">
        <v>3836</v>
      </c>
      <c r="K112" s="35">
        <v>46241</v>
      </c>
      <c r="L112" s="61">
        <f>23*Таблица7[[#This Row],[Вес нетто]]/386860</f>
        <v>1.2711058263971462</v>
      </c>
      <c r="M112">
        <v>5</v>
      </c>
      <c r="N112">
        <v>35850</v>
      </c>
      <c r="O112">
        <v>14470</v>
      </c>
      <c r="P112">
        <v>5</v>
      </c>
      <c r="Q112">
        <v>21380</v>
      </c>
      <c r="R112">
        <v>20311</v>
      </c>
    </row>
    <row r="113" spans="1:18">
      <c r="A113" t="s">
        <v>3962</v>
      </c>
      <c r="B113">
        <v>1061</v>
      </c>
      <c r="C113">
        <v>110</v>
      </c>
      <c r="D113" t="s">
        <v>591</v>
      </c>
      <c r="E113" t="s">
        <v>369</v>
      </c>
      <c r="F113" t="s">
        <v>370</v>
      </c>
      <c r="G113" t="s">
        <v>3871</v>
      </c>
      <c r="H113" t="s">
        <v>46</v>
      </c>
      <c r="I113" t="s">
        <v>3836</v>
      </c>
      <c r="K113" s="35">
        <v>46241</v>
      </c>
      <c r="L113" s="61">
        <f>23*Таблица7[[#This Row],[Вес нетто]]/386860</f>
        <v>1.2146254458977408</v>
      </c>
      <c r="M113">
        <v>5</v>
      </c>
      <c r="N113">
        <v>35450</v>
      </c>
      <c r="O113">
        <v>15020</v>
      </c>
      <c r="P113">
        <v>4</v>
      </c>
      <c r="Q113">
        <v>20430</v>
      </c>
      <c r="R113">
        <v>19612.8</v>
      </c>
    </row>
    <row r="114" spans="1:18">
      <c r="A114" t="s">
        <v>3963</v>
      </c>
      <c r="B114">
        <v>1062</v>
      </c>
      <c r="C114">
        <v>111</v>
      </c>
      <c r="D114" t="s">
        <v>591</v>
      </c>
      <c r="E114" t="s">
        <v>410</v>
      </c>
      <c r="F114" t="s">
        <v>411</v>
      </c>
      <c r="G114" t="s">
        <v>3871</v>
      </c>
      <c r="H114" t="s">
        <v>46</v>
      </c>
      <c r="I114" t="s">
        <v>3836</v>
      </c>
      <c r="K114" s="35">
        <v>46241</v>
      </c>
      <c r="L114" s="61">
        <f>23*Таблица7[[#This Row],[Вес нетто]]/386860</f>
        <v>1.2901307966706301</v>
      </c>
      <c r="M114">
        <v>5</v>
      </c>
      <c r="N114">
        <v>36950</v>
      </c>
      <c r="O114">
        <v>15250</v>
      </c>
      <c r="P114">
        <v>4</v>
      </c>
      <c r="Q114">
        <v>21700</v>
      </c>
      <c r="R114">
        <v>20832</v>
      </c>
    </row>
    <row r="115" spans="1:18">
      <c r="A115" t="s">
        <v>3964</v>
      </c>
      <c r="B115">
        <v>1063</v>
      </c>
      <c r="C115">
        <v>112</v>
      </c>
      <c r="D115" t="s">
        <v>591</v>
      </c>
      <c r="E115" t="s">
        <v>377</v>
      </c>
      <c r="F115" t="s">
        <v>378</v>
      </c>
      <c r="G115" t="s">
        <v>3871</v>
      </c>
      <c r="H115" t="s">
        <v>46</v>
      </c>
      <c r="I115" t="s">
        <v>3836</v>
      </c>
      <c r="K115" s="35">
        <v>46241</v>
      </c>
      <c r="L115" s="61">
        <f>23*Таблица7[[#This Row],[Вес нетто]]/386860</f>
        <v>1.5719381688466112</v>
      </c>
      <c r="M115">
        <v>5</v>
      </c>
      <c r="N115">
        <v>41540</v>
      </c>
      <c r="O115">
        <v>15100</v>
      </c>
      <c r="P115">
        <v>5</v>
      </c>
      <c r="Q115">
        <v>26440</v>
      </c>
      <c r="R115">
        <v>25118</v>
      </c>
    </row>
    <row r="116" spans="1:18">
      <c r="A116" t="s">
        <v>3965</v>
      </c>
      <c r="B116">
        <v>1064</v>
      </c>
      <c r="C116">
        <v>113</v>
      </c>
      <c r="D116" t="s">
        <v>591</v>
      </c>
      <c r="E116" t="s">
        <v>382</v>
      </c>
      <c r="F116" t="s">
        <v>383</v>
      </c>
      <c r="G116" t="s">
        <v>3871</v>
      </c>
      <c r="H116" t="s">
        <v>46</v>
      </c>
      <c r="I116" t="s">
        <v>3836</v>
      </c>
      <c r="K116" s="35">
        <v>46241</v>
      </c>
      <c r="L116" s="61">
        <f>23*Таблица7[[#This Row],[Вес нетто]]/386860</f>
        <v>1.05410225921522</v>
      </c>
      <c r="M116">
        <v>5</v>
      </c>
      <c r="N116">
        <v>32190</v>
      </c>
      <c r="O116">
        <v>14460</v>
      </c>
      <c r="P116">
        <v>5</v>
      </c>
      <c r="Q116">
        <v>17730</v>
      </c>
      <c r="R116">
        <v>16843.5</v>
      </c>
    </row>
    <row r="117" spans="1:18">
      <c r="A117" t="s">
        <v>3966</v>
      </c>
      <c r="B117">
        <v>1065</v>
      </c>
      <c r="C117">
        <v>9667</v>
      </c>
      <c r="D117" t="s">
        <v>2511</v>
      </c>
      <c r="E117" t="s">
        <v>472</v>
      </c>
      <c r="F117" t="s">
        <v>3967</v>
      </c>
      <c r="G117" t="s">
        <v>3968</v>
      </c>
      <c r="H117" t="s">
        <v>51</v>
      </c>
      <c r="I117" t="s">
        <v>3969</v>
      </c>
      <c r="K117" s="35">
        <v>46241</v>
      </c>
      <c r="L117" s="342">
        <f>11*Таблица7[[#This Row],[Вес нетто]]/245770</f>
        <v>0.9971924970500875</v>
      </c>
      <c r="M117">
        <v>5</v>
      </c>
      <c r="N117">
        <v>39110</v>
      </c>
      <c r="O117">
        <v>16830</v>
      </c>
      <c r="P117">
        <v>6</v>
      </c>
      <c r="Q117">
        <v>22280</v>
      </c>
      <c r="R117">
        <v>20943.2</v>
      </c>
    </row>
    <row r="118" spans="1:18">
      <c r="A118" t="s">
        <v>3970</v>
      </c>
      <c r="B118">
        <v>1066</v>
      </c>
      <c r="C118">
        <v>9670</v>
      </c>
      <c r="D118" t="s">
        <v>2511</v>
      </c>
      <c r="E118" t="s">
        <v>3971</v>
      </c>
      <c r="F118" t="s">
        <v>3972</v>
      </c>
      <c r="G118" t="s">
        <v>3968</v>
      </c>
      <c r="H118" t="s">
        <v>51</v>
      </c>
      <c r="I118" t="s">
        <v>3969</v>
      </c>
      <c r="K118" s="35">
        <v>46241</v>
      </c>
      <c r="L118" s="342">
        <f>11*Таблица7[[#This Row],[Вес нетто]]/245770</f>
        <v>1.1050575741546975</v>
      </c>
      <c r="M118">
        <v>5</v>
      </c>
      <c r="N118">
        <v>40660</v>
      </c>
      <c r="O118">
        <v>15970</v>
      </c>
      <c r="P118">
        <v>6</v>
      </c>
      <c r="Q118">
        <v>24690</v>
      </c>
      <c r="R118">
        <v>23208.6</v>
      </c>
    </row>
    <row r="119" spans="1:18">
      <c r="A119" t="s">
        <v>3973</v>
      </c>
      <c r="B119">
        <v>1067</v>
      </c>
      <c r="C119">
        <v>9669</v>
      </c>
      <c r="D119" t="s">
        <v>2511</v>
      </c>
      <c r="E119" t="s">
        <v>429</v>
      </c>
      <c r="F119" t="s">
        <v>430</v>
      </c>
      <c r="G119" t="s">
        <v>3968</v>
      </c>
      <c r="H119" t="s">
        <v>51</v>
      </c>
      <c r="I119" t="s">
        <v>3969</v>
      </c>
      <c r="K119" s="35">
        <v>46241</v>
      </c>
      <c r="L119" s="342">
        <f>11*Таблица7[[#This Row],[Вес нетто]]/245770</f>
        <v>1.1435488464824837</v>
      </c>
      <c r="M119">
        <v>5</v>
      </c>
      <c r="N119">
        <v>39890</v>
      </c>
      <c r="O119">
        <v>14340</v>
      </c>
      <c r="P119">
        <v>6</v>
      </c>
      <c r="Q119">
        <v>25550</v>
      </c>
      <c r="R119">
        <v>24017</v>
      </c>
    </row>
    <row r="120" spans="1:18">
      <c r="A120" t="s">
        <v>3974</v>
      </c>
      <c r="B120">
        <v>1068</v>
      </c>
      <c r="C120">
        <v>9671</v>
      </c>
      <c r="D120" t="s">
        <v>2511</v>
      </c>
      <c r="E120" t="s">
        <v>1410</v>
      </c>
      <c r="F120" t="s">
        <v>437</v>
      </c>
      <c r="G120" t="s">
        <v>3968</v>
      </c>
      <c r="H120" t="s">
        <v>51</v>
      </c>
      <c r="I120" t="s">
        <v>3969</v>
      </c>
      <c r="K120" s="35">
        <v>46241</v>
      </c>
      <c r="L120" s="342">
        <f>11*Таблица7[[#This Row],[Вес нетто]]/245770</f>
        <v>1.1757740977336535</v>
      </c>
      <c r="M120">
        <v>5</v>
      </c>
      <c r="N120">
        <v>41180</v>
      </c>
      <c r="O120">
        <v>14910</v>
      </c>
      <c r="P120">
        <v>8</v>
      </c>
      <c r="Q120">
        <v>26270</v>
      </c>
      <c r="R120">
        <v>24168.400000000001</v>
      </c>
    </row>
    <row r="121" spans="1:18">
      <c r="A121" t="s">
        <v>3975</v>
      </c>
      <c r="B121">
        <v>1069</v>
      </c>
      <c r="C121">
        <v>9672</v>
      </c>
      <c r="D121" t="s">
        <v>2511</v>
      </c>
      <c r="E121" t="s">
        <v>439</v>
      </c>
      <c r="F121" t="s">
        <v>440</v>
      </c>
      <c r="G121" t="s">
        <v>3968</v>
      </c>
      <c r="H121" t="s">
        <v>51</v>
      </c>
      <c r="I121" t="s">
        <v>3969</v>
      </c>
      <c r="K121" s="35">
        <v>46241</v>
      </c>
      <c r="L121" s="342">
        <f>11*Таблица7[[#This Row],[Вес нетто]]/245770</f>
        <v>1.0061439557309679</v>
      </c>
      <c r="M121">
        <v>5</v>
      </c>
      <c r="N121">
        <v>37450</v>
      </c>
      <c r="O121">
        <v>14970</v>
      </c>
      <c r="P121">
        <v>3</v>
      </c>
      <c r="Q121">
        <v>22480</v>
      </c>
      <c r="R121">
        <v>21805.599999999999</v>
      </c>
    </row>
    <row r="122" spans="1:18">
      <c r="A122" t="s">
        <v>3976</v>
      </c>
      <c r="B122">
        <v>1070</v>
      </c>
      <c r="C122">
        <v>9673</v>
      </c>
      <c r="D122" t="s">
        <v>2511</v>
      </c>
      <c r="E122" t="s">
        <v>3977</v>
      </c>
      <c r="F122" t="s">
        <v>414</v>
      </c>
      <c r="G122" t="s">
        <v>3968</v>
      </c>
      <c r="H122" t="s">
        <v>51</v>
      </c>
      <c r="I122" t="s">
        <v>3969</v>
      </c>
      <c r="K122" s="35">
        <v>46241</v>
      </c>
      <c r="L122" s="342">
        <f>11*Таблица7[[#This Row],[Вес нетто]]/245770</f>
        <v>1.0674614476949993</v>
      </c>
      <c r="M122">
        <v>5</v>
      </c>
      <c r="N122">
        <v>38780</v>
      </c>
      <c r="O122">
        <v>14930</v>
      </c>
      <c r="P122">
        <v>6</v>
      </c>
      <c r="Q122">
        <v>23850</v>
      </c>
      <c r="R122">
        <v>22419</v>
      </c>
    </row>
    <row r="123" spans="1:18">
      <c r="A123" t="s">
        <v>3978</v>
      </c>
      <c r="B123">
        <v>1071</v>
      </c>
      <c r="C123">
        <v>9674</v>
      </c>
      <c r="D123" t="s">
        <v>2511</v>
      </c>
      <c r="E123" t="s">
        <v>432</v>
      </c>
      <c r="F123" t="s">
        <v>433</v>
      </c>
      <c r="G123" t="s">
        <v>3968</v>
      </c>
      <c r="H123" t="s">
        <v>51</v>
      </c>
      <c r="I123" t="s">
        <v>3969</v>
      </c>
      <c r="K123" s="35">
        <v>46241</v>
      </c>
      <c r="L123" s="342">
        <f>11*Таблица7[[#This Row],[Вес нетто]]/245770</f>
        <v>1.1189323351100622</v>
      </c>
      <c r="M123">
        <v>5</v>
      </c>
      <c r="N123">
        <v>40720</v>
      </c>
      <c r="O123">
        <v>15720</v>
      </c>
      <c r="P123">
        <v>5</v>
      </c>
      <c r="Q123">
        <v>25000</v>
      </c>
      <c r="R123">
        <v>23750</v>
      </c>
    </row>
    <row r="124" spans="1:18">
      <c r="A124" t="s">
        <v>3979</v>
      </c>
      <c r="B124">
        <v>1073</v>
      </c>
      <c r="C124">
        <v>9675</v>
      </c>
      <c r="D124" t="s">
        <v>2511</v>
      </c>
      <c r="E124" t="s">
        <v>3980</v>
      </c>
      <c r="F124" t="s">
        <v>3981</v>
      </c>
      <c r="G124" t="s">
        <v>3968</v>
      </c>
      <c r="H124" t="s">
        <v>51</v>
      </c>
      <c r="I124" t="s">
        <v>3969</v>
      </c>
      <c r="K124" s="35">
        <v>46241</v>
      </c>
      <c r="L124" s="342">
        <f>11*Таблица7[[#This Row],[Вес нетто]]/245770</f>
        <v>1.1865158481507101</v>
      </c>
      <c r="M124">
        <v>5</v>
      </c>
      <c r="N124">
        <v>43180</v>
      </c>
      <c r="O124">
        <v>16670</v>
      </c>
      <c r="P124">
        <v>3</v>
      </c>
      <c r="Q124">
        <v>26510</v>
      </c>
      <c r="R124">
        <v>25714.7</v>
      </c>
    </row>
    <row r="125" spans="1:18">
      <c r="A125" t="s">
        <v>3982</v>
      </c>
      <c r="B125">
        <v>1074</v>
      </c>
      <c r="C125">
        <v>9676</v>
      </c>
      <c r="D125" t="s">
        <v>2511</v>
      </c>
      <c r="E125" t="s">
        <v>456</v>
      </c>
      <c r="F125" t="s">
        <v>457</v>
      </c>
      <c r="G125" t="s">
        <v>3968</v>
      </c>
      <c r="H125" t="s">
        <v>51</v>
      </c>
      <c r="I125" t="s">
        <v>3969</v>
      </c>
      <c r="K125" s="35">
        <v>46241</v>
      </c>
      <c r="L125" s="342">
        <f>11*Таблица7[[#This Row],[Вес нетто]]/245770</f>
        <v>1.0204662896203767</v>
      </c>
      <c r="M125">
        <v>5</v>
      </c>
      <c r="N125">
        <v>41050</v>
      </c>
      <c r="O125">
        <v>18250</v>
      </c>
      <c r="P125">
        <v>8</v>
      </c>
      <c r="Q125">
        <v>22800</v>
      </c>
      <c r="R125">
        <v>20976</v>
      </c>
    </row>
    <row r="126" spans="1:18">
      <c r="A126" t="s">
        <v>3983</v>
      </c>
      <c r="B126">
        <v>1075</v>
      </c>
      <c r="C126">
        <v>9677</v>
      </c>
      <c r="D126" t="s">
        <v>2511</v>
      </c>
      <c r="E126" t="s">
        <v>3984</v>
      </c>
      <c r="F126" t="s">
        <v>3985</v>
      </c>
      <c r="G126" t="s">
        <v>3968</v>
      </c>
      <c r="H126" t="s">
        <v>51</v>
      </c>
      <c r="I126" t="s">
        <v>3969</v>
      </c>
      <c r="K126" s="35">
        <v>46241</v>
      </c>
      <c r="L126" s="342">
        <f>11*Таблица7[[#This Row],[Вес нетто]]/245770</f>
        <v>1.1789071082719615</v>
      </c>
      <c r="M126">
        <v>5</v>
      </c>
      <c r="N126">
        <v>41020</v>
      </c>
      <c r="O126">
        <v>14680</v>
      </c>
      <c r="P126">
        <v>11</v>
      </c>
      <c r="Q126">
        <v>26340</v>
      </c>
      <c r="R126">
        <v>23442.6</v>
      </c>
    </row>
    <row r="127" spans="1:18">
      <c r="A127" t="s">
        <v>3986</v>
      </c>
      <c r="B127">
        <v>1076</v>
      </c>
      <c r="C127">
        <v>9678</v>
      </c>
      <c r="D127" t="s">
        <v>2511</v>
      </c>
      <c r="E127" t="s">
        <v>374</v>
      </c>
      <c r="F127" t="s">
        <v>375</v>
      </c>
      <c r="G127" t="s">
        <v>3968</v>
      </c>
      <c r="H127" t="s">
        <v>51</v>
      </c>
      <c r="I127" t="s">
        <v>3969</v>
      </c>
      <c r="K127" s="35">
        <v>46242</v>
      </c>
      <c r="L127" s="342">
        <f>31*Таблица7[[#This Row],[Вес нетто]]/603790</f>
        <v>1.2358104639030127</v>
      </c>
      <c r="M127">
        <v>6</v>
      </c>
      <c r="N127">
        <v>39630</v>
      </c>
      <c r="O127">
        <v>15560</v>
      </c>
      <c r="P127">
        <v>6</v>
      </c>
      <c r="Q127">
        <v>24070</v>
      </c>
      <c r="R127">
        <v>22625.8</v>
      </c>
    </row>
    <row r="128" spans="1:18">
      <c r="A128" t="s">
        <v>3987</v>
      </c>
      <c r="B128">
        <v>1077</v>
      </c>
      <c r="C128">
        <v>10387</v>
      </c>
      <c r="D128" t="s">
        <v>2511</v>
      </c>
      <c r="E128" t="s">
        <v>3988</v>
      </c>
      <c r="F128" t="s">
        <v>859</v>
      </c>
      <c r="G128" t="s">
        <v>3968</v>
      </c>
      <c r="H128" t="s">
        <v>51</v>
      </c>
      <c r="I128" t="s">
        <v>3969</v>
      </c>
      <c r="K128" s="35">
        <v>46242</v>
      </c>
      <c r="L128" s="342">
        <f>31*Таблица7[[#This Row],[Вес нетто]]/603790</f>
        <v>1.316931383428013</v>
      </c>
      <c r="M128">
        <v>6</v>
      </c>
      <c r="N128">
        <v>40050</v>
      </c>
      <c r="O128">
        <v>14400</v>
      </c>
      <c r="P128">
        <v>10</v>
      </c>
      <c r="Q128">
        <v>25650</v>
      </c>
      <c r="R128">
        <v>23085</v>
      </c>
    </row>
    <row r="129" spans="1:18">
      <c r="A129" t="s">
        <v>3989</v>
      </c>
      <c r="B129">
        <v>1078</v>
      </c>
      <c r="C129">
        <v>9680</v>
      </c>
      <c r="D129" t="s">
        <v>2511</v>
      </c>
      <c r="E129" t="s">
        <v>377</v>
      </c>
      <c r="F129" t="s">
        <v>378</v>
      </c>
      <c r="G129" t="s">
        <v>3968</v>
      </c>
      <c r="H129" t="s">
        <v>51</v>
      </c>
      <c r="I129" t="s">
        <v>3969</v>
      </c>
      <c r="K129" s="35">
        <v>46242</v>
      </c>
      <c r="L129" s="342">
        <f>31*Таблица7[[#This Row],[Вес нетто]]/603790</f>
        <v>1.3646797727686779</v>
      </c>
      <c r="M129">
        <v>6</v>
      </c>
      <c r="N129">
        <v>41680</v>
      </c>
      <c r="O129">
        <v>15100</v>
      </c>
      <c r="P129">
        <v>8</v>
      </c>
      <c r="Q129">
        <v>26580</v>
      </c>
      <c r="R129">
        <v>24453.599999999999</v>
      </c>
    </row>
    <row r="130" spans="1:18">
      <c r="A130" t="s">
        <v>3990</v>
      </c>
      <c r="B130">
        <v>1079</v>
      </c>
      <c r="C130">
        <v>9681</v>
      </c>
      <c r="D130" t="s">
        <v>2511</v>
      </c>
      <c r="E130" t="s">
        <v>3991</v>
      </c>
      <c r="F130" t="s">
        <v>3992</v>
      </c>
      <c r="G130" t="s">
        <v>3968</v>
      </c>
      <c r="H130" t="s">
        <v>51</v>
      </c>
      <c r="I130" t="s">
        <v>3969</v>
      </c>
      <c r="K130" s="35">
        <v>46242</v>
      </c>
      <c r="L130" s="342">
        <f>31*Таблица7[[#This Row],[Вес нетто]]/603790</f>
        <v>1.3046092184368738</v>
      </c>
      <c r="M130">
        <v>6</v>
      </c>
      <c r="N130">
        <v>41810</v>
      </c>
      <c r="O130">
        <v>16400</v>
      </c>
      <c r="P130">
        <v>8</v>
      </c>
      <c r="Q130">
        <v>25410</v>
      </c>
      <c r="R130">
        <v>23377.200000000001</v>
      </c>
    </row>
    <row r="131" spans="1:18">
      <c r="A131" t="s">
        <v>3993</v>
      </c>
      <c r="B131">
        <v>1082</v>
      </c>
      <c r="C131">
        <v>9686</v>
      </c>
      <c r="D131" t="s">
        <v>2511</v>
      </c>
      <c r="E131" t="s">
        <v>3994</v>
      </c>
      <c r="F131" t="s">
        <v>3995</v>
      </c>
      <c r="G131" t="s">
        <v>3968</v>
      </c>
      <c r="H131" t="s">
        <v>51</v>
      </c>
      <c r="I131" t="s">
        <v>3969</v>
      </c>
      <c r="K131" s="35">
        <v>46242</v>
      </c>
      <c r="L131" s="342">
        <f>31*Таблица7[[#This Row],[Вес нетто]]/603790</f>
        <v>1.0992398019178853</v>
      </c>
      <c r="M131">
        <v>6</v>
      </c>
      <c r="N131">
        <v>38100</v>
      </c>
      <c r="O131">
        <v>16690</v>
      </c>
      <c r="P131">
        <v>10</v>
      </c>
      <c r="Q131">
        <v>21410</v>
      </c>
      <c r="R131">
        <v>19269</v>
      </c>
    </row>
    <row r="132" spans="1:18">
      <c r="A132" t="s">
        <v>3996</v>
      </c>
      <c r="B132">
        <v>1083</v>
      </c>
      <c r="C132">
        <v>9687</v>
      </c>
      <c r="D132" t="s">
        <v>2511</v>
      </c>
      <c r="E132" t="s">
        <v>3997</v>
      </c>
      <c r="F132" t="s">
        <v>3998</v>
      </c>
      <c r="G132" t="s">
        <v>3968</v>
      </c>
      <c r="H132" t="s">
        <v>51</v>
      </c>
      <c r="I132" t="s">
        <v>3969</v>
      </c>
      <c r="K132" s="35">
        <v>46242</v>
      </c>
      <c r="L132" s="342">
        <f>31*Таблица7[[#This Row],[Вес нетто]]/603790</f>
        <v>1.0242799648884546</v>
      </c>
      <c r="M132">
        <v>6</v>
      </c>
      <c r="N132">
        <v>36690</v>
      </c>
      <c r="O132">
        <v>16740</v>
      </c>
      <c r="P132">
        <v>16</v>
      </c>
      <c r="Q132">
        <v>19950</v>
      </c>
      <c r="R132">
        <v>16758</v>
      </c>
    </row>
    <row r="133" spans="1:18">
      <c r="A133" t="s">
        <v>3999</v>
      </c>
      <c r="B133">
        <v>1080</v>
      </c>
      <c r="C133">
        <v>9684</v>
      </c>
      <c r="D133" t="s">
        <v>2511</v>
      </c>
      <c r="E133" t="s">
        <v>4000</v>
      </c>
      <c r="F133" t="s">
        <v>4001</v>
      </c>
      <c r="G133" t="s">
        <v>3968</v>
      </c>
      <c r="H133" t="s">
        <v>51</v>
      </c>
      <c r="I133" t="s">
        <v>3969</v>
      </c>
      <c r="K133" s="35">
        <v>46242</v>
      </c>
      <c r="L133" s="342">
        <f>31*Таблица7[[#This Row],[Вес нетто]]/603790</f>
        <v>1.1285049437718413</v>
      </c>
      <c r="M133">
        <v>6</v>
      </c>
      <c r="N133">
        <v>38440</v>
      </c>
      <c r="O133">
        <v>16460</v>
      </c>
      <c r="P133">
        <v>18</v>
      </c>
      <c r="Q133">
        <v>21980</v>
      </c>
      <c r="R133">
        <v>18023.599999999999</v>
      </c>
    </row>
    <row r="134" spans="1:18">
      <c r="A134" t="s">
        <v>4002</v>
      </c>
      <c r="B134">
        <v>1081</v>
      </c>
      <c r="C134">
        <v>9683</v>
      </c>
      <c r="D134" t="s">
        <v>2511</v>
      </c>
      <c r="E134" t="s">
        <v>4003</v>
      </c>
      <c r="F134" t="s">
        <v>4004</v>
      </c>
      <c r="G134" t="s">
        <v>3968</v>
      </c>
      <c r="H134" t="s">
        <v>51</v>
      </c>
      <c r="I134" t="s">
        <v>3969</v>
      </c>
      <c r="K134" s="35">
        <v>46242</v>
      </c>
      <c r="L134" s="342">
        <f>31*Таблица7[[#This Row],[Вес нетто]]/603790</f>
        <v>1.097699531293993</v>
      </c>
      <c r="M134">
        <v>6</v>
      </c>
      <c r="N134">
        <v>37620</v>
      </c>
      <c r="O134">
        <v>16240</v>
      </c>
      <c r="P134">
        <v>9</v>
      </c>
      <c r="Q134">
        <v>21380</v>
      </c>
      <c r="R134">
        <v>19455.8</v>
      </c>
    </row>
    <row r="135" spans="1:18">
      <c r="A135" t="s">
        <v>4005</v>
      </c>
      <c r="B135">
        <v>1084</v>
      </c>
      <c r="C135">
        <v>9688</v>
      </c>
      <c r="D135" t="s">
        <v>2511</v>
      </c>
      <c r="E135" t="s">
        <v>4006</v>
      </c>
      <c r="F135" t="s">
        <v>4007</v>
      </c>
      <c r="G135" t="s">
        <v>3968</v>
      </c>
      <c r="H135" t="s">
        <v>51</v>
      </c>
      <c r="I135" t="s">
        <v>3969</v>
      </c>
      <c r="K135" s="35">
        <v>46242</v>
      </c>
      <c r="L135" s="342">
        <f>31*Таблица7[[#This Row],[Вес нетто]]/603790</f>
        <v>1.4504215041653554</v>
      </c>
      <c r="M135">
        <v>6</v>
      </c>
      <c r="N135">
        <v>45120</v>
      </c>
      <c r="O135">
        <v>16870</v>
      </c>
      <c r="P135">
        <v>9</v>
      </c>
      <c r="Q135">
        <v>28250</v>
      </c>
      <c r="R135">
        <v>25707.5</v>
      </c>
    </row>
    <row r="136" spans="1:18">
      <c r="A136" t="s">
        <v>4008</v>
      </c>
      <c r="B136">
        <v>1085</v>
      </c>
      <c r="C136">
        <v>9689</v>
      </c>
      <c r="D136" t="s">
        <v>2511</v>
      </c>
      <c r="E136" t="s">
        <v>382</v>
      </c>
      <c r="F136" t="s">
        <v>383</v>
      </c>
      <c r="G136" t="s">
        <v>3968</v>
      </c>
      <c r="H136" t="s">
        <v>51</v>
      </c>
      <c r="I136" t="s">
        <v>3969</v>
      </c>
      <c r="K136" s="35">
        <v>46242</v>
      </c>
      <c r="L136" s="342">
        <f>31*Таблица7[[#This Row],[Вес нетто]]/603790</f>
        <v>1.1387734145977906</v>
      </c>
      <c r="M136">
        <v>6</v>
      </c>
      <c r="N136">
        <v>36540</v>
      </c>
      <c r="O136">
        <v>14360</v>
      </c>
      <c r="P136">
        <v>8</v>
      </c>
      <c r="Q136">
        <v>22180</v>
      </c>
      <c r="R136">
        <v>20405.599999999999</v>
      </c>
    </row>
    <row r="137" spans="1:18">
      <c r="A137" t="s">
        <v>4009</v>
      </c>
      <c r="B137">
        <v>1086</v>
      </c>
      <c r="C137">
        <v>9692</v>
      </c>
      <c r="D137" t="s">
        <v>2511</v>
      </c>
      <c r="E137" t="s">
        <v>3971</v>
      </c>
      <c r="F137" t="s">
        <v>3972</v>
      </c>
      <c r="G137" t="s">
        <v>3968</v>
      </c>
      <c r="H137" t="s">
        <v>51</v>
      </c>
      <c r="I137" t="s">
        <v>3969</v>
      </c>
      <c r="K137" s="35">
        <v>46242</v>
      </c>
      <c r="L137" s="342">
        <f>31*Таблица7[[#This Row],[Вес нетто]]/603790</f>
        <v>1.3924046439987412</v>
      </c>
      <c r="M137">
        <v>6</v>
      </c>
      <c r="N137">
        <v>43050</v>
      </c>
      <c r="O137">
        <v>15930</v>
      </c>
      <c r="P137">
        <v>9</v>
      </c>
      <c r="Q137">
        <v>27120</v>
      </c>
      <c r="R137">
        <v>24679.200000000001</v>
      </c>
    </row>
    <row r="138" spans="1:18">
      <c r="A138" t="s">
        <v>4010</v>
      </c>
      <c r="B138">
        <v>1087</v>
      </c>
      <c r="C138">
        <v>9691</v>
      </c>
      <c r="D138" t="s">
        <v>2511</v>
      </c>
      <c r="E138" t="s">
        <v>429</v>
      </c>
      <c r="F138" t="s">
        <v>430</v>
      </c>
      <c r="G138" t="s">
        <v>3968</v>
      </c>
      <c r="H138" t="s">
        <v>51</v>
      </c>
      <c r="I138" t="s">
        <v>3969</v>
      </c>
      <c r="K138" s="35">
        <v>46242</v>
      </c>
      <c r="L138" s="342">
        <f>31*Таблица7[[#This Row],[Вес нетто]]/603790</f>
        <v>1.4062670796137731</v>
      </c>
      <c r="M138">
        <v>6</v>
      </c>
      <c r="N138">
        <v>41730</v>
      </c>
      <c r="O138">
        <v>14340</v>
      </c>
      <c r="P138">
        <v>10</v>
      </c>
      <c r="Q138">
        <v>27390</v>
      </c>
      <c r="R138">
        <v>24651</v>
      </c>
    </row>
    <row r="139" spans="1:18">
      <c r="A139" t="s">
        <v>4011</v>
      </c>
      <c r="B139">
        <v>1088</v>
      </c>
      <c r="C139">
        <v>9694</v>
      </c>
      <c r="D139" t="s">
        <v>2511</v>
      </c>
      <c r="E139" t="s">
        <v>2053</v>
      </c>
      <c r="F139" t="s">
        <v>2054</v>
      </c>
      <c r="G139" t="s">
        <v>3968</v>
      </c>
      <c r="H139" t="s">
        <v>51</v>
      </c>
      <c r="I139" t="s">
        <v>3969</v>
      </c>
      <c r="K139" s="35">
        <v>46242</v>
      </c>
      <c r="L139" s="342">
        <f>31*Таблица7[[#This Row],[Вес нетто]]/603790</f>
        <v>0.72752115801851636</v>
      </c>
      <c r="M139">
        <v>6</v>
      </c>
      <c r="N139">
        <v>28550</v>
      </c>
      <c r="O139">
        <v>14380</v>
      </c>
      <c r="P139">
        <v>13</v>
      </c>
      <c r="Q139">
        <v>14170</v>
      </c>
      <c r="R139">
        <v>12327.9</v>
      </c>
    </row>
    <row r="140" spans="1:18">
      <c r="A140" t="s">
        <v>4012</v>
      </c>
      <c r="B140">
        <v>1089</v>
      </c>
      <c r="C140">
        <v>9693</v>
      </c>
      <c r="D140" t="s">
        <v>2511</v>
      </c>
      <c r="E140" t="s">
        <v>400</v>
      </c>
      <c r="F140" t="s">
        <v>401</v>
      </c>
      <c r="G140" t="s">
        <v>3968</v>
      </c>
      <c r="H140" t="s">
        <v>51</v>
      </c>
      <c r="I140" t="s">
        <v>3969</v>
      </c>
      <c r="K140" s="35">
        <v>46242</v>
      </c>
      <c r="L140" s="342">
        <f>31*Таблица7[[#This Row],[Вес нетто]]/603790</f>
        <v>1.1962768512231075</v>
      </c>
      <c r="M140">
        <v>6</v>
      </c>
      <c r="N140">
        <v>38020</v>
      </c>
      <c r="O140">
        <v>14720</v>
      </c>
      <c r="P140">
        <v>9</v>
      </c>
      <c r="Q140">
        <v>23300</v>
      </c>
      <c r="R140">
        <v>21203</v>
      </c>
    </row>
    <row r="141" spans="1:18">
      <c r="A141" t="s">
        <v>4013</v>
      </c>
      <c r="B141">
        <v>1090</v>
      </c>
      <c r="C141">
        <v>9696</v>
      </c>
      <c r="D141" t="s">
        <v>2511</v>
      </c>
      <c r="E141" t="s">
        <v>3894</v>
      </c>
      <c r="F141" t="s">
        <v>3895</v>
      </c>
      <c r="G141" t="s">
        <v>3968</v>
      </c>
      <c r="H141" t="s">
        <v>51</v>
      </c>
      <c r="I141" t="s">
        <v>3969</v>
      </c>
      <c r="K141" s="35">
        <v>46242</v>
      </c>
      <c r="L141" s="342">
        <f>31*Таблица7[[#This Row],[Вес нетто]]/603790</f>
        <v>1.1305586379370312</v>
      </c>
      <c r="M141">
        <v>6</v>
      </c>
      <c r="N141">
        <v>38130</v>
      </c>
      <c r="O141">
        <v>16110</v>
      </c>
      <c r="P141">
        <v>8</v>
      </c>
      <c r="Q141">
        <v>22020</v>
      </c>
      <c r="R141">
        <v>20258.400000000001</v>
      </c>
    </row>
    <row r="142" spans="1:18">
      <c r="A142" t="s">
        <v>4014</v>
      </c>
      <c r="B142">
        <v>1091</v>
      </c>
      <c r="C142">
        <v>9697</v>
      </c>
      <c r="D142" t="s">
        <v>2511</v>
      </c>
      <c r="E142" t="s">
        <v>3890</v>
      </c>
      <c r="F142" t="s">
        <v>3891</v>
      </c>
      <c r="G142" t="s">
        <v>3968</v>
      </c>
      <c r="H142" t="s">
        <v>51</v>
      </c>
      <c r="I142" t="s">
        <v>3969</v>
      </c>
      <c r="K142" s="35">
        <v>46242</v>
      </c>
      <c r="L142" s="342">
        <f>31*Таблица7[[#This Row],[Вес нетто]]/603790</f>
        <v>1.1428808029281703</v>
      </c>
      <c r="M142">
        <v>6</v>
      </c>
      <c r="N142">
        <v>38060</v>
      </c>
      <c r="O142">
        <v>15800</v>
      </c>
      <c r="P142">
        <v>15</v>
      </c>
      <c r="Q142">
        <v>22260</v>
      </c>
      <c r="R142">
        <v>18921</v>
      </c>
    </row>
    <row r="143" spans="1:18">
      <c r="A143" t="s">
        <v>4015</v>
      </c>
      <c r="B143">
        <v>1093</v>
      </c>
      <c r="C143">
        <v>9700</v>
      </c>
      <c r="D143" t="s">
        <v>2511</v>
      </c>
      <c r="E143" t="s">
        <v>442</v>
      </c>
      <c r="F143" t="s">
        <v>443</v>
      </c>
      <c r="G143" t="s">
        <v>3968</v>
      </c>
      <c r="H143" t="s">
        <v>51</v>
      </c>
      <c r="I143" t="s">
        <v>3969</v>
      </c>
      <c r="K143" s="35">
        <v>46242</v>
      </c>
      <c r="L143" s="342">
        <f>31*Таблица7[[#This Row],[Вес нетто]]/603790</f>
        <v>1.0022027526126633</v>
      </c>
      <c r="M143">
        <v>6</v>
      </c>
      <c r="N143">
        <v>33970</v>
      </c>
      <c r="O143">
        <v>14450</v>
      </c>
      <c r="P143">
        <v>17</v>
      </c>
      <c r="Q143">
        <v>19520</v>
      </c>
      <c r="R143">
        <v>16201.6</v>
      </c>
    </row>
    <row r="144" spans="1:18">
      <c r="A144" t="s">
        <v>4016</v>
      </c>
      <c r="B144">
        <v>1095</v>
      </c>
      <c r="C144">
        <v>9702</v>
      </c>
      <c r="D144" t="s">
        <v>2511</v>
      </c>
      <c r="E144" t="s">
        <v>4017</v>
      </c>
      <c r="F144" t="s">
        <v>4018</v>
      </c>
      <c r="G144" t="s">
        <v>3968</v>
      </c>
      <c r="H144" t="s">
        <v>51</v>
      </c>
      <c r="I144" t="s">
        <v>3969</v>
      </c>
      <c r="K144" s="35">
        <v>46242</v>
      </c>
      <c r="L144" s="342">
        <f>31*Таблица7[[#This Row],[Вес нетто]]/603790</f>
        <v>1.1875486510210504</v>
      </c>
      <c r="M144">
        <v>6</v>
      </c>
      <c r="N144">
        <v>39630</v>
      </c>
      <c r="O144">
        <v>16500</v>
      </c>
      <c r="P144">
        <v>5</v>
      </c>
      <c r="Q144">
        <v>23130</v>
      </c>
      <c r="R144">
        <v>21973.5</v>
      </c>
    </row>
    <row r="145" spans="1:18">
      <c r="A145" t="s">
        <v>4019</v>
      </c>
      <c r="B145">
        <v>1092</v>
      </c>
      <c r="C145">
        <v>9698</v>
      </c>
      <c r="D145" t="s">
        <v>2511</v>
      </c>
      <c r="E145" t="s">
        <v>1410</v>
      </c>
      <c r="F145" t="s">
        <v>437</v>
      </c>
      <c r="G145" t="s">
        <v>3968</v>
      </c>
      <c r="H145" t="s">
        <v>51</v>
      </c>
      <c r="I145" t="s">
        <v>3969</v>
      </c>
      <c r="K145" s="35">
        <v>46242</v>
      </c>
      <c r="L145" s="342">
        <f>31*Таблица7[[#This Row],[Вес нетто]]/603790</f>
        <v>1.3497904900710511</v>
      </c>
      <c r="M145">
        <v>6</v>
      </c>
      <c r="N145">
        <v>41150</v>
      </c>
      <c r="O145">
        <v>14860</v>
      </c>
      <c r="P145">
        <v>13</v>
      </c>
      <c r="Q145">
        <v>26290</v>
      </c>
      <c r="R145">
        <v>22872.3</v>
      </c>
    </row>
    <row r="146" spans="1:18">
      <c r="A146" t="s">
        <v>4020</v>
      </c>
      <c r="B146">
        <v>1096</v>
      </c>
      <c r="C146">
        <v>9701</v>
      </c>
      <c r="D146" t="s">
        <v>2511</v>
      </c>
      <c r="E146" t="s">
        <v>410</v>
      </c>
      <c r="F146" t="s">
        <v>411</v>
      </c>
      <c r="G146" t="s">
        <v>3968</v>
      </c>
      <c r="H146" t="s">
        <v>51</v>
      </c>
      <c r="I146" t="s">
        <v>3969</v>
      </c>
      <c r="K146" s="35">
        <v>46242</v>
      </c>
      <c r="L146" s="342">
        <f>31*Таблица7[[#This Row],[Вес нетто]]/603790</f>
        <v>1.1664982858278541</v>
      </c>
      <c r="M146">
        <v>6</v>
      </c>
      <c r="N146">
        <v>37780</v>
      </c>
      <c r="O146">
        <v>15060</v>
      </c>
      <c r="P146">
        <v>6</v>
      </c>
      <c r="Q146">
        <v>22720</v>
      </c>
      <c r="R146">
        <v>21356.799999999999</v>
      </c>
    </row>
    <row r="147" spans="1:18">
      <c r="A147" t="s">
        <v>4021</v>
      </c>
      <c r="B147">
        <v>1097</v>
      </c>
      <c r="C147">
        <v>9699</v>
      </c>
      <c r="D147" t="s">
        <v>2511</v>
      </c>
      <c r="E147" t="s">
        <v>439</v>
      </c>
      <c r="F147" t="s">
        <v>440</v>
      </c>
      <c r="G147" t="s">
        <v>3968</v>
      </c>
      <c r="H147" t="s">
        <v>51</v>
      </c>
      <c r="I147" t="s">
        <v>3969</v>
      </c>
      <c r="K147" s="35">
        <v>46242</v>
      </c>
      <c r="L147" s="342">
        <f>31*Таблица7[[#This Row],[Вес нетто]]/603790</f>
        <v>1.1911426158101326</v>
      </c>
      <c r="M147">
        <v>6</v>
      </c>
      <c r="N147">
        <v>38130</v>
      </c>
      <c r="O147">
        <v>14930</v>
      </c>
      <c r="P147">
        <v>14</v>
      </c>
      <c r="Q147">
        <v>23200</v>
      </c>
      <c r="R147">
        <v>19952</v>
      </c>
    </row>
    <row r="148" spans="1:18">
      <c r="A148" t="s">
        <v>4022</v>
      </c>
      <c r="B148">
        <v>1098</v>
      </c>
      <c r="C148">
        <v>9703</v>
      </c>
      <c r="D148" t="s">
        <v>2511</v>
      </c>
      <c r="E148" t="s">
        <v>472</v>
      </c>
      <c r="F148" t="s">
        <v>3967</v>
      </c>
      <c r="G148" t="s">
        <v>3968</v>
      </c>
      <c r="H148" t="s">
        <v>51</v>
      </c>
      <c r="I148" t="s">
        <v>3969</v>
      </c>
      <c r="K148" s="35">
        <v>46242</v>
      </c>
      <c r="L148" s="342">
        <f>31*Таблица7[[#This Row],[Вес нетто]]/603790</f>
        <v>1.1983305453882973</v>
      </c>
      <c r="M148">
        <v>6</v>
      </c>
      <c r="N148">
        <v>40000</v>
      </c>
      <c r="O148">
        <v>16660</v>
      </c>
      <c r="P148">
        <v>11</v>
      </c>
      <c r="Q148">
        <v>23340</v>
      </c>
      <c r="R148">
        <v>20772.599999999999</v>
      </c>
    </row>
    <row r="149" spans="1:18">
      <c r="A149" t="s">
        <v>4023</v>
      </c>
      <c r="B149">
        <v>1113</v>
      </c>
      <c r="C149">
        <v>9713</v>
      </c>
      <c r="D149" t="s">
        <v>2511</v>
      </c>
      <c r="E149" t="s">
        <v>4000</v>
      </c>
      <c r="F149" t="s">
        <v>4001</v>
      </c>
      <c r="G149" t="s">
        <v>3968</v>
      </c>
      <c r="H149" t="s">
        <v>51</v>
      </c>
      <c r="I149" t="s">
        <v>3969</v>
      </c>
      <c r="K149" s="35">
        <v>46242</v>
      </c>
      <c r="L149" s="342">
        <f>31*Таблица7[[#This Row],[Вес нетто]]/603790</f>
        <v>1.1700922506169364</v>
      </c>
      <c r="M149">
        <v>6</v>
      </c>
      <c r="N149">
        <v>39200</v>
      </c>
      <c r="O149">
        <v>16410</v>
      </c>
      <c r="P149">
        <v>9</v>
      </c>
      <c r="Q149">
        <v>22790</v>
      </c>
      <c r="R149">
        <v>20738.900000000001</v>
      </c>
    </row>
    <row r="150" spans="1:18">
      <c r="A150" t="s">
        <v>4024</v>
      </c>
      <c r="B150">
        <v>1100</v>
      </c>
      <c r="C150">
        <v>9706</v>
      </c>
      <c r="D150" t="s">
        <v>2511</v>
      </c>
      <c r="E150" t="s">
        <v>4025</v>
      </c>
      <c r="F150" t="s">
        <v>4026</v>
      </c>
      <c r="G150" t="s">
        <v>3968</v>
      </c>
      <c r="H150" t="s">
        <v>51</v>
      </c>
      <c r="I150" t="s">
        <v>3969</v>
      </c>
      <c r="K150" s="35">
        <v>46242</v>
      </c>
      <c r="L150" s="342">
        <f>31*Таблица7[[#This Row],[Вес нетто]]/603790</f>
        <v>1.0833236721376638</v>
      </c>
      <c r="M150">
        <v>6</v>
      </c>
      <c r="N150">
        <v>37320</v>
      </c>
      <c r="O150">
        <v>16220</v>
      </c>
      <c r="P150">
        <v>8</v>
      </c>
      <c r="Q150">
        <v>21100</v>
      </c>
      <c r="R150">
        <v>19412</v>
      </c>
    </row>
    <row r="151" spans="1:18">
      <c r="A151" t="s">
        <v>4027</v>
      </c>
      <c r="B151">
        <v>1103</v>
      </c>
      <c r="C151">
        <v>9704</v>
      </c>
      <c r="D151" t="s">
        <v>2511</v>
      </c>
      <c r="E151" t="s">
        <v>3977</v>
      </c>
      <c r="F151" t="s">
        <v>414</v>
      </c>
      <c r="G151" t="s">
        <v>3968</v>
      </c>
      <c r="H151" t="s">
        <v>51</v>
      </c>
      <c r="I151" t="s">
        <v>3969</v>
      </c>
      <c r="K151" s="35">
        <v>46242</v>
      </c>
      <c r="L151" s="342">
        <f>31*Таблица7[[#This Row],[Вес нетто]]/603790</f>
        <v>1.1608506268735819</v>
      </c>
      <c r="M151">
        <v>6</v>
      </c>
      <c r="N151">
        <v>37520</v>
      </c>
      <c r="O151">
        <v>14910</v>
      </c>
      <c r="P151">
        <v>6</v>
      </c>
      <c r="Q151">
        <v>22610</v>
      </c>
      <c r="R151">
        <v>21253.4</v>
      </c>
    </row>
    <row r="152" spans="1:18">
      <c r="A152" t="s">
        <v>4028</v>
      </c>
      <c r="B152">
        <v>1104</v>
      </c>
      <c r="C152">
        <v>9705</v>
      </c>
      <c r="D152" t="s">
        <v>2511</v>
      </c>
      <c r="E152" t="s">
        <v>432</v>
      </c>
      <c r="F152" t="s">
        <v>433</v>
      </c>
      <c r="G152" t="s">
        <v>3968</v>
      </c>
      <c r="H152" t="s">
        <v>51</v>
      </c>
      <c r="I152" t="s">
        <v>3969</v>
      </c>
      <c r="K152" s="35">
        <v>46242</v>
      </c>
      <c r="L152" s="342">
        <f>31*Таблица7[[#This Row],[Вес нетто]]/603790</f>
        <v>1.333360936749532</v>
      </c>
      <c r="M152">
        <v>6</v>
      </c>
      <c r="N152">
        <v>41670</v>
      </c>
      <c r="O152">
        <v>15700</v>
      </c>
      <c r="P152">
        <v>11</v>
      </c>
      <c r="Q152">
        <v>25970</v>
      </c>
      <c r="R152">
        <v>23113.3</v>
      </c>
    </row>
    <row r="153" spans="1:18">
      <c r="A153" t="s">
        <v>4029</v>
      </c>
      <c r="B153">
        <v>1114</v>
      </c>
      <c r="C153">
        <v>9710</v>
      </c>
      <c r="D153" t="s">
        <v>2511</v>
      </c>
      <c r="E153" t="s">
        <v>374</v>
      </c>
      <c r="F153" t="s">
        <v>375</v>
      </c>
      <c r="G153" t="s">
        <v>3968</v>
      </c>
      <c r="H153" t="s">
        <v>51</v>
      </c>
      <c r="I153" t="s">
        <v>3969</v>
      </c>
      <c r="K153" s="35">
        <v>46243</v>
      </c>
      <c r="L153" s="342">
        <f>25*Таблица7[[#This Row],[Вес нетто]]/639960</f>
        <v>0.92857366085380333</v>
      </c>
      <c r="M153">
        <v>7</v>
      </c>
      <c r="N153">
        <v>39330</v>
      </c>
      <c r="O153">
        <v>15560</v>
      </c>
      <c r="P153">
        <v>14</v>
      </c>
      <c r="Q153">
        <v>23770</v>
      </c>
      <c r="R153">
        <v>20442.2</v>
      </c>
    </row>
    <row r="154" spans="1:18">
      <c r="A154" t="s">
        <v>4030</v>
      </c>
      <c r="B154">
        <v>1115</v>
      </c>
      <c r="C154">
        <v>9716</v>
      </c>
      <c r="D154" t="s">
        <v>2511</v>
      </c>
      <c r="E154" t="s">
        <v>4006</v>
      </c>
      <c r="F154" t="s">
        <v>4007</v>
      </c>
      <c r="G154" t="s">
        <v>3968</v>
      </c>
      <c r="H154" t="s">
        <v>51</v>
      </c>
      <c r="I154" t="s">
        <v>3969</v>
      </c>
      <c r="K154" s="35">
        <v>46243</v>
      </c>
      <c r="L154" s="342">
        <f>25*Таблица7[[#This Row],[Вес нетто]]/639960</f>
        <v>1.0981155072192013</v>
      </c>
      <c r="M154">
        <v>7</v>
      </c>
      <c r="N154">
        <v>45120</v>
      </c>
      <c r="O154">
        <v>17010</v>
      </c>
      <c r="P154">
        <v>14</v>
      </c>
      <c r="Q154">
        <v>28110</v>
      </c>
      <c r="R154">
        <v>24174.6</v>
      </c>
    </row>
    <row r="155" spans="1:18">
      <c r="A155" t="s">
        <v>4031</v>
      </c>
      <c r="B155">
        <v>1105</v>
      </c>
      <c r="C155">
        <v>9677</v>
      </c>
      <c r="D155" t="s">
        <v>2511</v>
      </c>
      <c r="E155" t="s">
        <v>3984</v>
      </c>
      <c r="F155" t="s">
        <v>3985</v>
      </c>
      <c r="G155" t="s">
        <v>3968</v>
      </c>
      <c r="H155" t="s">
        <v>51</v>
      </c>
      <c r="I155" t="s">
        <v>3969</v>
      </c>
      <c r="K155" s="35">
        <v>46243</v>
      </c>
      <c r="L155" s="342">
        <f>25*Таблица7[[#This Row],[Вес нетто]]/639960</f>
        <v>0.99459341208825547</v>
      </c>
      <c r="M155">
        <v>7</v>
      </c>
      <c r="N155">
        <v>40170</v>
      </c>
      <c r="O155">
        <v>14710</v>
      </c>
      <c r="P155">
        <v>10</v>
      </c>
      <c r="Q155">
        <v>25460</v>
      </c>
      <c r="R155">
        <v>22914</v>
      </c>
    </row>
    <row r="156" spans="1:18">
      <c r="A156" t="s">
        <v>4032</v>
      </c>
      <c r="B156">
        <v>1107</v>
      </c>
      <c r="C156">
        <v>9709</v>
      </c>
      <c r="D156" t="s">
        <v>2511</v>
      </c>
      <c r="E156" t="s">
        <v>3988</v>
      </c>
      <c r="F156" t="s">
        <v>859</v>
      </c>
      <c r="G156" t="s">
        <v>3968</v>
      </c>
      <c r="H156" t="s">
        <v>51</v>
      </c>
      <c r="I156" t="s">
        <v>3969</v>
      </c>
      <c r="K156" s="35">
        <v>46243</v>
      </c>
      <c r="L156" s="342">
        <f>25*Таблица7[[#This Row],[Вес нетто]]/639960</f>
        <v>0.97115444715294708</v>
      </c>
      <c r="M156">
        <v>7</v>
      </c>
      <c r="N156">
        <v>39290</v>
      </c>
      <c r="O156">
        <v>14430</v>
      </c>
      <c r="P156">
        <v>8</v>
      </c>
      <c r="Q156">
        <v>24860</v>
      </c>
      <c r="R156">
        <v>22871.200000000001</v>
      </c>
    </row>
    <row r="157" spans="1:18">
      <c r="A157" t="s">
        <v>4033</v>
      </c>
      <c r="B157">
        <v>1116</v>
      </c>
      <c r="C157">
        <v>9717</v>
      </c>
      <c r="D157" t="s">
        <v>2511</v>
      </c>
      <c r="E157" t="s">
        <v>382</v>
      </c>
      <c r="F157" t="s">
        <v>383</v>
      </c>
      <c r="G157" t="s">
        <v>3968</v>
      </c>
      <c r="H157" t="s">
        <v>51</v>
      </c>
      <c r="I157" t="s">
        <v>3969</v>
      </c>
      <c r="K157" s="35">
        <v>46243</v>
      </c>
      <c r="L157" s="342">
        <f>25*Таблица7[[#This Row],[Вес нетто]]/639960</f>
        <v>0.90669729358084883</v>
      </c>
      <c r="M157">
        <v>7</v>
      </c>
      <c r="N157">
        <v>37560</v>
      </c>
      <c r="O157">
        <v>14350</v>
      </c>
      <c r="P157">
        <v>11</v>
      </c>
      <c r="Q157">
        <v>23210</v>
      </c>
      <c r="R157">
        <v>20656.900000000001</v>
      </c>
    </row>
    <row r="158" spans="1:18">
      <c r="A158" t="s">
        <v>4034</v>
      </c>
      <c r="B158">
        <v>1108</v>
      </c>
      <c r="C158">
        <v>9711</v>
      </c>
      <c r="D158" t="s">
        <v>2511</v>
      </c>
      <c r="E158" t="s">
        <v>377</v>
      </c>
      <c r="F158" t="s">
        <v>378</v>
      </c>
      <c r="G158" t="s">
        <v>3968</v>
      </c>
      <c r="H158" t="s">
        <v>51</v>
      </c>
      <c r="I158" t="s">
        <v>3969</v>
      </c>
      <c r="K158" s="35">
        <v>46243</v>
      </c>
      <c r="L158" s="342">
        <f>25*Таблица7[[#This Row],[Вес нетто]]/639960</f>
        <v>0.986780423776486</v>
      </c>
      <c r="M158">
        <v>7</v>
      </c>
      <c r="N158">
        <v>40340</v>
      </c>
      <c r="O158">
        <v>15080</v>
      </c>
      <c r="P158">
        <v>6</v>
      </c>
      <c r="Q158">
        <v>25260</v>
      </c>
      <c r="R158">
        <v>23744.400000000001</v>
      </c>
    </row>
    <row r="159" spans="1:18">
      <c r="A159" t="s">
        <v>4035</v>
      </c>
      <c r="B159">
        <v>1117</v>
      </c>
      <c r="C159">
        <v>9719</v>
      </c>
      <c r="D159" t="s">
        <v>2511</v>
      </c>
      <c r="E159" t="s">
        <v>3890</v>
      </c>
      <c r="F159" t="s">
        <v>3891</v>
      </c>
      <c r="G159" t="s">
        <v>3968</v>
      </c>
      <c r="H159" t="s">
        <v>51</v>
      </c>
      <c r="I159" t="s">
        <v>3969</v>
      </c>
      <c r="K159" s="35">
        <v>46243</v>
      </c>
      <c r="L159" s="342">
        <f>25*Таблица7[[#This Row],[Вес нетто]]/639960</f>
        <v>0.87661728858053634</v>
      </c>
      <c r="M159">
        <v>7</v>
      </c>
      <c r="N159">
        <v>38210</v>
      </c>
      <c r="O159">
        <v>15770</v>
      </c>
      <c r="P159">
        <v>1</v>
      </c>
      <c r="Q159">
        <v>22440</v>
      </c>
      <c r="R159">
        <v>22215.599999999999</v>
      </c>
    </row>
    <row r="160" spans="1:18">
      <c r="A160" t="s">
        <v>4036</v>
      </c>
      <c r="B160">
        <v>1109</v>
      </c>
      <c r="C160">
        <v>9707</v>
      </c>
      <c r="D160" t="s">
        <v>2511</v>
      </c>
      <c r="E160" t="s">
        <v>3980</v>
      </c>
      <c r="F160" t="s">
        <v>3981</v>
      </c>
      <c r="G160" t="s">
        <v>3968</v>
      </c>
      <c r="H160" t="s">
        <v>51</v>
      </c>
      <c r="I160" t="s">
        <v>3969</v>
      </c>
      <c r="K160" s="35">
        <v>46243</v>
      </c>
      <c r="L160" s="342">
        <f>25*Таблица7[[#This Row],[Вес нетто]]/639960</f>
        <v>1.0352209513094568</v>
      </c>
      <c r="M160">
        <v>7</v>
      </c>
      <c r="N160">
        <v>43180</v>
      </c>
      <c r="O160">
        <v>16680</v>
      </c>
      <c r="P160">
        <v>16</v>
      </c>
      <c r="Q160">
        <v>26500</v>
      </c>
      <c r="R160">
        <v>22260</v>
      </c>
    </row>
    <row r="161" spans="1:18">
      <c r="A161" t="s">
        <v>4037</v>
      </c>
      <c r="B161">
        <v>1110</v>
      </c>
      <c r="C161">
        <v>9715</v>
      </c>
      <c r="D161" t="s">
        <v>2511</v>
      </c>
      <c r="E161" t="s">
        <v>3997</v>
      </c>
      <c r="F161" t="s">
        <v>3998</v>
      </c>
      <c r="G161" t="s">
        <v>3968</v>
      </c>
      <c r="H161" t="s">
        <v>51</v>
      </c>
      <c r="I161" t="s">
        <v>3969</v>
      </c>
      <c r="K161" s="35">
        <v>46243</v>
      </c>
      <c r="L161" s="342">
        <f>25*Таблица7[[#This Row],[Вес нетто]]/639960</f>
        <v>0.84341208825551595</v>
      </c>
      <c r="M161">
        <v>7</v>
      </c>
      <c r="N161">
        <v>38100</v>
      </c>
      <c r="O161">
        <v>16510</v>
      </c>
      <c r="P161">
        <v>7</v>
      </c>
      <c r="Q161">
        <v>21590</v>
      </c>
      <c r="R161">
        <v>20078.7</v>
      </c>
    </row>
    <row r="162" spans="1:18">
      <c r="A162" t="s">
        <v>4038</v>
      </c>
      <c r="B162">
        <v>1111</v>
      </c>
      <c r="C162">
        <v>9714</v>
      </c>
      <c r="D162" t="s">
        <v>2511</v>
      </c>
      <c r="E162" t="s">
        <v>3994</v>
      </c>
      <c r="F162" t="s">
        <v>3995</v>
      </c>
      <c r="G162" t="s">
        <v>3968</v>
      </c>
      <c r="H162" t="s">
        <v>51</v>
      </c>
      <c r="I162" t="s">
        <v>3969</v>
      </c>
      <c r="K162" s="35">
        <v>46243</v>
      </c>
      <c r="L162" s="342">
        <f>25*Таблица7[[#This Row],[Вес нетто]]/639960</f>
        <v>0.84106819176198511</v>
      </c>
      <c r="M162">
        <v>7</v>
      </c>
      <c r="N162">
        <v>38020</v>
      </c>
      <c r="O162">
        <v>16490</v>
      </c>
      <c r="P162">
        <v>9</v>
      </c>
      <c r="Q162">
        <v>21530</v>
      </c>
      <c r="R162">
        <v>19592.3</v>
      </c>
    </row>
    <row r="163" spans="1:18">
      <c r="A163" t="s">
        <v>4039</v>
      </c>
      <c r="B163">
        <v>1118</v>
      </c>
      <c r="C163">
        <v>9718</v>
      </c>
      <c r="D163" t="s">
        <v>2511</v>
      </c>
      <c r="E163" t="s">
        <v>3894</v>
      </c>
      <c r="F163" t="s">
        <v>3895</v>
      </c>
      <c r="G163" t="s">
        <v>3968</v>
      </c>
      <c r="H163" t="s">
        <v>51</v>
      </c>
      <c r="I163" t="s">
        <v>3969</v>
      </c>
      <c r="K163" s="35">
        <v>46243</v>
      </c>
      <c r="L163" s="342">
        <f>25*Таблица7[[#This Row],[Вес нетто]]/639960</f>
        <v>0.86411650728170508</v>
      </c>
      <c r="M163">
        <v>7</v>
      </c>
      <c r="N163">
        <v>38210</v>
      </c>
      <c r="O163">
        <v>16090</v>
      </c>
      <c r="P163">
        <v>21</v>
      </c>
      <c r="Q163">
        <v>22120</v>
      </c>
      <c r="R163">
        <v>17474.8</v>
      </c>
    </row>
    <row r="164" spans="1:18">
      <c r="A164" t="s">
        <v>4040</v>
      </c>
      <c r="B164">
        <v>1112</v>
      </c>
      <c r="C164">
        <v>9712</v>
      </c>
      <c r="D164" t="s">
        <v>2511</v>
      </c>
      <c r="E164" t="s">
        <v>3991</v>
      </c>
      <c r="F164" t="s">
        <v>3992</v>
      </c>
      <c r="G164" t="s">
        <v>3968</v>
      </c>
      <c r="H164" t="s">
        <v>51</v>
      </c>
      <c r="I164" t="s">
        <v>3969</v>
      </c>
      <c r="K164" s="35">
        <v>46243</v>
      </c>
      <c r="L164" s="342">
        <f>25*Таблица7[[#This Row],[Вес нетто]]/639960</f>
        <v>0.90044690293143326</v>
      </c>
      <c r="M164">
        <v>7</v>
      </c>
      <c r="N164">
        <v>39530</v>
      </c>
      <c r="O164">
        <v>16480</v>
      </c>
      <c r="P164">
        <v>8</v>
      </c>
      <c r="Q164">
        <v>23050</v>
      </c>
      <c r="R164">
        <v>21206</v>
      </c>
    </row>
    <row r="165" spans="1:18">
      <c r="A165" t="s">
        <v>4041</v>
      </c>
      <c r="B165">
        <v>1119</v>
      </c>
      <c r="C165">
        <v>9721</v>
      </c>
      <c r="D165" t="s">
        <v>2511</v>
      </c>
      <c r="E165" t="s">
        <v>3971</v>
      </c>
      <c r="F165" t="s">
        <v>3972</v>
      </c>
      <c r="G165" t="s">
        <v>3968</v>
      </c>
      <c r="H165" t="s">
        <v>51</v>
      </c>
      <c r="I165" t="s">
        <v>3969</v>
      </c>
      <c r="K165" s="35">
        <v>46243</v>
      </c>
      <c r="L165" s="342">
        <f>25*Таблица7[[#This Row],[Вес нетто]]/639960</f>
        <v>0.96373210825676603</v>
      </c>
      <c r="M165">
        <v>7</v>
      </c>
      <c r="N165">
        <v>40610</v>
      </c>
      <c r="O165">
        <v>15940</v>
      </c>
      <c r="P165">
        <v>10</v>
      </c>
      <c r="Q165">
        <v>24670</v>
      </c>
      <c r="R165">
        <v>22203</v>
      </c>
    </row>
    <row r="166" spans="1:18">
      <c r="A166" t="s">
        <v>4042</v>
      </c>
      <c r="B166">
        <v>1120</v>
      </c>
      <c r="C166">
        <v>9720</v>
      </c>
      <c r="D166" t="s">
        <v>2511</v>
      </c>
      <c r="E166" t="s">
        <v>4043</v>
      </c>
      <c r="F166" t="s">
        <v>4044</v>
      </c>
      <c r="G166" t="s">
        <v>3968</v>
      </c>
      <c r="H166" t="s">
        <v>51</v>
      </c>
      <c r="I166" t="s">
        <v>3969</v>
      </c>
      <c r="K166" s="35">
        <v>46243</v>
      </c>
      <c r="L166" s="342">
        <f>25*Таблица7[[#This Row],[Вес нетто]]/639960</f>
        <v>0.97154509656853549</v>
      </c>
      <c r="M166">
        <v>7</v>
      </c>
      <c r="N166">
        <v>39240</v>
      </c>
      <c r="O166">
        <v>14370</v>
      </c>
      <c r="P166">
        <v>17</v>
      </c>
      <c r="Q166">
        <v>24870</v>
      </c>
      <c r="R166">
        <v>20642.099999999999</v>
      </c>
    </row>
    <row r="167" spans="1:18">
      <c r="A167" t="s">
        <v>4045</v>
      </c>
      <c r="B167">
        <v>1121</v>
      </c>
      <c r="C167">
        <v>9722</v>
      </c>
      <c r="D167" t="s">
        <v>2511</v>
      </c>
      <c r="E167" t="s">
        <v>400</v>
      </c>
      <c r="F167" t="s">
        <v>401</v>
      </c>
      <c r="G167" t="s">
        <v>3968</v>
      </c>
      <c r="H167" t="s">
        <v>51</v>
      </c>
      <c r="I167" t="s">
        <v>3969</v>
      </c>
      <c r="K167" s="35">
        <v>46243</v>
      </c>
      <c r="L167" s="342">
        <f>25*Таблица7[[#This Row],[Вес нетто]]/639960</f>
        <v>0.92154197137321081</v>
      </c>
      <c r="M167">
        <v>7</v>
      </c>
      <c r="N167">
        <v>38340</v>
      </c>
      <c r="O167">
        <v>14750</v>
      </c>
      <c r="P167">
        <v>18</v>
      </c>
      <c r="Q167">
        <v>23590</v>
      </c>
      <c r="R167">
        <v>19343.8</v>
      </c>
    </row>
    <row r="168" spans="1:18">
      <c r="A168" t="s">
        <v>4046</v>
      </c>
      <c r="B168">
        <v>1122</v>
      </c>
      <c r="C168">
        <v>9723</v>
      </c>
      <c r="D168" t="s">
        <v>2511</v>
      </c>
      <c r="E168" t="s">
        <v>456</v>
      </c>
      <c r="F168" t="s">
        <v>457</v>
      </c>
      <c r="G168" t="s">
        <v>3968</v>
      </c>
      <c r="H168" t="s">
        <v>51</v>
      </c>
      <c r="I168" t="s">
        <v>3969</v>
      </c>
      <c r="K168" s="35">
        <v>46243</v>
      </c>
      <c r="L168" s="342">
        <f>25*Таблица7[[#This Row],[Вес нетто]]/639960</f>
        <v>1.0383461466341646</v>
      </c>
      <c r="M168">
        <v>7</v>
      </c>
      <c r="N168">
        <v>44710</v>
      </c>
      <c r="O168">
        <v>18130</v>
      </c>
      <c r="P168">
        <v>20</v>
      </c>
      <c r="Q168">
        <v>26580</v>
      </c>
      <c r="R168">
        <v>21264</v>
      </c>
    </row>
    <row r="169" spans="1:18">
      <c r="A169" t="s">
        <v>4047</v>
      </c>
      <c r="B169">
        <v>1123</v>
      </c>
      <c r="C169">
        <v>9726</v>
      </c>
      <c r="D169" t="s">
        <v>2511</v>
      </c>
      <c r="E169" t="s">
        <v>410</v>
      </c>
      <c r="F169" t="s">
        <v>411</v>
      </c>
      <c r="G169" t="s">
        <v>3968</v>
      </c>
      <c r="H169" t="s">
        <v>51</v>
      </c>
      <c r="I169" t="s">
        <v>3969</v>
      </c>
      <c r="K169" s="35">
        <v>46243</v>
      </c>
      <c r="L169" s="342">
        <f>25*Таблица7[[#This Row],[Вес нетто]]/639960</f>
        <v>0.9231045690355647</v>
      </c>
      <c r="M169">
        <v>7</v>
      </c>
      <c r="N169">
        <v>38610</v>
      </c>
      <c r="O169">
        <v>14980</v>
      </c>
      <c r="P169">
        <v>13</v>
      </c>
      <c r="Q169">
        <v>23630</v>
      </c>
      <c r="R169">
        <v>20558.099999999999</v>
      </c>
    </row>
    <row r="170" spans="1:18">
      <c r="A170" t="s">
        <v>4048</v>
      </c>
      <c r="B170">
        <v>1124</v>
      </c>
      <c r="C170">
        <v>9727</v>
      </c>
      <c r="D170" t="s">
        <v>2511</v>
      </c>
      <c r="E170" t="s">
        <v>4017</v>
      </c>
      <c r="F170" t="s">
        <v>4018</v>
      </c>
      <c r="G170" t="s">
        <v>3968</v>
      </c>
      <c r="H170" t="s">
        <v>51</v>
      </c>
      <c r="I170" t="s">
        <v>3969</v>
      </c>
      <c r="K170" s="35">
        <v>46243</v>
      </c>
      <c r="L170" s="342">
        <f>25*Таблица7[[#This Row],[Вес нетто]]/639960</f>
        <v>0.89849365585349084</v>
      </c>
      <c r="M170">
        <v>7</v>
      </c>
      <c r="N170">
        <v>39460</v>
      </c>
      <c r="O170">
        <v>16460</v>
      </c>
      <c r="P170">
        <v>14</v>
      </c>
      <c r="Q170">
        <v>23000</v>
      </c>
      <c r="R170">
        <v>19780</v>
      </c>
    </row>
    <row r="171" spans="1:18">
      <c r="A171" t="s">
        <v>4049</v>
      </c>
      <c r="B171">
        <v>1125</v>
      </c>
      <c r="C171">
        <v>9728</v>
      </c>
      <c r="D171" t="s">
        <v>2511</v>
      </c>
      <c r="E171" t="s">
        <v>472</v>
      </c>
      <c r="F171" t="s">
        <v>3967</v>
      </c>
      <c r="G171" t="s">
        <v>3968</v>
      </c>
      <c r="H171" t="s">
        <v>51</v>
      </c>
      <c r="I171" t="s">
        <v>3969</v>
      </c>
      <c r="K171" s="35">
        <v>46243</v>
      </c>
      <c r="L171" s="342">
        <f>25*Таблица7[[#This Row],[Вес нетто]]/639960</f>
        <v>0.94341833864616542</v>
      </c>
      <c r="M171">
        <v>7</v>
      </c>
      <c r="N171">
        <v>40740</v>
      </c>
      <c r="O171">
        <v>16590</v>
      </c>
      <c r="P171">
        <v>13</v>
      </c>
      <c r="Q171">
        <v>24150</v>
      </c>
      <c r="R171">
        <v>21010.5</v>
      </c>
    </row>
    <row r="172" spans="1:18">
      <c r="A172" t="s">
        <v>4050</v>
      </c>
      <c r="B172">
        <v>1126</v>
      </c>
      <c r="C172">
        <v>9729</v>
      </c>
      <c r="D172" t="s">
        <v>2511</v>
      </c>
      <c r="E172" t="s">
        <v>4025</v>
      </c>
      <c r="F172" t="s">
        <v>4026</v>
      </c>
      <c r="G172" t="s">
        <v>3968</v>
      </c>
      <c r="H172" t="s">
        <v>51</v>
      </c>
      <c r="I172" t="s">
        <v>3969</v>
      </c>
      <c r="K172" s="35">
        <v>46243</v>
      </c>
      <c r="L172" s="342">
        <f>25*Таблица7[[#This Row],[Вес нетто]]/639960</f>
        <v>0.92037002312644545</v>
      </c>
      <c r="M172">
        <v>7</v>
      </c>
      <c r="N172">
        <v>39810</v>
      </c>
      <c r="O172">
        <v>16250</v>
      </c>
      <c r="P172">
        <v>15</v>
      </c>
      <c r="Q172">
        <v>23560</v>
      </c>
      <c r="R172">
        <v>20026</v>
      </c>
    </row>
    <row r="173" spans="1:18">
      <c r="A173" t="s">
        <v>4051</v>
      </c>
      <c r="B173">
        <v>1128</v>
      </c>
      <c r="C173">
        <v>9730</v>
      </c>
      <c r="D173" t="s">
        <v>2511</v>
      </c>
      <c r="E173" t="s">
        <v>3977</v>
      </c>
      <c r="F173" t="s">
        <v>414</v>
      </c>
      <c r="G173" t="s">
        <v>3968</v>
      </c>
      <c r="H173" t="s">
        <v>51</v>
      </c>
      <c r="I173" t="s">
        <v>3969</v>
      </c>
      <c r="K173" s="35">
        <v>46243</v>
      </c>
      <c r="L173" s="342">
        <f>25*Таблица7[[#This Row],[Вес нетто]]/639960</f>
        <v>0.92076067254203386</v>
      </c>
      <c r="M173">
        <v>7</v>
      </c>
      <c r="N173">
        <v>38460</v>
      </c>
      <c r="O173">
        <v>14890</v>
      </c>
      <c r="P173">
        <v>12</v>
      </c>
      <c r="Q173">
        <v>23570</v>
      </c>
      <c r="R173">
        <v>20741.599999999999</v>
      </c>
    </row>
    <row r="174" spans="1:18">
      <c r="A174" t="s">
        <v>4052</v>
      </c>
      <c r="B174">
        <v>1129</v>
      </c>
      <c r="C174">
        <v>9731</v>
      </c>
      <c r="D174" t="s">
        <v>2511</v>
      </c>
      <c r="E174" t="s">
        <v>432</v>
      </c>
      <c r="F174" t="s">
        <v>433</v>
      </c>
      <c r="G174" t="s">
        <v>3968</v>
      </c>
      <c r="H174" t="s">
        <v>51</v>
      </c>
      <c r="I174" t="s">
        <v>3969</v>
      </c>
      <c r="K174" s="35">
        <v>46243</v>
      </c>
      <c r="L174" s="342">
        <f>25*Таблица7[[#This Row],[Вес нетто]]/639960</f>
        <v>0.97545159072442023</v>
      </c>
      <c r="M174">
        <v>7</v>
      </c>
      <c r="N174">
        <v>40660</v>
      </c>
      <c r="O174">
        <v>15690</v>
      </c>
      <c r="P174">
        <v>6</v>
      </c>
      <c r="Q174">
        <v>24970</v>
      </c>
      <c r="R174">
        <v>23471.8</v>
      </c>
    </row>
    <row r="175" spans="1:18">
      <c r="A175" t="s">
        <v>4053</v>
      </c>
      <c r="B175">
        <v>1132</v>
      </c>
      <c r="C175">
        <v>9732</v>
      </c>
      <c r="D175" t="s">
        <v>2511</v>
      </c>
      <c r="E175" t="s">
        <v>3984</v>
      </c>
      <c r="F175" t="s">
        <v>3985</v>
      </c>
      <c r="G175" t="s">
        <v>3968</v>
      </c>
      <c r="H175" t="s">
        <v>51</v>
      </c>
      <c r="I175" t="s">
        <v>3969</v>
      </c>
      <c r="K175" s="35">
        <v>46243</v>
      </c>
      <c r="L175" s="342">
        <f>25*Таблица7[[#This Row],[Вес нетто]]/639960</f>
        <v>0.97349834364647791</v>
      </c>
      <c r="M175">
        <v>7</v>
      </c>
      <c r="N175">
        <v>39570</v>
      </c>
      <c r="O175">
        <v>14650</v>
      </c>
      <c r="P175">
        <v>11</v>
      </c>
      <c r="Q175">
        <v>24920</v>
      </c>
      <c r="R175">
        <v>22178.799999999999</v>
      </c>
    </row>
    <row r="176" spans="1:18">
      <c r="A176" t="s">
        <v>4071</v>
      </c>
      <c r="B176">
        <v>1141</v>
      </c>
      <c r="C176">
        <v>9737</v>
      </c>
      <c r="D176" t="s">
        <v>2511</v>
      </c>
      <c r="E176" t="s">
        <v>4072</v>
      </c>
      <c r="F176" t="s">
        <v>4073</v>
      </c>
      <c r="G176" t="s">
        <v>3968</v>
      </c>
      <c r="H176" t="s">
        <v>51</v>
      </c>
      <c r="I176" t="s">
        <v>3969</v>
      </c>
      <c r="K176" s="35">
        <v>46243</v>
      </c>
      <c r="L176" s="342">
        <f>25*Таблица7[[#This Row],[Вес нетто]]/639960</f>
        <v>0.67035439714982181</v>
      </c>
      <c r="M176">
        <v>7</v>
      </c>
      <c r="N176">
        <v>31190</v>
      </c>
      <c r="O176">
        <v>14030</v>
      </c>
      <c r="P176">
        <v>13</v>
      </c>
      <c r="Q176">
        <v>17160</v>
      </c>
      <c r="R176">
        <v>14929.2</v>
      </c>
    </row>
    <row r="177" spans="1:21">
      <c r="A177" t="s">
        <v>4054</v>
      </c>
      <c r="B177">
        <v>1136</v>
      </c>
      <c r="C177">
        <v>9724</v>
      </c>
      <c r="D177" t="s">
        <v>2511</v>
      </c>
      <c r="E177" t="s">
        <v>4055</v>
      </c>
      <c r="F177" t="s">
        <v>4056</v>
      </c>
      <c r="G177" t="s">
        <v>3968</v>
      </c>
      <c r="H177" t="s">
        <v>51</v>
      </c>
      <c r="I177" t="s">
        <v>3969</v>
      </c>
      <c r="K177" s="35">
        <v>46243</v>
      </c>
      <c r="L177" s="342">
        <f>25*Таблица7[[#This Row],[Вес нетто]]/639960</f>
        <v>0.90825989124320272</v>
      </c>
      <c r="M177">
        <v>7</v>
      </c>
      <c r="N177">
        <v>41090</v>
      </c>
      <c r="O177">
        <v>17840</v>
      </c>
      <c r="P177">
        <v>13</v>
      </c>
      <c r="Q177">
        <v>23250</v>
      </c>
      <c r="R177">
        <v>20227.5</v>
      </c>
    </row>
    <row r="178" spans="1:21">
      <c r="A178" t="s">
        <v>4057</v>
      </c>
      <c r="B178">
        <v>1137</v>
      </c>
      <c r="C178">
        <v>9725</v>
      </c>
      <c r="D178" t="s">
        <v>2511</v>
      </c>
      <c r="E178" t="s">
        <v>4058</v>
      </c>
      <c r="F178" t="s">
        <v>4059</v>
      </c>
      <c r="G178" t="s">
        <v>3968</v>
      </c>
      <c r="H178" t="s">
        <v>51</v>
      </c>
      <c r="I178" t="s">
        <v>3969</v>
      </c>
      <c r="K178" s="35">
        <v>46243</v>
      </c>
      <c r="L178" s="342">
        <f>25*Таблица7[[#This Row],[Вес нетто]]/639960</f>
        <v>0.77700168760547539</v>
      </c>
      <c r="M178">
        <v>7</v>
      </c>
      <c r="N178">
        <v>35090</v>
      </c>
      <c r="O178">
        <v>15200</v>
      </c>
      <c r="P178">
        <v>13</v>
      </c>
      <c r="Q178">
        <v>19890</v>
      </c>
      <c r="R178">
        <v>17304.3</v>
      </c>
    </row>
    <row r="179" spans="1:21">
      <c r="A179" t="s">
        <v>4060</v>
      </c>
      <c r="B179">
        <v>1134</v>
      </c>
      <c r="C179">
        <v>9733</v>
      </c>
      <c r="D179" t="s">
        <v>2511</v>
      </c>
      <c r="E179" t="s">
        <v>1410</v>
      </c>
      <c r="F179" t="s">
        <v>437</v>
      </c>
      <c r="G179" t="s">
        <v>3968</v>
      </c>
      <c r="H179" t="s">
        <v>51</v>
      </c>
      <c r="I179" t="s">
        <v>3969</v>
      </c>
      <c r="K179" s="35">
        <v>46243</v>
      </c>
      <c r="L179" s="342">
        <f>25*Таблица7[[#This Row],[Вес нетто]]/639960</f>
        <v>0.94732483280205015</v>
      </c>
      <c r="M179">
        <v>7</v>
      </c>
      <c r="N179">
        <v>39140</v>
      </c>
      <c r="O179">
        <v>14890</v>
      </c>
      <c r="P179">
        <v>12</v>
      </c>
      <c r="Q179">
        <v>24250</v>
      </c>
      <c r="R179">
        <v>21340</v>
      </c>
    </row>
    <row r="180" spans="1:21">
      <c r="A180" t="s">
        <v>4061</v>
      </c>
      <c r="B180">
        <v>1135</v>
      </c>
      <c r="C180">
        <v>9734</v>
      </c>
      <c r="D180" t="s">
        <v>2511</v>
      </c>
      <c r="E180" t="s">
        <v>439</v>
      </c>
      <c r="F180" t="s">
        <v>440</v>
      </c>
      <c r="G180" t="s">
        <v>3968</v>
      </c>
      <c r="H180" t="s">
        <v>51</v>
      </c>
      <c r="I180" t="s">
        <v>3969</v>
      </c>
      <c r="K180" s="35">
        <v>46244</v>
      </c>
      <c r="L180" s="342">
        <f>24*Таблица7[[#This Row],[Вес нетто]]/276220</f>
        <v>2.0409818260806603</v>
      </c>
      <c r="M180">
        <v>8</v>
      </c>
      <c r="N180">
        <v>38390</v>
      </c>
      <c r="O180">
        <v>14900</v>
      </c>
      <c r="P180">
        <v>7</v>
      </c>
      <c r="Q180">
        <v>23490</v>
      </c>
      <c r="R180">
        <v>21845.7</v>
      </c>
    </row>
    <row r="181" spans="1:21">
      <c r="A181" t="s">
        <v>4062</v>
      </c>
      <c r="B181">
        <v>1145</v>
      </c>
      <c r="C181">
        <v>9783</v>
      </c>
      <c r="D181" t="s">
        <v>2511</v>
      </c>
      <c r="E181" t="s">
        <v>2053</v>
      </c>
      <c r="F181" t="s">
        <v>2054</v>
      </c>
      <c r="G181" t="s">
        <v>3968</v>
      </c>
      <c r="H181" t="s">
        <v>51</v>
      </c>
      <c r="I181" t="s">
        <v>3969</v>
      </c>
      <c r="K181" s="35">
        <v>46244</v>
      </c>
      <c r="L181" s="342">
        <f>24*Таблица7[[#This Row],[Вес нетто]]/276220</f>
        <v>0.55434074288610524</v>
      </c>
      <c r="M181">
        <v>8</v>
      </c>
      <c r="N181">
        <v>27670</v>
      </c>
      <c r="O181">
        <v>21290</v>
      </c>
      <c r="P181">
        <v>17</v>
      </c>
      <c r="Q181">
        <v>6380</v>
      </c>
      <c r="R181">
        <v>5295.4</v>
      </c>
      <c r="U181" t="s">
        <v>4078</v>
      </c>
    </row>
    <row r="182" spans="1:21">
      <c r="A182" t="s">
        <v>4063</v>
      </c>
      <c r="B182">
        <v>1146</v>
      </c>
      <c r="C182">
        <v>9740</v>
      </c>
      <c r="D182" t="s">
        <v>2511</v>
      </c>
      <c r="E182" t="s">
        <v>3991</v>
      </c>
      <c r="F182" t="s">
        <v>3992</v>
      </c>
      <c r="G182" t="s">
        <v>3968</v>
      </c>
      <c r="H182" t="s">
        <v>51</v>
      </c>
      <c r="I182" t="s">
        <v>3969</v>
      </c>
      <c r="K182" s="35">
        <v>46244</v>
      </c>
      <c r="L182" s="342">
        <f>24*Таблица7[[#This Row],[Вес нетто]]/276220</f>
        <v>1.9775541235247267</v>
      </c>
      <c r="M182">
        <v>8</v>
      </c>
      <c r="N182">
        <v>39220</v>
      </c>
      <c r="O182">
        <v>16460</v>
      </c>
      <c r="P182">
        <v>4</v>
      </c>
      <c r="Q182">
        <v>22760</v>
      </c>
      <c r="R182">
        <v>21849.599999999999</v>
      </c>
    </row>
    <row r="183" spans="1:21">
      <c r="A183" t="s">
        <v>4069</v>
      </c>
      <c r="B183">
        <v>1147</v>
      </c>
      <c r="C183">
        <v>9749</v>
      </c>
      <c r="D183" t="s">
        <v>2511</v>
      </c>
      <c r="E183" t="s">
        <v>4000</v>
      </c>
      <c r="F183" t="s">
        <v>4001</v>
      </c>
      <c r="G183" t="s">
        <v>3968</v>
      </c>
      <c r="H183" t="s">
        <v>51</v>
      </c>
      <c r="I183" t="s">
        <v>3969</v>
      </c>
      <c r="K183" s="35">
        <v>46244</v>
      </c>
      <c r="L183" s="342">
        <f>24*Таблица7[[#This Row],[Вес нетто]]/276220</f>
        <v>1.8915357323872275</v>
      </c>
      <c r="M183">
        <v>8</v>
      </c>
      <c r="N183">
        <v>38180</v>
      </c>
      <c r="O183">
        <v>16410</v>
      </c>
      <c r="P183">
        <v>6</v>
      </c>
      <c r="Q183">
        <v>21770</v>
      </c>
      <c r="R183">
        <v>20463.8</v>
      </c>
    </row>
    <row r="184" spans="1:21">
      <c r="A184" t="s">
        <v>4070</v>
      </c>
      <c r="B184">
        <v>1148</v>
      </c>
      <c r="C184">
        <v>9751</v>
      </c>
      <c r="D184" t="s">
        <v>2511</v>
      </c>
      <c r="E184" t="s">
        <v>3997</v>
      </c>
      <c r="F184" t="s">
        <v>3998</v>
      </c>
      <c r="G184" t="s">
        <v>3968</v>
      </c>
      <c r="H184" t="s">
        <v>51</v>
      </c>
      <c r="I184" t="s">
        <v>3969</v>
      </c>
      <c r="K184" s="35">
        <v>46244</v>
      </c>
      <c r="L184" s="342">
        <f>24*Таблица7[[#This Row],[Вес нетто]]/276220</f>
        <v>2.1678372311925278</v>
      </c>
      <c r="M184">
        <v>8</v>
      </c>
      <c r="N184">
        <v>41630</v>
      </c>
      <c r="O184">
        <v>16680</v>
      </c>
      <c r="P184">
        <v>10</v>
      </c>
      <c r="Q184">
        <v>24950</v>
      </c>
      <c r="R184">
        <v>22455</v>
      </c>
    </row>
    <row r="185" spans="1:21">
      <c r="A185" t="s">
        <v>4064</v>
      </c>
      <c r="B185">
        <v>1138</v>
      </c>
      <c r="C185">
        <v>9735</v>
      </c>
      <c r="D185" t="s">
        <v>2511</v>
      </c>
      <c r="E185" t="s">
        <v>372</v>
      </c>
      <c r="F185" t="s">
        <v>373</v>
      </c>
      <c r="G185" t="s">
        <v>3968</v>
      </c>
      <c r="H185" t="s">
        <v>51</v>
      </c>
      <c r="I185" t="s">
        <v>3969</v>
      </c>
      <c r="K185" s="35">
        <v>46244</v>
      </c>
      <c r="L185" s="342">
        <f>24*Таблица7[[#This Row],[Вес нетто]]/276220</f>
        <v>2.0861632032437911</v>
      </c>
      <c r="M185">
        <v>8</v>
      </c>
      <c r="N185">
        <v>39160</v>
      </c>
      <c r="O185">
        <v>15150</v>
      </c>
      <c r="P185">
        <v>9</v>
      </c>
      <c r="Q185">
        <v>24010</v>
      </c>
      <c r="R185">
        <v>21849.1</v>
      </c>
    </row>
    <row r="186" spans="1:21">
      <c r="A186" t="s">
        <v>4065</v>
      </c>
      <c r="B186">
        <v>1140</v>
      </c>
      <c r="C186">
        <v>9736</v>
      </c>
      <c r="D186" t="s">
        <v>2511</v>
      </c>
      <c r="E186" t="s">
        <v>3988</v>
      </c>
      <c r="F186" t="s">
        <v>859</v>
      </c>
      <c r="G186" t="s">
        <v>3968</v>
      </c>
      <c r="H186" t="s">
        <v>51</v>
      </c>
      <c r="I186" t="s">
        <v>3969</v>
      </c>
      <c r="K186" s="35">
        <v>46244</v>
      </c>
      <c r="L186" s="342">
        <f>24*Таблица7[[#This Row],[Вес нетто]]/276220</f>
        <v>2.2182318441821738</v>
      </c>
      <c r="M186">
        <v>8</v>
      </c>
      <c r="N186">
        <v>39750</v>
      </c>
      <c r="O186">
        <v>14220</v>
      </c>
      <c r="P186">
        <v>9</v>
      </c>
      <c r="Q186">
        <v>25530</v>
      </c>
      <c r="R186">
        <v>23232.3</v>
      </c>
    </row>
    <row r="187" spans="1:21">
      <c r="A187" t="s">
        <v>4066</v>
      </c>
      <c r="B187">
        <v>1142</v>
      </c>
      <c r="C187">
        <v>9738</v>
      </c>
      <c r="D187" t="s">
        <v>2511</v>
      </c>
      <c r="E187" t="s">
        <v>377</v>
      </c>
      <c r="F187" t="s">
        <v>378</v>
      </c>
      <c r="G187" t="s">
        <v>3968</v>
      </c>
      <c r="H187" t="s">
        <v>51</v>
      </c>
      <c r="I187" t="s">
        <v>3969</v>
      </c>
      <c r="K187" s="35">
        <v>46244</v>
      </c>
      <c r="L187" s="342">
        <f>24*Таблица7[[#This Row],[Вес нетто]]/276220</f>
        <v>2.2356092969372239</v>
      </c>
      <c r="M187">
        <v>8</v>
      </c>
      <c r="N187">
        <v>40840</v>
      </c>
      <c r="O187">
        <v>15110</v>
      </c>
      <c r="P187">
        <v>13</v>
      </c>
      <c r="Q187">
        <v>25730</v>
      </c>
      <c r="R187">
        <v>22385.1</v>
      </c>
    </row>
    <row r="188" spans="1:21">
      <c r="A188" t="s">
        <v>4074</v>
      </c>
      <c r="B188">
        <v>1149</v>
      </c>
      <c r="C188">
        <v>9753</v>
      </c>
      <c r="D188" t="s">
        <v>2511</v>
      </c>
      <c r="E188" t="s">
        <v>4006</v>
      </c>
      <c r="F188" t="s">
        <v>4007</v>
      </c>
      <c r="G188" t="s">
        <v>3968</v>
      </c>
      <c r="H188" t="s">
        <v>51</v>
      </c>
      <c r="I188" t="s">
        <v>3969</v>
      </c>
      <c r="K188" s="35">
        <v>46244</v>
      </c>
      <c r="L188" s="342">
        <f>24*Таблица7[[#This Row],[Вес нетто]]/276220</f>
        <v>2.5032220693649987</v>
      </c>
      <c r="M188">
        <v>8</v>
      </c>
      <c r="N188">
        <v>45680</v>
      </c>
      <c r="O188">
        <v>16870</v>
      </c>
      <c r="P188">
        <v>10</v>
      </c>
      <c r="Q188">
        <v>28810</v>
      </c>
      <c r="R188">
        <v>25929</v>
      </c>
    </row>
    <row r="189" spans="1:21">
      <c r="A189" t="s">
        <v>4075</v>
      </c>
      <c r="B189">
        <v>1150</v>
      </c>
      <c r="C189">
        <v>9760</v>
      </c>
      <c r="D189" t="s">
        <v>2511</v>
      </c>
      <c r="E189" t="s">
        <v>4076</v>
      </c>
      <c r="F189" t="s">
        <v>4077</v>
      </c>
      <c r="G189" t="s">
        <v>3968</v>
      </c>
      <c r="H189" t="s">
        <v>51</v>
      </c>
      <c r="I189" t="s">
        <v>3969</v>
      </c>
      <c r="K189" s="35">
        <v>46244</v>
      </c>
      <c r="L189" s="342">
        <f>24*Таблица7[[#This Row],[Вес нетто]]/276220</f>
        <v>2.0149156469480847</v>
      </c>
      <c r="M189">
        <v>8</v>
      </c>
      <c r="N189">
        <v>38920</v>
      </c>
      <c r="O189">
        <v>15730</v>
      </c>
      <c r="P189">
        <v>5</v>
      </c>
      <c r="Q189">
        <v>23190</v>
      </c>
      <c r="R189">
        <v>22030.5</v>
      </c>
    </row>
    <row r="190" spans="1:21">
      <c r="A190" t="s">
        <v>4067</v>
      </c>
      <c r="B190">
        <v>1143</v>
      </c>
      <c r="C190">
        <v>9739</v>
      </c>
      <c r="D190" t="s">
        <v>2511</v>
      </c>
      <c r="E190" t="s">
        <v>3980</v>
      </c>
      <c r="F190" t="s">
        <v>3981</v>
      </c>
      <c r="G190" t="s">
        <v>3968</v>
      </c>
      <c r="H190" t="s">
        <v>51</v>
      </c>
      <c r="I190" t="s">
        <v>3969</v>
      </c>
      <c r="K190" s="35">
        <v>46244</v>
      </c>
      <c r="L190" s="342">
        <f>24*Таблица7[[#This Row],[Вес нетто]]/276220</f>
        <v>2.2442980233147489</v>
      </c>
      <c r="M190">
        <v>8</v>
      </c>
      <c r="N190">
        <v>42510</v>
      </c>
      <c r="O190">
        <v>16680</v>
      </c>
      <c r="P190">
        <v>6</v>
      </c>
      <c r="Q190">
        <v>25830</v>
      </c>
      <c r="R190">
        <v>24280.2</v>
      </c>
    </row>
    <row r="191" spans="1:21">
      <c r="A191" t="s">
        <v>4068</v>
      </c>
      <c r="B191">
        <v>1144</v>
      </c>
      <c r="C191">
        <v>9741</v>
      </c>
      <c r="D191" t="s">
        <v>2511</v>
      </c>
      <c r="E191" t="s">
        <v>382</v>
      </c>
      <c r="F191" t="s">
        <v>383</v>
      </c>
      <c r="G191" t="s">
        <v>3968</v>
      </c>
      <c r="H191" t="s">
        <v>51</v>
      </c>
      <c r="I191" t="s">
        <v>3969</v>
      </c>
      <c r="K191" s="35">
        <v>46244</v>
      </c>
      <c r="L191" s="342">
        <f>24*Таблица7[[#This Row],[Вес нетто]]/276220</f>
        <v>2.0653102599377307</v>
      </c>
      <c r="M191">
        <v>8</v>
      </c>
      <c r="N191">
        <v>38120</v>
      </c>
      <c r="O191">
        <v>14350</v>
      </c>
      <c r="P191">
        <v>14</v>
      </c>
      <c r="Q191">
        <v>23770</v>
      </c>
      <c r="R191">
        <v>20442.2</v>
      </c>
    </row>
    <row r="192" spans="1:21">
      <c r="L192" s="61">
        <f>SUBTOTAL(109,Таблица7[Площадь уборки, га])</f>
        <v>207.99999999999989</v>
      </c>
      <c r="Q192">
        <f>SUBTOTAL(109,Таблица7[Вес нетто])</f>
        <v>3980490</v>
      </c>
      <c r="R192">
        <f>SUBTOTAL(109,Таблица7[Зачетный вес])</f>
        <v>3664080.0000000005</v>
      </c>
    </row>
  </sheetData>
  <pageMargins left="0.7" right="0.7" top="0.75" bottom="0.75" header="0.3" footer="0.3"/>
  <ignoredErrors>
    <ignoredError sqref="L2:M16 L18:M35 M17 L41:M57 M40 L38:M39 M36:M37 M60:M68 M58:M59 L70:M97 M69 L98:M98 K193:K1048576 K1:K98 L99:M116 K99:K116 L60:L68 L58:L59 L69 L117:M191 K117:K191" calculatedColumn="1"/>
  </ignoredErrors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84982-FE62-4020-8A28-29777A17EC3E}">
  <sheetPr>
    <tabColor theme="1" tint="0.499984740745262"/>
    <pageSetUpPr fitToPage="1"/>
  </sheetPr>
  <dimension ref="B2:U44"/>
  <sheetViews>
    <sheetView topLeftCell="B1" zoomScale="70" zoomScaleNormal="70" workbookViewId="0">
      <selection activeCell="I14" sqref="I14"/>
    </sheetView>
  </sheetViews>
  <sheetFormatPr defaultColWidth="9.140625" defaultRowHeight="14.25" outlineLevelCol="1"/>
  <cols>
    <col min="1" max="1" width="3.28515625" style="5" customWidth="1"/>
    <col min="2" max="2" width="46.28515625" style="5" customWidth="1"/>
    <col min="3" max="5" width="13.5703125" style="5" customWidth="1"/>
    <col min="6" max="6" width="25.85546875" style="5" customWidth="1"/>
    <col min="7" max="8" width="13.5703125" style="5" customWidth="1"/>
    <col min="9" max="9" width="21.28515625" style="5" customWidth="1"/>
    <col min="10" max="10" width="19.42578125" style="5" customWidth="1"/>
    <col min="11" max="11" width="23.7109375" style="5" customWidth="1" outlineLevel="1"/>
    <col min="12" max="12" width="16.28515625" style="5" customWidth="1" outlineLevel="1"/>
    <col min="13" max="13" width="15.7109375" style="5" customWidth="1" outlineLevel="1"/>
    <col min="14" max="14" width="11.28515625" style="9" customWidth="1" outlineLevel="1"/>
    <col min="15" max="15" width="11.140625" style="5" customWidth="1"/>
    <col min="16" max="16" width="20.5703125" style="5" hidden="1" customWidth="1" outlineLevel="1"/>
    <col min="17" max="17" width="17.5703125" style="5" hidden="1" customWidth="1" outlineLevel="1"/>
    <col min="18" max="18" width="15.5703125" style="5" customWidth="1" collapsed="1"/>
    <col min="19" max="19" width="17.5703125" style="5" customWidth="1"/>
    <col min="20" max="20" width="88.7109375" style="5" customWidth="1"/>
    <col min="21" max="22" width="14.42578125" style="5" bestFit="1" customWidth="1"/>
    <col min="23" max="16384" width="9.140625" style="5"/>
  </cols>
  <sheetData>
    <row r="2" spans="2:20" ht="60" customHeight="1">
      <c r="B2" s="366" t="s">
        <v>2447</v>
      </c>
      <c r="C2" s="361"/>
      <c r="D2" s="361"/>
      <c r="E2" s="361"/>
      <c r="F2" s="361"/>
      <c r="G2" s="361"/>
      <c r="H2" s="361"/>
      <c r="I2" s="361"/>
      <c r="J2" s="361"/>
      <c r="K2" s="361"/>
      <c r="L2" s="361"/>
      <c r="M2" s="361"/>
      <c r="N2" s="361"/>
      <c r="O2" s="361"/>
      <c r="P2" s="361"/>
      <c r="Q2" s="361"/>
      <c r="R2" s="361"/>
      <c r="S2" s="62"/>
    </row>
    <row r="3" spans="2:20" ht="75">
      <c r="H3" s="6"/>
      <c r="I3" s="6"/>
      <c r="J3" s="291" t="s">
        <v>262</v>
      </c>
      <c r="K3" s="291" t="s">
        <v>24</v>
      </c>
      <c r="L3" s="291" t="s">
        <v>26</v>
      </c>
      <c r="M3" s="291" t="s">
        <v>28</v>
      </c>
      <c r="N3" s="291" t="s">
        <v>19</v>
      </c>
      <c r="O3" s="291" t="s">
        <v>13</v>
      </c>
      <c r="P3" s="291" t="s">
        <v>204</v>
      </c>
      <c r="Q3" s="291" t="s">
        <v>205</v>
      </c>
      <c r="R3" s="291" t="s">
        <v>269</v>
      </c>
      <c r="S3" s="291" t="s">
        <v>206</v>
      </c>
      <c r="T3" s="292"/>
    </row>
    <row r="4" spans="2:20" ht="20.45" customHeight="1">
      <c r="B4" s="7" t="s">
        <v>0</v>
      </c>
      <c r="C4" s="8" t="s">
        <v>1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338</v>
      </c>
      <c r="J4" s="293">
        <v>45934</v>
      </c>
      <c r="K4" s="293" t="s">
        <v>958</v>
      </c>
      <c r="L4" s="294">
        <v>51.4</v>
      </c>
      <c r="M4" s="294" t="s">
        <v>51</v>
      </c>
      <c r="N4" s="295">
        <v>21</v>
      </c>
      <c r="O4" s="294">
        <v>51.4</v>
      </c>
      <c r="P4" s="296"/>
      <c r="Q4" s="297"/>
      <c r="R4" s="296">
        <v>579450</v>
      </c>
      <c r="S4" s="298">
        <f>IFERROR(R4/O4/100, "-")</f>
        <v>112.73346303501945</v>
      </c>
      <c r="T4" s="281"/>
    </row>
    <row r="5" spans="2:20" s="9" customFormat="1" ht="20.45" customHeight="1">
      <c r="B5" s="11" t="s">
        <v>6</v>
      </c>
      <c r="C5" s="12"/>
      <c r="D5" s="12"/>
      <c r="E5" s="12"/>
      <c r="F5" s="12"/>
      <c r="G5" s="12"/>
      <c r="H5" s="12">
        <f>J4</f>
        <v>45934</v>
      </c>
      <c r="J5" s="293"/>
      <c r="K5" s="293" t="s">
        <v>960</v>
      </c>
      <c r="L5" s="294">
        <v>51.5</v>
      </c>
      <c r="M5" s="294" t="s">
        <v>51</v>
      </c>
      <c r="N5" s="295">
        <v>8</v>
      </c>
      <c r="O5" s="294">
        <v>14.3</v>
      </c>
      <c r="P5" s="296"/>
      <c r="Q5" s="297"/>
      <c r="R5" s="296">
        <v>222250</v>
      </c>
      <c r="S5" s="298">
        <f t="shared" ref="S5:S12" si="0">IFERROR(R5/O5/100, "-")</f>
        <v>155.41958041958043</v>
      </c>
      <c r="T5" s="251"/>
    </row>
    <row r="6" spans="2:20" ht="20.45" customHeight="1">
      <c r="B6" s="11" t="s">
        <v>7</v>
      </c>
      <c r="C6" s="12"/>
      <c r="D6" s="12"/>
      <c r="E6" s="12"/>
      <c r="F6" s="12"/>
      <c r="G6" s="12"/>
      <c r="H6" s="12">
        <f>J27</f>
        <v>45953</v>
      </c>
      <c r="J6" s="293">
        <v>45935</v>
      </c>
      <c r="K6" s="293" t="s">
        <v>962</v>
      </c>
      <c r="L6" s="294">
        <v>44.8</v>
      </c>
      <c r="M6" s="294" t="s">
        <v>42</v>
      </c>
      <c r="N6" s="295">
        <v>3</v>
      </c>
      <c r="O6" s="294">
        <v>10.7</v>
      </c>
      <c r="P6" s="296"/>
      <c r="Q6" s="297"/>
      <c r="R6" s="296">
        <v>70250</v>
      </c>
      <c r="S6" s="298">
        <f t="shared" si="0"/>
        <v>65.654205607476641</v>
      </c>
      <c r="T6" s="251"/>
    </row>
    <row r="7" spans="2:20" ht="20.45" customHeight="1">
      <c r="B7" s="11" t="s">
        <v>8</v>
      </c>
      <c r="C7" s="19"/>
      <c r="D7" s="19"/>
      <c r="E7" s="19"/>
      <c r="F7" s="19"/>
      <c r="G7" s="19"/>
      <c r="H7" s="19">
        <f>IF(H6=0,"-",H6-H5+1)</f>
        <v>20</v>
      </c>
      <c r="J7" s="293"/>
      <c r="K7" s="293" t="s">
        <v>962</v>
      </c>
      <c r="L7" s="294">
        <v>32.299999999999997</v>
      </c>
      <c r="M7" s="294" t="s">
        <v>971</v>
      </c>
      <c r="N7" s="295">
        <v>18</v>
      </c>
      <c r="O7" s="294">
        <v>32.299999999999997</v>
      </c>
      <c r="P7" s="296"/>
      <c r="Q7" s="297"/>
      <c r="R7" s="296">
        <v>511670</v>
      </c>
      <c r="S7" s="298">
        <f t="shared" si="0"/>
        <v>158.41176470588235</v>
      </c>
      <c r="T7" s="292"/>
    </row>
    <row r="8" spans="2:20" ht="20.45" customHeight="1">
      <c r="B8" s="11" t="s">
        <v>9</v>
      </c>
      <c r="C8" s="19"/>
      <c r="D8" s="19"/>
      <c r="E8" s="19"/>
      <c r="F8" s="19"/>
      <c r="G8" s="19"/>
      <c r="H8" s="19">
        <v>12</v>
      </c>
      <c r="J8" s="293">
        <v>45936</v>
      </c>
      <c r="K8" s="293"/>
      <c r="L8" s="294"/>
      <c r="M8" s="294"/>
      <c r="N8" s="295"/>
      <c r="O8" s="294"/>
      <c r="P8" s="296"/>
      <c r="Q8" s="297"/>
      <c r="R8" s="296"/>
      <c r="S8" s="298"/>
      <c r="T8" s="292"/>
    </row>
    <row r="9" spans="2:20" ht="20.45" customHeight="1">
      <c r="B9" s="11" t="s">
        <v>10</v>
      </c>
      <c r="C9" s="20"/>
      <c r="D9" s="20"/>
      <c r="E9" s="20"/>
      <c r="F9" s="20"/>
      <c r="G9" s="20"/>
      <c r="H9" s="20" t="s">
        <v>312</v>
      </c>
      <c r="J9" s="293">
        <v>45937</v>
      </c>
      <c r="K9" s="293" t="s">
        <v>960</v>
      </c>
      <c r="L9" s="294">
        <v>51.5</v>
      </c>
      <c r="M9" s="294" t="s">
        <v>51</v>
      </c>
      <c r="N9" s="295">
        <v>21</v>
      </c>
      <c r="O9" s="294">
        <v>37.200000000000003</v>
      </c>
      <c r="P9" s="296"/>
      <c r="Q9" s="297"/>
      <c r="R9" s="296">
        <v>576870</v>
      </c>
      <c r="S9" s="298">
        <f t="shared" si="0"/>
        <v>155.07258064516128</v>
      </c>
      <c r="T9" s="299"/>
    </row>
    <row r="10" spans="2:20" ht="20.45" customHeight="1">
      <c r="B10" s="11" t="s">
        <v>11</v>
      </c>
      <c r="C10" s="34"/>
      <c r="D10" s="34"/>
      <c r="E10" s="34"/>
      <c r="F10" s="34"/>
      <c r="G10" s="34"/>
      <c r="H10" s="34">
        <f>R28/1000</f>
        <v>3223.16</v>
      </c>
      <c r="J10" s="293"/>
      <c r="K10" s="293" t="s">
        <v>962</v>
      </c>
      <c r="L10" s="294">
        <v>44.8</v>
      </c>
      <c r="M10" s="294" t="s">
        <v>42</v>
      </c>
      <c r="N10" s="295">
        <v>4</v>
      </c>
      <c r="O10" s="294">
        <v>14.7</v>
      </c>
      <c r="P10" s="296"/>
      <c r="Q10" s="297"/>
      <c r="R10" s="296">
        <v>96630</v>
      </c>
      <c r="S10" s="298">
        <f t="shared" si="0"/>
        <v>65.734693877551024</v>
      </c>
      <c r="T10" s="299"/>
    </row>
    <row r="11" spans="2:20" ht="20.45" customHeight="1">
      <c r="B11" s="11" t="s">
        <v>12</v>
      </c>
      <c r="C11" s="22"/>
      <c r="D11" s="22"/>
      <c r="E11" s="22"/>
      <c r="F11" s="22"/>
      <c r="G11" s="140"/>
      <c r="H11" s="140">
        <v>268</v>
      </c>
      <c r="I11" s="259" t="s">
        <v>2448</v>
      </c>
      <c r="J11" s="293">
        <v>45938</v>
      </c>
      <c r="K11" s="293" t="s">
        <v>962</v>
      </c>
      <c r="L11" s="294">
        <v>44.8</v>
      </c>
      <c r="M11" s="294" t="s">
        <v>42</v>
      </c>
      <c r="N11" s="295">
        <v>5</v>
      </c>
      <c r="O11" s="294">
        <v>19.399999999999999</v>
      </c>
      <c r="P11" s="296"/>
      <c r="Q11" s="297"/>
      <c r="R11" s="296">
        <v>127610</v>
      </c>
      <c r="S11" s="298">
        <v>129.50588235294117</v>
      </c>
      <c r="T11" s="277"/>
    </row>
    <row r="12" spans="2:20" ht="20.45" customHeight="1">
      <c r="B12" s="11" t="s">
        <v>13</v>
      </c>
      <c r="C12" s="22"/>
      <c r="D12" s="22"/>
      <c r="E12" s="22"/>
      <c r="F12" s="22"/>
      <c r="G12" s="22"/>
      <c r="H12" s="140">
        <f>O28</f>
        <v>268</v>
      </c>
      <c r="J12" s="293"/>
      <c r="K12" s="293"/>
      <c r="L12" s="294"/>
      <c r="M12" s="294" t="s">
        <v>42</v>
      </c>
      <c r="N12" s="295">
        <v>13</v>
      </c>
      <c r="O12" s="294">
        <v>7.6</v>
      </c>
      <c r="P12" s="296"/>
      <c r="Q12" s="297"/>
      <c r="R12" s="300">
        <v>312710</v>
      </c>
      <c r="S12" s="298">
        <f t="shared" si="0"/>
        <v>411.46052631578948</v>
      </c>
      <c r="T12" s="277" t="s">
        <v>207</v>
      </c>
    </row>
    <row r="13" spans="2:20" ht="20.45" customHeight="1">
      <c r="B13" s="11" t="s">
        <v>14</v>
      </c>
      <c r="C13" s="23"/>
      <c r="D13" s="23"/>
      <c r="E13" s="23"/>
      <c r="F13" s="23"/>
      <c r="G13" s="23"/>
      <c r="H13" s="23">
        <f>IFERROR(H10/H12*10,0)</f>
        <v>120.26716417910448</v>
      </c>
      <c r="J13" s="293">
        <v>45939</v>
      </c>
      <c r="K13" s="293"/>
      <c r="L13" s="294"/>
      <c r="M13" s="294"/>
      <c r="N13" s="295"/>
      <c r="O13" s="294"/>
      <c r="P13" s="296"/>
      <c r="Q13" s="297"/>
      <c r="R13" s="300"/>
      <c r="S13" s="298"/>
      <c r="T13" s="277"/>
    </row>
    <row r="14" spans="2:20" ht="20.45" customHeight="1">
      <c r="B14" s="11"/>
      <c r="C14" s="24"/>
      <c r="D14" s="24"/>
      <c r="E14" s="24"/>
      <c r="F14" s="24"/>
      <c r="G14" s="24"/>
      <c r="J14" s="293">
        <v>45940</v>
      </c>
      <c r="K14" s="293"/>
      <c r="L14" s="294"/>
      <c r="M14" s="294"/>
      <c r="N14" s="295"/>
      <c r="O14" s="294"/>
      <c r="P14" s="296"/>
      <c r="Q14" s="297"/>
      <c r="R14" s="300"/>
      <c r="S14" s="298"/>
      <c r="T14" s="292"/>
    </row>
    <row r="15" spans="2:20" ht="20.45" customHeight="1">
      <c r="J15" s="293">
        <v>45941</v>
      </c>
      <c r="K15" s="293" t="s">
        <v>960</v>
      </c>
      <c r="L15" s="294"/>
      <c r="M15" s="294" t="s">
        <v>51</v>
      </c>
      <c r="N15" s="295">
        <v>7</v>
      </c>
      <c r="O15" s="294">
        <v>15.4</v>
      </c>
      <c r="P15" s="296"/>
      <c r="Q15" s="297"/>
      <c r="R15" s="300">
        <v>129140</v>
      </c>
      <c r="S15" s="298">
        <f>IFERROR(R15/O15/100, "-")</f>
        <v>83.857142857142861</v>
      </c>
      <c r="T15" s="277" t="s">
        <v>207</v>
      </c>
    </row>
    <row r="16" spans="2:20" ht="18">
      <c r="B16" s="27" t="s">
        <v>339</v>
      </c>
      <c r="C16" s="28"/>
      <c r="D16" s="28"/>
      <c r="E16" s="28"/>
      <c r="J16" s="293">
        <v>45942</v>
      </c>
      <c r="K16" s="293"/>
      <c r="L16" s="294"/>
      <c r="M16" s="294"/>
      <c r="N16" s="295"/>
      <c r="O16" s="294"/>
      <c r="P16" s="296"/>
      <c r="Q16" s="297"/>
      <c r="R16" s="300"/>
      <c r="S16" s="298"/>
      <c r="T16" s="292"/>
    </row>
    <row r="17" spans="2:21" ht="15">
      <c r="B17" s="11" t="s">
        <v>16</v>
      </c>
      <c r="C17" s="34">
        <f>C25+C31</f>
        <v>4824</v>
      </c>
      <c r="D17" s="166">
        <f>C17/E17</f>
        <v>18</v>
      </c>
      <c r="E17" s="138">
        <f>E25+E31</f>
        <v>268</v>
      </c>
      <c r="J17" s="293">
        <v>45943</v>
      </c>
      <c r="K17" s="293" t="s">
        <v>960</v>
      </c>
      <c r="L17" s="294"/>
      <c r="M17" s="294" t="s">
        <v>51</v>
      </c>
      <c r="N17" s="295">
        <v>1</v>
      </c>
      <c r="O17" s="294">
        <v>2.5</v>
      </c>
      <c r="P17" s="296"/>
      <c r="Q17" s="297"/>
      <c r="R17" s="300">
        <v>20910</v>
      </c>
      <c r="S17" s="298">
        <f t="shared" ref="S17:S27" si="1">IFERROR(R17/O17/100, "-")</f>
        <v>83.64</v>
      </c>
      <c r="T17" s="292"/>
    </row>
    <row r="18" spans="2:21" ht="15">
      <c r="B18" s="120" t="s">
        <v>17</v>
      </c>
      <c r="C18" s="69">
        <f>R28/1000</f>
        <v>3223.16</v>
      </c>
      <c r="D18" s="167">
        <f>IFERROR(C18/E18,)</f>
        <v>12.026716417910448</v>
      </c>
      <c r="E18" s="122">
        <f>O28</f>
        <v>268</v>
      </c>
      <c r="J18" s="293">
        <v>45944</v>
      </c>
      <c r="K18" s="293"/>
      <c r="L18" s="294"/>
      <c r="M18" s="294"/>
      <c r="N18" s="295"/>
      <c r="O18" s="294"/>
      <c r="P18" s="296"/>
      <c r="Q18" s="297"/>
      <c r="R18" s="300"/>
      <c r="S18" s="298" t="str">
        <f t="shared" si="1"/>
        <v>-</v>
      </c>
      <c r="T18" s="292"/>
    </row>
    <row r="19" spans="2:21" ht="15">
      <c r="B19" s="11" t="s">
        <v>179</v>
      </c>
      <c r="C19" s="2">
        <f>C18/C17</f>
        <v>0.66815091210613597</v>
      </c>
      <c r="D19" s="1"/>
      <c r="E19" s="138"/>
      <c r="J19" s="293">
        <v>45945</v>
      </c>
      <c r="K19" s="293"/>
      <c r="L19" s="294"/>
      <c r="M19" s="294"/>
      <c r="N19" s="295"/>
      <c r="O19" s="294"/>
      <c r="P19" s="296"/>
      <c r="Q19" s="297"/>
      <c r="R19" s="300"/>
      <c r="S19" s="298" t="str">
        <f t="shared" si="1"/>
        <v>-</v>
      </c>
      <c r="T19" s="277"/>
    </row>
    <row r="20" spans="2:21" ht="15">
      <c r="B20" s="11" t="s">
        <v>180</v>
      </c>
      <c r="C20" s="2">
        <f>IFERROR(E18/E17, )</f>
        <v>1</v>
      </c>
      <c r="J20" s="293">
        <v>45946</v>
      </c>
      <c r="K20" s="293"/>
      <c r="L20" s="294"/>
      <c r="M20" s="294"/>
      <c r="N20" s="295"/>
      <c r="O20" s="294"/>
      <c r="P20" s="296"/>
      <c r="Q20" s="297"/>
      <c r="R20" s="300"/>
      <c r="S20" s="298" t="str">
        <f t="shared" si="1"/>
        <v>-</v>
      </c>
      <c r="T20" s="277"/>
    </row>
    <row r="21" spans="2:21" ht="17.45" customHeight="1">
      <c r="B21" s="11"/>
      <c r="C21" s="2"/>
      <c r="E21" s="139"/>
      <c r="F21" s="363"/>
      <c r="G21" s="363"/>
      <c r="J21" s="293">
        <v>45947</v>
      </c>
      <c r="K21" s="293" t="s">
        <v>962</v>
      </c>
      <c r="L21" s="294"/>
      <c r="M21" s="294" t="s">
        <v>51</v>
      </c>
      <c r="N21" s="295">
        <v>1</v>
      </c>
      <c r="O21" s="294">
        <v>2.8</v>
      </c>
      <c r="P21" s="296"/>
      <c r="Q21" s="297"/>
      <c r="R21" s="300">
        <v>23420</v>
      </c>
      <c r="S21" s="298">
        <f t="shared" si="1"/>
        <v>83.642857142857153</v>
      </c>
      <c r="T21" s="277" t="s">
        <v>207</v>
      </c>
      <c r="U21" s="80"/>
    </row>
    <row r="22" spans="2:21" ht="17.45" customHeight="1">
      <c r="B22" s="11"/>
      <c r="C22" s="2"/>
      <c r="G22" s="3"/>
      <c r="J22" s="293">
        <v>45948</v>
      </c>
      <c r="K22" s="293" t="s">
        <v>962</v>
      </c>
      <c r="L22" s="294"/>
      <c r="M22" s="294" t="s">
        <v>51</v>
      </c>
      <c r="N22" s="295">
        <v>3</v>
      </c>
      <c r="O22" s="294">
        <v>7.7</v>
      </c>
      <c r="P22" s="296"/>
      <c r="Q22" s="297"/>
      <c r="R22" s="300">
        <v>64220</v>
      </c>
      <c r="S22" s="298">
        <f t="shared" si="1"/>
        <v>83.402597402597408</v>
      </c>
      <c r="T22" s="277" t="s">
        <v>207</v>
      </c>
      <c r="U22" s="80"/>
    </row>
    <row r="23" spans="2:21" ht="17.45" customHeight="1">
      <c r="B23" s="78" t="s">
        <v>1975</v>
      </c>
      <c r="C23" s="2"/>
      <c r="G23" s="3"/>
      <c r="J23" s="293">
        <v>45949</v>
      </c>
      <c r="K23" s="293" t="s">
        <v>962</v>
      </c>
      <c r="L23" s="294"/>
      <c r="M23" s="294" t="s">
        <v>51</v>
      </c>
      <c r="N23" s="295">
        <v>3</v>
      </c>
      <c r="O23" s="294">
        <v>9.6</v>
      </c>
      <c r="P23" s="296"/>
      <c r="Q23" s="297"/>
      <c r="R23" s="300">
        <v>80530</v>
      </c>
      <c r="S23" s="298">
        <f t="shared" si="1"/>
        <v>83.885416666666686</v>
      </c>
      <c r="T23" s="277" t="s">
        <v>207</v>
      </c>
      <c r="U23" s="80"/>
    </row>
    <row r="24" spans="2:21" ht="17.45" customHeight="1">
      <c r="B24" s="249" t="s">
        <v>1010</v>
      </c>
      <c r="C24" s="247"/>
      <c r="D24" s="248"/>
      <c r="E24" s="248"/>
      <c r="G24" s="3"/>
      <c r="J24" s="293">
        <v>45950</v>
      </c>
      <c r="K24" s="293" t="s">
        <v>962</v>
      </c>
      <c r="L24" s="294"/>
      <c r="M24" s="294" t="s">
        <v>51</v>
      </c>
      <c r="N24" s="295">
        <v>6</v>
      </c>
      <c r="O24" s="294">
        <v>18.899999999999999</v>
      </c>
      <c r="P24" s="296"/>
      <c r="Q24" s="297"/>
      <c r="R24" s="300">
        <v>157930</v>
      </c>
      <c r="S24" s="298">
        <f t="shared" si="1"/>
        <v>83.560846560846571</v>
      </c>
      <c r="T24" s="277" t="s">
        <v>207</v>
      </c>
      <c r="U24" s="80"/>
    </row>
    <row r="25" spans="2:21" ht="17.45" customHeight="1">
      <c r="B25" s="11" t="s">
        <v>16</v>
      </c>
      <c r="C25" s="34">
        <v>3240</v>
      </c>
      <c r="D25" s="166">
        <f>C25/E25</f>
        <v>18</v>
      </c>
      <c r="E25" s="138">
        <v>180</v>
      </c>
      <c r="G25" s="3"/>
      <c r="J25" s="293">
        <v>45951</v>
      </c>
      <c r="K25" s="293"/>
      <c r="L25" s="294"/>
      <c r="M25" s="294"/>
      <c r="N25" s="295"/>
      <c r="O25" s="294"/>
      <c r="P25" s="296"/>
      <c r="Q25" s="297"/>
      <c r="R25" s="300"/>
      <c r="S25" s="298"/>
      <c r="T25" s="277"/>
      <c r="U25" s="80"/>
    </row>
    <row r="26" spans="2:21" ht="17.45" customHeight="1">
      <c r="B26" s="120" t="s">
        <v>17</v>
      </c>
      <c r="C26" s="69">
        <f>SUM(R4:R11)/1000</f>
        <v>2184.73</v>
      </c>
      <c r="D26" s="167">
        <f>IFERROR(C26/E26,)</f>
        <v>12.137388888888889</v>
      </c>
      <c r="E26" s="122">
        <f>SUM(O4:Q11)</f>
        <v>180</v>
      </c>
      <c r="G26" s="3"/>
      <c r="J26" s="293">
        <v>45952</v>
      </c>
      <c r="K26" s="293" t="s">
        <v>962</v>
      </c>
      <c r="L26" s="294"/>
      <c r="M26" s="294" t="s">
        <v>51</v>
      </c>
      <c r="N26" s="295">
        <v>7</v>
      </c>
      <c r="O26" s="294">
        <v>21.8</v>
      </c>
      <c r="P26" s="296"/>
      <c r="Q26" s="297"/>
      <c r="R26" s="300">
        <v>181920</v>
      </c>
      <c r="S26" s="298">
        <f t="shared" si="1"/>
        <v>83.449541284403665</v>
      </c>
      <c r="T26" s="277" t="s">
        <v>207</v>
      </c>
      <c r="U26" s="80"/>
    </row>
    <row r="27" spans="2:21" ht="17.45" customHeight="1">
      <c r="B27" s="11" t="s">
        <v>179</v>
      </c>
      <c r="C27" s="2">
        <f>C26/C25</f>
        <v>0.67429938271604939</v>
      </c>
      <c r="D27" s="1"/>
      <c r="G27" s="3"/>
      <c r="J27" s="293">
        <v>45953</v>
      </c>
      <c r="K27" s="293" t="s">
        <v>962</v>
      </c>
      <c r="L27" s="294"/>
      <c r="M27" s="294" t="s">
        <v>42</v>
      </c>
      <c r="N27" s="295">
        <v>4</v>
      </c>
      <c r="O27" s="294">
        <v>1.7</v>
      </c>
      <c r="P27" s="296"/>
      <c r="Q27" s="297"/>
      <c r="R27" s="300">
        <v>67650</v>
      </c>
      <c r="S27" s="298">
        <f t="shared" si="1"/>
        <v>397.94117647058823</v>
      </c>
      <c r="T27" s="277" t="s">
        <v>207</v>
      </c>
      <c r="U27" s="80"/>
    </row>
    <row r="28" spans="2:21" ht="17.45" customHeight="1">
      <c r="B28" s="11" t="s">
        <v>180</v>
      </c>
      <c r="C28" s="2">
        <f>E26/E25</f>
        <v>1</v>
      </c>
      <c r="G28" s="3"/>
      <c r="J28" s="291" t="s">
        <v>21</v>
      </c>
      <c r="K28" s="291"/>
      <c r="L28" s="291"/>
      <c r="M28" s="291"/>
      <c r="N28" s="291">
        <f>SUM(N4:N27)</f>
        <v>125</v>
      </c>
      <c r="O28" s="273">
        <f>SUM(O4:O27)</f>
        <v>268</v>
      </c>
      <c r="P28" s="274">
        <f>SUM(P4:P15)</f>
        <v>0</v>
      </c>
      <c r="Q28" s="275">
        <f>P28/O28/100</f>
        <v>0</v>
      </c>
      <c r="R28" s="274">
        <f>SUM(R4:R27)</f>
        <v>3223160</v>
      </c>
      <c r="S28" s="301">
        <f>IFERROR(R28/O28/100, "-")</f>
        <v>120.26716417910447</v>
      </c>
      <c r="T28" s="292"/>
      <c r="U28" s="80"/>
    </row>
    <row r="29" spans="2:21" ht="17.45" customHeight="1">
      <c r="G29" s="3"/>
      <c r="J29" s="292"/>
      <c r="K29" s="292"/>
      <c r="L29" s="292"/>
      <c r="M29" s="292"/>
      <c r="N29" s="302"/>
      <c r="O29" s="292"/>
      <c r="P29" s="292"/>
      <c r="Q29" s="292"/>
      <c r="R29" s="303"/>
      <c r="S29" s="292"/>
      <c r="T29" s="292"/>
      <c r="U29" s="80"/>
    </row>
    <row r="30" spans="2:21" ht="17.45" customHeight="1">
      <c r="B30" s="249" t="s">
        <v>2449</v>
      </c>
      <c r="C30" s="247"/>
      <c r="D30" s="248"/>
      <c r="E30" s="248"/>
      <c r="G30" s="3"/>
      <c r="R30" s="80"/>
      <c r="U30" s="80"/>
    </row>
    <row r="31" spans="2:21" ht="17.45" customHeight="1">
      <c r="B31" s="11" t="s">
        <v>16</v>
      </c>
      <c r="C31" s="34">
        <v>1584</v>
      </c>
      <c r="D31" s="166">
        <f>C31/E31</f>
        <v>18</v>
      </c>
      <c r="E31" s="138">
        <v>88</v>
      </c>
      <c r="G31" s="3"/>
      <c r="U31" s="80"/>
    </row>
    <row r="32" spans="2:21" ht="17.45" customHeight="1">
      <c r="B32" s="120" t="s">
        <v>17</v>
      </c>
      <c r="C32" s="69">
        <f>SUM(R12:R27)/1000</f>
        <v>1038.43</v>
      </c>
      <c r="D32" s="167">
        <f>IFERROR(C32/E32,)</f>
        <v>11.800340909090909</v>
      </c>
      <c r="E32" s="122">
        <f>SUM(O12:O27)</f>
        <v>88</v>
      </c>
      <c r="F32" s="109"/>
      <c r="G32" s="3"/>
      <c r="U32" s="80"/>
    </row>
    <row r="33" spans="2:21" ht="17.45" customHeight="1">
      <c r="B33" s="11" t="s">
        <v>179</v>
      </c>
      <c r="C33" s="2">
        <f>C32/C31</f>
        <v>0.65557449494949493</v>
      </c>
      <c r="D33" s="1"/>
      <c r="G33" s="3"/>
      <c r="U33" s="80"/>
    </row>
    <row r="34" spans="2:21" ht="17.45" customHeight="1">
      <c r="B34" s="11" t="s">
        <v>180</v>
      </c>
      <c r="C34" s="2">
        <f>E32/E31</f>
        <v>1</v>
      </c>
      <c r="G34" s="3"/>
      <c r="U34" s="80"/>
    </row>
    <row r="35" spans="2:21">
      <c r="G35" s="32"/>
    </row>
    <row r="36" spans="2:21">
      <c r="C36" s="72"/>
    </row>
    <row r="38" spans="2:21">
      <c r="C38" s="72"/>
    </row>
    <row r="44" spans="2:21" ht="16.5" customHeight="1"/>
  </sheetData>
  <autoFilter ref="J3:S33" xr:uid="{EA93015D-5D62-4C68-AFF2-B4A6FB7D7DBA}"/>
  <mergeCells count="2">
    <mergeCell ref="B2:R2"/>
    <mergeCell ref="F21:G21"/>
  </mergeCells>
  <phoneticPr fontId="30" type="noConversion"/>
  <pageMargins left="0.7" right="0.7" top="0.75" bottom="0.75" header="0.3" footer="0.3"/>
  <pageSetup paperSize="9" scale="32" fitToHeight="0" orientation="landscape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A6101-57C4-4A7B-81E0-7E633B978F4A}">
  <sheetPr>
    <tabColor theme="1" tint="0.499984740745262"/>
    <pageSetUpPr fitToPage="1"/>
  </sheetPr>
  <dimension ref="B2:U44"/>
  <sheetViews>
    <sheetView zoomScale="70" zoomScaleNormal="70" workbookViewId="0">
      <selection activeCell="I14" sqref="I14"/>
    </sheetView>
  </sheetViews>
  <sheetFormatPr defaultColWidth="9.140625" defaultRowHeight="14.25" outlineLevelCol="1"/>
  <cols>
    <col min="1" max="1" width="3.28515625" style="5" customWidth="1"/>
    <col min="2" max="2" width="46.28515625" style="5" customWidth="1"/>
    <col min="3" max="8" width="13.5703125" style="5" customWidth="1"/>
    <col min="9" max="9" width="10.85546875" style="5" customWidth="1"/>
    <col min="10" max="10" width="13.85546875" style="5" customWidth="1"/>
    <col min="11" max="11" width="23.7109375" style="5" customWidth="1" outlineLevel="1"/>
    <col min="12" max="12" width="12.140625" style="5" customWidth="1" outlineLevel="1"/>
    <col min="13" max="13" width="15.7109375" style="5" customWidth="1" outlineLevel="1"/>
    <col min="14" max="14" width="11.28515625" style="9" customWidth="1" outlineLevel="1"/>
    <col min="15" max="15" width="11.140625" style="5" customWidth="1"/>
    <col min="16" max="16" width="20.5703125" style="5" hidden="1" customWidth="1" outlineLevel="1"/>
    <col min="17" max="17" width="17.5703125" style="5" hidden="1" customWidth="1" outlineLevel="1"/>
    <col min="18" max="18" width="15.5703125" style="5" customWidth="1" collapsed="1"/>
    <col min="19" max="19" width="17.5703125" style="5" customWidth="1"/>
    <col min="20" max="20" width="57.28515625" style="5" customWidth="1"/>
    <col min="21" max="22" width="14.42578125" style="5" bestFit="1" customWidth="1"/>
    <col min="23" max="16384" width="9.140625" style="5"/>
  </cols>
  <sheetData>
    <row r="2" spans="2:20" ht="60" customHeight="1">
      <c r="B2" s="366" t="s">
        <v>2191</v>
      </c>
      <c r="C2" s="361"/>
      <c r="D2" s="361"/>
      <c r="E2" s="361"/>
      <c r="F2" s="361"/>
      <c r="G2" s="361"/>
      <c r="H2" s="361"/>
      <c r="I2" s="361"/>
      <c r="J2" s="361"/>
      <c r="K2" s="361"/>
      <c r="L2" s="361"/>
      <c r="M2" s="361"/>
      <c r="N2" s="361"/>
      <c r="O2" s="361"/>
      <c r="P2" s="361"/>
      <c r="Q2" s="361"/>
      <c r="R2" s="361"/>
      <c r="S2" s="62"/>
    </row>
    <row r="3" spans="2:20" ht="45">
      <c r="H3" s="6"/>
      <c r="I3" s="6"/>
      <c r="J3" s="10" t="s">
        <v>262</v>
      </c>
      <c r="K3" s="10" t="s">
        <v>24</v>
      </c>
      <c r="L3" s="10" t="s">
        <v>26</v>
      </c>
      <c r="M3" s="10" t="s">
        <v>28</v>
      </c>
      <c r="N3" s="10" t="s">
        <v>19</v>
      </c>
      <c r="O3" s="10" t="s">
        <v>13</v>
      </c>
      <c r="P3" s="10" t="s">
        <v>204</v>
      </c>
      <c r="Q3" s="10" t="s">
        <v>205</v>
      </c>
      <c r="R3" s="65" t="s">
        <v>269</v>
      </c>
      <c r="S3" s="10" t="s">
        <v>206</v>
      </c>
    </row>
    <row r="4" spans="2:20" ht="20.45" customHeight="1">
      <c r="B4" s="7" t="s">
        <v>0</v>
      </c>
      <c r="C4" s="8" t="s">
        <v>1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338</v>
      </c>
      <c r="J4" s="115">
        <v>45925</v>
      </c>
      <c r="K4" s="115" t="s">
        <v>946</v>
      </c>
      <c r="L4" s="64">
        <v>26</v>
      </c>
      <c r="M4" s="64" t="s">
        <v>51</v>
      </c>
      <c r="N4" s="116">
        <v>1</v>
      </c>
      <c r="O4" s="64">
        <v>1.3</v>
      </c>
      <c r="P4" s="106"/>
      <c r="Q4" s="117"/>
      <c r="R4" s="106">
        <v>24310</v>
      </c>
      <c r="S4" s="117">
        <f>R4/O4/100</f>
        <v>187</v>
      </c>
      <c r="T4" s="134"/>
    </row>
    <row r="5" spans="2:20" s="9" customFormat="1" ht="20.45" customHeight="1">
      <c r="B5" s="11" t="s">
        <v>6</v>
      </c>
      <c r="C5" s="12"/>
      <c r="D5" s="12"/>
      <c r="E5" s="12"/>
      <c r="F5" s="12"/>
      <c r="G5" s="12"/>
      <c r="H5" s="12">
        <f>J4</f>
        <v>45925</v>
      </c>
      <c r="J5" s="115">
        <v>45926</v>
      </c>
      <c r="K5" s="115"/>
      <c r="L5" s="64"/>
      <c r="M5" s="64"/>
      <c r="N5" s="116"/>
      <c r="O5" s="64"/>
      <c r="P5" s="106"/>
      <c r="Q5" s="117"/>
      <c r="R5" s="106"/>
      <c r="S5" s="117"/>
      <c r="T5" s="128"/>
    </row>
    <row r="6" spans="2:20" ht="20.45" customHeight="1">
      <c r="B6" s="11" t="s">
        <v>7</v>
      </c>
      <c r="C6" s="12"/>
      <c r="D6" s="12"/>
      <c r="E6" s="12"/>
      <c r="F6" s="12"/>
      <c r="G6" s="12"/>
      <c r="H6" s="12">
        <f>J14</f>
        <v>45933</v>
      </c>
      <c r="J6" s="115">
        <v>45927</v>
      </c>
      <c r="K6" s="115"/>
      <c r="L6" s="64"/>
      <c r="M6" s="64"/>
      <c r="N6" s="116"/>
      <c r="O6" s="64"/>
      <c r="P6" s="106"/>
      <c r="Q6" s="117"/>
      <c r="R6" s="106"/>
      <c r="S6" s="117"/>
      <c r="T6" s="128"/>
    </row>
    <row r="7" spans="2:20" ht="20.45" customHeight="1">
      <c r="B7" s="11" t="s">
        <v>8</v>
      </c>
      <c r="C7" s="19"/>
      <c r="D7" s="19"/>
      <c r="E7" s="19"/>
      <c r="F7" s="19"/>
      <c r="G7" s="19"/>
      <c r="H7" s="19">
        <f>IF(H6=0,"-",H6-H5+1)</f>
        <v>9</v>
      </c>
      <c r="J7" s="115">
        <v>45928</v>
      </c>
      <c r="K7" s="115"/>
      <c r="L7" s="64"/>
      <c r="M7" s="64"/>
      <c r="N7" s="116"/>
      <c r="O7" s="64"/>
      <c r="P7" s="106"/>
      <c r="Q7" s="117"/>
      <c r="R7" s="106"/>
      <c r="S7" s="117"/>
    </row>
    <row r="8" spans="2:20" ht="20.45" customHeight="1">
      <c r="B8" s="11" t="s">
        <v>9</v>
      </c>
      <c r="C8" s="19"/>
      <c r="D8" s="19"/>
      <c r="E8" s="19"/>
      <c r="F8" s="19"/>
      <c r="G8" s="19"/>
      <c r="H8" s="19">
        <v>5</v>
      </c>
      <c r="J8" s="115">
        <v>45929</v>
      </c>
      <c r="K8" s="115" t="s">
        <v>946</v>
      </c>
      <c r="L8" s="64">
        <v>26</v>
      </c>
      <c r="M8" s="64" t="s">
        <v>51</v>
      </c>
      <c r="N8" s="116">
        <v>12</v>
      </c>
      <c r="O8" s="64">
        <v>18.7</v>
      </c>
      <c r="P8" s="106"/>
      <c r="Q8" s="117"/>
      <c r="R8" s="106">
        <v>328430</v>
      </c>
      <c r="S8" s="117">
        <f t="shared" ref="S8:S14" si="0">R8/O8/100</f>
        <v>175.63101604278074</v>
      </c>
      <c r="T8" s="80"/>
    </row>
    <row r="9" spans="2:20" ht="20.45" customHeight="1">
      <c r="B9" s="11" t="s">
        <v>10</v>
      </c>
      <c r="C9" s="20"/>
      <c r="D9" s="20"/>
      <c r="E9" s="20"/>
      <c r="F9" s="20"/>
      <c r="G9" s="20"/>
      <c r="H9" s="20" t="s">
        <v>312</v>
      </c>
      <c r="J9" s="115">
        <v>45930</v>
      </c>
      <c r="K9" s="115"/>
      <c r="L9" s="64"/>
      <c r="M9" s="64"/>
      <c r="N9" s="116"/>
      <c r="O9" s="64"/>
      <c r="P9" s="106"/>
      <c r="Q9" s="117"/>
      <c r="R9" s="106"/>
      <c r="S9" s="117"/>
    </row>
    <row r="10" spans="2:20" ht="20.45" customHeight="1">
      <c r="B10" s="11" t="s">
        <v>11</v>
      </c>
      <c r="C10" s="34"/>
      <c r="D10" s="34"/>
      <c r="E10" s="34"/>
      <c r="F10" s="34"/>
      <c r="G10" s="34"/>
      <c r="H10" s="34">
        <f>R15/1000</f>
        <v>1860.64</v>
      </c>
      <c r="J10" s="115">
        <v>45931</v>
      </c>
      <c r="K10" s="115" t="s">
        <v>946</v>
      </c>
      <c r="L10" s="64">
        <v>26</v>
      </c>
      <c r="M10" s="64" t="s">
        <v>51</v>
      </c>
      <c r="N10" s="116">
        <v>7</v>
      </c>
      <c r="O10" s="64">
        <v>6</v>
      </c>
      <c r="P10" s="106"/>
      <c r="Q10" s="117"/>
      <c r="R10" s="106">
        <v>174120</v>
      </c>
      <c r="S10" s="117">
        <f t="shared" si="0"/>
        <v>290.2</v>
      </c>
      <c r="T10" s="128"/>
    </row>
    <row r="11" spans="2:20" ht="20.45" customHeight="1">
      <c r="B11" s="11" t="s">
        <v>12</v>
      </c>
      <c r="C11" s="22"/>
      <c r="D11" s="22"/>
      <c r="E11" s="22"/>
      <c r="F11" s="22"/>
      <c r="G11" s="140"/>
      <c r="H11" s="140">
        <v>125</v>
      </c>
      <c r="I11" s="131"/>
      <c r="J11" s="115"/>
      <c r="K11" s="115" t="s">
        <v>943</v>
      </c>
      <c r="L11" s="64">
        <v>58</v>
      </c>
      <c r="M11" s="64" t="s">
        <v>51</v>
      </c>
      <c r="N11" s="116">
        <v>15</v>
      </c>
      <c r="O11" s="64">
        <v>27.6</v>
      </c>
      <c r="P11" s="106"/>
      <c r="Q11" s="117"/>
      <c r="R11" s="106">
        <v>395400</v>
      </c>
      <c r="S11" s="117">
        <f t="shared" si="0"/>
        <v>143.26086956521738</v>
      </c>
      <c r="T11" s="128"/>
    </row>
    <row r="12" spans="2:20" ht="20.45" customHeight="1">
      <c r="B12" s="11" t="s">
        <v>13</v>
      </c>
      <c r="C12" s="22"/>
      <c r="D12" s="22"/>
      <c r="E12" s="22"/>
      <c r="F12" s="22"/>
      <c r="G12" s="22"/>
      <c r="H12" s="140">
        <f>O15</f>
        <v>124.99999999999999</v>
      </c>
      <c r="J12" s="115">
        <v>45932</v>
      </c>
      <c r="K12" s="115" t="s">
        <v>2542</v>
      </c>
      <c r="L12" s="64">
        <v>41</v>
      </c>
      <c r="M12" s="64" t="s">
        <v>51</v>
      </c>
      <c r="N12" s="116">
        <v>20</v>
      </c>
      <c r="O12" s="64">
        <v>41</v>
      </c>
      <c r="P12" s="106"/>
      <c r="Q12" s="117"/>
      <c r="R12" s="145">
        <v>504190</v>
      </c>
      <c r="S12" s="117">
        <f t="shared" si="0"/>
        <v>122.97317073170733</v>
      </c>
      <c r="T12" s="128"/>
    </row>
    <row r="13" spans="2:20" ht="20.45" customHeight="1">
      <c r="B13" s="11" t="s">
        <v>14</v>
      </c>
      <c r="C13" s="23"/>
      <c r="D13" s="23"/>
      <c r="E13" s="23"/>
      <c r="F13" s="23"/>
      <c r="G13" s="23"/>
      <c r="H13" s="23">
        <f>IFERROR(H10/H12*10,0)</f>
        <v>148.85120000000003</v>
      </c>
      <c r="J13" s="115"/>
      <c r="K13" s="115" t="s">
        <v>943</v>
      </c>
      <c r="L13" s="64">
        <v>58</v>
      </c>
      <c r="M13" s="64" t="s">
        <v>51</v>
      </c>
      <c r="N13" s="116">
        <v>3</v>
      </c>
      <c r="O13" s="64">
        <v>5.0999999999999996</v>
      </c>
      <c r="P13" s="106"/>
      <c r="Q13" s="117"/>
      <c r="R13" s="145">
        <v>72710</v>
      </c>
      <c r="S13" s="117">
        <f t="shared" si="0"/>
        <v>142.56862745098042</v>
      </c>
      <c r="T13" s="128"/>
    </row>
    <row r="14" spans="2:20" ht="20.45" customHeight="1">
      <c r="B14" s="11"/>
      <c r="C14" s="24"/>
      <c r="D14" s="24"/>
      <c r="E14" s="24"/>
      <c r="F14" s="24"/>
      <c r="G14" s="24"/>
      <c r="J14" s="115">
        <v>45933</v>
      </c>
      <c r="K14" s="115" t="s">
        <v>943</v>
      </c>
      <c r="L14" s="64">
        <v>58</v>
      </c>
      <c r="M14" s="64" t="s">
        <v>51</v>
      </c>
      <c r="N14" s="116">
        <v>14</v>
      </c>
      <c r="O14" s="64">
        <v>25.3</v>
      </c>
      <c r="P14" s="106"/>
      <c r="Q14" s="117"/>
      <c r="R14" s="145">
        <v>361480</v>
      </c>
      <c r="S14" s="117">
        <f t="shared" si="0"/>
        <v>142.87747035573122</v>
      </c>
      <c r="T14" s="128"/>
    </row>
    <row r="15" spans="2:20" ht="20.45" customHeight="1">
      <c r="J15" s="10" t="s">
        <v>21</v>
      </c>
      <c r="K15" s="10"/>
      <c r="L15" s="10"/>
      <c r="M15" s="10"/>
      <c r="N15" s="10">
        <f>SUM(N4:N14)</f>
        <v>72</v>
      </c>
      <c r="O15" s="273">
        <f>SUM(O4:O14)</f>
        <v>124.99999999999999</v>
      </c>
      <c r="P15" s="274">
        <f>SUM(P4:P14)</f>
        <v>0</v>
      </c>
      <c r="Q15" s="275">
        <f>P15/O15/100</f>
        <v>0</v>
      </c>
      <c r="R15" s="274">
        <f>SUM(R4:R14)</f>
        <v>1860640</v>
      </c>
      <c r="S15" s="31">
        <f>R15/O15/100</f>
        <v>148.85120000000001</v>
      </c>
      <c r="T15" s="119"/>
    </row>
    <row r="16" spans="2:20" ht="18">
      <c r="B16" s="27" t="s">
        <v>339</v>
      </c>
      <c r="C16" s="28"/>
      <c r="D16" s="28"/>
      <c r="E16" s="28"/>
      <c r="R16" s="80"/>
    </row>
    <row r="17" spans="2:21" ht="15">
      <c r="B17" s="11" t="s">
        <v>16</v>
      </c>
      <c r="C17" s="34">
        <v>2250</v>
      </c>
      <c r="D17" s="166">
        <f>C17/E17</f>
        <v>18</v>
      </c>
      <c r="E17" s="138">
        <v>125</v>
      </c>
      <c r="F17" s="261" t="s">
        <v>2544</v>
      </c>
      <c r="R17" s="80"/>
    </row>
    <row r="18" spans="2:21" ht="15">
      <c r="B18" s="120" t="s">
        <v>17</v>
      </c>
      <c r="C18" s="69">
        <f>R15/1000</f>
        <v>1860.64</v>
      </c>
      <c r="D18" s="167">
        <f>IFERROR(C18/E18,)</f>
        <v>14.885120000000002</v>
      </c>
      <c r="E18" s="122">
        <f>O15</f>
        <v>124.99999999999999</v>
      </c>
    </row>
    <row r="19" spans="2:21" ht="15">
      <c r="B19" s="11" t="s">
        <v>179</v>
      </c>
      <c r="C19" s="2">
        <f>C18/C17</f>
        <v>0.82695111111111119</v>
      </c>
      <c r="D19" s="1"/>
      <c r="E19" s="138"/>
    </row>
    <row r="20" spans="2:21" ht="15">
      <c r="B20" s="11" t="s">
        <v>180</v>
      </c>
      <c r="C20" s="2">
        <f>IFERROR(E18/E17, )</f>
        <v>0.99999999999999989</v>
      </c>
    </row>
    <row r="21" spans="2:21" ht="17.45" customHeight="1">
      <c r="B21" s="11"/>
      <c r="C21" s="2"/>
      <c r="E21" s="139"/>
      <c r="F21" s="363"/>
      <c r="G21" s="363"/>
      <c r="U21" s="80"/>
    </row>
    <row r="22" spans="2:21" ht="17.45" customHeight="1">
      <c r="B22" s="11"/>
      <c r="C22" s="2"/>
      <c r="G22" s="3"/>
      <c r="U22" s="80"/>
    </row>
    <row r="23" spans="2:21" ht="17.45" customHeight="1">
      <c r="B23" s="11"/>
      <c r="C23" s="2"/>
      <c r="G23" s="3"/>
      <c r="U23" s="80"/>
    </row>
    <row r="24" spans="2:21" ht="17.45" customHeight="1">
      <c r="B24" s="11"/>
      <c r="C24" s="2"/>
      <c r="G24" s="3"/>
      <c r="U24" s="80"/>
    </row>
    <row r="25" spans="2:21" ht="17.45" customHeight="1">
      <c r="B25" s="11"/>
      <c r="C25" s="2"/>
      <c r="G25" s="3"/>
      <c r="U25" s="80"/>
    </row>
    <row r="26" spans="2:21" ht="17.45" customHeight="1">
      <c r="B26" s="11"/>
      <c r="C26" s="146"/>
      <c r="G26" s="3"/>
      <c r="U26" s="80"/>
    </row>
    <row r="27" spans="2:21" ht="17.45" customHeight="1">
      <c r="B27" s="11"/>
      <c r="C27" s="2"/>
      <c r="G27" s="3"/>
      <c r="U27" s="80"/>
    </row>
    <row r="28" spans="2:21" ht="17.45" customHeight="1">
      <c r="B28" s="11"/>
      <c r="C28" s="2"/>
      <c r="G28" s="3"/>
      <c r="U28" s="80"/>
    </row>
    <row r="29" spans="2:21" ht="17.45" customHeight="1">
      <c r="B29" s="11"/>
      <c r="C29" s="2"/>
      <c r="G29" s="3"/>
      <c r="U29" s="80"/>
    </row>
    <row r="30" spans="2:21" ht="17.45" customHeight="1">
      <c r="B30" s="11"/>
      <c r="C30" s="2"/>
      <c r="G30" s="3"/>
      <c r="U30" s="80"/>
    </row>
    <row r="31" spans="2:21" ht="17.45" customHeight="1">
      <c r="B31" s="11"/>
      <c r="C31" s="2"/>
      <c r="G31" s="3"/>
      <c r="U31" s="80"/>
    </row>
    <row r="32" spans="2:21" ht="17.45" customHeight="1">
      <c r="B32" s="11"/>
      <c r="C32" s="2"/>
      <c r="G32" s="3"/>
      <c r="U32" s="80"/>
    </row>
    <row r="33" spans="2:21" ht="17.45" customHeight="1">
      <c r="B33" s="11"/>
      <c r="C33" s="2"/>
      <c r="G33" s="3"/>
      <c r="U33" s="80"/>
    </row>
    <row r="34" spans="2:21" ht="17.45" customHeight="1">
      <c r="B34" s="11"/>
      <c r="C34" s="2"/>
      <c r="G34" s="3"/>
      <c r="U34" s="80"/>
    </row>
    <row r="35" spans="2:21">
      <c r="G35" s="32"/>
    </row>
    <row r="36" spans="2:21">
      <c r="C36" s="72"/>
    </row>
    <row r="38" spans="2:21">
      <c r="C38" s="72"/>
    </row>
    <row r="44" spans="2:21" ht="16.5" customHeight="1"/>
  </sheetData>
  <autoFilter ref="J3:S15" xr:uid="{EA93015D-5D62-4C68-AFF2-B4A6FB7D7DBA}"/>
  <mergeCells count="2">
    <mergeCell ref="B2:R2"/>
    <mergeCell ref="F21:G21"/>
  </mergeCells>
  <phoneticPr fontId="30" type="noConversion"/>
  <pageMargins left="0.7" right="0.7" top="0.75" bottom="0.75" header="0.3" footer="0.3"/>
  <pageSetup paperSize="9" scale="26" fitToHeight="0"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44CAA-33AA-4E37-AA72-687AB0478A9A}">
  <sheetPr>
    <tabColor theme="1" tint="0.499984740745262"/>
    <pageSetUpPr fitToPage="1"/>
  </sheetPr>
  <dimension ref="B2:T23"/>
  <sheetViews>
    <sheetView zoomScale="70" zoomScaleNormal="70" workbookViewId="0">
      <selection activeCell="I14" sqref="I14"/>
    </sheetView>
  </sheetViews>
  <sheetFormatPr defaultColWidth="9.140625" defaultRowHeight="14.25" outlineLevelCol="1"/>
  <cols>
    <col min="1" max="1" width="3.28515625" style="5" customWidth="1"/>
    <col min="2" max="2" width="46.28515625" style="5" customWidth="1"/>
    <col min="3" max="7" width="14.5703125" style="5" customWidth="1"/>
    <col min="8" max="8" width="18.5703125" style="5" customWidth="1"/>
    <col min="9" max="9" width="10.85546875" style="5" customWidth="1"/>
    <col min="10" max="10" width="15.28515625" style="5" customWidth="1"/>
    <col min="11" max="11" width="18.85546875" style="5" customWidth="1" outlineLevel="1"/>
    <col min="12" max="12" width="12.140625" style="5" customWidth="1" outlineLevel="1"/>
    <col min="13" max="13" width="21.28515625" style="5" customWidth="1" outlineLevel="1"/>
    <col min="14" max="14" width="9.140625" style="9" customWidth="1" outlineLevel="1"/>
    <col min="15" max="15" width="12.28515625" style="5" customWidth="1"/>
    <col min="16" max="16" width="16.7109375" style="5" hidden="1" customWidth="1" outlineLevel="1"/>
    <col min="17" max="17" width="17.5703125" style="5" hidden="1" customWidth="1" outlineLevel="1"/>
    <col min="18" max="18" width="18.85546875" style="5" customWidth="1" collapsed="1"/>
    <col min="19" max="19" width="17.5703125" style="5" customWidth="1"/>
    <col min="20" max="20" width="65.5703125" style="5" customWidth="1"/>
    <col min="21" max="21" width="11.7109375" style="5" bestFit="1" customWidth="1"/>
    <col min="22" max="23" width="14.42578125" style="5" bestFit="1" customWidth="1"/>
    <col min="24" max="16384" width="9.140625" style="5"/>
  </cols>
  <sheetData>
    <row r="2" spans="2:20" ht="60" customHeight="1">
      <c r="B2" s="366" t="s">
        <v>327</v>
      </c>
      <c r="C2" s="361"/>
      <c r="D2" s="361"/>
      <c r="E2" s="361"/>
      <c r="F2" s="361"/>
      <c r="G2" s="361"/>
      <c r="H2" s="361"/>
      <c r="I2" s="361"/>
      <c r="J2" s="361"/>
      <c r="K2" s="361"/>
      <c r="L2" s="361"/>
      <c r="M2" s="361"/>
      <c r="N2" s="361"/>
      <c r="O2" s="361"/>
      <c r="P2" s="361"/>
      <c r="Q2" s="361"/>
      <c r="R2" s="361"/>
      <c r="S2" s="62"/>
    </row>
    <row r="3" spans="2:20" ht="42.75">
      <c r="H3" s="6"/>
      <c r="I3" s="6"/>
      <c r="J3" s="10" t="s">
        <v>262</v>
      </c>
      <c r="K3" s="10" t="s">
        <v>24</v>
      </c>
      <c r="L3" s="10" t="s">
        <v>26</v>
      </c>
      <c r="M3" s="10" t="s">
        <v>28</v>
      </c>
      <c r="N3" s="10" t="s">
        <v>19</v>
      </c>
      <c r="O3" s="10" t="s">
        <v>13</v>
      </c>
      <c r="P3" s="10" t="s">
        <v>204</v>
      </c>
      <c r="Q3" s="10" t="s">
        <v>205</v>
      </c>
      <c r="R3" s="65" t="s">
        <v>269</v>
      </c>
      <c r="S3" s="10" t="s">
        <v>206</v>
      </c>
    </row>
    <row r="4" spans="2:20" ht="20.45" customHeight="1">
      <c r="B4" s="7" t="s">
        <v>0</v>
      </c>
      <c r="C4" s="8" t="s">
        <v>1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338</v>
      </c>
      <c r="J4" s="115">
        <v>45925</v>
      </c>
      <c r="K4" s="115" t="s">
        <v>117</v>
      </c>
      <c r="L4" s="64">
        <v>39</v>
      </c>
      <c r="M4" s="255" t="s">
        <v>41</v>
      </c>
      <c r="N4" s="116">
        <v>20</v>
      </c>
      <c r="O4" s="64">
        <v>34</v>
      </c>
      <c r="P4" s="106"/>
      <c r="Q4" s="117"/>
      <c r="R4" s="106">
        <v>417850</v>
      </c>
      <c r="S4" s="254">
        <f t="shared" ref="S4:S9" si="0">IFERROR(R4/100/O4, "-")</f>
        <v>122.89705882352941</v>
      </c>
    </row>
    <row r="5" spans="2:20" s="9" customFormat="1" ht="20.45" customHeight="1">
      <c r="B5" s="11" t="s">
        <v>6</v>
      </c>
      <c r="C5" s="12"/>
      <c r="D5" s="12"/>
      <c r="E5" s="12"/>
      <c r="F5" s="12">
        <v>45140</v>
      </c>
      <c r="G5" s="12">
        <v>45582</v>
      </c>
      <c r="H5" s="12">
        <f>J4</f>
        <v>45925</v>
      </c>
      <c r="J5" s="115">
        <v>45926</v>
      </c>
      <c r="K5" s="115" t="s">
        <v>117</v>
      </c>
      <c r="L5" s="64">
        <v>39</v>
      </c>
      <c r="M5" s="255" t="s">
        <v>41</v>
      </c>
      <c r="N5" s="116">
        <v>3</v>
      </c>
      <c r="O5" s="64">
        <v>5</v>
      </c>
      <c r="P5" s="106"/>
      <c r="Q5" s="117"/>
      <c r="R5" s="106">
        <v>66230</v>
      </c>
      <c r="S5" s="254">
        <f t="shared" si="0"/>
        <v>132.45999999999998</v>
      </c>
    </row>
    <row r="6" spans="2:20" ht="20.45" customHeight="1">
      <c r="B6" s="11" t="s">
        <v>7</v>
      </c>
      <c r="C6" s="12"/>
      <c r="D6" s="12"/>
      <c r="E6" s="12"/>
      <c r="F6" s="12">
        <v>45213</v>
      </c>
      <c r="G6" s="12">
        <v>45584</v>
      </c>
      <c r="H6" s="12">
        <v>45928</v>
      </c>
      <c r="J6" s="115"/>
      <c r="K6" s="115" t="s">
        <v>117</v>
      </c>
      <c r="L6" s="64">
        <v>63</v>
      </c>
      <c r="M6" s="255" t="s">
        <v>51</v>
      </c>
      <c r="N6" s="116">
        <v>20</v>
      </c>
      <c r="O6" s="64">
        <v>32</v>
      </c>
      <c r="P6" s="106"/>
      <c r="Q6" s="117"/>
      <c r="R6" s="106">
        <v>440100</v>
      </c>
      <c r="S6" s="254">
        <f t="shared" si="0"/>
        <v>137.53125</v>
      </c>
      <c r="T6" s="80"/>
    </row>
    <row r="7" spans="2:20" ht="20.45" customHeight="1">
      <c r="B7" s="11" t="s">
        <v>8</v>
      </c>
      <c r="C7" s="19"/>
      <c r="D7" s="19"/>
      <c r="E7" s="19"/>
      <c r="F7" s="19">
        <f>IF(F6=0,"-",F6-F5+1)</f>
        <v>74</v>
      </c>
      <c r="G7" s="19">
        <v>3</v>
      </c>
      <c r="H7" s="19">
        <f>IF(H6=0,"-",H6-H5+1)</f>
        <v>4</v>
      </c>
      <c r="J7" s="115">
        <v>45927</v>
      </c>
      <c r="K7" s="115" t="s">
        <v>117</v>
      </c>
      <c r="L7" s="64">
        <v>63</v>
      </c>
      <c r="M7" s="255" t="s">
        <v>51</v>
      </c>
      <c r="N7" s="116">
        <v>22</v>
      </c>
      <c r="O7" s="64">
        <v>31</v>
      </c>
      <c r="P7" s="106"/>
      <c r="Q7" s="117"/>
      <c r="R7" s="106">
        <v>446150</v>
      </c>
      <c r="S7" s="254">
        <f t="shared" si="0"/>
        <v>143.91935483870967</v>
      </c>
    </row>
    <row r="8" spans="2:20" ht="20.45" customHeight="1">
      <c r="B8" s="11" t="s">
        <v>9</v>
      </c>
      <c r="C8" s="19"/>
      <c r="D8" s="19"/>
      <c r="E8" s="19"/>
      <c r="F8" s="19">
        <v>27</v>
      </c>
      <c r="G8" s="19">
        <v>2</v>
      </c>
      <c r="H8" s="19"/>
      <c r="J8" s="115"/>
      <c r="K8" s="115" t="s">
        <v>969</v>
      </c>
      <c r="L8" s="64">
        <v>54</v>
      </c>
      <c r="M8" s="255" t="s">
        <v>41</v>
      </c>
      <c r="N8" s="116">
        <v>5</v>
      </c>
      <c r="O8" s="64">
        <v>12</v>
      </c>
      <c r="P8" s="106"/>
      <c r="Q8" s="117"/>
      <c r="R8" s="106">
        <v>104300</v>
      </c>
      <c r="S8" s="254">
        <f t="shared" si="0"/>
        <v>86.916666666666671</v>
      </c>
      <c r="T8" s="257"/>
    </row>
    <row r="9" spans="2:20" ht="20.45" customHeight="1">
      <c r="B9" s="11" t="s">
        <v>10</v>
      </c>
      <c r="C9" s="20"/>
      <c r="D9" s="20"/>
      <c r="E9" s="20"/>
      <c r="F9" s="20" t="s">
        <v>284</v>
      </c>
      <c r="G9" s="20" t="s">
        <v>328</v>
      </c>
      <c r="H9" s="20" t="s">
        <v>328</v>
      </c>
      <c r="J9" s="115">
        <v>45928</v>
      </c>
      <c r="K9" s="115" t="s">
        <v>969</v>
      </c>
      <c r="L9" s="64">
        <v>54</v>
      </c>
      <c r="M9" s="255" t="s">
        <v>41</v>
      </c>
      <c r="N9" s="116">
        <v>16</v>
      </c>
      <c r="O9" s="64">
        <v>42</v>
      </c>
      <c r="P9" s="106"/>
      <c r="Q9" s="117"/>
      <c r="R9" s="106">
        <v>337420</v>
      </c>
      <c r="S9" s="254">
        <f t="shared" si="0"/>
        <v>80.338095238095235</v>
      </c>
      <c r="T9" s="257"/>
    </row>
    <row r="10" spans="2:20" ht="20.45" customHeight="1">
      <c r="B10" s="11" t="s">
        <v>11</v>
      </c>
      <c r="C10" s="34"/>
      <c r="D10" s="34"/>
      <c r="E10" s="34"/>
      <c r="F10" s="34">
        <v>2829.55</v>
      </c>
      <c r="G10" s="34">
        <v>178.65</v>
      </c>
      <c r="H10" s="34">
        <f>R10/1000</f>
        <v>1812.05</v>
      </c>
      <c r="J10" s="10" t="s">
        <v>21</v>
      </c>
      <c r="K10" s="10"/>
      <c r="L10" s="10"/>
      <c r="M10" s="10"/>
      <c r="N10" s="10">
        <f>SUM(N4:N9)</f>
        <v>86</v>
      </c>
      <c r="O10" s="273">
        <f>SUM(O4:O9)</f>
        <v>156</v>
      </c>
      <c r="P10" s="274">
        <f>SUM(P4:P9)</f>
        <v>0</v>
      </c>
      <c r="Q10" s="275">
        <f>P10/O10/100</f>
        <v>0</v>
      </c>
      <c r="R10" s="274">
        <f>SUM(R4:R9)</f>
        <v>1812050</v>
      </c>
      <c r="S10" s="31">
        <f>R10/O10/100</f>
        <v>116.15705128205128</v>
      </c>
    </row>
    <row r="11" spans="2:20" ht="20.45" customHeight="1">
      <c r="B11" s="11" t="s">
        <v>12</v>
      </c>
      <c r="C11" s="22"/>
      <c r="D11" s="22"/>
      <c r="E11" s="22"/>
      <c r="F11" s="22">
        <v>198</v>
      </c>
      <c r="G11" s="22">
        <v>23</v>
      </c>
      <c r="H11" s="22">
        <v>125</v>
      </c>
    </row>
    <row r="12" spans="2:20" ht="20.45" customHeight="1">
      <c r="B12" s="11" t="s">
        <v>13</v>
      </c>
      <c r="C12" s="22"/>
      <c r="D12" s="22"/>
      <c r="E12" s="22"/>
      <c r="F12" s="22">
        <v>197.60000000000002</v>
      </c>
      <c r="G12" s="22">
        <v>23</v>
      </c>
      <c r="H12" s="22">
        <f>O10</f>
        <v>156</v>
      </c>
    </row>
    <row r="13" spans="2:20" ht="20.45" customHeight="1">
      <c r="B13" s="11" t="s">
        <v>14</v>
      </c>
      <c r="C13" s="23"/>
      <c r="D13" s="23"/>
      <c r="E13" s="23"/>
      <c r="F13" s="23">
        <f>F10*10/F12</f>
        <v>143.19585020242914</v>
      </c>
      <c r="G13" s="23">
        <v>77.673913043478265</v>
      </c>
      <c r="H13" s="23">
        <f>IFERROR(H10/H12*10,0)</f>
        <v>116.15705128205128</v>
      </c>
    </row>
    <row r="14" spans="2:20" ht="20.45" customHeight="1">
      <c r="B14" s="11"/>
      <c r="C14" s="24"/>
      <c r="D14" s="24"/>
      <c r="E14" s="24"/>
      <c r="F14" s="24"/>
      <c r="G14" s="24"/>
    </row>
    <row r="15" spans="2:20" ht="20.45" customHeight="1">
      <c r="O15" s="26"/>
      <c r="R15" s="80"/>
    </row>
    <row r="16" spans="2:20">
      <c r="R16" s="80"/>
    </row>
    <row r="17" spans="2:18">
      <c r="R17" s="80"/>
    </row>
    <row r="19" spans="2:18" ht="18">
      <c r="B19" s="27" t="s">
        <v>339</v>
      </c>
      <c r="C19" s="28"/>
      <c r="D19" s="28"/>
      <c r="E19" s="28"/>
    </row>
    <row r="20" spans="2:18" ht="15">
      <c r="B20" s="11" t="s">
        <v>16</v>
      </c>
      <c r="C20" s="34">
        <v>2808</v>
      </c>
      <c r="D20" s="166">
        <f>C20/E20</f>
        <v>18</v>
      </c>
      <c r="E20" s="138">
        <v>156</v>
      </c>
    </row>
    <row r="21" spans="2:18" ht="15">
      <c r="B21" s="120" t="s">
        <v>17</v>
      </c>
      <c r="C21" s="69">
        <f>R10/1000</f>
        <v>1812.05</v>
      </c>
      <c r="D21" s="167">
        <f>IFERROR(C21/E21,)</f>
        <v>11.615705128205128</v>
      </c>
      <c r="E21" s="122">
        <f>O10</f>
        <v>156</v>
      </c>
    </row>
    <row r="22" spans="2:18" ht="15">
      <c r="B22" s="11" t="s">
        <v>179</v>
      </c>
      <c r="C22" s="2">
        <f>C21/C20</f>
        <v>0.64531695156695157</v>
      </c>
      <c r="D22" s="1"/>
      <c r="E22" s="138"/>
    </row>
    <row r="23" spans="2:18" ht="15">
      <c r="B23" s="11" t="s">
        <v>180</v>
      </c>
      <c r="C23" s="2">
        <f>IFERROR(E21/E20, )</f>
        <v>1</v>
      </c>
    </row>
  </sheetData>
  <mergeCells count="1">
    <mergeCell ref="B2:R2"/>
  </mergeCells>
  <phoneticPr fontId="30" type="noConversion"/>
  <pageMargins left="0.7" right="0.7" top="0.75" bottom="0.75" header="0.3" footer="0.3"/>
  <pageSetup paperSize="9" scale="38" fitToHeight="0" orientation="landscape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3015D-5D62-4C68-AFF2-B4A6FB7D7DBA}">
  <sheetPr>
    <tabColor theme="1" tint="0.499984740745262"/>
    <pageSetUpPr fitToPage="1"/>
  </sheetPr>
  <dimension ref="B1:V1329"/>
  <sheetViews>
    <sheetView zoomScale="70" zoomScaleNormal="70" workbookViewId="0">
      <selection activeCell="I14" sqref="I14"/>
    </sheetView>
  </sheetViews>
  <sheetFormatPr defaultColWidth="9.140625" defaultRowHeight="14.25" outlineLevelCol="1"/>
  <cols>
    <col min="1" max="1" width="3.28515625" style="5" customWidth="1"/>
    <col min="2" max="2" width="46.28515625" style="5" customWidth="1"/>
    <col min="3" max="7" width="14.5703125" style="5" customWidth="1"/>
    <col min="8" max="8" width="13" style="5" customWidth="1"/>
    <col min="9" max="9" width="10.85546875" style="5" customWidth="1"/>
    <col min="10" max="10" width="13.85546875" style="5" customWidth="1"/>
    <col min="11" max="11" width="44.7109375" style="5" customWidth="1" outlineLevel="1"/>
    <col min="12" max="12" width="12.140625" style="5" customWidth="1" outlineLevel="1"/>
    <col min="13" max="13" width="9.5703125" style="5" customWidth="1" outlineLevel="1"/>
    <col min="14" max="14" width="13.42578125" style="9" customWidth="1" outlineLevel="1"/>
    <col min="15" max="15" width="11.140625" style="270" customWidth="1"/>
    <col min="16" max="16" width="18" style="5" hidden="1" customWidth="1" outlineLevel="1"/>
    <col min="17" max="17" width="17.5703125" style="5" hidden="1" customWidth="1" outlineLevel="1"/>
    <col min="18" max="18" width="15.5703125" style="270" customWidth="1" collapsed="1"/>
    <col min="19" max="19" width="17.5703125" style="5" customWidth="1"/>
    <col min="20" max="20" width="8.140625" style="5" hidden="1" customWidth="1"/>
    <col min="21" max="21" width="54.85546875" style="5" customWidth="1"/>
    <col min="22" max="22" width="21.42578125" style="5" hidden="1" customWidth="1"/>
    <col min="23" max="16384" width="9.140625" style="5"/>
  </cols>
  <sheetData>
    <row r="1" spans="2:22">
      <c r="O1" s="5"/>
      <c r="R1" s="5"/>
    </row>
    <row r="2" spans="2:22" ht="60" customHeight="1">
      <c r="B2" s="366" t="s">
        <v>1579</v>
      </c>
      <c r="C2" s="361"/>
      <c r="D2" s="361"/>
      <c r="E2" s="361"/>
      <c r="F2" s="361"/>
      <c r="G2" s="361"/>
      <c r="H2" s="361"/>
      <c r="I2" s="361"/>
      <c r="J2" s="361"/>
      <c r="K2" s="361"/>
      <c r="L2" s="361"/>
      <c r="M2" s="361"/>
      <c r="N2" s="361"/>
      <c r="O2" s="361"/>
      <c r="P2" s="361"/>
      <c r="Q2" s="361"/>
      <c r="R2" s="361"/>
      <c r="S2" s="62"/>
      <c r="T2" s="5" t="s">
        <v>271</v>
      </c>
    </row>
    <row r="3" spans="2:22" ht="71.25">
      <c r="H3" s="6"/>
      <c r="I3" s="6"/>
      <c r="J3" s="10" t="s">
        <v>262</v>
      </c>
      <c r="K3" s="10" t="s">
        <v>24</v>
      </c>
      <c r="L3" s="10" t="s">
        <v>26</v>
      </c>
      <c r="M3" s="10" t="s">
        <v>28</v>
      </c>
      <c r="N3" s="10" t="s">
        <v>19</v>
      </c>
      <c r="O3" s="10" t="s">
        <v>13</v>
      </c>
      <c r="P3" s="10" t="s">
        <v>204</v>
      </c>
      <c r="Q3" s="10" t="s">
        <v>205</v>
      </c>
      <c r="R3" s="10" t="s">
        <v>269</v>
      </c>
      <c r="S3" s="10" t="s">
        <v>206</v>
      </c>
    </row>
    <row r="4" spans="2:22" ht="18.600000000000001" customHeight="1">
      <c r="B4" s="7" t="s">
        <v>0</v>
      </c>
      <c r="C4" s="8" t="s">
        <v>1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338</v>
      </c>
      <c r="J4" s="115">
        <v>45903</v>
      </c>
      <c r="K4" s="115" t="s">
        <v>961</v>
      </c>
      <c r="L4" s="64">
        <v>26</v>
      </c>
      <c r="M4" s="64" t="s">
        <v>51</v>
      </c>
      <c r="N4" s="116">
        <v>15</v>
      </c>
      <c r="O4" s="271">
        <v>26</v>
      </c>
      <c r="P4" s="16"/>
      <c r="Q4" s="17"/>
      <c r="R4" s="272">
        <v>353090</v>
      </c>
      <c r="S4" s="135">
        <f>IFERROR(R4/100/O4, )</f>
        <v>135.80384615384617</v>
      </c>
      <c r="T4" s="118">
        <v>196</v>
      </c>
      <c r="U4" s="147"/>
      <c r="V4" s="5" t="s">
        <v>320</v>
      </c>
    </row>
    <row r="5" spans="2:22" s="9" customFormat="1" ht="18.600000000000001" customHeight="1">
      <c r="B5" s="11" t="s">
        <v>6</v>
      </c>
      <c r="C5" s="12"/>
      <c r="D5" s="12"/>
      <c r="E5" s="12">
        <v>44860</v>
      </c>
      <c r="F5" s="12">
        <v>45170</v>
      </c>
      <c r="G5" s="12">
        <v>45538</v>
      </c>
      <c r="H5" s="12">
        <v>45903</v>
      </c>
      <c r="J5" s="115">
        <v>45904</v>
      </c>
      <c r="K5" s="115" t="s">
        <v>954</v>
      </c>
      <c r="L5" s="64">
        <v>36</v>
      </c>
      <c r="M5" s="64" t="s">
        <v>51</v>
      </c>
      <c r="N5" s="116">
        <v>18</v>
      </c>
      <c r="O5" s="15">
        <v>32</v>
      </c>
      <c r="P5" s="16"/>
      <c r="Q5" s="17"/>
      <c r="R5" s="272">
        <v>441880</v>
      </c>
      <c r="S5" s="17">
        <f t="shared" ref="S5:S30" si="0">IFERROR(R5/100/O5, )</f>
        <v>138.08750000000001</v>
      </c>
      <c r="T5" s="118">
        <v>781</v>
      </c>
      <c r="U5" s="147"/>
    </row>
    <row r="6" spans="2:22" ht="20.45" customHeight="1">
      <c r="B6" s="11" t="s">
        <v>7</v>
      </c>
      <c r="C6" s="12"/>
      <c r="D6" s="12"/>
      <c r="E6" s="12">
        <v>44874</v>
      </c>
      <c r="F6" s="12">
        <v>45189</v>
      </c>
      <c r="G6" s="12">
        <v>45550</v>
      </c>
      <c r="H6" s="12">
        <v>45920</v>
      </c>
      <c r="J6" s="115">
        <v>45905</v>
      </c>
      <c r="K6" s="115" t="s">
        <v>954</v>
      </c>
      <c r="L6" s="64">
        <v>36</v>
      </c>
      <c r="M6" s="64" t="s">
        <v>51</v>
      </c>
      <c r="N6" s="116">
        <v>7</v>
      </c>
      <c r="O6" s="15">
        <v>4</v>
      </c>
      <c r="P6" s="16"/>
      <c r="Q6" s="17"/>
      <c r="R6" s="16">
        <v>173560</v>
      </c>
      <c r="S6" s="17">
        <f t="shared" si="0"/>
        <v>433.9</v>
      </c>
      <c r="T6" s="118">
        <v>315</v>
      </c>
      <c r="U6" s="128"/>
    </row>
    <row r="7" spans="2:22" ht="20.45" customHeight="1">
      <c r="B7" s="11" t="s">
        <v>8</v>
      </c>
      <c r="C7" s="19"/>
      <c r="D7" s="19"/>
      <c r="E7" s="19">
        <f>IF(E6=0,"-",E6-E5+1)</f>
        <v>15</v>
      </c>
      <c r="F7" s="19">
        <f>IF(F6=0,"-",F6-F5+1)</f>
        <v>20</v>
      </c>
      <c r="G7" s="19">
        <v>13</v>
      </c>
      <c r="H7" s="19">
        <f>IF(H6=0,"-",H6-H5+1)</f>
        <v>18</v>
      </c>
      <c r="J7" s="115">
        <v>45906</v>
      </c>
      <c r="K7" s="115"/>
      <c r="L7" s="64"/>
      <c r="M7" s="64"/>
      <c r="N7" s="116"/>
      <c r="O7" s="15"/>
      <c r="P7" s="16"/>
      <c r="Q7" s="17"/>
      <c r="R7" s="16"/>
      <c r="S7" s="17"/>
      <c r="T7" s="128"/>
      <c r="U7" s="128"/>
    </row>
    <row r="8" spans="2:22" ht="20.45" customHeight="1">
      <c r="B8" s="11" t="s">
        <v>9</v>
      </c>
      <c r="C8" s="19"/>
      <c r="D8" s="19"/>
      <c r="E8" s="19">
        <v>13</v>
      </c>
      <c r="F8" s="19">
        <v>19</v>
      </c>
      <c r="G8" s="19">
        <v>13</v>
      </c>
      <c r="H8" s="19">
        <v>15</v>
      </c>
      <c r="J8" s="115">
        <v>45907</v>
      </c>
      <c r="K8" s="115" t="s">
        <v>948</v>
      </c>
      <c r="L8" s="64">
        <v>72</v>
      </c>
      <c r="M8" s="64" t="s">
        <v>51</v>
      </c>
      <c r="N8" s="116">
        <v>20</v>
      </c>
      <c r="O8" s="15">
        <v>36</v>
      </c>
      <c r="P8" s="16"/>
      <c r="Q8" s="17"/>
      <c r="R8" s="272">
        <v>475340</v>
      </c>
      <c r="S8" s="17">
        <f t="shared" si="0"/>
        <v>132.03888888888889</v>
      </c>
      <c r="T8" s="118" t="s">
        <v>272</v>
      </c>
      <c r="U8" s="251"/>
    </row>
    <row r="9" spans="2:22" ht="20.45" customHeight="1">
      <c r="B9" s="11" t="s">
        <v>10</v>
      </c>
      <c r="C9" s="20"/>
      <c r="D9" s="20"/>
      <c r="E9" s="20"/>
      <c r="F9" s="20"/>
      <c r="G9" s="20" t="s">
        <v>268</v>
      </c>
      <c r="H9" s="20" t="s">
        <v>268</v>
      </c>
      <c r="J9" s="115">
        <v>45908</v>
      </c>
      <c r="K9" s="115" t="s">
        <v>948</v>
      </c>
      <c r="L9" s="64">
        <v>72</v>
      </c>
      <c r="M9" s="64" t="s">
        <v>51</v>
      </c>
      <c r="N9" s="116">
        <v>22</v>
      </c>
      <c r="O9" s="15">
        <v>36</v>
      </c>
      <c r="P9" s="16"/>
      <c r="Q9" s="17"/>
      <c r="R9" s="272">
        <v>567420</v>
      </c>
      <c r="S9" s="17">
        <f t="shared" si="0"/>
        <v>157.61666666666667</v>
      </c>
      <c r="T9" s="141">
        <v>94</v>
      </c>
      <c r="U9" s="147"/>
    </row>
    <row r="10" spans="2:22" ht="20.45" customHeight="1">
      <c r="B10" s="11" t="s">
        <v>11</v>
      </c>
      <c r="C10" s="34"/>
      <c r="D10" s="34"/>
      <c r="E10" s="34">
        <v>3647.23</v>
      </c>
      <c r="F10" s="34">
        <v>5885.83</v>
      </c>
      <c r="G10" s="34">
        <v>6304.38</v>
      </c>
      <c r="H10" s="34">
        <f>R30/1000</f>
        <v>5445.72</v>
      </c>
      <c r="J10" s="115"/>
      <c r="K10" s="115" t="s">
        <v>955</v>
      </c>
      <c r="L10" s="64">
        <v>36</v>
      </c>
      <c r="M10" s="64" t="s">
        <v>51</v>
      </c>
      <c r="N10" s="116">
        <v>4</v>
      </c>
      <c r="O10" s="15">
        <v>6</v>
      </c>
      <c r="P10" s="16"/>
      <c r="Q10" s="17"/>
      <c r="R10" s="16">
        <v>81900</v>
      </c>
      <c r="S10" s="17">
        <f t="shared" si="0"/>
        <v>136.5</v>
      </c>
      <c r="T10" s="143">
        <v>896</v>
      </c>
      <c r="U10" s="142"/>
    </row>
    <row r="11" spans="2:22" ht="20.45" customHeight="1">
      <c r="B11" s="11" t="s">
        <v>12</v>
      </c>
      <c r="C11" s="22"/>
      <c r="D11" s="22"/>
      <c r="E11" s="22">
        <v>274.04000000000002</v>
      </c>
      <c r="F11" s="22">
        <v>304.89999999999998</v>
      </c>
      <c r="G11" s="22">
        <v>305</v>
      </c>
      <c r="H11" s="22">
        <v>343</v>
      </c>
      <c r="I11" s="131"/>
      <c r="J11" s="115">
        <v>45909</v>
      </c>
      <c r="K11" s="115" t="s">
        <v>955</v>
      </c>
      <c r="L11" s="64">
        <v>36</v>
      </c>
      <c r="M11" s="64" t="s">
        <v>51</v>
      </c>
      <c r="N11" s="116">
        <v>7</v>
      </c>
      <c r="O11" s="15">
        <v>10</v>
      </c>
      <c r="P11" s="106"/>
      <c r="Q11" s="117"/>
      <c r="R11" s="16">
        <v>190240</v>
      </c>
      <c r="S11" s="17">
        <f t="shared" si="0"/>
        <v>190.24</v>
      </c>
      <c r="T11" s="118">
        <v>780</v>
      </c>
      <c r="U11" s="128"/>
    </row>
    <row r="12" spans="2:22" ht="20.45" customHeight="1">
      <c r="B12" s="11" t="s">
        <v>13</v>
      </c>
      <c r="C12" s="22"/>
      <c r="D12" s="22"/>
      <c r="E12" s="22">
        <v>274.04000000000002</v>
      </c>
      <c r="F12" s="22">
        <v>304.89999999999998</v>
      </c>
      <c r="G12" s="22">
        <v>305</v>
      </c>
      <c r="H12" s="22">
        <f>O30</f>
        <v>343</v>
      </c>
      <c r="J12" s="115">
        <v>45910</v>
      </c>
      <c r="K12" s="115"/>
      <c r="L12" s="64"/>
      <c r="M12" s="64"/>
      <c r="N12" s="116"/>
      <c r="O12" s="15"/>
      <c r="P12" s="106"/>
      <c r="Q12" s="117"/>
      <c r="R12" s="16"/>
      <c r="S12" s="17">
        <f t="shared" si="0"/>
        <v>0</v>
      </c>
      <c r="T12" s="118">
        <v>347</v>
      </c>
      <c r="U12" s="128"/>
    </row>
    <row r="13" spans="2:22" ht="20.45" customHeight="1">
      <c r="B13" s="11" t="s">
        <v>14</v>
      </c>
      <c r="C13" s="23"/>
      <c r="D13" s="23"/>
      <c r="E13" s="23">
        <f>E10*10/E12</f>
        <v>133.09115457597431</v>
      </c>
      <c r="F13" s="23">
        <f>F10*10/F12</f>
        <v>193.04132502459825</v>
      </c>
      <c r="G13" s="23">
        <v>206.7009836065574</v>
      </c>
      <c r="H13" s="23">
        <f>S30</f>
        <v>158.76734693877549</v>
      </c>
      <c r="J13" s="115">
        <v>45911</v>
      </c>
      <c r="K13" s="115" t="s">
        <v>955</v>
      </c>
      <c r="L13" s="64">
        <v>36</v>
      </c>
      <c r="M13" s="64" t="s">
        <v>51</v>
      </c>
      <c r="N13" s="116">
        <v>16</v>
      </c>
      <c r="O13" s="15">
        <v>20</v>
      </c>
      <c r="P13" s="16"/>
      <c r="Q13" s="17"/>
      <c r="R13" s="16">
        <v>394370</v>
      </c>
      <c r="S13" s="17">
        <f t="shared" si="0"/>
        <v>197.185</v>
      </c>
      <c r="T13" s="143">
        <v>514</v>
      </c>
      <c r="U13" s="142"/>
    </row>
    <row r="14" spans="2:22" ht="20.45" customHeight="1">
      <c r="B14" s="11"/>
      <c r="C14" s="24"/>
      <c r="D14" s="24"/>
      <c r="E14" s="24"/>
      <c r="F14" s="24"/>
      <c r="G14" s="24"/>
      <c r="J14" s="115">
        <v>45912</v>
      </c>
      <c r="K14" s="115" t="s">
        <v>947</v>
      </c>
      <c r="L14" s="64">
        <v>72</v>
      </c>
      <c r="M14" s="64" t="s">
        <v>51</v>
      </c>
      <c r="N14" s="116">
        <v>19</v>
      </c>
      <c r="O14" s="15">
        <v>34</v>
      </c>
      <c r="P14" s="16"/>
      <c r="Q14" s="17"/>
      <c r="R14" s="272">
        <v>483750</v>
      </c>
      <c r="S14" s="17">
        <f t="shared" si="0"/>
        <v>142.27941176470588</v>
      </c>
      <c r="T14" s="118">
        <v>393</v>
      </c>
      <c r="U14" s="128"/>
    </row>
    <row r="15" spans="2:22" ht="17.45" customHeight="1">
      <c r="J15" s="13">
        <v>45913</v>
      </c>
      <c r="K15" s="115" t="s">
        <v>947</v>
      </c>
      <c r="L15" s="64">
        <v>72</v>
      </c>
      <c r="M15" s="64" t="s">
        <v>51</v>
      </c>
      <c r="N15" s="14">
        <v>22</v>
      </c>
      <c r="O15" s="15">
        <v>32</v>
      </c>
      <c r="P15" s="16"/>
      <c r="Q15" s="17"/>
      <c r="R15" s="272">
        <v>555940</v>
      </c>
      <c r="S15" s="17">
        <f t="shared" si="0"/>
        <v>173.73124999999999</v>
      </c>
      <c r="T15" s="118">
        <v>701</v>
      </c>
      <c r="U15" s="128"/>
    </row>
    <row r="16" spans="2:22" s="25" customFormat="1" ht="17.45" customHeight="1">
      <c r="B16" s="11"/>
      <c r="C16" s="2"/>
      <c r="D16" s="5"/>
      <c r="E16" s="5"/>
      <c r="F16" s="5"/>
      <c r="G16" s="3"/>
      <c r="H16" s="5"/>
      <c r="J16" s="13"/>
      <c r="K16" s="115" t="s">
        <v>952</v>
      </c>
      <c r="L16" s="64">
        <v>36</v>
      </c>
      <c r="M16" s="64" t="s">
        <v>51</v>
      </c>
      <c r="N16" s="14">
        <v>1</v>
      </c>
      <c r="O16" s="15">
        <v>1.5</v>
      </c>
      <c r="P16" s="16"/>
      <c r="Q16" s="17"/>
      <c r="R16" s="272">
        <v>23390</v>
      </c>
      <c r="S16" s="17">
        <f t="shared" si="0"/>
        <v>155.93333333333334</v>
      </c>
      <c r="T16" s="118">
        <v>780</v>
      </c>
      <c r="U16" s="128"/>
    </row>
    <row r="17" spans="2:21" ht="17.45" customHeight="1">
      <c r="B17" s="27" t="s">
        <v>339</v>
      </c>
      <c r="C17" s="28"/>
      <c r="D17" s="28"/>
      <c r="E17" s="28"/>
      <c r="G17" s="3"/>
      <c r="J17" s="115"/>
      <c r="K17" s="115" t="s">
        <v>950</v>
      </c>
      <c r="L17" s="64">
        <v>36</v>
      </c>
      <c r="M17" s="64" t="s">
        <v>51</v>
      </c>
      <c r="N17" s="116">
        <v>1</v>
      </c>
      <c r="O17" s="15">
        <v>1.5</v>
      </c>
      <c r="P17" s="16"/>
      <c r="Q17" s="17"/>
      <c r="R17" s="272">
        <v>23290</v>
      </c>
      <c r="S17" s="17">
        <f t="shared" si="0"/>
        <v>155.26666666666668</v>
      </c>
      <c r="T17" s="118">
        <v>317</v>
      </c>
      <c r="U17" s="128"/>
    </row>
    <row r="18" spans="2:21" ht="17.45" customHeight="1">
      <c r="B18" s="11" t="s">
        <v>16</v>
      </c>
      <c r="C18" s="34">
        <v>6860</v>
      </c>
      <c r="D18" s="166">
        <f>C18/E18</f>
        <v>20</v>
      </c>
      <c r="E18" s="138">
        <f>H11</f>
        <v>343</v>
      </c>
      <c r="G18" s="3"/>
      <c r="J18" s="115">
        <v>45914</v>
      </c>
      <c r="K18" s="115" t="s">
        <v>947</v>
      </c>
      <c r="L18" s="64">
        <v>72</v>
      </c>
      <c r="M18" s="64" t="s">
        <v>51</v>
      </c>
      <c r="N18" s="116">
        <v>6</v>
      </c>
      <c r="O18" s="15">
        <v>6</v>
      </c>
      <c r="P18" s="16"/>
      <c r="Q18" s="17"/>
      <c r="R18" s="272">
        <v>146090</v>
      </c>
      <c r="S18" s="17">
        <f t="shared" si="0"/>
        <v>243.48333333333335</v>
      </c>
      <c r="T18" s="130">
        <v>72</v>
      </c>
      <c r="U18" s="128"/>
    </row>
    <row r="19" spans="2:21" ht="17.45" customHeight="1">
      <c r="B19" s="120" t="s">
        <v>17</v>
      </c>
      <c r="C19" s="69">
        <f>R30/1000</f>
        <v>5445.72</v>
      </c>
      <c r="D19" s="167">
        <f>IFERROR(C19/E19,)</f>
        <v>15.876734693877552</v>
      </c>
      <c r="E19" s="122">
        <f>O30</f>
        <v>343</v>
      </c>
      <c r="G19" s="3"/>
      <c r="J19" s="115"/>
      <c r="K19" s="13" t="s">
        <v>950</v>
      </c>
      <c r="L19" s="64">
        <v>36</v>
      </c>
      <c r="M19" s="64" t="s">
        <v>51</v>
      </c>
      <c r="N19" s="116">
        <v>11</v>
      </c>
      <c r="O19" s="15">
        <v>15.7</v>
      </c>
      <c r="P19" s="16"/>
      <c r="Q19" s="17"/>
      <c r="R19" s="272">
        <v>270880</v>
      </c>
      <c r="S19" s="17">
        <f t="shared" si="0"/>
        <v>172.53503184713378</v>
      </c>
      <c r="T19" s="143">
        <v>866</v>
      </c>
      <c r="U19" s="144"/>
    </row>
    <row r="20" spans="2:21" ht="17.45" customHeight="1">
      <c r="B20" s="11" t="s">
        <v>179</v>
      </c>
      <c r="C20" s="2">
        <f>C19/C18</f>
        <v>0.79383673469387761</v>
      </c>
      <c r="D20" s="1"/>
      <c r="E20" s="138"/>
      <c r="G20" s="3"/>
      <c r="J20" s="115">
        <v>45915</v>
      </c>
      <c r="K20" s="115" t="s">
        <v>953</v>
      </c>
      <c r="L20" s="64">
        <v>29</v>
      </c>
      <c r="M20" s="64" t="s">
        <v>51</v>
      </c>
      <c r="N20" s="116">
        <v>1</v>
      </c>
      <c r="O20" s="15">
        <v>1.5</v>
      </c>
      <c r="P20" s="16"/>
      <c r="Q20" s="17"/>
      <c r="R20" s="16">
        <v>23050</v>
      </c>
      <c r="S20" s="17">
        <f t="shared" si="0"/>
        <v>153.66666666666666</v>
      </c>
      <c r="T20" s="118">
        <v>347</v>
      </c>
      <c r="U20" s="134"/>
    </row>
    <row r="21" spans="2:21" ht="17.45" customHeight="1">
      <c r="B21" s="11" t="s">
        <v>180</v>
      </c>
      <c r="C21" s="2">
        <f>IFERROR(E19/E18, )</f>
        <v>1</v>
      </c>
      <c r="G21" s="32"/>
      <c r="J21" s="115"/>
      <c r="K21" s="115" t="s">
        <v>952</v>
      </c>
      <c r="L21" s="64">
        <v>36</v>
      </c>
      <c r="M21" s="64" t="s">
        <v>51</v>
      </c>
      <c r="N21" s="116">
        <v>1</v>
      </c>
      <c r="O21" s="15">
        <v>1.5</v>
      </c>
      <c r="P21" s="16"/>
      <c r="Q21" s="17"/>
      <c r="R21" s="272">
        <v>22510</v>
      </c>
      <c r="S21" s="17">
        <f t="shared" si="0"/>
        <v>150.06666666666666</v>
      </c>
      <c r="T21" s="118">
        <v>425</v>
      </c>
      <c r="U21" s="128"/>
    </row>
    <row r="22" spans="2:21" ht="17.45" customHeight="1">
      <c r="B22" s="5" t="s">
        <v>1975</v>
      </c>
      <c r="J22" s="115"/>
      <c r="K22" s="115" t="s">
        <v>950</v>
      </c>
      <c r="L22" s="64">
        <v>36</v>
      </c>
      <c r="M22" s="64" t="s">
        <v>51</v>
      </c>
      <c r="N22" s="116">
        <v>1</v>
      </c>
      <c r="O22" s="15">
        <v>1.5</v>
      </c>
      <c r="P22" s="16"/>
      <c r="Q22" s="17"/>
      <c r="R22" s="272">
        <v>21400</v>
      </c>
      <c r="S22" s="17">
        <f t="shared" si="0"/>
        <v>142.66666666666666</v>
      </c>
      <c r="T22" s="118">
        <v>400</v>
      </c>
      <c r="U22" s="134"/>
    </row>
    <row r="23" spans="2:21" ht="17.45" customHeight="1">
      <c r="B23" s="249" t="s">
        <v>1216</v>
      </c>
      <c r="C23" s="247"/>
      <c r="D23" s="248"/>
      <c r="E23" s="248"/>
      <c r="J23" s="115">
        <v>45916</v>
      </c>
      <c r="K23" s="115"/>
      <c r="L23" s="64"/>
      <c r="M23" s="64"/>
      <c r="N23" s="116"/>
      <c r="O23" s="15"/>
      <c r="P23" s="16"/>
      <c r="Q23" s="17"/>
      <c r="R23" s="272"/>
      <c r="S23" s="17"/>
      <c r="T23" s="118">
        <v>258</v>
      </c>
      <c r="U23" s="128"/>
    </row>
    <row r="24" spans="2:21" ht="17.45" customHeight="1">
      <c r="B24" s="11" t="s">
        <v>16</v>
      </c>
      <c r="C24" s="34">
        <v>520</v>
      </c>
      <c r="D24" s="166">
        <f>C24/E24</f>
        <v>20</v>
      </c>
      <c r="E24" s="138">
        <v>26</v>
      </c>
      <c r="J24" s="115">
        <v>45917</v>
      </c>
      <c r="K24" s="115" t="s">
        <v>953</v>
      </c>
      <c r="L24" s="64">
        <v>29</v>
      </c>
      <c r="M24" s="64" t="s">
        <v>51</v>
      </c>
      <c r="N24" s="116">
        <v>8</v>
      </c>
      <c r="O24" s="15">
        <v>11.8</v>
      </c>
      <c r="P24" s="16"/>
      <c r="Q24" s="17"/>
      <c r="R24" s="272">
        <v>186750</v>
      </c>
      <c r="S24" s="17">
        <f t="shared" si="0"/>
        <v>158.26271186440678</v>
      </c>
      <c r="T24" s="118">
        <v>613</v>
      </c>
      <c r="U24" s="128"/>
    </row>
    <row r="25" spans="2:21" ht="17.45" customHeight="1">
      <c r="B25" s="120" t="s">
        <v>17</v>
      </c>
      <c r="C25" s="69">
        <f>R4/1000</f>
        <v>353.09</v>
      </c>
      <c r="D25" s="167">
        <f>C25/E25</f>
        <v>13.580384615384615</v>
      </c>
      <c r="E25" s="122">
        <f>O4</f>
        <v>26</v>
      </c>
      <c r="J25" s="115">
        <v>45918</v>
      </c>
      <c r="K25" s="115" t="s">
        <v>950</v>
      </c>
      <c r="L25" s="64">
        <v>36</v>
      </c>
      <c r="M25" s="64" t="s">
        <v>51</v>
      </c>
      <c r="N25" s="116">
        <v>8</v>
      </c>
      <c r="O25" s="15">
        <v>17.3</v>
      </c>
      <c r="P25" s="16"/>
      <c r="Q25" s="17"/>
      <c r="R25" s="272">
        <v>207910</v>
      </c>
      <c r="S25" s="17">
        <f t="shared" si="0"/>
        <v>120.17919075144508</v>
      </c>
      <c r="T25" s="118" t="s">
        <v>279</v>
      </c>
      <c r="U25" s="134"/>
    </row>
    <row r="26" spans="2:21" ht="17.45" customHeight="1">
      <c r="B26" s="11" t="s">
        <v>179</v>
      </c>
      <c r="C26" s="2">
        <f>C25/C24</f>
        <v>0.67901923076923076</v>
      </c>
      <c r="D26" s="1"/>
      <c r="J26" s="115"/>
      <c r="K26" s="115" t="s">
        <v>952</v>
      </c>
      <c r="L26" s="64">
        <v>36</v>
      </c>
      <c r="M26" s="64" t="s">
        <v>51</v>
      </c>
      <c r="N26" s="116">
        <v>4</v>
      </c>
      <c r="O26" s="15">
        <v>8</v>
      </c>
      <c r="P26" s="16"/>
      <c r="Q26" s="17"/>
      <c r="R26" s="272">
        <v>97030</v>
      </c>
      <c r="S26" s="17">
        <f t="shared" si="0"/>
        <v>121.28749999999999</v>
      </c>
      <c r="T26" s="118" t="s">
        <v>280</v>
      </c>
      <c r="U26" s="134"/>
    </row>
    <row r="27" spans="2:21" ht="17.45" customHeight="1">
      <c r="B27" s="11" t="s">
        <v>180</v>
      </c>
      <c r="C27" s="2">
        <f>E25/E24</f>
        <v>1</v>
      </c>
      <c r="J27" s="115"/>
      <c r="K27" s="115" t="s">
        <v>953</v>
      </c>
      <c r="L27" s="64">
        <v>29</v>
      </c>
      <c r="M27" s="64" t="s">
        <v>51</v>
      </c>
      <c r="N27" s="116">
        <v>11</v>
      </c>
      <c r="O27" s="15">
        <v>15.7</v>
      </c>
      <c r="P27" s="16"/>
      <c r="Q27" s="17"/>
      <c r="R27" s="272">
        <v>260410</v>
      </c>
      <c r="S27" s="17">
        <f t="shared" si="0"/>
        <v>165.86624203821657</v>
      </c>
      <c r="T27" s="118" t="s">
        <v>288</v>
      </c>
      <c r="U27" s="128"/>
    </row>
    <row r="28" spans="2:21" ht="17.45" customHeight="1">
      <c r="J28" s="115">
        <v>45919</v>
      </c>
      <c r="K28" s="115" t="s">
        <v>952</v>
      </c>
      <c r="L28" s="64">
        <v>36</v>
      </c>
      <c r="M28" s="64" t="s">
        <v>51</v>
      </c>
      <c r="N28" s="116">
        <v>15</v>
      </c>
      <c r="O28" s="15">
        <v>23</v>
      </c>
      <c r="P28" s="16"/>
      <c r="Q28" s="17"/>
      <c r="R28" s="272">
        <v>409830</v>
      </c>
      <c r="S28" s="17">
        <f t="shared" si="0"/>
        <v>178.18695652173915</v>
      </c>
      <c r="T28" s="118"/>
      <c r="U28" s="128"/>
    </row>
    <row r="29" spans="2:21" ht="17.45" customHeight="1">
      <c r="B29" s="249" t="s">
        <v>1664</v>
      </c>
      <c r="C29" s="247"/>
      <c r="D29" s="248"/>
      <c r="E29" s="248"/>
      <c r="J29" s="115">
        <v>45920</v>
      </c>
      <c r="K29" s="115" t="s">
        <v>952</v>
      </c>
      <c r="L29" s="64">
        <v>36</v>
      </c>
      <c r="M29" s="64" t="s">
        <v>51</v>
      </c>
      <c r="N29" s="116">
        <v>2</v>
      </c>
      <c r="O29" s="15">
        <v>2</v>
      </c>
      <c r="P29" s="16"/>
      <c r="Q29" s="17"/>
      <c r="R29" s="272">
        <v>35690</v>
      </c>
      <c r="S29" s="17">
        <f t="shared" si="0"/>
        <v>178.45</v>
      </c>
      <c r="T29" s="118"/>
      <c r="U29" s="128"/>
    </row>
    <row r="30" spans="2:21" ht="17.45" customHeight="1">
      <c r="B30" s="11" t="s">
        <v>16</v>
      </c>
      <c r="C30" s="34">
        <v>6340</v>
      </c>
      <c r="D30" s="166">
        <f>C30/E30</f>
        <v>20</v>
      </c>
      <c r="E30" s="138">
        <v>317</v>
      </c>
      <c r="J30" s="10" t="s">
        <v>21</v>
      </c>
      <c r="K30" s="10"/>
      <c r="L30" s="252"/>
      <c r="M30" s="10"/>
      <c r="N30" s="10">
        <f>SUM(N4:N29)</f>
        <v>220</v>
      </c>
      <c r="O30" s="273">
        <f>SUM(O4:O29)</f>
        <v>343</v>
      </c>
      <c r="P30" s="274">
        <f>SUM(P4:P29)</f>
        <v>0</v>
      </c>
      <c r="Q30" s="275"/>
      <c r="R30" s="274">
        <f>SUM(R4:R29)</f>
        <v>5445720</v>
      </c>
      <c r="S30" s="31">
        <f t="shared" si="0"/>
        <v>158.76734693877549</v>
      </c>
      <c r="T30" s="118"/>
      <c r="U30" s="128"/>
    </row>
    <row r="31" spans="2:21" ht="17.45" customHeight="1">
      <c r="B31" s="120" t="s">
        <v>17</v>
      </c>
      <c r="C31" s="69">
        <f>SUM(R5:R29)/1000</f>
        <v>5092.63</v>
      </c>
      <c r="D31" s="167">
        <f>C31/E31</f>
        <v>16.065078864353314</v>
      </c>
      <c r="E31" s="122">
        <f>SUM(O5:O29)</f>
        <v>317</v>
      </c>
      <c r="O31" s="5"/>
      <c r="R31" s="5"/>
      <c r="T31" s="118"/>
      <c r="U31" s="128"/>
    </row>
    <row r="32" spans="2:21" ht="15">
      <c r="B32" s="11" t="s">
        <v>179</v>
      </c>
      <c r="C32" s="2">
        <f>C31/C30</f>
        <v>0.80325394321766563</v>
      </c>
      <c r="D32" s="1"/>
      <c r="O32" s="5"/>
      <c r="R32" s="80"/>
    </row>
    <row r="33" spans="2:20" ht="15">
      <c r="B33" s="11" t="s">
        <v>180</v>
      </c>
      <c r="C33" s="2">
        <f>E31/E30</f>
        <v>1</v>
      </c>
      <c r="O33" s="5"/>
      <c r="R33" s="5"/>
      <c r="T33" s="118"/>
    </row>
    <row r="34" spans="2:20">
      <c r="O34" s="5"/>
      <c r="R34" s="5"/>
    </row>
    <row r="35" spans="2:20">
      <c r="O35" s="5"/>
      <c r="R35" s="5"/>
      <c r="T35" s="118"/>
    </row>
    <row r="36" spans="2:20">
      <c r="O36" s="5"/>
      <c r="R36" s="5"/>
    </row>
    <row r="37" spans="2:20">
      <c r="O37" s="5"/>
      <c r="R37" s="5"/>
    </row>
    <row r="38" spans="2:20">
      <c r="O38" s="5"/>
      <c r="R38" s="5"/>
    </row>
    <row r="39" spans="2:20">
      <c r="O39" s="5"/>
      <c r="R39" s="5"/>
      <c r="T39" s="118"/>
    </row>
    <row r="40" spans="2:20">
      <c r="O40" s="5"/>
      <c r="R40" s="5"/>
    </row>
    <row r="41" spans="2:20" ht="16.5" customHeight="1">
      <c r="O41" s="5"/>
      <c r="R41" s="5"/>
      <c r="T41" s="118"/>
    </row>
    <row r="42" spans="2:20">
      <c r="O42" s="5"/>
      <c r="R42" s="5"/>
    </row>
    <row r="43" spans="2:20">
      <c r="O43" s="5"/>
      <c r="R43" s="5"/>
    </row>
    <row r="44" spans="2:20">
      <c r="O44" s="5"/>
      <c r="R44" s="5"/>
    </row>
    <row r="45" spans="2:20">
      <c r="O45" s="5"/>
      <c r="R45" s="5"/>
    </row>
    <row r="46" spans="2:20">
      <c r="O46" s="5"/>
      <c r="R46" s="5"/>
    </row>
    <row r="47" spans="2:20">
      <c r="O47" s="5"/>
      <c r="R47" s="5"/>
    </row>
    <row r="48" spans="2:20">
      <c r="O48" s="5"/>
      <c r="R48" s="5"/>
    </row>
    <row r="49" spans="15:18">
      <c r="O49" s="5"/>
      <c r="R49" s="5"/>
    </row>
    <row r="50" spans="15:18">
      <c r="O50" s="5"/>
      <c r="R50" s="5"/>
    </row>
    <row r="51" spans="15:18">
      <c r="O51" s="5"/>
      <c r="R51" s="5"/>
    </row>
    <row r="52" spans="15:18">
      <c r="O52" s="5"/>
      <c r="R52" s="5"/>
    </row>
    <row r="53" spans="15:18">
      <c r="O53" s="5"/>
      <c r="R53" s="5"/>
    </row>
    <row r="54" spans="15:18">
      <c r="O54" s="5"/>
      <c r="R54" s="5"/>
    </row>
    <row r="55" spans="15:18">
      <c r="O55" s="5"/>
      <c r="R55" s="5"/>
    </row>
    <row r="56" spans="15:18">
      <c r="O56" s="5"/>
      <c r="R56" s="5"/>
    </row>
    <row r="57" spans="15:18">
      <c r="O57" s="5"/>
      <c r="R57" s="5"/>
    </row>
    <row r="58" spans="15:18">
      <c r="O58" s="5"/>
      <c r="R58" s="5"/>
    </row>
    <row r="59" spans="15:18">
      <c r="O59" s="5"/>
      <c r="R59" s="5"/>
    </row>
    <row r="60" spans="15:18">
      <c r="O60" s="5"/>
      <c r="R60" s="5"/>
    </row>
    <row r="61" spans="15:18">
      <c r="O61" s="5"/>
      <c r="R61" s="5"/>
    </row>
    <row r="62" spans="15:18">
      <c r="O62" s="5"/>
      <c r="R62" s="5"/>
    </row>
    <row r="63" spans="15:18">
      <c r="O63" s="5"/>
      <c r="R63" s="5"/>
    </row>
    <row r="64" spans="15:18">
      <c r="O64" s="5"/>
      <c r="R64" s="5"/>
    </row>
    <row r="65" spans="15:18">
      <c r="O65" s="5"/>
      <c r="R65" s="5"/>
    </row>
    <row r="66" spans="15:18">
      <c r="O66" s="5"/>
      <c r="R66" s="5"/>
    </row>
    <row r="67" spans="15:18">
      <c r="O67" s="5"/>
      <c r="R67" s="5"/>
    </row>
    <row r="68" spans="15:18">
      <c r="O68" s="5"/>
      <c r="R68" s="5"/>
    </row>
    <row r="69" spans="15:18">
      <c r="O69" s="5"/>
      <c r="R69" s="5"/>
    </row>
    <row r="70" spans="15:18">
      <c r="O70" s="5"/>
      <c r="R70" s="5"/>
    </row>
    <row r="71" spans="15:18">
      <c r="O71" s="5"/>
      <c r="R71" s="5"/>
    </row>
    <row r="72" spans="15:18">
      <c r="O72" s="5"/>
      <c r="R72" s="5"/>
    </row>
    <row r="73" spans="15:18">
      <c r="O73" s="5"/>
      <c r="R73" s="5"/>
    </row>
    <row r="74" spans="15:18">
      <c r="O74" s="5"/>
      <c r="R74" s="5"/>
    </row>
    <row r="75" spans="15:18">
      <c r="O75" s="5"/>
      <c r="R75" s="5"/>
    </row>
    <row r="76" spans="15:18">
      <c r="O76" s="5"/>
      <c r="R76" s="5"/>
    </row>
    <row r="77" spans="15:18">
      <c r="O77" s="5"/>
      <c r="R77" s="5"/>
    </row>
    <row r="78" spans="15:18">
      <c r="O78" s="5"/>
      <c r="R78" s="5"/>
    </row>
    <row r="79" spans="15:18">
      <c r="O79" s="5"/>
      <c r="R79" s="5"/>
    </row>
    <row r="80" spans="15:18">
      <c r="O80" s="5"/>
      <c r="R80" s="5"/>
    </row>
    <row r="81" spans="15:18">
      <c r="O81" s="5"/>
      <c r="R81" s="5"/>
    </row>
    <row r="82" spans="15:18">
      <c r="O82" s="5"/>
      <c r="R82" s="5"/>
    </row>
    <row r="83" spans="15:18">
      <c r="O83" s="5"/>
      <c r="R83" s="5"/>
    </row>
    <row r="84" spans="15:18">
      <c r="O84" s="5"/>
      <c r="R84" s="5"/>
    </row>
    <row r="85" spans="15:18">
      <c r="O85" s="5"/>
      <c r="R85" s="5"/>
    </row>
    <row r="86" spans="15:18">
      <c r="O86" s="5"/>
      <c r="R86" s="5"/>
    </row>
    <row r="87" spans="15:18">
      <c r="O87" s="5"/>
      <c r="R87" s="5"/>
    </row>
    <row r="88" spans="15:18">
      <c r="O88" s="5"/>
      <c r="R88" s="5"/>
    </row>
    <row r="89" spans="15:18">
      <c r="O89" s="5"/>
      <c r="R89" s="5"/>
    </row>
    <row r="90" spans="15:18">
      <c r="O90" s="5"/>
      <c r="R90" s="5"/>
    </row>
    <row r="91" spans="15:18">
      <c r="O91" s="5"/>
      <c r="R91" s="5"/>
    </row>
    <row r="92" spans="15:18">
      <c r="O92" s="5"/>
      <c r="R92" s="5"/>
    </row>
    <row r="93" spans="15:18">
      <c r="O93" s="5"/>
      <c r="R93" s="5"/>
    </row>
    <row r="94" spans="15:18">
      <c r="O94" s="5"/>
      <c r="R94" s="5"/>
    </row>
    <row r="95" spans="15:18">
      <c r="O95" s="5"/>
      <c r="R95" s="5"/>
    </row>
    <row r="96" spans="15:18">
      <c r="O96" s="5"/>
      <c r="R96" s="5"/>
    </row>
    <row r="97" spans="15:18">
      <c r="O97" s="5"/>
      <c r="R97" s="5"/>
    </row>
    <row r="98" spans="15:18">
      <c r="O98" s="5"/>
      <c r="R98" s="5"/>
    </row>
    <row r="99" spans="15:18">
      <c r="O99" s="5"/>
      <c r="R99" s="5"/>
    </row>
    <row r="100" spans="15:18">
      <c r="O100" s="5"/>
      <c r="R100" s="5"/>
    </row>
    <row r="101" spans="15:18">
      <c r="O101" s="5"/>
      <c r="R101" s="5"/>
    </row>
    <row r="102" spans="15:18">
      <c r="O102" s="5"/>
      <c r="R102" s="5"/>
    </row>
    <row r="103" spans="15:18">
      <c r="O103" s="5"/>
      <c r="R103" s="5"/>
    </row>
    <row r="104" spans="15:18">
      <c r="O104" s="5"/>
      <c r="R104" s="5"/>
    </row>
    <row r="105" spans="15:18">
      <c r="O105" s="5"/>
      <c r="R105" s="5"/>
    </row>
    <row r="106" spans="15:18">
      <c r="O106" s="5"/>
      <c r="R106" s="5"/>
    </row>
    <row r="107" spans="15:18">
      <c r="O107" s="5"/>
      <c r="R107" s="5"/>
    </row>
    <row r="108" spans="15:18">
      <c r="O108" s="5"/>
      <c r="R108" s="5"/>
    </row>
    <row r="109" spans="15:18">
      <c r="O109" s="5"/>
      <c r="R109" s="5"/>
    </row>
    <row r="110" spans="15:18">
      <c r="O110" s="5"/>
      <c r="R110" s="5"/>
    </row>
    <row r="111" spans="15:18">
      <c r="O111" s="5"/>
      <c r="R111" s="5"/>
    </row>
    <row r="112" spans="15:18">
      <c r="O112" s="5"/>
      <c r="R112" s="5"/>
    </row>
    <row r="113" spans="15:18">
      <c r="O113" s="5"/>
      <c r="R113" s="5"/>
    </row>
    <row r="114" spans="15:18">
      <c r="O114" s="5"/>
      <c r="R114" s="5"/>
    </row>
    <row r="115" spans="15:18">
      <c r="O115" s="5"/>
      <c r="R115" s="5"/>
    </row>
    <row r="116" spans="15:18">
      <c r="O116" s="5"/>
      <c r="R116" s="5"/>
    </row>
    <row r="117" spans="15:18">
      <c r="O117" s="5"/>
      <c r="R117" s="5"/>
    </row>
    <row r="118" spans="15:18">
      <c r="O118" s="5"/>
      <c r="R118" s="5"/>
    </row>
    <row r="119" spans="15:18">
      <c r="O119" s="5"/>
      <c r="R119" s="5"/>
    </row>
    <row r="120" spans="15:18">
      <c r="O120" s="5"/>
      <c r="R120" s="5"/>
    </row>
    <row r="121" spans="15:18">
      <c r="O121" s="5"/>
      <c r="R121" s="5"/>
    </row>
    <row r="122" spans="15:18">
      <c r="O122" s="5"/>
      <c r="R122" s="5"/>
    </row>
    <row r="123" spans="15:18">
      <c r="O123" s="5"/>
      <c r="R123" s="5"/>
    </row>
    <row r="124" spans="15:18">
      <c r="O124" s="5"/>
      <c r="R124" s="5"/>
    </row>
    <row r="125" spans="15:18">
      <c r="O125" s="5"/>
      <c r="R125" s="5"/>
    </row>
    <row r="126" spans="15:18">
      <c r="O126" s="5"/>
      <c r="R126" s="5"/>
    </row>
    <row r="127" spans="15:18">
      <c r="O127" s="5"/>
      <c r="R127" s="5"/>
    </row>
    <row r="128" spans="15:18">
      <c r="O128" s="5"/>
      <c r="R128" s="5"/>
    </row>
    <row r="129" spans="15:18">
      <c r="O129" s="5"/>
      <c r="R129" s="5"/>
    </row>
    <row r="130" spans="15:18">
      <c r="O130" s="5"/>
      <c r="R130" s="5"/>
    </row>
    <row r="131" spans="15:18">
      <c r="O131" s="5"/>
      <c r="R131" s="5"/>
    </row>
    <row r="132" spans="15:18">
      <c r="O132" s="5"/>
      <c r="R132" s="5"/>
    </row>
    <row r="133" spans="15:18">
      <c r="O133" s="5"/>
      <c r="R133" s="5"/>
    </row>
    <row r="134" spans="15:18">
      <c r="O134" s="5"/>
      <c r="R134" s="5"/>
    </row>
    <row r="135" spans="15:18">
      <c r="O135" s="5"/>
      <c r="R135" s="5"/>
    </row>
    <row r="136" spans="15:18">
      <c r="O136" s="5"/>
      <c r="R136" s="5"/>
    </row>
    <row r="137" spans="15:18">
      <c r="O137" s="5"/>
      <c r="R137" s="5"/>
    </row>
    <row r="138" spans="15:18">
      <c r="O138" s="5"/>
      <c r="R138" s="5"/>
    </row>
    <row r="139" spans="15:18">
      <c r="O139" s="5"/>
      <c r="R139" s="5"/>
    </row>
    <row r="140" spans="15:18">
      <c r="O140" s="5"/>
      <c r="R140" s="5"/>
    </row>
    <row r="141" spans="15:18">
      <c r="O141" s="5"/>
      <c r="R141" s="5"/>
    </row>
    <row r="142" spans="15:18">
      <c r="O142" s="5"/>
      <c r="R142" s="5"/>
    </row>
    <row r="143" spans="15:18">
      <c r="O143" s="5"/>
      <c r="R143" s="5"/>
    </row>
    <row r="144" spans="15:18">
      <c r="O144" s="5"/>
      <c r="R144" s="5"/>
    </row>
    <row r="145" spans="15:18">
      <c r="O145" s="5"/>
      <c r="R145" s="5"/>
    </row>
    <row r="146" spans="15:18">
      <c r="O146" s="5"/>
      <c r="R146" s="5"/>
    </row>
    <row r="147" spans="15:18">
      <c r="O147" s="5"/>
      <c r="R147" s="5"/>
    </row>
    <row r="148" spans="15:18">
      <c r="O148" s="5"/>
      <c r="R148" s="5"/>
    </row>
    <row r="149" spans="15:18">
      <c r="O149" s="5"/>
      <c r="R149" s="5"/>
    </row>
    <row r="150" spans="15:18">
      <c r="O150" s="5"/>
      <c r="R150" s="5"/>
    </row>
    <row r="151" spans="15:18">
      <c r="O151" s="5"/>
      <c r="R151" s="5"/>
    </row>
    <row r="152" spans="15:18">
      <c r="O152" s="5"/>
      <c r="R152" s="5"/>
    </row>
    <row r="153" spans="15:18">
      <c r="O153" s="5"/>
      <c r="R153" s="5"/>
    </row>
    <row r="154" spans="15:18">
      <c r="O154" s="5"/>
      <c r="R154" s="5"/>
    </row>
    <row r="155" spans="15:18">
      <c r="O155" s="5"/>
      <c r="R155" s="5"/>
    </row>
    <row r="156" spans="15:18">
      <c r="O156" s="5"/>
      <c r="R156" s="5"/>
    </row>
    <row r="157" spans="15:18">
      <c r="O157" s="5"/>
      <c r="R157" s="5"/>
    </row>
    <row r="158" spans="15:18">
      <c r="O158" s="5"/>
      <c r="R158" s="5"/>
    </row>
    <row r="159" spans="15:18">
      <c r="O159" s="5"/>
      <c r="R159" s="5"/>
    </row>
    <row r="160" spans="15:18">
      <c r="O160" s="5"/>
      <c r="R160" s="5"/>
    </row>
    <row r="161" spans="15:18">
      <c r="O161" s="5"/>
      <c r="R161" s="5"/>
    </row>
    <row r="162" spans="15:18">
      <c r="O162" s="5"/>
      <c r="R162" s="5"/>
    </row>
    <row r="163" spans="15:18">
      <c r="O163" s="5"/>
      <c r="R163" s="5"/>
    </row>
    <row r="164" spans="15:18">
      <c r="O164" s="5"/>
      <c r="R164" s="5"/>
    </row>
    <row r="165" spans="15:18">
      <c r="O165" s="5"/>
      <c r="R165" s="5"/>
    </row>
    <row r="166" spans="15:18">
      <c r="O166" s="5"/>
      <c r="R166" s="5"/>
    </row>
    <row r="167" spans="15:18">
      <c r="O167" s="5"/>
      <c r="R167" s="5"/>
    </row>
    <row r="168" spans="15:18">
      <c r="O168" s="5"/>
      <c r="R168" s="5"/>
    </row>
    <row r="169" spans="15:18">
      <c r="O169" s="5"/>
      <c r="R169" s="5"/>
    </row>
    <row r="170" spans="15:18">
      <c r="O170" s="5"/>
      <c r="R170" s="5"/>
    </row>
    <row r="171" spans="15:18">
      <c r="O171" s="5"/>
      <c r="R171" s="5"/>
    </row>
    <row r="172" spans="15:18">
      <c r="O172" s="5"/>
      <c r="R172" s="5"/>
    </row>
    <row r="173" spans="15:18">
      <c r="O173" s="5"/>
      <c r="R173" s="5"/>
    </row>
    <row r="174" spans="15:18">
      <c r="O174" s="5"/>
      <c r="R174" s="5"/>
    </row>
    <row r="175" spans="15:18">
      <c r="O175" s="5"/>
      <c r="R175" s="5"/>
    </row>
    <row r="176" spans="15:18">
      <c r="O176" s="5"/>
      <c r="R176" s="5"/>
    </row>
    <row r="177" spans="15:18">
      <c r="O177" s="5"/>
      <c r="R177" s="5"/>
    </row>
    <row r="178" spans="15:18">
      <c r="O178" s="5"/>
      <c r="R178" s="5"/>
    </row>
    <row r="179" spans="15:18">
      <c r="O179" s="5"/>
      <c r="R179" s="5"/>
    </row>
    <row r="180" spans="15:18">
      <c r="O180" s="5"/>
      <c r="R180" s="5"/>
    </row>
    <row r="181" spans="15:18">
      <c r="O181" s="5"/>
      <c r="R181" s="5"/>
    </row>
    <row r="182" spans="15:18">
      <c r="O182" s="5"/>
      <c r="R182" s="5"/>
    </row>
    <row r="183" spans="15:18">
      <c r="O183" s="5"/>
      <c r="R183" s="5"/>
    </row>
    <row r="184" spans="15:18">
      <c r="O184" s="5"/>
      <c r="R184" s="5"/>
    </row>
    <row r="185" spans="15:18">
      <c r="O185" s="5"/>
      <c r="R185" s="5"/>
    </row>
    <row r="186" spans="15:18">
      <c r="O186" s="5"/>
      <c r="R186" s="5"/>
    </row>
    <row r="187" spans="15:18">
      <c r="O187" s="5"/>
      <c r="R187" s="5"/>
    </row>
    <row r="188" spans="15:18">
      <c r="O188" s="5"/>
      <c r="R188" s="5"/>
    </row>
    <row r="189" spans="15:18">
      <c r="O189" s="5"/>
      <c r="R189" s="5"/>
    </row>
    <row r="190" spans="15:18">
      <c r="O190" s="5"/>
      <c r="R190" s="5"/>
    </row>
    <row r="191" spans="15:18">
      <c r="O191" s="5"/>
      <c r="R191" s="5"/>
    </row>
    <row r="192" spans="15:18">
      <c r="O192" s="5"/>
      <c r="R192" s="5"/>
    </row>
    <row r="193" spans="15:18">
      <c r="O193" s="5"/>
      <c r="R193" s="5"/>
    </row>
    <row r="194" spans="15:18">
      <c r="O194" s="5"/>
      <c r="R194" s="5"/>
    </row>
    <row r="195" spans="15:18">
      <c r="O195" s="5"/>
      <c r="R195" s="5"/>
    </row>
    <row r="196" spans="15:18">
      <c r="O196" s="5"/>
      <c r="R196" s="5"/>
    </row>
    <row r="197" spans="15:18">
      <c r="O197" s="5"/>
      <c r="R197" s="5"/>
    </row>
    <row r="198" spans="15:18">
      <c r="O198" s="5"/>
      <c r="R198" s="5"/>
    </row>
    <row r="199" spans="15:18">
      <c r="O199" s="5"/>
      <c r="R199" s="5"/>
    </row>
    <row r="200" spans="15:18">
      <c r="O200" s="5"/>
      <c r="R200" s="5"/>
    </row>
    <row r="201" spans="15:18">
      <c r="O201" s="5"/>
      <c r="R201" s="5"/>
    </row>
    <row r="202" spans="15:18">
      <c r="O202" s="5"/>
      <c r="R202" s="5"/>
    </row>
    <row r="203" spans="15:18">
      <c r="O203" s="5"/>
      <c r="R203" s="5"/>
    </row>
    <row r="204" spans="15:18">
      <c r="O204" s="5"/>
      <c r="R204" s="5"/>
    </row>
    <row r="205" spans="15:18">
      <c r="O205" s="5"/>
      <c r="R205" s="5"/>
    </row>
    <row r="206" spans="15:18">
      <c r="O206" s="5"/>
      <c r="R206" s="5"/>
    </row>
    <row r="207" spans="15:18">
      <c r="O207" s="5"/>
      <c r="R207" s="5"/>
    </row>
    <row r="208" spans="15:18">
      <c r="O208" s="5"/>
      <c r="R208" s="5"/>
    </row>
    <row r="209" spans="15:18">
      <c r="O209" s="5"/>
      <c r="R209" s="5"/>
    </row>
    <row r="210" spans="15:18">
      <c r="O210" s="5"/>
      <c r="R210" s="5"/>
    </row>
    <row r="211" spans="15:18">
      <c r="O211" s="5"/>
      <c r="R211" s="5"/>
    </row>
    <row r="212" spans="15:18">
      <c r="O212" s="5"/>
      <c r="R212" s="5"/>
    </row>
    <row r="213" spans="15:18">
      <c r="O213" s="5"/>
      <c r="R213" s="5"/>
    </row>
    <row r="214" spans="15:18">
      <c r="O214" s="5"/>
      <c r="R214" s="5"/>
    </row>
    <row r="215" spans="15:18">
      <c r="O215" s="5"/>
      <c r="R215" s="5"/>
    </row>
    <row r="216" spans="15:18">
      <c r="O216" s="5"/>
      <c r="R216" s="5"/>
    </row>
    <row r="217" spans="15:18">
      <c r="O217" s="5"/>
      <c r="R217" s="5"/>
    </row>
    <row r="218" spans="15:18">
      <c r="O218" s="5"/>
      <c r="R218" s="5"/>
    </row>
    <row r="219" spans="15:18">
      <c r="O219" s="5"/>
      <c r="R219" s="5"/>
    </row>
    <row r="220" spans="15:18">
      <c r="O220" s="5"/>
      <c r="R220" s="5"/>
    </row>
    <row r="221" spans="15:18">
      <c r="O221" s="5"/>
      <c r="R221" s="5"/>
    </row>
    <row r="222" spans="15:18">
      <c r="O222" s="5"/>
      <c r="R222" s="5"/>
    </row>
    <row r="223" spans="15:18">
      <c r="O223" s="5"/>
      <c r="R223" s="5"/>
    </row>
    <row r="224" spans="15:18">
      <c r="O224" s="5"/>
      <c r="R224" s="5"/>
    </row>
    <row r="225" spans="15:18">
      <c r="O225" s="5"/>
      <c r="R225" s="5"/>
    </row>
    <row r="226" spans="15:18">
      <c r="O226" s="5"/>
      <c r="R226" s="5"/>
    </row>
    <row r="227" spans="15:18">
      <c r="O227" s="5"/>
      <c r="R227" s="5"/>
    </row>
    <row r="228" spans="15:18">
      <c r="O228" s="5"/>
      <c r="R228" s="5"/>
    </row>
    <row r="229" spans="15:18">
      <c r="O229" s="5"/>
      <c r="R229" s="5"/>
    </row>
    <row r="230" spans="15:18">
      <c r="O230" s="5"/>
      <c r="R230" s="5"/>
    </row>
    <row r="231" spans="15:18">
      <c r="O231" s="5"/>
      <c r="R231" s="5"/>
    </row>
    <row r="232" spans="15:18">
      <c r="O232" s="5"/>
      <c r="R232" s="5"/>
    </row>
    <row r="233" spans="15:18">
      <c r="O233" s="5"/>
      <c r="R233" s="5"/>
    </row>
    <row r="234" spans="15:18">
      <c r="O234" s="5"/>
      <c r="R234" s="5"/>
    </row>
    <row r="235" spans="15:18">
      <c r="O235" s="5"/>
      <c r="R235" s="5"/>
    </row>
    <row r="236" spans="15:18">
      <c r="O236" s="5"/>
      <c r="R236" s="5"/>
    </row>
    <row r="237" spans="15:18">
      <c r="O237" s="5"/>
      <c r="R237" s="5"/>
    </row>
    <row r="238" spans="15:18">
      <c r="O238" s="5"/>
      <c r="R238" s="5"/>
    </row>
    <row r="239" spans="15:18">
      <c r="O239" s="5"/>
      <c r="R239" s="5"/>
    </row>
    <row r="240" spans="15:18">
      <c r="O240" s="5"/>
      <c r="R240" s="5"/>
    </row>
    <row r="241" spans="15:18">
      <c r="O241" s="5"/>
      <c r="R241" s="5"/>
    </row>
    <row r="242" spans="15:18">
      <c r="O242" s="5"/>
      <c r="R242" s="5"/>
    </row>
    <row r="243" spans="15:18">
      <c r="O243" s="5"/>
      <c r="R243" s="5"/>
    </row>
    <row r="244" spans="15:18">
      <c r="O244" s="5"/>
      <c r="R244" s="5"/>
    </row>
    <row r="245" spans="15:18">
      <c r="O245" s="5"/>
      <c r="R245" s="5"/>
    </row>
    <row r="246" spans="15:18">
      <c r="O246" s="5"/>
      <c r="R246" s="5"/>
    </row>
    <row r="247" spans="15:18">
      <c r="O247" s="5"/>
      <c r="R247" s="5"/>
    </row>
    <row r="248" spans="15:18">
      <c r="O248" s="5"/>
      <c r="R248" s="5"/>
    </row>
    <row r="249" spans="15:18">
      <c r="O249" s="5"/>
      <c r="R249" s="5"/>
    </row>
    <row r="250" spans="15:18">
      <c r="O250" s="5"/>
      <c r="R250" s="5"/>
    </row>
    <row r="251" spans="15:18">
      <c r="O251" s="5"/>
      <c r="R251" s="5"/>
    </row>
    <row r="252" spans="15:18">
      <c r="O252" s="5"/>
      <c r="R252" s="5"/>
    </row>
    <row r="253" spans="15:18">
      <c r="O253" s="5"/>
      <c r="R253" s="5"/>
    </row>
    <row r="254" spans="15:18">
      <c r="O254" s="5"/>
      <c r="R254" s="5"/>
    </row>
    <row r="255" spans="15:18">
      <c r="O255" s="5"/>
      <c r="R255" s="5"/>
    </row>
    <row r="256" spans="15:18">
      <c r="O256" s="5"/>
      <c r="R256" s="5"/>
    </row>
    <row r="257" spans="15:18">
      <c r="O257" s="5"/>
      <c r="R257" s="5"/>
    </row>
    <row r="258" spans="15:18">
      <c r="O258" s="5"/>
      <c r="R258" s="5"/>
    </row>
    <row r="259" spans="15:18">
      <c r="O259" s="5"/>
      <c r="R259" s="5"/>
    </row>
    <row r="260" spans="15:18">
      <c r="O260" s="5"/>
      <c r="R260" s="5"/>
    </row>
    <row r="261" spans="15:18">
      <c r="O261" s="5"/>
      <c r="R261" s="5"/>
    </row>
    <row r="262" spans="15:18">
      <c r="O262" s="5"/>
      <c r="R262" s="5"/>
    </row>
    <row r="263" spans="15:18">
      <c r="O263" s="5"/>
      <c r="R263" s="5"/>
    </row>
    <row r="264" spans="15:18">
      <c r="O264" s="5"/>
      <c r="R264" s="5"/>
    </row>
    <row r="265" spans="15:18">
      <c r="O265" s="5"/>
      <c r="R265" s="5"/>
    </row>
    <row r="266" spans="15:18">
      <c r="O266" s="5"/>
      <c r="R266" s="5"/>
    </row>
    <row r="267" spans="15:18">
      <c r="O267" s="5"/>
      <c r="R267" s="5"/>
    </row>
    <row r="268" spans="15:18">
      <c r="O268" s="5"/>
      <c r="R268" s="5"/>
    </row>
    <row r="269" spans="15:18">
      <c r="O269" s="5"/>
      <c r="R269" s="5"/>
    </row>
    <row r="270" spans="15:18">
      <c r="O270" s="5"/>
      <c r="R270" s="5"/>
    </row>
    <row r="271" spans="15:18">
      <c r="O271" s="5"/>
      <c r="R271" s="5"/>
    </row>
    <row r="272" spans="15:18">
      <c r="O272" s="5"/>
      <c r="R272" s="5"/>
    </row>
    <row r="273" spans="15:18">
      <c r="O273" s="5"/>
      <c r="R273" s="5"/>
    </row>
    <row r="274" spans="15:18">
      <c r="O274" s="5"/>
      <c r="R274" s="5"/>
    </row>
    <row r="275" spans="15:18">
      <c r="O275" s="5"/>
      <c r="R275" s="5"/>
    </row>
    <row r="276" spans="15:18">
      <c r="O276" s="5"/>
      <c r="R276" s="5"/>
    </row>
    <row r="277" spans="15:18">
      <c r="O277" s="5"/>
      <c r="R277" s="5"/>
    </row>
    <row r="278" spans="15:18">
      <c r="O278" s="5"/>
      <c r="R278" s="5"/>
    </row>
    <row r="279" spans="15:18">
      <c r="O279" s="5"/>
      <c r="R279" s="5"/>
    </row>
    <row r="280" spans="15:18">
      <c r="O280" s="5"/>
      <c r="R280" s="5"/>
    </row>
    <row r="281" spans="15:18">
      <c r="O281" s="5"/>
      <c r="R281" s="5"/>
    </row>
    <row r="282" spans="15:18">
      <c r="O282" s="5"/>
      <c r="R282" s="5"/>
    </row>
    <row r="283" spans="15:18">
      <c r="O283" s="5"/>
      <c r="R283" s="5"/>
    </row>
    <row r="284" spans="15:18">
      <c r="O284" s="5"/>
      <c r="R284" s="5"/>
    </row>
    <row r="285" spans="15:18">
      <c r="O285" s="5"/>
      <c r="R285" s="5"/>
    </row>
    <row r="286" spans="15:18">
      <c r="O286" s="5"/>
      <c r="R286" s="5"/>
    </row>
    <row r="287" spans="15:18">
      <c r="O287" s="5"/>
      <c r="R287" s="5"/>
    </row>
    <row r="288" spans="15:18">
      <c r="O288" s="5"/>
      <c r="R288" s="5"/>
    </row>
    <row r="289" spans="15:18">
      <c r="O289" s="5"/>
      <c r="R289" s="5"/>
    </row>
    <row r="290" spans="15:18">
      <c r="O290" s="5"/>
      <c r="R290" s="5"/>
    </row>
    <row r="291" spans="15:18">
      <c r="O291" s="5"/>
      <c r="R291" s="5"/>
    </row>
    <row r="292" spans="15:18">
      <c r="O292" s="5"/>
      <c r="R292" s="5"/>
    </row>
    <row r="293" spans="15:18">
      <c r="O293" s="5"/>
      <c r="R293" s="5"/>
    </row>
    <row r="294" spans="15:18">
      <c r="O294" s="5"/>
      <c r="R294" s="5"/>
    </row>
    <row r="295" spans="15:18">
      <c r="O295" s="5"/>
      <c r="R295" s="5"/>
    </row>
    <row r="296" spans="15:18">
      <c r="O296" s="5"/>
      <c r="R296" s="5"/>
    </row>
    <row r="297" spans="15:18">
      <c r="O297" s="5"/>
      <c r="R297" s="5"/>
    </row>
    <row r="298" spans="15:18">
      <c r="O298" s="5"/>
      <c r="R298" s="5"/>
    </row>
    <row r="299" spans="15:18">
      <c r="O299" s="5"/>
      <c r="R299" s="5"/>
    </row>
    <row r="300" spans="15:18">
      <c r="O300" s="5"/>
      <c r="R300" s="5"/>
    </row>
    <row r="301" spans="15:18">
      <c r="O301" s="5"/>
      <c r="R301" s="5"/>
    </row>
    <row r="302" spans="15:18">
      <c r="O302" s="5"/>
      <c r="R302" s="5"/>
    </row>
    <row r="303" spans="15:18">
      <c r="O303" s="5"/>
      <c r="R303" s="5"/>
    </row>
    <row r="304" spans="15:18">
      <c r="O304" s="5"/>
      <c r="R304" s="5"/>
    </row>
    <row r="305" spans="15:18">
      <c r="O305" s="5"/>
      <c r="R305" s="5"/>
    </row>
    <row r="306" spans="15:18">
      <c r="O306" s="5"/>
      <c r="R306" s="5"/>
    </row>
    <row r="307" spans="15:18">
      <c r="O307" s="5"/>
      <c r="R307" s="5"/>
    </row>
    <row r="308" spans="15:18">
      <c r="O308" s="5"/>
      <c r="R308" s="5"/>
    </row>
    <row r="309" spans="15:18">
      <c r="O309" s="5"/>
      <c r="R309" s="5"/>
    </row>
    <row r="310" spans="15:18">
      <c r="O310" s="5"/>
      <c r="R310" s="5"/>
    </row>
    <row r="311" spans="15:18">
      <c r="O311" s="5"/>
      <c r="R311" s="5"/>
    </row>
    <row r="312" spans="15:18">
      <c r="O312" s="5"/>
      <c r="R312" s="5"/>
    </row>
    <row r="313" spans="15:18">
      <c r="O313" s="5"/>
      <c r="R313" s="5"/>
    </row>
    <row r="314" spans="15:18">
      <c r="O314" s="5"/>
      <c r="R314" s="5"/>
    </row>
    <row r="315" spans="15:18">
      <c r="O315" s="5"/>
      <c r="R315" s="5"/>
    </row>
    <row r="316" spans="15:18">
      <c r="O316" s="5"/>
      <c r="R316" s="5"/>
    </row>
    <row r="317" spans="15:18">
      <c r="O317" s="5"/>
      <c r="R317" s="5"/>
    </row>
    <row r="318" spans="15:18">
      <c r="O318" s="5"/>
      <c r="R318" s="5"/>
    </row>
    <row r="319" spans="15:18">
      <c r="O319" s="5"/>
      <c r="R319" s="5"/>
    </row>
    <row r="320" spans="15:18">
      <c r="O320" s="5"/>
      <c r="R320" s="5"/>
    </row>
    <row r="321" spans="15:18">
      <c r="O321" s="5"/>
      <c r="R321" s="5"/>
    </row>
    <row r="322" spans="15:18">
      <c r="O322" s="5"/>
      <c r="R322" s="5"/>
    </row>
    <row r="323" spans="15:18">
      <c r="O323" s="5"/>
      <c r="R323" s="5"/>
    </row>
    <row r="324" spans="15:18">
      <c r="O324" s="5"/>
      <c r="R324" s="5"/>
    </row>
    <row r="325" spans="15:18">
      <c r="O325" s="5"/>
      <c r="R325" s="5"/>
    </row>
    <row r="326" spans="15:18">
      <c r="O326" s="5"/>
      <c r="R326" s="5"/>
    </row>
    <row r="327" spans="15:18">
      <c r="O327" s="5"/>
      <c r="R327" s="5"/>
    </row>
    <row r="328" spans="15:18">
      <c r="O328" s="5"/>
      <c r="R328" s="5"/>
    </row>
    <row r="329" spans="15:18">
      <c r="O329" s="5"/>
      <c r="R329" s="5"/>
    </row>
    <row r="330" spans="15:18">
      <c r="O330" s="5"/>
      <c r="R330" s="5"/>
    </row>
    <row r="331" spans="15:18">
      <c r="O331" s="5"/>
      <c r="R331" s="5"/>
    </row>
    <row r="332" spans="15:18">
      <c r="O332" s="5"/>
      <c r="R332" s="5"/>
    </row>
    <row r="333" spans="15:18">
      <c r="O333" s="5"/>
      <c r="R333" s="5"/>
    </row>
    <row r="334" spans="15:18">
      <c r="O334" s="5"/>
      <c r="R334" s="5"/>
    </row>
    <row r="335" spans="15:18">
      <c r="O335" s="5"/>
      <c r="R335" s="5"/>
    </row>
    <row r="336" spans="15:18">
      <c r="O336" s="5"/>
      <c r="R336" s="5"/>
    </row>
    <row r="337" spans="15:18">
      <c r="O337" s="5"/>
      <c r="R337" s="5"/>
    </row>
    <row r="338" spans="15:18">
      <c r="O338" s="5"/>
      <c r="R338" s="5"/>
    </row>
    <row r="339" spans="15:18">
      <c r="O339" s="5"/>
      <c r="R339" s="5"/>
    </row>
    <row r="340" spans="15:18">
      <c r="O340" s="5"/>
      <c r="R340" s="5"/>
    </row>
    <row r="341" spans="15:18">
      <c r="O341" s="5"/>
      <c r="R341" s="5"/>
    </row>
    <row r="342" spans="15:18">
      <c r="O342" s="5"/>
      <c r="R342" s="5"/>
    </row>
    <row r="343" spans="15:18">
      <c r="O343" s="5"/>
      <c r="R343" s="5"/>
    </row>
    <row r="344" spans="15:18">
      <c r="O344" s="5"/>
      <c r="R344" s="5"/>
    </row>
    <row r="345" spans="15:18">
      <c r="O345" s="5"/>
      <c r="R345" s="5"/>
    </row>
    <row r="346" spans="15:18">
      <c r="O346" s="5"/>
      <c r="R346" s="5"/>
    </row>
    <row r="347" spans="15:18">
      <c r="O347" s="5"/>
      <c r="R347" s="5"/>
    </row>
    <row r="348" spans="15:18">
      <c r="O348" s="5"/>
      <c r="R348" s="5"/>
    </row>
    <row r="349" spans="15:18">
      <c r="O349" s="5"/>
      <c r="R349" s="5"/>
    </row>
    <row r="350" spans="15:18">
      <c r="O350" s="5"/>
      <c r="R350" s="5"/>
    </row>
    <row r="351" spans="15:18">
      <c r="O351" s="5"/>
      <c r="R351" s="5"/>
    </row>
    <row r="352" spans="15:18">
      <c r="O352" s="5"/>
      <c r="R352" s="5"/>
    </row>
    <row r="353" spans="15:18">
      <c r="O353" s="5"/>
      <c r="R353" s="5"/>
    </row>
    <row r="354" spans="15:18">
      <c r="O354" s="5"/>
      <c r="R354" s="5"/>
    </row>
    <row r="355" spans="15:18">
      <c r="O355" s="5"/>
      <c r="R355" s="5"/>
    </row>
    <row r="356" spans="15:18">
      <c r="O356" s="5"/>
      <c r="R356" s="5"/>
    </row>
    <row r="357" spans="15:18">
      <c r="O357" s="5"/>
      <c r="R357" s="5"/>
    </row>
    <row r="358" spans="15:18">
      <c r="O358" s="5"/>
      <c r="R358" s="5"/>
    </row>
    <row r="359" spans="15:18">
      <c r="O359" s="5"/>
      <c r="R359" s="5"/>
    </row>
    <row r="360" spans="15:18">
      <c r="O360" s="5"/>
      <c r="R360" s="5"/>
    </row>
    <row r="361" spans="15:18">
      <c r="O361" s="5"/>
      <c r="R361" s="5"/>
    </row>
    <row r="362" spans="15:18">
      <c r="O362" s="5"/>
      <c r="R362" s="5"/>
    </row>
    <row r="363" spans="15:18">
      <c r="O363" s="5"/>
      <c r="R363" s="5"/>
    </row>
    <row r="364" spans="15:18">
      <c r="O364" s="5"/>
      <c r="R364" s="5"/>
    </row>
    <row r="365" spans="15:18">
      <c r="O365" s="5"/>
      <c r="R365" s="5"/>
    </row>
    <row r="366" spans="15:18">
      <c r="O366" s="5"/>
      <c r="R366" s="5"/>
    </row>
    <row r="367" spans="15:18">
      <c r="O367" s="5"/>
      <c r="R367" s="5"/>
    </row>
    <row r="368" spans="15:18">
      <c r="O368" s="5"/>
      <c r="R368" s="5"/>
    </row>
    <row r="369" spans="15:18">
      <c r="O369" s="5"/>
      <c r="R369" s="5"/>
    </row>
    <row r="370" spans="15:18">
      <c r="O370" s="5"/>
      <c r="R370" s="5"/>
    </row>
    <row r="371" spans="15:18">
      <c r="O371" s="5"/>
      <c r="R371" s="5"/>
    </row>
    <row r="372" spans="15:18">
      <c r="O372" s="5"/>
      <c r="R372" s="5"/>
    </row>
    <row r="373" spans="15:18">
      <c r="O373" s="5"/>
      <c r="R373" s="5"/>
    </row>
    <row r="374" spans="15:18">
      <c r="O374" s="5"/>
      <c r="R374" s="5"/>
    </row>
    <row r="375" spans="15:18">
      <c r="O375" s="5"/>
      <c r="R375" s="5"/>
    </row>
    <row r="376" spans="15:18">
      <c r="O376" s="5"/>
      <c r="R376" s="5"/>
    </row>
    <row r="377" spans="15:18">
      <c r="O377" s="5"/>
      <c r="R377" s="5"/>
    </row>
    <row r="378" spans="15:18">
      <c r="O378" s="5"/>
      <c r="R378" s="5"/>
    </row>
    <row r="379" spans="15:18">
      <c r="O379" s="5"/>
      <c r="R379" s="5"/>
    </row>
    <row r="380" spans="15:18">
      <c r="O380" s="5"/>
      <c r="R380" s="5"/>
    </row>
    <row r="381" spans="15:18">
      <c r="O381" s="5"/>
      <c r="R381" s="5"/>
    </row>
    <row r="382" spans="15:18">
      <c r="O382" s="5"/>
      <c r="R382" s="5"/>
    </row>
    <row r="383" spans="15:18">
      <c r="O383" s="5"/>
      <c r="R383" s="5"/>
    </row>
    <row r="384" spans="15:18">
      <c r="O384" s="5"/>
      <c r="R384" s="5"/>
    </row>
    <row r="385" spans="15:18">
      <c r="O385" s="5"/>
      <c r="R385" s="5"/>
    </row>
    <row r="386" spans="15:18">
      <c r="O386" s="5"/>
      <c r="R386" s="5"/>
    </row>
    <row r="387" spans="15:18">
      <c r="O387" s="5"/>
      <c r="R387" s="5"/>
    </row>
    <row r="388" spans="15:18">
      <c r="O388" s="5"/>
      <c r="R388" s="5"/>
    </row>
    <row r="389" spans="15:18">
      <c r="O389" s="5"/>
      <c r="R389" s="5"/>
    </row>
    <row r="390" spans="15:18">
      <c r="O390" s="5"/>
      <c r="R390" s="5"/>
    </row>
    <row r="391" spans="15:18">
      <c r="O391" s="5"/>
      <c r="R391" s="5"/>
    </row>
    <row r="392" spans="15:18">
      <c r="O392" s="5"/>
      <c r="R392" s="5"/>
    </row>
    <row r="393" spans="15:18">
      <c r="O393" s="5"/>
      <c r="R393" s="5"/>
    </row>
    <row r="394" spans="15:18">
      <c r="O394" s="5"/>
      <c r="R394" s="5"/>
    </row>
    <row r="395" spans="15:18">
      <c r="O395" s="5"/>
      <c r="R395" s="5"/>
    </row>
    <row r="396" spans="15:18">
      <c r="O396" s="5"/>
      <c r="R396" s="5"/>
    </row>
    <row r="397" spans="15:18">
      <c r="O397" s="5"/>
      <c r="R397" s="5"/>
    </row>
    <row r="398" spans="15:18">
      <c r="O398" s="5"/>
      <c r="R398" s="5"/>
    </row>
    <row r="399" spans="15:18">
      <c r="O399" s="5"/>
      <c r="R399" s="5"/>
    </row>
    <row r="400" spans="15:18">
      <c r="O400" s="5"/>
      <c r="R400" s="5"/>
    </row>
    <row r="401" spans="15:18">
      <c r="O401" s="5"/>
      <c r="R401" s="5"/>
    </row>
    <row r="402" spans="15:18">
      <c r="O402" s="5"/>
      <c r="R402" s="5"/>
    </row>
    <row r="403" spans="15:18">
      <c r="O403" s="5"/>
      <c r="R403" s="5"/>
    </row>
    <row r="404" spans="15:18">
      <c r="O404" s="5"/>
      <c r="R404" s="5"/>
    </row>
    <row r="405" spans="15:18">
      <c r="O405" s="5"/>
      <c r="R405" s="5"/>
    </row>
    <row r="406" spans="15:18">
      <c r="O406" s="5"/>
      <c r="R406" s="5"/>
    </row>
    <row r="407" spans="15:18">
      <c r="O407" s="5"/>
      <c r="R407" s="5"/>
    </row>
    <row r="408" spans="15:18">
      <c r="O408" s="5"/>
      <c r="R408" s="5"/>
    </row>
    <row r="409" spans="15:18">
      <c r="O409" s="5"/>
      <c r="R409" s="5"/>
    </row>
    <row r="410" spans="15:18">
      <c r="O410" s="5"/>
      <c r="R410" s="5"/>
    </row>
    <row r="411" spans="15:18">
      <c r="O411" s="5"/>
      <c r="R411" s="5"/>
    </row>
    <row r="412" spans="15:18">
      <c r="O412" s="5"/>
      <c r="R412" s="5"/>
    </row>
    <row r="413" spans="15:18">
      <c r="O413" s="5"/>
      <c r="R413" s="5"/>
    </row>
    <row r="414" spans="15:18">
      <c r="O414" s="5"/>
      <c r="R414" s="5"/>
    </row>
    <row r="415" spans="15:18">
      <c r="O415" s="5"/>
      <c r="R415" s="5"/>
    </row>
    <row r="416" spans="15:18">
      <c r="O416" s="5"/>
      <c r="R416" s="5"/>
    </row>
    <row r="417" spans="15:18">
      <c r="O417" s="5"/>
      <c r="R417" s="5"/>
    </row>
    <row r="418" spans="15:18">
      <c r="O418" s="5"/>
      <c r="R418" s="5"/>
    </row>
    <row r="419" spans="15:18">
      <c r="O419" s="5"/>
      <c r="R419" s="5"/>
    </row>
    <row r="420" spans="15:18">
      <c r="O420" s="5"/>
      <c r="R420" s="5"/>
    </row>
    <row r="421" spans="15:18">
      <c r="O421" s="5"/>
      <c r="R421" s="5"/>
    </row>
    <row r="422" spans="15:18">
      <c r="O422" s="5"/>
      <c r="R422" s="5"/>
    </row>
    <row r="423" spans="15:18">
      <c r="O423" s="5"/>
      <c r="R423" s="5"/>
    </row>
    <row r="424" spans="15:18">
      <c r="O424" s="5"/>
      <c r="R424" s="5"/>
    </row>
    <row r="425" spans="15:18">
      <c r="O425" s="5"/>
      <c r="R425" s="5"/>
    </row>
    <row r="426" spans="15:18">
      <c r="O426" s="5"/>
      <c r="R426" s="5"/>
    </row>
    <row r="427" spans="15:18">
      <c r="O427" s="5"/>
      <c r="R427" s="5"/>
    </row>
    <row r="428" spans="15:18">
      <c r="O428" s="5"/>
      <c r="R428" s="5"/>
    </row>
    <row r="429" spans="15:18">
      <c r="O429" s="5"/>
      <c r="R429" s="5"/>
    </row>
    <row r="430" spans="15:18">
      <c r="O430" s="5"/>
      <c r="R430" s="5"/>
    </row>
    <row r="431" spans="15:18">
      <c r="O431" s="5"/>
      <c r="R431" s="5"/>
    </row>
    <row r="432" spans="15:18">
      <c r="O432" s="5"/>
      <c r="R432" s="5"/>
    </row>
    <row r="433" spans="15:18">
      <c r="O433" s="5"/>
      <c r="R433" s="5"/>
    </row>
    <row r="434" spans="15:18">
      <c r="O434" s="5"/>
      <c r="R434" s="5"/>
    </row>
    <row r="435" spans="15:18">
      <c r="O435" s="5"/>
      <c r="R435" s="5"/>
    </row>
    <row r="436" spans="15:18">
      <c r="O436" s="5"/>
      <c r="R436" s="5"/>
    </row>
    <row r="437" spans="15:18">
      <c r="O437" s="5"/>
      <c r="R437" s="5"/>
    </row>
    <row r="438" spans="15:18">
      <c r="O438" s="5"/>
      <c r="R438" s="5"/>
    </row>
    <row r="439" spans="15:18">
      <c r="O439" s="5"/>
      <c r="R439" s="5"/>
    </row>
    <row r="440" spans="15:18">
      <c r="O440" s="5"/>
      <c r="R440" s="5"/>
    </row>
    <row r="441" spans="15:18">
      <c r="O441" s="5"/>
      <c r="R441" s="5"/>
    </row>
    <row r="442" spans="15:18">
      <c r="O442" s="5"/>
      <c r="R442" s="5"/>
    </row>
    <row r="443" spans="15:18">
      <c r="O443" s="5"/>
      <c r="R443" s="5"/>
    </row>
    <row r="444" spans="15:18">
      <c r="O444" s="5"/>
      <c r="R444" s="5"/>
    </row>
    <row r="445" spans="15:18">
      <c r="O445" s="5"/>
      <c r="R445" s="5"/>
    </row>
    <row r="446" spans="15:18">
      <c r="O446" s="5"/>
      <c r="R446" s="5"/>
    </row>
    <row r="447" spans="15:18">
      <c r="O447" s="5"/>
      <c r="R447" s="5"/>
    </row>
    <row r="448" spans="15:18">
      <c r="O448" s="5"/>
      <c r="R448" s="5"/>
    </row>
    <row r="449" spans="15:18">
      <c r="O449" s="5"/>
      <c r="R449" s="5"/>
    </row>
    <row r="450" spans="15:18">
      <c r="O450" s="5"/>
      <c r="R450" s="5"/>
    </row>
    <row r="451" spans="15:18">
      <c r="O451" s="5"/>
      <c r="R451" s="5"/>
    </row>
    <row r="452" spans="15:18">
      <c r="O452" s="5"/>
      <c r="R452" s="5"/>
    </row>
    <row r="453" spans="15:18">
      <c r="O453" s="5"/>
      <c r="R453" s="5"/>
    </row>
    <row r="454" spans="15:18">
      <c r="O454" s="5"/>
      <c r="R454" s="5"/>
    </row>
    <row r="455" spans="15:18">
      <c r="O455" s="5"/>
      <c r="R455" s="5"/>
    </row>
    <row r="456" spans="15:18">
      <c r="O456" s="5"/>
      <c r="R456" s="5"/>
    </row>
    <row r="457" spans="15:18">
      <c r="O457" s="5"/>
      <c r="R457" s="5"/>
    </row>
    <row r="458" spans="15:18">
      <c r="O458" s="5"/>
      <c r="R458" s="5"/>
    </row>
    <row r="459" spans="15:18">
      <c r="O459" s="5"/>
      <c r="R459" s="5"/>
    </row>
    <row r="460" spans="15:18">
      <c r="O460" s="5"/>
      <c r="R460" s="5"/>
    </row>
    <row r="461" spans="15:18">
      <c r="O461" s="5"/>
      <c r="R461" s="5"/>
    </row>
    <row r="462" spans="15:18">
      <c r="O462" s="5"/>
      <c r="R462" s="5"/>
    </row>
    <row r="463" spans="15:18">
      <c r="O463" s="5"/>
      <c r="R463" s="5"/>
    </row>
    <row r="464" spans="15:18">
      <c r="O464" s="5"/>
      <c r="R464" s="5"/>
    </row>
    <row r="465" spans="15:18">
      <c r="O465" s="5"/>
      <c r="R465" s="5"/>
    </row>
    <row r="466" spans="15:18">
      <c r="O466" s="5"/>
      <c r="R466" s="5"/>
    </row>
    <row r="467" spans="15:18">
      <c r="O467" s="5"/>
      <c r="R467" s="5"/>
    </row>
    <row r="468" spans="15:18">
      <c r="O468" s="5"/>
      <c r="R468" s="5"/>
    </row>
    <row r="469" spans="15:18">
      <c r="O469" s="5"/>
      <c r="R469" s="5"/>
    </row>
    <row r="470" spans="15:18">
      <c r="O470" s="5"/>
      <c r="R470" s="5"/>
    </row>
    <row r="471" spans="15:18">
      <c r="O471" s="5"/>
      <c r="R471" s="5"/>
    </row>
    <row r="472" spans="15:18">
      <c r="O472" s="5"/>
      <c r="R472" s="5"/>
    </row>
    <row r="473" spans="15:18">
      <c r="O473" s="5"/>
      <c r="R473" s="5"/>
    </row>
    <row r="474" spans="15:18">
      <c r="O474" s="5"/>
      <c r="R474" s="5"/>
    </row>
    <row r="475" spans="15:18">
      <c r="O475" s="5"/>
      <c r="R475" s="5"/>
    </row>
    <row r="476" spans="15:18">
      <c r="O476" s="5"/>
      <c r="R476" s="5"/>
    </row>
    <row r="477" spans="15:18">
      <c r="O477" s="5"/>
      <c r="R477" s="5"/>
    </row>
    <row r="478" spans="15:18">
      <c r="O478" s="5"/>
      <c r="R478" s="5"/>
    </row>
    <row r="479" spans="15:18">
      <c r="O479" s="5"/>
      <c r="R479" s="5"/>
    </row>
    <row r="480" spans="15:18">
      <c r="O480" s="5"/>
      <c r="R480" s="5"/>
    </row>
    <row r="481" spans="15:18">
      <c r="O481" s="5"/>
      <c r="R481" s="5"/>
    </row>
    <row r="482" spans="15:18">
      <c r="O482" s="5"/>
      <c r="R482" s="5"/>
    </row>
    <row r="483" spans="15:18">
      <c r="O483" s="5"/>
      <c r="R483" s="5"/>
    </row>
    <row r="484" spans="15:18">
      <c r="O484" s="5"/>
      <c r="R484" s="5"/>
    </row>
    <row r="485" spans="15:18">
      <c r="O485" s="5"/>
      <c r="R485" s="5"/>
    </row>
    <row r="486" spans="15:18">
      <c r="O486" s="5"/>
      <c r="R486" s="5"/>
    </row>
    <row r="487" spans="15:18">
      <c r="O487" s="5"/>
      <c r="R487" s="5"/>
    </row>
    <row r="488" spans="15:18">
      <c r="O488" s="5"/>
      <c r="R488" s="5"/>
    </row>
    <row r="489" spans="15:18">
      <c r="O489" s="5"/>
      <c r="R489" s="5"/>
    </row>
    <row r="490" spans="15:18">
      <c r="O490" s="5"/>
      <c r="R490" s="5"/>
    </row>
    <row r="491" spans="15:18">
      <c r="O491" s="5"/>
      <c r="R491" s="5"/>
    </row>
    <row r="492" spans="15:18">
      <c r="O492" s="5"/>
      <c r="R492" s="5"/>
    </row>
    <row r="493" spans="15:18">
      <c r="O493" s="5"/>
      <c r="R493" s="5"/>
    </row>
    <row r="494" spans="15:18">
      <c r="O494" s="5"/>
      <c r="R494" s="5"/>
    </row>
    <row r="495" spans="15:18">
      <c r="O495" s="5"/>
      <c r="R495" s="5"/>
    </row>
    <row r="496" spans="15:18">
      <c r="O496" s="5"/>
      <c r="R496" s="5"/>
    </row>
    <row r="497" spans="15:18">
      <c r="O497" s="5"/>
      <c r="R497" s="5"/>
    </row>
    <row r="498" spans="15:18">
      <c r="O498" s="5"/>
      <c r="R498" s="5"/>
    </row>
    <row r="499" spans="15:18">
      <c r="O499" s="5"/>
      <c r="R499" s="5"/>
    </row>
    <row r="500" spans="15:18">
      <c r="O500" s="5"/>
      <c r="R500" s="5"/>
    </row>
    <row r="501" spans="15:18">
      <c r="O501" s="5"/>
      <c r="R501" s="5"/>
    </row>
    <row r="502" spans="15:18">
      <c r="O502" s="5"/>
      <c r="R502" s="5"/>
    </row>
    <row r="503" spans="15:18">
      <c r="O503" s="5"/>
      <c r="R503" s="5"/>
    </row>
    <row r="504" spans="15:18">
      <c r="O504" s="5"/>
      <c r="R504" s="5"/>
    </row>
    <row r="505" spans="15:18">
      <c r="O505" s="5"/>
      <c r="R505" s="5"/>
    </row>
    <row r="506" spans="15:18">
      <c r="O506" s="5"/>
      <c r="R506" s="5"/>
    </row>
    <row r="507" spans="15:18">
      <c r="O507" s="5"/>
      <c r="R507" s="5"/>
    </row>
    <row r="508" spans="15:18">
      <c r="O508" s="5"/>
      <c r="R508" s="5"/>
    </row>
    <row r="509" spans="15:18">
      <c r="O509" s="5"/>
      <c r="R509" s="5"/>
    </row>
    <row r="510" spans="15:18">
      <c r="O510" s="5"/>
      <c r="R510" s="5"/>
    </row>
    <row r="511" spans="15:18">
      <c r="O511" s="5"/>
      <c r="R511" s="5"/>
    </row>
    <row r="512" spans="15:18">
      <c r="O512" s="5"/>
      <c r="R512" s="5"/>
    </row>
    <row r="513" spans="15:18">
      <c r="O513" s="5"/>
      <c r="R513" s="5"/>
    </row>
    <row r="514" spans="15:18">
      <c r="O514" s="5"/>
      <c r="R514" s="5"/>
    </row>
    <row r="515" spans="15:18">
      <c r="O515" s="5"/>
      <c r="R515" s="5"/>
    </row>
    <row r="516" spans="15:18">
      <c r="O516" s="5"/>
      <c r="R516" s="5"/>
    </row>
    <row r="517" spans="15:18">
      <c r="O517" s="5"/>
      <c r="R517" s="5"/>
    </row>
    <row r="518" spans="15:18">
      <c r="O518" s="5"/>
      <c r="R518" s="5"/>
    </row>
    <row r="519" spans="15:18">
      <c r="O519" s="5"/>
      <c r="R519" s="5"/>
    </row>
    <row r="520" spans="15:18">
      <c r="O520" s="5"/>
      <c r="R520" s="5"/>
    </row>
    <row r="521" spans="15:18">
      <c r="O521" s="5"/>
      <c r="R521" s="5"/>
    </row>
    <row r="522" spans="15:18">
      <c r="O522" s="5"/>
      <c r="R522" s="5"/>
    </row>
    <row r="523" spans="15:18">
      <c r="O523" s="5"/>
      <c r="R523" s="5"/>
    </row>
    <row r="524" spans="15:18">
      <c r="O524" s="5"/>
      <c r="R524" s="5"/>
    </row>
    <row r="525" spans="15:18">
      <c r="O525" s="5"/>
      <c r="R525" s="5"/>
    </row>
    <row r="526" spans="15:18">
      <c r="O526" s="5"/>
      <c r="R526" s="5"/>
    </row>
    <row r="527" spans="15:18">
      <c r="O527" s="5"/>
      <c r="R527" s="5"/>
    </row>
    <row r="528" spans="15:18">
      <c r="O528" s="5"/>
      <c r="R528" s="5"/>
    </row>
    <row r="529" spans="15:18">
      <c r="O529" s="5"/>
      <c r="R529" s="5"/>
    </row>
    <row r="530" spans="15:18">
      <c r="O530" s="5"/>
      <c r="R530" s="5"/>
    </row>
    <row r="531" spans="15:18">
      <c r="O531" s="5"/>
      <c r="R531" s="5"/>
    </row>
    <row r="532" spans="15:18">
      <c r="O532" s="5"/>
      <c r="R532" s="5"/>
    </row>
    <row r="533" spans="15:18">
      <c r="O533" s="5"/>
      <c r="R533" s="5"/>
    </row>
    <row r="534" spans="15:18">
      <c r="O534" s="5"/>
      <c r="R534" s="5"/>
    </row>
    <row r="535" spans="15:18">
      <c r="O535" s="5"/>
      <c r="R535" s="5"/>
    </row>
    <row r="536" spans="15:18">
      <c r="O536" s="5"/>
      <c r="R536" s="5"/>
    </row>
    <row r="537" spans="15:18">
      <c r="O537" s="5"/>
      <c r="R537" s="5"/>
    </row>
    <row r="538" spans="15:18">
      <c r="O538" s="5"/>
      <c r="R538" s="5"/>
    </row>
    <row r="539" spans="15:18">
      <c r="O539" s="5"/>
      <c r="R539" s="5"/>
    </row>
    <row r="540" spans="15:18">
      <c r="O540" s="5"/>
      <c r="R540" s="5"/>
    </row>
    <row r="541" spans="15:18">
      <c r="O541" s="5"/>
      <c r="R541" s="5"/>
    </row>
    <row r="542" spans="15:18">
      <c r="O542" s="5"/>
      <c r="R542" s="5"/>
    </row>
    <row r="543" spans="15:18">
      <c r="O543" s="5"/>
      <c r="R543" s="5"/>
    </row>
    <row r="544" spans="15:18">
      <c r="O544" s="5"/>
      <c r="R544" s="5"/>
    </row>
    <row r="545" spans="15:18">
      <c r="O545" s="5"/>
      <c r="R545" s="5"/>
    </row>
    <row r="546" spans="15:18">
      <c r="O546" s="5"/>
      <c r="R546" s="5"/>
    </row>
    <row r="547" spans="15:18">
      <c r="O547" s="5"/>
      <c r="R547" s="5"/>
    </row>
    <row r="548" spans="15:18">
      <c r="O548" s="5"/>
      <c r="R548" s="5"/>
    </row>
    <row r="549" spans="15:18">
      <c r="O549" s="5"/>
      <c r="R549" s="5"/>
    </row>
    <row r="550" spans="15:18">
      <c r="O550" s="5"/>
      <c r="R550" s="5"/>
    </row>
    <row r="551" spans="15:18">
      <c r="O551" s="5"/>
      <c r="R551" s="5"/>
    </row>
    <row r="552" spans="15:18">
      <c r="O552" s="5"/>
      <c r="R552" s="5"/>
    </row>
    <row r="553" spans="15:18">
      <c r="O553" s="5"/>
      <c r="R553" s="5"/>
    </row>
    <row r="554" spans="15:18">
      <c r="O554" s="5"/>
      <c r="R554" s="5"/>
    </row>
    <row r="555" spans="15:18">
      <c r="O555" s="5"/>
      <c r="R555" s="5"/>
    </row>
    <row r="556" spans="15:18">
      <c r="O556" s="5"/>
      <c r="R556" s="5"/>
    </row>
    <row r="557" spans="15:18">
      <c r="O557" s="5"/>
      <c r="R557" s="5"/>
    </row>
    <row r="558" spans="15:18">
      <c r="O558" s="5"/>
      <c r="R558" s="5"/>
    </row>
    <row r="559" spans="15:18">
      <c r="O559" s="5"/>
      <c r="R559" s="5"/>
    </row>
    <row r="560" spans="15:18">
      <c r="O560" s="5"/>
      <c r="R560" s="5"/>
    </row>
    <row r="561" spans="15:18">
      <c r="O561" s="5"/>
      <c r="R561" s="5"/>
    </row>
    <row r="562" spans="15:18">
      <c r="O562" s="5"/>
      <c r="R562" s="5"/>
    </row>
    <row r="563" spans="15:18">
      <c r="O563" s="5"/>
      <c r="R563" s="5"/>
    </row>
    <row r="564" spans="15:18">
      <c r="O564" s="5"/>
      <c r="R564" s="5"/>
    </row>
    <row r="565" spans="15:18">
      <c r="O565" s="5"/>
      <c r="R565" s="5"/>
    </row>
    <row r="566" spans="15:18">
      <c r="O566" s="5"/>
      <c r="R566" s="5"/>
    </row>
    <row r="567" spans="15:18">
      <c r="O567" s="5"/>
      <c r="R567" s="5"/>
    </row>
    <row r="568" spans="15:18">
      <c r="O568" s="5"/>
      <c r="R568" s="5"/>
    </row>
    <row r="569" spans="15:18">
      <c r="O569" s="5"/>
      <c r="R569" s="5"/>
    </row>
    <row r="570" spans="15:18">
      <c r="O570" s="5"/>
      <c r="R570" s="5"/>
    </row>
    <row r="571" spans="15:18">
      <c r="O571" s="5"/>
      <c r="R571" s="5"/>
    </row>
    <row r="572" spans="15:18">
      <c r="O572" s="5"/>
      <c r="R572" s="5"/>
    </row>
    <row r="573" spans="15:18">
      <c r="O573" s="5"/>
      <c r="R573" s="5"/>
    </row>
    <row r="574" spans="15:18">
      <c r="O574" s="5"/>
      <c r="R574" s="5"/>
    </row>
    <row r="575" spans="15:18">
      <c r="O575" s="5"/>
      <c r="R575" s="5"/>
    </row>
    <row r="576" spans="15:18">
      <c r="O576" s="5"/>
      <c r="R576" s="5"/>
    </row>
    <row r="577" spans="15:18">
      <c r="O577" s="5"/>
      <c r="R577" s="5"/>
    </row>
    <row r="578" spans="15:18">
      <c r="O578" s="5"/>
      <c r="R578" s="5"/>
    </row>
    <row r="579" spans="15:18">
      <c r="O579" s="5"/>
      <c r="R579" s="5"/>
    </row>
    <row r="580" spans="15:18">
      <c r="O580" s="5"/>
      <c r="R580" s="5"/>
    </row>
    <row r="581" spans="15:18">
      <c r="O581" s="5"/>
      <c r="R581" s="5"/>
    </row>
    <row r="582" spans="15:18">
      <c r="O582" s="5"/>
      <c r="R582" s="5"/>
    </row>
    <row r="583" spans="15:18">
      <c r="O583" s="5"/>
      <c r="R583" s="5"/>
    </row>
    <row r="584" spans="15:18">
      <c r="O584" s="5"/>
      <c r="R584" s="5"/>
    </row>
    <row r="585" spans="15:18">
      <c r="O585" s="5"/>
      <c r="R585" s="5"/>
    </row>
    <row r="586" spans="15:18">
      <c r="O586" s="5"/>
      <c r="R586" s="5"/>
    </row>
    <row r="587" spans="15:18">
      <c r="O587" s="5"/>
      <c r="R587" s="5"/>
    </row>
    <row r="588" spans="15:18">
      <c r="O588" s="5"/>
      <c r="R588" s="5"/>
    </row>
    <row r="589" spans="15:18">
      <c r="O589" s="5"/>
      <c r="R589" s="5"/>
    </row>
    <row r="590" spans="15:18">
      <c r="O590" s="5"/>
      <c r="R590" s="5"/>
    </row>
    <row r="591" spans="15:18">
      <c r="O591" s="5"/>
      <c r="R591" s="5"/>
    </row>
    <row r="592" spans="15:18">
      <c r="O592" s="5"/>
      <c r="R592" s="5"/>
    </row>
    <row r="593" spans="15:18">
      <c r="O593" s="5"/>
      <c r="R593" s="5"/>
    </row>
    <row r="594" spans="15:18">
      <c r="O594" s="5"/>
      <c r="R594" s="5"/>
    </row>
    <row r="595" spans="15:18">
      <c r="O595" s="5"/>
      <c r="R595" s="5"/>
    </row>
    <row r="596" spans="15:18">
      <c r="O596" s="5"/>
      <c r="R596" s="5"/>
    </row>
    <row r="597" spans="15:18">
      <c r="O597" s="5"/>
      <c r="R597" s="5"/>
    </row>
    <row r="598" spans="15:18">
      <c r="O598" s="5"/>
      <c r="R598" s="5"/>
    </row>
    <row r="599" spans="15:18">
      <c r="O599" s="5"/>
      <c r="R599" s="5"/>
    </row>
    <row r="600" spans="15:18">
      <c r="O600" s="5"/>
      <c r="R600" s="5"/>
    </row>
    <row r="601" spans="15:18">
      <c r="O601" s="5"/>
      <c r="R601" s="5"/>
    </row>
    <row r="602" spans="15:18">
      <c r="O602" s="5"/>
      <c r="R602" s="5"/>
    </row>
    <row r="603" spans="15:18">
      <c r="O603" s="5"/>
      <c r="R603" s="5"/>
    </row>
    <row r="604" spans="15:18">
      <c r="O604" s="5"/>
      <c r="R604" s="5"/>
    </row>
    <row r="605" spans="15:18">
      <c r="O605" s="5"/>
      <c r="R605" s="5"/>
    </row>
    <row r="606" spans="15:18">
      <c r="O606" s="5"/>
      <c r="R606" s="5"/>
    </row>
    <row r="607" spans="15:18">
      <c r="O607" s="5"/>
      <c r="R607" s="5"/>
    </row>
    <row r="608" spans="15:18">
      <c r="O608" s="5"/>
      <c r="R608" s="5"/>
    </row>
    <row r="609" spans="15:18">
      <c r="O609" s="5"/>
      <c r="R609" s="5"/>
    </row>
    <row r="610" spans="15:18">
      <c r="O610" s="5"/>
      <c r="R610" s="5"/>
    </row>
    <row r="611" spans="15:18">
      <c r="O611" s="5"/>
      <c r="R611" s="5"/>
    </row>
    <row r="612" spans="15:18">
      <c r="O612" s="5"/>
      <c r="R612" s="5"/>
    </row>
    <row r="613" spans="15:18">
      <c r="O613" s="5"/>
      <c r="R613" s="5"/>
    </row>
    <row r="614" spans="15:18">
      <c r="O614" s="5"/>
      <c r="R614" s="5"/>
    </row>
    <row r="615" spans="15:18">
      <c r="O615" s="5"/>
      <c r="R615" s="5"/>
    </row>
    <row r="616" spans="15:18">
      <c r="O616" s="5"/>
      <c r="R616" s="5"/>
    </row>
    <row r="617" spans="15:18">
      <c r="O617" s="5"/>
      <c r="R617" s="5"/>
    </row>
    <row r="618" spans="15:18">
      <c r="O618" s="5"/>
      <c r="R618" s="5"/>
    </row>
    <row r="619" spans="15:18">
      <c r="O619" s="5"/>
      <c r="R619" s="5"/>
    </row>
    <row r="620" spans="15:18">
      <c r="O620" s="5"/>
      <c r="R620" s="5"/>
    </row>
    <row r="621" spans="15:18">
      <c r="O621" s="5"/>
      <c r="R621" s="5"/>
    </row>
    <row r="622" spans="15:18">
      <c r="O622" s="5"/>
      <c r="R622" s="5"/>
    </row>
    <row r="623" spans="15:18">
      <c r="O623" s="5"/>
      <c r="R623" s="5"/>
    </row>
    <row r="624" spans="15:18">
      <c r="O624" s="5"/>
      <c r="R624" s="5"/>
    </row>
    <row r="625" spans="15:18">
      <c r="O625" s="5"/>
      <c r="R625" s="5"/>
    </row>
    <row r="626" spans="15:18">
      <c r="O626" s="5"/>
      <c r="R626" s="5"/>
    </row>
    <row r="627" spans="15:18">
      <c r="O627" s="5"/>
      <c r="R627" s="5"/>
    </row>
    <row r="628" spans="15:18">
      <c r="O628" s="5"/>
      <c r="R628" s="5"/>
    </row>
    <row r="629" spans="15:18">
      <c r="O629" s="5"/>
      <c r="R629" s="5"/>
    </row>
    <row r="630" spans="15:18">
      <c r="O630" s="5"/>
      <c r="R630" s="5"/>
    </row>
    <row r="631" spans="15:18">
      <c r="O631" s="5"/>
      <c r="R631" s="5"/>
    </row>
    <row r="632" spans="15:18">
      <c r="O632" s="5"/>
      <c r="R632" s="5"/>
    </row>
    <row r="633" spans="15:18">
      <c r="O633" s="5"/>
      <c r="R633" s="5"/>
    </row>
    <row r="634" spans="15:18">
      <c r="O634" s="5"/>
      <c r="R634" s="5"/>
    </row>
    <row r="635" spans="15:18">
      <c r="O635" s="5"/>
      <c r="R635" s="5"/>
    </row>
    <row r="636" spans="15:18">
      <c r="O636" s="5"/>
      <c r="R636" s="5"/>
    </row>
    <row r="637" spans="15:18">
      <c r="O637" s="5"/>
      <c r="R637" s="5"/>
    </row>
    <row r="638" spans="15:18">
      <c r="O638" s="5"/>
      <c r="R638" s="5"/>
    </row>
    <row r="639" spans="15:18">
      <c r="O639" s="5"/>
      <c r="R639" s="5"/>
    </row>
    <row r="640" spans="15:18">
      <c r="O640" s="5"/>
      <c r="R640" s="5"/>
    </row>
    <row r="641" spans="15:18">
      <c r="O641" s="5"/>
      <c r="R641" s="5"/>
    </row>
    <row r="642" spans="15:18">
      <c r="O642" s="5"/>
      <c r="R642" s="5"/>
    </row>
    <row r="643" spans="15:18">
      <c r="O643" s="5"/>
      <c r="R643" s="5"/>
    </row>
    <row r="644" spans="15:18">
      <c r="O644" s="5"/>
      <c r="R644" s="5"/>
    </row>
    <row r="645" spans="15:18">
      <c r="O645" s="5"/>
      <c r="R645" s="5"/>
    </row>
    <row r="646" spans="15:18">
      <c r="O646" s="5"/>
      <c r="R646" s="5"/>
    </row>
    <row r="647" spans="15:18">
      <c r="O647" s="5"/>
      <c r="R647" s="5"/>
    </row>
    <row r="648" spans="15:18">
      <c r="O648" s="5"/>
      <c r="R648" s="5"/>
    </row>
    <row r="649" spans="15:18">
      <c r="O649" s="5"/>
      <c r="R649" s="5"/>
    </row>
    <row r="650" spans="15:18">
      <c r="O650" s="5"/>
      <c r="R650" s="5"/>
    </row>
    <row r="651" spans="15:18">
      <c r="O651" s="5"/>
      <c r="R651" s="5"/>
    </row>
    <row r="652" spans="15:18">
      <c r="O652" s="5"/>
      <c r="R652" s="5"/>
    </row>
    <row r="653" spans="15:18">
      <c r="O653" s="5"/>
      <c r="R653" s="5"/>
    </row>
    <row r="654" spans="15:18">
      <c r="O654" s="5"/>
      <c r="R654" s="5"/>
    </row>
    <row r="655" spans="15:18">
      <c r="O655" s="5"/>
      <c r="R655" s="5"/>
    </row>
    <row r="656" spans="15:18">
      <c r="O656" s="5"/>
      <c r="R656" s="5"/>
    </row>
    <row r="657" spans="15:18">
      <c r="O657" s="5"/>
      <c r="R657" s="5"/>
    </row>
    <row r="658" spans="15:18">
      <c r="O658" s="5"/>
      <c r="R658" s="5"/>
    </row>
    <row r="659" spans="15:18">
      <c r="O659" s="5"/>
      <c r="R659" s="5"/>
    </row>
    <row r="660" spans="15:18">
      <c r="O660" s="5"/>
      <c r="R660" s="5"/>
    </row>
    <row r="661" spans="15:18">
      <c r="O661" s="5"/>
      <c r="R661" s="5"/>
    </row>
    <row r="662" spans="15:18">
      <c r="O662" s="5"/>
      <c r="R662" s="5"/>
    </row>
    <row r="663" spans="15:18">
      <c r="O663" s="5"/>
      <c r="R663" s="5"/>
    </row>
    <row r="664" spans="15:18">
      <c r="O664" s="5"/>
      <c r="R664" s="5"/>
    </row>
    <row r="665" spans="15:18">
      <c r="O665" s="5"/>
      <c r="R665" s="5"/>
    </row>
    <row r="666" spans="15:18">
      <c r="O666" s="5"/>
      <c r="R666" s="5"/>
    </row>
    <row r="667" spans="15:18">
      <c r="O667" s="5"/>
      <c r="R667" s="5"/>
    </row>
    <row r="668" spans="15:18">
      <c r="O668" s="5"/>
      <c r="R668" s="5"/>
    </row>
    <row r="669" spans="15:18">
      <c r="O669" s="5"/>
      <c r="R669" s="5"/>
    </row>
    <row r="670" spans="15:18">
      <c r="O670" s="5"/>
      <c r="R670" s="5"/>
    </row>
    <row r="671" spans="15:18">
      <c r="O671" s="5"/>
      <c r="R671" s="5"/>
    </row>
    <row r="672" spans="15:18">
      <c r="O672" s="5"/>
      <c r="R672" s="5"/>
    </row>
    <row r="673" spans="15:18">
      <c r="O673" s="5"/>
      <c r="R673" s="5"/>
    </row>
    <row r="674" spans="15:18">
      <c r="O674" s="5"/>
      <c r="R674" s="5"/>
    </row>
    <row r="675" spans="15:18">
      <c r="O675" s="5"/>
      <c r="R675" s="5"/>
    </row>
    <row r="676" spans="15:18">
      <c r="O676" s="5"/>
      <c r="R676" s="5"/>
    </row>
    <row r="677" spans="15:18">
      <c r="O677" s="5"/>
      <c r="R677" s="5"/>
    </row>
    <row r="678" spans="15:18">
      <c r="O678" s="5"/>
      <c r="R678" s="5"/>
    </row>
    <row r="679" spans="15:18">
      <c r="O679" s="5"/>
      <c r="R679" s="5"/>
    </row>
    <row r="680" spans="15:18">
      <c r="O680" s="5"/>
      <c r="R680" s="5"/>
    </row>
    <row r="681" spans="15:18">
      <c r="O681" s="5"/>
      <c r="R681" s="5"/>
    </row>
    <row r="682" spans="15:18">
      <c r="O682" s="5"/>
      <c r="R682" s="5"/>
    </row>
    <row r="683" spans="15:18">
      <c r="O683" s="5"/>
      <c r="R683" s="5"/>
    </row>
    <row r="684" spans="15:18">
      <c r="O684" s="5"/>
      <c r="R684" s="5"/>
    </row>
    <row r="685" spans="15:18">
      <c r="O685" s="5"/>
      <c r="R685" s="5"/>
    </row>
    <row r="686" spans="15:18">
      <c r="O686" s="5"/>
      <c r="R686" s="5"/>
    </row>
    <row r="687" spans="15:18">
      <c r="O687" s="5"/>
      <c r="R687" s="5"/>
    </row>
    <row r="688" spans="15:18">
      <c r="O688" s="5"/>
      <c r="R688" s="5"/>
    </row>
    <row r="689" spans="15:18">
      <c r="O689" s="5"/>
      <c r="R689" s="5"/>
    </row>
    <row r="690" spans="15:18">
      <c r="O690" s="5"/>
      <c r="R690" s="5"/>
    </row>
    <row r="691" spans="15:18">
      <c r="O691" s="5"/>
      <c r="R691" s="5"/>
    </row>
    <row r="692" spans="15:18">
      <c r="O692" s="5"/>
      <c r="R692" s="5"/>
    </row>
    <row r="693" spans="15:18">
      <c r="O693" s="5"/>
      <c r="R693" s="5"/>
    </row>
    <row r="694" spans="15:18">
      <c r="O694" s="5"/>
      <c r="R694" s="5"/>
    </row>
    <row r="695" spans="15:18">
      <c r="O695" s="5"/>
      <c r="R695" s="5"/>
    </row>
    <row r="696" spans="15:18">
      <c r="O696" s="5"/>
      <c r="R696" s="5"/>
    </row>
    <row r="697" spans="15:18">
      <c r="O697" s="5"/>
      <c r="R697" s="5"/>
    </row>
    <row r="698" spans="15:18">
      <c r="O698" s="5"/>
      <c r="R698" s="5"/>
    </row>
    <row r="699" spans="15:18">
      <c r="O699" s="5"/>
      <c r="R699" s="5"/>
    </row>
    <row r="700" spans="15:18">
      <c r="O700" s="5"/>
      <c r="R700" s="5"/>
    </row>
    <row r="701" spans="15:18">
      <c r="O701" s="5"/>
      <c r="R701" s="5"/>
    </row>
    <row r="702" spans="15:18">
      <c r="O702" s="5"/>
      <c r="R702" s="5"/>
    </row>
    <row r="703" spans="15:18">
      <c r="O703" s="5"/>
      <c r="R703" s="5"/>
    </row>
    <row r="704" spans="15:18">
      <c r="O704" s="5"/>
      <c r="R704" s="5"/>
    </row>
    <row r="705" spans="15:18">
      <c r="O705" s="5"/>
      <c r="R705" s="5"/>
    </row>
    <row r="706" spans="15:18">
      <c r="O706" s="5"/>
      <c r="R706" s="5"/>
    </row>
    <row r="707" spans="15:18">
      <c r="O707" s="5"/>
      <c r="R707" s="5"/>
    </row>
    <row r="708" spans="15:18">
      <c r="O708" s="5"/>
      <c r="R708" s="5"/>
    </row>
    <row r="709" spans="15:18">
      <c r="O709" s="5"/>
      <c r="R709" s="5"/>
    </row>
    <row r="710" spans="15:18">
      <c r="O710" s="5"/>
      <c r="R710" s="5"/>
    </row>
    <row r="711" spans="15:18">
      <c r="O711" s="5"/>
      <c r="R711" s="5"/>
    </row>
    <row r="712" spans="15:18">
      <c r="O712" s="5"/>
      <c r="R712" s="5"/>
    </row>
    <row r="713" spans="15:18">
      <c r="O713" s="5"/>
      <c r="R713" s="5"/>
    </row>
    <row r="714" spans="15:18">
      <c r="O714" s="5"/>
      <c r="R714" s="5"/>
    </row>
    <row r="715" spans="15:18">
      <c r="O715" s="5"/>
      <c r="R715" s="5"/>
    </row>
    <row r="716" spans="15:18">
      <c r="O716" s="5"/>
      <c r="R716" s="5"/>
    </row>
    <row r="717" spans="15:18">
      <c r="O717" s="5"/>
      <c r="R717" s="5"/>
    </row>
    <row r="718" spans="15:18">
      <c r="O718" s="5"/>
      <c r="R718" s="5"/>
    </row>
    <row r="719" spans="15:18">
      <c r="O719" s="5"/>
      <c r="R719" s="5"/>
    </row>
    <row r="720" spans="15:18">
      <c r="O720" s="5"/>
      <c r="R720" s="5"/>
    </row>
    <row r="721" spans="15:18">
      <c r="O721" s="5"/>
      <c r="R721" s="5"/>
    </row>
    <row r="722" spans="15:18">
      <c r="O722" s="5"/>
      <c r="R722" s="5"/>
    </row>
    <row r="723" spans="15:18">
      <c r="O723" s="5"/>
      <c r="R723" s="5"/>
    </row>
    <row r="724" spans="15:18">
      <c r="O724" s="5"/>
      <c r="R724" s="5"/>
    </row>
    <row r="725" spans="15:18">
      <c r="O725" s="5"/>
      <c r="R725" s="5"/>
    </row>
    <row r="726" spans="15:18">
      <c r="O726" s="5"/>
      <c r="R726" s="5"/>
    </row>
    <row r="727" spans="15:18">
      <c r="O727" s="5"/>
      <c r="R727" s="5"/>
    </row>
    <row r="728" spans="15:18">
      <c r="O728" s="5"/>
      <c r="R728" s="5"/>
    </row>
    <row r="729" spans="15:18">
      <c r="O729" s="5"/>
      <c r="R729" s="5"/>
    </row>
    <row r="730" spans="15:18">
      <c r="O730" s="5"/>
      <c r="R730" s="5"/>
    </row>
    <row r="731" spans="15:18">
      <c r="O731" s="5"/>
      <c r="R731" s="5"/>
    </row>
    <row r="732" spans="15:18">
      <c r="O732" s="5"/>
      <c r="R732" s="5"/>
    </row>
    <row r="733" spans="15:18">
      <c r="O733" s="5"/>
      <c r="R733" s="5"/>
    </row>
    <row r="734" spans="15:18">
      <c r="O734" s="5"/>
      <c r="R734" s="5"/>
    </row>
    <row r="735" spans="15:18">
      <c r="O735" s="5"/>
      <c r="R735" s="5"/>
    </row>
    <row r="736" spans="15:18">
      <c r="O736" s="5"/>
      <c r="R736" s="5"/>
    </row>
    <row r="737" spans="15:18">
      <c r="O737" s="5"/>
      <c r="R737" s="5"/>
    </row>
    <row r="738" spans="15:18">
      <c r="O738" s="5"/>
      <c r="R738" s="5"/>
    </row>
    <row r="739" spans="15:18">
      <c r="O739" s="5"/>
      <c r="R739" s="5"/>
    </row>
    <row r="740" spans="15:18">
      <c r="O740" s="5"/>
      <c r="R740" s="5"/>
    </row>
    <row r="741" spans="15:18">
      <c r="O741" s="5"/>
      <c r="R741" s="5"/>
    </row>
    <row r="742" spans="15:18">
      <c r="O742" s="5"/>
      <c r="R742" s="5"/>
    </row>
    <row r="743" spans="15:18">
      <c r="O743" s="5"/>
      <c r="R743" s="5"/>
    </row>
    <row r="744" spans="15:18">
      <c r="O744" s="5"/>
      <c r="R744" s="5"/>
    </row>
    <row r="745" spans="15:18">
      <c r="O745" s="5"/>
      <c r="R745" s="5"/>
    </row>
    <row r="746" spans="15:18">
      <c r="O746" s="5"/>
      <c r="R746" s="5"/>
    </row>
    <row r="747" spans="15:18">
      <c r="O747" s="5"/>
      <c r="R747" s="5"/>
    </row>
    <row r="748" spans="15:18">
      <c r="O748" s="5"/>
      <c r="R748" s="5"/>
    </row>
    <row r="749" spans="15:18">
      <c r="O749" s="5"/>
      <c r="R749" s="5"/>
    </row>
    <row r="750" spans="15:18">
      <c r="O750" s="5"/>
      <c r="R750" s="5"/>
    </row>
    <row r="751" spans="15:18">
      <c r="O751" s="5"/>
      <c r="R751" s="5"/>
    </row>
    <row r="752" spans="15:18">
      <c r="O752" s="5"/>
      <c r="R752" s="5"/>
    </row>
    <row r="753" spans="15:18">
      <c r="O753" s="5"/>
      <c r="R753" s="5"/>
    </row>
    <row r="754" spans="15:18">
      <c r="O754" s="5"/>
      <c r="R754" s="5"/>
    </row>
    <row r="755" spans="15:18">
      <c r="O755" s="5"/>
      <c r="R755" s="5"/>
    </row>
    <row r="756" spans="15:18">
      <c r="O756" s="5"/>
      <c r="R756" s="5"/>
    </row>
    <row r="757" spans="15:18">
      <c r="O757" s="5"/>
      <c r="R757" s="5"/>
    </row>
    <row r="758" spans="15:18">
      <c r="O758" s="5"/>
      <c r="R758" s="5"/>
    </row>
    <row r="759" spans="15:18">
      <c r="O759" s="5"/>
      <c r="R759" s="5"/>
    </row>
    <row r="760" spans="15:18">
      <c r="O760" s="5"/>
      <c r="R760" s="5"/>
    </row>
    <row r="761" spans="15:18">
      <c r="O761" s="5"/>
      <c r="R761" s="5"/>
    </row>
    <row r="762" spans="15:18">
      <c r="O762" s="5"/>
      <c r="R762" s="5"/>
    </row>
    <row r="763" spans="15:18">
      <c r="O763" s="5"/>
      <c r="R763" s="5"/>
    </row>
    <row r="764" spans="15:18">
      <c r="O764" s="5"/>
      <c r="R764" s="5"/>
    </row>
    <row r="765" spans="15:18">
      <c r="O765" s="5"/>
      <c r="R765" s="5"/>
    </row>
    <row r="766" spans="15:18">
      <c r="O766" s="5"/>
      <c r="R766" s="5"/>
    </row>
    <row r="767" spans="15:18">
      <c r="O767" s="5"/>
      <c r="R767" s="5"/>
    </row>
    <row r="768" spans="15:18">
      <c r="O768" s="5"/>
      <c r="R768" s="5"/>
    </row>
    <row r="769" spans="15:18">
      <c r="O769" s="5"/>
      <c r="R769" s="5"/>
    </row>
    <row r="770" spans="15:18">
      <c r="O770" s="5"/>
      <c r="R770" s="5"/>
    </row>
    <row r="771" spans="15:18">
      <c r="O771" s="5"/>
      <c r="R771" s="5"/>
    </row>
    <row r="772" spans="15:18">
      <c r="O772" s="5"/>
      <c r="R772" s="5"/>
    </row>
    <row r="773" spans="15:18">
      <c r="O773" s="5"/>
      <c r="R773" s="5"/>
    </row>
    <row r="774" spans="15:18">
      <c r="O774" s="5"/>
      <c r="R774" s="5"/>
    </row>
    <row r="775" spans="15:18">
      <c r="O775" s="5"/>
      <c r="R775" s="5"/>
    </row>
    <row r="776" spans="15:18">
      <c r="O776" s="5"/>
      <c r="R776" s="5"/>
    </row>
    <row r="777" spans="15:18">
      <c r="O777" s="5"/>
      <c r="R777" s="5"/>
    </row>
    <row r="778" spans="15:18">
      <c r="O778" s="5"/>
      <c r="R778" s="5"/>
    </row>
    <row r="779" spans="15:18">
      <c r="O779" s="5"/>
      <c r="R779" s="5"/>
    </row>
    <row r="780" spans="15:18">
      <c r="O780" s="5"/>
      <c r="R780" s="5"/>
    </row>
    <row r="781" spans="15:18">
      <c r="O781" s="5"/>
      <c r="R781" s="5"/>
    </row>
    <row r="782" spans="15:18">
      <c r="O782" s="5"/>
      <c r="R782" s="5"/>
    </row>
    <row r="783" spans="15:18">
      <c r="O783" s="5"/>
      <c r="R783" s="5"/>
    </row>
    <row r="784" spans="15:18">
      <c r="O784" s="5"/>
      <c r="R784" s="5"/>
    </row>
    <row r="785" spans="15:18">
      <c r="O785" s="5"/>
      <c r="R785" s="5"/>
    </row>
    <row r="786" spans="15:18">
      <c r="O786" s="5"/>
      <c r="R786" s="5"/>
    </row>
    <row r="787" spans="15:18">
      <c r="O787" s="5"/>
      <c r="R787" s="5"/>
    </row>
    <row r="788" spans="15:18">
      <c r="O788" s="5"/>
      <c r="R788" s="5"/>
    </row>
    <row r="789" spans="15:18">
      <c r="O789" s="5"/>
      <c r="R789" s="5"/>
    </row>
    <row r="790" spans="15:18">
      <c r="O790" s="5"/>
      <c r="R790" s="5"/>
    </row>
    <row r="791" spans="15:18">
      <c r="O791" s="5"/>
      <c r="R791" s="5"/>
    </row>
    <row r="792" spans="15:18">
      <c r="O792" s="5"/>
      <c r="R792" s="5"/>
    </row>
    <row r="793" spans="15:18">
      <c r="O793" s="5"/>
      <c r="R793" s="5"/>
    </row>
    <row r="794" spans="15:18">
      <c r="O794" s="5"/>
      <c r="R794" s="5"/>
    </row>
    <row r="795" spans="15:18">
      <c r="O795" s="5"/>
      <c r="R795" s="5"/>
    </row>
    <row r="796" spans="15:18">
      <c r="O796" s="5"/>
      <c r="R796" s="5"/>
    </row>
    <row r="797" spans="15:18">
      <c r="O797" s="5"/>
      <c r="R797" s="5"/>
    </row>
    <row r="798" spans="15:18">
      <c r="O798" s="5"/>
      <c r="R798" s="5"/>
    </row>
    <row r="799" spans="15:18">
      <c r="O799" s="5"/>
      <c r="R799" s="5"/>
    </row>
    <row r="800" spans="15:18">
      <c r="O800" s="5"/>
      <c r="R800" s="5"/>
    </row>
    <row r="801" spans="15:18">
      <c r="O801" s="5"/>
      <c r="R801" s="5"/>
    </row>
    <row r="802" spans="15:18">
      <c r="O802" s="5"/>
      <c r="R802" s="5"/>
    </row>
    <row r="803" spans="15:18">
      <c r="O803" s="5"/>
      <c r="R803" s="5"/>
    </row>
    <row r="804" spans="15:18">
      <c r="O804" s="5"/>
      <c r="R804" s="5"/>
    </row>
    <row r="805" spans="15:18">
      <c r="O805" s="5"/>
      <c r="R805" s="5"/>
    </row>
    <row r="806" spans="15:18">
      <c r="O806" s="5"/>
      <c r="R806" s="5"/>
    </row>
    <row r="807" spans="15:18">
      <c r="O807" s="5"/>
      <c r="R807" s="5"/>
    </row>
    <row r="808" spans="15:18">
      <c r="O808" s="5"/>
      <c r="R808" s="5"/>
    </row>
    <row r="809" spans="15:18">
      <c r="O809" s="5"/>
      <c r="R809" s="5"/>
    </row>
    <row r="810" spans="15:18">
      <c r="O810" s="5"/>
      <c r="R810" s="5"/>
    </row>
    <row r="811" spans="15:18">
      <c r="O811" s="5"/>
      <c r="R811" s="5"/>
    </row>
    <row r="812" spans="15:18">
      <c r="O812" s="5"/>
      <c r="R812" s="5"/>
    </row>
    <row r="813" spans="15:18">
      <c r="O813" s="5"/>
      <c r="R813" s="5"/>
    </row>
    <row r="814" spans="15:18">
      <c r="O814" s="5"/>
      <c r="R814" s="5"/>
    </row>
    <row r="815" spans="15:18">
      <c r="O815" s="5"/>
      <c r="R815" s="5"/>
    </row>
    <row r="816" spans="15:18">
      <c r="O816" s="5"/>
      <c r="R816" s="5"/>
    </row>
    <row r="817" spans="15:18">
      <c r="O817" s="5"/>
      <c r="R817" s="5"/>
    </row>
    <row r="818" spans="15:18">
      <c r="O818" s="5"/>
      <c r="R818" s="5"/>
    </row>
    <row r="819" spans="15:18">
      <c r="O819" s="5"/>
      <c r="R819" s="5"/>
    </row>
    <row r="820" spans="15:18">
      <c r="O820" s="5"/>
      <c r="R820" s="5"/>
    </row>
    <row r="821" spans="15:18">
      <c r="O821" s="5"/>
      <c r="R821" s="5"/>
    </row>
    <row r="822" spans="15:18">
      <c r="O822" s="5"/>
      <c r="R822" s="5"/>
    </row>
    <row r="823" spans="15:18">
      <c r="O823" s="5"/>
      <c r="R823" s="5"/>
    </row>
    <row r="824" spans="15:18">
      <c r="O824" s="5"/>
      <c r="R824" s="5"/>
    </row>
    <row r="825" spans="15:18">
      <c r="O825" s="5"/>
      <c r="R825" s="5"/>
    </row>
    <row r="826" spans="15:18">
      <c r="O826" s="5"/>
      <c r="R826" s="5"/>
    </row>
    <row r="827" spans="15:18">
      <c r="O827" s="5"/>
      <c r="R827" s="5"/>
    </row>
    <row r="828" spans="15:18">
      <c r="O828" s="5"/>
      <c r="R828" s="5"/>
    </row>
    <row r="829" spans="15:18">
      <c r="O829" s="5"/>
      <c r="R829" s="5"/>
    </row>
    <row r="830" spans="15:18">
      <c r="O830" s="5"/>
      <c r="R830" s="5"/>
    </row>
    <row r="831" spans="15:18">
      <c r="O831" s="5"/>
      <c r="R831" s="5"/>
    </row>
    <row r="832" spans="15:18">
      <c r="O832" s="5"/>
      <c r="R832" s="5"/>
    </row>
    <row r="833" spans="15:18">
      <c r="O833" s="5"/>
      <c r="R833" s="5"/>
    </row>
    <row r="834" spans="15:18">
      <c r="O834" s="5"/>
      <c r="R834" s="5"/>
    </row>
    <row r="835" spans="15:18">
      <c r="O835" s="5"/>
      <c r="R835" s="5"/>
    </row>
    <row r="836" spans="15:18">
      <c r="O836" s="5"/>
      <c r="R836" s="5"/>
    </row>
    <row r="837" spans="15:18">
      <c r="O837" s="5"/>
      <c r="R837" s="5"/>
    </row>
    <row r="838" spans="15:18">
      <c r="O838" s="5"/>
      <c r="R838" s="5"/>
    </row>
    <row r="839" spans="15:18">
      <c r="O839" s="5"/>
      <c r="R839" s="5"/>
    </row>
    <row r="840" spans="15:18">
      <c r="O840" s="5"/>
      <c r="R840" s="5"/>
    </row>
    <row r="841" spans="15:18">
      <c r="O841" s="5"/>
      <c r="R841" s="5"/>
    </row>
    <row r="842" spans="15:18">
      <c r="O842" s="5"/>
      <c r="R842" s="5"/>
    </row>
    <row r="843" spans="15:18">
      <c r="O843" s="5"/>
      <c r="R843" s="5"/>
    </row>
    <row r="844" spans="15:18">
      <c r="O844" s="5"/>
      <c r="R844" s="5"/>
    </row>
    <row r="845" spans="15:18">
      <c r="O845" s="5"/>
      <c r="R845" s="5"/>
    </row>
    <row r="846" spans="15:18">
      <c r="O846" s="5"/>
      <c r="R846" s="5"/>
    </row>
    <row r="847" spans="15:18">
      <c r="O847" s="5"/>
      <c r="R847" s="5"/>
    </row>
    <row r="848" spans="15:18">
      <c r="O848" s="5"/>
      <c r="R848" s="5"/>
    </row>
    <row r="849" spans="15:18">
      <c r="O849" s="5"/>
      <c r="R849" s="5"/>
    </row>
    <row r="850" spans="15:18">
      <c r="O850" s="5"/>
      <c r="R850" s="5"/>
    </row>
    <row r="851" spans="15:18">
      <c r="O851" s="5"/>
      <c r="R851" s="5"/>
    </row>
    <row r="852" spans="15:18">
      <c r="O852" s="5"/>
      <c r="R852" s="5"/>
    </row>
    <row r="853" spans="15:18">
      <c r="O853" s="5"/>
      <c r="R853" s="5"/>
    </row>
    <row r="854" spans="15:18">
      <c r="O854" s="5"/>
      <c r="R854" s="5"/>
    </row>
    <row r="855" spans="15:18">
      <c r="O855" s="5"/>
      <c r="R855" s="5"/>
    </row>
    <row r="856" spans="15:18">
      <c r="O856" s="5"/>
      <c r="R856" s="5"/>
    </row>
    <row r="857" spans="15:18">
      <c r="O857" s="5"/>
      <c r="R857" s="5"/>
    </row>
    <row r="858" spans="15:18">
      <c r="O858" s="5"/>
      <c r="R858" s="5"/>
    </row>
    <row r="859" spans="15:18">
      <c r="O859" s="5"/>
      <c r="R859" s="5"/>
    </row>
    <row r="860" spans="15:18">
      <c r="O860" s="5"/>
      <c r="R860" s="5"/>
    </row>
    <row r="861" spans="15:18">
      <c r="O861" s="5"/>
      <c r="R861" s="5"/>
    </row>
    <row r="862" spans="15:18">
      <c r="O862" s="5"/>
      <c r="R862" s="5"/>
    </row>
    <row r="863" spans="15:18">
      <c r="O863" s="5"/>
      <c r="R863" s="5"/>
    </row>
    <row r="864" spans="15:18">
      <c r="O864" s="5"/>
      <c r="R864" s="5"/>
    </row>
    <row r="865" spans="15:18">
      <c r="O865" s="5"/>
      <c r="R865" s="5"/>
    </row>
    <row r="866" spans="15:18">
      <c r="O866" s="5"/>
      <c r="R866" s="5"/>
    </row>
    <row r="867" spans="15:18">
      <c r="O867" s="5"/>
      <c r="R867" s="5"/>
    </row>
    <row r="868" spans="15:18">
      <c r="O868" s="5"/>
      <c r="R868" s="5"/>
    </row>
    <row r="869" spans="15:18">
      <c r="O869" s="5"/>
      <c r="R869" s="5"/>
    </row>
    <row r="870" spans="15:18">
      <c r="O870" s="5"/>
      <c r="R870" s="5"/>
    </row>
    <row r="871" spans="15:18">
      <c r="O871" s="5"/>
      <c r="R871" s="5"/>
    </row>
    <row r="872" spans="15:18">
      <c r="O872" s="5"/>
      <c r="R872" s="5"/>
    </row>
    <row r="873" spans="15:18">
      <c r="O873" s="5"/>
      <c r="R873" s="5"/>
    </row>
    <row r="874" spans="15:18">
      <c r="O874" s="5"/>
      <c r="R874" s="5"/>
    </row>
    <row r="875" spans="15:18">
      <c r="O875" s="5"/>
      <c r="R875" s="5"/>
    </row>
    <row r="876" spans="15:18">
      <c r="O876" s="5"/>
      <c r="R876" s="5"/>
    </row>
    <row r="877" spans="15:18">
      <c r="O877" s="5"/>
      <c r="R877" s="5"/>
    </row>
    <row r="878" spans="15:18">
      <c r="O878" s="5"/>
      <c r="R878" s="5"/>
    </row>
    <row r="879" spans="15:18">
      <c r="O879" s="5"/>
      <c r="R879" s="5"/>
    </row>
    <row r="880" spans="15:18">
      <c r="O880" s="5"/>
      <c r="R880" s="5"/>
    </row>
    <row r="881" spans="15:18">
      <c r="O881" s="5"/>
      <c r="R881" s="5"/>
    </row>
    <row r="882" spans="15:18">
      <c r="O882" s="5"/>
      <c r="R882" s="5"/>
    </row>
    <row r="883" spans="15:18">
      <c r="O883" s="5"/>
      <c r="R883" s="5"/>
    </row>
    <row r="884" spans="15:18">
      <c r="O884" s="5"/>
      <c r="R884" s="5"/>
    </row>
    <row r="885" spans="15:18">
      <c r="O885" s="5"/>
      <c r="R885" s="5"/>
    </row>
    <row r="886" spans="15:18">
      <c r="O886" s="5"/>
      <c r="R886" s="5"/>
    </row>
    <row r="887" spans="15:18">
      <c r="O887" s="5"/>
      <c r="R887" s="5"/>
    </row>
    <row r="888" spans="15:18">
      <c r="O888" s="5"/>
      <c r="R888" s="5"/>
    </row>
    <row r="889" spans="15:18">
      <c r="O889" s="5"/>
      <c r="R889" s="5"/>
    </row>
    <row r="890" spans="15:18">
      <c r="O890" s="5"/>
      <c r="R890" s="5"/>
    </row>
    <row r="891" spans="15:18">
      <c r="O891" s="5"/>
      <c r="R891" s="5"/>
    </row>
    <row r="892" spans="15:18">
      <c r="O892" s="5"/>
      <c r="R892" s="5"/>
    </row>
    <row r="893" spans="15:18">
      <c r="O893" s="5"/>
      <c r="R893" s="5"/>
    </row>
    <row r="894" spans="15:18">
      <c r="O894" s="5"/>
      <c r="R894" s="5"/>
    </row>
    <row r="895" spans="15:18">
      <c r="O895" s="5"/>
      <c r="R895" s="5"/>
    </row>
    <row r="896" spans="15:18">
      <c r="O896" s="5"/>
      <c r="R896" s="5"/>
    </row>
    <row r="897" spans="15:18">
      <c r="O897" s="5"/>
      <c r="R897" s="5"/>
    </row>
    <row r="898" spans="15:18">
      <c r="O898" s="5"/>
      <c r="R898" s="5"/>
    </row>
    <row r="899" spans="15:18">
      <c r="O899" s="5"/>
      <c r="R899" s="5"/>
    </row>
    <row r="900" spans="15:18">
      <c r="O900" s="5"/>
      <c r="R900" s="5"/>
    </row>
    <row r="901" spans="15:18">
      <c r="O901" s="5"/>
      <c r="R901" s="5"/>
    </row>
    <row r="902" spans="15:18">
      <c r="O902" s="5"/>
      <c r="R902" s="5"/>
    </row>
    <row r="903" spans="15:18">
      <c r="O903" s="5"/>
      <c r="R903" s="5"/>
    </row>
    <row r="904" spans="15:18">
      <c r="O904" s="5"/>
      <c r="R904" s="5"/>
    </row>
    <row r="905" spans="15:18">
      <c r="O905" s="5"/>
      <c r="R905" s="5"/>
    </row>
    <row r="906" spans="15:18">
      <c r="O906" s="5"/>
      <c r="R906" s="5"/>
    </row>
    <row r="907" spans="15:18">
      <c r="O907" s="5"/>
      <c r="R907" s="5"/>
    </row>
    <row r="908" spans="15:18">
      <c r="O908" s="5"/>
      <c r="R908" s="5"/>
    </row>
    <row r="909" spans="15:18">
      <c r="O909" s="5"/>
      <c r="R909" s="5"/>
    </row>
    <row r="910" spans="15:18">
      <c r="O910" s="5"/>
      <c r="R910" s="5"/>
    </row>
    <row r="911" spans="15:18">
      <c r="O911" s="5"/>
      <c r="R911" s="5"/>
    </row>
    <row r="912" spans="15:18">
      <c r="O912" s="5"/>
      <c r="R912" s="5"/>
    </row>
    <row r="913" spans="15:18">
      <c r="O913" s="5"/>
      <c r="R913" s="5"/>
    </row>
    <row r="914" spans="15:18">
      <c r="O914" s="5"/>
      <c r="R914" s="5"/>
    </row>
    <row r="915" spans="15:18">
      <c r="O915" s="5"/>
      <c r="R915" s="5"/>
    </row>
    <row r="916" spans="15:18">
      <c r="O916" s="5"/>
      <c r="R916" s="5"/>
    </row>
    <row r="917" spans="15:18">
      <c r="O917" s="5"/>
      <c r="R917" s="5"/>
    </row>
    <row r="918" spans="15:18">
      <c r="O918" s="5"/>
      <c r="R918" s="5"/>
    </row>
    <row r="919" spans="15:18">
      <c r="O919" s="5"/>
      <c r="R919" s="5"/>
    </row>
    <row r="920" spans="15:18">
      <c r="O920" s="5"/>
      <c r="R920" s="5"/>
    </row>
    <row r="921" spans="15:18">
      <c r="O921" s="5"/>
      <c r="R921" s="5"/>
    </row>
    <row r="922" spans="15:18">
      <c r="O922" s="5"/>
      <c r="R922" s="5"/>
    </row>
    <row r="923" spans="15:18">
      <c r="O923" s="5"/>
      <c r="R923" s="5"/>
    </row>
    <row r="924" spans="15:18">
      <c r="O924" s="5"/>
      <c r="R924" s="5"/>
    </row>
    <row r="925" spans="15:18">
      <c r="O925" s="5"/>
      <c r="R925" s="5"/>
    </row>
    <row r="926" spans="15:18">
      <c r="O926" s="5"/>
      <c r="R926" s="5"/>
    </row>
    <row r="927" spans="15:18">
      <c r="O927" s="5"/>
      <c r="R927" s="5"/>
    </row>
    <row r="928" spans="15:18">
      <c r="O928" s="5"/>
      <c r="R928" s="5"/>
    </row>
    <row r="929" spans="15:18">
      <c r="O929" s="5"/>
      <c r="R929" s="5"/>
    </row>
    <row r="930" spans="15:18">
      <c r="O930" s="5"/>
      <c r="R930" s="5"/>
    </row>
    <row r="931" spans="15:18">
      <c r="O931" s="5"/>
      <c r="R931" s="5"/>
    </row>
    <row r="932" spans="15:18">
      <c r="O932" s="5"/>
      <c r="R932" s="5"/>
    </row>
    <row r="933" spans="15:18">
      <c r="O933" s="5"/>
      <c r="R933" s="5"/>
    </row>
    <row r="934" spans="15:18">
      <c r="O934" s="5"/>
      <c r="R934" s="5"/>
    </row>
    <row r="935" spans="15:18">
      <c r="O935" s="5"/>
      <c r="R935" s="5"/>
    </row>
    <row r="936" spans="15:18">
      <c r="O936" s="5"/>
      <c r="R936" s="5"/>
    </row>
    <row r="937" spans="15:18">
      <c r="O937" s="5"/>
      <c r="R937" s="5"/>
    </row>
    <row r="938" spans="15:18">
      <c r="O938" s="5"/>
      <c r="R938" s="5"/>
    </row>
    <row r="939" spans="15:18">
      <c r="O939" s="5"/>
      <c r="R939" s="5"/>
    </row>
    <row r="940" spans="15:18">
      <c r="O940" s="5"/>
      <c r="R940" s="5"/>
    </row>
    <row r="941" spans="15:18">
      <c r="O941" s="5"/>
      <c r="R941" s="5"/>
    </row>
    <row r="942" spans="15:18">
      <c r="O942" s="5"/>
      <c r="R942" s="5"/>
    </row>
    <row r="943" spans="15:18">
      <c r="O943" s="5"/>
      <c r="R943" s="5"/>
    </row>
    <row r="944" spans="15:18">
      <c r="O944" s="5"/>
      <c r="R944" s="5"/>
    </row>
    <row r="945" spans="15:18">
      <c r="O945" s="5"/>
      <c r="R945" s="5"/>
    </row>
    <row r="946" spans="15:18">
      <c r="O946" s="5"/>
      <c r="R946" s="5"/>
    </row>
    <row r="947" spans="15:18">
      <c r="O947" s="5"/>
      <c r="R947" s="5"/>
    </row>
    <row r="948" spans="15:18">
      <c r="O948" s="5"/>
      <c r="R948" s="5"/>
    </row>
    <row r="949" spans="15:18">
      <c r="O949" s="5"/>
      <c r="R949" s="5"/>
    </row>
    <row r="950" spans="15:18">
      <c r="O950" s="5"/>
      <c r="R950" s="5"/>
    </row>
    <row r="951" spans="15:18">
      <c r="O951" s="5"/>
      <c r="R951" s="5"/>
    </row>
    <row r="952" spans="15:18">
      <c r="O952" s="5"/>
      <c r="R952" s="5"/>
    </row>
    <row r="953" spans="15:18">
      <c r="O953" s="5"/>
      <c r="R953" s="5"/>
    </row>
    <row r="954" spans="15:18">
      <c r="O954" s="5"/>
      <c r="R954" s="5"/>
    </row>
    <row r="955" spans="15:18">
      <c r="O955" s="5"/>
      <c r="R955" s="5"/>
    </row>
    <row r="956" spans="15:18">
      <c r="O956" s="5"/>
      <c r="R956" s="5"/>
    </row>
    <row r="957" spans="15:18">
      <c r="O957" s="5"/>
      <c r="R957" s="5"/>
    </row>
    <row r="958" spans="15:18">
      <c r="O958" s="5"/>
      <c r="R958" s="5"/>
    </row>
    <row r="959" spans="15:18">
      <c r="O959" s="5"/>
      <c r="R959" s="5"/>
    </row>
    <row r="960" spans="15:18">
      <c r="O960" s="5"/>
      <c r="R960" s="5"/>
    </row>
    <row r="961" spans="15:18">
      <c r="O961" s="5"/>
      <c r="R961" s="5"/>
    </row>
    <row r="962" spans="15:18">
      <c r="O962" s="5"/>
      <c r="R962" s="5"/>
    </row>
    <row r="963" spans="15:18">
      <c r="O963" s="5"/>
      <c r="R963" s="5"/>
    </row>
    <row r="964" spans="15:18">
      <c r="O964" s="5"/>
      <c r="R964" s="5"/>
    </row>
    <row r="965" spans="15:18">
      <c r="O965" s="5"/>
      <c r="R965" s="5"/>
    </row>
    <row r="966" spans="15:18">
      <c r="O966" s="5"/>
      <c r="R966" s="5"/>
    </row>
    <row r="967" spans="15:18">
      <c r="O967" s="5"/>
      <c r="R967" s="5"/>
    </row>
    <row r="968" spans="15:18">
      <c r="O968" s="5"/>
      <c r="R968" s="5"/>
    </row>
    <row r="969" spans="15:18">
      <c r="O969" s="5"/>
      <c r="R969" s="5"/>
    </row>
    <row r="970" spans="15:18">
      <c r="O970" s="5"/>
      <c r="R970" s="5"/>
    </row>
    <row r="971" spans="15:18">
      <c r="O971" s="5"/>
      <c r="R971" s="5"/>
    </row>
    <row r="972" spans="15:18">
      <c r="O972" s="5"/>
      <c r="R972" s="5"/>
    </row>
    <row r="973" spans="15:18">
      <c r="O973" s="5"/>
      <c r="R973" s="5"/>
    </row>
    <row r="974" spans="15:18">
      <c r="O974" s="5"/>
      <c r="R974" s="5"/>
    </row>
    <row r="975" spans="15:18">
      <c r="O975" s="5"/>
      <c r="R975" s="5"/>
    </row>
    <row r="976" spans="15:18">
      <c r="O976" s="5"/>
      <c r="R976" s="5"/>
    </row>
    <row r="977" spans="15:18">
      <c r="O977" s="5"/>
      <c r="R977" s="5"/>
    </row>
    <row r="978" spans="15:18">
      <c r="O978" s="5"/>
      <c r="R978" s="5"/>
    </row>
    <row r="979" spans="15:18">
      <c r="O979" s="5"/>
      <c r="R979" s="5"/>
    </row>
    <row r="980" spans="15:18">
      <c r="O980" s="5"/>
      <c r="R980" s="5"/>
    </row>
    <row r="981" spans="15:18">
      <c r="O981" s="5"/>
      <c r="R981" s="5"/>
    </row>
    <row r="982" spans="15:18">
      <c r="O982" s="5"/>
      <c r="R982" s="5"/>
    </row>
    <row r="983" spans="15:18">
      <c r="O983" s="5"/>
      <c r="R983" s="5"/>
    </row>
    <row r="984" spans="15:18">
      <c r="O984" s="5"/>
      <c r="R984" s="5"/>
    </row>
    <row r="985" spans="15:18">
      <c r="O985" s="5"/>
      <c r="R985" s="5"/>
    </row>
    <row r="986" spans="15:18">
      <c r="O986" s="5"/>
      <c r="R986" s="5"/>
    </row>
    <row r="987" spans="15:18">
      <c r="O987" s="5"/>
      <c r="R987" s="5"/>
    </row>
    <row r="988" spans="15:18">
      <c r="O988" s="5"/>
      <c r="R988" s="5"/>
    </row>
    <row r="989" spans="15:18">
      <c r="O989" s="5"/>
      <c r="R989" s="5"/>
    </row>
    <row r="990" spans="15:18">
      <c r="O990" s="5"/>
      <c r="R990" s="5"/>
    </row>
    <row r="991" spans="15:18">
      <c r="O991" s="5"/>
      <c r="R991" s="5"/>
    </row>
    <row r="992" spans="15:18">
      <c r="O992" s="5"/>
      <c r="R992" s="5"/>
    </row>
    <row r="993" spans="15:18">
      <c r="O993" s="5"/>
      <c r="R993" s="5"/>
    </row>
    <row r="994" spans="15:18">
      <c r="O994" s="5"/>
      <c r="R994" s="5"/>
    </row>
    <row r="995" spans="15:18">
      <c r="O995" s="5"/>
      <c r="R995" s="5"/>
    </row>
    <row r="996" spans="15:18">
      <c r="O996" s="5"/>
      <c r="R996" s="5"/>
    </row>
    <row r="997" spans="15:18">
      <c r="O997" s="5"/>
      <c r="R997" s="5"/>
    </row>
    <row r="998" spans="15:18">
      <c r="O998" s="5"/>
      <c r="R998" s="5"/>
    </row>
    <row r="999" spans="15:18">
      <c r="O999" s="5"/>
      <c r="R999" s="5"/>
    </row>
    <row r="1000" spans="15:18">
      <c r="O1000" s="5"/>
      <c r="R1000" s="5"/>
    </row>
    <row r="1001" spans="15:18">
      <c r="O1001" s="5"/>
      <c r="R1001" s="5"/>
    </row>
    <row r="1002" spans="15:18">
      <c r="O1002" s="5"/>
      <c r="R1002" s="5"/>
    </row>
    <row r="1003" spans="15:18">
      <c r="O1003" s="5"/>
      <c r="R1003" s="5"/>
    </row>
    <row r="1004" spans="15:18">
      <c r="O1004" s="5"/>
      <c r="R1004" s="5"/>
    </row>
    <row r="1005" spans="15:18">
      <c r="O1005" s="5"/>
      <c r="R1005" s="5"/>
    </row>
    <row r="1006" spans="15:18">
      <c r="O1006" s="5"/>
      <c r="R1006" s="5"/>
    </row>
    <row r="1007" spans="15:18">
      <c r="O1007" s="5"/>
      <c r="R1007" s="5"/>
    </row>
    <row r="1008" spans="15:18">
      <c r="O1008" s="5"/>
      <c r="R1008" s="5"/>
    </row>
    <row r="1009" spans="15:18">
      <c r="O1009" s="5"/>
      <c r="R1009" s="5"/>
    </row>
    <row r="1010" spans="15:18">
      <c r="O1010" s="5"/>
      <c r="R1010" s="5"/>
    </row>
    <row r="1011" spans="15:18">
      <c r="O1011" s="5"/>
      <c r="R1011" s="5"/>
    </row>
    <row r="1012" spans="15:18">
      <c r="O1012" s="5"/>
      <c r="R1012" s="5"/>
    </row>
    <row r="1013" spans="15:18">
      <c r="O1013" s="5"/>
      <c r="R1013" s="5"/>
    </row>
    <row r="1014" spans="15:18">
      <c r="O1014" s="5"/>
      <c r="R1014" s="5"/>
    </row>
    <row r="1015" spans="15:18">
      <c r="O1015" s="5"/>
      <c r="R1015" s="5"/>
    </row>
    <row r="1016" spans="15:18">
      <c r="O1016" s="5"/>
      <c r="R1016" s="5"/>
    </row>
    <row r="1017" spans="15:18">
      <c r="O1017" s="5"/>
      <c r="R1017" s="5"/>
    </row>
    <row r="1018" spans="15:18">
      <c r="O1018" s="5"/>
      <c r="R1018" s="5"/>
    </row>
    <row r="1019" spans="15:18">
      <c r="O1019" s="5"/>
      <c r="R1019" s="5"/>
    </row>
    <row r="1020" spans="15:18">
      <c r="O1020" s="5"/>
      <c r="R1020" s="5"/>
    </row>
    <row r="1021" spans="15:18">
      <c r="O1021" s="5"/>
      <c r="R1021" s="5"/>
    </row>
    <row r="1022" spans="15:18">
      <c r="O1022" s="5"/>
      <c r="R1022" s="5"/>
    </row>
    <row r="1023" spans="15:18">
      <c r="O1023" s="5"/>
      <c r="R1023" s="5"/>
    </row>
    <row r="1024" spans="15:18">
      <c r="O1024" s="5"/>
      <c r="R1024" s="5"/>
    </row>
    <row r="1025" spans="15:18">
      <c r="O1025" s="5"/>
      <c r="R1025" s="5"/>
    </row>
    <row r="1026" spans="15:18">
      <c r="O1026" s="5"/>
      <c r="R1026" s="5"/>
    </row>
    <row r="1027" spans="15:18">
      <c r="O1027" s="5"/>
      <c r="R1027" s="5"/>
    </row>
    <row r="1028" spans="15:18">
      <c r="O1028" s="5"/>
      <c r="R1028" s="5"/>
    </row>
    <row r="1029" spans="15:18">
      <c r="O1029" s="5"/>
      <c r="R1029" s="5"/>
    </row>
    <row r="1030" spans="15:18">
      <c r="O1030" s="5"/>
      <c r="R1030" s="5"/>
    </row>
    <row r="1031" spans="15:18">
      <c r="O1031" s="5"/>
      <c r="R1031" s="5"/>
    </row>
    <row r="1032" spans="15:18">
      <c r="O1032" s="5"/>
      <c r="R1032" s="5"/>
    </row>
    <row r="1033" spans="15:18">
      <c r="O1033" s="5"/>
      <c r="R1033" s="5"/>
    </row>
    <row r="1034" spans="15:18">
      <c r="O1034" s="5"/>
      <c r="R1034" s="5"/>
    </row>
    <row r="1035" spans="15:18">
      <c r="O1035" s="5"/>
      <c r="R1035" s="5"/>
    </row>
    <row r="1036" spans="15:18">
      <c r="O1036" s="5"/>
      <c r="R1036" s="5"/>
    </row>
    <row r="1037" spans="15:18">
      <c r="O1037" s="5"/>
      <c r="R1037" s="5"/>
    </row>
    <row r="1038" spans="15:18">
      <c r="O1038" s="5"/>
      <c r="R1038" s="5"/>
    </row>
    <row r="1039" spans="15:18">
      <c r="O1039" s="5"/>
      <c r="R1039" s="5"/>
    </row>
    <row r="1040" spans="15:18">
      <c r="O1040" s="5"/>
      <c r="R1040" s="5"/>
    </row>
    <row r="1041" spans="15:18">
      <c r="O1041" s="5"/>
      <c r="R1041" s="5"/>
    </row>
    <row r="1042" spans="15:18">
      <c r="O1042" s="5"/>
      <c r="R1042" s="5"/>
    </row>
    <row r="1043" spans="15:18">
      <c r="O1043" s="5"/>
      <c r="R1043" s="5"/>
    </row>
    <row r="1044" spans="15:18">
      <c r="O1044" s="5"/>
      <c r="R1044" s="5"/>
    </row>
    <row r="1045" spans="15:18">
      <c r="O1045" s="5"/>
      <c r="R1045" s="5"/>
    </row>
    <row r="1046" spans="15:18">
      <c r="O1046" s="5"/>
      <c r="R1046" s="5"/>
    </row>
    <row r="1047" spans="15:18">
      <c r="O1047" s="5"/>
      <c r="R1047" s="5"/>
    </row>
    <row r="1048" spans="15:18">
      <c r="O1048" s="5"/>
      <c r="R1048" s="5"/>
    </row>
    <row r="1049" spans="15:18">
      <c r="O1049" s="5"/>
      <c r="R1049" s="5"/>
    </row>
    <row r="1050" spans="15:18">
      <c r="O1050" s="5"/>
      <c r="R1050" s="5"/>
    </row>
    <row r="1051" spans="15:18">
      <c r="O1051" s="5"/>
      <c r="R1051" s="5"/>
    </row>
    <row r="1052" spans="15:18">
      <c r="O1052" s="5"/>
      <c r="R1052" s="5"/>
    </row>
    <row r="1053" spans="15:18">
      <c r="O1053" s="5"/>
      <c r="R1053" s="5"/>
    </row>
    <row r="1054" spans="15:18">
      <c r="O1054" s="5"/>
      <c r="R1054" s="5"/>
    </row>
    <row r="1055" spans="15:18">
      <c r="O1055" s="5"/>
      <c r="R1055" s="5"/>
    </row>
    <row r="1056" spans="15:18">
      <c r="O1056" s="5"/>
      <c r="R1056" s="5"/>
    </row>
    <row r="1057" spans="15:18">
      <c r="O1057" s="5"/>
      <c r="R1057" s="5"/>
    </row>
    <row r="1058" spans="15:18">
      <c r="O1058" s="5"/>
      <c r="R1058" s="5"/>
    </row>
    <row r="1059" spans="15:18">
      <c r="O1059" s="5"/>
      <c r="R1059" s="5"/>
    </row>
    <row r="1060" spans="15:18">
      <c r="O1060" s="5"/>
      <c r="R1060" s="5"/>
    </row>
    <row r="1061" spans="15:18">
      <c r="O1061" s="5"/>
      <c r="R1061" s="5"/>
    </row>
    <row r="1062" spans="15:18">
      <c r="O1062" s="5"/>
      <c r="R1062" s="5"/>
    </row>
    <row r="1063" spans="15:18">
      <c r="O1063" s="5"/>
      <c r="R1063" s="5"/>
    </row>
    <row r="1064" spans="15:18">
      <c r="O1064" s="5"/>
      <c r="R1064" s="5"/>
    </row>
    <row r="1065" spans="15:18">
      <c r="O1065" s="5"/>
      <c r="R1065" s="5"/>
    </row>
    <row r="1066" spans="15:18">
      <c r="O1066" s="5"/>
      <c r="R1066" s="5"/>
    </row>
    <row r="1067" spans="15:18">
      <c r="O1067" s="5"/>
      <c r="R1067" s="5"/>
    </row>
    <row r="1068" spans="15:18">
      <c r="O1068" s="5"/>
      <c r="R1068" s="5"/>
    </row>
    <row r="1069" spans="15:18">
      <c r="O1069" s="5"/>
      <c r="R1069" s="5"/>
    </row>
    <row r="1070" spans="15:18">
      <c r="O1070" s="5"/>
      <c r="R1070" s="5"/>
    </row>
    <row r="1071" spans="15:18">
      <c r="O1071" s="5"/>
      <c r="R1071" s="5"/>
    </row>
    <row r="1072" spans="15:18">
      <c r="O1072" s="5"/>
      <c r="R1072" s="5"/>
    </row>
    <row r="1073" spans="15:18">
      <c r="O1073" s="5"/>
      <c r="R1073" s="5"/>
    </row>
    <row r="1074" spans="15:18">
      <c r="O1074" s="5"/>
      <c r="R1074" s="5"/>
    </row>
    <row r="1075" spans="15:18">
      <c r="O1075" s="5"/>
      <c r="R1075" s="5"/>
    </row>
    <row r="1076" spans="15:18">
      <c r="O1076" s="5"/>
      <c r="R1076" s="5"/>
    </row>
    <row r="1077" spans="15:18">
      <c r="O1077" s="5"/>
      <c r="R1077" s="5"/>
    </row>
    <row r="1078" spans="15:18">
      <c r="O1078" s="5"/>
      <c r="R1078" s="5"/>
    </row>
    <row r="1079" spans="15:18">
      <c r="O1079" s="5"/>
      <c r="R1079" s="5"/>
    </row>
    <row r="1080" spans="15:18">
      <c r="O1080" s="5"/>
      <c r="R1080" s="5"/>
    </row>
    <row r="1081" spans="15:18">
      <c r="O1081" s="5"/>
      <c r="R1081" s="5"/>
    </row>
    <row r="1082" spans="15:18">
      <c r="O1082" s="5"/>
      <c r="R1082" s="5"/>
    </row>
    <row r="1083" spans="15:18">
      <c r="O1083" s="5"/>
      <c r="R1083" s="5"/>
    </row>
    <row r="1084" spans="15:18">
      <c r="O1084" s="5"/>
      <c r="R1084" s="5"/>
    </row>
    <row r="1085" spans="15:18">
      <c r="O1085" s="5"/>
      <c r="R1085" s="5"/>
    </row>
    <row r="1086" spans="15:18">
      <c r="O1086" s="5"/>
      <c r="R1086" s="5"/>
    </row>
    <row r="1087" spans="15:18">
      <c r="O1087" s="5"/>
      <c r="R1087" s="5"/>
    </row>
    <row r="1088" spans="15:18">
      <c r="O1088" s="5"/>
      <c r="R1088" s="5"/>
    </row>
    <row r="1089" spans="15:18">
      <c r="O1089" s="5"/>
      <c r="R1089" s="5"/>
    </row>
    <row r="1090" spans="15:18">
      <c r="O1090" s="5"/>
      <c r="R1090" s="5"/>
    </row>
    <row r="1091" spans="15:18">
      <c r="O1091" s="5"/>
      <c r="R1091" s="5"/>
    </row>
    <row r="1092" spans="15:18">
      <c r="O1092" s="5"/>
      <c r="R1092" s="5"/>
    </row>
    <row r="1093" spans="15:18">
      <c r="O1093" s="5"/>
      <c r="R1093" s="5"/>
    </row>
    <row r="1094" spans="15:18">
      <c r="O1094" s="5"/>
      <c r="R1094" s="5"/>
    </row>
    <row r="1095" spans="15:18">
      <c r="O1095" s="5"/>
      <c r="R1095" s="5"/>
    </row>
    <row r="1096" spans="15:18">
      <c r="O1096" s="5"/>
      <c r="R1096" s="5"/>
    </row>
    <row r="1097" spans="15:18">
      <c r="O1097" s="5"/>
      <c r="R1097" s="5"/>
    </row>
    <row r="1098" spans="15:18">
      <c r="O1098" s="5"/>
      <c r="R1098" s="5"/>
    </row>
    <row r="1099" spans="15:18">
      <c r="O1099" s="5"/>
      <c r="R1099" s="5"/>
    </row>
    <row r="1100" spans="15:18">
      <c r="O1100" s="5"/>
      <c r="R1100" s="5"/>
    </row>
    <row r="1101" spans="15:18">
      <c r="O1101" s="5"/>
      <c r="R1101" s="5"/>
    </row>
    <row r="1102" spans="15:18">
      <c r="O1102" s="5"/>
      <c r="R1102" s="5"/>
    </row>
    <row r="1103" spans="15:18">
      <c r="O1103" s="5"/>
      <c r="R1103" s="5"/>
    </row>
    <row r="1104" spans="15:18">
      <c r="O1104" s="5"/>
      <c r="R1104" s="5"/>
    </row>
    <row r="1105" spans="15:18">
      <c r="O1105" s="5"/>
      <c r="R1105" s="5"/>
    </row>
    <row r="1106" spans="15:18">
      <c r="O1106" s="5"/>
      <c r="R1106" s="5"/>
    </row>
    <row r="1107" spans="15:18">
      <c r="O1107" s="5"/>
      <c r="R1107" s="5"/>
    </row>
    <row r="1108" spans="15:18">
      <c r="O1108" s="5"/>
      <c r="R1108" s="5"/>
    </row>
    <row r="1109" spans="15:18">
      <c r="O1109" s="5"/>
      <c r="R1109" s="5"/>
    </row>
    <row r="1110" spans="15:18">
      <c r="O1110" s="5"/>
      <c r="R1110" s="5"/>
    </row>
    <row r="1111" spans="15:18">
      <c r="O1111" s="5"/>
      <c r="R1111" s="5"/>
    </row>
    <row r="1112" spans="15:18">
      <c r="O1112" s="5"/>
      <c r="R1112" s="5"/>
    </row>
    <row r="1113" spans="15:18">
      <c r="O1113" s="5"/>
      <c r="R1113" s="5"/>
    </row>
    <row r="1114" spans="15:18">
      <c r="O1114" s="5"/>
      <c r="R1114" s="5"/>
    </row>
    <row r="1115" spans="15:18">
      <c r="O1115" s="5"/>
      <c r="R1115" s="5"/>
    </row>
    <row r="1116" spans="15:18">
      <c r="O1116" s="5"/>
      <c r="R1116" s="5"/>
    </row>
    <row r="1117" spans="15:18">
      <c r="O1117" s="5"/>
      <c r="R1117" s="5"/>
    </row>
    <row r="1118" spans="15:18">
      <c r="O1118" s="5"/>
      <c r="R1118" s="5"/>
    </row>
    <row r="1119" spans="15:18">
      <c r="O1119" s="5"/>
      <c r="R1119" s="5"/>
    </row>
    <row r="1120" spans="15:18">
      <c r="O1120" s="5"/>
      <c r="R1120" s="5"/>
    </row>
    <row r="1121" spans="15:18">
      <c r="O1121" s="5"/>
      <c r="R1121" s="5"/>
    </row>
    <row r="1122" spans="15:18">
      <c r="O1122" s="5"/>
      <c r="R1122" s="5"/>
    </row>
    <row r="1123" spans="15:18">
      <c r="O1123" s="5"/>
      <c r="R1123" s="5"/>
    </row>
    <row r="1124" spans="15:18">
      <c r="O1124" s="5"/>
      <c r="R1124" s="5"/>
    </row>
    <row r="1125" spans="15:18">
      <c r="O1125" s="5"/>
      <c r="R1125" s="5"/>
    </row>
    <row r="1126" spans="15:18">
      <c r="O1126" s="5"/>
      <c r="R1126" s="5"/>
    </row>
    <row r="1127" spans="15:18">
      <c r="O1127" s="5"/>
      <c r="R1127" s="5"/>
    </row>
    <row r="1128" spans="15:18">
      <c r="O1128" s="5"/>
      <c r="R1128" s="5"/>
    </row>
    <row r="1129" spans="15:18">
      <c r="O1129" s="5"/>
      <c r="R1129" s="5"/>
    </row>
    <row r="1130" spans="15:18">
      <c r="O1130" s="5"/>
      <c r="R1130" s="5"/>
    </row>
    <row r="1131" spans="15:18">
      <c r="O1131" s="5"/>
      <c r="R1131" s="5"/>
    </row>
    <row r="1132" spans="15:18">
      <c r="O1132" s="5"/>
      <c r="R1132" s="5"/>
    </row>
    <row r="1133" spans="15:18">
      <c r="O1133" s="5"/>
      <c r="R1133" s="5"/>
    </row>
    <row r="1134" spans="15:18">
      <c r="O1134" s="5"/>
      <c r="R1134" s="5"/>
    </row>
    <row r="1135" spans="15:18">
      <c r="O1135" s="5"/>
      <c r="R1135" s="5"/>
    </row>
    <row r="1136" spans="15:18">
      <c r="O1136" s="5"/>
      <c r="R1136" s="5"/>
    </row>
    <row r="1137" spans="15:18">
      <c r="O1137" s="5"/>
      <c r="R1137" s="5"/>
    </row>
    <row r="1138" spans="15:18">
      <c r="O1138" s="5"/>
      <c r="R1138" s="5"/>
    </row>
    <row r="1139" spans="15:18">
      <c r="O1139" s="5"/>
      <c r="R1139" s="5"/>
    </row>
    <row r="1140" spans="15:18">
      <c r="O1140" s="5"/>
      <c r="R1140" s="5"/>
    </row>
    <row r="1141" spans="15:18">
      <c r="O1141" s="5"/>
      <c r="R1141" s="5"/>
    </row>
    <row r="1142" spans="15:18">
      <c r="O1142" s="5"/>
      <c r="R1142" s="5"/>
    </row>
    <row r="1143" spans="15:18">
      <c r="O1143" s="5"/>
      <c r="R1143" s="5"/>
    </row>
    <row r="1144" spans="15:18">
      <c r="O1144" s="5"/>
      <c r="R1144" s="5"/>
    </row>
    <row r="1145" spans="15:18">
      <c r="O1145" s="5"/>
      <c r="R1145" s="5"/>
    </row>
    <row r="1146" spans="15:18">
      <c r="O1146" s="5"/>
      <c r="R1146" s="5"/>
    </row>
    <row r="1147" spans="15:18">
      <c r="O1147" s="5"/>
      <c r="R1147" s="5"/>
    </row>
    <row r="1148" spans="15:18">
      <c r="O1148" s="5"/>
      <c r="R1148" s="5"/>
    </row>
    <row r="1149" spans="15:18">
      <c r="O1149" s="5"/>
      <c r="R1149" s="5"/>
    </row>
    <row r="1150" spans="15:18">
      <c r="O1150" s="5"/>
      <c r="R1150" s="5"/>
    </row>
    <row r="1151" spans="15:18">
      <c r="O1151" s="5"/>
      <c r="R1151" s="5"/>
    </row>
    <row r="1152" spans="15:18">
      <c r="O1152" s="5"/>
      <c r="R1152" s="5"/>
    </row>
    <row r="1153" spans="15:18">
      <c r="O1153" s="5"/>
      <c r="R1153" s="5"/>
    </row>
    <row r="1154" spans="15:18">
      <c r="O1154" s="5"/>
      <c r="R1154" s="5"/>
    </row>
    <row r="1155" spans="15:18">
      <c r="O1155" s="5"/>
      <c r="R1155" s="5"/>
    </row>
    <row r="1156" spans="15:18">
      <c r="O1156" s="5"/>
      <c r="R1156" s="5"/>
    </row>
    <row r="1157" spans="15:18">
      <c r="O1157" s="5"/>
      <c r="R1157" s="5"/>
    </row>
    <row r="1158" spans="15:18">
      <c r="O1158" s="5"/>
      <c r="R1158" s="5"/>
    </row>
    <row r="1159" spans="15:18">
      <c r="O1159" s="5"/>
      <c r="R1159" s="5"/>
    </row>
    <row r="1160" spans="15:18">
      <c r="O1160" s="5"/>
      <c r="R1160" s="5"/>
    </row>
    <row r="1161" spans="15:18">
      <c r="O1161" s="5"/>
      <c r="R1161" s="5"/>
    </row>
    <row r="1162" spans="15:18">
      <c r="O1162" s="5"/>
      <c r="R1162" s="5"/>
    </row>
    <row r="1163" spans="15:18">
      <c r="O1163" s="5"/>
      <c r="R1163" s="5"/>
    </row>
    <row r="1164" spans="15:18">
      <c r="O1164" s="5"/>
      <c r="R1164" s="5"/>
    </row>
    <row r="1165" spans="15:18">
      <c r="O1165" s="5"/>
      <c r="R1165" s="5"/>
    </row>
    <row r="1166" spans="15:18">
      <c r="O1166" s="5"/>
      <c r="R1166" s="5"/>
    </row>
    <row r="1167" spans="15:18">
      <c r="O1167" s="5"/>
      <c r="R1167" s="5"/>
    </row>
    <row r="1168" spans="15:18">
      <c r="O1168" s="5"/>
      <c r="R1168" s="5"/>
    </row>
    <row r="1169" spans="15:18">
      <c r="O1169" s="5"/>
      <c r="R1169" s="5"/>
    </row>
    <row r="1170" spans="15:18">
      <c r="O1170" s="5"/>
      <c r="R1170" s="5"/>
    </row>
    <row r="1171" spans="15:18">
      <c r="O1171" s="5"/>
      <c r="R1171" s="5"/>
    </row>
    <row r="1172" spans="15:18">
      <c r="O1172" s="5"/>
      <c r="R1172" s="5"/>
    </row>
    <row r="1173" spans="15:18">
      <c r="O1173" s="5"/>
      <c r="R1173" s="5"/>
    </row>
    <row r="1174" spans="15:18">
      <c r="O1174" s="5"/>
      <c r="R1174" s="5"/>
    </row>
    <row r="1175" spans="15:18">
      <c r="O1175" s="5"/>
      <c r="R1175" s="5"/>
    </row>
    <row r="1176" spans="15:18">
      <c r="O1176" s="5"/>
      <c r="R1176" s="5"/>
    </row>
    <row r="1177" spans="15:18">
      <c r="O1177" s="5"/>
      <c r="R1177" s="5"/>
    </row>
    <row r="1178" spans="15:18">
      <c r="O1178" s="5"/>
      <c r="R1178" s="5"/>
    </row>
    <row r="1179" spans="15:18">
      <c r="O1179" s="5"/>
      <c r="R1179" s="5"/>
    </row>
    <row r="1180" spans="15:18">
      <c r="O1180" s="5"/>
      <c r="R1180" s="5"/>
    </row>
    <row r="1181" spans="15:18">
      <c r="O1181" s="5"/>
      <c r="R1181" s="5"/>
    </row>
    <row r="1182" spans="15:18">
      <c r="O1182" s="5"/>
      <c r="R1182" s="5"/>
    </row>
    <row r="1183" spans="15:18">
      <c r="O1183" s="5"/>
      <c r="R1183" s="5"/>
    </row>
    <row r="1184" spans="15:18">
      <c r="O1184" s="5"/>
      <c r="R1184" s="5"/>
    </row>
    <row r="1185" spans="15:18">
      <c r="O1185" s="5"/>
      <c r="R1185" s="5"/>
    </row>
    <row r="1186" spans="15:18">
      <c r="O1186" s="5"/>
      <c r="R1186" s="5"/>
    </row>
    <row r="1187" spans="15:18">
      <c r="O1187" s="5"/>
      <c r="R1187" s="5"/>
    </row>
    <row r="1188" spans="15:18">
      <c r="O1188" s="5"/>
      <c r="R1188" s="5"/>
    </row>
    <row r="1189" spans="15:18">
      <c r="O1189" s="5"/>
      <c r="R1189" s="5"/>
    </row>
    <row r="1190" spans="15:18">
      <c r="O1190" s="5"/>
      <c r="R1190" s="5"/>
    </row>
    <row r="1191" spans="15:18">
      <c r="O1191" s="5"/>
      <c r="R1191" s="5"/>
    </row>
    <row r="1192" spans="15:18">
      <c r="O1192" s="5"/>
      <c r="R1192" s="5"/>
    </row>
    <row r="1193" spans="15:18">
      <c r="O1193" s="5"/>
      <c r="R1193" s="5"/>
    </row>
    <row r="1194" spans="15:18">
      <c r="O1194" s="5"/>
      <c r="R1194" s="5"/>
    </row>
    <row r="1195" spans="15:18">
      <c r="O1195" s="5"/>
      <c r="R1195" s="5"/>
    </row>
    <row r="1196" spans="15:18">
      <c r="O1196" s="5"/>
      <c r="R1196" s="5"/>
    </row>
    <row r="1197" spans="15:18">
      <c r="O1197" s="5"/>
      <c r="R1197" s="5"/>
    </row>
    <row r="1198" spans="15:18">
      <c r="O1198" s="5"/>
      <c r="R1198" s="5"/>
    </row>
    <row r="1199" spans="15:18">
      <c r="O1199" s="5"/>
      <c r="R1199" s="5"/>
    </row>
    <row r="1200" spans="15:18">
      <c r="O1200" s="5"/>
      <c r="R1200" s="5"/>
    </row>
    <row r="1201" spans="15:18">
      <c r="O1201" s="5"/>
      <c r="R1201" s="5"/>
    </row>
    <row r="1202" spans="15:18">
      <c r="O1202" s="5"/>
      <c r="R1202" s="5"/>
    </row>
    <row r="1203" spans="15:18">
      <c r="O1203" s="5"/>
      <c r="R1203" s="5"/>
    </row>
    <row r="1204" spans="15:18">
      <c r="O1204" s="5"/>
      <c r="R1204" s="5"/>
    </row>
    <row r="1205" spans="15:18">
      <c r="O1205" s="5"/>
      <c r="R1205" s="5"/>
    </row>
    <row r="1206" spans="15:18">
      <c r="O1206" s="5"/>
      <c r="R1206" s="5"/>
    </row>
    <row r="1207" spans="15:18">
      <c r="O1207" s="5"/>
      <c r="R1207" s="5"/>
    </row>
    <row r="1208" spans="15:18">
      <c r="O1208" s="5"/>
      <c r="R1208" s="5"/>
    </row>
    <row r="1209" spans="15:18">
      <c r="O1209" s="5"/>
      <c r="R1209" s="5"/>
    </row>
    <row r="1210" spans="15:18">
      <c r="O1210" s="5"/>
      <c r="R1210" s="5"/>
    </row>
    <row r="1211" spans="15:18">
      <c r="O1211" s="5"/>
      <c r="R1211" s="5"/>
    </row>
    <row r="1212" spans="15:18">
      <c r="O1212" s="5"/>
      <c r="R1212" s="5"/>
    </row>
    <row r="1213" spans="15:18">
      <c r="O1213" s="5"/>
      <c r="R1213" s="5"/>
    </row>
    <row r="1214" spans="15:18">
      <c r="O1214" s="5"/>
      <c r="R1214" s="5"/>
    </row>
    <row r="1215" spans="15:18">
      <c r="O1215" s="5"/>
      <c r="R1215" s="5"/>
    </row>
    <row r="1216" spans="15:18">
      <c r="O1216" s="5"/>
      <c r="R1216" s="5"/>
    </row>
    <row r="1217" spans="15:18">
      <c r="O1217" s="5"/>
      <c r="R1217" s="5"/>
    </row>
    <row r="1218" spans="15:18">
      <c r="O1218" s="5"/>
      <c r="R1218" s="5"/>
    </row>
    <row r="1219" spans="15:18">
      <c r="O1219" s="5"/>
      <c r="R1219" s="5"/>
    </row>
    <row r="1220" spans="15:18">
      <c r="O1220" s="5"/>
      <c r="R1220" s="5"/>
    </row>
    <row r="1221" spans="15:18">
      <c r="O1221" s="5"/>
      <c r="R1221" s="5"/>
    </row>
    <row r="1222" spans="15:18">
      <c r="O1222" s="5"/>
      <c r="R1222" s="5"/>
    </row>
    <row r="1223" spans="15:18">
      <c r="O1223" s="5"/>
      <c r="R1223" s="5"/>
    </row>
    <row r="1224" spans="15:18">
      <c r="O1224" s="5"/>
      <c r="R1224" s="5"/>
    </row>
    <row r="1225" spans="15:18">
      <c r="O1225" s="5"/>
      <c r="R1225" s="5"/>
    </row>
    <row r="1226" spans="15:18">
      <c r="O1226" s="5"/>
      <c r="R1226" s="5"/>
    </row>
    <row r="1227" spans="15:18">
      <c r="O1227" s="5"/>
      <c r="R1227" s="5"/>
    </row>
    <row r="1228" spans="15:18">
      <c r="O1228" s="5"/>
      <c r="R1228" s="5"/>
    </row>
    <row r="1229" spans="15:18">
      <c r="O1229" s="5"/>
      <c r="R1229" s="5"/>
    </row>
    <row r="1230" spans="15:18">
      <c r="O1230" s="5"/>
      <c r="R1230" s="5"/>
    </row>
    <row r="1231" spans="15:18">
      <c r="O1231" s="5"/>
      <c r="R1231" s="5"/>
    </row>
    <row r="1232" spans="15:18">
      <c r="O1232" s="5"/>
      <c r="R1232" s="5"/>
    </row>
    <row r="1233" spans="15:18">
      <c r="O1233" s="5"/>
      <c r="R1233" s="5"/>
    </row>
    <row r="1234" spans="15:18">
      <c r="O1234" s="5"/>
      <c r="R1234" s="5"/>
    </row>
    <row r="1235" spans="15:18">
      <c r="O1235" s="5"/>
      <c r="R1235" s="5"/>
    </row>
    <row r="1236" spans="15:18">
      <c r="O1236" s="5"/>
      <c r="R1236" s="5"/>
    </row>
    <row r="1237" spans="15:18">
      <c r="O1237" s="5"/>
      <c r="R1237" s="5"/>
    </row>
    <row r="1238" spans="15:18">
      <c r="O1238" s="5"/>
      <c r="R1238" s="5"/>
    </row>
    <row r="1239" spans="15:18">
      <c r="O1239" s="5"/>
      <c r="R1239" s="5"/>
    </row>
    <row r="1240" spans="15:18">
      <c r="O1240" s="5"/>
      <c r="R1240" s="5"/>
    </row>
    <row r="1241" spans="15:18">
      <c r="O1241" s="5"/>
      <c r="R1241" s="5"/>
    </row>
    <row r="1242" spans="15:18">
      <c r="O1242" s="5"/>
      <c r="R1242" s="5"/>
    </row>
    <row r="1243" spans="15:18">
      <c r="O1243" s="5"/>
      <c r="R1243" s="5"/>
    </row>
    <row r="1244" spans="15:18">
      <c r="O1244" s="5"/>
      <c r="R1244" s="5"/>
    </row>
    <row r="1245" spans="15:18">
      <c r="O1245" s="5"/>
      <c r="R1245" s="5"/>
    </row>
    <row r="1246" spans="15:18">
      <c r="O1246" s="5"/>
      <c r="R1246" s="5"/>
    </row>
    <row r="1247" spans="15:18">
      <c r="O1247" s="5"/>
      <c r="R1247" s="5"/>
    </row>
    <row r="1248" spans="15:18">
      <c r="O1248" s="5"/>
      <c r="R1248" s="5"/>
    </row>
    <row r="1249" spans="15:18">
      <c r="O1249" s="5"/>
      <c r="R1249" s="5"/>
    </row>
    <row r="1250" spans="15:18">
      <c r="O1250" s="5"/>
      <c r="R1250" s="5"/>
    </row>
    <row r="1251" spans="15:18">
      <c r="O1251" s="5"/>
      <c r="R1251" s="5"/>
    </row>
    <row r="1252" spans="15:18">
      <c r="O1252" s="5"/>
      <c r="R1252" s="5"/>
    </row>
    <row r="1253" spans="15:18">
      <c r="O1253" s="5"/>
      <c r="R1253" s="5"/>
    </row>
    <row r="1254" spans="15:18">
      <c r="O1254" s="5"/>
      <c r="R1254" s="5"/>
    </row>
    <row r="1255" spans="15:18">
      <c r="O1255" s="5"/>
      <c r="R1255" s="5"/>
    </row>
    <row r="1256" spans="15:18">
      <c r="O1256" s="5"/>
      <c r="R1256" s="5"/>
    </row>
    <row r="1257" spans="15:18">
      <c r="O1257" s="5"/>
      <c r="R1257" s="5"/>
    </row>
    <row r="1258" spans="15:18">
      <c r="O1258" s="5"/>
      <c r="R1258" s="5"/>
    </row>
    <row r="1259" spans="15:18">
      <c r="O1259" s="5"/>
      <c r="R1259" s="5"/>
    </row>
    <row r="1260" spans="15:18">
      <c r="O1260" s="5"/>
      <c r="R1260" s="5"/>
    </row>
    <row r="1261" spans="15:18">
      <c r="O1261" s="5"/>
      <c r="R1261" s="5"/>
    </row>
    <row r="1262" spans="15:18">
      <c r="O1262" s="5"/>
      <c r="R1262" s="5"/>
    </row>
    <row r="1263" spans="15:18">
      <c r="O1263" s="5"/>
      <c r="R1263" s="5"/>
    </row>
    <row r="1264" spans="15:18">
      <c r="O1264" s="5"/>
      <c r="R1264" s="5"/>
    </row>
    <row r="1265" spans="15:18">
      <c r="O1265" s="5"/>
      <c r="R1265" s="5"/>
    </row>
    <row r="1266" spans="15:18">
      <c r="O1266" s="5"/>
      <c r="R1266" s="5"/>
    </row>
    <row r="1267" spans="15:18">
      <c r="O1267" s="5"/>
      <c r="R1267" s="5"/>
    </row>
    <row r="1268" spans="15:18">
      <c r="O1268" s="5"/>
      <c r="R1268" s="5"/>
    </row>
    <row r="1269" spans="15:18">
      <c r="O1269" s="5"/>
      <c r="R1269" s="5"/>
    </row>
    <row r="1270" spans="15:18">
      <c r="O1270" s="5"/>
      <c r="R1270" s="5"/>
    </row>
    <row r="1271" spans="15:18">
      <c r="O1271" s="5"/>
      <c r="R1271" s="5"/>
    </row>
    <row r="1272" spans="15:18">
      <c r="O1272" s="5"/>
      <c r="R1272" s="5"/>
    </row>
    <row r="1273" spans="15:18">
      <c r="O1273" s="5"/>
      <c r="R1273" s="5"/>
    </row>
    <row r="1274" spans="15:18">
      <c r="O1274" s="5"/>
      <c r="R1274" s="5"/>
    </row>
    <row r="1275" spans="15:18">
      <c r="O1275" s="5"/>
      <c r="R1275" s="5"/>
    </row>
    <row r="1276" spans="15:18">
      <c r="O1276" s="5"/>
      <c r="R1276" s="5"/>
    </row>
    <row r="1277" spans="15:18">
      <c r="O1277" s="5"/>
      <c r="R1277" s="5"/>
    </row>
    <row r="1278" spans="15:18">
      <c r="O1278" s="5"/>
      <c r="R1278" s="5"/>
    </row>
    <row r="1279" spans="15:18">
      <c r="O1279" s="5"/>
      <c r="R1279" s="5"/>
    </row>
    <row r="1280" spans="15:18">
      <c r="O1280" s="5"/>
      <c r="R1280" s="5"/>
    </row>
    <row r="1281" spans="15:18">
      <c r="O1281" s="5"/>
      <c r="R1281" s="5"/>
    </row>
    <row r="1282" spans="15:18">
      <c r="O1282" s="5"/>
      <c r="R1282" s="5"/>
    </row>
    <row r="1283" spans="15:18">
      <c r="O1283" s="5"/>
      <c r="R1283" s="5"/>
    </row>
    <row r="1284" spans="15:18">
      <c r="O1284" s="5"/>
      <c r="R1284" s="5"/>
    </row>
    <row r="1285" spans="15:18">
      <c r="O1285" s="5"/>
      <c r="R1285" s="5"/>
    </row>
    <row r="1286" spans="15:18">
      <c r="O1286" s="5"/>
      <c r="R1286" s="5"/>
    </row>
    <row r="1287" spans="15:18">
      <c r="O1287" s="5"/>
      <c r="R1287" s="5"/>
    </row>
    <row r="1288" spans="15:18">
      <c r="O1288" s="5"/>
      <c r="R1288" s="5"/>
    </row>
    <row r="1289" spans="15:18">
      <c r="O1289" s="5"/>
      <c r="R1289" s="5"/>
    </row>
    <row r="1290" spans="15:18">
      <c r="O1290" s="5"/>
      <c r="R1290" s="5"/>
    </row>
    <row r="1291" spans="15:18">
      <c r="O1291" s="5"/>
      <c r="R1291" s="5"/>
    </row>
    <row r="1292" spans="15:18">
      <c r="O1292" s="5"/>
      <c r="R1292" s="5"/>
    </row>
    <row r="1293" spans="15:18">
      <c r="O1293" s="5"/>
      <c r="R1293" s="5"/>
    </row>
    <row r="1294" spans="15:18">
      <c r="O1294" s="5"/>
      <c r="R1294" s="5"/>
    </row>
    <row r="1295" spans="15:18">
      <c r="O1295" s="5"/>
      <c r="R1295" s="5"/>
    </row>
    <row r="1296" spans="15:18">
      <c r="O1296" s="5"/>
      <c r="R1296" s="5"/>
    </row>
    <row r="1297" spans="15:18">
      <c r="O1297" s="5"/>
      <c r="R1297" s="5"/>
    </row>
    <row r="1298" spans="15:18">
      <c r="O1298" s="5"/>
      <c r="R1298" s="5"/>
    </row>
    <row r="1299" spans="15:18">
      <c r="O1299" s="5"/>
      <c r="R1299" s="5"/>
    </row>
    <row r="1300" spans="15:18">
      <c r="O1300" s="5"/>
      <c r="R1300" s="5"/>
    </row>
    <row r="1301" spans="15:18">
      <c r="O1301" s="5"/>
      <c r="R1301" s="5"/>
    </row>
    <row r="1302" spans="15:18">
      <c r="O1302" s="5"/>
      <c r="R1302" s="5"/>
    </row>
    <row r="1303" spans="15:18">
      <c r="O1303" s="5"/>
      <c r="R1303" s="5"/>
    </row>
    <row r="1304" spans="15:18">
      <c r="O1304" s="5"/>
      <c r="R1304" s="5"/>
    </row>
    <row r="1305" spans="15:18">
      <c r="O1305" s="5"/>
      <c r="R1305" s="5"/>
    </row>
    <row r="1306" spans="15:18">
      <c r="O1306" s="5"/>
      <c r="R1306" s="5"/>
    </row>
    <row r="1307" spans="15:18">
      <c r="O1307" s="5"/>
      <c r="R1307" s="5"/>
    </row>
    <row r="1308" spans="15:18">
      <c r="O1308" s="5"/>
      <c r="R1308" s="5"/>
    </row>
    <row r="1309" spans="15:18">
      <c r="O1309" s="5"/>
      <c r="R1309" s="5"/>
    </row>
    <row r="1310" spans="15:18">
      <c r="O1310" s="5"/>
      <c r="R1310" s="5"/>
    </row>
    <row r="1311" spans="15:18">
      <c r="O1311" s="5"/>
      <c r="R1311" s="5"/>
    </row>
    <row r="1312" spans="15:18">
      <c r="O1312" s="5"/>
      <c r="R1312" s="5"/>
    </row>
    <row r="1313" spans="15:18">
      <c r="O1313" s="5"/>
      <c r="R1313" s="5"/>
    </row>
    <row r="1314" spans="15:18">
      <c r="O1314" s="5"/>
      <c r="R1314" s="5"/>
    </row>
    <row r="1315" spans="15:18">
      <c r="O1315" s="5"/>
      <c r="R1315" s="5"/>
    </row>
    <row r="1316" spans="15:18">
      <c r="O1316" s="5"/>
      <c r="R1316" s="5"/>
    </row>
    <row r="1317" spans="15:18">
      <c r="O1317" s="5"/>
      <c r="R1317" s="5"/>
    </row>
    <row r="1318" spans="15:18">
      <c r="O1318" s="5"/>
      <c r="R1318" s="5"/>
    </row>
    <row r="1319" spans="15:18">
      <c r="O1319" s="5"/>
      <c r="R1319" s="5"/>
    </row>
    <row r="1320" spans="15:18">
      <c r="O1320" s="5"/>
      <c r="R1320" s="5"/>
    </row>
    <row r="1321" spans="15:18">
      <c r="O1321" s="5"/>
      <c r="R1321" s="5"/>
    </row>
    <row r="1322" spans="15:18">
      <c r="O1322" s="5"/>
      <c r="R1322" s="5"/>
    </row>
    <row r="1323" spans="15:18">
      <c r="O1323" s="5"/>
      <c r="R1323" s="5"/>
    </row>
    <row r="1324" spans="15:18">
      <c r="O1324" s="5"/>
      <c r="R1324" s="5"/>
    </row>
    <row r="1325" spans="15:18">
      <c r="O1325" s="5"/>
      <c r="R1325" s="5"/>
    </row>
    <row r="1326" spans="15:18">
      <c r="O1326" s="5"/>
      <c r="R1326" s="5"/>
    </row>
    <row r="1327" spans="15:18">
      <c r="O1327" s="5"/>
      <c r="R1327" s="5"/>
    </row>
    <row r="1328" spans="15:18">
      <c r="O1328" s="5"/>
      <c r="R1328" s="5"/>
    </row>
    <row r="1329" spans="15:18">
      <c r="O1329" s="5"/>
      <c r="R1329" s="5"/>
    </row>
  </sheetData>
  <autoFilter ref="J3:S30" xr:uid="{EA93015D-5D62-4C68-AFF2-B4A6FB7D7DBA}"/>
  <mergeCells count="1">
    <mergeCell ref="B2:R2"/>
  </mergeCells>
  <phoneticPr fontId="30" type="noConversion"/>
  <pageMargins left="0.7" right="0.7" top="0.75" bottom="0.75" header="0.3" footer="0.3"/>
  <pageSetup paperSize="9" scale="38" fitToHeight="0" orientation="landscape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25FDE-4A2B-4625-909C-A74BC4529F21}">
  <sheetPr>
    <tabColor theme="1" tint="0.499984740745262"/>
    <pageSetUpPr fitToPage="1"/>
  </sheetPr>
  <dimension ref="B2:T46"/>
  <sheetViews>
    <sheetView zoomScale="60" zoomScaleNormal="60" workbookViewId="0">
      <selection activeCell="I14" sqref="I14"/>
    </sheetView>
  </sheetViews>
  <sheetFormatPr defaultColWidth="9.140625" defaultRowHeight="14.25" outlineLevelCol="1"/>
  <cols>
    <col min="1" max="1" width="3.28515625" style="5" customWidth="1"/>
    <col min="2" max="2" width="46.28515625" style="5" customWidth="1"/>
    <col min="3" max="7" width="11.85546875" style="5" customWidth="1"/>
    <col min="8" max="8" width="14.5703125" style="5" customWidth="1"/>
    <col min="9" max="9" width="10.85546875" style="5" customWidth="1"/>
    <col min="10" max="10" width="13.85546875" style="5" customWidth="1"/>
    <col min="11" max="11" width="51.5703125" style="5" customWidth="1" outlineLevel="1"/>
    <col min="12" max="12" width="12.140625" style="5" customWidth="1" outlineLevel="1"/>
    <col min="13" max="13" width="14.42578125" style="5" customWidth="1" outlineLevel="1"/>
    <col min="14" max="14" width="13.42578125" style="9" customWidth="1" outlineLevel="1"/>
    <col min="15" max="15" width="11.140625" style="5" customWidth="1"/>
    <col min="16" max="16" width="18" style="5" hidden="1" customWidth="1" outlineLevel="1"/>
    <col min="17" max="17" width="17.5703125" style="5" hidden="1" customWidth="1" outlineLevel="1"/>
    <col min="18" max="18" width="19.28515625" style="5" customWidth="1" collapsed="1"/>
    <col min="19" max="19" width="17.5703125" style="5" customWidth="1"/>
    <col min="20" max="20" width="29.85546875" style="5" customWidth="1"/>
    <col min="21" max="21" width="21.42578125" style="5" customWidth="1"/>
    <col min="22" max="16384" width="9.140625" style="5"/>
  </cols>
  <sheetData>
    <row r="2" spans="2:20" ht="60" customHeight="1">
      <c r="B2" s="366" t="s">
        <v>337</v>
      </c>
      <c r="C2" s="361"/>
      <c r="D2" s="361"/>
      <c r="E2" s="361"/>
      <c r="F2" s="361"/>
      <c r="G2" s="361"/>
      <c r="H2" s="361"/>
      <c r="I2" s="361"/>
      <c r="J2" s="361"/>
      <c r="K2" s="361"/>
      <c r="L2" s="361"/>
      <c r="M2" s="361"/>
      <c r="N2" s="361"/>
      <c r="O2" s="361"/>
      <c r="P2" s="361"/>
      <c r="Q2" s="361"/>
      <c r="R2" s="361"/>
      <c r="S2" s="62"/>
    </row>
    <row r="3" spans="2:20" ht="42.75">
      <c r="I3" s="6"/>
      <c r="J3" s="10" t="s">
        <v>262</v>
      </c>
      <c r="K3" s="10" t="s">
        <v>24</v>
      </c>
      <c r="L3" s="10" t="s">
        <v>26</v>
      </c>
      <c r="M3" s="10" t="s">
        <v>28</v>
      </c>
      <c r="N3" s="10" t="s">
        <v>19</v>
      </c>
      <c r="O3" s="10" t="s">
        <v>13</v>
      </c>
      <c r="P3" s="10" t="s">
        <v>204</v>
      </c>
      <c r="Q3" s="10" t="s">
        <v>205</v>
      </c>
      <c r="R3" s="65" t="s">
        <v>269</v>
      </c>
      <c r="S3" s="10" t="s">
        <v>554</v>
      </c>
    </row>
    <row r="4" spans="2:20" ht="20.45" customHeight="1">
      <c r="B4" s="7" t="s">
        <v>0</v>
      </c>
      <c r="C4" s="8" t="s">
        <v>1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338</v>
      </c>
      <c r="J4" s="13">
        <v>45877</v>
      </c>
      <c r="K4" s="13" t="s">
        <v>397</v>
      </c>
      <c r="L4" s="15">
        <v>78</v>
      </c>
      <c r="M4" s="15" t="s">
        <v>398</v>
      </c>
      <c r="N4" s="14">
        <v>9</v>
      </c>
      <c r="O4" s="64">
        <v>9</v>
      </c>
      <c r="P4" s="16"/>
      <c r="Q4" s="17"/>
      <c r="R4" s="106">
        <v>183900</v>
      </c>
      <c r="S4" s="17">
        <f>R4/100/O4</f>
        <v>204.33333333333334</v>
      </c>
    </row>
    <row r="5" spans="2:20" s="9" customFormat="1" ht="20.45" customHeight="1">
      <c r="B5" s="11" t="s">
        <v>6</v>
      </c>
      <c r="C5" s="12"/>
      <c r="D5" s="12"/>
      <c r="E5" s="12"/>
      <c r="F5" s="12"/>
      <c r="G5" s="12"/>
      <c r="H5" s="12">
        <v>45877</v>
      </c>
      <c r="J5" s="115">
        <v>45878</v>
      </c>
      <c r="K5" s="115" t="s">
        <v>397</v>
      </c>
      <c r="L5" s="15">
        <v>78</v>
      </c>
      <c r="M5" s="15" t="s">
        <v>398</v>
      </c>
      <c r="N5" s="116">
        <v>13</v>
      </c>
      <c r="O5" s="64">
        <v>24.000000000000004</v>
      </c>
      <c r="P5" s="16"/>
      <c r="Q5" s="17"/>
      <c r="R5" s="106">
        <v>280620</v>
      </c>
      <c r="S5" s="17">
        <f t="shared" ref="S5:S27" si="0">R5/100/O5</f>
        <v>116.92499999999997</v>
      </c>
      <c r="T5" s="128"/>
    </row>
    <row r="6" spans="2:20" ht="20.45" customHeight="1">
      <c r="B6" s="11" t="s">
        <v>7</v>
      </c>
      <c r="C6" s="12"/>
      <c r="D6" s="12"/>
      <c r="E6" s="12"/>
      <c r="F6" s="12"/>
      <c r="G6" s="12"/>
      <c r="H6" s="12">
        <v>45900</v>
      </c>
      <c r="J6" s="115">
        <v>45879</v>
      </c>
      <c r="K6" s="115" t="s">
        <v>397</v>
      </c>
      <c r="L6" s="15">
        <v>78</v>
      </c>
      <c r="M6" s="15" t="s">
        <v>398</v>
      </c>
      <c r="N6" s="116">
        <v>19</v>
      </c>
      <c r="O6" s="64">
        <v>28</v>
      </c>
      <c r="P6" s="16"/>
      <c r="Q6" s="17"/>
      <c r="R6" s="106">
        <v>460840</v>
      </c>
      <c r="S6" s="17">
        <f t="shared" si="0"/>
        <v>164.58571428571426</v>
      </c>
      <c r="T6" s="128"/>
    </row>
    <row r="7" spans="2:20" ht="20.45" customHeight="1">
      <c r="B7" s="11" t="s">
        <v>8</v>
      </c>
      <c r="C7" s="19"/>
      <c r="D7" s="19"/>
      <c r="E7" s="19"/>
      <c r="F7" s="19"/>
      <c r="G7" s="19"/>
      <c r="H7" s="19">
        <f>IF(H6=0,"-",H6-H5+1)</f>
        <v>24</v>
      </c>
      <c r="J7" s="115">
        <v>45880</v>
      </c>
      <c r="K7" s="115" t="s">
        <v>397</v>
      </c>
      <c r="L7" s="15">
        <v>78</v>
      </c>
      <c r="M7" s="15" t="s">
        <v>398</v>
      </c>
      <c r="N7" s="116">
        <v>11</v>
      </c>
      <c r="O7" s="64">
        <v>14</v>
      </c>
      <c r="P7" s="16"/>
      <c r="Q7" s="17"/>
      <c r="R7" s="129">
        <v>259250</v>
      </c>
      <c r="S7" s="17">
        <f t="shared" si="0"/>
        <v>185.17857142857142</v>
      </c>
      <c r="T7" s="128"/>
    </row>
    <row r="8" spans="2:20" ht="20.45" customHeight="1">
      <c r="B8" s="11" t="s">
        <v>9</v>
      </c>
      <c r="C8" s="19"/>
      <c r="D8" s="19"/>
      <c r="E8" s="19"/>
      <c r="F8" s="19"/>
      <c r="G8" s="19"/>
      <c r="H8" s="19">
        <v>21</v>
      </c>
      <c r="J8" s="115">
        <v>45881</v>
      </c>
      <c r="K8" s="115"/>
      <c r="L8" s="15"/>
      <c r="M8" s="15"/>
      <c r="N8" s="116"/>
      <c r="O8" s="64"/>
      <c r="P8" s="16"/>
      <c r="Q8" s="17"/>
      <c r="R8" s="129"/>
      <c r="S8" s="17"/>
      <c r="T8" s="128"/>
    </row>
    <row r="9" spans="2:20" ht="20.45" customHeight="1">
      <c r="B9" s="11" t="s">
        <v>10</v>
      </c>
      <c r="C9" s="20"/>
      <c r="D9" s="20"/>
      <c r="E9" s="20"/>
      <c r="F9" s="20"/>
      <c r="G9" s="20"/>
      <c r="H9" s="20" t="s">
        <v>268</v>
      </c>
      <c r="J9" s="115">
        <v>45882</v>
      </c>
      <c r="K9" s="115" t="s">
        <v>750</v>
      </c>
      <c r="L9" s="64">
        <v>42</v>
      </c>
      <c r="M9" s="64" t="s">
        <v>777</v>
      </c>
      <c r="N9" s="116">
        <v>10</v>
      </c>
      <c r="O9" s="64">
        <v>14</v>
      </c>
      <c r="P9" s="16"/>
      <c r="Q9" s="17"/>
      <c r="R9" s="129">
        <v>208990</v>
      </c>
      <c r="S9" s="17">
        <f t="shared" si="0"/>
        <v>149.27857142857144</v>
      </c>
    </row>
    <row r="10" spans="2:20" ht="20.45" customHeight="1">
      <c r="B10" s="11" t="s">
        <v>11</v>
      </c>
      <c r="C10" s="34"/>
      <c r="D10" s="34"/>
      <c r="E10" s="34"/>
      <c r="F10" s="34"/>
      <c r="G10" s="34"/>
      <c r="H10" s="34">
        <f>R43/1000</f>
        <v>8295.44</v>
      </c>
      <c r="J10" s="115">
        <v>45883</v>
      </c>
      <c r="K10" s="115" t="s">
        <v>750</v>
      </c>
      <c r="L10" s="64">
        <v>42</v>
      </c>
      <c r="M10" s="64" t="s">
        <v>777</v>
      </c>
      <c r="N10" s="116">
        <v>9</v>
      </c>
      <c r="O10" s="64">
        <v>21</v>
      </c>
      <c r="P10" s="16"/>
      <c r="Q10" s="17"/>
      <c r="R10" s="106">
        <v>223220</v>
      </c>
      <c r="S10" s="17">
        <f t="shared" si="0"/>
        <v>106.29523809523809</v>
      </c>
      <c r="T10" s="142"/>
    </row>
    <row r="11" spans="2:20" ht="20.45" customHeight="1">
      <c r="B11" s="11" t="s">
        <v>12</v>
      </c>
      <c r="C11" s="22"/>
      <c r="D11" s="22"/>
      <c r="E11" s="22"/>
      <c r="F11" s="22"/>
      <c r="G11" s="22"/>
      <c r="H11" s="22">
        <v>566</v>
      </c>
      <c r="I11" s="131"/>
      <c r="J11" s="115"/>
      <c r="K11" s="115" t="s">
        <v>750</v>
      </c>
      <c r="L11" s="64">
        <v>42</v>
      </c>
      <c r="M11" s="64" t="s">
        <v>260</v>
      </c>
      <c r="N11" s="116">
        <v>4</v>
      </c>
      <c r="O11" s="64">
        <v>7</v>
      </c>
      <c r="P11" s="16"/>
      <c r="Q11" s="17"/>
      <c r="R11" s="106">
        <v>87710</v>
      </c>
      <c r="S11" s="17">
        <f t="shared" si="0"/>
        <v>125.3</v>
      </c>
      <c r="T11" s="128"/>
    </row>
    <row r="12" spans="2:20" ht="20.45" customHeight="1">
      <c r="B12" s="11" t="s">
        <v>13</v>
      </c>
      <c r="C12" s="22"/>
      <c r="D12" s="22"/>
      <c r="E12" s="22"/>
      <c r="F12" s="22"/>
      <c r="G12" s="22"/>
      <c r="H12" s="22">
        <f>O43</f>
        <v>494</v>
      </c>
      <c r="J12" s="115"/>
      <c r="K12" s="115" t="s">
        <v>397</v>
      </c>
      <c r="L12" s="64">
        <v>78</v>
      </c>
      <c r="M12" s="64" t="s">
        <v>260</v>
      </c>
      <c r="N12" s="116">
        <v>3</v>
      </c>
      <c r="O12" s="64">
        <v>1</v>
      </c>
      <c r="P12" s="106"/>
      <c r="Q12" s="117"/>
      <c r="R12" s="106">
        <v>67790</v>
      </c>
      <c r="S12" s="17">
        <f t="shared" si="0"/>
        <v>677.9</v>
      </c>
      <c r="T12" s="128"/>
    </row>
    <row r="13" spans="2:20" ht="20.45" customHeight="1">
      <c r="B13" s="11" t="s">
        <v>14</v>
      </c>
      <c r="C13" s="23"/>
      <c r="D13" s="23"/>
      <c r="E13" s="23"/>
      <c r="F13" s="23"/>
      <c r="G13" s="23"/>
      <c r="H13" s="23">
        <f>S43</f>
        <v>167.92388663967614</v>
      </c>
      <c r="J13" s="115"/>
      <c r="K13" s="115" t="s">
        <v>856</v>
      </c>
      <c r="L13" s="64">
        <v>74</v>
      </c>
      <c r="M13" s="64" t="s">
        <v>398</v>
      </c>
      <c r="N13" s="116">
        <v>1</v>
      </c>
      <c r="O13" s="64">
        <v>1</v>
      </c>
      <c r="P13" s="106"/>
      <c r="Q13" s="117"/>
      <c r="R13" s="106">
        <v>21640</v>
      </c>
      <c r="S13" s="117">
        <f t="shared" si="0"/>
        <v>216.4</v>
      </c>
      <c r="T13" s="142"/>
    </row>
    <row r="14" spans="2:20" ht="20.45" customHeight="1">
      <c r="B14" s="11"/>
      <c r="C14" s="24"/>
      <c r="D14" s="24"/>
      <c r="E14" s="24"/>
      <c r="F14" s="24"/>
      <c r="G14" s="24"/>
      <c r="H14" s="24"/>
      <c r="J14" s="115"/>
      <c r="K14" s="115" t="s">
        <v>856</v>
      </c>
      <c r="L14" s="64">
        <v>74</v>
      </c>
      <c r="M14" s="64" t="s">
        <v>869</v>
      </c>
      <c r="N14" s="116">
        <v>1</v>
      </c>
      <c r="O14" s="64">
        <v>1</v>
      </c>
      <c r="P14" s="16"/>
      <c r="Q14" s="17"/>
      <c r="R14" s="106">
        <v>20290</v>
      </c>
      <c r="S14" s="117">
        <f t="shared" si="0"/>
        <v>202.9</v>
      </c>
      <c r="T14" s="128"/>
    </row>
    <row r="15" spans="2:20" ht="20.45" customHeight="1">
      <c r="J15" s="115">
        <v>45884</v>
      </c>
      <c r="K15" s="115" t="s">
        <v>397</v>
      </c>
      <c r="L15" s="64">
        <v>78</v>
      </c>
      <c r="M15" s="64" t="s">
        <v>260</v>
      </c>
      <c r="N15" s="116">
        <v>2</v>
      </c>
      <c r="O15" s="64">
        <v>2</v>
      </c>
      <c r="P15" s="106"/>
      <c r="Q15" s="117"/>
      <c r="R15" s="129">
        <v>51140</v>
      </c>
      <c r="S15" s="117">
        <f t="shared" si="0"/>
        <v>255.7</v>
      </c>
      <c r="T15" s="225"/>
    </row>
    <row r="16" spans="2:20" s="25" customFormat="1" ht="18">
      <c r="B16" s="27" t="s">
        <v>339</v>
      </c>
      <c r="C16" s="28"/>
      <c r="D16" s="28"/>
      <c r="E16" s="28"/>
      <c r="F16" s="6"/>
      <c r="G16" s="6"/>
      <c r="H16" s="6"/>
      <c r="J16" s="115">
        <v>45885</v>
      </c>
      <c r="K16" s="115"/>
      <c r="L16" s="64"/>
      <c r="M16" s="64"/>
      <c r="N16" s="116"/>
      <c r="O16" s="64"/>
      <c r="P16" s="106"/>
      <c r="Q16" s="117"/>
      <c r="R16" s="129"/>
      <c r="S16" s="117"/>
      <c r="T16" s="128"/>
    </row>
    <row r="17" spans="2:20" ht="17.45" customHeight="1">
      <c r="B17" s="11" t="s">
        <v>16</v>
      </c>
      <c r="C17" s="34">
        <v>7924</v>
      </c>
      <c r="D17" s="166">
        <f>C17/E17</f>
        <v>14</v>
      </c>
      <c r="E17" s="138">
        <f>H11</f>
        <v>566</v>
      </c>
      <c r="J17" s="115">
        <v>45886</v>
      </c>
      <c r="K17" s="115" t="s">
        <v>939</v>
      </c>
      <c r="L17" s="64">
        <v>78</v>
      </c>
      <c r="M17" s="64" t="s">
        <v>974</v>
      </c>
      <c r="N17" s="116">
        <v>7</v>
      </c>
      <c r="O17" s="64">
        <v>12</v>
      </c>
      <c r="P17" s="106"/>
      <c r="Q17" s="117"/>
      <c r="R17" s="129">
        <v>169460</v>
      </c>
      <c r="S17" s="117">
        <f t="shared" si="0"/>
        <v>141.21666666666667</v>
      </c>
      <c r="T17" s="128"/>
    </row>
    <row r="18" spans="2:20" ht="17.45" customHeight="1">
      <c r="B18" s="120" t="s">
        <v>17</v>
      </c>
      <c r="C18" s="69">
        <f>R43/1000</f>
        <v>8295.44</v>
      </c>
      <c r="D18" s="167">
        <f>C18/E18</f>
        <v>16.792388663967614</v>
      </c>
      <c r="E18" s="122">
        <f>O43</f>
        <v>494</v>
      </c>
      <c r="J18" s="115">
        <v>45887</v>
      </c>
      <c r="K18" s="115" t="s">
        <v>939</v>
      </c>
      <c r="L18" s="64">
        <v>78</v>
      </c>
      <c r="M18" s="64" t="s">
        <v>974</v>
      </c>
      <c r="N18" s="116">
        <v>1</v>
      </c>
      <c r="O18" s="64">
        <v>2</v>
      </c>
      <c r="P18" s="106"/>
      <c r="Q18" s="117"/>
      <c r="R18" s="129">
        <v>25490</v>
      </c>
      <c r="S18" s="117">
        <f t="shared" si="0"/>
        <v>127.45</v>
      </c>
      <c r="T18" s="128"/>
    </row>
    <row r="19" spans="2:20" ht="17.45" customHeight="1">
      <c r="B19" s="11" t="s">
        <v>179</v>
      </c>
      <c r="C19" s="2">
        <f>C18/C17</f>
        <v>1.0468753154972237</v>
      </c>
      <c r="D19" s="1"/>
      <c r="G19" s="3"/>
      <c r="H19" s="3"/>
      <c r="J19" s="115"/>
      <c r="K19" s="115" t="s">
        <v>939</v>
      </c>
      <c r="L19" s="64">
        <v>78</v>
      </c>
      <c r="M19" s="64" t="s">
        <v>973</v>
      </c>
      <c r="N19" s="116">
        <v>10</v>
      </c>
      <c r="O19" s="64">
        <v>18</v>
      </c>
      <c r="P19" s="106"/>
      <c r="Q19" s="117"/>
      <c r="R19" s="129">
        <v>246400</v>
      </c>
      <c r="S19" s="135">
        <f t="shared" si="0"/>
        <v>136.88888888888889</v>
      </c>
      <c r="T19" s="144"/>
    </row>
    <row r="20" spans="2:20" ht="17.45" customHeight="1">
      <c r="B20" s="11" t="s">
        <v>180</v>
      </c>
      <c r="C20" s="2">
        <f>O43/H11</f>
        <v>0.87279151943462896</v>
      </c>
      <c r="G20" s="3"/>
      <c r="H20" s="3"/>
      <c r="J20" s="115"/>
      <c r="K20" s="115" t="s">
        <v>942</v>
      </c>
      <c r="L20" s="64">
        <v>78</v>
      </c>
      <c r="M20" s="64" t="s">
        <v>869</v>
      </c>
      <c r="N20" s="116">
        <v>1</v>
      </c>
      <c r="O20" s="64">
        <v>2</v>
      </c>
      <c r="P20" s="106"/>
      <c r="Q20" s="117"/>
      <c r="R20" s="129">
        <v>22850</v>
      </c>
      <c r="S20" s="135">
        <f t="shared" si="0"/>
        <v>114.25</v>
      </c>
      <c r="T20" s="134"/>
    </row>
    <row r="21" spans="2:20" ht="17.45" customHeight="1">
      <c r="B21" s="78" t="s">
        <v>1975</v>
      </c>
      <c r="C21" s="2"/>
      <c r="G21" s="3"/>
      <c r="H21" s="3"/>
      <c r="J21" s="115"/>
      <c r="K21" s="115" t="s">
        <v>942</v>
      </c>
      <c r="L21" s="64">
        <v>78</v>
      </c>
      <c r="M21" s="64" t="s">
        <v>973</v>
      </c>
      <c r="N21" s="116">
        <v>1</v>
      </c>
      <c r="O21" s="64">
        <v>2</v>
      </c>
      <c r="P21" s="106"/>
      <c r="Q21" s="117"/>
      <c r="R21" s="129">
        <v>26970</v>
      </c>
      <c r="S21" s="135">
        <f t="shared" si="0"/>
        <v>134.85</v>
      </c>
      <c r="T21" s="128"/>
    </row>
    <row r="22" spans="2:20" ht="17.45" customHeight="1">
      <c r="B22" s="249" t="s">
        <v>1215</v>
      </c>
      <c r="C22" s="247"/>
      <c r="D22" s="248"/>
      <c r="E22" s="248"/>
      <c r="G22" s="3"/>
      <c r="H22" s="3"/>
      <c r="J22" s="115">
        <v>45888</v>
      </c>
      <c r="K22" s="115" t="s">
        <v>942</v>
      </c>
      <c r="L22" s="64">
        <v>78</v>
      </c>
      <c r="M22" s="64" t="s">
        <v>869</v>
      </c>
      <c r="N22" s="116">
        <v>23</v>
      </c>
      <c r="O22" s="136">
        <v>38</v>
      </c>
      <c r="P22" s="106"/>
      <c r="Q22" s="117"/>
      <c r="R22" s="129">
        <v>525990</v>
      </c>
      <c r="S22" s="135">
        <f t="shared" si="0"/>
        <v>138.41842105263157</v>
      </c>
      <c r="T22" s="134"/>
    </row>
    <row r="23" spans="2:20" ht="17.45" customHeight="1">
      <c r="B23" s="11" t="s">
        <v>16</v>
      </c>
      <c r="C23" s="34">
        <v>4900</v>
      </c>
      <c r="D23" s="166">
        <f>C23/E23</f>
        <v>14</v>
      </c>
      <c r="E23" s="138">
        <v>350</v>
      </c>
      <c r="G23" s="3"/>
      <c r="H23" s="3"/>
      <c r="J23" s="115">
        <v>45889</v>
      </c>
      <c r="K23" s="115" t="s">
        <v>942</v>
      </c>
      <c r="L23" s="64">
        <v>78</v>
      </c>
      <c r="M23" s="64" t="s">
        <v>869</v>
      </c>
      <c r="N23" s="116">
        <v>2</v>
      </c>
      <c r="O23" s="136">
        <v>5</v>
      </c>
      <c r="P23" s="106"/>
      <c r="Q23" s="117"/>
      <c r="R23" s="129">
        <v>46100</v>
      </c>
      <c r="S23" s="135">
        <f t="shared" si="0"/>
        <v>92.2</v>
      </c>
      <c r="T23" s="128"/>
    </row>
    <row r="24" spans="2:20" ht="17.45" customHeight="1">
      <c r="B24" s="120" t="s">
        <v>17</v>
      </c>
      <c r="C24" s="69">
        <f>SUM(R4:R28)/1000</f>
        <v>4532.12</v>
      </c>
      <c r="D24" s="167">
        <f>C24/E24</f>
        <v>16.302589928057554</v>
      </c>
      <c r="E24" s="122">
        <f>SUM(O4:O28)</f>
        <v>278</v>
      </c>
      <c r="G24" s="3"/>
      <c r="H24" s="3"/>
      <c r="J24" s="115"/>
      <c r="K24" s="115" t="s">
        <v>942</v>
      </c>
      <c r="L24" s="64">
        <v>78</v>
      </c>
      <c r="M24" s="64" t="s">
        <v>973</v>
      </c>
      <c r="N24" s="116">
        <v>24</v>
      </c>
      <c r="O24" s="136">
        <v>27</v>
      </c>
      <c r="P24" s="106"/>
      <c r="Q24" s="117"/>
      <c r="R24" s="129">
        <v>576860</v>
      </c>
      <c r="S24" s="135">
        <f t="shared" si="0"/>
        <v>213.65185185185186</v>
      </c>
      <c r="T24" s="128"/>
    </row>
    <row r="25" spans="2:20" ht="17.45" customHeight="1">
      <c r="B25" s="11" t="s">
        <v>179</v>
      </c>
      <c r="C25" s="2">
        <f>C24/C23</f>
        <v>0.92492244897959186</v>
      </c>
      <c r="D25" s="1"/>
      <c r="G25" s="3"/>
      <c r="H25" s="3"/>
      <c r="J25" s="115">
        <v>45890</v>
      </c>
      <c r="K25" s="115"/>
      <c r="L25" s="64"/>
      <c r="M25" s="64"/>
      <c r="N25" s="116"/>
      <c r="O25" s="136"/>
      <c r="P25" s="106"/>
      <c r="Q25" s="117"/>
      <c r="R25" s="129"/>
      <c r="S25" s="135"/>
      <c r="T25" s="134"/>
    </row>
    <row r="26" spans="2:20" ht="17.45" customHeight="1">
      <c r="B26" s="11" t="s">
        <v>180</v>
      </c>
      <c r="C26" s="2">
        <f>E24/E23</f>
        <v>0.79428571428571426</v>
      </c>
      <c r="G26" s="3"/>
      <c r="H26" s="3"/>
      <c r="J26" s="115">
        <v>45891</v>
      </c>
      <c r="K26" s="115" t="s">
        <v>942</v>
      </c>
      <c r="L26" s="64">
        <v>78</v>
      </c>
      <c r="M26" s="64" t="s">
        <v>973</v>
      </c>
      <c r="N26" s="116">
        <v>4</v>
      </c>
      <c r="O26" s="136">
        <v>4</v>
      </c>
      <c r="P26" s="106"/>
      <c r="Q26" s="117"/>
      <c r="R26" s="129">
        <v>95340</v>
      </c>
      <c r="S26" s="135">
        <f t="shared" si="0"/>
        <v>238.35</v>
      </c>
      <c r="T26" s="128"/>
    </row>
    <row r="27" spans="2:20" ht="17.45" customHeight="1">
      <c r="G27" s="32"/>
      <c r="H27" s="32"/>
      <c r="J27" s="115"/>
      <c r="K27" s="115" t="s">
        <v>939</v>
      </c>
      <c r="L27" s="64">
        <v>78</v>
      </c>
      <c r="M27" s="64" t="s">
        <v>974</v>
      </c>
      <c r="N27" s="116">
        <v>18</v>
      </c>
      <c r="O27" s="136">
        <v>20</v>
      </c>
      <c r="P27" s="106"/>
      <c r="Q27" s="117"/>
      <c r="R27" s="129">
        <v>441270</v>
      </c>
      <c r="S27" s="135">
        <f t="shared" si="0"/>
        <v>220.63499999999999</v>
      </c>
      <c r="T27" s="128"/>
    </row>
    <row r="28" spans="2:20" ht="17.45" customHeight="1">
      <c r="B28" s="249" t="s">
        <v>1216</v>
      </c>
      <c r="C28" s="247"/>
      <c r="D28" s="248"/>
      <c r="E28" s="248"/>
      <c r="J28" s="115">
        <v>45892</v>
      </c>
      <c r="K28" s="115" t="s">
        <v>939</v>
      </c>
      <c r="L28" s="64">
        <v>78</v>
      </c>
      <c r="M28" s="64" t="s">
        <v>974</v>
      </c>
      <c r="N28" s="116">
        <v>20</v>
      </c>
      <c r="O28" s="136">
        <v>26</v>
      </c>
      <c r="P28" s="106"/>
      <c r="Q28" s="117"/>
      <c r="R28" s="129">
        <v>490000</v>
      </c>
      <c r="S28" s="135">
        <f>R28/100/O28</f>
        <v>188.46153846153845</v>
      </c>
      <c r="T28" s="128"/>
    </row>
    <row r="29" spans="2:20" ht="17.45" customHeight="1">
      <c r="B29" s="11" t="s">
        <v>16</v>
      </c>
      <c r="C29" s="34">
        <v>3024</v>
      </c>
      <c r="D29" s="166">
        <f>C29/E29</f>
        <v>14</v>
      </c>
      <c r="E29" s="138">
        <v>216</v>
      </c>
      <c r="J29" s="115">
        <v>45893</v>
      </c>
      <c r="K29" s="115" t="s">
        <v>964</v>
      </c>
      <c r="L29" s="64">
        <v>56</v>
      </c>
      <c r="M29" s="64" t="s">
        <v>777</v>
      </c>
      <c r="N29" s="116">
        <v>1</v>
      </c>
      <c r="O29" s="136">
        <v>1.5</v>
      </c>
      <c r="P29" s="106"/>
      <c r="Q29" s="117"/>
      <c r="R29" s="129">
        <v>25200</v>
      </c>
      <c r="S29" s="135">
        <f t="shared" ref="S29:S35" si="1">R29/100/O29</f>
        <v>168</v>
      </c>
      <c r="T29" s="128"/>
    </row>
    <row r="30" spans="2:20" ht="15">
      <c r="B30" s="120" t="s">
        <v>17</v>
      </c>
      <c r="C30" s="69">
        <f>SUM(R29:R42)/1000</f>
        <v>3763.32</v>
      </c>
      <c r="D30" s="167">
        <f>C30/E30</f>
        <v>17.422777777777778</v>
      </c>
      <c r="E30" s="122">
        <f>SUM(O29:O42)</f>
        <v>216</v>
      </c>
      <c r="J30" s="115"/>
      <c r="K30" s="115" t="s">
        <v>964</v>
      </c>
      <c r="L30" s="64">
        <v>56</v>
      </c>
      <c r="M30" s="64" t="s">
        <v>48</v>
      </c>
      <c r="N30" s="116">
        <v>1</v>
      </c>
      <c r="O30" s="136">
        <v>1.5</v>
      </c>
      <c r="P30" s="106"/>
      <c r="Q30" s="117"/>
      <c r="R30" s="129">
        <v>26290</v>
      </c>
      <c r="S30" s="135">
        <f t="shared" si="1"/>
        <v>175.26666666666665</v>
      </c>
      <c r="T30" s="128"/>
    </row>
    <row r="31" spans="2:20" ht="18" customHeight="1">
      <c r="B31" s="11" t="s">
        <v>179</v>
      </c>
      <c r="C31" s="2">
        <f>C30/C29</f>
        <v>1.2444841269841271</v>
      </c>
      <c r="D31" s="1"/>
      <c r="J31" s="115"/>
      <c r="K31" s="115" t="s">
        <v>965</v>
      </c>
      <c r="L31" s="64">
        <v>92</v>
      </c>
      <c r="M31" s="64" t="s">
        <v>48</v>
      </c>
      <c r="N31" s="116">
        <v>11</v>
      </c>
      <c r="O31" s="136">
        <v>14.8</v>
      </c>
      <c r="P31" s="106"/>
      <c r="Q31" s="117"/>
      <c r="R31" s="129">
        <v>260940</v>
      </c>
      <c r="S31" s="135">
        <f t="shared" si="1"/>
        <v>176.31081081081081</v>
      </c>
      <c r="T31" s="250"/>
    </row>
    <row r="32" spans="2:20" ht="15">
      <c r="B32" s="11" t="s">
        <v>180</v>
      </c>
      <c r="C32" s="2">
        <f>E30/E29</f>
        <v>1</v>
      </c>
      <c r="J32" s="115">
        <v>45894</v>
      </c>
      <c r="K32" s="115" t="s">
        <v>965</v>
      </c>
      <c r="L32" s="64">
        <v>92</v>
      </c>
      <c r="M32" s="64" t="s">
        <v>48</v>
      </c>
      <c r="N32" s="116">
        <v>20</v>
      </c>
      <c r="O32" s="136">
        <v>24</v>
      </c>
      <c r="P32" s="106"/>
      <c r="Q32" s="117"/>
      <c r="R32" s="129">
        <v>460490</v>
      </c>
      <c r="S32" s="135">
        <f t="shared" si="1"/>
        <v>191.87083333333331</v>
      </c>
    </row>
    <row r="33" spans="10:19">
      <c r="J33" s="115">
        <v>45895</v>
      </c>
      <c r="K33" s="115" t="s">
        <v>965</v>
      </c>
      <c r="L33" s="64">
        <v>92</v>
      </c>
      <c r="M33" s="64" t="s">
        <v>48</v>
      </c>
      <c r="N33" s="116">
        <v>22</v>
      </c>
      <c r="O33" s="136">
        <v>27</v>
      </c>
      <c r="P33" s="106"/>
      <c r="Q33" s="117"/>
      <c r="R33" s="129">
        <v>529920</v>
      </c>
      <c r="S33" s="135">
        <f t="shared" si="1"/>
        <v>196.26666666666665</v>
      </c>
    </row>
    <row r="34" spans="10:19">
      <c r="J34" s="115">
        <v>45896</v>
      </c>
      <c r="K34" s="115" t="s">
        <v>965</v>
      </c>
      <c r="L34" s="64">
        <v>92</v>
      </c>
      <c r="M34" s="64" t="s">
        <v>48</v>
      </c>
      <c r="N34" s="116">
        <v>27</v>
      </c>
      <c r="O34" s="136">
        <v>31</v>
      </c>
      <c r="P34" s="106"/>
      <c r="Q34" s="117"/>
      <c r="R34" s="129">
        <v>645090</v>
      </c>
      <c r="S34" s="135">
        <f t="shared" si="1"/>
        <v>208.09354838709677</v>
      </c>
    </row>
    <row r="35" spans="10:19">
      <c r="J35" s="115">
        <v>45897</v>
      </c>
      <c r="K35" s="115" t="s">
        <v>965</v>
      </c>
      <c r="L35" s="64">
        <v>92</v>
      </c>
      <c r="M35" s="64" t="s">
        <v>48</v>
      </c>
      <c r="N35" s="116">
        <v>10</v>
      </c>
      <c r="O35" s="136">
        <v>21.2</v>
      </c>
      <c r="P35" s="106"/>
      <c r="Q35" s="117"/>
      <c r="R35" s="129">
        <v>251610</v>
      </c>
      <c r="S35" s="135">
        <f t="shared" si="1"/>
        <v>118.68396226415095</v>
      </c>
    </row>
    <row r="36" spans="10:19">
      <c r="J36" s="115"/>
      <c r="K36" s="115" t="s">
        <v>964</v>
      </c>
      <c r="L36" s="64">
        <v>56</v>
      </c>
      <c r="M36" s="64" t="s">
        <v>777</v>
      </c>
      <c r="N36" s="116">
        <v>11</v>
      </c>
      <c r="O36" s="136">
        <v>13.5</v>
      </c>
      <c r="P36" s="106"/>
      <c r="Q36" s="117"/>
      <c r="R36" s="129">
        <v>255410</v>
      </c>
      <c r="S36" s="135">
        <f t="shared" ref="S36:S42" si="2">R36/100/O36</f>
        <v>189.19259259259258</v>
      </c>
    </row>
    <row r="37" spans="10:19">
      <c r="J37" s="115">
        <v>45898</v>
      </c>
      <c r="K37" s="115" t="s">
        <v>964</v>
      </c>
      <c r="L37" s="64">
        <v>56</v>
      </c>
      <c r="M37" s="64" t="s">
        <v>777</v>
      </c>
      <c r="N37" s="116">
        <v>20</v>
      </c>
      <c r="O37" s="136">
        <v>29</v>
      </c>
      <c r="P37" s="106"/>
      <c r="Q37" s="117"/>
      <c r="R37" s="129">
        <v>474890</v>
      </c>
      <c r="S37" s="135">
        <f t="shared" si="2"/>
        <v>163.7551724137931</v>
      </c>
    </row>
    <row r="38" spans="10:19">
      <c r="J38" s="115">
        <v>45899</v>
      </c>
      <c r="K38" s="115" t="s">
        <v>964</v>
      </c>
      <c r="L38" s="64">
        <v>56</v>
      </c>
      <c r="M38" s="64" t="s">
        <v>777</v>
      </c>
      <c r="N38" s="116">
        <v>3</v>
      </c>
      <c r="O38" s="136">
        <v>2</v>
      </c>
      <c r="P38" s="106"/>
      <c r="Q38" s="117"/>
      <c r="R38" s="129">
        <v>76100</v>
      </c>
      <c r="S38" s="135">
        <f t="shared" si="2"/>
        <v>380.5</v>
      </c>
    </row>
    <row r="39" spans="10:19" ht="16.5" customHeight="1">
      <c r="J39" s="115"/>
      <c r="K39" s="115" t="s">
        <v>964</v>
      </c>
      <c r="L39" s="64">
        <v>56</v>
      </c>
      <c r="M39" s="64" t="s">
        <v>48</v>
      </c>
      <c r="N39" s="116">
        <v>7</v>
      </c>
      <c r="O39" s="136">
        <v>8.5</v>
      </c>
      <c r="P39" s="106"/>
      <c r="Q39" s="117"/>
      <c r="R39" s="129">
        <v>170470</v>
      </c>
      <c r="S39" s="135">
        <f t="shared" si="2"/>
        <v>200.5529411764706</v>
      </c>
    </row>
    <row r="40" spans="10:19">
      <c r="J40" s="115"/>
      <c r="K40" s="115" t="s">
        <v>961</v>
      </c>
      <c r="L40" s="64">
        <v>68</v>
      </c>
      <c r="M40" s="64" t="s">
        <v>869</v>
      </c>
      <c r="N40" s="116">
        <v>9</v>
      </c>
      <c r="O40" s="136">
        <v>13.7</v>
      </c>
      <c r="P40" s="106"/>
      <c r="Q40" s="117"/>
      <c r="R40" s="129">
        <v>203880</v>
      </c>
      <c r="S40" s="135">
        <f t="shared" si="2"/>
        <v>148.81751824817519</v>
      </c>
    </row>
    <row r="41" spans="10:19">
      <c r="J41" s="115">
        <v>45900</v>
      </c>
      <c r="K41" s="115" t="s">
        <v>961</v>
      </c>
      <c r="L41" s="64">
        <v>68</v>
      </c>
      <c r="M41" s="64" t="s">
        <v>869</v>
      </c>
      <c r="N41" s="116">
        <v>9</v>
      </c>
      <c r="O41" s="136">
        <v>17</v>
      </c>
      <c r="P41" s="106"/>
      <c r="Q41" s="117"/>
      <c r="R41" s="129">
        <v>204110</v>
      </c>
      <c r="S41" s="135">
        <f t="shared" si="2"/>
        <v>120.06470588235294</v>
      </c>
    </row>
    <row r="42" spans="10:19">
      <c r="J42" s="115"/>
      <c r="K42" s="115" t="s">
        <v>961</v>
      </c>
      <c r="L42" s="64">
        <v>68</v>
      </c>
      <c r="M42" s="64" t="s">
        <v>48</v>
      </c>
      <c r="N42" s="116">
        <v>8</v>
      </c>
      <c r="O42" s="136">
        <v>11.3</v>
      </c>
      <c r="P42" s="106"/>
      <c r="Q42" s="117"/>
      <c r="R42" s="129">
        <v>178920</v>
      </c>
      <c r="S42" s="135">
        <f t="shared" si="2"/>
        <v>158.3362831858407</v>
      </c>
    </row>
    <row r="43" spans="10:19">
      <c r="J43" s="10" t="s">
        <v>21</v>
      </c>
      <c r="K43" s="10"/>
      <c r="L43" s="10"/>
      <c r="M43" s="10"/>
      <c r="N43" s="10">
        <f>SUM(N4:N42)</f>
        <v>352</v>
      </c>
      <c r="O43" s="29">
        <f>SUM(O4:Q42)</f>
        <v>494</v>
      </c>
      <c r="P43" s="30">
        <f>SUM(P4:P22)</f>
        <v>0</v>
      </c>
      <c r="Q43" s="31">
        <f>P43/O43/100</f>
        <v>0</v>
      </c>
      <c r="R43" s="30">
        <f>SUM(R4:R42)</f>
        <v>8295440</v>
      </c>
      <c r="S43" s="31">
        <f>R43/O43/100</f>
        <v>167.92388663967614</v>
      </c>
    </row>
    <row r="45" spans="10:19">
      <c r="R45" s="80"/>
    </row>
    <row r="46" spans="10:19">
      <c r="R46" s="80"/>
    </row>
  </sheetData>
  <autoFilter ref="J3:S43" xr:uid="{EA93015D-5D62-4C68-AFF2-B4A6FB7D7DBA}"/>
  <mergeCells count="1">
    <mergeCell ref="B2:R2"/>
  </mergeCells>
  <phoneticPr fontId="30" type="noConversion"/>
  <pageMargins left="0.7" right="0.7" top="0.75" bottom="0.75" header="0.3" footer="0.3"/>
  <pageSetup paperSize="9" scale="41" fitToHeight="0" orientation="landscape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4F3F6-8E13-4D79-A896-F830049ABBC6}">
  <dimension ref="A1:R293"/>
  <sheetViews>
    <sheetView workbookViewId="0">
      <pane xSplit="4" ySplit="8" topLeftCell="E267" activePane="bottomRight" state="frozen"/>
      <selection pane="topRight" activeCell="E1" sqref="E1"/>
      <selection pane="bottomLeft" activeCell="A9" sqref="A9"/>
      <selection pane="bottomRight" activeCell="M296" sqref="M296"/>
    </sheetView>
  </sheetViews>
  <sheetFormatPr defaultColWidth="8.140625" defaultRowHeight="15" outlineLevelRow="1"/>
  <cols>
    <col min="1" max="1" width="4.5703125" style="180" customWidth="1"/>
    <col min="2" max="2" width="3.7109375" style="180" customWidth="1"/>
    <col min="3" max="3" width="3.28515625" style="180" customWidth="1"/>
    <col min="4" max="4" width="2.28515625" style="180" customWidth="1"/>
    <col min="5" max="5" width="30.85546875" style="180" customWidth="1"/>
    <col min="6" max="6" width="14.28515625" style="180" customWidth="1"/>
    <col min="7" max="7" width="7" style="180" customWidth="1"/>
    <col min="8" max="8" width="3.85546875" style="180" customWidth="1"/>
    <col min="9" max="9" width="10" style="180" customWidth="1"/>
    <col min="10" max="10" width="21.7109375" style="180" customWidth="1"/>
    <col min="11" max="11" width="26.28515625" style="180" customWidth="1"/>
    <col min="12" max="13" width="9.5703125" style="180" customWidth="1"/>
    <col min="14" max="14" width="9.28515625" style="180" customWidth="1"/>
    <col min="15" max="17" width="12" style="180" customWidth="1"/>
    <col min="18" max="18" width="11.28515625" style="180" customWidth="1"/>
  </cols>
  <sheetData>
    <row r="1" spans="1:18" s="180" customFormat="1" ht="10.15" customHeight="1"/>
    <row r="2" spans="1:18" ht="13.15" customHeight="1" outlineLevel="1">
      <c r="A2" s="182" t="s">
        <v>555</v>
      </c>
      <c r="B2" s="182"/>
      <c r="C2" s="182"/>
      <c r="D2" s="182" t="s">
        <v>556</v>
      </c>
      <c r="E2" s="182"/>
      <c r="F2" s="182"/>
      <c r="G2" s="182"/>
    </row>
    <row r="3" spans="1:18" ht="13.15" customHeight="1" outlineLevel="1">
      <c r="D3" s="182" t="s">
        <v>1007</v>
      </c>
      <c r="E3" s="182"/>
      <c r="F3" s="182"/>
      <c r="G3" s="182"/>
    </row>
    <row r="4" spans="1:18" ht="13.15" customHeight="1" outlineLevel="1">
      <c r="A4" s="182" t="s">
        <v>557</v>
      </c>
      <c r="B4" s="182"/>
      <c r="C4" s="182"/>
      <c r="D4" s="182" t="s">
        <v>802</v>
      </c>
      <c r="E4" s="182"/>
      <c r="F4" s="182"/>
      <c r="G4" s="182"/>
    </row>
    <row r="5" spans="1:18" s="180" customFormat="1" ht="10.15" customHeight="1"/>
    <row r="6" spans="1:18" ht="13.15" customHeight="1">
      <c r="A6" s="397" t="s">
        <v>558</v>
      </c>
      <c r="B6" s="397" t="s">
        <v>559</v>
      </c>
      <c r="C6" s="397"/>
      <c r="D6" s="397"/>
      <c r="E6" s="397" t="s">
        <v>357</v>
      </c>
      <c r="F6" s="397" t="s">
        <v>560</v>
      </c>
      <c r="G6" s="397" t="s">
        <v>561</v>
      </c>
      <c r="H6" s="397"/>
      <c r="I6" s="397" t="s">
        <v>562</v>
      </c>
      <c r="J6" s="183" t="s">
        <v>563</v>
      </c>
      <c r="K6" s="183" t="s">
        <v>564</v>
      </c>
      <c r="L6" s="397" t="s">
        <v>565</v>
      </c>
      <c r="M6" s="397" t="s">
        <v>566</v>
      </c>
      <c r="N6" s="397" t="s">
        <v>567</v>
      </c>
      <c r="O6" s="397" t="s">
        <v>568</v>
      </c>
      <c r="P6" s="397" t="s">
        <v>569</v>
      </c>
      <c r="Q6" s="397" t="s">
        <v>570</v>
      </c>
      <c r="R6" s="397" t="s">
        <v>571</v>
      </c>
    </row>
    <row r="7" spans="1:18" ht="13.15" customHeight="1">
      <c r="A7" s="398"/>
      <c r="B7" s="400"/>
      <c r="C7" s="401"/>
      <c r="D7" s="402"/>
      <c r="E7" s="398"/>
      <c r="F7" s="398"/>
      <c r="G7" s="400"/>
      <c r="H7" s="402"/>
      <c r="I7" s="398"/>
      <c r="J7" s="183" t="s">
        <v>563</v>
      </c>
      <c r="K7" s="183" t="s">
        <v>564</v>
      </c>
      <c r="L7" s="398"/>
      <c r="M7" s="398"/>
      <c r="N7" s="398"/>
      <c r="O7" s="398"/>
      <c r="P7" s="398"/>
      <c r="Q7" s="398"/>
      <c r="R7" s="398"/>
    </row>
    <row r="8" spans="1:18" ht="13.15" customHeight="1">
      <c r="A8" s="399"/>
      <c r="B8" s="403"/>
      <c r="C8" s="404"/>
      <c r="D8" s="405"/>
      <c r="E8" s="399"/>
      <c r="F8" s="399"/>
      <c r="G8" s="403"/>
      <c r="H8" s="405"/>
      <c r="I8" s="399"/>
      <c r="J8" s="183" t="s">
        <v>572</v>
      </c>
      <c r="K8" s="183" t="s">
        <v>573</v>
      </c>
      <c r="L8" s="399"/>
      <c r="M8" s="399"/>
      <c r="N8" s="399"/>
      <c r="O8" s="399"/>
      <c r="P8" s="399"/>
      <c r="Q8" s="399"/>
      <c r="R8" s="399"/>
    </row>
    <row r="9" spans="1:18" ht="10.9" customHeight="1">
      <c r="A9" s="385">
        <v>1</v>
      </c>
      <c r="B9" s="387" t="s">
        <v>574</v>
      </c>
      <c r="C9" s="387"/>
      <c r="D9" s="387"/>
      <c r="E9" s="387" t="s">
        <v>369</v>
      </c>
      <c r="F9" s="392" t="s">
        <v>575</v>
      </c>
      <c r="G9" s="387" t="s">
        <v>576</v>
      </c>
      <c r="H9" s="387"/>
      <c r="I9" s="387" t="s">
        <v>46</v>
      </c>
      <c r="J9" s="184" t="s">
        <v>577</v>
      </c>
      <c r="K9" s="184" t="s">
        <v>368</v>
      </c>
      <c r="L9" s="382">
        <v>36230</v>
      </c>
      <c r="M9" s="382">
        <v>15040</v>
      </c>
      <c r="N9" s="394">
        <v>21190</v>
      </c>
      <c r="O9" s="382">
        <v>36560</v>
      </c>
      <c r="P9" s="382">
        <v>15140</v>
      </c>
      <c r="Q9" s="382">
        <v>21420</v>
      </c>
      <c r="R9" s="384">
        <v>-230</v>
      </c>
    </row>
    <row r="10" spans="1:18" ht="10.9" customHeight="1">
      <c r="A10" s="386"/>
      <c r="B10" s="388"/>
      <c r="C10" s="389"/>
      <c r="D10" s="390"/>
      <c r="E10" s="391"/>
      <c r="F10" s="393"/>
      <c r="G10" s="388"/>
      <c r="H10" s="390"/>
      <c r="I10" s="391"/>
      <c r="J10" s="184"/>
      <c r="K10" s="184"/>
      <c r="L10" s="383"/>
      <c r="M10" s="383"/>
      <c r="N10" s="395"/>
      <c r="O10" s="383"/>
      <c r="P10" s="383"/>
      <c r="Q10" s="383"/>
      <c r="R10" s="383"/>
    </row>
    <row r="11" spans="1:18" ht="10.9" customHeight="1">
      <c r="A11" s="385">
        <v>2</v>
      </c>
      <c r="B11" s="387" t="s">
        <v>578</v>
      </c>
      <c r="C11" s="387"/>
      <c r="D11" s="387"/>
      <c r="E11" s="387" t="s">
        <v>372</v>
      </c>
      <c r="F11" s="392" t="s">
        <v>579</v>
      </c>
      <c r="G11" s="387" t="s">
        <v>580</v>
      </c>
      <c r="H11" s="387"/>
      <c r="I11" s="387" t="s">
        <v>46</v>
      </c>
      <c r="J11" s="184" t="s">
        <v>577</v>
      </c>
      <c r="K11" s="184" t="s">
        <v>368</v>
      </c>
      <c r="L11" s="382">
        <v>37090</v>
      </c>
      <c r="M11" s="382">
        <v>14910</v>
      </c>
      <c r="N11" s="394">
        <v>22180</v>
      </c>
      <c r="O11" s="382">
        <v>37460</v>
      </c>
      <c r="P11" s="382">
        <v>15060</v>
      </c>
      <c r="Q11" s="382">
        <v>22400</v>
      </c>
      <c r="R11" s="384">
        <v>-220</v>
      </c>
    </row>
    <row r="12" spans="1:18" ht="10.9" customHeight="1">
      <c r="A12" s="386"/>
      <c r="B12" s="388"/>
      <c r="C12" s="389"/>
      <c r="D12" s="390"/>
      <c r="E12" s="391"/>
      <c r="F12" s="393"/>
      <c r="G12" s="388"/>
      <c r="H12" s="390"/>
      <c r="I12" s="391"/>
      <c r="J12" s="184"/>
      <c r="K12" s="184"/>
      <c r="L12" s="383"/>
      <c r="M12" s="383"/>
      <c r="N12" s="395"/>
      <c r="O12" s="383"/>
      <c r="P12" s="383"/>
      <c r="Q12" s="383"/>
      <c r="R12" s="383"/>
    </row>
    <row r="13" spans="1:18" ht="10.9" customHeight="1">
      <c r="A13" s="385">
        <v>3</v>
      </c>
      <c r="B13" s="387" t="s">
        <v>581</v>
      </c>
      <c r="C13" s="387"/>
      <c r="D13" s="387"/>
      <c r="E13" s="387" t="s">
        <v>369</v>
      </c>
      <c r="F13" s="392" t="s">
        <v>575</v>
      </c>
      <c r="G13" s="387" t="s">
        <v>576</v>
      </c>
      <c r="H13" s="387"/>
      <c r="I13" s="387" t="s">
        <v>46</v>
      </c>
      <c r="J13" s="184" t="s">
        <v>577</v>
      </c>
      <c r="K13" s="184" t="s">
        <v>368</v>
      </c>
      <c r="L13" s="382">
        <v>37890</v>
      </c>
      <c r="M13" s="382">
        <v>15090</v>
      </c>
      <c r="N13" s="394">
        <v>22800</v>
      </c>
      <c r="O13" s="382">
        <v>38140</v>
      </c>
      <c r="P13" s="382">
        <v>15180</v>
      </c>
      <c r="Q13" s="382">
        <v>22960</v>
      </c>
      <c r="R13" s="384">
        <v>-160</v>
      </c>
    </row>
    <row r="14" spans="1:18" ht="10.9" customHeight="1">
      <c r="A14" s="386"/>
      <c r="B14" s="388"/>
      <c r="C14" s="389"/>
      <c r="D14" s="390"/>
      <c r="E14" s="391"/>
      <c r="F14" s="393"/>
      <c r="G14" s="388"/>
      <c r="H14" s="390"/>
      <c r="I14" s="391"/>
      <c r="J14" s="184"/>
      <c r="K14" s="184"/>
      <c r="L14" s="383"/>
      <c r="M14" s="383"/>
      <c r="N14" s="395"/>
      <c r="O14" s="383"/>
      <c r="P14" s="383"/>
      <c r="Q14" s="383"/>
      <c r="R14" s="383"/>
    </row>
    <row r="15" spans="1:18" ht="10.9" customHeight="1">
      <c r="A15" s="385">
        <v>4</v>
      </c>
      <c r="B15" s="387" t="s">
        <v>582</v>
      </c>
      <c r="C15" s="387"/>
      <c r="D15" s="387"/>
      <c r="E15" s="387" t="s">
        <v>374</v>
      </c>
      <c r="F15" s="392" t="s">
        <v>583</v>
      </c>
      <c r="G15" s="387" t="s">
        <v>584</v>
      </c>
      <c r="H15" s="387"/>
      <c r="I15" s="387" t="s">
        <v>46</v>
      </c>
      <c r="J15" s="184" t="s">
        <v>577</v>
      </c>
      <c r="K15" s="184" t="s">
        <v>368</v>
      </c>
      <c r="L15" s="382">
        <v>37200</v>
      </c>
      <c r="M15" s="382">
        <v>15430</v>
      </c>
      <c r="N15" s="394">
        <v>21770</v>
      </c>
      <c r="O15" s="382">
        <v>37500</v>
      </c>
      <c r="P15" s="382">
        <v>15520</v>
      </c>
      <c r="Q15" s="382">
        <v>21980</v>
      </c>
      <c r="R15" s="384">
        <v>-210</v>
      </c>
    </row>
    <row r="16" spans="1:18" ht="10.9" customHeight="1">
      <c r="A16" s="386"/>
      <c r="B16" s="388"/>
      <c r="C16" s="389"/>
      <c r="D16" s="390"/>
      <c r="E16" s="391"/>
      <c r="F16" s="393"/>
      <c r="G16" s="388"/>
      <c r="H16" s="390"/>
      <c r="I16" s="391"/>
      <c r="J16" s="184"/>
      <c r="K16" s="184"/>
      <c r="L16" s="383"/>
      <c r="M16" s="383"/>
      <c r="N16" s="395"/>
      <c r="O16" s="383"/>
      <c r="P16" s="383"/>
      <c r="Q16" s="383"/>
      <c r="R16" s="383"/>
    </row>
    <row r="17" spans="1:18" ht="10.9" customHeight="1">
      <c r="A17" s="385">
        <v>5</v>
      </c>
      <c r="B17" s="387" t="s">
        <v>585</v>
      </c>
      <c r="C17" s="387"/>
      <c r="D17" s="387"/>
      <c r="E17" s="387" t="s">
        <v>377</v>
      </c>
      <c r="F17" s="392" t="s">
        <v>586</v>
      </c>
      <c r="G17" s="387" t="s">
        <v>587</v>
      </c>
      <c r="H17" s="387"/>
      <c r="I17" s="387" t="s">
        <v>51</v>
      </c>
      <c r="J17" s="184" t="s">
        <v>577</v>
      </c>
      <c r="K17" s="184" t="s">
        <v>376</v>
      </c>
      <c r="L17" s="382">
        <v>41870</v>
      </c>
      <c r="M17" s="382">
        <v>15090</v>
      </c>
      <c r="N17" s="394">
        <v>26780</v>
      </c>
      <c r="O17" s="382">
        <v>42320</v>
      </c>
      <c r="P17" s="382">
        <v>15220</v>
      </c>
      <c r="Q17" s="382">
        <v>27100</v>
      </c>
      <c r="R17" s="384">
        <v>-320</v>
      </c>
    </row>
    <row r="18" spans="1:18" ht="10.9" customHeight="1">
      <c r="A18" s="386"/>
      <c r="B18" s="388"/>
      <c r="C18" s="389"/>
      <c r="D18" s="390"/>
      <c r="E18" s="391"/>
      <c r="F18" s="393"/>
      <c r="G18" s="388"/>
      <c r="H18" s="390"/>
      <c r="I18" s="391"/>
      <c r="J18" s="184"/>
      <c r="K18" s="184"/>
      <c r="L18" s="383"/>
      <c r="M18" s="383"/>
      <c r="N18" s="395"/>
      <c r="O18" s="383"/>
      <c r="P18" s="383"/>
      <c r="Q18" s="383"/>
      <c r="R18" s="383"/>
    </row>
    <row r="19" spans="1:18" ht="10.9" customHeight="1">
      <c r="A19" s="385">
        <v>6</v>
      </c>
      <c r="B19" s="387" t="s">
        <v>588</v>
      </c>
      <c r="C19" s="387"/>
      <c r="D19" s="387"/>
      <c r="E19" s="387" t="s">
        <v>380</v>
      </c>
      <c r="F19" s="392" t="s">
        <v>589</v>
      </c>
      <c r="G19" s="387" t="s">
        <v>590</v>
      </c>
      <c r="H19" s="387"/>
      <c r="I19" s="387" t="s">
        <v>51</v>
      </c>
      <c r="J19" s="184" t="s">
        <v>591</v>
      </c>
      <c r="K19" s="184" t="s">
        <v>376</v>
      </c>
      <c r="L19" s="382">
        <v>37590</v>
      </c>
      <c r="M19" s="382">
        <v>15090</v>
      </c>
      <c r="N19" s="394">
        <v>22500</v>
      </c>
      <c r="O19" s="382">
        <v>37940</v>
      </c>
      <c r="P19" s="382">
        <v>15200</v>
      </c>
      <c r="Q19" s="382">
        <v>22740</v>
      </c>
      <c r="R19" s="384">
        <v>-240</v>
      </c>
    </row>
    <row r="20" spans="1:18" ht="10.9" customHeight="1">
      <c r="A20" s="386"/>
      <c r="B20" s="388"/>
      <c r="C20" s="389"/>
      <c r="D20" s="390"/>
      <c r="E20" s="391"/>
      <c r="F20" s="393"/>
      <c r="G20" s="388"/>
      <c r="H20" s="390"/>
      <c r="I20" s="391"/>
      <c r="J20" s="184"/>
      <c r="K20" s="184"/>
      <c r="L20" s="383"/>
      <c r="M20" s="383"/>
      <c r="N20" s="395"/>
      <c r="O20" s="383"/>
      <c r="P20" s="383"/>
      <c r="Q20" s="383"/>
      <c r="R20" s="383"/>
    </row>
    <row r="21" spans="1:18" ht="10.9" customHeight="1">
      <c r="A21" s="385">
        <v>7</v>
      </c>
      <c r="B21" s="387" t="s">
        <v>592</v>
      </c>
      <c r="C21" s="387"/>
      <c r="D21" s="387"/>
      <c r="E21" s="387" t="s">
        <v>372</v>
      </c>
      <c r="F21" s="392" t="s">
        <v>579</v>
      </c>
      <c r="G21" s="387" t="s">
        <v>580</v>
      </c>
      <c r="H21" s="387"/>
      <c r="I21" s="387" t="s">
        <v>51</v>
      </c>
      <c r="J21" s="184" t="s">
        <v>577</v>
      </c>
      <c r="K21" s="184" t="s">
        <v>376</v>
      </c>
      <c r="L21" s="382">
        <v>38810</v>
      </c>
      <c r="M21" s="382">
        <v>14990</v>
      </c>
      <c r="N21" s="394">
        <v>23820</v>
      </c>
      <c r="O21" s="382">
        <v>39240</v>
      </c>
      <c r="P21" s="382">
        <v>15120</v>
      </c>
      <c r="Q21" s="382">
        <v>24120</v>
      </c>
      <c r="R21" s="384">
        <v>-300</v>
      </c>
    </row>
    <row r="22" spans="1:18" ht="10.9" customHeight="1">
      <c r="A22" s="386"/>
      <c r="B22" s="388"/>
      <c r="C22" s="389"/>
      <c r="D22" s="390"/>
      <c r="E22" s="391"/>
      <c r="F22" s="393"/>
      <c r="G22" s="388"/>
      <c r="H22" s="390"/>
      <c r="I22" s="391"/>
      <c r="J22" s="184"/>
      <c r="K22" s="184"/>
      <c r="L22" s="383"/>
      <c r="M22" s="383"/>
      <c r="N22" s="395"/>
      <c r="O22" s="383"/>
      <c r="P22" s="383"/>
      <c r="Q22" s="383"/>
      <c r="R22" s="383"/>
    </row>
    <row r="23" spans="1:18" ht="10.9" customHeight="1">
      <c r="A23" s="385">
        <v>8</v>
      </c>
      <c r="B23" s="387" t="s">
        <v>593</v>
      </c>
      <c r="C23" s="387"/>
      <c r="D23" s="387"/>
      <c r="E23" s="387" t="s">
        <v>382</v>
      </c>
      <c r="F23" s="392" t="s">
        <v>594</v>
      </c>
      <c r="G23" s="387" t="s">
        <v>595</v>
      </c>
      <c r="H23" s="387"/>
      <c r="I23" s="387" t="s">
        <v>51</v>
      </c>
      <c r="J23" s="184" t="s">
        <v>591</v>
      </c>
      <c r="K23" s="184" t="s">
        <v>376</v>
      </c>
      <c r="L23" s="382">
        <v>37320</v>
      </c>
      <c r="M23" s="382">
        <v>14630</v>
      </c>
      <c r="N23" s="394">
        <v>22690</v>
      </c>
      <c r="O23" s="382">
        <v>37660</v>
      </c>
      <c r="P23" s="382">
        <v>14760</v>
      </c>
      <c r="Q23" s="382">
        <v>22900</v>
      </c>
      <c r="R23" s="384">
        <v>-210</v>
      </c>
    </row>
    <row r="24" spans="1:18" ht="10.9" customHeight="1">
      <c r="A24" s="386"/>
      <c r="B24" s="388"/>
      <c r="C24" s="389"/>
      <c r="D24" s="390"/>
      <c r="E24" s="391"/>
      <c r="F24" s="393"/>
      <c r="G24" s="388"/>
      <c r="H24" s="390"/>
      <c r="I24" s="391"/>
      <c r="J24" s="184"/>
      <c r="K24" s="184"/>
      <c r="L24" s="383"/>
      <c r="M24" s="383"/>
      <c r="N24" s="395"/>
      <c r="O24" s="383"/>
      <c r="P24" s="383"/>
      <c r="Q24" s="383"/>
      <c r="R24" s="383"/>
    </row>
    <row r="25" spans="1:18" ht="10.9" customHeight="1">
      <c r="A25" s="385">
        <v>9</v>
      </c>
      <c r="B25" s="387" t="s">
        <v>596</v>
      </c>
      <c r="C25" s="387"/>
      <c r="D25" s="387"/>
      <c r="E25" s="387" t="s">
        <v>384</v>
      </c>
      <c r="F25" s="392" t="s">
        <v>597</v>
      </c>
      <c r="G25" s="387" t="s">
        <v>598</v>
      </c>
      <c r="H25" s="387"/>
      <c r="I25" s="387" t="s">
        <v>46</v>
      </c>
      <c r="J25" s="184" t="s">
        <v>591</v>
      </c>
      <c r="K25" s="184" t="s">
        <v>368</v>
      </c>
      <c r="L25" s="382">
        <v>37560</v>
      </c>
      <c r="M25" s="382">
        <v>13900</v>
      </c>
      <c r="N25" s="394">
        <v>23660</v>
      </c>
      <c r="O25" s="382">
        <v>37960</v>
      </c>
      <c r="P25" s="382">
        <v>14020</v>
      </c>
      <c r="Q25" s="382">
        <v>23940</v>
      </c>
      <c r="R25" s="384">
        <v>-280</v>
      </c>
    </row>
    <row r="26" spans="1:18" ht="10.9" customHeight="1">
      <c r="A26" s="386"/>
      <c r="B26" s="388"/>
      <c r="C26" s="389"/>
      <c r="D26" s="390"/>
      <c r="E26" s="391"/>
      <c r="F26" s="393"/>
      <c r="G26" s="388"/>
      <c r="H26" s="390"/>
      <c r="I26" s="391"/>
      <c r="J26" s="184"/>
      <c r="K26" s="184"/>
      <c r="L26" s="383"/>
      <c r="M26" s="383"/>
      <c r="N26" s="395"/>
      <c r="O26" s="383"/>
      <c r="P26" s="383"/>
      <c r="Q26" s="383"/>
      <c r="R26" s="383"/>
    </row>
    <row r="27" spans="1:18" ht="10.9" customHeight="1">
      <c r="A27" s="385">
        <v>10</v>
      </c>
      <c r="B27" s="387" t="s">
        <v>599</v>
      </c>
      <c r="C27" s="387"/>
      <c r="D27" s="387"/>
      <c r="E27" s="387" t="s">
        <v>388</v>
      </c>
      <c r="F27" s="392" t="s">
        <v>600</v>
      </c>
      <c r="G27" s="387" t="s">
        <v>601</v>
      </c>
      <c r="H27" s="387"/>
      <c r="I27" s="387" t="s">
        <v>51</v>
      </c>
      <c r="J27" s="184" t="s">
        <v>591</v>
      </c>
      <c r="K27" s="184" t="s">
        <v>376</v>
      </c>
      <c r="L27" s="382">
        <v>56030</v>
      </c>
      <c r="M27" s="382">
        <v>20980</v>
      </c>
      <c r="N27" s="394">
        <v>35050</v>
      </c>
      <c r="O27" s="382">
        <v>56660</v>
      </c>
      <c r="P27" s="382">
        <v>21140</v>
      </c>
      <c r="Q27" s="382">
        <v>35520</v>
      </c>
      <c r="R27" s="384">
        <v>-470</v>
      </c>
    </row>
    <row r="28" spans="1:18" ht="10.9" customHeight="1">
      <c r="A28" s="386"/>
      <c r="B28" s="388"/>
      <c r="C28" s="389"/>
      <c r="D28" s="390"/>
      <c r="E28" s="391"/>
      <c r="F28" s="393"/>
      <c r="G28" s="388"/>
      <c r="H28" s="390"/>
      <c r="I28" s="391"/>
      <c r="J28" s="184" t="s">
        <v>174</v>
      </c>
      <c r="K28" s="184" t="s">
        <v>602</v>
      </c>
      <c r="L28" s="383"/>
      <c r="M28" s="383"/>
      <c r="N28" s="395"/>
      <c r="O28" s="383"/>
      <c r="P28" s="383"/>
      <c r="Q28" s="383"/>
      <c r="R28" s="383"/>
    </row>
    <row r="29" spans="1:18" ht="10.9" customHeight="1">
      <c r="A29" s="385">
        <v>11</v>
      </c>
      <c r="B29" s="387" t="s">
        <v>603</v>
      </c>
      <c r="C29" s="387"/>
      <c r="D29" s="387"/>
      <c r="E29" s="387" t="s">
        <v>386</v>
      </c>
      <c r="F29" s="392" t="s">
        <v>604</v>
      </c>
      <c r="G29" s="387" t="s">
        <v>605</v>
      </c>
      <c r="H29" s="387"/>
      <c r="I29" s="387" t="s">
        <v>46</v>
      </c>
      <c r="J29" s="184" t="s">
        <v>591</v>
      </c>
      <c r="K29" s="184" t="s">
        <v>368</v>
      </c>
      <c r="L29" s="382">
        <v>41540</v>
      </c>
      <c r="M29" s="382">
        <v>15320</v>
      </c>
      <c r="N29" s="394">
        <v>26220</v>
      </c>
      <c r="O29" s="382">
        <v>41980</v>
      </c>
      <c r="P29" s="382">
        <v>15460</v>
      </c>
      <c r="Q29" s="382">
        <v>26520</v>
      </c>
      <c r="R29" s="384">
        <v>-300</v>
      </c>
    </row>
    <row r="30" spans="1:18" ht="10.9" customHeight="1">
      <c r="A30" s="386"/>
      <c r="B30" s="388"/>
      <c r="C30" s="389"/>
      <c r="D30" s="390"/>
      <c r="E30" s="391"/>
      <c r="F30" s="393"/>
      <c r="G30" s="388"/>
      <c r="H30" s="390"/>
      <c r="I30" s="391"/>
      <c r="J30" s="184"/>
      <c r="K30" s="184"/>
      <c r="L30" s="383"/>
      <c r="M30" s="383"/>
      <c r="N30" s="395"/>
      <c r="O30" s="383"/>
      <c r="P30" s="383"/>
      <c r="Q30" s="383"/>
      <c r="R30" s="383"/>
    </row>
    <row r="31" spans="1:18" ht="10.9" customHeight="1">
      <c r="A31" s="385">
        <v>12</v>
      </c>
      <c r="B31" s="387" t="s">
        <v>606</v>
      </c>
      <c r="C31" s="387"/>
      <c r="D31" s="387"/>
      <c r="E31" s="387" t="s">
        <v>390</v>
      </c>
      <c r="F31" s="392" t="s">
        <v>607</v>
      </c>
      <c r="G31" s="387" t="s">
        <v>608</v>
      </c>
      <c r="H31" s="387"/>
      <c r="I31" s="387" t="s">
        <v>51</v>
      </c>
      <c r="J31" s="184" t="s">
        <v>591</v>
      </c>
      <c r="K31" s="184" t="s">
        <v>376</v>
      </c>
      <c r="L31" s="382">
        <v>39360</v>
      </c>
      <c r="M31" s="382">
        <v>14980</v>
      </c>
      <c r="N31" s="394">
        <v>24380</v>
      </c>
      <c r="O31" s="382">
        <v>39800</v>
      </c>
      <c r="P31" s="382">
        <v>15080</v>
      </c>
      <c r="Q31" s="382">
        <v>24720</v>
      </c>
      <c r="R31" s="384">
        <v>-340</v>
      </c>
    </row>
    <row r="32" spans="1:18" ht="10.9" customHeight="1">
      <c r="A32" s="386"/>
      <c r="B32" s="388"/>
      <c r="C32" s="389"/>
      <c r="D32" s="390"/>
      <c r="E32" s="391"/>
      <c r="F32" s="393"/>
      <c r="G32" s="388"/>
      <c r="H32" s="390"/>
      <c r="I32" s="391"/>
      <c r="J32" s="184"/>
      <c r="K32" s="184"/>
      <c r="L32" s="383"/>
      <c r="M32" s="383"/>
      <c r="N32" s="395"/>
      <c r="O32" s="383"/>
      <c r="P32" s="383"/>
      <c r="Q32" s="383"/>
      <c r="R32" s="383"/>
    </row>
    <row r="33" spans="1:18" ht="10.9" customHeight="1">
      <c r="A33" s="385">
        <v>13</v>
      </c>
      <c r="B33" s="387" t="s">
        <v>609</v>
      </c>
      <c r="C33" s="387"/>
      <c r="D33" s="387"/>
      <c r="E33" s="387" t="s">
        <v>392</v>
      </c>
      <c r="F33" s="392" t="s">
        <v>610</v>
      </c>
      <c r="G33" s="387" t="s">
        <v>611</v>
      </c>
      <c r="H33" s="387"/>
      <c r="I33" s="387" t="s">
        <v>51</v>
      </c>
      <c r="J33" s="184" t="s">
        <v>591</v>
      </c>
      <c r="K33" s="184" t="s">
        <v>376</v>
      </c>
      <c r="L33" s="382">
        <v>66280</v>
      </c>
      <c r="M33" s="382">
        <v>24090</v>
      </c>
      <c r="N33" s="394">
        <v>42190</v>
      </c>
      <c r="O33" s="382">
        <v>67100</v>
      </c>
      <c r="P33" s="382">
        <v>24300</v>
      </c>
      <c r="Q33" s="382">
        <v>42800</v>
      </c>
      <c r="R33" s="384">
        <v>-610</v>
      </c>
    </row>
    <row r="34" spans="1:18" ht="10.9" customHeight="1">
      <c r="A34" s="386"/>
      <c r="B34" s="388"/>
      <c r="C34" s="389"/>
      <c r="D34" s="390"/>
      <c r="E34" s="391"/>
      <c r="F34" s="393"/>
      <c r="G34" s="388"/>
      <c r="H34" s="390"/>
      <c r="I34" s="391"/>
      <c r="J34" s="184"/>
      <c r="K34" s="184"/>
      <c r="L34" s="383"/>
      <c r="M34" s="383"/>
      <c r="N34" s="395"/>
      <c r="O34" s="383"/>
      <c r="P34" s="383"/>
      <c r="Q34" s="383"/>
      <c r="R34" s="383"/>
    </row>
    <row r="35" spans="1:18" ht="10.9" customHeight="1">
      <c r="A35" s="385">
        <v>14</v>
      </c>
      <c r="B35" s="387" t="s">
        <v>612</v>
      </c>
      <c r="C35" s="387"/>
      <c r="D35" s="387"/>
      <c r="E35" s="387" t="s">
        <v>377</v>
      </c>
      <c r="F35" s="392" t="s">
        <v>586</v>
      </c>
      <c r="G35" s="387" t="s">
        <v>587</v>
      </c>
      <c r="H35" s="387"/>
      <c r="I35" s="387" t="s">
        <v>51</v>
      </c>
      <c r="J35" s="184" t="s">
        <v>591</v>
      </c>
      <c r="K35" s="184" t="s">
        <v>376</v>
      </c>
      <c r="L35" s="382">
        <v>42400</v>
      </c>
      <c r="M35" s="382">
        <v>15110</v>
      </c>
      <c r="N35" s="394">
        <v>27290</v>
      </c>
      <c r="O35" s="382">
        <v>42840</v>
      </c>
      <c r="P35" s="382">
        <v>15260</v>
      </c>
      <c r="Q35" s="382">
        <v>27580</v>
      </c>
      <c r="R35" s="384">
        <v>-290</v>
      </c>
    </row>
    <row r="36" spans="1:18" ht="10.9" customHeight="1">
      <c r="A36" s="386"/>
      <c r="B36" s="388"/>
      <c r="C36" s="389"/>
      <c r="D36" s="390"/>
      <c r="E36" s="391"/>
      <c r="F36" s="393"/>
      <c r="G36" s="388"/>
      <c r="H36" s="390"/>
      <c r="I36" s="391"/>
      <c r="J36" s="184"/>
      <c r="K36" s="184"/>
      <c r="L36" s="383"/>
      <c r="M36" s="383"/>
      <c r="N36" s="395"/>
      <c r="O36" s="383"/>
      <c r="P36" s="383"/>
      <c r="Q36" s="383"/>
      <c r="R36" s="383"/>
    </row>
    <row r="37" spans="1:18" ht="10.9" customHeight="1">
      <c r="A37" s="385">
        <v>15</v>
      </c>
      <c r="B37" s="387" t="s">
        <v>613</v>
      </c>
      <c r="C37" s="387"/>
      <c r="D37" s="387"/>
      <c r="E37" s="387" t="s">
        <v>380</v>
      </c>
      <c r="F37" s="392" t="s">
        <v>589</v>
      </c>
      <c r="G37" s="387" t="s">
        <v>614</v>
      </c>
      <c r="H37" s="387"/>
      <c r="I37" s="387" t="s">
        <v>394</v>
      </c>
      <c r="J37" s="184" t="s">
        <v>591</v>
      </c>
      <c r="K37" s="184" t="s">
        <v>376</v>
      </c>
      <c r="L37" s="382">
        <v>38360</v>
      </c>
      <c r="M37" s="382">
        <v>15080</v>
      </c>
      <c r="N37" s="394">
        <v>23280</v>
      </c>
      <c r="O37" s="382">
        <v>38780</v>
      </c>
      <c r="P37" s="382">
        <v>15200</v>
      </c>
      <c r="Q37" s="382">
        <v>23580</v>
      </c>
      <c r="R37" s="384">
        <v>-300</v>
      </c>
    </row>
    <row r="38" spans="1:18" ht="10.9" customHeight="1">
      <c r="A38" s="386"/>
      <c r="B38" s="388"/>
      <c r="C38" s="389"/>
      <c r="D38" s="390"/>
      <c r="E38" s="391"/>
      <c r="F38" s="393"/>
      <c r="G38" s="388"/>
      <c r="H38" s="390"/>
      <c r="I38" s="391"/>
      <c r="J38" s="184"/>
      <c r="K38" s="184"/>
      <c r="L38" s="383"/>
      <c r="M38" s="383"/>
      <c r="N38" s="395"/>
      <c r="O38" s="383"/>
      <c r="P38" s="383"/>
      <c r="Q38" s="383"/>
      <c r="R38" s="383"/>
    </row>
    <row r="39" spans="1:18" ht="10.9" customHeight="1">
      <c r="A39" s="385">
        <v>16</v>
      </c>
      <c r="B39" s="387" t="s">
        <v>615</v>
      </c>
      <c r="C39" s="387"/>
      <c r="D39" s="387"/>
      <c r="E39" s="387" t="s">
        <v>372</v>
      </c>
      <c r="F39" s="392" t="s">
        <v>579</v>
      </c>
      <c r="G39" s="387" t="s">
        <v>580</v>
      </c>
      <c r="H39" s="387"/>
      <c r="I39" s="387" t="s">
        <v>394</v>
      </c>
      <c r="J39" s="184" t="s">
        <v>577</v>
      </c>
      <c r="K39" s="184" t="s">
        <v>376</v>
      </c>
      <c r="L39" s="382">
        <v>39290</v>
      </c>
      <c r="M39" s="382">
        <v>15120</v>
      </c>
      <c r="N39" s="394">
        <v>24170</v>
      </c>
      <c r="O39" s="382">
        <v>39440</v>
      </c>
      <c r="P39" s="382">
        <v>14980</v>
      </c>
      <c r="Q39" s="382">
        <v>24460</v>
      </c>
      <c r="R39" s="384">
        <v>-290</v>
      </c>
    </row>
    <row r="40" spans="1:18" ht="10.9" customHeight="1">
      <c r="A40" s="386"/>
      <c r="B40" s="388"/>
      <c r="C40" s="389"/>
      <c r="D40" s="390"/>
      <c r="E40" s="391"/>
      <c r="F40" s="393"/>
      <c r="G40" s="388"/>
      <c r="H40" s="390"/>
      <c r="I40" s="391"/>
      <c r="J40" s="184"/>
      <c r="K40" s="184"/>
      <c r="L40" s="383"/>
      <c r="M40" s="383"/>
      <c r="N40" s="395"/>
      <c r="O40" s="383"/>
      <c r="P40" s="383"/>
      <c r="Q40" s="383"/>
      <c r="R40" s="383"/>
    </row>
    <row r="41" spans="1:18" ht="10.9" customHeight="1">
      <c r="A41" s="385">
        <v>17</v>
      </c>
      <c r="B41" s="387" t="s">
        <v>616</v>
      </c>
      <c r="C41" s="387"/>
      <c r="D41" s="387"/>
      <c r="E41" s="387" t="s">
        <v>395</v>
      </c>
      <c r="F41" s="392" t="s">
        <v>617</v>
      </c>
      <c r="G41" s="387" t="s">
        <v>618</v>
      </c>
      <c r="H41" s="387"/>
      <c r="I41" s="387" t="s">
        <v>394</v>
      </c>
      <c r="J41" s="184" t="s">
        <v>577</v>
      </c>
      <c r="K41" s="184" t="s">
        <v>376</v>
      </c>
      <c r="L41" s="382">
        <v>38920</v>
      </c>
      <c r="M41" s="382">
        <v>14650</v>
      </c>
      <c r="N41" s="394">
        <v>24270</v>
      </c>
      <c r="O41" s="382">
        <v>39280</v>
      </c>
      <c r="P41" s="382">
        <v>14740</v>
      </c>
      <c r="Q41" s="382">
        <v>24540</v>
      </c>
      <c r="R41" s="384">
        <v>-270</v>
      </c>
    </row>
    <row r="42" spans="1:18" ht="10.9" customHeight="1">
      <c r="A42" s="386"/>
      <c r="B42" s="388"/>
      <c r="C42" s="389"/>
      <c r="D42" s="390"/>
      <c r="E42" s="391"/>
      <c r="F42" s="393"/>
      <c r="G42" s="388"/>
      <c r="H42" s="390"/>
      <c r="I42" s="391"/>
      <c r="J42" s="184"/>
      <c r="K42" s="184"/>
      <c r="L42" s="383"/>
      <c r="M42" s="383"/>
      <c r="N42" s="395"/>
      <c r="O42" s="383"/>
      <c r="P42" s="383"/>
      <c r="Q42" s="383"/>
      <c r="R42" s="383"/>
    </row>
    <row r="43" spans="1:18" ht="10.9" customHeight="1">
      <c r="A43" s="385">
        <v>18</v>
      </c>
      <c r="B43" s="387" t="s">
        <v>619</v>
      </c>
      <c r="C43" s="387"/>
      <c r="D43" s="387"/>
      <c r="E43" s="387" t="s">
        <v>369</v>
      </c>
      <c r="F43" s="392" t="s">
        <v>575</v>
      </c>
      <c r="G43" s="387" t="s">
        <v>576</v>
      </c>
      <c r="H43" s="387"/>
      <c r="I43" s="387" t="s">
        <v>46</v>
      </c>
      <c r="J43" s="184" t="s">
        <v>591</v>
      </c>
      <c r="K43" s="184" t="s">
        <v>368</v>
      </c>
      <c r="L43" s="382">
        <v>38060</v>
      </c>
      <c r="M43" s="382">
        <v>15070</v>
      </c>
      <c r="N43" s="394">
        <v>22990</v>
      </c>
      <c r="O43" s="382">
        <v>38480</v>
      </c>
      <c r="P43" s="382">
        <v>15180</v>
      </c>
      <c r="Q43" s="382">
        <v>23300</v>
      </c>
      <c r="R43" s="384">
        <v>-310</v>
      </c>
    </row>
    <row r="44" spans="1:18" ht="10.9" customHeight="1">
      <c r="A44" s="386"/>
      <c r="B44" s="388"/>
      <c r="C44" s="389"/>
      <c r="D44" s="390"/>
      <c r="E44" s="391"/>
      <c r="F44" s="393"/>
      <c r="G44" s="388"/>
      <c r="H44" s="390"/>
      <c r="I44" s="391"/>
      <c r="J44" s="184"/>
      <c r="K44" s="184"/>
      <c r="L44" s="383"/>
      <c r="M44" s="383"/>
      <c r="N44" s="395"/>
      <c r="O44" s="383"/>
      <c r="P44" s="383"/>
      <c r="Q44" s="383"/>
      <c r="R44" s="383"/>
    </row>
    <row r="45" spans="1:18" ht="10.9" customHeight="1">
      <c r="A45" s="385">
        <v>19</v>
      </c>
      <c r="B45" s="387" t="s">
        <v>620</v>
      </c>
      <c r="C45" s="387"/>
      <c r="D45" s="387"/>
      <c r="E45" s="387" t="s">
        <v>374</v>
      </c>
      <c r="F45" s="392" t="s">
        <v>583</v>
      </c>
      <c r="G45" s="387" t="s">
        <v>584</v>
      </c>
      <c r="H45" s="387"/>
      <c r="I45" s="387" t="s">
        <v>46</v>
      </c>
      <c r="J45" s="184" t="s">
        <v>591</v>
      </c>
      <c r="K45" s="184" t="s">
        <v>368</v>
      </c>
      <c r="L45" s="382">
        <v>37360</v>
      </c>
      <c r="M45" s="382">
        <v>15460</v>
      </c>
      <c r="N45" s="394">
        <v>21900</v>
      </c>
      <c r="O45" s="382">
        <v>37820</v>
      </c>
      <c r="P45" s="382">
        <v>15580</v>
      </c>
      <c r="Q45" s="382">
        <v>22240</v>
      </c>
      <c r="R45" s="384">
        <v>-340</v>
      </c>
    </row>
    <row r="46" spans="1:18" ht="10.9" customHeight="1">
      <c r="A46" s="386"/>
      <c r="B46" s="388"/>
      <c r="C46" s="389"/>
      <c r="D46" s="390"/>
      <c r="E46" s="391"/>
      <c r="F46" s="393"/>
      <c r="G46" s="388"/>
      <c r="H46" s="390"/>
      <c r="I46" s="391"/>
      <c r="J46" s="184"/>
      <c r="K46" s="184"/>
      <c r="L46" s="383"/>
      <c r="M46" s="383"/>
      <c r="N46" s="395"/>
      <c r="O46" s="383"/>
      <c r="P46" s="383"/>
      <c r="Q46" s="383"/>
      <c r="R46" s="383"/>
    </row>
    <row r="47" spans="1:18" ht="10.9" customHeight="1">
      <c r="A47" s="385">
        <v>20</v>
      </c>
      <c r="B47" s="387" t="s">
        <v>621</v>
      </c>
      <c r="C47" s="387"/>
      <c r="D47" s="387"/>
      <c r="E47" s="387" t="s">
        <v>384</v>
      </c>
      <c r="F47" s="392" t="s">
        <v>597</v>
      </c>
      <c r="G47" s="387" t="s">
        <v>598</v>
      </c>
      <c r="H47" s="387"/>
      <c r="I47" s="387" t="s">
        <v>398</v>
      </c>
      <c r="J47" s="184" t="s">
        <v>591</v>
      </c>
      <c r="K47" s="184" t="s">
        <v>396</v>
      </c>
      <c r="L47" s="382">
        <v>34410</v>
      </c>
      <c r="M47" s="382">
        <v>13910</v>
      </c>
      <c r="N47" s="394">
        <v>20500</v>
      </c>
      <c r="O47" s="382">
        <v>34560</v>
      </c>
      <c r="P47" s="382">
        <v>13980</v>
      </c>
      <c r="Q47" s="382">
        <v>20580</v>
      </c>
      <c r="R47" s="384">
        <v>-80</v>
      </c>
    </row>
    <row r="48" spans="1:18" ht="10.9" customHeight="1">
      <c r="A48" s="386"/>
      <c r="B48" s="388"/>
      <c r="C48" s="389"/>
      <c r="D48" s="390"/>
      <c r="E48" s="391"/>
      <c r="F48" s="393"/>
      <c r="G48" s="388"/>
      <c r="H48" s="390"/>
      <c r="I48" s="391"/>
      <c r="J48" s="184" t="s">
        <v>622</v>
      </c>
      <c r="K48" s="184" t="s">
        <v>623</v>
      </c>
      <c r="L48" s="383"/>
      <c r="M48" s="383"/>
      <c r="N48" s="395"/>
      <c r="O48" s="383"/>
      <c r="P48" s="383"/>
      <c r="Q48" s="383"/>
      <c r="R48" s="383"/>
    </row>
    <row r="49" spans="1:18" ht="10.9" customHeight="1">
      <c r="A49" s="385">
        <v>21</v>
      </c>
      <c r="B49" s="387" t="s">
        <v>624</v>
      </c>
      <c r="C49" s="387"/>
      <c r="D49" s="387"/>
      <c r="E49" s="387" t="s">
        <v>377</v>
      </c>
      <c r="F49" s="392" t="s">
        <v>586</v>
      </c>
      <c r="G49" s="387" t="s">
        <v>587</v>
      </c>
      <c r="H49" s="387"/>
      <c r="I49" s="387" t="s">
        <v>398</v>
      </c>
      <c r="J49" s="184" t="s">
        <v>591</v>
      </c>
      <c r="K49" s="184" t="s">
        <v>396</v>
      </c>
      <c r="L49" s="382">
        <v>36660</v>
      </c>
      <c r="M49" s="382">
        <v>15050</v>
      </c>
      <c r="N49" s="394">
        <v>21610</v>
      </c>
      <c r="O49" s="382">
        <v>36820</v>
      </c>
      <c r="P49" s="382">
        <v>15120</v>
      </c>
      <c r="Q49" s="382">
        <v>21700</v>
      </c>
      <c r="R49" s="384">
        <v>-90</v>
      </c>
    </row>
    <row r="50" spans="1:18" ht="10.9" customHeight="1">
      <c r="A50" s="386"/>
      <c r="B50" s="388"/>
      <c r="C50" s="389"/>
      <c r="D50" s="390"/>
      <c r="E50" s="391"/>
      <c r="F50" s="393"/>
      <c r="G50" s="388"/>
      <c r="H50" s="390"/>
      <c r="I50" s="391"/>
      <c r="J50" s="184" t="s">
        <v>622</v>
      </c>
      <c r="K50" s="184" t="s">
        <v>623</v>
      </c>
      <c r="L50" s="383"/>
      <c r="M50" s="383"/>
      <c r="N50" s="395"/>
      <c r="O50" s="383"/>
      <c r="P50" s="383"/>
      <c r="Q50" s="383"/>
      <c r="R50" s="383"/>
    </row>
    <row r="51" spans="1:18" ht="10.9" customHeight="1">
      <c r="A51" s="385">
        <v>22</v>
      </c>
      <c r="B51" s="387" t="s">
        <v>625</v>
      </c>
      <c r="C51" s="387"/>
      <c r="D51" s="387"/>
      <c r="E51" s="387" t="s">
        <v>400</v>
      </c>
      <c r="F51" s="392" t="s">
        <v>626</v>
      </c>
      <c r="G51" s="387" t="s">
        <v>627</v>
      </c>
      <c r="H51" s="387"/>
      <c r="I51" s="387" t="s">
        <v>398</v>
      </c>
      <c r="J51" s="184" t="s">
        <v>591</v>
      </c>
      <c r="K51" s="184" t="s">
        <v>396</v>
      </c>
      <c r="L51" s="382">
        <v>36320</v>
      </c>
      <c r="M51" s="382">
        <v>14710</v>
      </c>
      <c r="N51" s="394">
        <v>21610</v>
      </c>
      <c r="O51" s="382">
        <v>36500</v>
      </c>
      <c r="P51" s="382">
        <v>14800</v>
      </c>
      <c r="Q51" s="382">
        <v>21700</v>
      </c>
      <c r="R51" s="384">
        <v>-90</v>
      </c>
    </row>
    <row r="52" spans="1:18" ht="10.9" customHeight="1">
      <c r="A52" s="386"/>
      <c r="B52" s="388"/>
      <c r="C52" s="389"/>
      <c r="D52" s="390"/>
      <c r="E52" s="391"/>
      <c r="F52" s="393"/>
      <c r="G52" s="388"/>
      <c r="H52" s="390"/>
      <c r="I52" s="391"/>
      <c r="J52" s="184" t="s">
        <v>622</v>
      </c>
      <c r="K52" s="184" t="s">
        <v>623</v>
      </c>
      <c r="L52" s="383"/>
      <c r="M52" s="383"/>
      <c r="N52" s="395"/>
      <c r="O52" s="383"/>
      <c r="P52" s="383"/>
      <c r="Q52" s="383"/>
      <c r="R52" s="383"/>
    </row>
    <row r="53" spans="1:18" ht="10.9" customHeight="1">
      <c r="A53" s="385">
        <v>23</v>
      </c>
      <c r="B53" s="387" t="s">
        <v>628</v>
      </c>
      <c r="C53" s="387"/>
      <c r="D53" s="387"/>
      <c r="E53" s="387" t="s">
        <v>403</v>
      </c>
      <c r="F53" s="392" t="s">
        <v>629</v>
      </c>
      <c r="G53" s="387" t="s">
        <v>630</v>
      </c>
      <c r="H53" s="387"/>
      <c r="I53" s="387" t="s">
        <v>398</v>
      </c>
      <c r="J53" s="184" t="s">
        <v>591</v>
      </c>
      <c r="K53" s="184" t="s">
        <v>396</v>
      </c>
      <c r="L53" s="382">
        <v>33220</v>
      </c>
      <c r="M53" s="382">
        <v>14490</v>
      </c>
      <c r="N53" s="394">
        <v>18730</v>
      </c>
      <c r="O53" s="382">
        <v>33380</v>
      </c>
      <c r="P53" s="382">
        <v>14560</v>
      </c>
      <c r="Q53" s="382">
        <v>18820</v>
      </c>
      <c r="R53" s="384">
        <v>-90</v>
      </c>
    </row>
    <row r="54" spans="1:18" ht="10.9" customHeight="1">
      <c r="A54" s="386"/>
      <c r="B54" s="388"/>
      <c r="C54" s="389"/>
      <c r="D54" s="390"/>
      <c r="E54" s="391"/>
      <c r="F54" s="393"/>
      <c r="G54" s="388"/>
      <c r="H54" s="390"/>
      <c r="I54" s="391"/>
      <c r="J54" s="184" t="s">
        <v>622</v>
      </c>
      <c r="K54" s="184" t="s">
        <v>623</v>
      </c>
      <c r="L54" s="383"/>
      <c r="M54" s="383"/>
      <c r="N54" s="395"/>
      <c r="O54" s="383"/>
      <c r="P54" s="383"/>
      <c r="Q54" s="383"/>
      <c r="R54" s="383"/>
    </row>
    <row r="55" spans="1:18" ht="10.9" customHeight="1">
      <c r="A55" s="385">
        <v>24</v>
      </c>
      <c r="B55" s="387" t="s">
        <v>631</v>
      </c>
      <c r="C55" s="387"/>
      <c r="D55" s="387"/>
      <c r="E55" s="387" t="s">
        <v>406</v>
      </c>
      <c r="F55" s="392" t="s">
        <v>632</v>
      </c>
      <c r="G55" s="387" t="s">
        <v>633</v>
      </c>
      <c r="H55" s="387"/>
      <c r="I55" s="387" t="s">
        <v>398</v>
      </c>
      <c r="J55" s="184" t="s">
        <v>591</v>
      </c>
      <c r="K55" s="184" t="s">
        <v>396</v>
      </c>
      <c r="L55" s="382">
        <v>36050</v>
      </c>
      <c r="M55" s="382">
        <v>15040</v>
      </c>
      <c r="N55" s="394">
        <v>21010</v>
      </c>
      <c r="O55" s="382">
        <v>36180</v>
      </c>
      <c r="P55" s="382">
        <v>15120</v>
      </c>
      <c r="Q55" s="382">
        <v>21060</v>
      </c>
      <c r="R55" s="384">
        <v>-50</v>
      </c>
    </row>
    <row r="56" spans="1:18" ht="10.9" customHeight="1">
      <c r="A56" s="386"/>
      <c r="B56" s="388"/>
      <c r="C56" s="389"/>
      <c r="D56" s="390"/>
      <c r="E56" s="391"/>
      <c r="F56" s="393"/>
      <c r="G56" s="388"/>
      <c r="H56" s="390"/>
      <c r="I56" s="391"/>
      <c r="J56" s="184" t="s">
        <v>622</v>
      </c>
      <c r="K56" s="184" t="s">
        <v>623</v>
      </c>
      <c r="L56" s="383"/>
      <c r="M56" s="383"/>
      <c r="N56" s="395"/>
      <c r="O56" s="383"/>
      <c r="P56" s="383"/>
      <c r="Q56" s="383"/>
      <c r="R56" s="383"/>
    </row>
    <row r="57" spans="1:18" ht="10.9" customHeight="1">
      <c r="A57" s="385">
        <v>25</v>
      </c>
      <c r="B57" s="387" t="s">
        <v>634</v>
      </c>
      <c r="C57" s="387"/>
      <c r="D57" s="387"/>
      <c r="E57" s="387" t="s">
        <v>380</v>
      </c>
      <c r="F57" s="392" t="s">
        <v>589</v>
      </c>
      <c r="G57" s="387" t="s">
        <v>614</v>
      </c>
      <c r="H57" s="387"/>
      <c r="I57" s="387" t="s">
        <v>398</v>
      </c>
      <c r="J57" s="184" t="s">
        <v>591</v>
      </c>
      <c r="K57" s="184" t="s">
        <v>396</v>
      </c>
      <c r="L57" s="382">
        <v>36350</v>
      </c>
      <c r="M57" s="382">
        <v>15040</v>
      </c>
      <c r="N57" s="394">
        <v>21310</v>
      </c>
      <c r="O57" s="382">
        <v>36460</v>
      </c>
      <c r="P57" s="382">
        <v>15100</v>
      </c>
      <c r="Q57" s="382">
        <v>21360</v>
      </c>
      <c r="R57" s="384">
        <v>-50</v>
      </c>
    </row>
    <row r="58" spans="1:18" ht="10.9" customHeight="1">
      <c r="A58" s="386"/>
      <c r="B58" s="388"/>
      <c r="C58" s="389"/>
      <c r="D58" s="390"/>
      <c r="E58" s="391"/>
      <c r="F58" s="393"/>
      <c r="G58" s="388"/>
      <c r="H58" s="390"/>
      <c r="I58" s="391"/>
      <c r="J58" s="184" t="s">
        <v>622</v>
      </c>
      <c r="K58" s="184" t="s">
        <v>623</v>
      </c>
      <c r="L58" s="383"/>
      <c r="M58" s="383"/>
      <c r="N58" s="395"/>
      <c r="O58" s="383"/>
      <c r="P58" s="383"/>
      <c r="Q58" s="383"/>
      <c r="R58" s="383"/>
    </row>
    <row r="59" spans="1:18" ht="10.9" customHeight="1">
      <c r="A59" s="385">
        <v>26</v>
      </c>
      <c r="B59" s="387" t="s">
        <v>635</v>
      </c>
      <c r="C59" s="387"/>
      <c r="D59" s="387"/>
      <c r="E59" s="387" t="s">
        <v>410</v>
      </c>
      <c r="F59" s="392" t="s">
        <v>636</v>
      </c>
      <c r="G59" s="387" t="s">
        <v>637</v>
      </c>
      <c r="H59" s="387"/>
      <c r="I59" s="387" t="s">
        <v>398</v>
      </c>
      <c r="J59" s="184" t="s">
        <v>577</v>
      </c>
      <c r="K59" s="184" t="s">
        <v>396</v>
      </c>
      <c r="L59" s="382">
        <v>33750</v>
      </c>
      <c r="M59" s="382">
        <v>15000</v>
      </c>
      <c r="N59" s="394">
        <v>18750</v>
      </c>
      <c r="O59" s="382">
        <v>33840</v>
      </c>
      <c r="P59" s="382">
        <v>15020</v>
      </c>
      <c r="Q59" s="382">
        <v>18820</v>
      </c>
      <c r="R59" s="384">
        <v>-70</v>
      </c>
    </row>
    <row r="60" spans="1:18" ht="10.9" customHeight="1">
      <c r="A60" s="386"/>
      <c r="B60" s="388"/>
      <c r="C60" s="389"/>
      <c r="D60" s="390"/>
      <c r="E60" s="391"/>
      <c r="F60" s="393"/>
      <c r="G60" s="388"/>
      <c r="H60" s="390"/>
      <c r="I60" s="391"/>
      <c r="J60" s="184" t="s">
        <v>622</v>
      </c>
      <c r="K60" s="184" t="s">
        <v>623</v>
      </c>
      <c r="L60" s="383"/>
      <c r="M60" s="383"/>
      <c r="N60" s="395"/>
      <c r="O60" s="383"/>
      <c r="P60" s="383"/>
      <c r="Q60" s="383"/>
      <c r="R60" s="383"/>
    </row>
    <row r="61" spans="1:18" ht="10.9" customHeight="1">
      <c r="A61" s="385">
        <v>27</v>
      </c>
      <c r="B61" s="387" t="s">
        <v>638</v>
      </c>
      <c r="C61" s="387"/>
      <c r="D61" s="387"/>
      <c r="E61" s="387" t="s">
        <v>413</v>
      </c>
      <c r="F61" s="392" t="s">
        <v>639</v>
      </c>
      <c r="G61" s="387" t="s">
        <v>640</v>
      </c>
      <c r="H61" s="387"/>
      <c r="I61" s="387" t="s">
        <v>398</v>
      </c>
      <c r="J61" s="184" t="s">
        <v>577</v>
      </c>
      <c r="K61" s="184" t="s">
        <v>396</v>
      </c>
      <c r="L61" s="382">
        <v>34870</v>
      </c>
      <c r="M61" s="382">
        <v>14920</v>
      </c>
      <c r="N61" s="394">
        <v>19950</v>
      </c>
      <c r="O61" s="382">
        <v>35060</v>
      </c>
      <c r="P61" s="382">
        <v>14960</v>
      </c>
      <c r="Q61" s="382">
        <v>20100</v>
      </c>
      <c r="R61" s="384">
        <v>-150</v>
      </c>
    </row>
    <row r="62" spans="1:18" ht="10.9" customHeight="1">
      <c r="A62" s="386"/>
      <c r="B62" s="388"/>
      <c r="C62" s="389"/>
      <c r="D62" s="390"/>
      <c r="E62" s="391"/>
      <c r="F62" s="393"/>
      <c r="G62" s="388"/>
      <c r="H62" s="390"/>
      <c r="I62" s="391"/>
      <c r="J62" s="184" t="s">
        <v>622</v>
      </c>
      <c r="K62" s="184" t="s">
        <v>623</v>
      </c>
      <c r="L62" s="383"/>
      <c r="M62" s="383"/>
      <c r="N62" s="395"/>
      <c r="O62" s="383"/>
      <c r="P62" s="383"/>
      <c r="Q62" s="383"/>
      <c r="R62" s="383"/>
    </row>
    <row r="63" spans="1:18" ht="10.9" customHeight="1">
      <c r="A63" s="385">
        <v>28</v>
      </c>
      <c r="B63" s="387" t="s">
        <v>641</v>
      </c>
      <c r="C63" s="387"/>
      <c r="D63" s="387"/>
      <c r="E63" s="387" t="s">
        <v>416</v>
      </c>
      <c r="F63" s="392" t="s">
        <v>642</v>
      </c>
      <c r="G63" s="387" t="s">
        <v>643</v>
      </c>
      <c r="H63" s="387"/>
      <c r="I63" s="387" t="s">
        <v>398</v>
      </c>
      <c r="J63" s="184" t="s">
        <v>591</v>
      </c>
      <c r="K63" s="184" t="s">
        <v>396</v>
      </c>
      <c r="L63" s="382">
        <v>35140</v>
      </c>
      <c r="M63" s="382">
        <v>14710</v>
      </c>
      <c r="N63" s="394">
        <v>20430</v>
      </c>
      <c r="O63" s="382">
        <v>35280</v>
      </c>
      <c r="P63" s="382">
        <v>14780</v>
      </c>
      <c r="Q63" s="382">
        <v>20500</v>
      </c>
      <c r="R63" s="384">
        <v>-70</v>
      </c>
    </row>
    <row r="64" spans="1:18" ht="10.9" customHeight="1">
      <c r="A64" s="386"/>
      <c r="B64" s="388"/>
      <c r="C64" s="389"/>
      <c r="D64" s="390"/>
      <c r="E64" s="391"/>
      <c r="F64" s="393"/>
      <c r="G64" s="388"/>
      <c r="H64" s="390"/>
      <c r="I64" s="391"/>
      <c r="J64" s="184" t="s">
        <v>622</v>
      </c>
      <c r="K64" s="184" t="s">
        <v>623</v>
      </c>
      <c r="L64" s="383"/>
      <c r="M64" s="383"/>
      <c r="N64" s="395"/>
      <c r="O64" s="383"/>
      <c r="P64" s="383"/>
      <c r="Q64" s="383"/>
      <c r="R64" s="383"/>
    </row>
    <row r="65" spans="1:18" ht="10.9" customHeight="1">
      <c r="A65" s="385">
        <v>29</v>
      </c>
      <c r="B65" s="387" t="s">
        <v>644</v>
      </c>
      <c r="C65" s="387"/>
      <c r="D65" s="387"/>
      <c r="E65" s="387" t="s">
        <v>420</v>
      </c>
      <c r="F65" s="392" t="s">
        <v>645</v>
      </c>
      <c r="G65" s="387" t="s">
        <v>646</v>
      </c>
      <c r="H65" s="387"/>
      <c r="I65" s="387" t="s">
        <v>398</v>
      </c>
      <c r="J65" s="184" t="s">
        <v>577</v>
      </c>
      <c r="K65" s="184" t="s">
        <v>396</v>
      </c>
      <c r="L65" s="382">
        <v>33680</v>
      </c>
      <c r="M65" s="382">
        <v>14870</v>
      </c>
      <c r="N65" s="394">
        <v>18810</v>
      </c>
      <c r="O65" s="382">
        <v>33900</v>
      </c>
      <c r="P65" s="382">
        <v>14920</v>
      </c>
      <c r="Q65" s="382">
        <v>18980</v>
      </c>
      <c r="R65" s="384">
        <v>-170</v>
      </c>
    </row>
    <row r="66" spans="1:18" ht="10.9" customHeight="1">
      <c r="A66" s="386"/>
      <c r="B66" s="388"/>
      <c r="C66" s="389"/>
      <c r="D66" s="390"/>
      <c r="E66" s="391"/>
      <c r="F66" s="393"/>
      <c r="G66" s="388"/>
      <c r="H66" s="390"/>
      <c r="I66" s="391"/>
      <c r="J66" s="184" t="s">
        <v>622</v>
      </c>
      <c r="K66" s="184" t="s">
        <v>623</v>
      </c>
      <c r="L66" s="383"/>
      <c r="M66" s="383"/>
      <c r="N66" s="395"/>
      <c r="O66" s="383"/>
      <c r="P66" s="383"/>
      <c r="Q66" s="383"/>
      <c r="R66" s="383"/>
    </row>
    <row r="67" spans="1:18" ht="10.9" customHeight="1">
      <c r="A67" s="385">
        <v>30</v>
      </c>
      <c r="B67" s="387" t="s">
        <v>647</v>
      </c>
      <c r="C67" s="387"/>
      <c r="D67" s="387"/>
      <c r="E67" s="387" t="s">
        <v>390</v>
      </c>
      <c r="F67" s="392" t="s">
        <v>607</v>
      </c>
      <c r="G67" s="387" t="s">
        <v>608</v>
      </c>
      <c r="H67" s="387"/>
      <c r="I67" s="387" t="s">
        <v>398</v>
      </c>
      <c r="J67" s="184" t="s">
        <v>591</v>
      </c>
      <c r="K67" s="184" t="s">
        <v>396</v>
      </c>
      <c r="L67" s="382">
        <v>36760</v>
      </c>
      <c r="M67" s="382">
        <v>14950</v>
      </c>
      <c r="N67" s="394">
        <v>21810</v>
      </c>
      <c r="O67" s="382">
        <v>36980</v>
      </c>
      <c r="P67" s="382">
        <v>14980</v>
      </c>
      <c r="Q67" s="382">
        <v>22000</v>
      </c>
      <c r="R67" s="384">
        <v>-190</v>
      </c>
    </row>
    <row r="68" spans="1:18" ht="10.9" customHeight="1">
      <c r="A68" s="386"/>
      <c r="B68" s="388"/>
      <c r="C68" s="389"/>
      <c r="D68" s="390"/>
      <c r="E68" s="391"/>
      <c r="F68" s="393"/>
      <c r="G68" s="388"/>
      <c r="H68" s="390"/>
      <c r="I68" s="391"/>
      <c r="J68" s="184" t="s">
        <v>622</v>
      </c>
      <c r="K68" s="184" t="s">
        <v>623</v>
      </c>
      <c r="L68" s="383"/>
      <c r="M68" s="383"/>
      <c r="N68" s="395"/>
      <c r="O68" s="383"/>
      <c r="P68" s="383"/>
      <c r="Q68" s="383"/>
      <c r="R68" s="383"/>
    </row>
    <row r="69" spans="1:18" ht="10.9" customHeight="1">
      <c r="A69" s="385">
        <v>31</v>
      </c>
      <c r="B69" s="387" t="s">
        <v>648</v>
      </c>
      <c r="C69" s="387"/>
      <c r="D69" s="387"/>
      <c r="E69" s="387" t="s">
        <v>388</v>
      </c>
      <c r="F69" s="392" t="s">
        <v>600</v>
      </c>
      <c r="G69" s="387" t="s">
        <v>601</v>
      </c>
      <c r="H69" s="387"/>
      <c r="I69" s="387" t="s">
        <v>398</v>
      </c>
      <c r="J69" s="184" t="s">
        <v>591</v>
      </c>
      <c r="K69" s="184" t="s">
        <v>396</v>
      </c>
      <c r="L69" s="382">
        <v>46180</v>
      </c>
      <c r="M69" s="382">
        <v>20940</v>
      </c>
      <c r="N69" s="394">
        <v>25240</v>
      </c>
      <c r="O69" s="382">
        <v>46480</v>
      </c>
      <c r="P69" s="382">
        <v>20940</v>
      </c>
      <c r="Q69" s="382">
        <v>25540</v>
      </c>
      <c r="R69" s="384">
        <v>-300</v>
      </c>
    </row>
    <row r="70" spans="1:18" ht="10.9" customHeight="1">
      <c r="A70" s="386"/>
      <c r="B70" s="388"/>
      <c r="C70" s="389"/>
      <c r="D70" s="390"/>
      <c r="E70" s="391"/>
      <c r="F70" s="393"/>
      <c r="G70" s="388"/>
      <c r="H70" s="390"/>
      <c r="I70" s="391"/>
      <c r="J70" s="184" t="s">
        <v>622</v>
      </c>
      <c r="K70" s="184" t="s">
        <v>623</v>
      </c>
      <c r="L70" s="383"/>
      <c r="M70" s="383"/>
      <c r="N70" s="395"/>
      <c r="O70" s="383"/>
      <c r="P70" s="383"/>
      <c r="Q70" s="383"/>
      <c r="R70" s="383"/>
    </row>
    <row r="71" spans="1:18" ht="10.9" customHeight="1">
      <c r="A71" s="385">
        <v>32</v>
      </c>
      <c r="B71" s="387" t="s">
        <v>649</v>
      </c>
      <c r="C71" s="387"/>
      <c r="D71" s="387"/>
      <c r="E71" s="387" t="s">
        <v>650</v>
      </c>
      <c r="F71" s="392" t="s">
        <v>651</v>
      </c>
      <c r="G71" s="387" t="s">
        <v>652</v>
      </c>
      <c r="H71" s="387"/>
      <c r="I71" s="387" t="s">
        <v>398</v>
      </c>
      <c r="J71" s="184" t="s">
        <v>591</v>
      </c>
      <c r="K71" s="184" t="s">
        <v>396</v>
      </c>
      <c r="L71" s="382">
        <v>45100</v>
      </c>
      <c r="M71" s="382">
        <v>18610</v>
      </c>
      <c r="N71" s="394">
        <v>26490</v>
      </c>
      <c r="O71" s="382">
        <v>45380</v>
      </c>
      <c r="P71" s="382">
        <v>18660</v>
      </c>
      <c r="Q71" s="382">
        <v>26720</v>
      </c>
      <c r="R71" s="384">
        <v>-230</v>
      </c>
    </row>
    <row r="72" spans="1:18" ht="10.9" customHeight="1">
      <c r="A72" s="386"/>
      <c r="B72" s="388"/>
      <c r="C72" s="389"/>
      <c r="D72" s="390"/>
      <c r="E72" s="391"/>
      <c r="F72" s="393"/>
      <c r="G72" s="388"/>
      <c r="H72" s="390"/>
      <c r="I72" s="391"/>
      <c r="J72" s="184" t="s">
        <v>622</v>
      </c>
      <c r="K72" s="184" t="s">
        <v>623</v>
      </c>
      <c r="L72" s="383"/>
      <c r="M72" s="383"/>
      <c r="N72" s="395"/>
      <c r="O72" s="383"/>
      <c r="P72" s="383"/>
      <c r="Q72" s="383"/>
      <c r="R72" s="383"/>
    </row>
    <row r="73" spans="1:18" ht="10.9" customHeight="1">
      <c r="A73" s="385">
        <v>33</v>
      </c>
      <c r="B73" s="387" t="s">
        <v>653</v>
      </c>
      <c r="C73" s="387"/>
      <c r="D73" s="387"/>
      <c r="E73" s="387" t="s">
        <v>382</v>
      </c>
      <c r="F73" s="392" t="s">
        <v>594</v>
      </c>
      <c r="G73" s="387" t="s">
        <v>595</v>
      </c>
      <c r="H73" s="387"/>
      <c r="I73" s="387" t="s">
        <v>398</v>
      </c>
      <c r="J73" s="184" t="s">
        <v>591</v>
      </c>
      <c r="K73" s="184" t="s">
        <v>396</v>
      </c>
      <c r="L73" s="382">
        <v>33760</v>
      </c>
      <c r="M73" s="382">
        <v>14600</v>
      </c>
      <c r="N73" s="394">
        <v>19160</v>
      </c>
      <c r="O73" s="382">
        <v>33920</v>
      </c>
      <c r="P73" s="382">
        <v>14620</v>
      </c>
      <c r="Q73" s="382">
        <v>19300</v>
      </c>
      <c r="R73" s="384">
        <v>-140</v>
      </c>
    </row>
    <row r="74" spans="1:18" ht="10.9" customHeight="1">
      <c r="A74" s="386"/>
      <c r="B74" s="388"/>
      <c r="C74" s="389"/>
      <c r="D74" s="390"/>
      <c r="E74" s="391"/>
      <c r="F74" s="393"/>
      <c r="G74" s="388"/>
      <c r="H74" s="390"/>
      <c r="I74" s="391"/>
      <c r="J74" s="184" t="s">
        <v>622</v>
      </c>
      <c r="K74" s="184" t="s">
        <v>623</v>
      </c>
      <c r="L74" s="383"/>
      <c r="M74" s="383"/>
      <c r="N74" s="395"/>
      <c r="O74" s="383"/>
      <c r="P74" s="383"/>
      <c r="Q74" s="383"/>
      <c r="R74" s="383"/>
    </row>
    <row r="75" spans="1:18" ht="10.9" customHeight="1">
      <c r="A75" s="385">
        <v>34</v>
      </c>
      <c r="B75" s="387" t="s">
        <v>654</v>
      </c>
      <c r="C75" s="387"/>
      <c r="D75" s="387"/>
      <c r="E75" s="387" t="s">
        <v>429</v>
      </c>
      <c r="F75" s="392" t="s">
        <v>655</v>
      </c>
      <c r="G75" s="387" t="s">
        <v>656</v>
      </c>
      <c r="H75" s="387"/>
      <c r="I75" s="387" t="s">
        <v>398</v>
      </c>
      <c r="J75" s="184" t="s">
        <v>591</v>
      </c>
      <c r="K75" s="184" t="s">
        <v>396</v>
      </c>
      <c r="L75" s="382">
        <v>36930</v>
      </c>
      <c r="M75" s="382">
        <v>14240</v>
      </c>
      <c r="N75" s="394">
        <v>22690</v>
      </c>
      <c r="O75" s="382">
        <v>37120</v>
      </c>
      <c r="P75" s="382">
        <v>14380</v>
      </c>
      <c r="Q75" s="382">
        <v>22740</v>
      </c>
      <c r="R75" s="384">
        <v>-50</v>
      </c>
    </row>
    <row r="76" spans="1:18" ht="10.9" customHeight="1">
      <c r="A76" s="386"/>
      <c r="B76" s="388"/>
      <c r="C76" s="389"/>
      <c r="D76" s="390"/>
      <c r="E76" s="391"/>
      <c r="F76" s="393"/>
      <c r="G76" s="388"/>
      <c r="H76" s="390"/>
      <c r="I76" s="391"/>
      <c r="J76" s="184" t="s">
        <v>622</v>
      </c>
      <c r="K76" s="184" t="s">
        <v>623</v>
      </c>
      <c r="L76" s="383"/>
      <c r="M76" s="383"/>
      <c r="N76" s="395"/>
      <c r="O76" s="383"/>
      <c r="P76" s="383"/>
      <c r="Q76" s="383"/>
      <c r="R76" s="383"/>
    </row>
    <row r="77" spans="1:18" ht="10.9" customHeight="1">
      <c r="A77" s="385">
        <v>35</v>
      </c>
      <c r="B77" s="387" t="s">
        <v>657</v>
      </c>
      <c r="C77" s="387"/>
      <c r="D77" s="387"/>
      <c r="E77" s="387" t="s">
        <v>432</v>
      </c>
      <c r="F77" s="392" t="s">
        <v>658</v>
      </c>
      <c r="G77" s="387" t="s">
        <v>659</v>
      </c>
      <c r="H77" s="387"/>
      <c r="I77" s="387" t="s">
        <v>398</v>
      </c>
      <c r="J77" s="184" t="s">
        <v>591</v>
      </c>
      <c r="K77" s="184" t="s">
        <v>396</v>
      </c>
      <c r="L77" s="382">
        <v>38770</v>
      </c>
      <c r="M77" s="382">
        <v>15600</v>
      </c>
      <c r="N77" s="394">
        <v>23170</v>
      </c>
      <c r="O77" s="382">
        <v>38940</v>
      </c>
      <c r="P77" s="382">
        <v>15720</v>
      </c>
      <c r="Q77" s="382">
        <v>23220</v>
      </c>
      <c r="R77" s="384">
        <v>-50</v>
      </c>
    </row>
    <row r="78" spans="1:18" ht="10.9" customHeight="1">
      <c r="A78" s="386"/>
      <c r="B78" s="388"/>
      <c r="C78" s="389"/>
      <c r="D78" s="390"/>
      <c r="E78" s="391"/>
      <c r="F78" s="393"/>
      <c r="G78" s="388"/>
      <c r="H78" s="390"/>
      <c r="I78" s="391"/>
      <c r="J78" s="184" t="s">
        <v>622</v>
      </c>
      <c r="K78" s="184" t="s">
        <v>623</v>
      </c>
      <c r="L78" s="383"/>
      <c r="M78" s="383"/>
      <c r="N78" s="395"/>
      <c r="O78" s="383"/>
      <c r="P78" s="383"/>
      <c r="Q78" s="383"/>
      <c r="R78" s="383"/>
    </row>
    <row r="79" spans="1:18" ht="10.9" customHeight="1">
      <c r="A79" s="385">
        <v>36</v>
      </c>
      <c r="B79" s="387" t="s">
        <v>660</v>
      </c>
      <c r="C79" s="387"/>
      <c r="D79" s="387"/>
      <c r="E79" s="387" t="s">
        <v>377</v>
      </c>
      <c r="F79" s="392" t="s">
        <v>586</v>
      </c>
      <c r="G79" s="387" t="s">
        <v>587</v>
      </c>
      <c r="H79" s="387"/>
      <c r="I79" s="387" t="s">
        <v>398</v>
      </c>
      <c r="J79" s="184" t="s">
        <v>591</v>
      </c>
      <c r="K79" s="184" t="s">
        <v>396</v>
      </c>
      <c r="L79" s="382">
        <v>37280</v>
      </c>
      <c r="M79" s="382">
        <v>15070</v>
      </c>
      <c r="N79" s="394">
        <v>22210</v>
      </c>
      <c r="O79" s="382">
        <v>37380</v>
      </c>
      <c r="P79" s="382">
        <v>15120</v>
      </c>
      <c r="Q79" s="382">
        <v>22260</v>
      </c>
      <c r="R79" s="384">
        <v>-50</v>
      </c>
    </row>
    <row r="80" spans="1:18" ht="10.9" customHeight="1">
      <c r="A80" s="386"/>
      <c r="B80" s="388"/>
      <c r="C80" s="389"/>
      <c r="D80" s="390"/>
      <c r="E80" s="391"/>
      <c r="F80" s="393"/>
      <c r="G80" s="388"/>
      <c r="H80" s="390"/>
      <c r="I80" s="391"/>
      <c r="J80" s="184" t="s">
        <v>622</v>
      </c>
      <c r="K80" s="184" t="s">
        <v>623</v>
      </c>
      <c r="L80" s="383"/>
      <c r="M80" s="383"/>
      <c r="N80" s="395"/>
      <c r="O80" s="383"/>
      <c r="P80" s="383"/>
      <c r="Q80" s="383"/>
      <c r="R80" s="383"/>
    </row>
    <row r="81" spans="1:18" ht="10.9" customHeight="1">
      <c r="A81" s="385">
        <v>37</v>
      </c>
      <c r="B81" s="387" t="s">
        <v>661</v>
      </c>
      <c r="C81" s="387"/>
      <c r="D81" s="387"/>
      <c r="E81" s="387" t="s">
        <v>436</v>
      </c>
      <c r="F81" s="392" t="s">
        <v>662</v>
      </c>
      <c r="G81" s="387" t="s">
        <v>663</v>
      </c>
      <c r="H81" s="387"/>
      <c r="I81" s="387" t="s">
        <v>398</v>
      </c>
      <c r="J81" s="184" t="s">
        <v>591</v>
      </c>
      <c r="K81" s="184" t="s">
        <v>396</v>
      </c>
      <c r="L81" s="382">
        <v>37960</v>
      </c>
      <c r="M81" s="382">
        <v>14900</v>
      </c>
      <c r="N81" s="394">
        <v>23060</v>
      </c>
      <c r="O81" s="382">
        <v>38140</v>
      </c>
      <c r="P81" s="382">
        <v>15020</v>
      </c>
      <c r="Q81" s="382">
        <v>23120</v>
      </c>
      <c r="R81" s="384">
        <v>-60</v>
      </c>
    </row>
    <row r="82" spans="1:18" ht="10.9" customHeight="1">
      <c r="A82" s="386"/>
      <c r="B82" s="388"/>
      <c r="C82" s="389"/>
      <c r="D82" s="390"/>
      <c r="E82" s="391"/>
      <c r="F82" s="393"/>
      <c r="G82" s="388"/>
      <c r="H82" s="390"/>
      <c r="I82" s="391"/>
      <c r="J82" s="184" t="s">
        <v>622</v>
      </c>
      <c r="K82" s="184" t="s">
        <v>623</v>
      </c>
      <c r="L82" s="383"/>
      <c r="M82" s="383"/>
      <c r="N82" s="395"/>
      <c r="O82" s="383"/>
      <c r="P82" s="383"/>
      <c r="Q82" s="383"/>
      <c r="R82" s="383"/>
    </row>
    <row r="83" spans="1:18" ht="10.9" customHeight="1">
      <c r="A83" s="385">
        <v>38</v>
      </c>
      <c r="B83" s="387" t="s">
        <v>664</v>
      </c>
      <c r="C83" s="387"/>
      <c r="D83" s="387"/>
      <c r="E83" s="387" t="s">
        <v>439</v>
      </c>
      <c r="F83" s="392" t="s">
        <v>665</v>
      </c>
      <c r="G83" s="387" t="s">
        <v>666</v>
      </c>
      <c r="H83" s="387"/>
      <c r="I83" s="387" t="s">
        <v>398</v>
      </c>
      <c r="J83" s="184" t="s">
        <v>591</v>
      </c>
      <c r="K83" s="184" t="s">
        <v>396</v>
      </c>
      <c r="L83" s="382">
        <v>36110</v>
      </c>
      <c r="M83" s="382">
        <v>14930</v>
      </c>
      <c r="N83" s="394">
        <v>21180</v>
      </c>
      <c r="O83" s="382">
        <v>36260</v>
      </c>
      <c r="P83" s="382">
        <v>15020</v>
      </c>
      <c r="Q83" s="382">
        <v>21240</v>
      </c>
      <c r="R83" s="384">
        <v>-60</v>
      </c>
    </row>
    <row r="84" spans="1:18" ht="10.9" customHeight="1">
      <c r="A84" s="386"/>
      <c r="B84" s="388"/>
      <c r="C84" s="389"/>
      <c r="D84" s="390"/>
      <c r="E84" s="391"/>
      <c r="F84" s="393"/>
      <c r="G84" s="388"/>
      <c r="H84" s="390"/>
      <c r="I84" s="391"/>
      <c r="J84" s="184" t="s">
        <v>622</v>
      </c>
      <c r="K84" s="184" t="s">
        <v>623</v>
      </c>
      <c r="L84" s="383"/>
      <c r="M84" s="383"/>
      <c r="N84" s="395"/>
      <c r="O84" s="383"/>
      <c r="P84" s="383"/>
      <c r="Q84" s="383"/>
      <c r="R84" s="383"/>
    </row>
    <row r="85" spans="1:18" ht="10.9" customHeight="1">
      <c r="A85" s="385">
        <v>39</v>
      </c>
      <c r="B85" s="387" t="s">
        <v>667</v>
      </c>
      <c r="C85" s="387"/>
      <c r="D85" s="387"/>
      <c r="E85" s="387" t="s">
        <v>442</v>
      </c>
      <c r="F85" s="392" t="s">
        <v>668</v>
      </c>
      <c r="G85" s="387" t="s">
        <v>669</v>
      </c>
      <c r="H85" s="387"/>
      <c r="I85" s="387" t="s">
        <v>398</v>
      </c>
      <c r="J85" s="184" t="s">
        <v>591</v>
      </c>
      <c r="K85" s="184" t="s">
        <v>396</v>
      </c>
      <c r="L85" s="382">
        <v>32690</v>
      </c>
      <c r="M85" s="382">
        <v>14460</v>
      </c>
      <c r="N85" s="394">
        <v>18230</v>
      </c>
      <c r="O85" s="382">
        <v>32780</v>
      </c>
      <c r="P85" s="382">
        <v>14520</v>
      </c>
      <c r="Q85" s="382">
        <v>18260</v>
      </c>
      <c r="R85" s="384">
        <v>-30</v>
      </c>
    </row>
    <row r="86" spans="1:18" ht="10.9" customHeight="1">
      <c r="A86" s="386"/>
      <c r="B86" s="388"/>
      <c r="C86" s="389"/>
      <c r="D86" s="390"/>
      <c r="E86" s="391"/>
      <c r="F86" s="393"/>
      <c r="G86" s="388"/>
      <c r="H86" s="390"/>
      <c r="I86" s="391"/>
      <c r="J86" s="184" t="s">
        <v>622</v>
      </c>
      <c r="K86" s="184" t="s">
        <v>623</v>
      </c>
      <c r="L86" s="383"/>
      <c r="M86" s="383"/>
      <c r="N86" s="395"/>
      <c r="O86" s="383"/>
      <c r="P86" s="383"/>
      <c r="Q86" s="383"/>
      <c r="R86" s="383"/>
    </row>
    <row r="87" spans="1:18" ht="10.9" customHeight="1">
      <c r="A87" s="385">
        <v>40</v>
      </c>
      <c r="B87" s="387" t="s">
        <v>670</v>
      </c>
      <c r="C87" s="387"/>
      <c r="D87" s="387"/>
      <c r="E87" s="387" t="s">
        <v>380</v>
      </c>
      <c r="F87" s="392" t="s">
        <v>589</v>
      </c>
      <c r="G87" s="387" t="s">
        <v>614</v>
      </c>
      <c r="H87" s="387"/>
      <c r="I87" s="387" t="s">
        <v>398</v>
      </c>
      <c r="J87" s="184" t="s">
        <v>591</v>
      </c>
      <c r="K87" s="184" t="s">
        <v>396</v>
      </c>
      <c r="L87" s="382">
        <v>34460</v>
      </c>
      <c r="M87" s="382">
        <v>15060</v>
      </c>
      <c r="N87" s="394">
        <v>19400</v>
      </c>
      <c r="O87" s="382">
        <v>34560</v>
      </c>
      <c r="P87" s="382">
        <v>15160</v>
      </c>
      <c r="Q87" s="382">
        <v>19400</v>
      </c>
      <c r="R87" s="396"/>
    </row>
    <row r="88" spans="1:18" ht="10.9" customHeight="1">
      <c r="A88" s="386"/>
      <c r="B88" s="388"/>
      <c r="C88" s="389"/>
      <c r="D88" s="390"/>
      <c r="E88" s="391"/>
      <c r="F88" s="393"/>
      <c r="G88" s="388"/>
      <c r="H88" s="390"/>
      <c r="I88" s="391"/>
      <c r="J88" s="184" t="s">
        <v>622</v>
      </c>
      <c r="K88" s="184" t="s">
        <v>623</v>
      </c>
      <c r="L88" s="383"/>
      <c r="M88" s="383"/>
      <c r="N88" s="395"/>
      <c r="O88" s="383"/>
      <c r="P88" s="383"/>
      <c r="Q88" s="383"/>
      <c r="R88" s="383"/>
    </row>
    <row r="89" spans="1:18" ht="10.9" customHeight="1">
      <c r="A89" s="385">
        <v>41</v>
      </c>
      <c r="B89" s="387" t="s">
        <v>671</v>
      </c>
      <c r="C89" s="387"/>
      <c r="D89" s="387"/>
      <c r="E89" s="387" t="s">
        <v>410</v>
      </c>
      <c r="F89" s="392" t="s">
        <v>636</v>
      </c>
      <c r="G89" s="387" t="s">
        <v>637</v>
      </c>
      <c r="H89" s="387"/>
      <c r="I89" s="387" t="s">
        <v>398</v>
      </c>
      <c r="J89" s="184" t="s">
        <v>591</v>
      </c>
      <c r="K89" s="184" t="s">
        <v>396</v>
      </c>
      <c r="L89" s="382">
        <v>34010</v>
      </c>
      <c r="M89" s="382">
        <v>14840</v>
      </c>
      <c r="N89" s="394">
        <v>19170</v>
      </c>
      <c r="O89" s="382">
        <v>34160</v>
      </c>
      <c r="P89" s="382">
        <v>15100</v>
      </c>
      <c r="Q89" s="382">
        <v>19060</v>
      </c>
      <c r="R89" s="384">
        <v>110</v>
      </c>
    </row>
    <row r="90" spans="1:18" ht="10.9" customHeight="1">
      <c r="A90" s="386"/>
      <c r="B90" s="388"/>
      <c r="C90" s="389"/>
      <c r="D90" s="390"/>
      <c r="E90" s="391"/>
      <c r="F90" s="393"/>
      <c r="G90" s="388"/>
      <c r="H90" s="390"/>
      <c r="I90" s="391"/>
      <c r="J90" s="184" t="s">
        <v>622</v>
      </c>
      <c r="K90" s="184" t="s">
        <v>623</v>
      </c>
      <c r="L90" s="383"/>
      <c r="M90" s="383"/>
      <c r="N90" s="395"/>
      <c r="O90" s="383"/>
      <c r="P90" s="383"/>
      <c r="Q90" s="383"/>
      <c r="R90" s="383"/>
    </row>
    <row r="91" spans="1:18" ht="10.9" customHeight="1">
      <c r="A91" s="385">
        <v>42</v>
      </c>
      <c r="B91" s="387" t="s">
        <v>672</v>
      </c>
      <c r="C91" s="387"/>
      <c r="D91" s="387"/>
      <c r="E91" s="387" t="s">
        <v>673</v>
      </c>
      <c r="F91" s="392" t="s">
        <v>674</v>
      </c>
      <c r="G91" s="387" t="s">
        <v>675</v>
      </c>
      <c r="H91" s="387"/>
      <c r="I91" s="387" t="s">
        <v>398</v>
      </c>
      <c r="J91" s="184" t="s">
        <v>591</v>
      </c>
      <c r="K91" s="184" t="s">
        <v>396</v>
      </c>
      <c r="L91" s="382">
        <v>37300</v>
      </c>
      <c r="M91" s="382">
        <v>15680</v>
      </c>
      <c r="N91" s="394">
        <v>21620</v>
      </c>
      <c r="O91" s="382">
        <v>37580</v>
      </c>
      <c r="P91" s="382">
        <v>15780</v>
      </c>
      <c r="Q91" s="382">
        <v>21800</v>
      </c>
      <c r="R91" s="384">
        <v>-180</v>
      </c>
    </row>
    <row r="92" spans="1:18" ht="10.9" customHeight="1">
      <c r="A92" s="386"/>
      <c r="B92" s="388"/>
      <c r="C92" s="389"/>
      <c r="D92" s="390"/>
      <c r="E92" s="391"/>
      <c r="F92" s="393"/>
      <c r="G92" s="388"/>
      <c r="H92" s="390"/>
      <c r="I92" s="391"/>
      <c r="J92" s="184" t="s">
        <v>622</v>
      </c>
      <c r="K92" s="184" t="s">
        <v>623</v>
      </c>
      <c r="L92" s="383"/>
      <c r="M92" s="383"/>
      <c r="N92" s="395"/>
      <c r="O92" s="383"/>
      <c r="P92" s="383"/>
      <c r="Q92" s="383"/>
      <c r="R92" s="383"/>
    </row>
    <row r="93" spans="1:18" ht="10.9" customHeight="1">
      <c r="A93" s="385">
        <v>43</v>
      </c>
      <c r="B93" s="387" t="s">
        <v>676</v>
      </c>
      <c r="C93" s="387"/>
      <c r="D93" s="387"/>
      <c r="E93" s="387" t="s">
        <v>392</v>
      </c>
      <c r="F93" s="392" t="s">
        <v>610</v>
      </c>
      <c r="G93" s="387" t="s">
        <v>611</v>
      </c>
      <c r="H93" s="387"/>
      <c r="I93" s="387" t="s">
        <v>398</v>
      </c>
      <c r="J93" s="184" t="s">
        <v>591</v>
      </c>
      <c r="K93" s="184" t="s">
        <v>396</v>
      </c>
      <c r="L93" s="382">
        <v>59720</v>
      </c>
      <c r="M93" s="382">
        <v>24020</v>
      </c>
      <c r="N93" s="394">
        <v>35700</v>
      </c>
      <c r="O93" s="382">
        <v>60250</v>
      </c>
      <c r="P93" s="382">
        <v>24140</v>
      </c>
      <c r="Q93" s="382">
        <v>36110</v>
      </c>
      <c r="R93" s="384">
        <v>-410</v>
      </c>
    </row>
    <row r="94" spans="1:18" ht="10.9" customHeight="1">
      <c r="A94" s="386"/>
      <c r="B94" s="388"/>
      <c r="C94" s="389"/>
      <c r="D94" s="390"/>
      <c r="E94" s="391"/>
      <c r="F94" s="393"/>
      <c r="G94" s="388"/>
      <c r="H94" s="390"/>
      <c r="I94" s="391"/>
      <c r="J94" s="184" t="s">
        <v>622</v>
      </c>
      <c r="K94" s="184" t="s">
        <v>623</v>
      </c>
      <c r="L94" s="383"/>
      <c r="M94" s="383"/>
      <c r="N94" s="395"/>
      <c r="O94" s="383"/>
      <c r="P94" s="383"/>
      <c r="Q94" s="383"/>
      <c r="R94" s="383"/>
    </row>
    <row r="95" spans="1:18" ht="10.9" customHeight="1">
      <c r="A95" s="385">
        <v>44</v>
      </c>
      <c r="B95" s="387" t="s">
        <v>677</v>
      </c>
      <c r="C95" s="387"/>
      <c r="D95" s="387"/>
      <c r="E95" s="387" t="s">
        <v>413</v>
      </c>
      <c r="F95" s="392" t="s">
        <v>639</v>
      </c>
      <c r="G95" s="387" t="s">
        <v>640</v>
      </c>
      <c r="H95" s="387"/>
      <c r="I95" s="387" t="s">
        <v>398</v>
      </c>
      <c r="J95" s="184" t="s">
        <v>591</v>
      </c>
      <c r="K95" s="184" t="s">
        <v>396</v>
      </c>
      <c r="L95" s="382">
        <v>40070</v>
      </c>
      <c r="M95" s="382">
        <v>14930</v>
      </c>
      <c r="N95" s="394">
        <v>25140</v>
      </c>
      <c r="O95" s="382">
        <v>40520</v>
      </c>
      <c r="P95" s="382">
        <v>15060</v>
      </c>
      <c r="Q95" s="382">
        <v>25460</v>
      </c>
      <c r="R95" s="384">
        <v>-320</v>
      </c>
    </row>
    <row r="96" spans="1:18" ht="10.9" customHeight="1">
      <c r="A96" s="386"/>
      <c r="B96" s="388"/>
      <c r="C96" s="389"/>
      <c r="D96" s="390"/>
      <c r="E96" s="391"/>
      <c r="F96" s="393"/>
      <c r="G96" s="388"/>
      <c r="H96" s="390"/>
      <c r="I96" s="391"/>
      <c r="J96" s="184" t="s">
        <v>622</v>
      </c>
      <c r="K96" s="184" t="s">
        <v>623</v>
      </c>
      <c r="L96" s="383"/>
      <c r="M96" s="383"/>
      <c r="N96" s="395"/>
      <c r="O96" s="383"/>
      <c r="P96" s="383"/>
      <c r="Q96" s="383"/>
      <c r="R96" s="383"/>
    </row>
    <row r="97" spans="1:18" ht="10.9" customHeight="1">
      <c r="A97" s="385">
        <v>45</v>
      </c>
      <c r="B97" s="387" t="s">
        <v>678</v>
      </c>
      <c r="C97" s="387"/>
      <c r="D97" s="387"/>
      <c r="E97" s="387" t="s">
        <v>416</v>
      </c>
      <c r="F97" s="392" t="s">
        <v>642</v>
      </c>
      <c r="G97" s="387" t="s">
        <v>643</v>
      </c>
      <c r="H97" s="387"/>
      <c r="I97" s="387" t="s">
        <v>398</v>
      </c>
      <c r="J97" s="184" t="s">
        <v>591</v>
      </c>
      <c r="K97" s="184" t="s">
        <v>396</v>
      </c>
      <c r="L97" s="382">
        <v>37670</v>
      </c>
      <c r="M97" s="382">
        <v>14710</v>
      </c>
      <c r="N97" s="394">
        <v>22960</v>
      </c>
      <c r="O97" s="382">
        <v>38160</v>
      </c>
      <c r="P97" s="382">
        <v>14800</v>
      </c>
      <c r="Q97" s="382">
        <v>23360</v>
      </c>
      <c r="R97" s="384">
        <v>-400</v>
      </c>
    </row>
    <row r="98" spans="1:18" ht="10.9" customHeight="1">
      <c r="A98" s="386"/>
      <c r="B98" s="388"/>
      <c r="C98" s="389"/>
      <c r="D98" s="390"/>
      <c r="E98" s="391"/>
      <c r="F98" s="393"/>
      <c r="G98" s="388"/>
      <c r="H98" s="390"/>
      <c r="I98" s="391"/>
      <c r="J98" s="184" t="s">
        <v>622</v>
      </c>
      <c r="K98" s="184" t="s">
        <v>623</v>
      </c>
      <c r="L98" s="383"/>
      <c r="M98" s="383"/>
      <c r="N98" s="395"/>
      <c r="O98" s="383"/>
      <c r="P98" s="383"/>
      <c r="Q98" s="383"/>
      <c r="R98" s="383"/>
    </row>
    <row r="99" spans="1:18" ht="10.9" customHeight="1">
      <c r="A99" s="385">
        <v>46</v>
      </c>
      <c r="B99" s="387" t="s">
        <v>679</v>
      </c>
      <c r="C99" s="387"/>
      <c r="D99" s="387"/>
      <c r="E99" s="387" t="s">
        <v>453</v>
      </c>
      <c r="F99" s="392" t="s">
        <v>680</v>
      </c>
      <c r="G99" s="387" t="s">
        <v>681</v>
      </c>
      <c r="H99" s="387"/>
      <c r="I99" s="387" t="s">
        <v>398</v>
      </c>
      <c r="J99" s="184" t="s">
        <v>591</v>
      </c>
      <c r="K99" s="184" t="s">
        <v>396</v>
      </c>
      <c r="L99" s="382">
        <v>49720</v>
      </c>
      <c r="M99" s="382">
        <v>23560</v>
      </c>
      <c r="N99" s="394">
        <v>26160</v>
      </c>
      <c r="O99" s="382">
        <v>50360</v>
      </c>
      <c r="P99" s="382">
        <v>23700</v>
      </c>
      <c r="Q99" s="382">
        <v>26660</v>
      </c>
      <c r="R99" s="384">
        <v>-500</v>
      </c>
    </row>
    <row r="100" spans="1:18" ht="10.9" customHeight="1">
      <c r="A100" s="386"/>
      <c r="B100" s="388"/>
      <c r="C100" s="389"/>
      <c r="D100" s="390"/>
      <c r="E100" s="391"/>
      <c r="F100" s="393"/>
      <c r="G100" s="388"/>
      <c r="H100" s="390"/>
      <c r="I100" s="391"/>
      <c r="J100" s="184" t="s">
        <v>622</v>
      </c>
      <c r="K100" s="184" t="s">
        <v>623</v>
      </c>
      <c r="L100" s="383"/>
      <c r="M100" s="383"/>
      <c r="N100" s="395"/>
      <c r="O100" s="383"/>
      <c r="P100" s="383"/>
      <c r="Q100" s="383"/>
      <c r="R100" s="383"/>
    </row>
    <row r="101" spans="1:18" ht="10.9" customHeight="1">
      <c r="A101" s="385">
        <v>47</v>
      </c>
      <c r="B101" s="387" t="s">
        <v>682</v>
      </c>
      <c r="C101" s="387"/>
      <c r="D101" s="387"/>
      <c r="E101" s="387" t="s">
        <v>456</v>
      </c>
      <c r="F101" s="392" t="s">
        <v>683</v>
      </c>
      <c r="G101" s="387" t="s">
        <v>684</v>
      </c>
      <c r="H101" s="387"/>
      <c r="I101" s="387" t="s">
        <v>398</v>
      </c>
      <c r="J101" s="184" t="s">
        <v>591</v>
      </c>
      <c r="K101" s="184" t="s">
        <v>396</v>
      </c>
      <c r="L101" s="382">
        <v>40530</v>
      </c>
      <c r="M101" s="382">
        <v>15550</v>
      </c>
      <c r="N101" s="394">
        <v>24980</v>
      </c>
      <c r="O101" s="382">
        <v>41020</v>
      </c>
      <c r="P101" s="382">
        <v>15660</v>
      </c>
      <c r="Q101" s="382">
        <v>25360</v>
      </c>
      <c r="R101" s="384">
        <v>-380</v>
      </c>
    </row>
    <row r="102" spans="1:18" ht="10.9" customHeight="1">
      <c r="A102" s="386"/>
      <c r="B102" s="388"/>
      <c r="C102" s="389"/>
      <c r="D102" s="390"/>
      <c r="E102" s="391"/>
      <c r="F102" s="393"/>
      <c r="G102" s="388"/>
      <c r="H102" s="390"/>
      <c r="I102" s="391"/>
      <c r="J102" s="184" t="s">
        <v>622</v>
      </c>
      <c r="K102" s="184" t="s">
        <v>623</v>
      </c>
      <c r="L102" s="383"/>
      <c r="M102" s="383"/>
      <c r="N102" s="395"/>
      <c r="O102" s="383"/>
      <c r="P102" s="383"/>
      <c r="Q102" s="383"/>
      <c r="R102" s="383"/>
    </row>
    <row r="103" spans="1:18" ht="10.9" customHeight="1">
      <c r="A103" s="385">
        <v>48</v>
      </c>
      <c r="B103" s="387" t="s">
        <v>685</v>
      </c>
      <c r="C103" s="387"/>
      <c r="D103" s="387"/>
      <c r="E103" s="387" t="s">
        <v>420</v>
      </c>
      <c r="F103" s="392" t="s">
        <v>645</v>
      </c>
      <c r="G103" s="387" t="s">
        <v>646</v>
      </c>
      <c r="H103" s="387"/>
      <c r="I103" s="387" t="s">
        <v>398</v>
      </c>
      <c r="J103" s="184" t="s">
        <v>591</v>
      </c>
      <c r="K103" s="184" t="s">
        <v>396</v>
      </c>
      <c r="L103" s="382">
        <v>35910</v>
      </c>
      <c r="M103" s="382">
        <v>14880</v>
      </c>
      <c r="N103" s="394">
        <v>21030</v>
      </c>
      <c r="O103" s="382">
        <v>36280</v>
      </c>
      <c r="P103" s="382">
        <v>14960</v>
      </c>
      <c r="Q103" s="382">
        <v>21320</v>
      </c>
      <c r="R103" s="384">
        <v>-290</v>
      </c>
    </row>
    <row r="104" spans="1:18" ht="10.9" customHeight="1">
      <c r="A104" s="386"/>
      <c r="B104" s="388"/>
      <c r="C104" s="389"/>
      <c r="D104" s="390"/>
      <c r="E104" s="391"/>
      <c r="F104" s="393"/>
      <c r="G104" s="388"/>
      <c r="H104" s="390"/>
      <c r="I104" s="391"/>
      <c r="J104" s="184" t="s">
        <v>622</v>
      </c>
      <c r="K104" s="184" t="s">
        <v>623</v>
      </c>
      <c r="L104" s="383"/>
      <c r="M104" s="383"/>
      <c r="N104" s="395"/>
      <c r="O104" s="383"/>
      <c r="P104" s="383"/>
      <c r="Q104" s="383"/>
      <c r="R104" s="383"/>
    </row>
    <row r="105" spans="1:18" ht="10.9" customHeight="1">
      <c r="A105" s="385">
        <v>49</v>
      </c>
      <c r="B105" s="387" t="s">
        <v>686</v>
      </c>
      <c r="C105" s="387"/>
      <c r="D105" s="387"/>
      <c r="E105" s="387" t="s">
        <v>372</v>
      </c>
      <c r="F105" s="392" t="s">
        <v>579</v>
      </c>
      <c r="G105" s="387" t="s">
        <v>580</v>
      </c>
      <c r="H105" s="387"/>
      <c r="I105" s="387" t="s">
        <v>398</v>
      </c>
      <c r="J105" s="184" t="s">
        <v>591</v>
      </c>
      <c r="K105" s="184" t="s">
        <v>396</v>
      </c>
      <c r="L105" s="382">
        <v>38150</v>
      </c>
      <c r="M105" s="382">
        <v>14910</v>
      </c>
      <c r="N105" s="394">
        <v>23240</v>
      </c>
      <c r="O105" s="382">
        <v>38460</v>
      </c>
      <c r="P105" s="382">
        <v>14980</v>
      </c>
      <c r="Q105" s="382">
        <v>23480</v>
      </c>
      <c r="R105" s="384">
        <v>-240</v>
      </c>
    </row>
    <row r="106" spans="1:18" ht="10.9" customHeight="1">
      <c r="A106" s="386"/>
      <c r="B106" s="388"/>
      <c r="C106" s="389"/>
      <c r="D106" s="390"/>
      <c r="E106" s="391"/>
      <c r="F106" s="393"/>
      <c r="G106" s="388"/>
      <c r="H106" s="390"/>
      <c r="I106" s="391"/>
      <c r="J106" s="184" t="s">
        <v>622</v>
      </c>
      <c r="K106" s="184" t="s">
        <v>623</v>
      </c>
      <c r="L106" s="383"/>
      <c r="M106" s="383"/>
      <c r="N106" s="395"/>
      <c r="O106" s="383"/>
      <c r="P106" s="383"/>
      <c r="Q106" s="383"/>
      <c r="R106" s="383"/>
    </row>
    <row r="107" spans="1:18" ht="10.9" customHeight="1">
      <c r="A107" s="385">
        <v>50</v>
      </c>
      <c r="B107" s="387" t="s">
        <v>687</v>
      </c>
      <c r="C107" s="387"/>
      <c r="D107" s="387"/>
      <c r="E107" s="387" t="s">
        <v>386</v>
      </c>
      <c r="F107" s="392" t="s">
        <v>604</v>
      </c>
      <c r="G107" s="387" t="s">
        <v>605</v>
      </c>
      <c r="H107" s="387"/>
      <c r="I107" s="387" t="s">
        <v>398</v>
      </c>
      <c r="J107" s="184" t="s">
        <v>591</v>
      </c>
      <c r="K107" s="184" t="s">
        <v>396</v>
      </c>
      <c r="L107" s="382">
        <v>39770</v>
      </c>
      <c r="M107" s="382">
        <v>15410</v>
      </c>
      <c r="N107" s="394">
        <v>24360</v>
      </c>
      <c r="O107" s="382">
        <v>39980</v>
      </c>
      <c r="P107" s="382">
        <v>15400</v>
      </c>
      <c r="Q107" s="382">
        <v>24580</v>
      </c>
      <c r="R107" s="384">
        <v>-220</v>
      </c>
    </row>
    <row r="108" spans="1:18" ht="10.9" customHeight="1">
      <c r="A108" s="386"/>
      <c r="B108" s="388"/>
      <c r="C108" s="389"/>
      <c r="D108" s="390"/>
      <c r="E108" s="391"/>
      <c r="F108" s="393"/>
      <c r="G108" s="388"/>
      <c r="H108" s="390"/>
      <c r="I108" s="391"/>
      <c r="J108" s="184" t="s">
        <v>622</v>
      </c>
      <c r="K108" s="184" t="s">
        <v>623</v>
      </c>
      <c r="L108" s="383"/>
      <c r="M108" s="383"/>
      <c r="N108" s="395"/>
      <c r="O108" s="383"/>
      <c r="P108" s="383"/>
      <c r="Q108" s="383"/>
      <c r="R108" s="383"/>
    </row>
    <row r="109" spans="1:18" ht="10.9" customHeight="1">
      <c r="A109" s="385">
        <v>51</v>
      </c>
      <c r="B109" s="387" t="s">
        <v>688</v>
      </c>
      <c r="C109" s="387"/>
      <c r="D109" s="387"/>
      <c r="E109" s="387" t="s">
        <v>369</v>
      </c>
      <c r="F109" s="392" t="s">
        <v>575</v>
      </c>
      <c r="G109" s="387" t="s">
        <v>576</v>
      </c>
      <c r="H109" s="387"/>
      <c r="I109" s="387" t="s">
        <v>398</v>
      </c>
      <c r="J109" s="184" t="s">
        <v>591</v>
      </c>
      <c r="K109" s="184" t="s">
        <v>396</v>
      </c>
      <c r="L109" s="382">
        <v>37270</v>
      </c>
      <c r="M109" s="382">
        <v>15080</v>
      </c>
      <c r="N109" s="394">
        <v>22190</v>
      </c>
      <c r="O109" s="382">
        <v>37540</v>
      </c>
      <c r="P109" s="382">
        <v>15140</v>
      </c>
      <c r="Q109" s="382">
        <v>22400</v>
      </c>
      <c r="R109" s="384">
        <v>-210</v>
      </c>
    </row>
    <row r="110" spans="1:18" ht="10.9" customHeight="1">
      <c r="A110" s="386"/>
      <c r="B110" s="388"/>
      <c r="C110" s="389"/>
      <c r="D110" s="390"/>
      <c r="E110" s="391"/>
      <c r="F110" s="393"/>
      <c r="G110" s="388"/>
      <c r="H110" s="390"/>
      <c r="I110" s="391"/>
      <c r="J110" s="184" t="s">
        <v>622</v>
      </c>
      <c r="K110" s="184" t="s">
        <v>623</v>
      </c>
      <c r="L110" s="383"/>
      <c r="M110" s="383"/>
      <c r="N110" s="395"/>
      <c r="O110" s="383"/>
      <c r="P110" s="383"/>
      <c r="Q110" s="383"/>
      <c r="R110" s="383"/>
    </row>
    <row r="111" spans="1:18" ht="10.9" customHeight="1">
      <c r="A111" s="385">
        <v>52</v>
      </c>
      <c r="B111" s="387" t="s">
        <v>689</v>
      </c>
      <c r="C111" s="387"/>
      <c r="D111" s="387"/>
      <c r="E111" s="387" t="s">
        <v>403</v>
      </c>
      <c r="F111" s="392" t="s">
        <v>629</v>
      </c>
      <c r="G111" s="387" t="s">
        <v>630</v>
      </c>
      <c r="H111" s="387"/>
      <c r="I111" s="387" t="s">
        <v>398</v>
      </c>
      <c r="J111" s="184" t="s">
        <v>591</v>
      </c>
      <c r="K111" s="184" t="s">
        <v>396</v>
      </c>
      <c r="L111" s="382">
        <v>37590</v>
      </c>
      <c r="M111" s="382">
        <v>14500</v>
      </c>
      <c r="N111" s="394">
        <v>23090</v>
      </c>
      <c r="O111" s="382">
        <v>37840</v>
      </c>
      <c r="P111" s="382">
        <v>14580</v>
      </c>
      <c r="Q111" s="382">
        <v>23260</v>
      </c>
      <c r="R111" s="384">
        <v>-170</v>
      </c>
    </row>
    <row r="112" spans="1:18" ht="10.9" customHeight="1">
      <c r="A112" s="386"/>
      <c r="B112" s="388"/>
      <c r="C112" s="389"/>
      <c r="D112" s="390"/>
      <c r="E112" s="391"/>
      <c r="F112" s="393"/>
      <c r="G112" s="388"/>
      <c r="H112" s="390"/>
      <c r="I112" s="391"/>
      <c r="J112" s="184" t="s">
        <v>622</v>
      </c>
      <c r="K112" s="184" t="s">
        <v>623</v>
      </c>
      <c r="L112" s="383"/>
      <c r="M112" s="383"/>
      <c r="N112" s="395"/>
      <c r="O112" s="383"/>
      <c r="P112" s="383"/>
      <c r="Q112" s="383"/>
      <c r="R112" s="383"/>
    </row>
    <row r="113" spans="1:18" ht="10.9" customHeight="1">
      <c r="A113" s="385">
        <v>53</v>
      </c>
      <c r="B113" s="387" t="s">
        <v>690</v>
      </c>
      <c r="C113" s="387"/>
      <c r="D113" s="387"/>
      <c r="E113" s="387" t="s">
        <v>406</v>
      </c>
      <c r="F113" s="392" t="s">
        <v>632</v>
      </c>
      <c r="G113" s="387" t="s">
        <v>633</v>
      </c>
      <c r="H113" s="387"/>
      <c r="I113" s="387" t="s">
        <v>398</v>
      </c>
      <c r="J113" s="184" t="s">
        <v>591</v>
      </c>
      <c r="K113" s="184" t="s">
        <v>396</v>
      </c>
      <c r="L113" s="382">
        <v>37450</v>
      </c>
      <c r="M113" s="382">
        <v>15050</v>
      </c>
      <c r="N113" s="394">
        <v>22400</v>
      </c>
      <c r="O113" s="382">
        <v>37640</v>
      </c>
      <c r="P113" s="382">
        <v>15140</v>
      </c>
      <c r="Q113" s="382">
        <v>22500</v>
      </c>
      <c r="R113" s="384">
        <v>-100</v>
      </c>
    </row>
    <row r="114" spans="1:18" ht="10.9" customHeight="1">
      <c r="A114" s="386"/>
      <c r="B114" s="388"/>
      <c r="C114" s="389"/>
      <c r="D114" s="390"/>
      <c r="E114" s="391"/>
      <c r="F114" s="393"/>
      <c r="G114" s="388"/>
      <c r="H114" s="390"/>
      <c r="I114" s="391"/>
      <c r="J114" s="184" t="s">
        <v>622</v>
      </c>
      <c r="K114" s="184" t="s">
        <v>623</v>
      </c>
      <c r="L114" s="383"/>
      <c r="M114" s="383"/>
      <c r="N114" s="395"/>
      <c r="O114" s="383"/>
      <c r="P114" s="383"/>
      <c r="Q114" s="383"/>
      <c r="R114" s="383"/>
    </row>
    <row r="115" spans="1:18" ht="10.9" customHeight="1">
      <c r="A115" s="385">
        <v>54</v>
      </c>
      <c r="B115" s="387" t="s">
        <v>691</v>
      </c>
      <c r="C115" s="387"/>
      <c r="D115" s="387"/>
      <c r="E115" s="387" t="s">
        <v>400</v>
      </c>
      <c r="F115" s="392" t="s">
        <v>626</v>
      </c>
      <c r="G115" s="387" t="s">
        <v>627</v>
      </c>
      <c r="H115" s="387"/>
      <c r="I115" s="387" t="s">
        <v>398</v>
      </c>
      <c r="J115" s="184" t="s">
        <v>591</v>
      </c>
      <c r="K115" s="184" t="s">
        <v>396</v>
      </c>
      <c r="L115" s="382">
        <v>37010</v>
      </c>
      <c r="M115" s="382">
        <v>14660</v>
      </c>
      <c r="N115" s="394">
        <v>22350</v>
      </c>
      <c r="O115" s="382">
        <v>37220</v>
      </c>
      <c r="P115" s="382">
        <v>14720</v>
      </c>
      <c r="Q115" s="382">
        <v>22500</v>
      </c>
      <c r="R115" s="384">
        <v>-150</v>
      </c>
    </row>
    <row r="116" spans="1:18" ht="10.9" customHeight="1">
      <c r="A116" s="386"/>
      <c r="B116" s="388"/>
      <c r="C116" s="389"/>
      <c r="D116" s="390"/>
      <c r="E116" s="391"/>
      <c r="F116" s="393"/>
      <c r="G116" s="388"/>
      <c r="H116" s="390"/>
      <c r="I116" s="391"/>
      <c r="J116" s="184" t="s">
        <v>622</v>
      </c>
      <c r="K116" s="184" t="s">
        <v>623</v>
      </c>
      <c r="L116" s="383"/>
      <c r="M116" s="383"/>
      <c r="N116" s="395"/>
      <c r="O116" s="383"/>
      <c r="P116" s="383"/>
      <c r="Q116" s="383"/>
      <c r="R116" s="383"/>
    </row>
    <row r="117" spans="1:18" ht="10.9" customHeight="1">
      <c r="A117" s="385">
        <v>55</v>
      </c>
      <c r="B117" s="387" t="s">
        <v>692</v>
      </c>
      <c r="C117" s="387"/>
      <c r="D117" s="387"/>
      <c r="E117" s="387" t="s">
        <v>472</v>
      </c>
      <c r="F117" s="392" t="s">
        <v>693</v>
      </c>
      <c r="G117" s="387" t="s">
        <v>694</v>
      </c>
      <c r="H117" s="387"/>
      <c r="I117" s="387" t="s">
        <v>398</v>
      </c>
      <c r="J117" s="184" t="s">
        <v>591</v>
      </c>
      <c r="K117" s="184" t="s">
        <v>396</v>
      </c>
      <c r="L117" s="382">
        <v>39320</v>
      </c>
      <c r="M117" s="382">
        <v>16640</v>
      </c>
      <c r="N117" s="394">
        <v>22680</v>
      </c>
      <c r="O117" s="382">
        <v>39280</v>
      </c>
      <c r="P117" s="382">
        <v>16500</v>
      </c>
      <c r="Q117" s="382">
        <v>22780</v>
      </c>
      <c r="R117" s="384">
        <v>-100</v>
      </c>
    </row>
    <row r="118" spans="1:18" ht="10.9" customHeight="1">
      <c r="A118" s="386"/>
      <c r="B118" s="388"/>
      <c r="C118" s="389"/>
      <c r="D118" s="390"/>
      <c r="E118" s="391"/>
      <c r="F118" s="393"/>
      <c r="G118" s="388"/>
      <c r="H118" s="390"/>
      <c r="I118" s="391"/>
      <c r="J118" s="184" t="s">
        <v>622</v>
      </c>
      <c r="K118" s="184" t="s">
        <v>623</v>
      </c>
      <c r="L118" s="383"/>
      <c r="M118" s="383"/>
      <c r="N118" s="395"/>
      <c r="O118" s="383"/>
      <c r="P118" s="383"/>
      <c r="Q118" s="383"/>
      <c r="R118" s="383"/>
    </row>
    <row r="119" spans="1:18" ht="10.9" customHeight="1">
      <c r="A119" s="385">
        <v>56</v>
      </c>
      <c r="B119" s="387" t="s">
        <v>695</v>
      </c>
      <c r="C119" s="387"/>
      <c r="D119" s="387"/>
      <c r="E119" s="387" t="s">
        <v>475</v>
      </c>
      <c r="F119" s="392" t="s">
        <v>696</v>
      </c>
      <c r="G119" s="387" t="s">
        <v>697</v>
      </c>
      <c r="H119" s="387"/>
      <c r="I119" s="387" t="s">
        <v>398</v>
      </c>
      <c r="J119" s="184" t="s">
        <v>591</v>
      </c>
      <c r="K119" s="184" t="s">
        <v>396</v>
      </c>
      <c r="L119" s="382">
        <v>37420</v>
      </c>
      <c r="M119" s="382">
        <v>16330</v>
      </c>
      <c r="N119" s="394">
        <v>21090</v>
      </c>
      <c r="O119" s="382">
        <v>37560</v>
      </c>
      <c r="P119" s="382">
        <v>16400</v>
      </c>
      <c r="Q119" s="382">
        <v>21160</v>
      </c>
      <c r="R119" s="384">
        <v>-70</v>
      </c>
    </row>
    <row r="120" spans="1:18" ht="10.9" customHeight="1">
      <c r="A120" s="386"/>
      <c r="B120" s="388"/>
      <c r="C120" s="389"/>
      <c r="D120" s="390"/>
      <c r="E120" s="391"/>
      <c r="F120" s="393"/>
      <c r="G120" s="388"/>
      <c r="H120" s="390"/>
      <c r="I120" s="391"/>
      <c r="J120" s="184" t="s">
        <v>622</v>
      </c>
      <c r="K120" s="184" t="s">
        <v>623</v>
      </c>
      <c r="L120" s="383"/>
      <c r="M120" s="383"/>
      <c r="N120" s="395"/>
      <c r="O120" s="383"/>
      <c r="P120" s="383"/>
      <c r="Q120" s="383"/>
      <c r="R120" s="383"/>
    </row>
    <row r="121" spans="1:18" ht="10.9" customHeight="1">
      <c r="A121" s="385">
        <v>57</v>
      </c>
      <c r="B121" s="387" t="s">
        <v>698</v>
      </c>
      <c r="C121" s="387"/>
      <c r="D121" s="387"/>
      <c r="E121" s="387" t="s">
        <v>462</v>
      </c>
      <c r="F121" s="392" t="s">
        <v>699</v>
      </c>
      <c r="G121" s="387" t="s">
        <v>700</v>
      </c>
      <c r="H121" s="387"/>
      <c r="I121" s="387" t="s">
        <v>398</v>
      </c>
      <c r="J121" s="184" t="s">
        <v>591</v>
      </c>
      <c r="K121" s="184" t="s">
        <v>396</v>
      </c>
      <c r="L121" s="382">
        <v>37790</v>
      </c>
      <c r="M121" s="382">
        <v>16490</v>
      </c>
      <c r="N121" s="394">
        <v>21300</v>
      </c>
      <c r="O121" s="382">
        <v>37740</v>
      </c>
      <c r="P121" s="382">
        <v>16400</v>
      </c>
      <c r="Q121" s="382">
        <v>21340</v>
      </c>
      <c r="R121" s="384">
        <v>-40</v>
      </c>
    </row>
    <row r="122" spans="1:18" ht="10.9" customHeight="1">
      <c r="A122" s="386"/>
      <c r="B122" s="388"/>
      <c r="C122" s="389"/>
      <c r="D122" s="390"/>
      <c r="E122" s="391"/>
      <c r="F122" s="393"/>
      <c r="G122" s="388"/>
      <c r="H122" s="390"/>
      <c r="I122" s="391"/>
      <c r="J122" s="184" t="s">
        <v>622</v>
      </c>
      <c r="K122" s="184" t="s">
        <v>623</v>
      </c>
      <c r="L122" s="383"/>
      <c r="M122" s="383"/>
      <c r="N122" s="395"/>
      <c r="O122" s="383"/>
      <c r="P122" s="383"/>
      <c r="Q122" s="383"/>
      <c r="R122" s="383"/>
    </row>
    <row r="123" spans="1:18" ht="10.9" customHeight="1">
      <c r="A123" s="385">
        <v>58</v>
      </c>
      <c r="B123" s="387" t="s">
        <v>701</v>
      </c>
      <c r="C123" s="387"/>
      <c r="D123" s="387"/>
      <c r="E123" s="387" t="s">
        <v>377</v>
      </c>
      <c r="F123" s="392" t="s">
        <v>586</v>
      </c>
      <c r="G123" s="387" t="s">
        <v>587</v>
      </c>
      <c r="H123" s="387"/>
      <c r="I123" s="387" t="s">
        <v>398</v>
      </c>
      <c r="J123" s="184" t="s">
        <v>591</v>
      </c>
      <c r="K123" s="184" t="s">
        <v>396</v>
      </c>
      <c r="L123" s="382">
        <v>39060</v>
      </c>
      <c r="M123" s="382">
        <v>15080</v>
      </c>
      <c r="N123" s="394">
        <v>23980</v>
      </c>
      <c r="O123" s="382">
        <v>39220</v>
      </c>
      <c r="P123" s="382">
        <v>15160</v>
      </c>
      <c r="Q123" s="382">
        <v>24060</v>
      </c>
      <c r="R123" s="384">
        <v>-80</v>
      </c>
    </row>
    <row r="124" spans="1:18" ht="10.9" customHeight="1">
      <c r="A124" s="386"/>
      <c r="B124" s="388"/>
      <c r="C124" s="389"/>
      <c r="D124" s="390"/>
      <c r="E124" s="391"/>
      <c r="F124" s="393"/>
      <c r="G124" s="388"/>
      <c r="H124" s="390"/>
      <c r="I124" s="391"/>
      <c r="J124" s="184" t="s">
        <v>622</v>
      </c>
      <c r="K124" s="184" t="s">
        <v>623</v>
      </c>
      <c r="L124" s="383"/>
      <c r="M124" s="383"/>
      <c r="N124" s="395"/>
      <c r="O124" s="383"/>
      <c r="P124" s="383"/>
      <c r="Q124" s="383"/>
      <c r="R124" s="383"/>
    </row>
    <row r="125" spans="1:18" ht="10.9" customHeight="1">
      <c r="A125" s="385">
        <v>59</v>
      </c>
      <c r="B125" s="387" t="s">
        <v>702</v>
      </c>
      <c r="C125" s="387"/>
      <c r="D125" s="387"/>
      <c r="E125" s="387" t="s">
        <v>650</v>
      </c>
      <c r="F125" s="392" t="s">
        <v>651</v>
      </c>
      <c r="G125" s="387" t="s">
        <v>652</v>
      </c>
      <c r="H125" s="387"/>
      <c r="I125" s="387" t="s">
        <v>398</v>
      </c>
      <c r="J125" s="184" t="s">
        <v>591</v>
      </c>
      <c r="K125" s="184" t="s">
        <v>396</v>
      </c>
      <c r="L125" s="382">
        <v>44540</v>
      </c>
      <c r="M125" s="382">
        <v>18590</v>
      </c>
      <c r="N125" s="394">
        <v>25950</v>
      </c>
      <c r="O125" s="382">
        <v>44700</v>
      </c>
      <c r="P125" s="382">
        <v>18680</v>
      </c>
      <c r="Q125" s="382">
        <v>26020</v>
      </c>
      <c r="R125" s="384">
        <v>-70</v>
      </c>
    </row>
    <row r="126" spans="1:18" ht="10.9" customHeight="1">
      <c r="A126" s="386"/>
      <c r="B126" s="388"/>
      <c r="C126" s="389"/>
      <c r="D126" s="390"/>
      <c r="E126" s="391"/>
      <c r="F126" s="393"/>
      <c r="G126" s="388"/>
      <c r="H126" s="390"/>
      <c r="I126" s="391"/>
      <c r="J126" s="184" t="s">
        <v>622</v>
      </c>
      <c r="K126" s="184" t="s">
        <v>623</v>
      </c>
      <c r="L126" s="383"/>
      <c r="M126" s="383"/>
      <c r="N126" s="395"/>
      <c r="O126" s="383"/>
      <c r="P126" s="383"/>
      <c r="Q126" s="383"/>
      <c r="R126" s="383"/>
    </row>
    <row r="127" spans="1:18" ht="10.9" customHeight="1">
      <c r="A127" s="385">
        <v>60</v>
      </c>
      <c r="B127" s="387" t="s">
        <v>703</v>
      </c>
      <c r="C127" s="387"/>
      <c r="D127" s="387"/>
      <c r="E127" s="387" t="s">
        <v>388</v>
      </c>
      <c r="F127" s="392" t="s">
        <v>600</v>
      </c>
      <c r="G127" s="387" t="s">
        <v>601</v>
      </c>
      <c r="H127" s="387"/>
      <c r="I127" s="387" t="s">
        <v>398</v>
      </c>
      <c r="J127" s="184" t="s">
        <v>591</v>
      </c>
      <c r="K127" s="184" t="s">
        <v>396</v>
      </c>
      <c r="L127" s="382">
        <v>51520</v>
      </c>
      <c r="M127" s="382">
        <v>20900</v>
      </c>
      <c r="N127" s="394">
        <v>30620</v>
      </c>
      <c r="O127" s="382">
        <v>51880</v>
      </c>
      <c r="P127" s="382">
        <v>21020</v>
      </c>
      <c r="Q127" s="382">
        <v>30860</v>
      </c>
      <c r="R127" s="384">
        <v>-240</v>
      </c>
    </row>
    <row r="128" spans="1:18" ht="10.9" customHeight="1">
      <c r="A128" s="386"/>
      <c r="B128" s="388"/>
      <c r="C128" s="389"/>
      <c r="D128" s="390"/>
      <c r="E128" s="391"/>
      <c r="F128" s="393"/>
      <c r="G128" s="388"/>
      <c r="H128" s="390"/>
      <c r="I128" s="391"/>
      <c r="J128" s="184" t="s">
        <v>622</v>
      </c>
      <c r="K128" s="184" t="s">
        <v>623</v>
      </c>
      <c r="L128" s="383"/>
      <c r="M128" s="383"/>
      <c r="N128" s="395"/>
      <c r="O128" s="383"/>
      <c r="P128" s="383"/>
      <c r="Q128" s="383"/>
      <c r="R128" s="383"/>
    </row>
    <row r="129" spans="1:18" ht="10.9" customHeight="1">
      <c r="A129" s="385">
        <v>61</v>
      </c>
      <c r="B129" s="387" t="s">
        <v>704</v>
      </c>
      <c r="C129" s="387"/>
      <c r="D129" s="387"/>
      <c r="E129" s="387" t="s">
        <v>384</v>
      </c>
      <c r="F129" s="392" t="s">
        <v>597</v>
      </c>
      <c r="G129" s="387" t="s">
        <v>598</v>
      </c>
      <c r="H129" s="387"/>
      <c r="I129" s="387" t="s">
        <v>398</v>
      </c>
      <c r="J129" s="184" t="s">
        <v>591</v>
      </c>
      <c r="K129" s="184" t="s">
        <v>396</v>
      </c>
      <c r="L129" s="382">
        <v>36720</v>
      </c>
      <c r="M129" s="382">
        <v>13890</v>
      </c>
      <c r="N129" s="394">
        <v>22830</v>
      </c>
      <c r="O129" s="382">
        <v>37120</v>
      </c>
      <c r="P129" s="382">
        <v>13980</v>
      </c>
      <c r="Q129" s="382">
        <v>23140</v>
      </c>
      <c r="R129" s="384">
        <v>-310</v>
      </c>
    </row>
    <row r="130" spans="1:18" ht="10.9" customHeight="1">
      <c r="A130" s="386"/>
      <c r="B130" s="388"/>
      <c r="C130" s="389"/>
      <c r="D130" s="390"/>
      <c r="E130" s="391"/>
      <c r="F130" s="393"/>
      <c r="G130" s="388"/>
      <c r="H130" s="390"/>
      <c r="I130" s="391"/>
      <c r="J130" s="184" t="s">
        <v>622</v>
      </c>
      <c r="K130" s="184" t="s">
        <v>623</v>
      </c>
      <c r="L130" s="383"/>
      <c r="M130" s="383"/>
      <c r="N130" s="395"/>
      <c r="O130" s="383"/>
      <c r="P130" s="383"/>
      <c r="Q130" s="383"/>
      <c r="R130" s="383"/>
    </row>
    <row r="131" spans="1:18" ht="10.9" customHeight="1">
      <c r="A131" s="385">
        <v>62</v>
      </c>
      <c r="B131" s="387" t="s">
        <v>705</v>
      </c>
      <c r="C131" s="387"/>
      <c r="D131" s="387"/>
      <c r="E131" s="387" t="s">
        <v>432</v>
      </c>
      <c r="F131" s="392" t="s">
        <v>658</v>
      </c>
      <c r="G131" s="387" t="s">
        <v>659</v>
      </c>
      <c r="H131" s="387"/>
      <c r="I131" s="387" t="s">
        <v>398</v>
      </c>
      <c r="J131" s="184" t="s">
        <v>591</v>
      </c>
      <c r="K131" s="184" t="s">
        <v>396</v>
      </c>
      <c r="L131" s="382">
        <v>39340</v>
      </c>
      <c r="M131" s="382">
        <v>15570</v>
      </c>
      <c r="N131" s="394">
        <v>23770</v>
      </c>
      <c r="O131" s="382">
        <v>39820</v>
      </c>
      <c r="P131" s="382">
        <v>15720</v>
      </c>
      <c r="Q131" s="382">
        <v>24100</v>
      </c>
      <c r="R131" s="384">
        <v>-330</v>
      </c>
    </row>
    <row r="132" spans="1:18" ht="10.9" customHeight="1">
      <c r="A132" s="386"/>
      <c r="B132" s="388"/>
      <c r="C132" s="389"/>
      <c r="D132" s="390"/>
      <c r="E132" s="391"/>
      <c r="F132" s="393"/>
      <c r="G132" s="388"/>
      <c r="H132" s="390"/>
      <c r="I132" s="391"/>
      <c r="J132" s="184" t="s">
        <v>622</v>
      </c>
      <c r="K132" s="184" t="s">
        <v>623</v>
      </c>
      <c r="L132" s="383"/>
      <c r="M132" s="383"/>
      <c r="N132" s="395"/>
      <c r="O132" s="383"/>
      <c r="P132" s="383"/>
      <c r="Q132" s="383"/>
      <c r="R132" s="383"/>
    </row>
    <row r="133" spans="1:18" ht="10.9" customHeight="1">
      <c r="A133" s="385">
        <v>63</v>
      </c>
      <c r="B133" s="387" t="s">
        <v>706</v>
      </c>
      <c r="C133" s="387"/>
      <c r="D133" s="387"/>
      <c r="E133" s="387" t="s">
        <v>673</v>
      </c>
      <c r="F133" s="392" t="s">
        <v>674</v>
      </c>
      <c r="G133" s="387" t="s">
        <v>675</v>
      </c>
      <c r="H133" s="387"/>
      <c r="I133" s="387" t="s">
        <v>398</v>
      </c>
      <c r="J133" s="184" t="s">
        <v>591</v>
      </c>
      <c r="K133" s="184" t="s">
        <v>396</v>
      </c>
      <c r="L133" s="382">
        <v>37550</v>
      </c>
      <c r="M133" s="382">
        <v>15560</v>
      </c>
      <c r="N133" s="394">
        <v>21990</v>
      </c>
      <c r="O133" s="382">
        <v>37820</v>
      </c>
      <c r="P133" s="382">
        <v>15560</v>
      </c>
      <c r="Q133" s="382">
        <v>22260</v>
      </c>
      <c r="R133" s="384">
        <v>-270</v>
      </c>
    </row>
    <row r="134" spans="1:18" ht="10.9" customHeight="1">
      <c r="A134" s="386"/>
      <c r="B134" s="388"/>
      <c r="C134" s="389"/>
      <c r="D134" s="390"/>
      <c r="E134" s="391"/>
      <c r="F134" s="393"/>
      <c r="G134" s="388"/>
      <c r="H134" s="390"/>
      <c r="I134" s="391"/>
      <c r="J134" s="184" t="s">
        <v>622</v>
      </c>
      <c r="K134" s="184" t="s">
        <v>623</v>
      </c>
      <c r="L134" s="383"/>
      <c r="M134" s="383"/>
      <c r="N134" s="395"/>
      <c r="O134" s="383"/>
      <c r="P134" s="383"/>
      <c r="Q134" s="383"/>
      <c r="R134" s="383"/>
    </row>
    <row r="135" spans="1:18" ht="10.9" customHeight="1">
      <c r="A135" s="385">
        <v>64</v>
      </c>
      <c r="B135" s="387" t="s">
        <v>707</v>
      </c>
      <c r="C135" s="387"/>
      <c r="D135" s="387"/>
      <c r="E135" s="387" t="s">
        <v>392</v>
      </c>
      <c r="F135" s="392" t="s">
        <v>610</v>
      </c>
      <c r="G135" s="387" t="s">
        <v>611</v>
      </c>
      <c r="H135" s="387"/>
      <c r="I135" s="387" t="s">
        <v>398</v>
      </c>
      <c r="J135" s="184" t="s">
        <v>591</v>
      </c>
      <c r="K135" s="184" t="s">
        <v>396</v>
      </c>
      <c r="L135" s="382">
        <v>48510</v>
      </c>
      <c r="M135" s="382">
        <v>23920</v>
      </c>
      <c r="N135" s="394">
        <v>24590</v>
      </c>
      <c r="O135" s="382">
        <v>48980</v>
      </c>
      <c r="P135" s="382">
        <v>24140</v>
      </c>
      <c r="Q135" s="382">
        <v>24840</v>
      </c>
      <c r="R135" s="384">
        <v>-250</v>
      </c>
    </row>
    <row r="136" spans="1:18" ht="10.9" customHeight="1">
      <c r="A136" s="386"/>
      <c r="B136" s="388"/>
      <c r="C136" s="389"/>
      <c r="D136" s="390"/>
      <c r="E136" s="391"/>
      <c r="F136" s="393"/>
      <c r="G136" s="388"/>
      <c r="H136" s="390"/>
      <c r="I136" s="391"/>
      <c r="J136" s="184" t="s">
        <v>622</v>
      </c>
      <c r="K136" s="184" t="s">
        <v>623</v>
      </c>
      <c r="L136" s="383"/>
      <c r="M136" s="383"/>
      <c r="N136" s="395"/>
      <c r="O136" s="383"/>
      <c r="P136" s="383"/>
      <c r="Q136" s="383"/>
      <c r="R136" s="383"/>
    </row>
    <row r="137" spans="1:18" ht="10.9" customHeight="1">
      <c r="A137" s="385">
        <v>65</v>
      </c>
      <c r="B137" s="387" t="s">
        <v>708</v>
      </c>
      <c r="C137" s="387"/>
      <c r="D137" s="387"/>
      <c r="E137" s="387" t="s">
        <v>390</v>
      </c>
      <c r="F137" s="392" t="s">
        <v>607</v>
      </c>
      <c r="G137" s="387" t="s">
        <v>608</v>
      </c>
      <c r="H137" s="387"/>
      <c r="I137" s="387" t="s">
        <v>398</v>
      </c>
      <c r="J137" s="184" t="s">
        <v>591</v>
      </c>
      <c r="K137" s="184" t="s">
        <v>396</v>
      </c>
      <c r="L137" s="382">
        <v>36020</v>
      </c>
      <c r="M137" s="382">
        <v>14870</v>
      </c>
      <c r="N137" s="394">
        <v>21150</v>
      </c>
      <c r="O137" s="382">
        <v>36300</v>
      </c>
      <c r="P137" s="382">
        <v>14920</v>
      </c>
      <c r="Q137" s="382">
        <v>21380</v>
      </c>
      <c r="R137" s="384">
        <v>-230</v>
      </c>
    </row>
    <row r="138" spans="1:18" ht="10.9" customHeight="1">
      <c r="A138" s="386"/>
      <c r="B138" s="388"/>
      <c r="C138" s="389"/>
      <c r="D138" s="390"/>
      <c r="E138" s="391"/>
      <c r="F138" s="393"/>
      <c r="G138" s="388"/>
      <c r="H138" s="390"/>
      <c r="I138" s="391"/>
      <c r="J138" s="184" t="s">
        <v>622</v>
      </c>
      <c r="K138" s="184" t="s">
        <v>623</v>
      </c>
      <c r="L138" s="383"/>
      <c r="M138" s="383"/>
      <c r="N138" s="395"/>
      <c r="O138" s="383"/>
      <c r="P138" s="383"/>
      <c r="Q138" s="383"/>
      <c r="R138" s="383"/>
    </row>
    <row r="139" spans="1:18" ht="10.9" customHeight="1">
      <c r="A139" s="385">
        <v>66</v>
      </c>
      <c r="B139" s="387" t="s">
        <v>709</v>
      </c>
      <c r="C139" s="387"/>
      <c r="D139" s="387"/>
      <c r="E139" s="387" t="s">
        <v>413</v>
      </c>
      <c r="F139" s="392" t="s">
        <v>639</v>
      </c>
      <c r="G139" s="387" t="s">
        <v>640</v>
      </c>
      <c r="H139" s="387"/>
      <c r="I139" s="387" t="s">
        <v>398</v>
      </c>
      <c r="J139" s="184" t="s">
        <v>591</v>
      </c>
      <c r="K139" s="184" t="s">
        <v>396</v>
      </c>
      <c r="L139" s="382">
        <v>40380</v>
      </c>
      <c r="M139" s="382">
        <v>14930</v>
      </c>
      <c r="N139" s="394">
        <v>25450</v>
      </c>
      <c r="O139" s="382">
        <v>40680</v>
      </c>
      <c r="P139" s="382">
        <v>15020</v>
      </c>
      <c r="Q139" s="382">
        <v>25660</v>
      </c>
      <c r="R139" s="384">
        <v>-210</v>
      </c>
    </row>
    <row r="140" spans="1:18" ht="10.9" customHeight="1">
      <c r="A140" s="386"/>
      <c r="B140" s="388"/>
      <c r="C140" s="389"/>
      <c r="D140" s="390"/>
      <c r="E140" s="391"/>
      <c r="F140" s="393"/>
      <c r="G140" s="388"/>
      <c r="H140" s="390"/>
      <c r="I140" s="391"/>
      <c r="J140" s="184" t="s">
        <v>622</v>
      </c>
      <c r="K140" s="184" t="s">
        <v>623</v>
      </c>
      <c r="L140" s="383"/>
      <c r="M140" s="383"/>
      <c r="N140" s="395"/>
      <c r="O140" s="383"/>
      <c r="P140" s="383"/>
      <c r="Q140" s="383"/>
      <c r="R140" s="383"/>
    </row>
    <row r="141" spans="1:18" ht="10.9" customHeight="1">
      <c r="A141" s="385">
        <v>67</v>
      </c>
      <c r="B141" s="387" t="s">
        <v>710</v>
      </c>
      <c r="C141" s="387"/>
      <c r="D141" s="387"/>
      <c r="E141" s="387" t="s">
        <v>416</v>
      </c>
      <c r="F141" s="392" t="s">
        <v>642</v>
      </c>
      <c r="G141" s="387" t="s">
        <v>643</v>
      </c>
      <c r="H141" s="387"/>
      <c r="I141" s="387" t="s">
        <v>398</v>
      </c>
      <c r="J141" s="184" t="s">
        <v>591</v>
      </c>
      <c r="K141" s="184" t="s">
        <v>396</v>
      </c>
      <c r="L141" s="382">
        <v>37570</v>
      </c>
      <c r="M141" s="382">
        <v>14680</v>
      </c>
      <c r="N141" s="394">
        <v>22890</v>
      </c>
      <c r="O141" s="382">
        <v>37820</v>
      </c>
      <c r="P141" s="382">
        <v>14800</v>
      </c>
      <c r="Q141" s="382">
        <v>23020</v>
      </c>
      <c r="R141" s="384">
        <v>-130</v>
      </c>
    </row>
    <row r="142" spans="1:18" ht="10.9" customHeight="1">
      <c r="A142" s="386"/>
      <c r="B142" s="388"/>
      <c r="C142" s="389"/>
      <c r="D142" s="390"/>
      <c r="E142" s="391"/>
      <c r="F142" s="393"/>
      <c r="G142" s="388"/>
      <c r="H142" s="390"/>
      <c r="I142" s="391"/>
      <c r="J142" s="184" t="s">
        <v>622</v>
      </c>
      <c r="K142" s="184" t="s">
        <v>623</v>
      </c>
      <c r="L142" s="383"/>
      <c r="M142" s="383"/>
      <c r="N142" s="395"/>
      <c r="O142" s="383"/>
      <c r="P142" s="383"/>
      <c r="Q142" s="383"/>
      <c r="R142" s="383"/>
    </row>
    <row r="143" spans="1:18" ht="10.9" customHeight="1">
      <c r="A143" s="385">
        <v>68</v>
      </c>
      <c r="B143" s="387" t="s">
        <v>711</v>
      </c>
      <c r="C143" s="387"/>
      <c r="D143" s="387"/>
      <c r="E143" s="387" t="s">
        <v>453</v>
      </c>
      <c r="F143" s="392" t="s">
        <v>680</v>
      </c>
      <c r="G143" s="387" t="s">
        <v>681</v>
      </c>
      <c r="H143" s="387"/>
      <c r="I143" s="387" t="s">
        <v>398</v>
      </c>
      <c r="J143" s="184" t="s">
        <v>591</v>
      </c>
      <c r="K143" s="184" t="s">
        <v>396</v>
      </c>
      <c r="L143" s="382">
        <v>48220</v>
      </c>
      <c r="M143" s="382">
        <v>23430</v>
      </c>
      <c r="N143" s="394">
        <v>24790</v>
      </c>
      <c r="O143" s="382">
        <v>48440</v>
      </c>
      <c r="P143" s="382">
        <v>23440</v>
      </c>
      <c r="Q143" s="382">
        <v>25000</v>
      </c>
      <c r="R143" s="384">
        <v>-210</v>
      </c>
    </row>
    <row r="144" spans="1:18" ht="10.9" customHeight="1">
      <c r="A144" s="386"/>
      <c r="B144" s="388"/>
      <c r="C144" s="389"/>
      <c r="D144" s="390"/>
      <c r="E144" s="391"/>
      <c r="F144" s="393"/>
      <c r="G144" s="388"/>
      <c r="H144" s="390"/>
      <c r="I144" s="391"/>
      <c r="J144" s="184" t="s">
        <v>622</v>
      </c>
      <c r="K144" s="184" t="s">
        <v>623</v>
      </c>
      <c r="L144" s="383"/>
      <c r="M144" s="383"/>
      <c r="N144" s="395"/>
      <c r="O144" s="383"/>
      <c r="P144" s="383"/>
      <c r="Q144" s="383"/>
      <c r="R144" s="383"/>
    </row>
    <row r="145" spans="1:18" ht="10.9" customHeight="1">
      <c r="A145" s="385">
        <v>69</v>
      </c>
      <c r="B145" s="387" t="s">
        <v>712</v>
      </c>
      <c r="C145" s="387"/>
      <c r="D145" s="387"/>
      <c r="E145" s="387" t="s">
        <v>456</v>
      </c>
      <c r="F145" s="392" t="s">
        <v>683</v>
      </c>
      <c r="G145" s="387" t="s">
        <v>684</v>
      </c>
      <c r="H145" s="387"/>
      <c r="I145" s="387" t="s">
        <v>398</v>
      </c>
      <c r="J145" s="184" t="s">
        <v>591</v>
      </c>
      <c r="K145" s="184" t="s">
        <v>396</v>
      </c>
      <c r="L145" s="382">
        <v>41630</v>
      </c>
      <c r="M145" s="382">
        <v>15440</v>
      </c>
      <c r="N145" s="394">
        <v>26190</v>
      </c>
      <c r="O145" s="382">
        <v>41860</v>
      </c>
      <c r="P145" s="382">
        <v>15440</v>
      </c>
      <c r="Q145" s="382">
        <v>26420</v>
      </c>
      <c r="R145" s="384">
        <v>-230</v>
      </c>
    </row>
    <row r="146" spans="1:18" ht="10.9" customHeight="1">
      <c r="A146" s="386"/>
      <c r="B146" s="388"/>
      <c r="C146" s="389"/>
      <c r="D146" s="390"/>
      <c r="E146" s="391"/>
      <c r="F146" s="393"/>
      <c r="G146" s="388"/>
      <c r="H146" s="390"/>
      <c r="I146" s="391"/>
      <c r="J146" s="184" t="s">
        <v>622</v>
      </c>
      <c r="K146" s="184" t="s">
        <v>623</v>
      </c>
      <c r="L146" s="383"/>
      <c r="M146" s="383"/>
      <c r="N146" s="395"/>
      <c r="O146" s="383"/>
      <c r="P146" s="383"/>
      <c r="Q146" s="383"/>
      <c r="R146" s="383"/>
    </row>
    <row r="147" spans="1:18" ht="10.9" customHeight="1">
      <c r="A147" s="385">
        <v>70</v>
      </c>
      <c r="B147" s="387" t="s">
        <v>713</v>
      </c>
      <c r="C147" s="387"/>
      <c r="D147" s="387"/>
      <c r="E147" s="387" t="s">
        <v>436</v>
      </c>
      <c r="F147" s="392" t="s">
        <v>662</v>
      </c>
      <c r="G147" s="387" t="s">
        <v>663</v>
      </c>
      <c r="H147" s="387"/>
      <c r="I147" s="387" t="s">
        <v>398</v>
      </c>
      <c r="J147" s="184" t="s">
        <v>591</v>
      </c>
      <c r="K147" s="184" t="s">
        <v>396</v>
      </c>
      <c r="L147" s="382">
        <v>38530</v>
      </c>
      <c r="M147" s="382">
        <v>14860</v>
      </c>
      <c r="N147" s="394">
        <v>23670</v>
      </c>
      <c r="O147" s="382">
        <v>38920</v>
      </c>
      <c r="P147" s="382">
        <v>15000</v>
      </c>
      <c r="Q147" s="382">
        <v>23920</v>
      </c>
      <c r="R147" s="384">
        <v>-250</v>
      </c>
    </row>
    <row r="148" spans="1:18" ht="10.9" customHeight="1">
      <c r="A148" s="386"/>
      <c r="B148" s="388"/>
      <c r="C148" s="389"/>
      <c r="D148" s="390"/>
      <c r="E148" s="391"/>
      <c r="F148" s="393"/>
      <c r="G148" s="388"/>
      <c r="H148" s="390"/>
      <c r="I148" s="391"/>
      <c r="J148" s="184" t="s">
        <v>622</v>
      </c>
      <c r="K148" s="184" t="s">
        <v>623</v>
      </c>
      <c r="L148" s="383"/>
      <c r="M148" s="383"/>
      <c r="N148" s="395"/>
      <c r="O148" s="383"/>
      <c r="P148" s="383"/>
      <c r="Q148" s="383"/>
      <c r="R148" s="383"/>
    </row>
    <row r="149" spans="1:18" ht="10.9" customHeight="1">
      <c r="A149" s="385">
        <v>71</v>
      </c>
      <c r="B149" s="387" t="s">
        <v>714</v>
      </c>
      <c r="C149" s="387"/>
      <c r="D149" s="387"/>
      <c r="E149" s="387" t="s">
        <v>439</v>
      </c>
      <c r="F149" s="392" t="s">
        <v>665</v>
      </c>
      <c r="G149" s="387" t="s">
        <v>715</v>
      </c>
      <c r="H149" s="387"/>
      <c r="I149" s="387" t="s">
        <v>398</v>
      </c>
      <c r="J149" s="184" t="s">
        <v>591</v>
      </c>
      <c r="K149" s="184" t="s">
        <v>396</v>
      </c>
      <c r="L149" s="382">
        <v>36940</v>
      </c>
      <c r="M149" s="382">
        <v>15010</v>
      </c>
      <c r="N149" s="394">
        <v>21930</v>
      </c>
      <c r="O149" s="382">
        <v>37300</v>
      </c>
      <c r="P149" s="382">
        <v>15040</v>
      </c>
      <c r="Q149" s="382">
        <v>22260</v>
      </c>
      <c r="R149" s="384">
        <v>-330</v>
      </c>
    </row>
    <row r="150" spans="1:18" ht="10.9" customHeight="1">
      <c r="A150" s="386"/>
      <c r="B150" s="388"/>
      <c r="C150" s="389"/>
      <c r="D150" s="390"/>
      <c r="E150" s="391"/>
      <c r="F150" s="393"/>
      <c r="G150" s="388"/>
      <c r="H150" s="390"/>
      <c r="I150" s="391"/>
      <c r="J150" s="184" t="s">
        <v>622</v>
      </c>
      <c r="K150" s="184" t="s">
        <v>623</v>
      </c>
      <c r="L150" s="383"/>
      <c r="M150" s="383"/>
      <c r="N150" s="395"/>
      <c r="O150" s="383"/>
      <c r="P150" s="383"/>
      <c r="Q150" s="383"/>
      <c r="R150" s="383"/>
    </row>
    <row r="151" spans="1:18" ht="10.9" customHeight="1">
      <c r="A151" s="385">
        <v>72</v>
      </c>
      <c r="B151" s="387" t="s">
        <v>716</v>
      </c>
      <c r="C151" s="387"/>
      <c r="D151" s="387"/>
      <c r="E151" s="387" t="s">
        <v>372</v>
      </c>
      <c r="F151" s="392" t="s">
        <v>579</v>
      </c>
      <c r="G151" s="387" t="s">
        <v>580</v>
      </c>
      <c r="H151" s="387"/>
      <c r="I151" s="387" t="s">
        <v>728</v>
      </c>
      <c r="J151" s="184" t="s">
        <v>591</v>
      </c>
      <c r="K151" s="184" t="s">
        <v>376</v>
      </c>
      <c r="L151" s="382">
        <v>40080</v>
      </c>
      <c r="M151" s="382">
        <v>15110</v>
      </c>
      <c r="N151" s="394">
        <v>24970</v>
      </c>
      <c r="O151" s="382">
        <v>40320</v>
      </c>
      <c r="P151" s="382">
        <v>15080</v>
      </c>
      <c r="Q151" s="382">
        <v>25240</v>
      </c>
      <c r="R151" s="384">
        <v>-270</v>
      </c>
    </row>
    <row r="152" spans="1:18" ht="10.9" customHeight="1">
      <c r="A152" s="386"/>
      <c r="B152" s="388"/>
      <c r="C152" s="389"/>
      <c r="D152" s="390"/>
      <c r="E152" s="391"/>
      <c r="F152" s="393"/>
      <c r="G152" s="388"/>
      <c r="H152" s="390"/>
      <c r="I152" s="391"/>
      <c r="J152" s="184" t="s">
        <v>622</v>
      </c>
      <c r="K152" s="184" t="s">
        <v>623</v>
      </c>
      <c r="L152" s="383"/>
      <c r="M152" s="383"/>
      <c r="N152" s="395"/>
      <c r="O152" s="383"/>
      <c r="P152" s="383"/>
      <c r="Q152" s="383"/>
      <c r="R152" s="383"/>
    </row>
    <row r="153" spans="1:18" ht="10.9" customHeight="1">
      <c r="A153" s="385">
        <v>73</v>
      </c>
      <c r="B153" s="387" t="s">
        <v>717</v>
      </c>
      <c r="C153" s="387"/>
      <c r="D153" s="387"/>
      <c r="E153" s="387" t="s">
        <v>369</v>
      </c>
      <c r="F153" s="392" t="s">
        <v>575</v>
      </c>
      <c r="G153" s="387" t="s">
        <v>576</v>
      </c>
      <c r="H153" s="387"/>
      <c r="I153" s="387" t="s">
        <v>728</v>
      </c>
      <c r="J153" s="184" t="s">
        <v>591</v>
      </c>
      <c r="K153" s="184" t="s">
        <v>376</v>
      </c>
      <c r="L153" s="382">
        <v>39940</v>
      </c>
      <c r="M153" s="382">
        <v>15110</v>
      </c>
      <c r="N153" s="394">
        <v>24830</v>
      </c>
      <c r="O153" s="382">
        <v>40360</v>
      </c>
      <c r="P153" s="382">
        <v>15200</v>
      </c>
      <c r="Q153" s="382">
        <v>25160</v>
      </c>
      <c r="R153" s="384">
        <v>-330</v>
      </c>
    </row>
    <row r="154" spans="1:18" ht="10.9" customHeight="1">
      <c r="A154" s="386"/>
      <c r="B154" s="388"/>
      <c r="C154" s="389"/>
      <c r="D154" s="390"/>
      <c r="E154" s="391"/>
      <c r="F154" s="393"/>
      <c r="G154" s="388"/>
      <c r="H154" s="390"/>
      <c r="I154" s="391"/>
      <c r="J154" s="184" t="s">
        <v>622</v>
      </c>
      <c r="K154" s="184"/>
      <c r="L154" s="383"/>
      <c r="M154" s="383"/>
      <c r="N154" s="395"/>
      <c r="O154" s="383"/>
      <c r="P154" s="383"/>
      <c r="Q154" s="383"/>
      <c r="R154" s="383"/>
    </row>
    <row r="155" spans="1:18" ht="10.9" customHeight="1">
      <c r="A155" s="385">
        <v>74</v>
      </c>
      <c r="B155" s="387" t="s">
        <v>718</v>
      </c>
      <c r="C155" s="387"/>
      <c r="D155" s="387"/>
      <c r="E155" s="387" t="s">
        <v>403</v>
      </c>
      <c r="F155" s="392" t="s">
        <v>629</v>
      </c>
      <c r="G155" s="387" t="s">
        <v>630</v>
      </c>
      <c r="H155" s="387"/>
      <c r="I155" s="387" t="s">
        <v>728</v>
      </c>
      <c r="J155" s="184" t="s">
        <v>591</v>
      </c>
      <c r="K155" s="184" t="s">
        <v>376</v>
      </c>
      <c r="L155" s="382">
        <v>42080</v>
      </c>
      <c r="M155" s="382">
        <v>14540</v>
      </c>
      <c r="N155" s="394">
        <v>27540</v>
      </c>
      <c r="O155" s="382">
        <v>42520</v>
      </c>
      <c r="P155" s="382">
        <v>14660</v>
      </c>
      <c r="Q155" s="382">
        <v>27860</v>
      </c>
      <c r="R155" s="384">
        <v>-320</v>
      </c>
    </row>
    <row r="156" spans="1:18" ht="10.9" customHeight="1">
      <c r="A156" s="386"/>
      <c r="B156" s="388"/>
      <c r="C156" s="389"/>
      <c r="D156" s="390"/>
      <c r="E156" s="391"/>
      <c r="F156" s="393"/>
      <c r="G156" s="388"/>
      <c r="H156" s="390"/>
      <c r="I156" s="391"/>
      <c r="J156" s="184" t="s">
        <v>622</v>
      </c>
      <c r="K156" s="184"/>
      <c r="L156" s="383"/>
      <c r="M156" s="383"/>
      <c r="N156" s="395"/>
      <c r="O156" s="383"/>
      <c r="P156" s="383"/>
      <c r="Q156" s="383"/>
      <c r="R156" s="383"/>
    </row>
    <row r="157" spans="1:18" ht="10.9" customHeight="1">
      <c r="A157" s="385">
        <v>75</v>
      </c>
      <c r="B157" s="387" t="s">
        <v>719</v>
      </c>
      <c r="C157" s="387"/>
      <c r="D157" s="387"/>
      <c r="E157" s="387" t="s">
        <v>406</v>
      </c>
      <c r="F157" s="392" t="s">
        <v>632</v>
      </c>
      <c r="G157" s="387" t="s">
        <v>633</v>
      </c>
      <c r="H157" s="387"/>
      <c r="I157" s="387" t="s">
        <v>728</v>
      </c>
      <c r="J157" s="184" t="s">
        <v>591</v>
      </c>
      <c r="K157" s="184" t="s">
        <v>376</v>
      </c>
      <c r="L157" s="382">
        <v>41830</v>
      </c>
      <c r="M157" s="382">
        <v>15090</v>
      </c>
      <c r="N157" s="394">
        <v>26740</v>
      </c>
      <c r="O157" s="382">
        <v>42280</v>
      </c>
      <c r="P157" s="382">
        <v>15240</v>
      </c>
      <c r="Q157" s="382">
        <v>27040</v>
      </c>
      <c r="R157" s="384">
        <v>-300</v>
      </c>
    </row>
    <row r="158" spans="1:18" ht="10.9" customHeight="1">
      <c r="A158" s="386"/>
      <c r="B158" s="388"/>
      <c r="C158" s="389"/>
      <c r="D158" s="390"/>
      <c r="E158" s="391"/>
      <c r="F158" s="393"/>
      <c r="G158" s="388"/>
      <c r="H158" s="390"/>
      <c r="I158" s="391"/>
      <c r="J158" s="184" t="s">
        <v>622</v>
      </c>
      <c r="K158" s="184"/>
      <c r="L158" s="383"/>
      <c r="M158" s="383"/>
      <c r="N158" s="395"/>
      <c r="O158" s="383"/>
      <c r="P158" s="383"/>
      <c r="Q158" s="383"/>
      <c r="R158" s="383"/>
    </row>
    <row r="159" spans="1:18" ht="10.9" customHeight="1">
      <c r="A159" s="385">
        <v>76</v>
      </c>
      <c r="B159" s="387" t="s">
        <v>720</v>
      </c>
      <c r="C159" s="387"/>
      <c r="D159" s="387"/>
      <c r="E159" s="387" t="s">
        <v>377</v>
      </c>
      <c r="F159" s="392" t="s">
        <v>586</v>
      </c>
      <c r="G159" s="387" t="s">
        <v>587</v>
      </c>
      <c r="H159" s="387"/>
      <c r="I159" s="387" t="s">
        <v>728</v>
      </c>
      <c r="J159" s="184" t="s">
        <v>591</v>
      </c>
      <c r="K159" s="184" t="s">
        <v>376</v>
      </c>
      <c r="L159" s="382">
        <v>43510</v>
      </c>
      <c r="M159" s="382">
        <v>15130</v>
      </c>
      <c r="N159" s="394">
        <v>28380</v>
      </c>
      <c r="O159" s="382">
        <v>43900</v>
      </c>
      <c r="P159" s="382">
        <v>15240</v>
      </c>
      <c r="Q159" s="382">
        <v>28660</v>
      </c>
      <c r="R159" s="384">
        <v>-280</v>
      </c>
    </row>
    <row r="160" spans="1:18" ht="10.9" customHeight="1">
      <c r="A160" s="386"/>
      <c r="B160" s="388"/>
      <c r="C160" s="389"/>
      <c r="D160" s="390"/>
      <c r="E160" s="391"/>
      <c r="F160" s="393"/>
      <c r="G160" s="388"/>
      <c r="H160" s="390"/>
      <c r="I160" s="391"/>
      <c r="J160" s="184" t="s">
        <v>622</v>
      </c>
      <c r="K160" s="184"/>
      <c r="L160" s="383"/>
      <c r="M160" s="383"/>
      <c r="N160" s="395"/>
      <c r="O160" s="383"/>
      <c r="P160" s="383"/>
      <c r="Q160" s="383"/>
      <c r="R160" s="383"/>
    </row>
    <row r="161" spans="1:18" ht="10.9" customHeight="1">
      <c r="A161" s="385">
        <v>77</v>
      </c>
      <c r="B161" s="387" t="s">
        <v>721</v>
      </c>
      <c r="C161" s="387"/>
      <c r="D161" s="387"/>
      <c r="E161" s="387" t="s">
        <v>650</v>
      </c>
      <c r="F161" s="392" t="s">
        <v>651</v>
      </c>
      <c r="G161" s="387" t="s">
        <v>652</v>
      </c>
      <c r="H161" s="387"/>
      <c r="I161" s="387" t="s">
        <v>728</v>
      </c>
      <c r="J161" s="184" t="s">
        <v>591</v>
      </c>
      <c r="K161" s="184" t="s">
        <v>376</v>
      </c>
      <c r="L161" s="382">
        <v>49870</v>
      </c>
      <c r="M161" s="382">
        <v>18700</v>
      </c>
      <c r="N161" s="394">
        <v>31170</v>
      </c>
      <c r="O161" s="382">
        <v>50280</v>
      </c>
      <c r="P161" s="382">
        <v>18800</v>
      </c>
      <c r="Q161" s="382">
        <v>31480</v>
      </c>
      <c r="R161" s="384">
        <v>-310</v>
      </c>
    </row>
    <row r="162" spans="1:18" ht="10.9" customHeight="1">
      <c r="A162" s="386"/>
      <c r="B162" s="388"/>
      <c r="C162" s="389"/>
      <c r="D162" s="390"/>
      <c r="E162" s="391"/>
      <c r="F162" s="393"/>
      <c r="G162" s="388"/>
      <c r="H162" s="390"/>
      <c r="I162" s="391"/>
      <c r="J162" s="184" t="s">
        <v>622</v>
      </c>
      <c r="K162" s="184"/>
      <c r="L162" s="383"/>
      <c r="M162" s="383"/>
      <c r="N162" s="395"/>
      <c r="O162" s="383"/>
      <c r="P162" s="383"/>
      <c r="Q162" s="383"/>
      <c r="R162" s="383"/>
    </row>
    <row r="163" spans="1:18" ht="10.9" customHeight="1">
      <c r="A163" s="385">
        <v>78</v>
      </c>
      <c r="B163" s="387" t="s">
        <v>722</v>
      </c>
      <c r="C163" s="387"/>
      <c r="D163" s="387"/>
      <c r="E163" s="387" t="s">
        <v>432</v>
      </c>
      <c r="F163" s="392" t="s">
        <v>658</v>
      </c>
      <c r="G163" s="387" t="s">
        <v>659</v>
      </c>
      <c r="H163" s="387"/>
      <c r="I163" s="387" t="s">
        <v>728</v>
      </c>
      <c r="J163" s="184" t="s">
        <v>591</v>
      </c>
      <c r="K163" s="184" t="s">
        <v>376</v>
      </c>
      <c r="L163" s="382">
        <v>44940</v>
      </c>
      <c r="M163" s="382">
        <v>15670</v>
      </c>
      <c r="N163" s="394">
        <v>29270</v>
      </c>
      <c r="O163" s="382">
        <v>45200</v>
      </c>
      <c r="P163" s="382">
        <v>15800</v>
      </c>
      <c r="Q163" s="382">
        <v>29400</v>
      </c>
      <c r="R163" s="384">
        <v>-130</v>
      </c>
    </row>
    <row r="164" spans="1:18" ht="10.9" customHeight="1">
      <c r="A164" s="386"/>
      <c r="B164" s="388"/>
      <c r="C164" s="389"/>
      <c r="D164" s="390"/>
      <c r="E164" s="391"/>
      <c r="F164" s="393"/>
      <c r="G164" s="388"/>
      <c r="H164" s="390"/>
      <c r="I164" s="391"/>
      <c r="J164" s="184" t="s">
        <v>622</v>
      </c>
      <c r="K164" s="184"/>
      <c r="L164" s="383"/>
      <c r="M164" s="383"/>
      <c r="N164" s="395"/>
      <c r="O164" s="383"/>
      <c r="P164" s="383"/>
      <c r="Q164" s="383"/>
      <c r="R164" s="383"/>
    </row>
    <row r="165" spans="1:18" ht="10.9" customHeight="1">
      <c r="A165" s="385">
        <v>79</v>
      </c>
      <c r="B165" s="387" t="s">
        <v>723</v>
      </c>
      <c r="C165" s="387"/>
      <c r="D165" s="387"/>
      <c r="E165" s="387" t="s">
        <v>413</v>
      </c>
      <c r="F165" s="392" t="s">
        <v>639</v>
      </c>
      <c r="G165" s="387" t="s">
        <v>640</v>
      </c>
      <c r="H165" s="387"/>
      <c r="I165" s="387" t="s">
        <v>728</v>
      </c>
      <c r="J165" s="184" t="s">
        <v>591</v>
      </c>
      <c r="K165" s="184" t="s">
        <v>376</v>
      </c>
      <c r="L165" s="382">
        <v>42950</v>
      </c>
      <c r="M165" s="382">
        <v>15010</v>
      </c>
      <c r="N165" s="394">
        <v>27940</v>
      </c>
      <c r="O165" s="382">
        <v>43180</v>
      </c>
      <c r="P165" s="382">
        <v>15120</v>
      </c>
      <c r="Q165" s="382">
        <v>28060</v>
      </c>
      <c r="R165" s="384">
        <v>-120</v>
      </c>
    </row>
    <row r="166" spans="1:18" ht="10.9" customHeight="1">
      <c r="A166" s="386"/>
      <c r="B166" s="388"/>
      <c r="C166" s="389"/>
      <c r="D166" s="390"/>
      <c r="E166" s="391"/>
      <c r="F166" s="393"/>
      <c r="G166" s="388"/>
      <c r="H166" s="390"/>
      <c r="I166" s="391"/>
      <c r="J166" s="184" t="s">
        <v>622</v>
      </c>
      <c r="K166" s="184"/>
      <c r="L166" s="383"/>
      <c r="M166" s="383"/>
      <c r="N166" s="395"/>
      <c r="O166" s="383"/>
      <c r="P166" s="383"/>
      <c r="Q166" s="383"/>
      <c r="R166" s="383"/>
    </row>
    <row r="167" spans="1:18" ht="10.9" customHeight="1">
      <c r="A167" s="385">
        <v>80</v>
      </c>
      <c r="B167" s="387" t="s">
        <v>724</v>
      </c>
      <c r="C167" s="387"/>
      <c r="D167" s="387"/>
      <c r="E167" s="387" t="s">
        <v>400</v>
      </c>
      <c r="F167" s="392" t="s">
        <v>626</v>
      </c>
      <c r="G167" s="387" t="s">
        <v>627</v>
      </c>
      <c r="H167" s="387"/>
      <c r="I167" s="387" t="s">
        <v>728</v>
      </c>
      <c r="J167" s="184" t="s">
        <v>591</v>
      </c>
      <c r="K167" s="184" t="s">
        <v>376</v>
      </c>
      <c r="L167" s="382">
        <v>40290</v>
      </c>
      <c r="M167" s="382">
        <v>14760</v>
      </c>
      <c r="N167" s="394">
        <v>25530</v>
      </c>
      <c r="O167" s="382">
        <v>40520</v>
      </c>
      <c r="P167" s="382">
        <v>14880</v>
      </c>
      <c r="Q167" s="382">
        <v>25640</v>
      </c>
      <c r="R167" s="384">
        <v>-110</v>
      </c>
    </row>
    <row r="168" spans="1:18" ht="10.9" customHeight="1">
      <c r="A168" s="386"/>
      <c r="B168" s="388"/>
      <c r="C168" s="389"/>
      <c r="D168" s="390"/>
      <c r="E168" s="391"/>
      <c r="F168" s="393"/>
      <c r="G168" s="388"/>
      <c r="H168" s="390"/>
      <c r="I168" s="391"/>
      <c r="J168" s="184" t="s">
        <v>622</v>
      </c>
      <c r="K168" s="184"/>
      <c r="L168" s="383"/>
      <c r="M168" s="383"/>
      <c r="N168" s="395"/>
      <c r="O168" s="383"/>
      <c r="P168" s="383"/>
      <c r="Q168" s="383"/>
      <c r="R168" s="383"/>
    </row>
    <row r="169" spans="1:18" ht="10.9" customHeight="1">
      <c r="A169" s="385">
        <v>81</v>
      </c>
      <c r="B169" s="387" t="s">
        <v>725</v>
      </c>
      <c r="C169" s="387"/>
      <c r="D169" s="387"/>
      <c r="E169" s="387" t="s">
        <v>388</v>
      </c>
      <c r="F169" s="392" t="s">
        <v>600</v>
      </c>
      <c r="G169" s="387" t="s">
        <v>601</v>
      </c>
      <c r="H169" s="387"/>
      <c r="I169" s="387" t="s">
        <v>728</v>
      </c>
      <c r="J169" s="184" t="s">
        <v>591</v>
      </c>
      <c r="K169" s="184" t="s">
        <v>376</v>
      </c>
      <c r="L169" s="382">
        <v>56270</v>
      </c>
      <c r="M169" s="382">
        <v>20960</v>
      </c>
      <c r="N169" s="394">
        <v>35310</v>
      </c>
      <c r="O169" s="382">
        <v>56720</v>
      </c>
      <c r="P169" s="382">
        <v>21140</v>
      </c>
      <c r="Q169" s="382">
        <v>35580</v>
      </c>
      <c r="R169" s="384">
        <v>-270</v>
      </c>
    </row>
    <row r="170" spans="1:18" ht="10.9" customHeight="1">
      <c r="A170" s="386"/>
      <c r="B170" s="388"/>
      <c r="C170" s="389"/>
      <c r="D170" s="390"/>
      <c r="E170" s="391"/>
      <c r="F170" s="393"/>
      <c r="G170" s="388"/>
      <c r="H170" s="390"/>
      <c r="I170" s="391"/>
      <c r="J170" s="184" t="s">
        <v>622</v>
      </c>
      <c r="K170" s="184"/>
      <c r="L170" s="383"/>
      <c r="M170" s="383"/>
      <c r="N170" s="395"/>
      <c r="O170" s="383"/>
      <c r="P170" s="383"/>
      <c r="Q170" s="383"/>
      <c r="R170" s="383"/>
    </row>
    <row r="171" spans="1:18" ht="10.9" customHeight="1">
      <c r="A171" s="385">
        <v>82</v>
      </c>
      <c r="B171" s="387" t="s">
        <v>803</v>
      </c>
      <c r="C171" s="387"/>
      <c r="D171" s="387"/>
      <c r="E171" s="387" t="s">
        <v>390</v>
      </c>
      <c r="F171" s="392" t="s">
        <v>607</v>
      </c>
      <c r="G171" s="387" t="s">
        <v>608</v>
      </c>
      <c r="H171" s="387"/>
      <c r="I171" s="387" t="s">
        <v>728</v>
      </c>
      <c r="J171" s="184" t="s">
        <v>591</v>
      </c>
      <c r="K171" s="184" t="s">
        <v>376</v>
      </c>
      <c r="L171" s="382">
        <v>39300</v>
      </c>
      <c r="M171" s="382">
        <v>14950</v>
      </c>
      <c r="N171" s="394">
        <v>24350</v>
      </c>
      <c r="O171" s="382">
        <v>39540</v>
      </c>
      <c r="P171" s="382">
        <v>15100</v>
      </c>
      <c r="Q171" s="382">
        <v>24440</v>
      </c>
      <c r="R171" s="384">
        <v>-90</v>
      </c>
    </row>
    <row r="172" spans="1:18" ht="10.9" customHeight="1">
      <c r="A172" s="386"/>
      <c r="B172" s="388"/>
      <c r="C172" s="389"/>
      <c r="D172" s="390"/>
      <c r="E172" s="391"/>
      <c r="F172" s="393"/>
      <c r="G172" s="388"/>
      <c r="H172" s="390"/>
      <c r="I172" s="391"/>
      <c r="J172" s="184" t="s">
        <v>622</v>
      </c>
      <c r="K172" s="184"/>
      <c r="L172" s="383"/>
      <c r="M172" s="383"/>
      <c r="N172" s="395"/>
      <c r="O172" s="383"/>
      <c r="P172" s="383"/>
      <c r="Q172" s="383"/>
      <c r="R172" s="383"/>
    </row>
    <row r="173" spans="1:18" ht="10.9" customHeight="1">
      <c r="A173" s="385">
        <v>83</v>
      </c>
      <c r="B173" s="387" t="s">
        <v>804</v>
      </c>
      <c r="C173" s="387"/>
      <c r="D173" s="387"/>
      <c r="E173" s="387" t="s">
        <v>453</v>
      </c>
      <c r="F173" s="392" t="s">
        <v>680</v>
      </c>
      <c r="G173" s="387" t="s">
        <v>681</v>
      </c>
      <c r="H173" s="387"/>
      <c r="I173" s="387" t="s">
        <v>728</v>
      </c>
      <c r="J173" s="184" t="s">
        <v>591</v>
      </c>
      <c r="K173" s="184" t="s">
        <v>376</v>
      </c>
      <c r="L173" s="382">
        <v>52350</v>
      </c>
      <c r="M173" s="382">
        <v>23450</v>
      </c>
      <c r="N173" s="394">
        <v>28900</v>
      </c>
      <c r="O173" s="382">
        <v>53000</v>
      </c>
      <c r="P173" s="382">
        <v>23640</v>
      </c>
      <c r="Q173" s="382">
        <v>29360</v>
      </c>
      <c r="R173" s="384">
        <v>-460</v>
      </c>
    </row>
    <row r="174" spans="1:18" ht="10.9" customHeight="1">
      <c r="A174" s="386"/>
      <c r="B174" s="388"/>
      <c r="C174" s="389"/>
      <c r="D174" s="390"/>
      <c r="E174" s="391"/>
      <c r="F174" s="393"/>
      <c r="G174" s="388"/>
      <c r="H174" s="390"/>
      <c r="I174" s="391"/>
      <c r="J174" s="184" t="s">
        <v>622</v>
      </c>
      <c r="K174" s="184"/>
      <c r="L174" s="383"/>
      <c r="M174" s="383"/>
      <c r="N174" s="395"/>
      <c r="O174" s="383"/>
      <c r="P174" s="383"/>
      <c r="Q174" s="383"/>
      <c r="R174" s="383"/>
    </row>
    <row r="175" spans="1:18" ht="10.9" customHeight="1">
      <c r="A175" s="385">
        <v>84</v>
      </c>
      <c r="B175" s="387" t="s">
        <v>805</v>
      </c>
      <c r="C175" s="387"/>
      <c r="D175" s="387"/>
      <c r="E175" s="387" t="s">
        <v>456</v>
      </c>
      <c r="F175" s="392" t="s">
        <v>683</v>
      </c>
      <c r="G175" s="387" t="s">
        <v>684</v>
      </c>
      <c r="H175" s="387"/>
      <c r="I175" s="387" t="s">
        <v>728</v>
      </c>
      <c r="J175" s="184" t="s">
        <v>591</v>
      </c>
      <c r="K175" s="184" t="s">
        <v>376</v>
      </c>
      <c r="L175" s="382">
        <v>43100</v>
      </c>
      <c r="M175" s="382">
        <v>15640</v>
      </c>
      <c r="N175" s="394">
        <v>27460</v>
      </c>
      <c r="O175" s="382">
        <v>43440</v>
      </c>
      <c r="P175" s="382">
        <v>15760</v>
      </c>
      <c r="Q175" s="382">
        <v>27680</v>
      </c>
      <c r="R175" s="384">
        <v>-220</v>
      </c>
    </row>
    <row r="176" spans="1:18" ht="10.9" customHeight="1">
      <c r="A176" s="386"/>
      <c r="B176" s="388"/>
      <c r="C176" s="389"/>
      <c r="D176" s="390"/>
      <c r="E176" s="391"/>
      <c r="F176" s="393"/>
      <c r="G176" s="388"/>
      <c r="H176" s="390"/>
      <c r="I176" s="391"/>
      <c r="J176" s="184" t="s">
        <v>622</v>
      </c>
      <c r="K176" s="184"/>
      <c r="L176" s="383"/>
      <c r="M176" s="383"/>
      <c r="N176" s="395"/>
      <c r="O176" s="383"/>
      <c r="P176" s="383"/>
      <c r="Q176" s="383"/>
      <c r="R176" s="383"/>
    </row>
    <row r="177" spans="1:18" ht="10.9" customHeight="1">
      <c r="A177" s="385">
        <v>85</v>
      </c>
      <c r="B177" s="387" t="s">
        <v>806</v>
      </c>
      <c r="C177" s="387"/>
      <c r="D177" s="387"/>
      <c r="E177" s="387" t="s">
        <v>392</v>
      </c>
      <c r="F177" s="392" t="s">
        <v>610</v>
      </c>
      <c r="G177" s="387" t="s">
        <v>611</v>
      </c>
      <c r="H177" s="387"/>
      <c r="I177" s="387" t="s">
        <v>728</v>
      </c>
      <c r="J177" s="184" t="s">
        <v>591</v>
      </c>
      <c r="K177" s="184" t="s">
        <v>376</v>
      </c>
      <c r="L177" s="382">
        <v>63600</v>
      </c>
      <c r="M177" s="382">
        <v>24160</v>
      </c>
      <c r="N177" s="394">
        <v>39440</v>
      </c>
      <c r="O177" s="382">
        <v>64020</v>
      </c>
      <c r="P177" s="382">
        <v>24320</v>
      </c>
      <c r="Q177" s="382">
        <v>39700</v>
      </c>
      <c r="R177" s="384">
        <v>-260</v>
      </c>
    </row>
    <row r="178" spans="1:18" ht="10.9" customHeight="1">
      <c r="A178" s="386"/>
      <c r="B178" s="388"/>
      <c r="C178" s="389"/>
      <c r="D178" s="390"/>
      <c r="E178" s="391"/>
      <c r="F178" s="393"/>
      <c r="G178" s="388"/>
      <c r="H178" s="390"/>
      <c r="I178" s="391"/>
      <c r="J178" s="184" t="s">
        <v>622</v>
      </c>
      <c r="K178" s="184"/>
      <c r="L178" s="383"/>
      <c r="M178" s="383"/>
      <c r="N178" s="395"/>
      <c r="O178" s="383"/>
      <c r="P178" s="383"/>
      <c r="Q178" s="383"/>
      <c r="R178" s="383"/>
    </row>
    <row r="179" spans="1:18" ht="10.9" customHeight="1">
      <c r="A179" s="385">
        <v>86</v>
      </c>
      <c r="B179" s="387" t="s">
        <v>807</v>
      </c>
      <c r="C179" s="387"/>
      <c r="D179" s="387"/>
      <c r="E179" s="387" t="s">
        <v>436</v>
      </c>
      <c r="F179" s="392" t="s">
        <v>662</v>
      </c>
      <c r="G179" s="387" t="s">
        <v>663</v>
      </c>
      <c r="H179" s="387"/>
      <c r="I179" s="387" t="s">
        <v>728</v>
      </c>
      <c r="J179" s="184" t="s">
        <v>591</v>
      </c>
      <c r="K179" s="184" t="s">
        <v>376</v>
      </c>
      <c r="L179" s="382">
        <v>41440</v>
      </c>
      <c r="M179" s="382">
        <v>14910</v>
      </c>
      <c r="N179" s="394">
        <v>26530</v>
      </c>
      <c r="O179" s="382">
        <v>41820</v>
      </c>
      <c r="P179" s="382">
        <v>15020</v>
      </c>
      <c r="Q179" s="382">
        <v>26800</v>
      </c>
      <c r="R179" s="384">
        <v>-270</v>
      </c>
    </row>
    <row r="180" spans="1:18" ht="10.9" customHeight="1">
      <c r="A180" s="386"/>
      <c r="B180" s="388"/>
      <c r="C180" s="389"/>
      <c r="D180" s="390"/>
      <c r="E180" s="391"/>
      <c r="F180" s="393"/>
      <c r="G180" s="388"/>
      <c r="H180" s="390"/>
      <c r="I180" s="391"/>
      <c r="J180" s="184" t="s">
        <v>622</v>
      </c>
      <c r="K180" s="184"/>
      <c r="L180" s="383"/>
      <c r="M180" s="383"/>
      <c r="N180" s="395"/>
      <c r="O180" s="383"/>
      <c r="P180" s="383"/>
      <c r="Q180" s="383"/>
      <c r="R180" s="383"/>
    </row>
    <row r="181" spans="1:18" ht="10.9" customHeight="1">
      <c r="A181" s="385">
        <v>87</v>
      </c>
      <c r="B181" s="387" t="s">
        <v>808</v>
      </c>
      <c r="C181" s="387"/>
      <c r="D181" s="387"/>
      <c r="E181" s="387" t="s">
        <v>439</v>
      </c>
      <c r="F181" s="392" t="s">
        <v>665</v>
      </c>
      <c r="G181" s="387" t="s">
        <v>715</v>
      </c>
      <c r="H181" s="387"/>
      <c r="I181" s="387" t="s">
        <v>728</v>
      </c>
      <c r="J181" s="184" t="s">
        <v>591</v>
      </c>
      <c r="K181" s="184" t="s">
        <v>376</v>
      </c>
      <c r="L181" s="382">
        <v>40150</v>
      </c>
      <c r="M181" s="382">
        <v>15130</v>
      </c>
      <c r="N181" s="394">
        <v>25020</v>
      </c>
      <c r="O181" s="382">
        <v>40480</v>
      </c>
      <c r="P181" s="382">
        <v>15060</v>
      </c>
      <c r="Q181" s="382">
        <v>25420</v>
      </c>
      <c r="R181" s="384">
        <v>-400</v>
      </c>
    </row>
    <row r="182" spans="1:18" ht="10.9" customHeight="1">
      <c r="A182" s="386"/>
      <c r="B182" s="388"/>
      <c r="C182" s="389"/>
      <c r="D182" s="390"/>
      <c r="E182" s="391"/>
      <c r="F182" s="393"/>
      <c r="G182" s="388"/>
      <c r="H182" s="390"/>
      <c r="I182" s="391"/>
      <c r="J182" s="184" t="s">
        <v>622</v>
      </c>
      <c r="K182" s="184"/>
      <c r="L182" s="383"/>
      <c r="M182" s="383"/>
      <c r="N182" s="395"/>
      <c r="O182" s="383"/>
      <c r="P182" s="383"/>
      <c r="Q182" s="383"/>
      <c r="R182" s="383"/>
    </row>
    <row r="183" spans="1:18" ht="10.9" customHeight="1">
      <c r="A183" s="385">
        <v>88</v>
      </c>
      <c r="B183" s="387" t="s">
        <v>809</v>
      </c>
      <c r="C183" s="387"/>
      <c r="D183" s="387"/>
      <c r="E183" s="387" t="s">
        <v>382</v>
      </c>
      <c r="F183" s="392" t="s">
        <v>594</v>
      </c>
      <c r="G183" s="387" t="s">
        <v>595</v>
      </c>
      <c r="H183" s="387"/>
      <c r="I183" s="387" t="s">
        <v>728</v>
      </c>
      <c r="J183" s="184" t="s">
        <v>591</v>
      </c>
      <c r="K183" s="184" t="s">
        <v>376</v>
      </c>
      <c r="L183" s="382">
        <v>39350</v>
      </c>
      <c r="M183" s="382">
        <v>14580</v>
      </c>
      <c r="N183" s="394">
        <v>24770</v>
      </c>
      <c r="O183" s="382">
        <v>39720</v>
      </c>
      <c r="P183" s="382">
        <v>14640</v>
      </c>
      <c r="Q183" s="382">
        <v>25080</v>
      </c>
      <c r="R183" s="384">
        <v>-310</v>
      </c>
    </row>
    <row r="184" spans="1:18" ht="10.9" customHeight="1">
      <c r="A184" s="386"/>
      <c r="B184" s="388"/>
      <c r="C184" s="389"/>
      <c r="D184" s="390"/>
      <c r="E184" s="391"/>
      <c r="F184" s="393"/>
      <c r="G184" s="388"/>
      <c r="H184" s="390"/>
      <c r="I184" s="391"/>
      <c r="J184" s="184" t="s">
        <v>622</v>
      </c>
      <c r="K184" s="184"/>
      <c r="L184" s="383"/>
      <c r="M184" s="383"/>
      <c r="N184" s="395"/>
      <c r="O184" s="383"/>
      <c r="P184" s="383"/>
      <c r="Q184" s="383"/>
      <c r="R184" s="383"/>
    </row>
    <row r="185" spans="1:18" ht="10.9" customHeight="1">
      <c r="A185" s="385">
        <v>89</v>
      </c>
      <c r="B185" s="387" t="s">
        <v>810</v>
      </c>
      <c r="C185" s="387"/>
      <c r="D185" s="387"/>
      <c r="E185" s="387" t="s">
        <v>673</v>
      </c>
      <c r="F185" s="392" t="s">
        <v>674</v>
      </c>
      <c r="G185" s="387" t="s">
        <v>811</v>
      </c>
      <c r="H185" s="387"/>
      <c r="I185" s="387" t="s">
        <v>728</v>
      </c>
      <c r="J185" s="184" t="s">
        <v>591</v>
      </c>
      <c r="K185" s="184" t="s">
        <v>376</v>
      </c>
      <c r="L185" s="382">
        <v>51680</v>
      </c>
      <c r="M185" s="382">
        <v>19490</v>
      </c>
      <c r="N185" s="394">
        <v>32190</v>
      </c>
      <c r="O185" s="382">
        <v>52240</v>
      </c>
      <c r="P185" s="382">
        <v>19640</v>
      </c>
      <c r="Q185" s="382">
        <v>32600</v>
      </c>
      <c r="R185" s="384">
        <v>-410</v>
      </c>
    </row>
    <row r="186" spans="1:18" ht="10.9" customHeight="1">
      <c r="A186" s="386"/>
      <c r="B186" s="388"/>
      <c r="C186" s="389"/>
      <c r="D186" s="390"/>
      <c r="E186" s="391"/>
      <c r="F186" s="393"/>
      <c r="G186" s="388"/>
      <c r="H186" s="390"/>
      <c r="I186" s="391"/>
      <c r="J186" s="184" t="s">
        <v>622</v>
      </c>
      <c r="K186" s="184"/>
      <c r="L186" s="383"/>
      <c r="M186" s="383"/>
      <c r="N186" s="395"/>
      <c r="O186" s="383"/>
      <c r="P186" s="383"/>
      <c r="Q186" s="383"/>
      <c r="R186" s="383"/>
    </row>
    <row r="187" spans="1:18" ht="10.9" customHeight="1">
      <c r="A187" s="385">
        <v>90</v>
      </c>
      <c r="B187" s="387" t="s">
        <v>812</v>
      </c>
      <c r="C187" s="387"/>
      <c r="D187" s="387"/>
      <c r="E187" s="387" t="s">
        <v>384</v>
      </c>
      <c r="F187" s="392" t="s">
        <v>597</v>
      </c>
      <c r="G187" s="387" t="s">
        <v>598</v>
      </c>
      <c r="H187" s="387"/>
      <c r="I187" s="387" t="s">
        <v>728</v>
      </c>
      <c r="J187" s="184" t="s">
        <v>591</v>
      </c>
      <c r="K187" s="184" t="s">
        <v>376</v>
      </c>
      <c r="L187" s="382">
        <v>38460</v>
      </c>
      <c r="M187" s="382">
        <v>13980</v>
      </c>
      <c r="N187" s="394">
        <v>24480</v>
      </c>
      <c r="O187" s="382">
        <v>38760</v>
      </c>
      <c r="P187" s="382">
        <v>14120</v>
      </c>
      <c r="Q187" s="382">
        <v>24640</v>
      </c>
      <c r="R187" s="384">
        <v>-160</v>
      </c>
    </row>
    <row r="188" spans="1:18" ht="10.9" customHeight="1">
      <c r="A188" s="386"/>
      <c r="B188" s="388"/>
      <c r="C188" s="389"/>
      <c r="D188" s="390"/>
      <c r="E188" s="391"/>
      <c r="F188" s="393"/>
      <c r="G188" s="388"/>
      <c r="H188" s="390"/>
      <c r="I188" s="391"/>
      <c r="J188" s="184" t="s">
        <v>622</v>
      </c>
      <c r="K188" s="184"/>
      <c r="L188" s="383"/>
      <c r="M188" s="383"/>
      <c r="N188" s="395"/>
      <c r="O188" s="383"/>
      <c r="P188" s="383"/>
      <c r="Q188" s="383"/>
      <c r="R188" s="383"/>
    </row>
    <row r="189" spans="1:18" ht="10.9" customHeight="1">
      <c r="A189" s="385">
        <v>91</v>
      </c>
      <c r="B189" s="387" t="s">
        <v>813</v>
      </c>
      <c r="C189" s="387"/>
      <c r="D189" s="387"/>
      <c r="E189" s="387" t="s">
        <v>386</v>
      </c>
      <c r="F189" s="392" t="s">
        <v>604</v>
      </c>
      <c r="G189" s="387" t="s">
        <v>605</v>
      </c>
      <c r="H189" s="387"/>
      <c r="I189" s="387" t="s">
        <v>728</v>
      </c>
      <c r="J189" s="184" t="s">
        <v>591</v>
      </c>
      <c r="K189" s="184" t="s">
        <v>376</v>
      </c>
      <c r="L189" s="382">
        <v>43230</v>
      </c>
      <c r="M189" s="382">
        <v>15390</v>
      </c>
      <c r="N189" s="394">
        <v>27840</v>
      </c>
      <c r="O189" s="382">
        <v>43620</v>
      </c>
      <c r="P189" s="382">
        <v>15520</v>
      </c>
      <c r="Q189" s="382">
        <v>28100</v>
      </c>
      <c r="R189" s="384">
        <v>-260</v>
      </c>
    </row>
    <row r="190" spans="1:18" ht="10.9" customHeight="1">
      <c r="A190" s="386"/>
      <c r="B190" s="388"/>
      <c r="C190" s="389"/>
      <c r="D190" s="390"/>
      <c r="E190" s="391"/>
      <c r="F190" s="393"/>
      <c r="G190" s="388"/>
      <c r="H190" s="390"/>
      <c r="I190" s="391"/>
      <c r="J190" s="184" t="s">
        <v>622</v>
      </c>
      <c r="K190" s="184"/>
      <c r="L190" s="383"/>
      <c r="M190" s="383"/>
      <c r="N190" s="395"/>
      <c r="O190" s="383"/>
      <c r="P190" s="383"/>
      <c r="Q190" s="383"/>
      <c r="R190" s="383"/>
    </row>
    <row r="191" spans="1:18" ht="10.9" customHeight="1">
      <c r="A191" s="385">
        <v>92</v>
      </c>
      <c r="B191" s="387" t="s">
        <v>814</v>
      </c>
      <c r="C191" s="387"/>
      <c r="D191" s="387"/>
      <c r="E191" s="387" t="s">
        <v>372</v>
      </c>
      <c r="F191" s="392" t="s">
        <v>579</v>
      </c>
      <c r="G191" s="387" t="s">
        <v>580</v>
      </c>
      <c r="H191" s="387"/>
      <c r="I191" s="387" t="s">
        <v>728</v>
      </c>
      <c r="J191" s="184" t="s">
        <v>591</v>
      </c>
      <c r="K191" s="184" t="s">
        <v>376</v>
      </c>
      <c r="L191" s="382">
        <v>41550</v>
      </c>
      <c r="M191" s="382">
        <v>15130</v>
      </c>
      <c r="N191" s="394">
        <v>26420</v>
      </c>
      <c r="O191" s="382">
        <v>41780</v>
      </c>
      <c r="P191" s="382">
        <v>15120</v>
      </c>
      <c r="Q191" s="382">
        <v>26660</v>
      </c>
      <c r="R191" s="384">
        <v>-240</v>
      </c>
    </row>
    <row r="192" spans="1:18" ht="10.9" customHeight="1">
      <c r="A192" s="386"/>
      <c r="B192" s="388"/>
      <c r="C192" s="389"/>
      <c r="D192" s="390"/>
      <c r="E192" s="391"/>
      <c r="F192" s="393"/>
      <c r="G192" s="388"/>
      <c r="H192" s="390"/>
      <c r="I192" s="391"/>
      <c r="J192" s="184" t="s">
        <v>622</v>
      </c>
      <c r="K192" s="184"/>
      <c r="L192" s="383"/>
      <c r="M192" s="383"/>
      <c r="N192" s="395"/>
      <c r="O192" s="383"/>
      <c r="P192" s="383"/>
      <c r="Q192" s="383"/>
      <c r="R192" s="383"/>
    </row>
    <row r="193" spans="1:18" ht="10.9" customHeight="1">
      <c r="A193" s="385">
        <v>93</v>
      </c>
      <c r="B193" s="387" t="s">
        <v>815</v>
      </c>
      <c r="C193" s="387"/>
      <c r="D193" s="387"/>
      <c r="E193" s="387" t="s">
        <v>377</v>
      </c>
      <c r="F193" s="392" t="s">
        <v>816</v>
      </c>
      <c r="G193" s="387" t="s">
        <v>817</v>
      </c>
      <c r="H193" s="387"/>
      <c r="I193" s="387" t="s">
        <v>728</v>
      </c>
      <c r="J193" s="184" t="s">
        <v>577</v>
      </c>
      <c r="K193" s="184" t="s">
        <v>376</v>
      </c>
      <c r="L193" s="382">
        <v>41190</v>
      </c>
      <c r="M193" s="382">
        <v>15150</v>
      </c>
      <c r="N193" s="394">
        <v>26040</v>
      </c>
      <c r="O193" s="382">
        <v>41560</v>
      </c>
      <c r="P193" s="382">
        <v>15240</v>
      </c>
      <c r="Q193" s="382">
        <v>26320</v>
      </c>
      <c r="R193" s="384">
        <v>-280</v>
      </c>
    </row>
    <row r="194" spans="1:18" ht="10.9" customHeight="1">
      <c r="A194" s="386"/>
      <c r="B194" s="388"/>
      <c r="C194" s="389"/>
      <c r="D194" s="390"/>
      <c r="E194" s="391"/>
      <c r="F194" s="393"/>
      <c r="G194" s="388"/>
      <c r="H194" s="390"/>
      <c r="I194" s="391"/>
      <c r="J194" s="184"/>
      <c r="K194" s="184"/>
      <c r="L194" s="383"/>
      <c r="M194" s="383"/>
      <c r="N194" s="395"/>
      <c r="O194" s="383"/>
      <c r="P194" s="383"/>
      <c r="Q194" s="383"/>
      <c r="R194" s="383"/>
    </row>
    <row r="195" spans="1:18" ht="10.9" customHeight="1">
      <c r="A195" s="385">
        <v>94</v>
      </c>
      <c r="B195" s="387" t="s">
        <v>818</v>
      </c>
      <c r="C195" s="387"/>
      <c r="D195" s="387"/>
      <c r="E195" s="387" t="s">
        <v>403</v>
      </c>
      <c r="F195" s="392" t="s">
        <v>629</v>
      </c>
      <c r="G195" s="387" t="s">
        <v>630</v>
      </c>
      <c r="H195" s="387"/>
      <c r="I195" s="387" t="s">
        <v>728</v>
      </c>
      <c r="J195" s="184" t="s">
        <v>591</v>
      </c>
      <c r="K195" s="184" t="s">
        <v>376</v>
      </c>
      <c r="L195" s="382">
        <v>43580</v>
      </c>
      <c r="M195" s="382">
        <v>14520</v>
      </c>
      <c r="N195" s="394">
        <v>29060</v>
      </c>
      <c r="O195" s="382">
        <v>44040</v>
      </c>
      <c r="P195" s="382">
        <v>14600</v>
      </c>
      <c r="Q195" s="382">
        <v>29440</v>
      </c>
      <c r="R195" s="384">
        <v>-380</v>
      </c>
    </row>
    <row r="196" spans="1:18" ht="10.9" customHeight="1">
      <c r="A196" s="386"/>
      <c r="B196" s="388"/>
      <c r="C196" s="389"/>
      <c r="D196" s="390"/>
      <c r="E196" s="391"/>
      <c r="F196" s="393"/>
      <c r="G196" s="388"/>
      <c r="H196" s="390"/>
      <c r="I196" s="391"/>
      <c r="J196" s="184" t="s">
        <v>622</v>
      </c>
      <c r="K196" s="184"/>
      <c r="L196" s="383"/>
      <c r="M196" s="383"/>
      <c r="N196" s="395"/>
      <c r="O196" s="383"/>
      <c r="P196" s="383"/>
      <c r="Q196" s="383"/>
      <c r="R196" s="383"/>
    </row>
    <row r="197" spans="1:18" ht="10.9" customHeight="1">
      <c r="A197" s="385">
        <v>95</v>
      </c>
      <c r="B197" s="387" t="s">
        <v>819</v>
      </c>
      <c r="C197" s="387"/>
      <c r="D197" s="387"/>
      <c r="E197" s="387" t="s">
        <v>406</v>
      </c>
      <c r="F197" s="392" t="s">
        <v>632</v>
      </c>
      <c r="G197" s="387" t="s">
        <v>820</v>
      </c>
      <c r="H197" s="387"/>
      <c r="I197" s="387" t="s">
        <v>728</v>
      </c>
      <c r="J197" s="184" t="s">
        <v>591</v>
      </c>
      <c r="K197" s="184" t="s">
        <v>376</v>
      </c>
      <c r="L197" s="382">
        <v>42250</v>
      </c>
      <c r="M197" s="382">
        <v>15130</v>
      </c>
      <c r="N197" s="394">
        <v>27120</v>
      </c>
      <c r="O197" s="382">
        <v>42500</v>
      </c>
      <c r="P197" s="382">
        <v>15240</v>
      </c>
      <c r="Q197" s="382">
        <v>27260</v>
      </c>
      <c r="R197" s="384">
        <v>-140</v>
      </c>
    </row>
    <row r="198" spans="1:18" ht="10.9" customHeight="1">
      <c r="A198" s="386"/>
      <c r="B198" s="388"/>
      <c r="C198" s="389"/>
      <c r="D198" s="390"/>
      <c r="E198" s="391"/>
      <c r="F198" s="393"/>
      <c r="G198" s="388"/>
      <c r="H198" s="390"/>
      <c r="I198" s="391"/>
      <c r="J198" s="184" t="s">
        <v>622</v>
      </c>
      <c r="K198" s="184"/>
      <c r="L198" s="383"/>
      <c r="M198" s="383"/>
      <c r="N198" s="395"/>
      <c r="O198" s="383"/>
      <c r="P198" s="383"/>
      <c r="Q198" s="383"/>
      <c r="R198" s="383"/>
    </row>
    <row r="199" spans="1:18" ht="10.9" customHeight="1">
      <c r="A199" s="385">
        <v>96</v>
      </c>
      <c r="B199" s="387" t="s">
        <v>821</v>
      </c>
      <c r="C199" s="387"/>
      <c r="D199" s="387"/>
      <c r="E199" s="387" t="s">
        <v>380</v>
      </c>
      <c r="F199" s="392" t="s">
        <v>589</v>
      </c>
      <c r="G199" s="387" t="s">
        <v>614</v>
      </c>
      <c r="H199" s="387"/>
      <c r="I199" s="387" t="s">
        <v>777</v>
      </c>
      <c r="J199" s="184" t="s">
        <v>591</v>
      </c>
      <c r="K199" s="184" t="s">
        <v>396</v>
      </c>
      <c r="L199" s="382">
        <v>35530</v>
      </c>
      <c r="M199" s="382">
        <v>15060</v>
      </c>
      <c r="N199" s="394">
        <v>20470</v>
      </c>
      <c r="O199" s="382">
        <v>35740</v>
      </c>
      <c r="P199" s="382">
        <v>15100</v>
      </c>
      <c r="Q199" s="382">
        <v>20640</v>
      </c>
      <c r="R199" s="384">
        <v>-170</v>
      </c>
    </row>
    <row r="200" spans="1:18" ht="10.9" customHeight="1">
      <c r="A200" s="386"/>
      <c r="B200" s="388"/>
      <c r="C200" s="389"/>
      <c r="D200" s="390"/>
      <c r="E200" s="391"/>
      <c r="F200" s="393"/>
      <c r="G200" s="388"/>
      <c r="H200" s="390"/>
      <c r="I200" s="391"/>
      <c r="J200" s="184" t="s">
        <v>622</v>
      </c>
      <c r="K200" s="184" t="s">
        <v>623</v>
      </c>
      <c r="L200" s="383"/>
      <c r="M200" s="383"/>
      <c r="N200" s="395"/>
      <c r="O200" s="383"/>
      <c r="P200" s="383"/>
      <c r="Q200" s="383"/>
      <c r="R200" s="383"/>
    </row>
    <row r="201" spans="1:18" ht="10.9" customHeight="1">
      <c r="A201" s="385">
        <v>97</v>
      </c>
      <c r="B201" s="387" t="s">
        <v>822</v>
      </c>
      <c r="C201" s="387"/>
      <c r="D201" s="387"/>
      <c r="E201" s="387" t="s">
        <v>410</v>
      </c>
      <c r="F201" s="392" t="s">
        <v>636</v>
      </c>
      <c r="G201" s="387" t="s">
        <v>637</v>
      </c>
      <c r="H201" s="387"/>
      <c r="I201" s="387" t="s">
        <v>777</v>
      </c>
      <c r="J201" s="184" t="s">
        <v>591</v>
      </c>
      <c r="K201" s="184" t="s">
        <v>396</v>
      </c>
      <c r="L201" s="382">
        <v>36240</v>
      </c>
      <c r="M201" s="382">
        <v>14980</v>
      </c>
      <c r="N201" s="394">
        <v>21260</v>
      </c>
      <c r="O201" s="382">
        <v>36420</v>
      </c>
      <c r="P201" s="382">
        <v>15080</v>
      </c>
      <c r="Q201" s="382">
        <v>21340</v>
      </c>
      <c r="R201" s="384">
        <v>-80</v>
      </c>
    </row>
    <row r="202" spans="1:18" ht="10.9" customHeight="1">
      <c r="A202" s="386"/>
      <c r="B202" s="388"/>
      <c r="C202" s="389"/>
      <c r="D202" s="390"/>
      <c r="E202" s="391"/>
      <c r="F202" s="393"/>
      <c r="G202" s="388"/>
      <c r="H202" s="390"/>
      <c r="I202" s="391"/>
      <c r="J202" s="184" t="s">
        <v>622</v>
      </c>
      <c r="K202" s="184" t="s">
        <v>623</v>
      </c>
      <c r="L202" s="383"/>
      <c r="M202" s="383"/>
      <c r="N202" s="395"/>
      <c r="O202" s="383"/>
      <c r="P202" s="383"/>
      <c r="Q202" s="383"/>
      <c r="R202" s="383"/>
    </row>
    <row r="203" spans="1:18" ht="10.9" customHeight="1">
      <c r="A203" s="385">
        <v>98</v>
      </c>
      <c r="B203" s="387" t="s">
        <v>823</v>
      </c>
      <c r="C203" s="387"/>
      <c r="D203" s="387"/>
      <c r="E203" s="387" t="s">
        <v>420</v>
      </c>
      <c r="F203" s="392" t="s">
        <v>645</v>
      </c>
      <c r="G203" s="387" t="s">
        <v>646</v>
      </c>
      <c r="H203" s="387"/>
      <c r="I203" s="387" t="s">
        <v>777</v>
      </c>
      <c r="J203" s="184" t="s">
        <v>591</v>
      </c>
      <c r="K203" s="184" t="s">
        <v>396</v>
      </c>
      <c r="L203" s="382">
        <v>34280</v>
      </c>
      <c r="M203" s="382">
        <v>14870</v>
      </c>
      <c r="N203" s="394">
        <v>19410</v>
      </c>
      <c r="O203" s="382">
        <v>34440</v>
      </c>
      <c r="P203" s="382">
        <v>14940</v>
      </c>
      <c r="Q203" s="382">
        <v>19500</v>
      </c>
      <c r="R203" s="384">
        <v>-90</v>
      </c>
    </row>
    <row r="204" spans="1:18" ht="10.9" customHeight="1">
      <c r="A204" s="386"/>
      <c r="B204" s="388"/>
      <c r="C204" s="389"/>
      <c r="D204" s="390"/>
      <c r="E204" s="391"/>
      <c r="F204" s="393"/>
      <c r="G204" s="388"/>
      <c r="H204" s="390"/>
      <c r="I204" s="391"/>
      <c r="J204" s="184" t="s">
        <v>622</v>
      </c>
      <c r="K204" s="184" t="s">
        <v>623</v>
      </c>
      <c r="L204" s="383"/>
      <c r="M204" s="383"/>
      <c r="N204" s="395"/>
      <c r="O204" s="383"/>
      <c r="P204" s="383"/>
      <c r="Q204" s="383"/>
      <c r="R204" s="383"/>
    </row>
    <row r="205" spans="1:18" ht="10.9" customHeight="1">
      <c r="A205" s="385">
        <v>99</v>
      </c>
      <c r="B205" s="387" t="s">
        <v>824</v>
      </c>
      <c r="C205" s="387"/>
      <c r="D205" s="387"/>
      <c r="E205" s="387" t="s">
        <v>442</v>
      </c>
      <c r="F205" s="392" t="s">
        <v>668</v>
      </c>
      <c r="G205" s="387" t="s">
        <v>669</v>
      </c>
      <c r="H205" s="387"/>
      <c r="I205" s="387" t="s">
        <v>777</v>
      </c>
      <c r="J205" s="184" t="s">
        <v>591</v>
      </c>
      <c r="K205" s="184" t="s">
        <v>396</v>
      </c>
      <c r="L205" s="382">
        <v>33340</v>
      </c>
      <c r="M205" s="382">
        <v>14470</v>
      </c>
      <c r="N205" s="394">
        <v>18870</v>
      </c>
      <c r="O205" s="382">
        <v>33460</v>
      </c>
      <c r="P205" s="382">
        <v>14520</v>
      </c>
      <c r="Q205" s="382">
        <v>18940</v>
      </c>
      <c r="R205" s="384">
        <v>-70</v>
      </c>
    </row>
    <row r="206" spans="1:18" ht="10.9" customHeight="1">
      <c r="A206" s="386"/>
      <c r="B206" s="388"/>
      <c r="C206" s="389"/>
      <c r="D206" s="390"/>
      <c r="E206" s="391"/>
      <c r="F206" s="393"/>
      <c r="G206" s="388"/>
      <c r="H206" s="390"/>
      <c r="I206" s="391"/>
      <c r="J206" s="184" t="s">
        <v>622</v>
      </c>
      <c r="K206" s="184" t="s">
        <v>623</v>
      </c>
      <c r="L206" s="383"/>
      <c r="M206" s="383"/>
      <c r="N206" s="395"/>
      <c r="O206" s="383"/>
      <c r="P206" s="383"/>
      <c r="Q206" s="383"/>
      <c r="R206" s="383"/>
    </row>
    <row r="207" spans="1:18" ht="10.9" customHeight="1">
      <c r="A207" s="385">
        <v>100</v>
      </c>
      <c r="B207" s="387" t="s">
        <v>825</v>
      </c>
      <c r="C207" s="387"/>
      <c r="D207" s="387"/>
      <c r="E207" s="387" t="s">
        <v>780</v>
      </c>
      <c r="F207" s="392" t="s">
        <v>826</v>
      </c>
      <c r="G207" s="387" t="s">
        <v>827</v>
      </c>
      <c r="H207" s="387"/>
      <c r="I207" s="387" t="s">
        <v>777</v>
      </c>
      <c r="J207" s="184" t="s">
        <v>577</v>
      </c>
      <c r="K207" s="184" t="s">
        <v>396</v>
      </c>
      <c r="L207" s="382">
        <v>33680</v>
      </c>
      <c r="M207" s="382">
        <v>14890</v>
      </c>
      <c r="N207" s="394">
        <v>18790</v>
      </c>
      <c r="O207" s="382">
        <v>33840</v>
      </c>
      <c r="P207" s="382">
        <v>14980</v>
      </c>
      <c r="Q207" s="382">
        <v>18860</v>
      </c>
      <c r="R207" s="384">
        <v>-70</v>
      </c>
    </row>
    <row r="208" spans="1:18" ht="10.9" customHeight="1">
      <c r="A208" s="386"/>
      <c r="B208" s="388"/>
      <c r="C208" s="389"/>
      <c r="D208" s="390"/>
      <c r="E208" s="391"/>
      <c r="F208" s="393"/>
      <c r="G208" s="388"/>
      <c r="H208" s="390"/>
      <c r="I208" s="391"/>
      <c r="J208" s="184" t="s">
        <v>622</v>
      </c>
      <c r="K208" s="184" t="s">
        <v>623</v>
      </c>
      <c r="L208" s="383"/>
      <c r="M208" s="383"/>
      <c r="N208" s="395"/>
      <c r="O208" s="383"/>
      <c r="P208" s="383"/>
      <c r="Q208" s="383"/>
      <c r="R208" s="383"/>
    </row>
    <row r="209" spans="1:18" ht="10.9" customHeight="1">
      <c r="A209" s="385">
        <v>101</v>
      </c>
      <c r="B209" s="387" t="s">
        <v>828</v>
      </c>
      <c r="C209" s="387"/>
      <c r="D209" s="387"/>
      <c r="E209" s="387" t="s">
        <v>783</v>
      </c>
      <c r="F209" s="392" t="s">
        <v>829</v>
      </c>
      <c r="G209" s="387" t="s">
        <v>830</v>
      </c>
      <c r="H209" s="387"/>
      <c r="I209" s="387" t="s">
        <v>777</v>
      </c>
      <c r="J209" s="184" t="s">
        <v>577</v>
      </c>
      <c r="K209" s="184" t="s">
        <v>396</v>
      </c>
      <c r="L209" s="382">
        <v>37090</v>
      </c>
      <c r="M209" s="382">
        <v>14660</v>
      </c>
      <c r="N209" s="394">
        <v>22430</v>
      </c>
      <c r="O209" s="382">
        <v>37300</v>
      </c>
      <c r="P209" s="382">
        <v>14760</v>
      </c>
      <c r="Q209" s="382">
        <v>22540</v>
      </c>
      <c r="R209" s="384">
        <v>-110</v>
      </c>
    </row>
    <row r="210" spans="1:18" ht="10.9" customHeight="1">
      <c r="A210" s="386"/>
      <c r="B210" s="388"/>
      <c r="C210" s="389"/>
      <c r="D210" s="390"/>
      <c r="E210" s="391"/>
      <c r="F210" s="393"/>
      <c r="G210" s="388"/>
      <c r="H210" s="390"/>
      <c r="I210" s="391"/>
      <c r="J210" s="184" t="s">
        <v>622</v>
      </c>
      <c r="K210" s="184" t="s">
        <v>623</v>
      </c>
      <c r="L210" s="383"/>
      <c r="M210" s="383"/>
      <c r="N210" s="395"/>
      <c r="O210" s="383"/>
      <c r="P210" s="383"/>
      <c r="Q210" s="383"/>
      <c r="R210" s="383"/>
    </row>
    <row r="211" spans="1:18" ht="10.9" customHeight="1">
      <c r="A211" s="385">
        <v>102</v>
      </c>
      <c r="B211" s="387" t="s">
        <v>831</v>
      </c>
      <c r="C211" s="387"/>
      <c r="D211" s="387"/>
      <c r="E211" s="387" t="s">
        <v>786</v>
      </c>
      <c r="F211" s="392" t="s">
        <v>832</v>
      </c>
      <c r="G211" s="387" t="s">
        <v>833</v>
      </c>
      <c r="H211" s="387"/>
      <c r="I211" s="387" t="s">
        <v>777</v>
      </c>
      <c r="J211" s="184" t="s">
        <v>577</v>
      </c>
      <c r="K211" s="184" t="s">
        <v>396</v>
      </c>
      <c r="L211" s="382">
        <v>33150</v>
      </c>
      <c r="M211" s="382">
        <v>14010</v>
      </c>
      <c r="N211" s="394">
        <v>19140</v>
      </c>
      <c r="O211" s="382">
        <v>33320</v>
      </c>
      <c r="P211" s="382">
        <v>14120</v>
      </c>
      <c r="Q211" s="382">
        <v>19200</v>
      </c>
      <c r="R211" s="384">
        <v>-60</v>
      </c>
    </row>
    <row r="212" spans="1:18" ht="10.9" customHeight="1">
      <c r="A212" s="386"/>
      <c r="B212" s="388"/>
      <c r="C212" s="389"/>
      <c r="D212" s="390"/>
      <c r="E212" s="391"/>
      <c r="F212" s="393"/>
      <c r="G212" s="388"/>
      <c r="H212" s="390"/>
      <c r="I212" s="391"/>
      <c r="J212" s="184" t="s">
        <v>622</v>
      </c>
      <c r="K212" s="184" t="s">
        <v>623</v>
      </c>
      <c r="L212" s="383"/>
      <c r="M212" s="383"/>
      <c r="N212" s="395"/>
      <c r="O212" s="383"/>
      <c r="P212" s="383"/>
      <c r="Q212" s="383"/>
      <c r="R212" s="383"/>
    </row>
    <row r="213" spans="1:18" ht="10.9" customHeight="1">
      <c r="A213" s="385">
        <v>103</v>
      </c>
      <c r="B213" s="387" t="s">
        <v>834</v>
      </c>
      <c r="C213" s="387"/>
      <c r="D213" s="387"/>
      <c r="E213" s="387" t="s">
        <v>791</v>
      </c>
      <c r="F213" s="392" t="s">
        <v>835</v>
      </c>
      <c r="G213" s="387" t="s">
        <v>836</v>
      </c>
      <c r="H213" s="387"/>
      <c r="I213" s="387" t="s">
        <v>777</v>
      </c>
      <c r="J213" s="184" t="s">
        <v>577</v>
      </c>
      <c r="K213" s="184" t="s">
        <v>396</v>
      </c>
      <c r="L213" s="382">
        <v>36520</v>
      </c>
      <c r="M213" s="382">
        <v>14980</v>
      </c>
      <c r="N213" s="394">
        <v>21540</v>
      </c>
      <c r="O213" s="382">
        <v>36720</v>
      </c>
      <c r="P213" s="382">
        <v>15080</v>
      </c>
      <c r="Q213" s="382">
        <v>21640</v>
      </c>
      <c r="R213" s="384">
        <v>-100</v>
      </c>
    </row>
    <row r="214" spans="1:18" ht="10.9" customHeight="1">
      <c r="A214" s="386"/>
      <c r="B214" s="388"/>
      <c r="C214" s="389"/>
      <c r="D214" s="390"/>
      <c r="E214" s="391"/>
      <c r="F214" s="393"/>
      <c r="G214" s="388"/>
      <c r="H214" s="390"/>
      <c r="I214" s="391"/>
      <c r="J214" s="184" t="s">
        <v>622</v>
      </c>
      <c r="K214" s="184" t="s">
        <v>623</v>
      </c>
      <c r="L214" s="383"/>
      <c r="M214" s="383"/>
      <c r="N214" s="395"/>
      <c r="O214" s="383"/>
      <c r="P214" s="383"/>
      <c r="Q214" s="383"/>
      <c r="R214" s="383"/>
    </row>
    <row r="215" spans="1:18" ht="10.9" customHeight="1">
      <c r="A215" s="385">
        <v>104</v>
      </c>
      <c r="B215" s="387" t="s">
        <v>837</v>
      </c>
      <c r="C215" s="387"/>
      <c r="D215" s="387"/>
      <c r="E215" s="387" t="s">
        <v>794</v>
      </c>
      <c r="F215" s="392" t="s">
        <v>838</v>
      </c>
      <c r="G215" s="387" t="s">
        <v>839</v>
      </c>
      <c r="H215" s="387"/>
      <c r="I215" s="387" t="s">
        <v>777</v>
      </c>
      <c r="J215" s="184" t="s">
        <v>577</v>
      </c>
      <c r="K215" s="184" t="s">
        <v>396</v>
      </c>
      <c r="L215" s="382">
        <v>39640</v>
      </c>
      <c r="M215" s="382">
        <v>16100</v>
      </c>
      <c r="N215" s="394">
        <v>23540</v>
      </c>
      <c r="O215" s="382">
        <v>39880</v>
      </c>
      <c r="P215" s="382">
        <v>16220</v>
      </c>
      <c r="Q215" s="382">
        <v>23660</v>
      </c>
      <c r="R215" s="384">
        <v>-120</v>
      </c>
    </row>
    <row r="216" spans="1:18" ht="10.9" customHeight="1">
      <c r="A216" s="386"/>
      <c r="B216" s="388"/>
      <c r="C216" s="389"/>
      <c r="D216" s="390"/>
      <c r="E216" s="391"/>
      <c r="F216" s="393"/>
      <c r="G216" s="388"/>
      <c r="H216" s="390"/>
      <c r="I216" s="391"/>
      <c r="J216" s="184" t="s">
        <v>622</v>
      </c>
      <c r="K216" s="184" t="s">
        <v>623</v>
      </c>
      <c r="L216" s="383"/>
      <c r="M216" s="383"/>
      <c r="N216" s="395"/>
      <c r="O216" s="383"/>
      <c r="P216" s="383"/>
      <c r="Q216" s="383"/>
      <c r="R216" s="383"/>
    </row>
    <row r="217" spans="1:18" ht="10.9" customHeight="1">
      <c r="A217" s="385">
        <v>105</v>
      </c>
      <c r="B217" s="387" t="s">
        <v>840</v>
      </c>
      <c r="C217" s="387"/>
      <c r="D217" s="387"/>
      <c r="E217" s="387" t="s">
        <v>841</v>
      </c>
      <c r="F217" s="392" t="s">
        <v>842</v>
      </c>
      <c r="G217" s="387" t="s">
        <v>843</v>
      </c>
      <c r="H217" s="387"/>
      <c r="I217" s="387" t="s">
        <v>777</v>
      </c>
      <c r="J217" s="184" t="s">
        <v>577</v>
      </c>
      <c r="K217" s="184" t="s">
        <v>396</v>
      </c>
      <c r="L217" s="382">
        <v>39460</v>
      </c>
      <c r="M217" s="382">
        <v>15920</v>
      </c>
      <c r="N217" s="394">
        <v>23540</v>
      </c>
      <c r="O217" s="382">
        <v>39800</v>
      </c>
      <c r="P217" s="382">
        <v>16040</v>
      </c>
      <c r="Q217" s="382">
        <v>23760</v>
      </c>
      <c r="R217" s="384">
        <v>-220</v>
      </c>
    </row>
    <row r="218" spans="1:18" ht="10.9" customHeight="1">
      <c r="A218" s="386"/>
      <c r="B218" s="388"/>
      <c r="C218" s="389"/>
      <c r="D218" s="390"/>
      <c r="E218" s="391"/>
      <c r="F218" s="393"/>
      <c r="G218" s="388"/>
      <c r="H218" s="390"/>
      <c r="I218" s="391"/>
      <c r="J218" s="184" t="s">
        <v>622</v>
      </c>
      <c r="K218" s="184" t="s">
        <v>623</v>
      </c>
      <c r="L218" s="383"/>
      <c r="M218" s="383"/>
      <c r="N218" s="395"/>
      <c r="O218" s="383"/>
      <c r="P218" s="383"/>
      <c r="Q218" s="383"/>
      <c r="R218" s="383"/>
    </row>
    <row r="219" spans="1:18" ht="10.9" customHeight="1">
      <c r="A219" s="385">
        <v>106</v>
      </c>
      <c r="B219" s="387" t="s">
        <v>901</v>
      </c>
      <c r="C219" s="387"/>
      <c r="D219" s="387"/>
      <c r="E219" s="387" t="s">
        <v>413</v>
      </c>
      <c r="F219" s="392" t="s">
        <v>639</v>
      </c>
      <c r="G219" s="387" t="s">
        <v>640</v>
      </c>
      <c r="H219" s="387"/>
      <c r="I219" s="387" t="s">
        <v>777</v>
      </c>
      <c r="J219" s="184" t="s">
        <v>591</v>
      </c>
      <c r="K219" s="184" t="s">
        <v>396</v>
      </c>
      <c r="L219" s="382">
        <v>40140</v>
      </c>
      <c r="M219" s="382">
        <v>14920</v>
      </c>
      <c r="N219" s="394">
        <v>25220</v>
      </c>
      <c r="O219" s="382">
        <v>40520</v>
      </c>
      <c r="P219" s="382">
        <v>15040</v>
      </c>
      <c r="Q219" s="382">
        <v>25480</v>
      </c>
      <c r="R219" s="384">
        <v>-260</v>
      </c>
    </row>
    <row r="220" spans="1:18" ht="10.9" customHeight="1">
      <c r="A220" s="386"/>
      <c r="B220" s="388"/>
      <c r="C220" s="389"/>
      <c r="D220" s="390"/>
      <c r="E220" s="391"/>
      <c r="F220" s="393"/>
      <c r="G220" s="388"/>
      <c r="H220" s="390"/>
      <c r="I220" s="391"/>
      <c r="J220" s="184" t="s">
        <v>622</v>
      </c>
      <c r="K220" s="184" t="s">
        <v>623</v>
      </c>
      <c r="L220" s="383"/>
      <c r="M220" s="383"/>
      <c r="N220" s="395"/>
      <c r="O220" s="383"/>
      <c r="P220" s="383"/>
      <c r="Q220" s="383"/>
      <c r="R220" s="383"/>
    </row>
    <row r="221" spans="1:18" ht="10.9" customHeight="1">
      <c r="A221" s="385">
        <v>107</v>
      </c>
      <c r="B221" s="387" t="s">
        <v>902</v>
      </c>
      <c r="C221" s="387"/>
      <c r="D221" s="387"/>
      <c r="E221" s="387" t="s">
        <v>432</v>
      </c>
      <c r="F221" s="392" t="s">
        <v>658</v>
      </c>
      <c r="G221" s="387" t="s">
        <v>659</v>
      </c>
      <c r="H221" s="387"/>
      <c r="I221" s="387" t="s">
        <v>777</v>
      </c>
      <c r="J221" s="184" t="s">
        <v>591</v>
      </c>
      <c r="K221" s="184" t="s">
        <v>396</v>
      </c>
      <c r="L221" s="382">
        <v>41240</v>
      </c>
      <c r="M221" s="382">
        <v>15590</v>
      </c>
      <c r="N221" s="394">
        <v>25650</v>
      </c>
      <c r="O221" s="382">
        <v>41680</v>
      </c>
      <c r="P221" s="382">
        <v>15720</v>
      </c>
      <c r="Q221" s="382">
        <v>25960</v>
      </c>
      <c r="R221" s="384">
        <v>-310</v>
      </c>
    </row>
    <row r="222" spans="1:18" ht="10.9" customHeight="1">
      <c r="A222" s="386"/>
      <c r="B222" s="388"/>
      <c r="C222" s="389"/>
      <c r="D222" s="390"/>
      <c r="E222" s="391"/>
      <c r="F222" s="393"/>
      <c r="G222" s="388"/>
      <c r="H222" s="390"/>
      <c r="I222" s="391"/>
      <c r="J222" s="184" t="s">
        <v>622</v>
      </c>
      <c r="K222" s="184" t="s">
        <v>623</v>
      </c>
      <c r="L222" s="383"/>
      <c r="M222" s="383"/>
      <c r="N222" s="395"/>
      <c r="O222" s="383"/>
      <c r="P222" s="383"/>
      <c r="Q222" s="383"/>
      <c r="R222" s="383"/>
    </row>
    <row r="223" spans="1:18" ht="10.9" customHeight="1">
      <c r="A223" s="385">
        <v>108</v>
      </c>
      <c r="B223" s="387" t="s">
        <v>903</v>
      </c>
      <c r="C223" s="387"/>
      <c r="D223" s="387"/>
      <c r="E223" s="387" t="s">
        <v>462</v>
      </c>
      <c r="F223" s="392" t="s">
        <v>699</v>
      </c>
      <c r="G223" s="387" t="s">
        <v>700</v>
      </c>
      <c r="H223" s="387"/>
      <c r="I223" s="387" t="s">
        <v>777</v>
      </c>
      <c r="J223" s="184" t="s">
        <v>591</v>
      </c>
      <c r="K223" s="184" t="s">
        <v>396</v>
      </c>
      <c r="L223" s="382">
        <v>38470</v>
      </c>
      <c r="M223" s="382">
        <v>16400</v>
      </c>
      <c r="N223" s="394">
        <v>22070</v>
      </c>
      <c r="O223" s="382">
        <v>38600</v>
      </c>
      <c r="P223" s="382">
        <v>16260</v>
      </c>
      <c r="Q223" s="382">
        <v>22340</v>
      </c>
      <c r="R223" s="384">
        <v>-270</v>
      </c>
    </row>
    <row r="224" spans="1:18" ht="10.9" customHeight="1">
      <c r="A224" s="386"/>
      <c r="B224" s="388"/>
      <c r="C224" s="389"/>
      <c r="D224" s="390"/>
      <c r="E224" s="391"/>
      <c r="F224" s="393"/>
      <c r="G224" s="388"/>
      <c r="H224" s="390"/>
      <c r="I224" s="391"/>
      <c r="J224" s="184" t="s">
        <v>622</v>
      </c>
      <c r="K224" s="184" t="s">
        <v>623</v>
      </c>
      <c r="L224" s="383"/>
      <c r="M224" s="383"/>
      <c r="N224" s="395"/>
      <c r="O224" s="383"/>
      <c r="P224" s="383"/>
      <c r="Q224" s="383"/>
      <c r="R224" s="383"/>
    </row>
    <row r="225" spans="1:18" ht="10.9" customHeight="1">
      <c r="A225" s="385">
        <v>109</v>
      </c>
      <c r="B225" s="387" t="s">
        <v>904</v>
      </c>
      <c r="C225" s="387"/>
      <c r="D225" s="387"/>
      <c r="E225" s="387" t="s">
        <v>673</v>
      </c>
      <c r="F225" s="392" t="s">
        <v>674</v>
      </c>
      <c r="G225" s="387" t="s">
        <v>811</v>
      </c>
      <c r="H225" s="387"/>
      <c r="I225" s="387" t="s">
        <v>777</v>
      </c>
      <c r="J225" s="184" t="s">
        <v>591</v>
      </c>
      <c r="K225" s="184" t="s">
        <v>396</v>
      </c>
      <c r="L225" s="382">
        <v>43920</v>
      </c>
      <c r="M225" s="382">
        <v>19310</v>
      </c>
      <c r="N225" s="394">
        <v>24610</v>
      </c>
      <c r="O225" s="382">
        <v>44400</v>
      </c>
      <c r="P225" s="382">
        <v>19360</v>
      </c>
      <c r="Q225" s="382">
        <v>25040</v>
      </c>
      <c r="R225" s="384">
        <v>-430</v>
      </c>
    </row>
    <row r="226" spans="1:18" ht="10.9" customHeight="1">
      <c r="A226" s="386"/>
      <c r="B226" s="388"/>
      <c r="C226" s="389"/>
      <c r="D226" s="390"/>
      <c r="E226" s="391"/>
      <c r="F226" s="393"/>
      <c r="G226" s="388"/>
      <c r="H226" s="390"/>
      <c r="I226" s="391"/>
      <c r="J226" s="184" t="s">
        <v>622</v>
      </c>
      <c r="K226" s="184" t="s">
        <v>623</v>
      </c>
      <c r="L226" s="383"/>
      <c r="M226" s="383"/>
      <c r="N226" s="395"/>
      <c r="O226" s="383"/>
      <c r="P226" s="383"/>
      <c r="Q226" s="383"/>
      <c r="R226" s="383"/>
    </row>
    <row r="227" spans="1:18" ht="10.9" customHeight="1">
      <c r="A227" s="385">
        <v>110</v>
      </c>
      <c r="B227" s="387" t="s">
        <v>905</v>
      </c>
      <c r="C227" s="387"/>
      <c r="D227" s="387"/>
      <c r="E227" s="387" t="s">
        <v>456</v>
      </c>
      <c r="F227" s="392" t="s">
        <v>683</v>
      </c>
      <c r="G227" s="387" t="s">
        <v>684</v>
      </c>
      <c r="H227" s="387"/>
      <c r="I227" s="387" t="s">
        <v>777</v>
      </c>
      <c r="J227" s="184" t="s">
        <v>591</v>
      </c>
      <c r="K227" s="184" t="s">
        <v>396</v>
      </c>
      <c r="L227" s="382">
        <v>41820</v>
      </c>
      <c r="M227" s="382">
        <v>15540</v>
      </c>
      <c r="N227" s="394">
        <v>26280</v>
      </c>
      <c r="O227" s="382">
        <v>42340</v>
      </c>
      <c r="P227" s="382">
        <v>15660</v>
      </c>
      <c r="Q227" s="382">
        <v>26680</v>
      </c>
      <c r="R227" s="384">
        <v>-400</v>
      </c>
    </row>
    <row r="228" spans="1:18" ht="10.9" customHeight="1">
      <c r="A228" s="386"/>
      <c r="B228" s="388"/>
      <c r="C228" s="389"/>
      <c r="D228" s="390"/>
      <c r="E228" s="391"/>
      <c r="F228" s="393"/>
      <c r="G228" s="388"/>
      <c r="H228" s="390"/>
      <c r="I228" s="391"/>
      <c r="J228" s="184" t="s">
        <v>622</v>
      </c>
      <c r="K228" s="184" t="s">
        <v>623</v>
      </c>
      <c r="L228" s="383"/>
      <c r="M228" s="383"/>
      <c r="N228" s="395"/>
      <c r="O228" s="383"/>
      <c r="P228" s="383"/>
      <c r="Q228" s="383"/>
      <c r="R228" s="383"/>
    </row>
    <row r="229" spans="1:18" ht="10.9" customHeight="1">
      <c r="A229" s="385">
        <v>111</v>
      </c>
      <c r="B229" s="387" t="s">
        <v>906</v>
      </c>
      <c r="C229" s="387"/>
      <c r="D229" s="387"/>
      <c r="E229" s="387" t="s">
        <v>453</v>
      </c>
      <c r="F229" s="392" t="s">
        <v>680</v>
      </c>
      <c r="G229" s="387" t="s">
        <v>681</v>
      </c>
      <c r="H229" s="387"/>
      <c r="I229" s="387" t="s">
        <v>777</v>
      </c>
      <c r="J229" s="184" t="s">
        <v>591</v>
      </c>
      <c r="K229" s="184" t="s">
        <v>396</v>
      </c>
      <c r="L229" s="382">
        <v>50440</v>
      </c>
      <c r="M229" s="382">
        <v>24130</v>
      </c>
      <c r="N229" s="394">
        <v>26310</v>
      </c>
      <c r="O229" s="382">
        <v>50980</v>
      </c>
      <c r="P229" s="382">
        <v>24300</v>
      </c>
      <c r="Q229" s="382">
        <v>26680</v>
      </c>
      <c r="R229" s="384">
        <v>-370</v>
      </c>
    </row>
    <row r="230" spans="1:18" ht="10.9" customHeight="1">
      <c r="A230" s="386"/>
      <c r="B230" s="388"/>
      <c r="C230" s="389"/>
      <c r="D230" s="390"/>
      <c r="E230" s="391"/>
      <c r="F230" s="393"/>
      <c r="G230" s="388"/>
      <c r="H230" s="390"/>
      <c r="I230" s="391"/>
      <c r="J230" s="184" t="s">
        <v>622</v>
      </c>
      <c r="K230" s="184" t="s">
        <v>623</v>
      </c>
      <c r="L230" s="383"/>
      <c r="M230" s="383"/>
      <c r="N230" s="395"/>
      <c r="O230" s="383"/>
      <c r="P230" s="383"/>
      <c r="Q230" s="383"/>
      <c r="R230" s="383"/>
    </row>
    <row r="231" spans="1:18" ht="10.9" customHeight="1">
      <c r="A231" s="385">
        <v>112</v>
      </c>
      <c r="B231" s="387" t="s">
        <v>907</v>
      </c>
      <c r="C231" s="387"/>
      <c r="D231" s="387"/>
      <c r="E231" s="387" t="s">
        <v>392</v>
      </c>
      <c r="F231" s="392" t="s">
        <v>610</v>
      </c>
      <c r="G231" s="387" t="s">
        <v>611</v>
      </c>
      <c r="H231" s="387"/>
      <c r="I231" s="387" t="s">
        <v>777</v>
      </c>
      <c r="J231" s="184" t="s">
        <v>591</v>
      </c>
      <c r="K231" s="184" t="s">
        <v>396</v>
      </c>
      <c r="L231" s="382">
        <v>47570</v>
      </c>
      <c r="M231" s="382">
        <v>24050</v>
      </c>
      <c r="N231" s="394">
        <v>23520</v>
      </c>
      <c r="O231" s="382">
        <v>48200</v>
      </c>
      <c r="P231" s="382">
        <v>24160</v>
      </c>
      <c r="Q231" s="382">
        <v>24040</v>
      </c>
      <c r="R231" s="384">
        <v>-520</v>
      </c>
    </row>
    <row r="232" spans="1:18" ht="10.9" customHeight="1">
      <c r="A232" s="386"/>
      <c r="B232" s="388"/>
      <c r="C232" s="389"/>
      <c r="D232" s="390"/>
      <c r="E232" s="391"/>
      <c r="F232" s="393"/>
      <c r="G232" s="388"/>
      <c r="H232" s="390"/>
      <c r="I232" s="391"/>
      <c r="J232" s="184" t="s">
        <v>622</v>
      </c>
      <c r="K232" s="184" t="s">
        <v>623</v>
      </c>
      <c r="L232" s="383"/>
      <c r="M232" s="383"/>
      <c r="N232" s="395"/>
      <c r="O232" s="383"/>
      <c r="P232" s="383"/>
      <c r="Q232" s="383"/>
      <c r="R232" s="383"/>
    </row>
    <row r="233" spans="1:18" ht="10.9" customHeight="1">
      <c r="A233" s="385">
        <v>113</v>
      </c>
      <c r="B233" s="387" t="s">
        <v>908</v>
      </c>
      <c r="C233" s="387"/>
      <c r="D233" s="387"/>
      <c r="E233" s="387" t="s">
        <v>390</v>
      </c>
      <c r="F233" s="392" t="s">
        <v>607</v>
      </c>
      <c r="G233" s="387" t="s">
        <v>608</v>
      </c>
      <c r="H233" s="387"/>
      <c r="I233" s="387" t="s">
        <v>777</v>
      </c>
      <c r="J233" s="184" t="s">
        <v>591</v>
      </c>
      <c r="K233" s="184" t="s">
        <v>396</v>
      </c>
      <c r="L233" s="382">
        <v>36940</v>
      </c>
      <c r="M233" s="382">
        <v>14830</v>
      </c>
      <c r="N233" s="394">
        <v>22110</v>
      </c>
      <c r="O233" s="382">
        <v>37500</v>
      </c>
      <c r="P233" s="382">
        <v>14960</v>
      </c>
      <c r="Q233" s="382">
        <v>22540</v>
      </c>
      <c r="R233" s="384">
        <v>-430</v>
      </c>
    </row>
    <row r="234" spans="1:18" ht="10.9" customHeight="1">
      <c r="A234" s="386"/>
      <c r="B234" s="388"/>
      <c r="C234" s="389"/>
      <c r="D234" s="390"/>
      <c r="E234" s="391"/>
      <c r="F234" s="393"/>
      <c r="G234" s="388"/>
      <c r="H234" s="390"/>
      <c r="I234" s="391"/>
      <c r="J234" s="184" t="s">
        <v>622</v>
      </c>
      <c r="K234" s="184" t="s">
        <v>623</v>
      </c>
      <c r="L234" s="383"/>
      <c r="M234" s="383"/>
      <c r="N234" s="395"/>
      <c r="O234" s="383"/>
      <c r="P234" s="383"/>
      <c r="Q234" s="383"/>
      <c r="R234" s="383"/>
    </row>
    <row r="235" spans="1:18" ht="10.9" customHeight="1">
      <c r="A235" s="385">
        <v>114</v>
      </c>
      <c r="B235" s="387" t="s">
        <v>909</v>
      </c>
      <c r="C235" s="387"/>
      <c r="D235" s="387"/>
      <c r="E235" s="387" t="s">
        <v>388</v>
      </c>
      <c r="F235" s="392" t="s">
        <v>600</v>
      </c>
      <c r="G235" s="387" t="s">
        <v>601</v>
      </c>
      <c r="H235" s="387"/>
      <c r="I235" s="387" t="s">
        <v>777</v>
      </c>
      <c r="J235" s="184" t="s">
        <v>591</v>
      </c>
      <c r="K235" s="184" t="s">
        <v>396</v>
      </c>
      <c r="L235" s="382">
        <v>48340</v>
      </c>
      <c r="M235" s="382">
        <v>20890</v>
      </c>
      <c r="N235" s="394">
        <v>27450</v>
      </c>
      <c r="O235" s="382">
        <v>48960</v>
      </c>
      <c r="P235" s="382">
        <v>21040</v>
      </c>
      <c r="Q235" s="382">
        <v>27920</v>
      </c>
      <c r="R235" s="384">
        <v>-470</v>
      </c>
    </row>
    <row r="236" spans="1:18" ht="10.9" customHeight="1">
      <c r="A236" s="386"/>
      <c r="B236" s="388"/>
      <c r="C236" s="389"/>
      <c r="D236" s="390"/>
      <c r="E236" s="391"/>
      <c r="F236" s="393"/>
      <c r="G236" s="388"/>
      <c r="H236" s="390"/>
      <c r="I236" s="391"/>
      <c r="J236" s="184" t="s">
        <v>622</v>
      </c>
      <c r="K236" s="184" t="s">
        <v>623</v>
      </c>
      <c r="L236" s="383"/>
      <c r="M236" s="383"/>
      <c r="N236" s="395"/>
      <c r="O236" s="383"/>
      <c r="P236" s="383"/>
      <c r="Q236" s="383"/>
      <c r="R236" s="383"/>
    </row>
    <row r="237" spans="1:18" ht="10.9" customHeight="1">
      <c r="A237" s="385">
        <v>115</v>
      </c>
      <c r="B237" s="387" t="s">
        <v>910</v>
      </c>
      <c r="C237" s="387"/>
      <c r="D237" s="387"/>
      <c r="E237" s="387" t="s">
        <v>436</v>
      </c>
      <c r="F237" s="392" t="s">
        <v>662</v>
      </c>
      <c r="G237" s="387" t="s">
        <v>663</v>
      </c>
      <c r="H237" s="387"/>
      <c r="I237" s="387" t="s">
        <v>260</v>
      </c>
      <c r="J237" s="184" t="s">
        <v>591</v>
      </c>
      <c r="K237" s="184" t="s">
        <v>396</v>
      </c>
      <c r="L237" s="382">
        <v>38190</v>
      </c>
      <c r="M237" s="382">
        <v>14870</v>
      </c>
      <c r="N237" s="394">
        <v>23320</v>
      </c>
      <c r="O237" s="382">
        <v>38580</v>
      </c>
      <c r="P237" s="382">
        <v>15000</v>
      </c>
      <c r="Q237" s="382">
        <v>23580</v>
      </c>
      <c r="R237" s="384">
        <v>-260</v>
      </c>
    </row>
    <row r="238" spans="1:18" ht="10.9" customHeight="1">
      <c r="A238" s="386"/>
      <c r="B238" s="388"/>
      <c r="C238" s="389"/>
      <c r="D238" s="390"/>
      <c r="E238" s="391"/>
      <c r="F238" s="393"/>
      <c r="G238" s="388"/>
      <c r="H238" s="390"/>
      <c r="I238" s="391"/>
      <c r="J238" s="184" t="s">
        <v>622</v>
      </c>
      <c r="K238" s="184" t="s">
        <v>623</v>
      </c>
      <c r="L238" s="383"/>
      <c r="M238" s="383"/>
      <c r="N238" s="395"/>
      <c r="O238" s="383"/>
      <c r="P238" s="383"/>
      <c r="Q238" s="383"/>
      <c r="R238" s="383"/>
    </row>
    <row r="239" spans="1:18" ht="10.9" customHeight="1">
      <c r="A239" s="385">
        <v>116</v>
      </c>
      <c r="B239" s="387" t="s">
        <v>911</v>
      </c>
      <c r="C239" s="387"/>
      <c r="D239" s="387"/>
      <c r="E239" s="387" t="s">
        <v>439</v>
      </c>
      <c r="F239" s="392" t="s">
        <v>665</v>
      </c>
      <c r="G239" s="387" t="s">
        <v>715</v>
      </c>
      <c r="H239" s="387"/>
      <c r="I239" s="387" t="s">
        <v>260</v>
      </c>
      <c r="J239" s="184" t="s">
        <v>591</v>
      </c>
      <c r="K239" s="184" t="s">
        <v>396</v>
      </c>
      <c r="L239" s="382">
        <v>37190</v>
      </c>
      <c r="M239" s="382">
        <v>14880</v>
      </c>
      <c r="N239" s="394">
        <v>22310</v>
      </c>
      <c r="O239" s="382">
        <v>37560</v>
      </c>
      <c r="P239" s="382">
        <v>14980</v>
      </c>
      <c r="Q239" s="382">
        <v>22580</v>
      </c>
      <c r="R239" s="384">
        <v>-270</v>
      </c>
    </row>
    <row r="240" spans="1:18" ht="10.9" customHeight="1">
      <c r="A240" s="386"/>
      <c r="B240" s="388"/>
      <c r="C240" s="389"/>
      <c r="D240" s="390"/>
      <c r="E240" s="391"/>
      <c r="F240" s="393"/>
      <c r="G240" s="388"/>
      <c r="H240" s="390"/>
      <c r="I240" s="391"/>
      <c r="J240" s="184" t="s">
        <v>622</v>
      </c>
      <c r="K240" s="184" t="s">
        <v>623</v>
      </c>
      <c r="L240" s="383"/>
      <c r="M240" s="383"/>
      <c r="N240" s="395"/>
      <c r="O240" s="383"/>
      <c r="P240" s="383"/>
      <c r="Q240" s="383"/>
      <c r="R240" s="383"/>
    </row>
    <row r="241" spans="1:18" ht="10.9" customHeight="1">
      <c r="A241" s="385">
        <v>117</v>
      </c>
      <c r="B241" s="387" t="s">
        <v>912</v>
      </c>
      <c r="C241" s="387"/>
      <c r="D241" s="387"/>
      <c r="E241" s="387" t="s">
        <v>866</v>
      </c>
      <c r="F241" s="392" t="s">
        <v>913</v>
      </c>
      <c r="G241" s="387" t="s">
        <v>914</v>
      </c>
      <c r="H241" s="387"/>
      <c r="I241" s="387" t="s">
        <v>260</v>
      </c>
      <c r="J241" s="184" t="s">
        <v>577</v>
      </c>
      <c r="K241" s="184" t="s">
        <v>396</v>
      </c>
      <c r="L241" s="382">
        <v>37120</v>
      </c>
      <c r="M241" s="382">
        <v>14460</v>
      </c>
      <c r="N241" s="394">
        <v>22660</v>
      </c>
      <c r="O241" s="382">
        <v>37460</v>
      </c>
      <c r="P241" s="382">
        <v>14520</v>
      </c>
      <c r="Q241" s="382">
        <v>22940</v>
      </c>
      <c r="R241" s="384">
        <v>-280</v>
      </c>
    </row>
    <row r="242" spans="1:18" ht="10.9" customHeight="1">
      <c r="A242" s="386"/>
      <c r="B242" s="388"/>
      <c r="C242" s="389"/>
      <c r="D242" s="390"/>
      <c r="E242" s="391"/>
      <c r="F242" s="393"/>
      <c r="G242" s="388"/>
      <c r="H242" s="390"/>
      <c r="I242" s="391"/>
      <c r="J242" s="184" t="s">
        <v>915</v>
      </c>
      <c r="K242" s="184" t="s">
        <v>623</v>
      </c>
      <c r="L242" s="383"/>
      <c r="M242" s="383"/>
      <c r="N242" s="395"/>
      <c r="O242" s="383"/>
      <c r="P242" s="383"/>
      <c r="Q242" s="383"/>
      <c r="R242" s="383"/>
    </row>
    <row r="243" spans="1:18" ht="10.9" customHeight="1">
      <c r="A243" s="385">
        <v>118</v>
      </c>
      <c r="B243" s="387" t="s">
        <v>916</v>
      </c>
      <c r="C243" s="387"/>
      <c r="D243" s="387"/>
      <c r="E243" s="387" t="s">
        <v>858</v>
      </c>
      <c r="F243" s="392" t="s">
        <v>917</v>
      </c>
      <c r="G243" s="387" t="s">
        <v>918</v>
      </c>
      <c r="H243" s="387"/>
      <c r="I243" s="387" t="s">
        <v>260</v>
      </c>
      <c r="J243" s="184" t="s">
        <v>591</v>
      </c>
      <c r="K243" s="184" t="s">
        <v>396</v>
      </c>
      <c r="L243" s="382">
        <v>34000</v>
      </c>
      <c r="M243" s="382">
        <v>14580</v>
      </c>
      <c r="N243" s="394">
        <v>19420</v>
      </c>
      <c r="O243" s="382">
        <v>34240</v>
      </c>
      <c r="P243" s="382">
        <v>14680</v>
      </c>
      <c r="Q243" s="382">
        <v>19560</v>
      </c>
      <c r="R243" s="384">
        <v>-140</v>
      </c>
    </row>
    <row r="244" spans="1:18" ht="10.9" customHeight="1">
      <c r="A244" s="386"/>
      <c r="B244" s="388"/>
      <c r="C244" s="389"/>
      <c r="D244" s="390"/>
      <c r="E244" s="391"/>
      <c r="F244" s="393"/>
      <c r="G244" s="388"/>
      <c r="H244" s="390"/>
      <c r="I244" s="391"/>
      <c r="J244" s="184" t="s">
        <v>622</v>
      </c>
      <c r="K244" s="184" t="s">
        <v>623</v>
      </c>
      <c r="L244" s="383"/>
      <c r="M244" s="383"/>
      <c r="N244" s="395"/>
      <c r="O244" s="383"/>
      <c r="P244" s="383"/>
      <c r="Q244" s="383"/>
      <c r="R244" s="383"/>
    </row>
    <row r="245" spans="1:18" ht="10.9" customHeight="1">
      <c r="A245" s="385">
        <v>119</v>
      </c>
      <c r="B245" s="387" t="s">
        <v>919</v>
      </c>
      <c r="C245" s="387"/>
      <c r="D245" s="387"/>
      <c r="E245" s="387" t="s">
        <v>372</v>
      </c>
      <c r="F245" s="392" t="s">
        <v>579</v>
      </c>
      <c r="G245" s="387" t="s">
        <v>580</v>
      </c>
      <c r="H245" s="387"/>
      <c r="I245" s="387" t="s">
        <v>869</v>
      </c>
      <c r="J245" s="184" t="s">
        <v>591</v>
      </c>
      <c r="K245" s="184" t="s">
        <v>396</v>
      </c>
      <c r="L245" s="382">
        <v>35220</v>
      </c>
      <c r="M245" s="382">
        <v>14930</v>
      </c>
      <c r="N245" s="394">
        <v>20290</v>
      </c>
      <c r="O245" s="382">
        <v>35440</v>
      </c>
      <c r="P245" s="382">
        <v>15000</v>
      </c>
      <c r="Q245" s="382">
        <v>20440</v>
      </c>
      <c r="R245" s="384">
        <v>-150</v>
      </c>
    </row>
    <row r="246" spans="1:18" ht="10.9" customHeight="1">
      <c r="A246" s="386"/>
      <c r="B246" s="388"/>
      <c r="C246" s="389"/>
      <c r="D246" s="390"/>
      <c r="E246" s="391"/>
      <c r="F246" s="393"/>
      <c r="G246" s="388"/>
      <c r="H246" s="390"/>
      <c r="I246" s="391"/>
      <c r="J246" s="184" t="s">
        <v>622</v>
      </c>
      <c r="K246" s="184" t="s">
        <v>623</v>
      </c>
      <c r="L246" s="383"/>
      <c r="M246" s="383"/>
      <c r="N246" s="395"/>
      <c r="O246" s="383"/>
      <c r="P246" s="383"/>
      <c r="Q246" s="383"/>
      <c r="R246" s="383"/>
    </row>
    <row r="247" spans="1:18" ht="10.9" customHeight="1">
      <c r="A247" s="385">
        <v>120</v>
      </c>
      <c r="B247" s="387" t="s">
        <v>920</v>
      </c>
      <c r="C247" s="387"/>
      <c r="D247" s="387"/>
      <c r="E247" s="387" t="s">
        <v>400</v>
      </c>
      <c r="F247" s="392" t="s">
        <v>626</v>
      </c>
      <c r="G247" s="387" t="s">
        <v>627</v>
      </c>
      <c r="H247" s="387"/>
      <c r="I247" s="387" t="s">
        <v>398</v>
      </c>
      <c r="J247" s="184" t="s">
        <v>591</v>
      </c>
      <c r="K247" s="184" t="s">
        <v>396</v>
      </c>
      <c r="L247" s="382">
        <v>36340</v>
      </c>
      <c r="M247" s="382">
        <v>14700</v>
      </c>
      <c r="N247" s="394">
        <v>21640</v>
      </c>
      <c r="O247" s="382">
        <v>36560</v>
      </c>
      <c r="P247" s="382">
        <v>14800</v>
      </c>
      <c r="Q247" s="382">
        <v>21760</v>
      </c>
      <c r="R247" s="384">
        <v>-120</v>
      </c>
    </row>
    <row r="248" spans="1:18" ht="10.9" customHeight="1">
      <c r="A248" s="386"/>
      <c r="B248" s="388"/>
      <c r="C248" s="389"/>
      <c r="D248" s="390"/>
      <c r="E248" s="391"/>
      <c r="F248" s="393"/>
      <c r="G248" s="388"/>
      <c r="H248" s="390"/>
      <c r="I248" s="391"/>
      <c r="J248" s="184" t="s">
        <v>622</v>
      </c>
      <c r="K248" s="184" t="s">
        <v>623</v>
      </c>
      <c r="L248" s="383"/>
      <c r="M248" s="383"/>
      <c r="N248" s="395"/>
      <c r="O248" s="383"/>
      <c r="P248" s="383"/>
      <c r="Q248" s="383"/>
      <c r="R248" s="383"/>
    </row>
    <row r="249" spans="1:18" ht="10.9" customHeight="1">
      <c r="A249" s="385">
        <v>121</v>
      </c>
      <c r="B249" s="387" t="s">
        <v>921</v>
      </c>
      <c r="C249" s="387"/>
      <c r="D249" s="387"/>
      <c r="E249" s="387" t="s">
        <v>369</v>
      </c>
      <c r="F249" s="392" t="s">
        <v>575</v>
      </c>
      <c r="G249" s="387" t="s">
        <v>576</v>
      </c>
      <c r="H249" s="387"/>
      <c r="I249" s="387" t="s">
        <v>260</v>
      </c>
      <c r="J249" s="184" t="s">
        <v>591</v>
      </c>
      <c r="K249" s="184" t="s">
        <v>396</v>
      </c>
      <c r="L249" s="382">
        <v>37560</v>
      </c>
      <c r="M249" s="382">
        <v>15090</v>
      </c>
      <c r="N249" s="394">
        <v>22470</v>
      </c>
      <c r="O249" s="382">
        <v>37780</v>
      </c>
      <c r="P249" s="382">
        <v>15140</v>
      </c>
      <c r="Q249" s="382">
        <v>22640</v>
      </c>
      <c r="R249" s="384">
        <v>-170</v>
      </c>
    </row>
    <row r="250" spans="1:18" ht="10.9" customHeight="1">
      <c r="A250" s="386"/>
      <c r="B250" s="388"/>
      <c r="C250" s="389"/>
      <c r="D250" s="390"/>
      <c r="E250" s="391"/>
      <c r="F250" s="393"/>
      <c r="G250" s="388"/>
      <c r="H250" s="390"/>
      <c r="I250" s="391"/>
      <c r="J250" s="184" t="s">
        <v>622</v>
      </c>
      <c r="K250" s="184" t="s">
        <v>623</v>
      </c>
      <c r="L250" s="383"/>
      <c r="M250" s="383"/>
      <c r="N250" s="395"/>
      <c r="O250" s="383"/>
      <c r="P250" s="383"/>
      <c r="Q250" s="383"/>
      <c r="R250" s="383"/>
    </row>
    <row r="251" spans="1:18" ht="10.9" customHeight="1">
      <c r="A251" s="385">
        <v>122</v>
      </c>
      <c r="B251" s="387" t="s">
        <v>922</v>
      </c>
      <c r="C251" s="387"/>
      <c r="D251" s="387"/>
      <c r="E251" s="387" t="s">
        <v>377</v>
      </c>
      <c r="F251" s="392" t="s">
        <v>586</v>
      </c>
      <c r="G251" s="387" t="s">
        <v>587</v>
      </c>
      <c r="H251" s="387"/>
      <c r="I251" s="387" t="s">
        <v>260</v>
      </c>
      <c r="J251" s="184" t="s">
        <v>591</v>
      </c>
      <c r="K251" s="184" t="s">
        <v>396</v>
      </c>
      <c r="L251" s="382">
        <v>37490</v>
      </c>
      <c r="M251" s="382">
        <v>15070</v>
      </c>
      <c r="N251" s="394">
        <v>22420</v>
      </c>
      <c r="O251" s="382">
        <v>37680</v>
      </c>
      <c r="P251" s="382">
        <v>15140</v>
      </c>
      <c r="Q251" s="382">
        <v>22540</v>
      </c>
      <c r="R251" s="384">
        <v>-120</v>
      </c>
    </row>
    <row r="252" spans="1:18" ht="10.9" customHeight="1">
      <c r="A252" s="386"/>
      <c r="B252" s="388"/>
      <c r="C252" s="389"/>
      <c r="D252" s="390"/>
      <c r="E252" s="391"/>
      <c r="F252" s="393"/>
      <c r="G252" s="388"/>
      <c r="H252" s="390"/>
      <c r="I252" s="391"/>
      <c r="J252" s="184" t="s">
        <v>622</v>
      </c>
      <c r="K252" s="184" t="s">
        <v>623</v>
      </c>
      <c r="L252" s="383"/>
      <c r="M252" s="383"/>
      <c r="N252" s="395"/>
      <c r="O252" s="383"/>
      <c r="P252" s="383"/>
      <c r="Q252" s="383"/>
      <c r="R252" s="383"/>
    </row>
    <row r="253" spans="1:18" ht="10.9" customHeight="1">
      <c r="A253" s="385">
        <v>123</v>
      </c>
      <c r="B253" s="387" t="s">
        <v>923</v>
      </c>
      <c r="C253" s="387"/>
      <c r="D253" s="387"/>
      <c r="E253" s="387" t="s">
        <v>462</v>
      </c>
      <c r="F253" s="392" t="s">
        <v>699</v>
      </c>
      <c r="G253" s="387" t="s">
        <v>700</v>
      </c>
      <c r="H253" s="387"/>
      <c r="I253" s="387" t="s">
        <v>260</v>
      </c>
      <c r="J253" s="184" t="s">
        <v>591</v>
      </c>
      <c r="K253" s="184" t="s">
        <v>396</v>
      </c>
      <c r="L253" s="382">
        <v>39300</v>
      </c>
      <c r="M253" s="382">
        <v>16400</v>
      </c>
      <c r="N253" s="394">
        <v>22900</v>
      </c>
      <c r="O253" s="382">
        <v>39240</v>
      </c>
      <c r="P253" s="382">
        <v>16260</v>
      </c>
      <c r="Q253" s="382">
        <v>22980</v>
      </c>
      <c r="R253" s="384">
        <v>-80</v>
      </c>
    </row>
    <row r="254" spans="1:18" ht="10.9" customHeight="1">
      <c r="A254" s="386"/>
      <c r="B254" s="388"/>
      <c r="C254" s="389"/>
      <c r="D254" s="390"/>
      <c r="E254" s="391"/>
      <c r="F254" s="393"/>
      <c r="G254" s="388"/>
      <c r="H254" s="390"/>
      <c r="I254" s="391"/>
      <c r="J254" s="184" t="s">
        <v>622</v>
      </c>
      <c r="K254" s="184" t="s">
        <v>623</v>
      </c>
      <c r="L254" s="383"/>
      <c r="M254" s="383"/>
      <c r="N254" s="395"/>
      <c r="O254" s="383"/>
      <c r="P254" s="383"/>
      <c r="Q254" s="383"/>
      <c r="R254" s="383"/>
    </row>
    <row r="255" spans="1:18" ht="10.9" customHeight="1">
      <c r="A255" s="385">
        <v>124</v>
      </c>
      <c r="B255" s="387" t="s">
        <v>924</v>
      </c>
      <c r="C255" s="387"/>
      <c r="D255" s="387"/>
      <c r="E255" s="387" t="s">
        <v>794</v>
      </c>
      <c r="F255" s="392" t="s">
        <v>838</v>
      </c>
      <c r="G255" s="387" t="s">
        <v>839</v>
      </c>
      <c r="H255" s="387"/>
      <c r="I255" s="387" t="s">
        <v>260</v>
      </c>
      <c r="J255" s="184" t="s">
        <v>591</v>
      </c>
      <c r="K255" s="184" t="s">
        <v>396</v>
      </c>
      <c r="L255" s="382">
        <v>41480</v>
      </c>
      <c r="M255" s="382">
        <v>16090</v>
      </c>
      <c r="N255" s="394">
        <v>25390</v>
      </c>
      <c r="O255" s="382">
        <v>41980</v>
      </c>
      <c r="P255" s="382">
        <v>16240</v>
      </c>
      <c r="Q255" s="382">
        <v>25740</v>
      </c>
      <c r="R255" s="384">
        <v>-350</v>
      </c>
    </row>
    <row r="256" spans="1:18" ht="10.9" customHeight="1">
      <c r="A256" s="386"/>
      <c r="B256" s="388"/>
      <c r="C256" s="389"/>
      <c r="D256" s="390"/>
      <c r="E256" s="391"/>
      <c r="F256" s="393"/>
      <c r="G256" s="388"/>
      <c r="H256" s="390"/>
      <c r="I256" s="391"/>
      <c r="J256" s="184" t="s">
        <v>622</v>
      </c>
      <c r="K256" s="184" t="s">
        <v>623</v>
      </c>
      <c r="L256" s="383"/>
      <c r="M256" s="383"/>
      <c r="N256" s="395"/>
      <c r="O256" s="383"/>
      <c r="P256" s="383"/>
      <c r="Q256" s="383"/>
      <c r="R256" s="383"/>
    </row>
    <row r="257" spans="1:18" ht="10.9" customHeight="1">
      <c r="A257" s="385">
        <v>125</v>
      </c>
      <c r="B257" s="387" t="s">
        <v>925</v>
      </c>
      <c r="C257" s="387"/>
      <c r="D257" s="387"/>
      <c r="E257" s="387" t="s">
        <v>403</v>
      </c>
      <c r="F257" s="392" t="s">
        <v>629</v>
      </c>
      <c r="G257" s="387" t="s">
        <v>630</v>
      </c>
      <c r="H257" s="387"/>
      <c r="I257" s="387" t="s">
        <v>46</v>
      </c>
      <c r="J257" s="184" t="s">
        <v>591</v>
      </c>
      <c r="K257" s="184" t="s">
        <v>368</v>
      </c>
      <c r="L257" s="382">
        <v>36890</v>
      </c>
      <c r="M257" s="382">
        <v>14500</v>
      </c>
      <c r="N257" s="394">
        <v>22390</v>
      </c>
      <c r="O257" s="382">
        <v>37380</v>
      </c>
      <c r="P257" s="382">
        <v>14620</v>
      </c>
      <c r="Q257" s="382">
        <v>22760</v>
      </c>
      <c r="R257" s="384">
        <v>-370</v>
      </c>
    </row>
    <row r="258" spans="1:18" ht="10.9" customHeight="1">
      <c r="A258" s="386"/>
      <c r="B258" s="388"/>
      <c r="C258" s="389"/>
      <c r="D258" s="390"/>
      <c r="E258" s="391"/>
      <c r="F258" s="393"/>
      <c r="G258" s="388"/>
      <c r="H258" s="390"/>
      <c r="I258" s="391"/>
      <c r="J258" s="184" t="s">
        <v>622</v>
      </c>
      <c r="K258" s="184" t="s">
        <v>926</v>
      </c>
      <c r="L258" s="383"/>
      <c r="M258" s="383"/>
      <c r="N258" s="395"/>
      <c r="O258" s="383"/>
      <c r="P258" s="383"/>
      <c r="Q258" s="383"/>
      <c r="R258" s="383"/>
    </row>
    <row r="259" spans="1:18" ht="10.9" customHeight="1">
      <c r="A259" s="385">
        <v>126</v>
      </c>
      <c r="B259" s="387" t="s">
        <v>927</v>
      </c>
      <c r="C259" s="387"/>
      <c r="D259" s="387"/>
      <c r="E259" s="387" t="s">
        <v>841</v>
      </c>
      <c r="F259" s="392" t="s">
        <v>842</v>
      </c>
      <c r="G259" s="387" t="s">
        <v>843</v>
      </c>
      <c r="H259" s="387"/>
      <c r="I259" s="387" t="s">
        <v>260</v>
      </c>
      <c r="J259" s="184" t="s">
        <v>591</v>
      </c>
      <c r="K259" s="184" t="s">
        <v>396</v>
      </c>
      <c r="L259" s="382">
        <v>41680</v>
      </c>
      <c r="M259" s="382">
        <v>15930</v>
      </c>
      <c r="N259" s="394">
        <v>25750</v>
      </c>
      <c r="O259" s="382">
        <v>42200</v>
      </c>
      <c r="P259" s="382">
        <v>16040</v>
      </c>
      <c r="Q259" s="382">
        <v>26160</v>
      </c>
      <c r="R259" s="384">
        <v>-410</v>
      </c>
    </row>
    <row r="260" spans="1:18" ht="10.9" customHeight="1">
      <c r="A260" s="386"/>
      <c r="B260" s="388"/>
      <c r="C260" s="389"/>
      <c r="D260" s="390"/>
      <c r="E260" s="391"/>
      <c r="F260" s="393"/>
      <c r="G260" s="388"/>
      <c r="H260" s="390"/>
      <c r="I260" s="391"/>
      <c r="J260" s="184" t="s">
        <v>622</v>
      </c>
      <c r="K260" s="184" t="s">
        <v>623</v>
      </c>
      <c r="L260" s="383"/>
      <c r="M260" s="383"/>
      <c r="N260" s="395"/>
      <c r="O260" s="383"/>
      <c r="P260" s="383"/>
      <c r="Q260" s="383"/>
      <c r="R260" s="383"/>
    </row>
    <row r="261" spans="1:18" ht="10.9" customHeight="1">
      <c r="A261" s="385">
        <v>127</v>
      </c>
      <c r="B261" s="387" t="s">
        <v>928</v>
      </c>
      <c r="C261" s="387"/>
      <c r="D261" s="387"/>
      <c r="E261" s="387" t="s">
        <v>406</v>
      </c>
      <c r="F261" s="392" t="s">
        <v>632</v>
      </c>
      <c r="G261" s="387" t="s">
        <v>633</v>
      </c>
      <c r="H261" s="387"/>
      <c r="I261" s="387" t="s">
        <v>46</v>
      </c>
      <c r="J261" s="184" t="s">
        <v>591</v>
      </c>
      <c r="K261" s="184" t="s">
        <v>368</v>
      </c>
      <c r="L261" s="382">
        <v>38030</v>
      </c>
      <c r="M261" s="382">
        <v>15080</v>
      </c>
      <c r="N261" s="394">
        <v>22950</v>
      </c>
      <c r="O261" s="382">
        <v>38520</v>
      </c>
      <c r="P261" s="382">
        <v>15200</v>
      </c>
      <c r="Q261" s="382">
        <v>23320</v>
      </c>
      <c r="R261" s="384">
        <v>-370</v>
      </c>
    </row>
    <row r="262" spans="1:18" ht="10.9" customHeight="1">
      <c r="A262" s="386"/>
      <c r="B262" s="388"/>
      <c r="C262" s="389"/>
      <c r="D262" s="390"/>
      <c r="E262" s="391"/>
      <c r="F262" s="393"/>
      <c r="G262" s="388"/>
      <c r="H262" s="390"/>
      <c r="I262" s="391"/>
      <c r="J262" s="184" t="s">
        <v>622</v>
      </c>
      <c r="K262" s="184" t="s">
        <v>926</v>
      </c>
      <c r="L262" s="383"/>
      <c r="M262" s="383"/>
      <c r="N262" s="395"/>
      <c r="O262" s="383"/>
      <c r="P262" s="383"/>
      <c r="Q262" s="383"/>
      <c r="R262" s="383"/>
    </row>
    <row r="263" spans="1:18" ht="10.9" customHeight="1">
      <c r="A263" s="385">
        <v>128</v>
      </c>
      <c r="B263" s="387" t="s">
        <v>929</v>
      </c>
      <c r="C263" s="387"/>
      <c r="D263" s="387"/>
      <c r="E263" s="387" t="s">
        <v>380</v>
      </c>
      <c r="F263" s="392" t="s">
        <v>589</v>
      </c>
      <c r="G263" s="387" t="s">
        <v>614</v>
      </c>
      <c r="H263" s="387"/>
      <c r="I263" s="387" t="s">
        <v>46</v>
      </c>
      <c r="J263" s="184" t="s">
        <v>591</v>
      </c>
      <c r="K263" s="184" t="s">
        <v>368</v>
      </c>
      <c r="L263" s="382">
        <v>39230</v>
      </c>
      <c r="M263" s="382">
        <v>15040</v>
      </c>
      <c r="N263" s="394">
        <v>24190</v>
      </c>
      <c r="O263" s="382">
        <v>39760</v>
      </c>
      <c r="P263" s="382">
        <v>15140</v>
      </c>
      <c r="Q263" s="382">
        <v>24620</v>
      </c>
      <c r="R263" s="384">
        <v>-430</v>
      </c>
    </row>
    <row r="264" spans="1:18" ht="10.9" customHeight="1">
      <c r="A264" s="386"/>
      <c r="B264" s="388"/>
      <c r="C264" s="389"/>
      <c r="D264" s="390"/>
      <c r="E264" s="391"/>
      <c r="F264" s="393"/>
      <c r="G264" s="388"/>
      <c r="H264" s="390"/>
      <c r="I264" s="391"/>
      <c r="J264" s="184" t="s">
        <v>622</v>
      </c>
      <c r="K264" s="184"/>
      <c r="L264" s="383"/>
      <c r="M264" s="383"/>
      <c r="N264" s="395"/>
      <c r="O264" s="383"/>
      <c r="P264" s="383"/>
      <c r="Q264" s="383"/>
      <c r="R264" s="383"/>
    </row>
    <row r="265" spans="1:18" ht="10.9" customHeight="1">
      <c r="A265" s="385">
        <v>129</v>
      </c>
      <c r="B265" s="387" t="s">
        <v>930</v>
      </c>
      <c r="C265" s="387"/>
      <c r="D265" s="387"/>
      <c r="E265" s="387" t="s">
        <v>386</v>
      </c>
      <c r="F265" s="392" t="s">
        <v>604</v>
      </c>
      <c r="G265" s="387" t="s">
        <v>605</v>
      </c>
      <c r="H265" s="387"/>
      <c r="I265" s="387" t="s">
        <v>46</v>
      </c>
      <c r="J265" s="184" t="s">
        <v>591</v>
      </c>
      <c r="K265" s="184" t="s">
        <v>368</v>
      </c>
      <c r="L265" s="382">
        <v>38110</v>
      </c>
      <c r="M265" s="382">
        <v>15540</v>
      </c>
      <c r="N265" s="394">
        <v>22570</v>
      </c>
      <c r="O265" s="382">
        <v>38440</v>
      </c>
      <c r="P265" s="382">
        <v>15460</v>
      </c>
      <c r="Q265" s="382">
        <v>22980</v>
      </c>
      <c r="R265" s="384">
        <v>-410</v>
      </c>
    </row>
    <row r="266" spans="1:18" ht="10.9" customHeight="1">
      <c r="A266" s="386"/>
      <c r="B266" s="388"/>
      <c r="C266" s="389"/>
      <c r="D266" s="390"/>
      <c r="E266" s="391"/>
      <c r="F266" s="393"/>
      <c r="G266" s="388"/>
      <c r="H266" s="390"/>
      <c r="I266" s="391"/>
      <c r="J266" s="184" t="s">
        <v>622</v>
      </c>
      <c r="K266" s="184"/>
      <c r="L266" s="383"/>
      <c r="M266" s="383"/>
      <c r="N266" s="395"/>
      <c r="O266" s="383"/>
      <c r="P266" s="383"/>
      <c r="Q266" s="383"/>
      <c r="R266" s="383"/>
    </row>
    <row r="267" spans="1:18" ht="10.9" customHeight="1">
      <c r="A267" s="385">
        <v>130</v>
      </c>
      <c r="B267" s="387" t="s">
        <v>1008</v>
      </c>
      <c r="C267" s="387"/>
      <c r="D267" s="387"/>
      <c r="E267" s="387" t="s">
        <v>783</v>
      </c>
      <c r="F267" s="392" t="s">
        <v>829</v>
      </c>
      <c r="G267" s="387" t="s">
        <v>830</v>
      </c>
      <c r="H267" s="387"/>
      <c r="I267" s="387" t="s">
        <v>974</v>
      </c>
      <c r="J267" s="184" t="s">
        <v>577</v>
      </c>
      <c r="K267" s="184" t="s">
        <v>396</v>
      </c>
      <c r="L267" s="382">
        <v>40930</v>
      </c>
      <c r="M267" s="382">
        <v>14640</v>
      </c>
      <c r="N267" s="394">
        <v>26290</v>
      </c>
      <c r="O267" s="382">
        <v>41340</v>
      </c>
      <c r="P267" s="382">
        <v>14780</v>
      </c>
      <c r="Q267" s="382">
        <v>26560</v>
      </c>
      <c r="R267" s="384">
        <v>-270</v>
      </c>
    </row>
    <row r="268" spans="1:18" ht="10.9" customHeight="1">
      <c r="A268" s="386"/>
      <c r="B268" s="388"/>
      <c r="C268" s="389"/>
      <c r="D268" s="390"/>
      <c r="E268" s="391"/>
      <c r="F268" s="393"/>
      <c r="G268" s="388"/>
      <c r="H268" s="390"/>
      <c r="I268" s="391"/>
      <c r="J268" s="184" t="s">
        <v>622</v>
      </c>
      <c r="K268" s="184" t="s">
        <v>623</v>
      </c>
      <c r="L268" s="383"/>
      <c r="M268" s="383"/>
      <c r="N268" s="395"/>
      <c r="O268" s="383"/>
      <c r="P268" s="383"/>
      <c r="Q268" s="383"/>
      <c r="R268" s="383"/>
    </row>
    <row r="269" spans="1:18" ht="10.9" customHeight="1">
      <c r="A269" s="385">
        <v>131</v>
      </c>
      <c r="B269" s="387" t="s">
        <v>1009</v>
      </c>
      <c r="C269" s="387"/>
      <c r="D269" s="387"/>
      <c r="E269" s="387" t="s">
        <v>786</v>
      </c>
      <c r="F269" s="392" t="s">
        <v>832</v>
      </c>
      <c r="G269" s="387" t="s">
        <v>833</v>
      </c>
      <c r="H269" s="387"/>
      <c r="I269" s="387" t="s">
        <v>974</v>
      </c>
      <c r="J269" s="184" t="s">
        <v>577</v>
      </c>
      <c r="K269" s="184" t="s">
        <v>396</v>
      </c>
      <c r="L269" s="382">
        <v>35510</v>
      </c>
      <c r="M269" s="382">
        <v>14020</v>
      </c>
      <c r="N269" s="394">
        <v>21490</v>
      </c>
      <c r="O269" s="382">
        <v>35800</v>
      </c>
      <c r="P269" s="382">
        <v>14140</v>
      </c>
      <c r="Q269" s="382">
        <v>21660</v>
      </c>
      <c r="R269" s="384">
        <v>-170</v>
      </c>
    </row>
    <row r="270" spans="1:18" ht="10.9" customHeight="1">
      <c r="A270" s="386"/>
      <c r="B270" s="388"/>
      <c r="C270" s="389"/>
      <c r="D270" s="390"/>
      <c r="E270" s="391"/>
      <c r="F270" s="393"/>
      <c r="G270" s="388"/>
      <c r="H270" s="390"/>
      <c r="I270" s="391"/>
      <c r="J270" s="184" t="s">
        <v>622</v>
      </c>
      <c r="K270" s="184" t="s">
        <v>623</v>
      </c>
      <c r="L270" s="383"/>
      <c r="M270" s="383"/>
      <c r="N270" s="395"/>
      <c r="O270" s="383"/>
      <c r="P270" s="383"/>
      <c r="Q270" s="383"/>
      <c r="R270" s="383"/>
    </row>
    <row r="271" spans="1:18" ht="10.9" customHeight="1">
      <c r="A271" s="385">
        <v>132</v>
      </c>
      <c r="B271" s="387" t="s">
        <v>1032</v>
      </c>
      <c r="C271" s="387"/>
      <c r="D271" s="387"/>
      <c r="E271" s="387" t="s">
        <v>794</v>
      </c>
      <c r="F271" s="392" t="s">
        <v>838</v>
      </c>
      <c r="G271" s="387" t="s">
        <v>839</v>
      </c>
      <c r="H271" s="387"/>
      <c r="I271" s="387" t="s">
        <v>974</v>
      </c>
      <c r="J271" s="184" t="s">
        <v>591</v>
      </c>
      <c r="K271" s="184" t="s">
        <v>396</v>
      </c>
      <c r="L271" s="382">
        <v>41350</v>
      </c>
      <c r="M271" s="382">
        <v>16110</v>
      </c>
      <c r="N271" s="394">
        <v>25240</v>
      </c>
      <c r="O271" s="382">
        <v>41620</v>
      </c>
      <c r="P271" s="382">
        <v>16240</v>
      </c>
      <c r="Q271" s="382">
        <v>25380</v>
      </c>
      <c r="R271" s="384">
        <v>-140</v>
      </c>
    </row>
    <row r="272" spans="1:18" ht="10.9" customHeight="1">
      <c r="A272" s="386"/>
      <c r="B272" s="388"/>
      <c r="C272" s="389"/>
      <c r="D272" s="390"/>
      <c r="E272" s="391"/>
      <c r="F272" s="393"/>
      <c r="G272" s="388"/>
      <c r="H272" s="390"/>
      <c r="I272" s="391"/>
      <c r="J272" s="184" t="s">
        <v>622</v>
      </c>
      <c r="K272" s="184" t="s">
        <v>623</v>
      </c>
      <c r="L272" s="383"/>
      <c r="M272" s="383"/>
      <c r="N272" s="395"/>
      <c r="O272" s="383"/>
      <c r="P272" s="383"/>
      <c r="Q272" s="383"/>
      <c r="R272" s="383"/>
    </row>
    <row r="273" spans="1:18" ht="10.9" customHeight="1">
      <c r="A273" s="385">
        <v>133</v>
      </c>
      <c r="B273" s="387" t="s">
        <v>1033</v>
      </c>
      <c r="C273" s="387"/>
      <c r="D273" s="387"/>
      <c r="E273" s="387" t="s">
        <v>377</v>
      </c>
      <c r="F273" s="392" t="s">
        <v>586</v>
      </c>
      <c r="G273" s="387" t="s">
        <v>587</v>
      </c>
      <c r="H273" s="387"/>
      <c r="I273" s="387" t="s">
        <v>974</v>
      </c>
      <c r="J273" s="184" t="s">
        <v>591</v>
      </c>
      <c r="K273" s="184" t="s">
        <v>396</v>
      </c>
      <c r="L273" s="382">
        <v>41020</v>
      </c>
      <c r="M273" s="382">
        <v>15090</v>
      </c>
      <c r="N273" s="394">
        <v>25930</v>
      </c>
      <c r="O273" s="382">
        <v>41280</v>
      </c>
      <c r="P273" s="382">
        <v>15180</v>
      </c>
      <c r="Q273" s="382">
        <v>26100</v>
      </c>
      <c r="R273" s="384">
        <v>-170</v>
      </c>
    </row>
    <row r="274" spans="1:18" ht="10.9" customHeight="1">
      <c r="A274" s="386"/>
      <c r="B274" s="388"/>
      <c r="C274" s="389"/>
      <c r="D274" s="390"/>
      <c r="E274" s="391"/>
      <c r="F274" s="393"/>
      <c r="G274" s="388"/>
      <c r="H274" s="390"/>
      <c r="I274" s="391"/>
      <c r="J274" s="184" t="s">
        <v>622</v>
      </c>
      <c r="K274" s="184" t="s">
        <v>623</v>
      </c>
      <c r="L274" s="383"/>
      <c r="M274" s="383"/>
      <c r="N274" s="395"/>
      <c r="O274" s="383"/>
      <c r="P274" s="383"/>
      <c r="Q274" s="383"/>
      <c r="R274" s="383"/>
    </row>
    <row r="275" spans="1:18" ht="10.9" customHeight="1">
      <c r="A275" s="385">
        <v>134</v>
      </c>
      <c r="B275" s="387" t="s">
        <v>1034</v>
      </c>
      <c r="C275" s="387"/>
      <c r="D275" s="387"/>
      <c r="E275" s="387" t="s">
        <v>462</v>
      </c>
      <c r="F275" s="392" t="s">
        <v>699</v>
      </c>
      <c r="G275" s="387" t="s">
        <v>700</v>
      </c>
      <c r="H275" s="387"/>
      <c r="I275" s="387" t="s">
        <v>974</v>
      </c>
      <c r="J275" s="184" t="s">
        <v>591</v>
      </c>
      <c r="K275" s="184" t="s">
        <v>396</v>
      </c>
      <c r="L275" s="382">
        <v>39670</v>
      </c>
      <c r="M275" s="382">
        <v>16400</v>
      </c>
      <c r="N275" s="394">
        <v>23270</v>
      </c>
      <c r="O275" s="382">
        <v>39660</v>
      </c>
      <c r="P275" s="382">
        <v>16260</v>
      </c>
      <c r="Q275" s="382">
        <v>23400</v>
      </c>
      <c r="R275" s="384">
        <v>-130</v>
      </c>
    </row>
    <row r="276" spans="1:18" ht="10.9" customHeight="1">
      <c r="A276" s="386"/>
      <c r="B276" s="388"/>
      <c r="C276" s="389"/>
      <c r="D276" s="390"/>
      <c r="E276" s="391"/>
      <c r="F276" s="393"/>
      <c r="G276" s="388"/>
      <c r="H276" s="390"/>
      <c r="I276" s="391"/>
      <c r="J276" s="184" t="s">
        <v>622</v>
      </c>
      <c r="K276" s="184" t="s">
        <v>623</v>
      </c>
      <c r="L276" s="383"/>
      <c r="M276" s="383"/>
      <c r="N276" s="395"/>
      <c r="O276" s="383"/>
      <c r="P276" s="383"/>
      <c r="Q276" s="383"/>
      <c r="R276" s="383"/>
    </row>
    <row r="277" spans="1:18" ht="10.9" customHeight="1">
      <c r="A277" s="385">
        <v>135</v>
      </c>
      <c r="B277" s="387" t="s">
        <v>1035</v>
      </c>
      <c r="C277" s="387"/>
      <c r="D277" s="387"/>
      <c r="E277" s="387" t="s">
        <v>841</v>
      </c>
      <c r="F277" s="392" t="s">
        <v>842</v>
      </c>
      <c r="G277" s="387" t="s">
        <v>843</v>
      </c>
      <c r="H277" s="387"/>
      <c r="I277" s="387" t="s">
        <v>974</v>
      </c>
      <c r="J277" s="184" t="s">
        <v>591</v>
      </c>
      <c r="K277" s="184" t="s">
        <v>396</v>
      </c>
      <c r="L277" s="382">
        <v>41280</v>
      </c>
      <c r="M277" s="382">
        <v>15930</v>
      </c>
      <c r="N277" s="394">
        <v>25350</v>
      </c>
      <c r="O277" s="382">
        <v>41580</v>
      </c>
      <c r="P277" s="382">
        <v>16060</v>
      </c>
      <c r="Q277" s="382">
        <v>25520</v>
      </c>
      <c r="R277" s="384">
        <v>-170</v>
      </c>
    </row>
    <row r="278" spans="1:18" ht="10.9" customHeight="1">
      <c r="A278" s="386"/>
      <c r="B278" s="388"/>
      <c r="C278" s="389"/>
      <c r="D278" s="390"/>
      <c r="E278" s="391"/>
      <c r="F278" s="393"/>
      <c r="G278" s="388"/>
      <c r="H278" s="390"/>
      <c r="I278" s="391"/>
      <c r="J278" s="184" t="s">
        <v>622</v>
      </c>
      <c r="K278" s="184" t="s">
        <v>623</v>
      </c>
      <c r="L278" s="383"/>
      <c r="M278" s="383"/>
      <c r="N278" s="395"/>
      <c r="O278" s="383"/>
      <c r="P278" s="383"/>
      <c r="Q278" s="383"/>
      <c r="R278" s="383"/>
    </row>
    <row r="279" spans="1:18" s="228" customFormat="1" ht="10.9" customHeight="1">
      <c r="A279" s="373">
        <v>136</v>
      </c>
      <c r="B279" s="375" t="s">
        <v>1036</v>
      </c>
      <c r="C279" s="375"/>
      <c r="D279" s="375"/>
      <c r="E279" s="375" t="s">
        <v>472</v>
      </c>
      <c r="F279" s="380" t="s">
        <v>693</v>
      </c>
      <c r="G279" s="375" t="s">
        <v>694</v>
      </c>
      <c r="H279" s="375"/>
      <c r="I279" s="375" t="s">
        <v>974</v>
      </c>
      <c r="J279" s="227" t="s">
        <v>591</v>
      </c>
      <c r="K279" s="227" t="s">
        <v>396</v>
      </c>
      <c r="L279" s="370">
        <v>38520</v>
      </c>
      <c r="M279" s="370">
        <v>16630</v>
      </c>
      <c r="N279" s="371">
        <v>21890</v>
      </c>
      <c r="O279" s="370">
        <v>38520</v>
      </c>
      <c r="P279" s="370">
        <v>16500</v>
      </c>
      <c r="Q279" s="370">
        <v>22020</v>
      </c>
      <c r="R279" s="367">
        <v>-130</v>
      </c>
    </row>
    <row r="280" spans="1:18" s="228" customFormat="1" ht="10.9" customHeight="1">
      <c r="A280" s="374"/>
      <c r="B280" s="376"/>
      <c r="C280" s="377"/>
      <c r="D280" s="378"/>
      <c r="E280" s="379"/>
      <c r="F280" s="381"/>
      <c r="G280" s="376"/>
      <c r="H280" s="378"/>
      <c r="I280" s="379"/>
      <c r="J280" s="227" t="s">
        <v>622</v>
      </c>
      <c r="K280" s="227" t="s">
        <v>623</v>
      </c>
      <c r="L280" s="368"/>
      <c r="M280" s="368"/>
      <c r="N280" s="372"/>
      <c r="O280" s="368"/>
      <c r="P280" s="368"/>
      <c r="Q280" s="368"/>
      <c r="R280" s="368"/>
    </row>
    <row r="281" spans="1:18" s="228" customFormat="1" ht="10.9" customHeight="1">
      <c r="A281" s="373">
        <v>137</v>
      </c>
      <c r="B281" s="375" t="s">
        <v>1037</v>
      </c>
      <c r="C281" s="375"/>
      <c r="D281" s="375"/>
      <c r="E281" s="375" t="s">
        <v>791</v>
      </c>
      <c r="F281" s="380" t="s">
        <v>835</v>
      </c>
      <c r="G281" s="375" t="s">
        <v>836</v>
      </c>
      <c r="H281" s="375"/>
      <c r="I281" s="375" t="s">
        <v>974</v>
      </c>
      <c r="J281" s="227" t="s">
        <v>577</v>
      </c>
      <c r="K281" s="227" t="s">
        <v>396</v>
      </c>
      <c r="L281" s="370">
        <v>40460</v>
      </c>
      <c r="M281" s="370">
        <v>14970</v>
      </c>
      <c r="N281" s="371">
        <v>25490</v>
      </c>
      <c r="O281" s="370">
        <v>41000</v>
      </c>
      <c r="P281" s="370">
        <v>15100</v>
      </c>
      <c r="Q281" s="370">
        <v>25900</v>
      </c>
      <c r="R281" s="367">
        <v>-410</v>
      </c>
    </row>
    <row r="282" spans="1:18" s="228" customFormat="1" ht="10.9" customHeight="1">
      <c r="A282" s="374"/>
      <c r="B282" s="376"/>
      <c r="C282" s="377"/>
      <c r="D282" s="378"/>
      <c r="E282" s="379"/>
      <c r="F282" s="381"/>
      <c r="G282" s="376"/>
      <c r="H282" s="378"/>
      <c r="I282" s="379"/>
      <c r="J282" s="227" t="s">
        <v>622</v>
      </c>
      <c r="K282" s="227" t="s">
        <v>623</v>
      </c>
      <c r="L282" s="368"/>
      <c r="M282" s="368"/>
      <c r="N282" s="372"/>
      <c r="O282" s="368"/>
      <c r="P282" s="368"/>
      <c r="Q282" s="368"/>
      <c r="R282" s="368"/>
    </row>
    <row r="283" spans="1:18" s="228" customFormat="1" ht="10.9" customHeight="1">
      <c r="A283" s="373">
        <v>138</v>
      </c>
      <c r="B283" s="375" t="s">
        <v>1038</v>
      </c>
      <c r="C283" s="375"/>
      <c r="D283" s="375"/>
      <c r="E283" s="375" t="s">
        <v>475</v>
      </c>
      <c r="F283" s="380" t="s">
        <v>696</v>
      </c>
      <c r="G283" s="375" t="s">
        <v>697</v>
      </c>
      <c r="H283" s="375"/>
      <c r="I283" s="375" t="s">
        <v>869</v>
      </c>
      <c r="J283" s="227" t="s">
        <v>591</v>
      </c>
      <c r="K283" s="227" t="s">
        <v>396</v>
      </c>
      <c r="L283" s="370">
        <v>39420</v>
      </c>
      <c r="M283" s="370">
        <v>16570</v>
      </c>
      <c r="N283" s="371">
        <v>22850</v>
      </c>
      <c r="O283" s="370">
        <v>39540</v>
      </c>
      <c r="P283" s="370">
        <v>16360</v>
      </c>
      <c r="Q283" s="370">
        <v>23180</v>
      </c>
      <c r="R283" s="367">
        <v>-330</v>
      </c>
    </row>
    <row r="284" spans="1:18" s="228" customFormat="1" ht="10.9" customHeight="1">
      <c r="A284" s="374"/>
      <c r="B284" s="376"/>
      <c r="C284" s="377"/>
      <c r="D284" s="378"/>
      <c r="E284" s="379"/>
      <c r="F284" s="381"/>
      <c r="G284" s="376"/>
      <c r="H284" s="378"/>
      <c r="I284" s="379"/>
      <c r="J284" s="227" t="s">
        <v>622</v>
      </c>
      <c r="K284" s="227" t="s">
        <v>623</v>
      </c>
      <c r="L284" s="368"/>
      <c r="M284" s="368"/>
      <c r="N284" s="372"/>
      <c r="O284" s="368"/>
      <c r="P284" s="368"/>
      <c r="Q284" s="368"/>
      <c r="R284" s="368"/>
    </row>
    <row r="285" spans="1:18" s="228" customFormat="1" ht="10.9" customHeight="1">
      <c r="A285" s="373">
        <v>139</v>
      </c>
      <c r="B285" s="375" t="s">
        <v>1039</v>
      </c>
      <c r="C285" s="375"/>
      <c r="D285" s="375"/>
      <c r="E285" s="375" t="s">
        <v>413</v>
      </c>
      <c r="F285" s="380" t="s">
        <v>639</v>
      </c>
      <c r="G285" s="375" t="s">
        <v>1040</v>
      </c>
      <c r="H285" s="375"/>
      <c r="I285" s="375" t="s">
        <v>973</v>
      </c>
      <c r="J285" s="227" t="s">
        <v>591</v>
      </c>
      <c r="K285" s="227" t="s">
        <v>396</v>
      </c>
      <c r="L285" s="370">
        <v>41950</v>
      </c>
      <c r="M285" s="370">
        <v>14980</v>
      </c>
      <c r="N285" s="371">
        <v>26970</v>
      </c>
      <c r="O285" s="370">
        <v>42500</v>
      </c>
      <c r="P285" s="370">
        <v>15080</v>
      </c>
      <c r="Q285" s="370">
        <v>27420</v>
      </c>
      <c r="R285" s="367">
        <v>-450</v>
      </c>
    </row>
    <row r="286" spans="1:18" s="228" customFormat="1" ht="10.9" customHeight="1">
      <c r="A286" s="374"/>
      <c r="B286" s="376"/>
      <c r="C286" s="377"/>
      <c r="D286" s="378"/>
      <c r="E286" s="379"/>
      <c r="F286" s="381"/>
      <c r="G286" s="376"/>
      <c r="H286" s="378"/>
      <c r="I286" s="379"/>
      <c r="J286" s="227" t="s">
        <v>622</v>
      </c>
      <c r="K286" s="227" t="s">
        <v>623</v>
      </c>
      <c r="L286" s="368"/>
      <c r="M286" s="368"/>
      <c r="N286" s="372"/>
      <c r="O286" s="368"/>
      <c r="P286" s="368"/>
      <c r="Q286" s="368"/>
      <c r="R286" s="368"/>
    </row>
    <row r="287" spans="1:18" s="228" customFormat="1" ht="10.9" customHeight="1">
      <c r="A287" s="373">
        <v>140</v>
      </c>
      <c r="B287" s="375" t="s">
        <v>1041</v>
      </c>
      <c r="C287" s="375"/>
      <c r="D287" s="375"/>
      <c r="E287" s="375" t="s">
        <v>673</v>
      </c>
      <c r="F287" s="380" t="s">
        <v>674</v>
      </c>
      <c r="G287" s="375" t="s">
        <v>811</v>
      </c>
      <c r="H287" s="375"/>
      <c r="I287" s="375" t="s">
        <v>973</v>
      </c>
      <c r="J287" s="227" t="s">
        <v>591</v>
      </c>
      <c r="K287" s="227" t="s">
        <v>396</v>
      </c>
      <c r="L287" s="370">
        <v>46680</v>
      </c>
      <c r="M287" s="370">
        <v>19370</v>
      </c>
      <c r="N287" s="371">
        <v>27310</v>
      </c>
      <c r="O287" s="370">
        <v>47080</v>
      </c>
      <c r="P287" s="370">
        <v>19560</v>
      </c>
      <c r="Q287" s="370">
        <v>27520</v>
      </c>
      <c r="R287" s="367">
        <v>-210</v>
      </c>
    </row>
    <row r="288" spans="1:18" s="228" customFormat="1" ht="10.9" customHeight="1">
      <c r="A288" s="374"/>
      <c r="B288" s="376"/>
      <c r="C288" s="377"/>
      <c r="D288" s="378"/>
      <c r="E288" s="379"/>
      <c r="F288" s="381"/>
      <c r="G288" s="376"/>
      <c r="H288" s="378"/>
      <c r="I288" s="379"/>
      <c r="J288" s="227" t="s">
        <v>622</v>
      </c>
      <c r="K288" s="227" t="s">
        <v>623</v>
      </c>
      <c r="L288" s="368"/>
      <c r="M288" s="368"/>
      <c r="N288" s="372"/>
      <c r="O288" s="368"/>
      <c r="P288" s="368"/>
      <c r="Q288" s="368"/>
      <c r="R288" s="368"/>
    </row>
    <row r="289" spans="1:18" s="228" customFormat="1" ht="10.9" customHeight="1">
      <c r="A289" s="373">
        <v>141</v>
      </c>
      <c r="B289" s="375" t="s">
        <v>1042</v>
      </c>
      <c r="C289" s="375"/>
      <c r="D289" s="375"/>
      <c r="E289" s="375" t="s">
        <v>453</v>
      </c>
      <c r="F289" s="380" t="s">
        <v>680</v>
      </c>
      <c r="G289" s="375" t="s">
        <v>1043</v>
      </c>
      <c r="H289" s="375"/>
      <c r="I289" s="375" t="s">
        <v>973</v>
      </c>
      <c r="J289" s="227" t="s">
        <v>591</v>
      </c>
      <c r="K289" s="227" t="s">
        <v>396</v>
      </c>
      <c r="L289" s="370">
        <v>46150</v>
      </c>
      <c r="M289" s="370">
        <v>24180</v>
      </c>
      <c r="N289" s="371">
        <v>21970</v>
      </c>
      <c r="O289" s="370">
        <v>46540</v>
      </c>
      <c r="P289" s="370">
        <v>24300</v>
      </c>
      <c r="Q289" s="370">
        <v>22240</v>
      </c>
      <c r="R289" s="367">
        <v>-270</v>
      </c>
    </row>
    <row r="290" spans="1:18" s="228" customFormat="1" ht="10.9" customHeight="1">
      <c r="A290" s="374"/>
      <c r="B290" s="376"/>
      <c r="C290" s="377"/>
      <c r="D290" s="378"/>
      <c r="E290" s="379"/>
      <c r="F290" s="381"/>
      <c r="G290" s="376"/>
      <c r="H290" s="378"/>
      <c r="I290" s="379"/>
      <c r="J290" s="227" t="s">
        <v>622</v>
      </c>
      <c r="K290" s="227" t="s">
        <v>623</v>
      </c>
      <c r="L290" s="368"/>
      <c r="M290" s="368"/>
      <c r="N290" s="372"/>
      <c r="O290" s="368"/>
      <c r="P290" s="368"/>
      <c r="Q290" s="368"/>
      <c r="R290" s="368"/>
    </row>
    <row r="291" spans="1:18" s="228" customFormat="1" ht="10.9" customHeight="1">
      <c r="A291" s="373">
        <v>142</v>
      </c>
      <c r="B291" s="375" t="s">
        <v>1044</v>
      </c>
      <c r="C291" s="375"/>
      <c r="D291" s="375"/>
      <c r="E291" s="375" t="s">
        <v>456</v>
      </c>
      <c r="F291" s="380" t="s">
        <v>683</v>
      </c>
      <c r="G291" s="375" t="s">
        <v>684</v>
      </c>
      <c r="H291" s="375"/>
      <c r="I291" s="375" t="s">
        <v>973</v>
      </c>
      <c r="J291" s="227" t="s">
        <v>591</v>
      </c>
      <c r="K291" s="227" t="s">
        <v>396</v>
      </c>
      <c r="L291" s="370">
        <v>42960</v>
      </c>
      <c r="M291" s="370">
        <v>15580</v>
      </c>
      <c r="N291" s="371">
        <v>27380</v>
      </c>
      <c r="O291" s="370">
        <v>43260</v>
      </c>
      <c r="P291" s="370">
        <v>15700</v>
      </c>
      <c r="Q291" s="370">
        <v>27560</v>
      </c>
      <c r="R291" s="367">
        <v>-180</v>
      </c>
    </row>
    <row r="292" spans="1:18" s="228" customFormat="1" ht="10.9" customHeight="1">
      <c r="A292" s="374"/>
      <c r="B292" s="376"/>
      <c r="C292" s="377"/>
      <c r="D292" s="378"/>
      <c r="E292" s="379"/>
      <c r="F292" s="381"/>
      <c r="G292" s="376"/>
      <c r="H292" s="378"/>
      <c r="I292" s="379"/>
      <c r="J292" s="227" t="s">
        <v>622</v>
      </c>
      <c r="K292" s="227" t="s">
        <v>623</v>
      </c>
      <c r="L292" s="368"/>
      <c r="M292" s="368"/>
      <c r="N292" s="372"/>
      <c r="O292" s="368"/>
      <c r="P292" s="368"/>
      <c r="Q292" s="368"/>
      <c r="R292" s="368"/>
    </row>
    <row r="293" spans="1:18" ht="13.15" customHeight="1">
      <c r="A293" s="369" t="s">
        <v>490</v>
      </c>
      <c r="B293" s="369"/>
      <c r="C293" s="369"/>
      <c r="D293" s="369"/>
      <c r="E293" s="369"/>
      <c r="F293" s="369"/>
      <c r="G293" s="369"/>
      <c r="H293" s="369"/>
      <c r="I293" s="369"/>
      <c r="J293" s="369"/>
      <c r="K293" s="369"/>
      <c r="L293" s="185">
        <v>5713370</v>
      </c>
      <c r="M293" s="185">
        <v>2284020</v>
      </c>
      <c r="N293" s="226">
        <v>3429350</v>
      </c>
      <c r="O293" s="185">
        <v>5757770</v>
      </c>
      <c r="P293" s="185">
        <v>2296020</v>
      </c>
      <c r="Q293" s="185">
        <v>3461750</v>
      </c>
      <c r="R293" s="185">
        <v>-32400</v>
      </c>
    </row>
  </sheetData>
  <mergeCells count="1860">
    <mergeCell ref="R6:R8"/>
    <mergeCell ref="A9:A10"/>
    <mergeCell ref="B9:D10"/>
    <mergeCell ref="E9:E10"/>
    <mergeCell ref="F9:F10"/>
    <mergeCell ref="G9:H10"/>
    <mergeCell ref="I9:I10"/>
    <mergeCell ref="L9:L10"/>
    <mergeCell ref="M9:M10"/>
    <mergeCell ref="N9:N10"/>
    <mergeCell ref="L6:L8"/>
    <mergeCell ref="M6:M8"/>
    <mergeCell ref="N6:N8"/>
    <mergeCell ref="O6:O8"/>
    <mergeCell ref="P6:P8"/>
    <mergeCell ref="Q6:Q8"/>
    <mergeCell ref="A6:A8"/>
    <mergeCell ref="B6:D8"/>
    <mergeCell ref="E6:E8"/>
    <mergeCell ref="F6:F8"/>
    <mergeCell ref="G6:H8"/>
    <mergeCell ref="I6:I8"/>
    <mergeCell ref="R11:R12"/>
    <mergeCell ref="A13:A14"/>
    <mergeCell ref="B13:D14"/>
    <mergeCell ref="E13:E14"/>
    <mergeCell ref="F13:F14"/>
    <mergeCell ref="G13:H14"/>
    <mergeCell ref="I13:I14"/>
    <mergeCell ref="L13:L14"/>
    <mergeCell ref="M13:M14"/>
    <mergeCell ref="N13:N14"/>
    <mergeCell ref="L11:L12"/>
    <mergeCell ref="M11:M12"/>
    <mergeCell ref="N11:N12"/>
    <mergeCell ref="O11:O12"/>
    <mergeCell ref="P11:P12"/>
    <mergeCell ref="Q11:Q12"/>
    <mergeCell ref="O9:O10"/>
    <mergeCell ref="P9:P10"/>
    <mergeCell ref="Q9:Q10"/>
    <mergeCell ref="R9:R10"/>
    <mergeCell ref="A11:A12"/>
    <mergeCell ref="B11:D12"/>
    <mergeCell ref="E11:E12"/>
    <mergeCell ref="F11:F12"/>
    <mergeCell ref="G11:H12"/>
    <mergeCell ref="I11:I12"/>
    <mergeCell ref="R15:R16"/>
    <mergeCell ref="A17:A18"/>
    <mergeCell ref="B17:D18"/>
    <mergeCell ref="E17:E18"/>
    <mergeCell ref="F17:F18"/>
    <mergeCell ref="G17:H18"/>
    <mergeCell ref="I17:I18"/>
    <mergeCell ref="L17:L18"/>
    <mergeCell ref="M17:M18"/>
    <mergeCell ref="N17:N18"/>
    <mergeCell ref="L15:L16"/>
    <mergeCell ref="M15:M16"/>
    <mergeCell ref="N15:N16"/>
    <mergeCell ref="O15:O16"/>
    <mergeCell ref="P15:P16"/>
    <mergeCell ref="Q15:Q16"/>
    <mergeCell ref="O13:O14"/>
    <mergeCell ref="P13:P14"/>
    <mergeCell ref="Q13:Q14"/>
    <mergeCell ref="R13:R14"/>
    <mergeCell ref="A15:A16"/>
    <mergeCell ref="B15:D16"/>
    <mergeCell ref="E15:E16"/>
    <mergeCell ref="F15:F16"/>
    <mergeCell ref="G15:H16"/>
    <mergeCell ref="I15:I16"/>
    <mergeCell ref="R19:R20"/>
    <mergeCell ref="A21:A22"/>
    <mergeCell ref="B21:D22"/>
    <mergeCell ref="E21:E22"/>
    <mergeCell ref="F21:F22"/>
    <mergeCell ref="G21:H22"/>
    <mergeCell ref="I21:I22"/>
    <mergeCell ref="L21:L22"/>
    <mergeCell ref="M21:M22"/>
    <mergeCell ref="N21:N22"/>
    <mergeCell ref="L19:L20"/>
    <mergeCell ref="M19:M20"/>
    <mergeCell ref="N19:N20"/>
    <mergeCell ref="O19:O20"/>
    <mergeCell ref="P19:P20"/>
    <mergeCell ref="Q19:Q20"/>
    <mergeCell ref="O17:O18"/>
    <mergeCell ref="P17:P18"/>
    <mergeCell ref="Q17:Q18"/>
    <mergeCell ref="R17:R18"/>
    <mergeCell ref="A19:A20"/>
    <mergeCell ref="B19:D20"/>
    <mergeCell ref="E19:E20"/>
    <mergeCell ref="F19:F20"/>
    <mergeCell ref="G19:H20"/>
    <mergeCell ref="I19:I20"/>
    <mergeCell ref="R23:R24"/>
    <mergeCell ref="A25:A26"/>
    <mergeCell ref="B25:D26"/>
    <mergeCell ref="E25:E26"/>
    <mergeCell ref="F25:F26"/>
    <mergeCell ref="G25:H26"/>
    <mergeCell ref="I25:I26"/>
    <mergeCell ref="L25:L26"/>
    <mergeCell ref="M25:M26"/>
    <mergeCell ref="N25:N26"/>
    <mergeCell ref="L23:L24"/>
    <mergeCell ref="M23:M24"/>
    <mergeCell ref="N23:N24"/>
    <mergeCell ref="O23:O24"/>
    <mergeCell ref="P23:P24"/>
    <mergeCell ref="Q23:Q24"/>
    <mergeCell ref="O21:O22"/>
    <mergeCell ref="P21:P22"/>
    <mergeCell ref="Q21:Q22"/>
    <mergeCell ref="R21:R22"/>
    <mergeCell ref="A23:A24"/>
    <mergeCell ref="B23:D24"/>
    <mergeCell ref="E23:E24"/>
    <mergeCell ref="F23:F24"/>
    <mergeCell ref="G23:H24"/>
    <mergeCell ref="I23:I24"/>
    <mergeCell ref="R27:R28"/>
    <mergeCell ref="A29:A30"/>
    <mergeCell ref="B29:D30"/>
    <mergeCell ref="E29:E30"/>
    <mergeCell ref="F29:F30"/>
    <mergeCell ref="G29:H30"/>
    <mergeCell ref="I29:I30"/>
    <mergeCell ref="L29:L30"/>
    <mergeCell ref="M29:M30"/>
    <mergeCell ref="N29:N30"/>
    <mergeCell ref="L27:L28"/>
    <mergeCell ref="M27:M28"/>
    <mergeCell ref="N27:N28"/>
    <mergeCell ref="O27:O28"/>
    <mergeCell ref="P27:P28"/>
    <mergeCell ref="Q27:Q28"/>
    <mergeCell ref="O25:O26"/>
    <mergeCell ref="P25:P26"/>
    <mergeCell ref="Q25:Q26"/>
    <mergeCell ref="R25:R26"/>
    <mergeCell ref="A27:A28"/>
    <mergeCell ref="B27:D28"/>
    <mergeCell ref="E27:E28"/>
    <mergeCell ref="F27:F28"/>
    <mergeCell ref="G27:H28"/>
    <mergeCell ref="I27:I28"/>
    <mergeCell ref="R31:R32"/>
    <mergeCell ref="A33:A34"/>
    <mergeCell ref="B33:D34"/>
    <mergeCell ref="E33:E34"/>
    <mergeCell ref="F33:F34"/>
    <mergeCell ref="G33:H34"/>
    <mergeCell ref="I33:I34"/>
    <mergeCell ref="L33:L34"/>
    <mergeCell ref="M33:M34"/>
    <mergeCell ref="N33:N34"/>
    <mergeCell ref="L31:L32"/>
    <mergeCell ref="M31:M32"/>
    <mergeCell ref="N31:N32"/>
    <mergeCell ref="O31:O32"/>
    <mergeCell ref="P31:P32"/>
    <mergeCell ref="Q31:Q32"/>
    <mergeCell ref="O29:O30"/>
    <mergeCell ref="P29:P30"/>
    <mergeCell ref="Q29:Q30"/>
    <mergeCell ref="R29:R30"/>
    <mergeCell ref="A31:A32"/>
    <mergeCell ref="B31:D32"/>
    <mergeCell ref="E31:E32"/>
    <mergeCell ref="F31:F32"/>
    <mergeCell ref="G31:H32"/>
    <mergeCell ref="I31:I32"/>
    <mergeCell ref="R35:R36"/>
    <mergeCell ref="A37:A38"/>
    <mergeCell ref="B37:D38"/>
    <mergeCell ref="E37:E38"/>
    <mergeCell ref="F37:F38"/>
    <mergeCell ref="G37:H38"/>
    <mergeCell ref="I37:I38"/>
    <mergeCell ref="L37:L38"/>
    <mergeCell ref="M37:M38"/>
    <mergeCell ref="N37:N38"/>
    <mergeCell ref="L35:L36"/>
    <mergeCell ref="M35:M36"/>
    <mergeCell ref="N35:N36"/>
    <mergeCell ref="O35:O36"/>
    <mergeCell ref="P35:P36"/>
    <mergeCell ref="Q35:Q36"/>
    <mergeCell ref="O33:O34"/>
    <mergeCell ref="P33:P34"/>
    <mergeCell ref="Q33:Q34"/>
    <mergeCell ref="R33:R34"/>
    <mergeCell ref="A35:A36"/>
    <mergeCell ref="B35:D36"/>
    <mergeCell ref="E35:E36"/>
    <mergeCell ref="F35:F36"/>
    <mergeCell ref="G35:H36"/>
    <mergeCell ref="I35:I36"/>
    <mergeCell ref="R39:R40"/>
    <mergeCell ref="A41:A42"/>
    <mergeCell ref="B41:D42"/>
    <mergeCell ref="E41:E42"/>
    <mergeCell ref="F41:F42"/>
    <mergeCell ref="G41:H42"/>
    <mergeCell ref="I41:I42"/>
    <mergeCell ref="L41:L42"/>
    <mergeCell ref="M41:M42"/>
    <mergeCell ref="N41:N42"/>
    <mergeCell ref="L39:L40"/>
    <mergeCell ref="M39:M40"/>
    <mergeCell ref="N39:N40"/>
    <mergeCell ref="O39:O40"/>
    <mergeCell ref="P39:P40"/>
    <mergeCell ref="Q39:Q40"/>
    <mergeCell ref="O37:O38"/>
    <mergeCell ref="P37:P38"/>
    <mergeCell ref="Q37:Q38"/>
    <mergeCell ref="R37:R38"/>
    <mergeCell ref="A39:A40"/>
    <mergeCell ref="B39:D40"/>
    <mergeCell ref="E39:E40"/>
    <mergeCell ref="F39:F40"/>
    <mergeCell ref="G39:H40"/>
    <mergeCell ref="I39:I40"/>
    <mergeCell ref="R43:R44"/>
    <mergeCell ref="A45:A46"/>
    <mergeCell ref="B45:D46"/>
    <mergeCell ref="E45:E46"/>
    <mergeCell ref="F45:F46"/>
    <mergeCell ref="G45:H46"/>
    <mergeCell ref="I45:I46"/>
    <mergeCell ref="L45:L46"/>
    <mergeCell ref="M45:M46"/>
    <mergeCell ref="N45:N46"/>
    <mergeCell ref="L43:L44"/>
    <mergeCell ref="M43:M44"/>
    <mergeCell ref="N43:N44"/>
    <mergeCell ref="O43:O44"/>
    <mergeCell ref="P43:P44"/>
    <mergeCell ref="Q43:Q44"/>
    <mergeCell ref="O41:O42"/>
    <mergeCell ref="P41:P42"/>
    <mergeCell ref="Q41:Q42"/>
    <mergeCell ref="R41:R42"/>
    <mergeCell ref="A43:A44"/>
    <mergeCell ref="B43:D44"/>
    <mergeCell ref="E43:E44"/>
    <mergeCell ref="F43:F44"/>
    <mergeCell ref="G43:H44"/>
    <mergeCell ref="I43:I44"/>
    <mergeCell ref="R47:R48"/>
    <mergeCell ref="A49:A50"/>
    <mergeCell ref="B49:D50"/>
    <mergeCell ref="E49:E50"/>
    <mergeCell ref="F49:F50"/>
    <mergeCell ref="G49:H50"/>
    <mergeCell ref="I49:I50"/>
    <mergeCell ref="L49:L50"/>
    <mergeCell ref="M49:M50"/>
    <mergeCell ref="N49:N50"/>
    <mergeCell ref="L47:L48"/>
    <mergeCell ref="M47:M48"/>
    <mergeCell ref="N47:N48"/>
    <mergeCell ref="O47:O48"/>
    <mergeCell ref="P47:P48"/>
    <mergeCell ref="Q47:Q48"/>
    <mergeCell ref="O45:O46"/>
    <mergeCell ref="P45:P46"/>
    <mergeCell ref="Q45:Q46"/>
    <mergeCell ref="R45:R46"/>
    <mergeCell ref="A47:A48"/>
    <mergeCell ref="B47:D48"/>
    <mergeCell ref="E47:E48"/>
    <mergeCell ref="F47:F48"/>
    <mergeCell ref="G47:H48"/>
    <mergeCell ref="I47:I48"/>
    <mergeCell ref="R51:R52"/>
    <mergeCell ref="A53:A54"/>
    <mergeCell ref="B53:D54"/>
    <mergeCell ref="E53:E54"/>
    <mergeCell ref="F53:F54"/>
    <mergeCell ref="G53:H54"/>
    <mergeCell ref="I53:I54"/>
    <mergeCell ref="L53:L54"/>
    <mergeCell ref="M53:M54"/>
    <mergeCell ref="N53:N54"/>
    <mergeCell ref="L51:L52"/>
    <mergeCell ref="M51:M52"/>
    <mergeCell ref="N51:N52"/>
    <mergeCell ref="O51:O52"/>
    <mergeCell ref="P51:P52"/>
    <mergeCell ref="Q51:Q52"/>
    <mergeCell ref="O49:O50"/>
    <mergeCell ref="P49:P50"/>
    <mergeCell ref="Q49:Q50"/>
    <mergeCell ref="R49:R50"/>
    <mergeCell ref="A51:A52"/>
    <mergeCell ref="B51:D52"/>
    <mergeCell ref="E51:E52"/>
    <mergeCell ref="F51:F52"/>
    <mergeCell ref="G51:H52"/>
    <mergeCell ref="I51:I52"/>
    <mergeCell ref="R55:R56"/>
    <mergeCell ref="A57:A58"/>
    <mergeCell ref="B57:D58"/>
    <mergeCell ref="E57:E58"/>
    <mergeCell ref="F57:F58"/>
    <mergeCell ref="G57:H58"/>
    <mergeCell ref="I57:I58"/>
    <mergeCell ref="L57:L58"/>
    <mergeCell ref="M57:M58"/>
    <mergeCell ref="N57:N58"/>
    <mergeCell ref="L55:L56"/>
    <mergeCell ref="M55:M56"/>
    <mergeCell ref="N55:N56"/>
    <mergeCell ref="O55:O56"/>
    <mergeCell ref="P55:P56"/>
    <mergeCell ref="Q55:Q56"/>
    <mergeCell ref="O53:O54"/>
    <mergeCell ref="P53:P54"/>
    <mergeCell ref="Q53:Q54"/>
    <mergeCell ref="R53:R54"/>
    <mergeCell ref="A55:A56"/>
    <mergeCell ref="B55:D56"/>
    <mergeCell ref="E55:E56"/>
    <mergeCell ref="F55:F56"/>
    <mergeCell ref="G55:H56"/>
    <mergeCell ref="I55:I56"/>
    <mergeCell ref="R59:R60"/>
    <mergeCell ref="A61:A62"/>
    <mergeCell ref="B61:D62"/>
    <mergeCell ref="E61:E62"/>
    <mergeCell ref="F61:F62"/>
    <mergeCell ref="G61:H62"/>
    <mergeCell ref="I61:I62"/>
    <mergeCell ref="L61:L62"/>
    <mergeCell ref="M61:M62"/>
    <mergeCell ref="N61:N62"/>
    <mergeCell ref="L59:L60"/>
    <mergeCell ref="M59:M60"/>
    <mergeCell ref="N59:N60"/>
    <mergeCell ref="O59:O60"/>
    <mergeCell ref="P59:P60"/>
    <mergeCell ref="Q59:Q60"/>
    <mergeCell ref="O57:O58"/>
    <mergeCell ref="P57:P58"/>
    <mergeCell ref="Q57:Q58"/>
    <mergeCell ref="R57:R58"/>
    <mergeCell ref="A59:A60"/>
    <mergeCell ref="B59:D60"/>
    <mergeCell ref="E59:E60"/>
    <mergeCell ref="F59:F60"/>
    <mergeCell ref="G59:H60"/>
    <mergeCell ref="I59:I60"/>
    <mergeCell ref="R63:R64"/>
    <mergeCell ref="A65:A66"/>
    <mergeCell ref="B65:D66"/>
    <mergeCell ref="E65:E66"/>
    <mergeCell ref="F65:F66"/>
    <mergeCell ref="G65:H66"/>
    <mergeCell ref="I65:I66"/>
    <mergeCell ref="L65:L66"/>
    <mergeCell ref="M65:M66"/>
    <mergeCell ref="N65:N66"/>
    <mergeCell ref="L63:L64"/>
    <mergeCell ref="M63:M64"/>
    <mergeCell ref="N63:N64"/>
    <mergeCell ref="O63:O64"/>
    <mergeCell ref="P63:P64"/>
    <mergeCell ref="Q63:Q64"/>
    <mergeCell ref="O61:O62"/>
    <mergeCell ref="P61:P62"/>
    <mergeCell ref="Q61:Q62"/>
    <mergeCell ref="R61:R62"/>
    <mergeCell ref="A63:A64"/>
    <mergeCell ref="B63:D64"/>
    <mergeCell ref="E63:E64"/>
    <mergeCell ref="F63:F64"/>
    <mergeCell ref="G63:H64"/>
    <mergeCell ref="I63:I64"/>
    <mergeCell ref="R67:R68"/>
    <mergeCell ref="A69:A70"/>
    <mergeCell ref="B69:D70"/>
    <mergeCell ref="E69:E70"/>
    <mergeCell ref="F69:F70"/>
    <mergeCell ref="G69:H70"/>
    <mergeCell ref="I69:I70"/>
    <mergeCell ref="L69:L70"/>
    <mergeCell ref="M69:M70"/>
    <mergeCell ref="N69:N70"/>
    <mergeCell ref="L67:L68"/>
    <mergeCell ref="M67:M68"/>
    <mergeCell ref="N67:N68"/>
    <mergeCell ref="O67:O68"/>
    <mergeCell ref="P67:P68"/>
    <mergeCell ref="Q67:Q68"/>
    <mergeCell ref="O65:O66"/>
    <mergeCell ref="P65:P66"/>
    <mergeCell ref="Q65:Q66"/>
    <mergeCell ref="R65:R66"/>
    <mergeCell ref="A67:A68"/>
    <mergeCell ref="B67:D68"/>
    <mergeCell ref="E67:E68"/>
    <mergeCell ref="F67:F68"/>
    <mergeCell ref="G67:H68"/>
    <mergeCell ref="I67:I68"/>
    <mergeCell ref="R71:R72"/>
    <mergeCell ref="A73:A74"/>
    <mergeCell ref="B73:D74"/>
    <mergeCell ref="E73:E74"/>
    <mergeCell ref="F73:F74"/>
    <mergeCell ref="G73:H74"/>
    <mergeCell ref="I73:I74"/>
    <mergeCell ref="L73:L74"/>
    <mergeCell ref="M73:M74"/>
    <mergeCell ref="N73:N74"/>
    <mergeCell ref="L71:L72"/>
    <mergeCell ref="M71:M72"/>
    <mergeCell ref="N71:N72"/>
    <mergeCell ref="O71:O72"/>
    <mergeCell ref="P71:P72"/>
    <mergeCell ref="Q71:Q72"/>
    <mergeCell ref="O69:O70"/>
    <mergeCell ref="P69:P70"/>
    <mergeCell ref="Q69:Q70"/>
    <mergeCell ref="R69:R70"/>
    <mergeCell ref="A71:A72"/>
    <mergeCell ref="B71:D72"/>
    <mergeCell ref="E71:E72"/>
    <mergeCell ref="F71:F72"/>
    <mergeCell ref="G71:H72"/>
    <mergeCell ref="I71:I72"/>
    <mergeCell ref="R75:R76"/>
    <mergeCell ref="A77:A78"/>
    <mergeCell ref="B77:D78"/>
    <mergeCell ref="E77:E78"/>
    <mergeCell ref="F77:F78"/>
    <mergeCell ref="G77:H78"/>
    <mergeCell ref="I77:I78"/>
    <mergeCell ref="L77:L78"/>
    <mergeCell ref="M77:M78"/>
    <mergeCell ref="N77:N78"/>
    <mergeCell ref="L75:L76"/>
    <mergeCell ref="M75:M76"/>
    <mergeCell ref="N75:N76"/>
    <mergeCell ref="O75:O76"/>
    <mergeCell ref="P75:P76"/>
    <mergeCell ref="Q75:Q76"/>
    <mergeCell ref="O73:O74"/>
    <mergeCell ref="P73:P74"/>
    <mergeCell ref="Q73:Q74"/>
    <mergeCell ref="R73:R74"/>
    <mergeCell ref="A75:A76"/>
    <mergeCell ref="B75:D76"/>
    <mergeCell ref="E75:E76"/>
    <mergeCell ref="F75:F76"/>
    <mergeCell ref="G75:H76"/>
    <mergeCell ref="I75:I76"/>
    <mergeCell ref="R79:R80"/>
    <mergeCell ref="A81:A82"/>
    <mergeCell ref="B81:D82"/>
    <mergeCell ref="E81:E82"/>
    <mergeCell ref="F81:F82"/>
    <mergeCell ref="G81:H82"/>
    <mergeCell ref="I81:I82"/>
    <mergeCell ref="L81:L82"/>
    <mergeCell ref="M81:M82"/>
    <mergeCell ref="N81:N82"/>
    <mergeCell ref="L79:L80"/>
    <mergeCell ref="M79:M80"/>
    <mergeCell ref="N79:N80"/>
    <mergeCell ref="O79:O80"/>
    <mergeCell ref="P79:P80"/>
    <mergeCell ref="Q79:Q80"/>
    <mergeCell ref="O77:O78"/>
    <mergeCell ref="P77:P78"/>
    <mergeCell ref="Q77:Q78"/>
    <mergeCell ref="R77:R78"/>
    <mergeCell ref="A79:A80"/>
    <mergeCell ref="B79:D80"/>
    <mergeCell ref="E79:E80"/>
    <mergeCell ref="F79:F80"/>
    <mergeCell ref="G79:H80"/>
    <mergeCell ref="I79:I80"/>
    <mergeCell ref="R83:R84"/>
    <mergeCell ref="A85:A86"/>
    <mergeCell ref="B85:D86"/>
    <mergeCell ref="E85:E86"/>
    <mergeCell ref="F85:F86"/>
    <mergeCell ref="G85:H86"/>
    <mergeCell ref="I85:I86"/>
    <mergeCell ref="L85:L86"/>
    <mergeCell ref="M85:M86"/>
    <mergeCell ref="N85:N86"/>
    <mergeCell ref="L83:L84"/>
    <mergeCell ref="M83:M84"/>
    <mergeCell ref="N83:N84"/>
    <mergeCell ref="O83:O84"/>
    <mergeCell ref="P83:P84"/>
    <mergeCell ref="Q83:Q84"/>
    <mergeCell ref="O81:O82"/>
    <mergeCell ref="P81:P82"/>
    <mergeCell ref="Q81:Q82"/>
    <mergeCell ref="R81:R82"/>
    <mergeCell ref="A83:A84"/>
    <mergeCell ref="B83:D84"/>
    <mergeCell ref="E83:E84"/>
    <mergeCell ref="F83:F84"/>
    <mergeCell ref="G83:H84"/>
    <mergeCell ref="I83:I84"/>
    <mergeCell ref="R87:R88"/>
    <mergeCell ref="A89:A90"/>
    <mergeCell ref="B89:D90"/>
    <mergeCell ref="E89:E90"/>
    <mergeCell ref="F89:F90"/>
    <mergeCell ref="G89:H90"/>
    <mergeCell ref="I89:I90"/>
    <mergeCell ref="L89:L90"/>
    <mergeCell ref="M89:M90"/>
    <mergeCell ref="N89:N90"/>
    <mergeCell ref="L87:L88"/>
    <mergeCell ref="M87:M88"/>
    <mergeCell ref="N87:N88"/>
    <mergeCell ref="O87:O88"/>
    <mergeCell ref="P87:P88"/>
    <mergeCell ref="Q87:Q88"/>
    <mergeCell ref="O85:O86"/>
    <mergeCell ref="P85:P86"/>
    <mergeCell ref="Q85:Q86"/>
    <mergeCell ref="R85:R86"/>
    <mergeCell ref="A87:A88"/>
    <mergeCell ref="B87:D88"/>
    <mergeCell ref="E87:E88"/>
    <mergeCell ref="F87:F88"/>
    <mergeCell ref="G87:H88"/>
    <mergeCell ref="I87:I88"/>
    <mergeCell ref="R91:R92"/>
    <mergeCell ref="A93:A94"/>
    <mergeCell ref="B93:D94"/>
    <mergeCell ref="E93:E94"/>
    <mergeCell ref="F93:F94"/>
    <mergeCell ref="G93:H94"/>
    <mergeCell ref="I93:I94"/>
    <mergeCell ref="L93:L94"/>
    <mergeCell ref="M93:M94"/>
    <mergeCell ref="N93:N94"/>
    <mergeCell ref="L91:L92"/>
    <mergeCell ref="M91:M92"/>
    <mergeCell ref="N91:N92"/>
    <mergeCell ref="O91:O92"/>
    <mergeCell ref="P91:P92"/>
    <mergeCell ref="Q91:Q92"/>
    <mergeCell ref="O89:O90"/>
    <mergeCell ref="P89:P90"/>
    <mergeCell ref="Q89:Q90"/>
    <mergeCell ref="R89:R90"/>
    <mergeCell ref="A91:A92"/>
    <mergeCell ref="B91:D92"/>
    <mergeCell ref="E91:E92"/>
    <mergeCell ref="F91:F92"/>
    <mergeCell ref="G91:H92"/>
    <mergeCell ref="I91:I92"/>
    <mergeCell ref="R95:R96"/>
    <mergeCell ref="A97:A98"/>
    <mergeCell ref="B97:D98"/>
    <mergeCell ref="E97:E98"/>
    <mergeCell ref="F97:F98"/>
    <mergeCell ref="G97:H98"/>
    <mergeCell ref="I97:I98"/>
    <mergeCell ref="L97:L98"/>
    <mergeCell ref="M97:M98"/>
    <mergeCell ref="N97:N98"/>
    <mergeCell ref="L95:L96"/>
    <mergeCell ref="M95:M96"/>
    <mergeCell ref="N95:N96"/>
    <mergeCell ref="O95:O96"/>
    <mergeCell ref="P95:P96"/>
    <mergeCell ref="Q95:Q96"/>
    <mergeCell ref="O93:O94"/>
    <mergeCell ref="P93:P94"/>
    <mergeCell ref="Q93:Q94"/>
    <mergeCell ref="R93:R94"/>
    <mergeCell ref="A95:A96"/>
    <mergeCell ref="B95:D96"/>
    <mergeCell ref="E95:E96"/>
    <mergeCell ref="F95:F96"/>
    <mergeCell ref="G95:H96"/>
    <mergeCell ref="I95:I96"/>
    <mergeCell ref="R99:R100"/>
    <mergeCell ref="A101:A102"/>
    <mergeCell ref="B101:D102"/>
    <mergeCell ref="E101:E102"/>
    <mergeCell ref="F101:F102"/>
    <mergeCell ref="G101:H102"/>
    <mergeCell ref="I101:I102"/>
    <mergeCell ref="L101:L102"/>
    <mergeCell ref="M101:M102"/>
    <mergeCell ref="N101:N102"/>
    <mergeCell ref="L99:L100"/>
    <mergeCell ref="M99:M100"/>
    <mergeCell ref="N99:N100"/>
    <mergeCell ref="O99:O100"/>
    <mergeCell ref="P99:P100"/>
    <mergeCell ref="Q99:Q100"/>
    <mergeCell ref="O97:O98"/>
    <mergeCell ref="P97:P98"/>
    <mergeCell ref="Q97:Q98"/>
    <mergeCell ref="R97:R98"/>
    <mergeCell ref="A99:A100"/>
    <mergeCell ref="B99:D100"/>
    <mergeCell ref="E99:E100"/>
    <mergeCell ref="F99:F100"/>
    <mergeCell ref="G99:H100"/>
    <mergeCell ref="I99:I100"/>
    <mergeCell ref="R103:R104"/>
    <mergeCell ref="A105:A106"/>
    <mergeCell ref="B105:D106"/>
    <mergeCell ref="E105:E106"/>
    <mergeCell ref="F105:F106"/>
    <mergeCell ref="G105:H106"/>
    <mergeCell ref="I105:I106"/>
    <mergeCell ref="L105:L106"/>
    <mergeCell ref="M105:M106"/>
    <mergeCell ref="N105:N106"/>
    <mergeCell ref="L103:L104"/>
    <mergeCell ref="M103:M104"/>
    <mergeCell ref="N103:N104"/>
    <mergeCell ref="O103:O104"/>
    <mergeCell ref="P103:P104"/>
    <mergeCell ref="Q103:Q104"/>
    <mergeCell ref="O101:O102"/>
    <mergeCell ref="P101:P102"/>
    <mergeCell ref="Q101:Q102"/>
    <mergeCell ref="R101:R102"/>
    <mergeCell ref="A103:A104"/>
    <mergeCell ref="B103:D104"/>
    <mergeCell ref="E103:E104"/>
    <mergeCell ref="F103:F104"/>
    <mergeCell ref="G103:H104"/>
    <mergeCell ref="I103:I104"/>
    <mergeCell ref="R107:R108"/>
    <mergeCell ref="A109:A110"/>
    <mergeCell ref="B109:D110"/>
    <mergeCell ref="E109:E110"/>
    <mergeCell ref="F109:F110"/>
    <mergeCell ref="G109:H110"/>
    <mergeCell ref="I109:I110"/>
    <mergeCell ref="L109:L110"/>
    <mergeCell ref="M109:M110"/>
    <mergeCell ref="N109:N110"/>
    <mergeCell ref="L107:L108"/>
    <mergeCell ref="M107:M108"/>
    <mergeCell ref="N107:N108"/>
    <mergeCell ref="O107:O108"/>
    <mergeCell ref="P107:P108"/>
    <mergeCell ref="Q107:Q108"/>
    <mergeCell ref="O105:O106"/>
    <mergeCell ref="P105:P106"/>
    <mergeCell ref="Q105:Q106"/>
    <mergeCell ref="R105:R106"/>
    <mergeCell ref="A107:A108"/>
    <mergeCell ref="B107:D108"/>
    <mergeCell ref="E107:E108"/>
    <mergeCell ref="F107:F108"/>
    <mergeCell ref="G107:H108"/>
    <mergeCell ref="I107:I108"/>
    <mergeCell ref="R111:R112"/>
    <mergeCell ref="A113:A114"/>
    <mergeCell ref="B113:D114"/>
    <mergeCell ref="E113:E114"/>
    <mergeCell ref="F113:F114"/>
    <mergeCell ref="G113:H114"/>
    <mergeCell ref="I113:I114"/>
    <mergeCell ref="L113:L114"/>
    <mergeCell ref="M113:M114"/>
    <mergeCell ref="N113:N114"/>
    <mergeCell ref="L111:L112"/>
    <mergeCell ref="M111:M112"/>
    <mergeCell ref="N111:N112"/>
    <mergeCell ref="O111:O112"/>
    <mergeCell ref="P111:P112"/>
    <mergeCell ref="Q111:Q112"/>
    <mergeCell ref="O109:O110"/>
    <mergeCell ref="P109:P110"/>
    <mergeCell ref="Q109:Q110"/>
    <mergeCell ref="R109:R110"/>
    <mergeCell ref="A111:A112"/>
    <mergeCell ref="B111:D112"/>
    <mergeCell ref="E111:E112"/>
    <mergeCell ref="F111:F112"/>
    <mergeCell ref="G111:H112"/>
    <mergeCell ref="I111:I112"/>
    <mergeCell ref="R115:R116"/>
    <mergeCell ref="A117:A118"/>
    <mergeCell ref="B117:D118"/>
    <mergeCell ref="E117:E118"/>
    <mergeCell ref="F117:F118"/>
    <mergeCell ref="G117:H118"/>
    <mergeCell ref="I117:I118"/>
    <mergeCell ref="L117:L118"/>
    <mergeCell ref="M117:M118"/>
    <mergeCell ref="N117:N118"/>
    <mergeCell ref="L115:L116"/>
    <mergeCell ref="M115:M116"/>
    <mergeCell ref="N115:N116"/>
    <mergeCell ref="O115:O116"/>
    <mergeCell ref="P115:P116"/>
    <mergeCell ref="Q115:Q116"/>
    <mergeCell ref="O113:O114"/>
    <mergeCell ref="P113:P114"/>
    <mergeCell ref="Q113:Q114"/>
    <mergeCell ref="R113:R114"/>
    <mergeCell ref="A115:A116"/>
    <mergeCell ref="B115:D116"/>
    <mergeCell ref="E115:E116"/>
    <mergeCell ref="F115:F116"/>
    <mergeCell ref="G115:H116"/>
    <mergeCell ref="I115:I116"/>
    <mergeCell ref="R119:R120"/>
    <mergeCell ref="A121:A122"/>
    <mergeCell ref="B121:D122"/>
    <mergeCell ref="E121:E122"/>
    <mergeCell ref="F121:F122"/>
    <mergeCell ref="G121:H122"/>
    <mergeCell ref="I121:I122"/>
    <mergeCell ref="L121:L122"/>
    <mergeCell ref="M121:M122"/>
    <mergeCell ref="N121:N122"/>
    <mergeCell ref="L119:L120"/>
    <mergeCell ref="M119:M120"/>
    <mergeCell ref="N119:N120"/>
    <mergeCell ref="O119:O120"/>
    <mergeCell ref="P119:P120"/>
    <mergeCell ref="Q119:Q120"/>
    <mergeCell ref="O117:O118"/>
    <mergeCell ref="P117:P118"/>
    <mergeCell ref="Q117:Q118"/>
    <mergeCell ref="R117:R118"/>
    <mergeCell ref="A119:A120"/>
    <mergeCell ref="B119:D120"/>
    <mergeCell ref="E119:E120"/>
    <mergeCell ref="F119:F120"/>
    <mergeCell ref="G119:H120"/>
    <mergeCell ref="I119:I120"/>
    <mergeCell ref="R123:R124"/>
    <mergeCell ref="A125:A126"/>
    <mergeCell ref="B125:D126"/>
    <mergeCell ref="E125:E126"/>
    <mergeCell ref="F125:F126"/>
    <mergeCell ref="G125:H126"/>
    <mergeCell ref="I125:I126"/>
    <mergeCell ref="L125:L126"/>
    <mergeCell ref="M125:M126"/>
    <mergeCell ref="N125:N126"/>
    <mergeCell ref="L123:L124"/>
    <mergeCell ref="M123:M124"/>
    <mergeCell ref="N123:N124"/>
    <mergeCell ref="O123:O124"/>
    <mergeCell ref="P123:P124"/>
    <mergeCell ref="Q123:Q124"/>
    <mergeCell ref="O121:O122"/>
    <mergeCell ref="P121:P122"/>
    <mergeCell ref="Q121:Q122"/>
    <mergeCell ref="R121:R122"/>
    <mergeCell ref="A123:A124"/>
    <mergeCell ref="B123:D124"/>
    <mergeCell ref="E123:E124"/>
    <mergeCell ref="F123:F124"/>
    <mergeCell ref="G123:H124"/>
    <mergeCell ref="I123:I124"/>
    <mergeCell ref="R127:R128"/>
    <mergeCell ref="A129:A130"/>
    <mergeCell ref="B129:D130"/>
    <mergeCell ref="E129:E130"/>
    <mergeCell ref="F129:F130"/>
    <mergeCell ref="G129:H130"/>
    <mergeCell ref="I129:I130"/>
    <mergeCell ref="L129:L130"/>
    <mergeCell ref="M129:M130"/>
    <mergeCell ref="N129:N130"/>
    <mergeCell ref="L127:L128"/>
    <mergeCell ref="M127:M128"/>
    <mergeCell ref="N127:N128"/>
    <mergeCell ref="O127:O128"/>
    <mergeCell ref="P127:P128"/>
    <mergeCell ref="Q127:Q128"/>
    <mergeCell ref="O125:O126"/>
    <mergeCell ref="P125:P126"/>
    <mergeCell ref="Q125:Q126"/>
    <mergeCell ref="R125:R126"/>
    <mergeCell ref="A127:A128"/>
    <mergeCell ref="B127:D128"/>
    <mergeCell ref="E127:E128"/>
    <mergeCell ref="F127:F128"/>
    <mergeCell ref="G127:H128"/>
    <mergeCell ref="I127:I128"/>
    <mergeCell ref="R131:R132"/>
    <mergeCell ref="A133:A134"/>
    <mergeCell ref="B133:D134"/>
    <mergeCell ref="E133:E134"/>
    <mergeCell ref="F133:F134"/>
    <mergeCell ref="G133:H134"/>
    <mergeCell ref="I133:I134"/>
    <mergeCell ref="L133:L134"/>
    <mergeCell ref="M133:M134"/>
    <mergeCell ref="N133:N134"/>
    <mergeCell ref="L131:L132"/>
    <mergeCell ref="M131:M132"/>
    <mergeCell ref="N131:N132"/>
    <mergeCell ref="O131:O132"/>
    <mergeCell ref="P131:P132"/>
    <mergeCell ref="Q131:Q132"/>
    <mergeCell ref="O129:O130"/>
    <mergeCell ref="P129:P130"/>
    <mergeCell ref="Q129:Q130"/>
    <mergeCell ref="R129:R130"/>
    <mergeCell ref="A131:A132"/>
    <mergeCell ref="B131:D132"/>
    <mergeCell ref="E131:E132"/>
    <mergeCell ref="F131:F132"/>
    <mergeCell ref="G131:H132"/>
    <mergeCell ref="I131:I132"/>
    <mergeCell ref="R135:R136"/>
    <mergeCell ref="A137:A138"/>
    <mergeCell ref="B137:D138"/>
    <mergeCell ref="E137:E138"/>
    <mergeCell ref="F137:F138"/>
    <mergeCell ref="G137:H138"/>
    <mergeCell ref="I137:I138"/>
    <mergeCell ref="L137:L138"/>
    <mergeCell ref="M137:M138"/>
    <mergeCell ref="N137:N138"/>
    <mergeCell ref="L135:L136"/>
    <mergeCell ref="M135:M136"/>
    <mergeCell ref="N135:N136"/>
    <mergeCell ref="O135:O136"/>
    <mergeCell ref="P135:P136"/>
    <mergeCell ref="Q135:Q136"/>
    <mergeCell ref="O133:O134"/>
    <mergeCell ref="P133:P134"/>
    <mergeCell ref="Q133:Q134"/>
    <mergeCell ref="R133:R134"/>
    <mergeCell ref="A135:A136"/>
    <mergeCell ref="B135:D136"/>
    <mergeCell ref="E135:E136"/>
    <mergeCell ref="F135:F136"/>
    <mergeCell ref="G135:H136"/>
    <mergeCell ref="I135:I136"/>
    <mergeCell ref="R139:R140"/>
    <mergeCell ref="A141:A142"/>
    <mergeCell ref="B141:D142"/>
    <mergeCell ref="E141:E142"/>
    <mergeCell ref="F141:F142"/>
    <mergeCell ref="G141:H142"/>
    <mergeCell ref="I141:I142"/>
    <mergeCell ref="L141:L142"/>
    <mergeCell ref="M141:M142"/>
    <mergeCell ref="N141:N142"/>
    <mergeCell ref="L139:L140"/>
    <mergeCell ref="M139:M140"/>
    <mergeCell ref="N139:N140"/>
    <mergeCell ref="O139:O140"/>
    <mergeCell ref="P139:P140"/>
    <mergeCell ref="Q139:Q140"/>
    <mergeCell ref="O137:O138"/>
    <mergeCell ref="P137:P138"/>
    <mergeCell ref="Q137:Q138"/>
    <mergeCell ref="R137:R138"/>
    <mergeCell ref="A139:A140"/>
    <mergeCell ref="B139:D140"/>
    <mergeCell ref="E139:E140"/>
    <mergeCell ref="F139:F140"/>
    <mergeCell ref="G139:H140"/>
    <mergeCell ref="I139:I140"/>
    <mergeCell ref="R143:R144"/>
    <mergeCell ref="A145:A146"/>
    <mergeCell ref="B145:D146"/>
    <mergeCell ref="E145:E146"/>
    <mergeCell ref="F145:F146"/>
    <mergeCell ref="G145:H146"/>
    <mergeCell ref="I145:I146"/>
    <mergeCell ref="L145:L146"/>
    <mergeCell ref="M145:M146"/>
    <mergeCell ref="N145:N146"/>
    <mergeCell ref="L143:L144"/>
    <mergeCell ref="M143:M144"/>
    <mergeCell ref="N143:N144"/>
    <mergeCell ref="O143:O144"/>
    <mergeCell ref="P143:P144"/>
    <mergeCell ref="Q143:Q144"/>
    <mergeCell ref="O141:O142"/>
    <mergeCell ref="P141:P142"/>
    <mergeCell ref="Q141:Q142"/>
    <mergeCell ref="R141:R142"/>
    <mergeCell ref="A143:A144"/>
    <mergeCell ref="B143:D144"/>
    <mergeCell ref="E143:E144"/>
    <mergeCell ref="F143:F144"/>
    <mergeCell ref="G143:H144"/>
    <mergeCell ref="I143:I144"/>
    <mergeCell ref="R147:R148"/>
    <mergeCell ref="A149:A150"/>
    <mergeCell ref="B149:D150"/>
    <mergeCell ref="E149:E150"/>
    <mergeCell ref="F149:F150"/>
    <mergeCell ref="G149:H150"/>
    <mergeCell ref="I149:I150"/>
    <mergeCell ref="L149:L150"/>
    <mergeCell ref="M149:M150"/>
    <mergeCell ref="N149:N150"/>
    <mergeCell ref="L147:L148"/>
    <mergeCell ref="M147:M148"/>
    <mergeCell ref="N147:N148"/>
    <mergeCell ref="O147:O148"/>
    <mergeCell ref="P147:P148"/>
    <mergeCell ref="Q147:Q148"/>
    <mergeCell ref="O145:O146"/>
    <mergeCell ref="P145:P146"/>
    <mergeCell ref="Q145:Q146"/>
    <mergeCell ref="R145:R146"/>
    <mergeCell ref="A147:A148"/>
    <mergeCell ref="B147:D148"/>
    <mergeCell ref="E147:E148"/>
    <mergeCell ref="F147:F148"/>
    <mergeCell ref="G147:H148"/>
    <mergeCell ref="I147:I148"/>
    <mergeCell ref="R151:R152"/>
    <mergeCell ref="A153:A154"/>
    <mergeCell ref="B153:D154"/>
    <mergeCell ref="E153:E154"/>
    <mergeCell ref="F153:F154"/>
    <mergeCell ref="G153:H154"/>
    <mergeCell ref="I153:I154"/>
    <mergeCell ref="L153:L154"/>
    <mergeCell ref="M153:M154"/>
    <mergeCell ref="N153:N154"/>
    <mergeCell ref="L151:L152"/>
    <mergeCell ref="M151:M152"/>
    <mergeCell ref="N151:N152"/>
    <mergeCell ref="O151:O152"/>
    <mergeCell ref="P151:P152"/>
    <mergeCell ref="Q151:Q152"/>
    <mergeCell ref="O149:O150"/>
    <mergeCell ref="P149:P150"/>
    <mergeCell ref="Q149:Q150"/>
    <mergeCell ref="R149:R150"/>
    <mergeCell ref="A151:A152"/>
    <mergeCell ref="B151:D152"/>
    <mergeCell ref="E151:E152"/>
    <mergeCell ref="F151:F152"/>
    <mergeCell ref="G151:H152"/>
    <mergeCell ref="I151:I152"/>
    <mergeCell ref="R155:R156"/>
    <mergeCell ref="A157:A158"/>
    <mergeCell ref="B157:D158"/>
    <mergeCell ref="E157:E158"/>
    <mergeCell ref="F157:F158"/>
    <mergeCell ref="G157:H158"/>
    <mergeCell ref="I157:I158"/>
    <mergeCell ref="L157:L158"/>
    <mergeCell ref="M157:M158"/>
    <mergeCell ref="N157:N158"/>
    <mergeCell ref="L155:L156"/>
    <mergeCell ref="M155:M156"/>
    <mergeCell ref="N155:N156"/>
    <mergeCell ref="O155:O156"/>
    <mergeCell ref="P155:P156"/>
    <mergeCell ref="Q155:Q156"/>
    <mergeCell ref="O153:O154"/>
    <mergeCell ref="P153:P154"/>
    <mergeCell ref="Q153:Q154"/>
    <mergeCell ref="R153:R154"/>
    <mergeCell ref="A155:A156"/>
    <mergeCell ref="B155:D156"/>
    <mergeCell ref="E155:E156"/>
    <mergeCell ref="F155:F156"/>
    <mergeCell ref="G155:H156"/>
    <mergeCell ref="I155:I156"/>
    <mergeCell ref="R159:R160"/>
    <mergeCell ref="A161:A162"/>
    <mergeCell ref="B161:D162"/>
    <mergeCell ref="E161:E162"/>
    <mergeCell ref="F161:F162"/>
    <mergeCell ref="G161:H162"/>
    <mergeCell ref="I161:I162"/>
    <mergeCell ref="L161:L162"/>
    <mergeCell ref="M161:M162"/>
    <mergeCell ref="N161:N162"/>
    <mergeCell ref="L159:L160"/>
    <mergeCell ref="M159:M160"/>
    <mergeCell ref="N159:N160"/>
    <mergeCell ref="O159:O160"/>
    <mergeCell ref="P159:P160"/>
    <mergeCell ref="Q159:Q160"/>
    <mergeCell ref="O157:O158"/>
    <mergeCell ref="P157:P158"/>
    <mergeCell ref="Q157:Q158"/>
    <mergeCell ref="R157:R158"/>
    <mergeCell ref="A159:A160"/>
    <mergeCell ref="B159:D160"/>
    <mergeCell ref="E159:E160"/>
    <mergeCell ref="F159:F160"/>
    <mergeCell ref="G159:H160"/>
    <mergeCell ref="I159:I160"/>
    <mergeCell ref="R163:R164"/>
    <mergeCell ref="A165:A166"/>
    <mergeCell ref="B165:D166"/>
    <mergeCell ref="E165:E166"/>
    <mergeCell ref="F165:F166"/>
    <mergeCell ref="G165:H166"/>
    <mergeCell ref="I165:I166"/>
    <mergeCell ref="L165:L166"/>
    <mergeCell ref="M165:M166"/>
    <mergeCell ref="N165:N166"/>
    <mergeCell ref="L163:L164"/>
    <mergeCell ref="M163:M164"/>
    <mergeCell ref="N163:N164"/>
    <mergeCell ref="O163:O164"/>
    <mergeCell ref="P163:P164"/>
    <mergeCell ref="Q163:Q164"/>
    <mergeCell ref="O161:O162"/>
    <mergeCell ref="P161:P162"/>
    <mergeCell ref="Q161:Q162"/>
    <mergeCell ref="R161:R162"/>
    <mergeCell ref="A163:A164"/>
    <mergeCell ref="B163:D164"/>
    <mergeCell ref="E163:E164"/>
    <mergeCell ref="F163:F164"/>
    <mergeCell ref="G163:H164"/>
    <mergeCell ref="I163:I164"/>
    <mergeCell ref="R167:R168"/>
    <mergeCell ref="A169:A170"/>
    <mergeCell ref="B169:D170"/>
    <mergeCell ref="E169:E170"/>
    <mergeCell ref="F169:F170"/>
    <mergeCell ref="G169:H170"/>
    <mergeCell ref="I169:I170"/>
    <mergeCell ref="L169:L170"/>
    <mergeCell ref="M169:M170"/>
    <mergeCell ref="N169:N170"/>
    <mergeCell ref="L167:L168"/>
    <mergeCell ref="M167:M168"/>
    <mergeCell ref="N167:N168"/>
    <mergeCell ref="O167:O168"/>
    <mergeCell ref="P167:P168"/>
    <mergeCell ref="Q167:Q168"/>
    <mergeCell ref="O165:O166"/>
    <mergeCell ref="P165:P166"/>
    <mergeCell ref="Q165:Q166"/>
    <mergeCell ref="R165:R166"/>
    <mergeCell ref="A167:A168"/>
    <mergeCell ref="B167:D168"/>
    <mergeCell ref="E167:E168"/>
    <mergeCell ref="F167:F168"/>
    <mergeCell ref="G167:H168"/>
    <mergeCell ref="I167:I168"/>
    <mergeCell ref="R171:R172"/>
    <mergeCell ref="A173:A174"/>
    <mergeCell ref="B173:D174"/>
    <mergeCell ref="E173:E174"/>
    <mergeCell ref="F173:F174"/>
    <mergeCell ref="G173:H174"/>
    <mergeCell ref="I173:I174"/>
    <mergeCell ref="L173:L174"/>
    <mergeCell ref="M173:M174"/>
    <mergeCell ref="N173:N174"/>
    <mergeCell ref="L171:L172"/>
    <mergeCell ref="M171:M172"/>
    <mergeCell ref="N171:N172"/>
    <mergeCell ref="O171:O172"/>
    <mergeCell ref="P171:P172"/>
    <mergeCell ref="Q171:Q172"/>
    <mergeCell ref="O169:O170"/>
    <mergeCell ref="P169:P170"/>
    <mergeCell ref="Q169:Q170"/>
    <mergeCell ref="R169:R170"/>
    <mergeCell ref="A171:A172"/>
    <mergeCell ref="B171:D172"/>
    <mergeCell ref="E171:E172"/>
    <mergeCell ref="F171:F172"/>
    <mergeCell ref="G171:H172"/>
    <mergeCell ref="I171:I172"/>
    <mergeCell ref="R175:R176"/>
    <mergeCell ref="A177:A178"/>
    <mergeCell ref="B177:D178"/>
    <mergeCell ref="E177:E178"/>
    <mergeCell ref="F177:F178"/>
    <mergeCell ref="G177:H178"/>
    <mergeCell ref="I177:I178"/>
    <mergeCell ref="L177:L178"/>
    <mergeCell ref="M177:M178"/>
    <mergeCell ref="N177:N178"/>
    <mergeCell ref="L175:L176"/>
    <mergeCell ref="M175:M176"/>
    <mergeCell ref="N175:N176"/>
    <mergeCell ref="O175:O176"/>
    <mergeCell ref="P175:P176"/>
    <mergeCell ref="Q175:Q176"/>
    <mergeCell ref="O173:O174"/>
    <mergeCell ref="P173:P174"/>
    <mergeCell ref="Q173:Q174"/>
    <mergeCell ref="R173:R174"/>
    <mergeCell ref="A175:A176"/>
    <mergeCell ref="B175:D176"/>
    <mergeCell ref="E175:E176"/>
    <mergeCell ref="F175:F176"/>
    <mergeCell ref="G175:H176"/>
    <mergeCell ref="I175:I176"/>
    <mergeCell ref="R179:R180"/>
    <mergeCell ref="A181:A182"/>
    <mergeCell ref="B181:D182"/>
    <mergeCell ref="E181:E182"/>
    <mergeCell ref="F181:F182"/>
    <mergeCell ref="G181:H182"/>
    <mergeCell ref="I181:I182"/>
    <mergeCell ref="L181:L182"/>
    <mergeCell ref="M181:M182"/>
    <mergeCell ref="N181:N182"/>
    <mergeCell ref="L179:L180"/>
    <mergeCell ref="M179:M180"/>
    <mergeCell ref="N179:N180"/>
    <mergeCell ref="O179:O180"/>
    <mergeCell ref="P179:P180"/>
    <mergeCell ref="Q179:Q180"/>
    <mergeCell ref="O177:O178"/>
    <mergeCell ref="P177:P178"/>
    <mergeCell ref="Q177:Q178"/>
    <mergeCell ref="R177:R178"/>
    <mergeCell ref="A179:A180"/>
    <mergeCell ref="B179:D180"/>
    <mergeCell ref="E179:E180"/>
    <mergeCell ref="F179:F180"/>
    <mergeCell ref="G179:H180"/>
    <mergeCell ref="I179:I180"/>
    <mergeCell ref="R183:R184"/>
    <mergeCell ref="A185:A186"/>
    <mergeCell ref="B185:D186"/>
    <mergeCell ref="E185:E186"/>
    <mergeCell ref="F185:F186"/>
    <mergeCell ref="G185:H186"/>
    <mergeCell ref="I185:I186"/>
    <mergeCell ref="L185:L186"/>
    <mergeCell ref="M185:M186"/>
    <mergeCell ref="N185:N186"/>
    <mergeCell ref="L183:L184"/>
    <mergeCell ref="M183:M184"/>
    <mergeCell ref="N183:N184"/>
    <mergeCell ref="O183:O184"/>
    <mergeCell ref="P183:P184"/>
    <mergeCell ref="Q183:Q184"/>
    <mergeCell ref="O181:O182"/>
    <mergeCell ref="P181:P182"/>
    <mergeCell ref="Q181:Q182"/>
    <mergeCell ref="R181:R182"/>
    <mergeCell ref="A183:A184"/>
    <mergeCell ref="B183:D184"/>
    <mergeCell ref="E183:E184"/>
    <mergeCell ref="F183:F184"/>
    <mergeCell ref="G183:H184"/>
    <mergeCell ref="I183:I184"/>
    <mergeCell ref="R187:R188"/>
    <mergeCell ref="A189:A190"/>
    <mergeCell ref="B189:D190"/>
    <mergeCell ref="E189:E190"/>
    <mergeCell ref="F189:F190"/>
    <mergeCell ref="G189:H190"/>
    <mergeCell ref="I189:I190"/>
    <mergeCell ref="L189:L190"/>
    <mergeCell ref="M189:M190"/>
    <mergeCell ref="N189:N190"/>
    <mergeCell ref="L187:L188"/>
    <mergeCell ref="M187:M188"/>
    <mergeCell ref="N187:N188"/>
    <mergeCell ref="O187:O188"/>
    <mergeCell ref="P187:P188"/>
    <mergeCell ref="Q187:Q188"/>
    <mergeCell ref="O185:O186"/>
    <mergeCell ref="P185:P186"/>
    <mergeCell ref="Q185:Q186"/>
    <mergeCell ref="R185:R186"/>
    <mergeCell ref="A187:A188"/>
    <mergeCell ref="B187:D188"/>
    <mergeCell ref="E187:E188"/>
    <mergeCell ref="F187:F188"/>
    <mergeCell ref="G187:H188"/>
    <mergeCell ref="I187:I188"/>
    <mergeCell ref="R191:R192"/>
    <mergeCell ref="A193:A194"/>
    <mergeCell ref="B193:D194"/>
    <mergeCell ref="E193:E194"/>
    <mergeCell ref="F193:F194"/>
    <mergeCell ref="G193:H194"/>
    <mergeCell ref="I193:I194"/>
    <mergeCell ref="L193:L194"/>
    <mergeCell ref="M193:M194"/>
    <mergeCell ref="N193:N194"/>
    <mergeCell ref="L191:L192"/>
    <mergeCell ref="M191:M192"/>
    <mergeCell ref="N191:N192"/>
    <mergeCell ref="O191:O192"/>
    <mergeCell ref="P191:P192"/>
    <mergeCell ref="Q191:Q192"/>
    <mergeCell ref="O189:O190"/>
    <mergeCell ref="P189:P190"/>
    <mergeCell ref="Q189:Q190"/>
    <mergeCell ref="R189:R190"/>
    <mergeCell ref="A191:A192"/>
    <mergeCell ref="B191:D192"/>
    <mergeCell ref="E191:E192"/>
    <mergeCell ref="F191:F192"/>
    <mergeCell ref="G191:H192"/>
    <mergeCell ref="I191:I192"/>
    <mergeCell ref="R195:R196"/>
    <mergeCell ref="A197:A198"/>
    <mergeCell ref="B197:D198"/>
    <mergeCell ref="E197:E198"/>
    <mergeCell ref="F197:F198"/>
    <mergeCell ref="G197:H198"/>
    <mergeCell ref="I197:I198"/>
    <mergeCell ref="L197:L198"/>
    <mergeCell ref="M197:M198"/>
    <mergeCell ref="N197:N198"/>
    <mergeCell ref="L195:L196"/>
    <mergeCell ref="M195:M196"/>
    <mergeCell ref="N195:N196"/>
    <mergeCell ref="O195:O196"/>
    <mergeCell ref="P195:P196"/>
    <mergeCell ref="Q195:Q196"/>
    <mergeCell ref="O193:O194"/>
    <mergeCell ref="P193:P194"/>
    <mergeCell ref="Q193:Q194"/>
    <mergeCell ref="R193:R194"/>
    <mergeCell ref="A195:A196"/>
    <mergeCell ref="B195:D196"/>
    <mergeCell ref="E195:E196"/>
    <mergeCell ref="F195:F196"/>
    <mergeCell ref="G195:H196"/>
    <mergeCell ref="I195:I196"/>
    <mergeCell ref="R199:R200"/>
    <mergeCell ref="A201:A202"/>
    <mergeCell ref="B201:D202"/>
    <mergeCell ref="E201:E202"/>
    <mergeCell ref="F201:F202"/>
    <mergeCell ref="G201:H202"/>
    <mergeCell ref="I201:I202"/>
    <mergeCell ref="L201:L202"/>
    <mergeCell ref="M201:M202"/>
    <mergeCell ref="N201:N202"/>
    <mergeCell ref="L199:L200"/>
    <mergeCell ref="M199:M200"/>
    <mergeCell ref="N199:N200"/>
    <mergeCell ref="O199:O200"/>
    <mergeCell ref="P199:P200"/>
    <mergeCell ref="Q199:Q200"/>
    <mergeCell ref="O197:O198"/>
    <mergeCell ref="P197:P198"/>
    <mergeCell ref="Q197:Q198"/>
    <mergeCell ref="R197:R198"/>
    <mergeCell ref="A199:A200"/>
    <mergeCell ref="B199:D200"/>
    <mergeCell ref="E199:E200"/>
    <mergeCell ref="F199:F200"/>
    <mergeCell ref="G199:H200"/>
    <mergeCell ref="I199:I200"/>
    <mergeCell ref="R203:R204"/>
    <mergeCell ref="A205:A206"/>
    <mergeCell ref="B205:D206"/>
    <mergeCell ref="E205:E206"/>
    <mergeCell ref="F205:F206"/>
    <mergeCell ref="G205:H206"/>
    <mergeCell ref="I205:I206"/>
    <mergeCell ref="L205:L206"/>
    <mergeCell ref="M205:M206"/>
    <mergeCell ref="N205:N206"/>
    <mergeCell ref="L203:L204"/>
    <mergeCell ref="M203:M204"/>
    <mergeCell ref="N203:N204"/>
    <mergeCell ref="O203:O204"/>
    <mergeCell ref="P203:P204"/>
    <mergeCell ref="Q203:Q204"/>
    <mergeCell ref="O201:O202"/>
    <mergeCell ref="P201:P202"/>
    <mergeCell ref="Q201:Q202"/>
    <mergeCell ref="R201:R202"/>
    <mergeCell ref="A203:A204"/>
    <mergeCell ref="B203:D204"/>
    <mergeCell ref="E203:E204"/>
    <mergeCell ref="F203:F204"/>
    <mergeCell ref="G203:H204"/>
    <mergeCell ref="I203:I204"/>
    <mergeCell ref="R207:R208"/>
    <mergeCell ref="A209:A210"/>
    <mergeCell ref="B209:D210"/>
    <mergeCell ref="E209:E210"/>
    <mergeCell ref="F209:F210"/>
    <mergeCell ref="G209:H210"/>
    <mergeCell ref="I209:I210"/>
    <mergeCell ref="L209:L210"/>
    <mergeCell ref="M209:M210"/>
    <mergeCell ref="N209:N210"/>
    <mergeCell ref="L207:L208"/>
    <mergeCell ref="M207:M208"/>
    <mergeCell ref="N207:N208"/>
    <mergeCell ref="O207:O208"/>
    <mergeCell ref="P207:P208"/>
    <mergeCell ref="Q207:Q208"/>
    <mergeCell ref="O205:O206"/>
    <mergeCell ref="P205:P206"/>
    <mergeCell ref="Q205:Q206"/>
    <mergeCell ref="R205:R206"/>
    <mergeCell ref="A207:A208"/>
    <mergeCell ref="B207:D208"/>
    <mergeCell ref="E207:E208"/>
    <mergeCell ref="F207:F208"/>
    <mergeCell ref="G207:H208"/>
    <mergeCell ref="I207:I208"/>
    <mergeCell ref="R211:R212"/>
    <mergeCell ref="A213:A214"/>
    <mergeCell ref="B213:D214"/>
    <mergeCell ref="E213:E214"/>
    <mergeCell ref="F213:F214"/>
    <mergeCell ref="G213:H214"/>
    <mergeCell ref="I213:I214"/>
    <mergeCell ref="L213:L214"/>
    <mergeCell ref="M213:M214"/>
    <mergeCell ref="N213:N214"/>
    <mergeCell ref="L211:L212"/>
    <mergeCell ref="M211:M212"/>
    <mergeCell ref="N211:N212"/>
    <mergeCell ref="O211:O212"/>
    <mergeCell ref="P211:P212"/>
    <mergeCell ref="Q211:Q212"/>
    <mergeCell ref="O209:O210"/>
    <mergeCell ref="P209:P210"/>
    <mergeCell ref="Q209:Q210"/>
    <mergeCell ref="R209:R210"/>
    <mergeCell ref="A211:A212"/>
    <mergeCell ref="B211:D212"/>
    <mergeCell ref="E211:E212"/>
    <mergeCell ref="F211:F212"/>
    <mergeCell ref="G211:H212"/>
    <mergeCell ref="I211:I212"/>
    <mergeCell ref="R215:R216"/>
    <mergeCell ref="A217:A218"/>
    <mergeCell ref="B217:D218"/>
    <mergeCell ref="E217:E218"/>
    <mergeCell ref="F217:F218"/>
    <mergeCell ref="G217:H218"/>
    <mergeCell ref="I217:I218"/>
    <mergeCell ref="L217:L218"/>
    <mergeCell ref="M217:M218"/>
    <mergeCell ref="N217:N218"/>
    <mergeCell ref="L215:L216"/>
    <mergeCell ref="M215:M216"/>
    <mergeCell ref="N215:N216"/>
    <mergeCell ref="O215:O216"/>
    <mergeCell ref="P215:P216"/>
    <mergeCell ref="Q215:Q216"/>
    <mergeCell ref="O213:O214"/>
    <mergeCell ref="P213:P214"/>
    <mergeCell ref="Q213:Q214"/>
    <mergeCell ref="R213:R214"/>
    <mergeCell ref="A215:A216"/>
    <mergeCell ref="B215:D216"/>
    <mergeCell ref="E215:E216"/>
    <mergeCell ref="F215:F216"/>
    <mergeCell ref="G215:H216"/>
    <mergeCell ref="I215:I216"/>
    <mergeCell ref="R219:R220"/>
    <mergeCell ref="A221:A222"/>
    <mergeCell ref="B221:D222"/>
    <mergeCell ref="E221:E222"/>
    <mergeCell ref="F221:F222"/>
    <mergeCell ref="G221:H222"/>
    <mergeCell ref="I221:I222"/>
    <mergeCell ref="L221:L222"/>
    <mergeCell ref="M221:M222"/>
    <mergeCell ref="N221:N222"/>
    <mergeCell ref="L219:L220"/>
    <mergeCell ref="M219:M220"/>
    <mergeCell ref="N219:N220"/>
    <mergeCell ref="O219:O220"/>
    <mergeCell ref="P219:P220"/>
    <mergeCell ref="Q219:Q220"/>
    <mergeCell ref="O217:O218"/>
    <mergeCell ref="P217:P218"/>
    <mergeCell ref="Q217:Q218"/>
    <mergeCell ref="R217:R218"/>
    <mergeCell ref="A219:A220"/>
    <mergeCell ref="B219:D220"/>
    <mergeCell ref="E219:E220"/>
    <mergeCell ref="F219:F220"/>
    <mergeCell ref="G219:H220"/>
    <mergeCell ref="I219:I220"/>
    <mergeCell ref="R223:R224"/>
    <mergeCell ref="A225:A226"/>
    <mergeCell ref="B225:D226"/>
    <mergeCell ref="E225:E226"/>
    <mergeCell ref="F225:F226"/>
    <mergeCell ref="G225:H226"/>
    <mergeCell ref="I225:I226"/>
    <mergeCell ref="L225:L226"/>
    <mergeCell ref="M225:M226"/>
    <mergeCell ref="N225:N226"/>
    <mergeCell ref="L223:L224"/>
    <mergeCell ref="M223:M224"/>
    <mergeCell ref="N223:N224"/>
    <mergeCell ref="O223:O224"/>
    <mergeCell ref="P223:P224"/>
    <mergeCell ref="Q223:Q224"/>
    <mergeCell ref="O221:O222"/>
    <mergeCell ref="P221:P222"/>
    <mergeCell ref="Q221:Q222"/>
    <mergeCell ref="R221:R222"/>
    <mergeCell ref="A223:A224"/>
    <mergeCell ref="B223:D224"/>
    <mergeCell ref="E223:E224"/>
    <mergeCell ref="F223:F224"/>
    <mergeCell ref="G223:H224"/>
    <mergeCell ref="I223:I224"/>
    <mergeCell ref="R227:R228"/>
    <mergeCell ref="A229:A230"/>
    <mergeCell ref="B229:D230"/>
    <mergeCell ref="E229:E230"/>
    <mergeCell ref="F229:F230"/>
    <mergeCell ref="G229:H230"/>
    <mergeCell ref="I229:I230"/>
    <mergeCell ref="L229:L230"/>
    <mergeCell ref="M229:M230"/>
    <mergeCell ref="N229:N230"/>
    <mergeCell ref="L227:L228"/>
    <mergeCell ref="M227:M228"/>
    <mergeCell ref="N227:N228"/>
    <mergeCell ref="O227:O228"/>
    <mergeCell ref="P227:P228"/>
    <mergeCell ref="Q227:Q228"/>
    <mergeCell ref="O225:O226"/>
    <mergeCell ref="P225:P226"/>
    <mergeCell ref="Q225:Q226"/>
    <mergeCell ref="R225:R226"/>
    <mergeCell ref="A227:A228"/>
    <mergeCell ref="B227:D228"/>
    <mergeCell ref="E227:E228"/>
    <mergeCell ref="F227:F228"/>
    <mergeCell ref="G227:H228"/>
    <mergeCell ref="I227:I228"/>
    <mergeCell ref="R231:R232"/>
    <mergeCell ref="A233:A234"/>
    <mergeCell ref="B233:D234"/>
    <mergeCell ref="E233:E234"/>
    <mergeCell ref="F233:F234"/>
    <mergeCell ref="G233:H234"/>
    <mergeCell ref="I233:I234"/>
    <mergeCell ref="L233:L234"/>
    <mergeCell ref="M233:M234"/>
    <mergeCell ref="N233:N234"/>
    <mergeCell ref="L231:L232"/>
    <mergeCell ref="M231:M232"/>
    <mergeCell ref="N231:N232"/>
    <mergeCell ref="O231:O232"/>
    <mergeCell ref="P231:P232"/>
    <mergeCell ref="Q231:Q232"/>
    <mergeCell ref="O229:O230"/>
    <mergeCell ref="P229:P230"/>
    <mergeCell ref="Q229:Q230"/>
    <mergeCell ref="R229:R230"/>
    <mergeCell ref="A231:A232"/>
    <mergeCell ref="B231:D232"/>
    <mergeCell ref="E231:E232"/>
    <mergeCell ref="F231:F232"/>
    <mergeCell ref="G231:H232"/>
    <mergeCell ref="I231:I232"/>
    <mergeCell ref="R235:R236"/>
    <mergeCell ref="A237:A238"/>
    <mergeCell ref="B237:D238"/>
    <mergeCell ref="E237:E238"/>
    <mergeCell ref="F237:F238"/>
    <mergeCell ref="G237:H238"/>
    <mergeCell ref="I237:I238"/>
    <mergeCell ref="L237:L238"/>
    <mergeCell ref="M237:M238"/>
    <mergeCell ref="N237:N238"/>
    <mergeCell ref="L235:L236"/>
    <mergeCell ref="M235:M236"/>
    <mergeCell ref="N235:N236"/>
    <mergeCell ref="O235:O236"/>
    <mergeCell ref="P235:P236"/>
    <mergeCell ref="Q235:Q236"/>
    <mergeCell ref="O233:O234"/>
    <mergeCell ref="P233:P234"/>
    <mergeCell ref="Q233:Q234"/>
    <mergeCell ref="R233:R234"/>
    <mergeCell ref="A235:A236"/>
    <mergeCell ref="B235:D236"/>
    <mergeCell ref="E235:E236"/>
    <mergeCell ref="F235:F236"/>
    <mergeCell ref="G235:H236"/>
    <mergeCell ref="I235:I236"/>
    <mergeCell ref="R239:R240"/>
    <mergeCell ref="A241:A242"/>
    <mergeCell ref="B241:D242"/>
    <mergeCell ref="E241:E242"/>
    <mergeCell ref="F241:F242"/>
    <mergeCell ref="G241:H242"/>
    <mergeCell ref="I241:I242"/>
    <mergeCell ref="L241:L242"/>
    <mergeCell ref="M241:M242"/>
    <mergeCell ref="N241:N242"/>
    <mergeCell ref="L239:L240"/>
    <mergeCell ref="M239:M240"/>
    <mergeCell ref="N239:N240"/>
    <mergeCell ref="O239:O240"/>
    <mergeCell ref="P239:P240"/>
    <mergeCell ref="Q239:Q240"/>
    <mergeCell ref="O237:O238"/>
    <mergeCell ref="P237:P238"/>
    <mergeCell ref="Q237:Q238"/>
    <mergeCell ref="R237:R238"/>
    <mergeCell ref="A239:A240"/>
    <mergeCell ref="B239:D240"/>
    <mergeCell ref="E239:E240"/>
    <mergeCell ref="F239:F240"/>
    <mergeCell ref="G239:H240"/>
    <mergeCell ref="I239:I240"/>
    <mergeCell ref="R243:R244"/>
    <mergeCell ref="A245:A246"/>
    <mergeCell ref="B245:D246"/>
    <mergeCell ref="E245:E246"/>
    <mergeCell ref="F245:F246"/>
    <mergeCell ref="G245:H246"/>
    <mergeCell ref="I245:I246"/>
    <mergeCell ref="L245:L246"/>
    <mergeCell ref="M245:M246"/>
    <mergeCell ref="N245:N246"/>
    <mergeCell ref="L243:L244"/>
    <mergeCell ref="M243:M244"/>
    <mergeCell ref="N243:N244"/>
    <mergeCell ref="O243:O244"/>
    <mergeCell ref="P243:P244"/>
    <mergeCell ref="Q243:Q244"/>
    <mergeCell ref="O241:O242"/>
    <mergeCell ref="P241:P242"/>
    <mergeCell ref="Q241:Q242"/>
    <mergeCell ref="R241:R242"/>
    <mergeCell ref="A243:A244"/>
    <mergeCell ref="B243:D244"/>
    <mergeCell ref="E243:E244"/>
    <mergeCell ref="F243:F244"/>
    <mergeCell ref="G243:H244"/>
    <mergeCell ref="I243:I244"/>
    <mergeCell ref="R247:R248"/>
    <mergeCell ref="A249:A250"/>
    <mergeCell ref="B249:D250"/>
    <mergeCell ref="E249:E250"/>
    <mergeCell ref="F249:F250"/>
    <mergeCell ref="G249:H250"/>
    <mergeCell ref="I249:I250"/>
    <mergeCell ref="L249:L250"/>
    <mergeCell ref="M249:M250"/>
    <mergeCell ref="N249:N250"/>
    <mergeCell ref="L247:L248"/>
    <mergeCell ref="M247:M248"/>
    <mergeCell ref="N247:N248"/>
    <mergeCell ref="O247:O248"/>
    <mergeCell ref="P247:P248"/>
    <mergeCell ref="Q247:Q248"/>
    <mergeCell ref="O245:O246"/>
    <mergeCell ref="P245:P246"/>
    <mergeCell ref="Q245:Q246"/>
    <mergeCell ref="R245:R246"/>
    <mergeCell ref="A247:A248"/>
    <mergeCell ref="B247:D248"/>
    <mergeCell ref="E247:E248"/>
    <mergeCell ref="F247:F248"/>
    <mergeCell ref="G247:H248"/>
    <mergeCell ref="I247:I248"/>
    <mergeCell ref="R251:R252"/>
    <mergeCell ref="A253:A254"/>
    <mergeCell ref="B253:D254"/>
    <mergeCell ref="E253:E254"/>
    <mergeCell ref="F253:F254"/>
    <mergeCell ref="G253:H254"/>
    <mergeCell ref="I253:I254"/>
    <mergeCell ref="L253:L254"/>
    <mergeCell ref="M253:M254"/>
    <mergeCell ref="N253:N254"/>
    <mergeCell ref="L251:L252"/>
    <mergeCell ref="M251:M252"/>
    <mergeCell ref="N251:N252"/>
    <mergeCell ref="O251:O252"/>
    <mergeCell ref="P251:P252"/>
    <mergeCell ref="Q251:Q252"/>
    <mergeCell ref="O249:O250"/>
    <mergeCell ref="P249:P250"/>
    <mergeCell ref="Q249:Q250"/>
    <mergeCell ref="R249:R250"/>
    <mergeCell ref="A251:A252"/>
    <mergeCell ref="B251:D252"/>
    <mergeCell ref="E251:E252"/>
    <mergeCell ref="F251:F252"/>
    <mergeCell ref="G251:H252"/>
    <mergeCell ref="I251:I252"/>
    <mergeCell ref="R255:R256"/>
    <mergeCell ref="A257:A258"/>
    <mergeCell ref="B257:D258"/>
    <mergeCell ref="E257:E258"/>
    <mergeCell ref="F257:F258"/>
    <mergeCell ref="G257:H258"/>
    <mergeCell ref="I257:I258"/>
    <mergeCell ref="L257:L258"/>
    <mergeCell ref="M257:M258"/>
    <mergeCell ref="N257:N258"/>
    <mergeCell ref="L255:L256"/>
    <mergeCell ref="M255:M256"/>
    <mergeCell ref="N255:N256"/>
    <mergeCell ref="O255:O256"/>
    <mergeCell ref="P255:P256"/>
    <mergeCell ref="Q255:Q256"/>
    <mergeCell ref="O253:O254"/>
    <mergeCell ref="P253:P254"/>
    <mergeCell ref="Q253:Q254"/>
    <mergeCell ref="R253:R254"/>
    <mergeCell ref="A255:A256"/>
    <mergeCell ref="B255:D256"/>
    <mergeCell ref="E255:E256"/>
    <mergeCell ref="F255:F256"/>
    <mergeCell ref="G255:H256"/>
    <mergeCell ref="I255:I256"/>
    <mergeCell ref="R259:R260"/>
    <mergeCell ref="A261:A262"/>
    <mergeCell ref="B261:D262"/>
    <mergeCell ref="E261:E262"/>
    <mergeCell ref="F261:F262"/>
    <mergeCell ref="G261:H262"/>
    <mergeCell ref="I261:I262"/>
    <mergeCell ref="L261:L262"/>
    <mergeCell ref="M261:M262"/>
    <mergeCell ref="N261:N262"/>
    <mergeCell ref="L259:L260"/>
    <mergeCell ref="M259:M260"/>
    <mergeCell ref="N259:N260"/>
    <mergeCell ref="O259:O260"/>
    <mergeCell ref="P259:P260"/>
    <mergeCell ref="Q259:Q260"/>
    <mergeCell ref="O257:O258"/>
    <mergeCell ref="P257:P258"/>
    <mergeCell ref="Q257:Q258"/>
    <mergeCell ref="R257:R258"/>
    <mergeCell ref="A259:A260"/>
    <mergeCell ref="B259:D260"/>
    <mergeCell ref="E259:E260"/>
    <mergeCell ref="F259:F260"/>
    <mergeCell ref="G259:H260"/>
    <mergeCell ref="I259:I260"/>
    <mergeCell ref="R263:R264"/>
    <mergeCell ref="A265:A266"/>
    <mergeCell ref="B265:D266"/>
    <mergeCell ref="E265:E266"/>
    <mergeCell ref="F265:F266"/>
    <mergeCell ref="G265:H266"/>
    <mergeCell ref="I265:I266"/>
    <mergeCell ref="L265:L266"/>
    <mergeCell ref="M265:M266"/>
    <mergeCell ref="N265:N266"/>
    <mergeCell ref="L263:L264"/>
    <mergeCell ref="M263:M264"/>
    <mergeCell ref="N263:N264"/>
    <mergeCell ref="O263:O264"/>
    <mergeCell ref="P263:P264"/>
    <mergeCell ref="Q263:Q264"/>
    <mergeCell ref="O261:O262"/>
    <mergeCell ref="P261:P262"/>
    <mergeCell ref="Q261:Q262"/>
    <mergeCell ref="R261:R262"/>
    <mergeCell ref="A263:A264"/>
    <mergeCell ref="B263:D264"/>
    <mergeCell ref="E263:E264"/>
    <mergeCell ref="F263:F264"/>
    <mergeCell ref="G263:H264"/>
    <mergeCell ref="I263:I264"/>
    <mergeCell ref="R267:R268"/>
    <mergeCell ref="A269:A270"/>
    <mergeCell ref="B269:D270"/>
    <mergeCell ref="E269:E270"/>
    <mergeCell ref="F269:F270"/>
    <mergeCell ref="G269:H270"/>
    <mergeCell ref="I269:I270"/>
    <mergeCell ref="L269:L270"/>
    <mergeCell ref="M269:M270"/>
    <mergeCell ref="N269:N270"/>
    <mergeCell ref="L267:L268"/>
    <mergeCell ref="M267:M268"/>
    <mergeCell ref="N267:N268"/>
    <mergeCell ref="O267:O268"/>
    <mergeCell ref="P267:P268"/>
    <mergeCell ref="Q267:Q268"/>
    <mergeCell ref="O265:O266"/>
    <mergeCell ref="P265:P266"/>
    <mergeCell ref="Q265:Q266"/>
    <mergeCell ref="R265:R266"/>
    <mergeCell ref="A267:A268"/>
    <mergeCell ref="B267:D268"/>
    <mergeCell ref="E267:E268"/>
    <mergeCell ref="F267:F268"/>
    <mergeCell ref="G267:H268"/>
    <mergeCell ref="I267:I268"/>
    <mergeCell ref="R271:R272"/>
    <mergeCell ref="A273:A274"/>
    <mergeCell ref="B273:D274"/>
    <mergeCell ref="E273:E274"/>
    <mergeCell ref="F273:F274"/>
    <mergeCell ref="G273:H274"/>
    <mergeCell ref="I273:I274"/>
    <mergeCell ref="L273:L274"/>
    <mergeCell ref="M273:M274"/>
    <mergeCell ref="N273:N274"/>
    <mergeCell ref="L271:L272"/>
    <mergeCell ref="M271:M272"/>
    <mergeCell ref="N271:N272"/>
    <mergeCell ref="O271:O272"/>
    <mergeCell ref="P271:P272"/>
    <mergeCell ref="Q271:Q272"/>
    <mergeCell ref="O269:O270"/>
    <mergeCell ref="P269:P270"/>
    <mergeCell ref="Q269:Q270"/>
    <mergeCell ref="R269:R270"/>
    <mergeCell ref="A271:A272"/>
    <mergeCell ref="B271:D272"/>
    <mergeCell ref="E271:E272"/>
    <mergeCell ref="F271:F272"/>
    <mergeCell ref="G271:H272"/>
    <mergeCell ref="I271:I272"/>
    <mergeCell ref="R275:R276"/>
    <mergeCell ref="A277:A278"/>
    <mergeCell ref="B277:D278"/>
    <mergeCell ref="E277:E278"/>
    <mergeCell ref="F277:F278"/>
    <mergeCell ref="G277:H278"/>
    <mergeCell ref="I277:I278"/>
    <mergeCell ref="L277:L278"/>
    <mergeCell ref="M277:M278"/>
    <mergeCell ref="N277:N278"/>
    <mergeCell ref="L275:L276"/>
    <mergeCell ref="M275:M276"/>
    <mergeCell ref="N275:N276"/>
    <mergeCell ref="O275:O276"/>
    <mergeCell ref="P275:P276"/>
    <mergeCell ref="Q275:Q276"/>
    <mergeCell ref="O273:O274"/>
    <mergeCell ref="P273:P274"/>
    <mergeCell ref="Q273:Q274"/>
    <mergeCell ref="R273:R274"/>
    <mergeCell ref="A275:A276"/>
    <mergeCell ref="B275:D276"/>
    <mergeCell ref="E275:E276"/>
    <mergeCell ref="F275:F276"/>
    <mergeCell ref="G275:H276"/>
    <mergeCell ref="I275:I276"/>
    <mergeCell ref="R279:R280"/>
    <mergeCell ref="A281:A282"/>
    <mergeCell ref="B281:D282"/>
    <mergeCell ref="E281:E282"/>
    <mergeCell ref="F281:F282"/>
    <mergeCell ref="G281:H282"/>
    <mergeCell ref="I281:I282"/>
    <mergeCell ref="L281:L282"/>
    <mergeCell ref="M281:M282"/>
    <mergeCell ref="N281:N282"/>
    <mergeCell ref="L279:L280"/>
    <mergeCell ref="M279:M280"/>
    <mergeCell ref="N279:N280"/>
    <mergeCell ref="O279:O280"/>
    <mergeCell ref="P279:P280"/>
    <mergeCell ref="Q279:Q280"/>
    <mergeCell ref="O277:O278"/>
    <mergeCell ref="P277:P278"/>
    <mergeCell ref="Q277:Q278"/>
    <mergeCell ref="R277:R278"/>
    <mergeCell ref="A279:A280"/>
    <mergeCell ref="B279:D280"/>
    <mergeCell ref="E279:E280"/>
    <mergeCell ref="F279:F280"/>
    <mergeCell ref="G279:H280"/>
    <mergeCell ref="I279:I280"/>
    <mergeCell ref="R283:R284"/>
    <mergeCell ref="A285:A286"/>
    <mergeCell ref="B285:D286"/>
    <mergeCell ref="E285:E286"/>
    <mergeCell ref="F285:F286"/>
    <mergeCell ref="G285:H286"/>
    <mergeCell ref="I285:I286"/>
    <mergeCell ref="L285:L286"/>
    <mergeCell ref="M285:M286"/>
    <mergeCell ref="N285:N286"/>
    <mergeCell ref="L283:L284"/>
    <mergeCell ref="M283:M284"/>
    <mergeCell ref="N283:N284"/>
    <mergeCell ref="O283:O284"/>
    <mergeCell ref="P283:P284"/>
    <mergeCell ref="Q283:Q284"/>
    <mergeCell ref="O281:O282"/>
    <mergeCell ref="P281:P282"/>
    <mergeCell ref="Q281:Q282"/>
    <mergeCell ref="R281:R282"/>
    <mergeCell ref="A283:A284"/>
    <mergeCell ref="B283:D284"/>
    <mergeCell ref="E283:E284"/>
    <mergeCell ref="F283:F284"/>
    <mergeCell ref="G283:H284"/>
    <mergeCell ref="I283:I284"/>
    <mergeCell ref="R287:R288"/>
    <mergeCell ref="A289:A290"/>
    <mergeCell ref="B289:D290"/>
    <mergeCell ref="E289:E290"/>
    <mergeCell ref="F289:F290"/>
    <mergeCell ref="G289:H290"/>
    <mergeCell ref="I289:I290"/>
    <mergeCell ref="L289:L290"/>
    <mergeCell ref="M289:M290"/>
    <mergeCell ref="N289:N290"/>
    <mergeCell ref="L287:L288"/>
    <mergeCell ref="M287:M288"/>
    <mergeCell ref="N287:N288"/>
    <mergeCell ref="O287:O288"/>
    <mergeCell ref="P287:P288"/>
    <mergeCell ref="Q287:Q288"/>
    <mergeCell ref="O285:O286"/>
    <mergeCell ref="P285:P286"/>
    <mergeCell ref="Q285:Q286"/>
    <mergeCell ref="R285:R286"/>
    <mergeCell ref="A287:A288"/>
    <mergeCell ref="B287:D288"/>
    <mergeCell ref="E287:E288"/>
    <mergeCell ref="F287:F288"/>
    <mergeCell ref="G287:H288"/>
    <mergeCell ref="I287:I288"/>
    <mergeCell ref="R291:R292"/>
    <mergeCell ref="A293:K293"/>
    <mergeCell ref="L291:L292"/>
    <mergeCell ref="M291:M292"/>
    <mergeCell ref="N291:N292"/>
    <mergeCell ref="O291:O292"/>
    <mergeCell ref="P291:P292"/>
    <mergeCell ref="Q291:Q292"/>
    <mergeCell ref="O289:O290"/>
    <mergeCell ref="P289:P290"/>
    <mergeCell ref="Q289:Q290"/>
    <mergeCell ref="R289:R290"/>
    <mergeCell ref="A291:A292"/>
    <mergeCell ref="B291:D292"/>
    <mergeCell ref="E291:E292"/>
    <mergeCell ref="F291:F292"/>
    <mergeCell ref="G291:H292"/>
    <mergeCell ref="I291:I29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159AE-7F81-419C-999F-EBA25D3BC31E}">
  <sheetPr>
    <pageSetUpPr fitToPage="1"/>
  </sheetPr>
  <dimension ref="B2:V46"/>
  <sheetViews>
    <sheetView zoomScale="70" zoomScaleNormal="70" workbookViewId="0">
      <selection activeCell="I24" sqref="I24"/>
    </sheetView>
  </sheetViews>
  <sheetFormatPr defaultColWidth="9.140625" defaultRowHeight="14.25" outlineLevelCol="1"/>
  <cols>
    <col min="1" max="1" width="3.28515625" style="5" customWidth="1"/>
    <col min="2" max="2" width="46.28515625" style="5" customWidth="1"/>
    <col min="3" max="7" width="14.5703125" style="5" customWidth="1"/>
    <col min="8" max="8" width="8.5703125" style="5" customWidth="1"/>
    <col min="9" max="9" width="10.85546875" style="5" customWidth="1"/>
    <col min="10" max="10" width="13.85546875" style="5" customWidth="1"/>
    <col min="11" max="11" width="23.7109375" style="5" customWidth="1" outlineLevel="1"/>
    <col min="12" max="12" width="12.140625" style="5" customWidth="1" outlineLevel="1"/>
    <col min="13" max="13" width="15.7109375" style="5" customWidth="1" outlineLevel="1"/>
    <col min="14" max="14" width="11.28515625" style="9" customWidth="1" outlineLevel="1"/>
    <col min="15" max="15" width="11.140625" style="5" customWidth="1"/>
    <col min="16" max="16" width="20.5703125" style="5" customWidth="1" outlineLevel="1"/>
    <col min="17" max="17" width="17.5703125" style="5" customWidth="1" outlineLevel="1"/>
    <col min="18" max="18" width="15.5703125" style="5" customWidth="1"/>
    <col min="19" max="19" width="17.5703125" style="5" customWidth="1"/>
    <col min="20" max="20" width="35.85546875" style="5" hidden="1" customWidth="1"/>
    <col min="21" max="21" width="57.28515625" style="5" customWidth="1"/>
    <col min="22" max="23" width="14.42578125" style="5" bestFit="1" customWidth="1"/>
    <col min="24" max="16384" width="9.140625" style="5"/>
  </cols>
  <sheetData>
    <row r="2" spans="2:21" ht="60" customHeight="1">
      <c r="B2" s="366" t="s">
        <v>294</v>
      </c>
      <c r="C2" s="361"/>
      <c r="D2" s="361"/>
      <c r="E2" s="361"/>
      <c r="F2" s="361"/>
      <c r="G2" s="361"/>
      <c r="H2" s="361"/>
      <c r="I2" s="361"/>
      <c r="J2" s="361"/>
      <c r="K2" s="361"/>
      <c r="L2" s="361"/>
      <c r="M2" s="361"/>
      <c r="N2" s="361"/>
      <c r="O2" s="361"/>
      <c r="P2" s="361"/>
      <c r="Q2" s="361"/>
      <c r="R2" s="361"/>
      <c r="S2" s="62"/>
      <c r="T2" s="5" t="s">
        <v>271</v>
      </c>
    </row>
    <row r="3" spans="2:21" ht="45">
      <c r="H3" s="6"/>
      <c r="I3" s="6"/>
      <c r="J3" s="10" t="s">
        <v>262</v>
      </c>
      <c r="K3" s="10" t="s">
        <v>24</v>
      </c>
      <c r="L3" s="10" t="s">
        <v>26</v>
      </c>
      <c r="M3" s="10" t="s">
        <v>28</v>
      </c>
      <c r="N3" s="10" t="s">
        <v>19</v>
      </c>
      <c r="O3" s="10" t="s">
        <v>13</v>
      </c>
      <c r="P3" s="10" t="s">
        <v>204</v>
      </c>
      <c r="Q3" s="10" t="s">
        <v>205</v>
      </c>
      <c r="R3" s="65" t="s">
        <v>269</v>
      </c>
      <c r="S3" s="10" t="s">
        <v>206</v>
      </c>
    </row>
    <row r="4" spans="2:21" ht="20.45" customHeight="1">
      <c r="B4" s="7" t="s">
        <v>0</v>
      </c>
      <c r="C4" s="8" t="s">
        <v>1</v>
      </c>
      <c r="D4" s="8" t="s">
        <v>2</v>
      </c>
      <c r="E4" s="8" t="s">
        <v>3</v>
      </c>
      <c r="F4" s="8" t="s">
        <v>4</v>
      </c>
      <c r="G4" s="8" t="s">
        <v>5</v>
      </c>
      <c r="J4" s="115">
        <v>45564</v>
      </c>
      <c r="K4" s="115" t="s">
        <v>150</v>
      </c>
      <c r="L4" s="64">
        <v>45</v>
      </c>
      <c r="M4" s="64" t="s">
        <v>53</v>
      </c>
      <c r="N4" s="116">
        <v>2</v>
      </c>
      <c r="O4" s="64">
        <v>15</v>
      </c>
      <c r="P4" s="106">
        <v>48480</v>
      </c>
      <c r="Q4" s="117">
        <f t="shared" ref="Q4:Q12" si="0">P4/100/O4</f>
        <v>32.32</v>
      </c>
      <c r="R4" s="106">
        <v>48330</v>
      </c>
      <c r="S4" s="117">
        <f>R4/100/O4</f>
        <v>32.22</v>
      </c>
      <c r="T4" s="118">
        <v>416</v>
      </c>
      <c r="U4" s="134" t="s">
        <v>297</v>
      </c>
    </row>
    <row r="5" spans="2:21" s="9" customFormat="1" ht="20.45" customHeight="1">
      <c r="B5" s="11" t="s">
        <v>6</v>
      </c>
      <c r="C5" s="12"/>
      <c r="D5" s="12"/>
      <c r="E5" s="12"/>
      <c r="F5" s="12"/>
      <c r="G5" s="12">
        <v>45564</v>
      </c>
      <c r="J5" s="115">
        <v>45565</v>
      </c>
      <c r="K5" s="115" t="s">
        <v>150</v>
      </c>
      <c r="L5" s="64">
        <v>45</v>
      </c>
      <c r="M5" s="64" t="s">
        <v>53</v>
      </c>
      <c r="N5" s="116">
        <v>6</v>
      </c>
      <c r="O5" s="64">
        <v>26</v>
      </c>
      <c r="P5" s="106">
        <v>128280</v>
      </c>
      <c r="Q5" s="117">
        <f t="shared" si="0"/>
        <v>49.338461538461537</v>
      </c>
      <c r="R5" s="106">
        <v>127840</v>
      </c>
      <c r="S5" s="117">
        <f>R5/100/O5</f>
        <v>49.169230769230772</v>
      </c>
      <c r="T5" s="118">
        <v>680</v>
      </c>
      <c r="U5" s="128" t="s">
        <v>299</v>
      </c>
    </row>
    <row r="6" spans="2:21" ht="20.45" customHeight="1">
      <c r="B6" s="11" t="s">
        <v>7</v>
      </c>
      <c r="C6" s="12"/>
      <c r="D6" s="12"/>
      <c r="E6" s="12"/>
      <c r="F6" s="12"/>
      <c r="G6" s="12">
        <v>45572</v>
      </c>
      <c r="H6" s="33"/>
      <c r="J6" s="115">
        <v>45566</v>
      </c>
      <c r="K6" s="115" t="s">
        <v>150</v>
      </c>
      <c r="L6" s="64">
        <v>45</v>
      </c>
      <c r="M6" s="64" t="s">
        <v>53</v>
      </c>
      <c r="N6" s="116">
        <v>1</v>
      </c>
      <c r="O6" s="64">
        <v>4</v>
      </c>
      <c r="P6" s="106">
        <v>20900</v>
      </c>
      <c r="Q6" s="117">
        <f t="shared" si="0"/>
        <v>52.25</v>
      </c>
      <c r="R6" s="106">
        <v>20750</v>
      </c>
      <c r="S6" s="117">
        <f>R6/100/O6</f>
        <v>51.875</v>
      </c>
      <c r="T6" s="118">
        <v>416</v>
      </c>
      <c r="U6" s="128" t="s">
        <v>313</v>
      </c>
    </row>
    <row r="7" spans="2:21" ht="20.45" customHeight="1">
      <c r="B7" s="11" t="s">
        <v>8</v>
      </c>
      <c r="C7" s="19"/>
      <c r="D7" s="19"/>
      <c r="E7" s="19"/>
      <c r="F7" s="19"/>
      <c r="G7" s="19">
        <f>IF(G6=0,"-",G6-G5+1)</f>
        <v>9</v>
      </c>
      <c r="J7" s="115">
        <v>45567</v>
      </c>
      <c r="K7" s="115"/>
      <c r="L7" s="64"/>
      <c r="M7" s="64"/>
      <c r="N7" s="116"/>
      <c r="O7" s="64"/>
      <c r="P7" s="106"/>
      <c r="Q7" s="117"/>
      <c r="R7" s="106"/>
      <c r="S7" s="117"/>
      <c r="T7" s="118"/>
    </row>
    <row r="8" spans="2:21" ht="20.45" customHeight="1">
      <c r="B8" s="11" t="s">
        <v>9</v>
      </c>
      <c r="C8" s="19"/>
      <c r="D8" s="19"/>
      <c r="E8" s="19"/>
      <c r="F8" s="19"/>
      <c r="G8" s="19">
        <v>6</v>
      </c>
      <c r="J8" s="115">
        <v>45568</v>
      </c>
      <c r="K8" s="115"/>
      <c r="L8" s="64"/>
      <c r="M8" s="64"/>
      <c r="N8" s="116"/>
      <c r="O8" s="64"/>
      <c r="P8" s="106"/>
      <c r="Q8" s="117"/>
      <c r="R8" s="106"/>
      <c r="S8" s="117"/>
      <c r="T8" s="118"/>
    </row>
    <row r="9" spans="2:21" ht="20.45" customHeight="1">
      <c r="B9" s="11" t="s">
        <v>10</v>
      </c>
      <c r="C9" s="20"/>
      <c r="D9" s="20"/>
      <c r="E9" s="20"/>
      <c r="F9" s="20"/>
      <c r="G9" s="20" t="s">
        <v>312</v>
      </c>
      <c r="J9" s="115">
        <v>45569</v>
      </c>
      <c r="K9" s="115"/>
      <c r="L9" s="64"/>
      <c r="M9" s="64"/>
      <c r="N9" s="116"/>
      <c r="O9" s="64"/>
      <c r="P9" s="106"/>
      <c r="Q9" s="117"/>
      <c r="R9" s="106"/>
      <c r="S9" s="117"/>
      <c r="T9" s="130"/>
    </row>
    <row r="10" spans="2:21" ht="20.45" customHeight="1">
      <c r="B10" s="11" t="s">
        <v>11</v>
      </c>
      <c r="C10" s="34"/>
      <c r="D10" s="34"/>
      <c r="E10" s="34"/>
      <c r="F10" s="34"/>
      <c r="G10" s="34">
        <f>R15/1000</f>
        <v>499.75</v>
      </c>
      <c r="J10" s="115">
        <v>45570</v>
      </c>
      <c r="K10" s="115" t="s">
        <v>149</v>
      </c>
      <c r="L10" s="64">
        <v>52</v>
      </c>
      <c r="M10" s="64" t="s">
        <v>53</v>
      </c>
      <c r="N10" s="116">
        <v>3</v>
      </c>
      <c r="O10" s="64">
        <v>16.5</v>
      </c>
      <c r="P10" s="106">
        <v>80760</v>
      </c>
      <c r="Q10" s="117">
        <f t="shared" si="0"/>
        <v>48.945454545454545</v>
      </c>
      <c r="R10" s="106">
        <v>80540</v>
      </c>
      <c r="S10" s="117">
        <f>R10/100/O10</f>
        <v>48.812121212121212</v>
      </c>
      <c r="T10" s="118" t="s">
        <v>310</v>
      </c>
      <c r="U10" s="128" t="s">
        <v>314</v>
      </c>
    </row>
    <row r="11" spans="2:21" ht="20.45" customHeight="1">
      <c r="B11" s="11" t="s">
        <v>12</v>
      </c>
      <c r="C11" s="22"/>
      <c r="D11" s="22"/>
      <c r="E11" s="22"/>
      <c r="F11" s="22"/>
      <c r="G11" s="140">
        <v>169</v>
      </c>
      <c r="I11" s="131"/>
      <c r="J11" s="115"/>
      <c r="K11" s="115" t="s">
        <v>149</v>
      </c>
      <c r="L11" s="64">
        <v>52</v>
      </c>
      <c r="M11" s="64" t="s">
        <v>41</v>
      </c>
      <c r="N11" s="116">
        <v>2</v>
      </c>
      <c r="O11" s="64">
        <v>6.5</v>
      </c>
      <c r="P11" s="106">
        <v>51900</v>
      </c>
      <c r="Q11" s="117">
        <f t="shared" si="0"/>
        <v>79.84615384615384</v>
      </c>
      <c r="R11" s="106">
        <v>51760</v>
      </c>
      <c r="S11" s="117">
        <f>R11/100/O11</f>
        <v>79.630769230769232</v>
      </c>
      <c r="T11" s="118" t="s">
        <v>311</v>
      </c>
      <c r="U11" s="128"/>
    </row>
    <row r="12" spans="2:21" ht="20.45" customHeight="1">
      <c r="B12" s="11" t="s">
        <v>13</v>
      </c>
      <c r="C12" s="22"/>
      <c r="D12" s="22"/>
      <c r="E12" s="22"/>
      <c r="F12" s="22"/>
      <c r="G12" s="22">
        <f>O15</f>
        <v>112</v>
      </c>
      <c r="H12" s="33"/>
      <c r="J12" s="115">
        <v>45571</v>
      </c>
      <c r="K12" s="115" t="s">
        <v>149</v>
      </c>
      <c r="L12" s="64">
        <v>52</v>
      </c>
      <c r="M12" s="64" t="s">
        <v>41</v>
      </c>
      <c r="N12" s="116">
        <v>5</v>
      </c>
      <c r="O12" s="64">
        <v>29</v>
      </c>
      <c r="P12" s="106">
        <f>140240-P13</f>
        <v>126650</v>
      </c>
      <c r="Q12" s="117">
        <f t="shared" si="0"/>
        <v>43.672413793103445</v>
      </c>
      <c r="R12" s="145">
        <f>139750-R13</f>
        <v>126220</v>
      </c>
      <c r="S12" s="133">
        <f>R12/100/O12</f>
        <v>43.524137931034481</v>
      </c>
      <c r="T12" s="118" t="s">
        <v>315</v>
      </c>
      <c r="U12" s="128"/>
    </row>
    <row r="13" spans="2:21" ht="20.45" customHeight="1">
      <c r="B13" s="11" t="s">
        <v>14</v>
      </c>
      <c r="C13" s="23"/>
      <c r="D13" s="23"/>
      <c r="E13" s="23"/>
      <c r="F13" s="23"/>
      <c r="G13" s="23">
        <f>IFERROR(G10/O15*10,0)</f>
        <v>44.620535714285708</v>
      </c>
      <c r="J13" s="115"/>
      <c r="K13" s="115" t="s">
        <v>309</v>
      </c>
      <c r="L13" s="64">
        <v>72</v>
      </c>
      <c r="M13" s="64" t="s">
        <v>41</v>
      </c>
      <c r="N13" s="116">
        <v>1</v>
      </c>
      <c r="O13" s="64">
        <v>1</v>
      </c>
      <c r="P13" s="106">
        <f>27180/2</f>
        <v>13590</v>
      </c>
      <c r="Q13" s="117">
        <f>P13/100/O13</f>
        <v>135.9</v>
      </c>
      <c r="R13" s="145">
        <f>27060/2</f>
        <v>13530</v>
      </c>
      <c r="S13" s="133">
        <f>R13/100/O13</f>
        <v>135.30000000000001</v>
      </c>
      <c r="T13" s="118" t="s">
        <v>316</v>
      </c>
      <c r="U13" s="128"/>
    </row>
    <row r="14" spans="2:21" ht="20.45" customHeight="1">
      <c r="B14" s="11"/>
      <c r="C14" s="24"/>
      <c r="D14" s="24"/>
      <c r="E14" s="24"/>
      <c r="F14" s="24"/>
      <c r="G14" s="24"/>
      <c r="J14" s="115">
        <v>45572</v>
      </c>
      <c r="K14" s="115" t="s">
        <v>309</v>
      </c>
      <c r="L14" s="64">
        <v>72</v>
      </c>
      <c r="M14" s="64" t="s">
        <v>41</v>
      </c>
      <c r="N14" s="116">
        <v>1</v>
      </c>
      <c r="O14" s="64">
        <v>14</v>
      </c>
      <c r="P14" s="106">
        <v>30900</v>
      </c>
      <c r="Q14" s="117">
        <f>P14/100/O14</f>
        <v>22.071428571428573</v>
      </c>
      <c r="R14" s="145">
        <v>30780</v>
      </c>
      <c r="S14" s="133">
        <f>R14/100/O14</f>
        <v>21.985714285714288</v>
      </c>
      <c r="T14" s="118">
        <v>258</v>
      </c>
      <c r="U14" s="128"/>
    </row>
    <row r="15" spans="2:21" ht="20.45" customHeight="1">
      <c r="J15" s="10" t="s">
        <v>21</v>
      </c>
      <c r="K15" s="10"/>
      <c r="L15" s="10"/>
      <c r="M15" s="10"/>
      <c r="N15" s="10">
        <f>SUM(N4:N14)</f>
        <v>21</v>
      </c>
      <c r="O15" s="29">
        <f>SUM(O4:O14)</f>
        <v>112</v>
      </c>
      <c r="P15" s="30">
        <f>SUM(P4:P14)</f>
        <v>501460</v>
      </c>
      <c r="Q15" s="31">
        <f>P15/O15/100</f>
        <v>44.773214285714282</v>
      </c>
      <c r="R15" s="30">
        <f>SUM(R4:R14)</f>
        <v>499750</v>
      </c>
      <c r="S15" s="31">
        <f>R15/O15/100</f>
        <v>44.620535714285715</v>
      </c>
      <c r="T15" s="118"/>
      <c r="U15" s="119"/>
    </row>
    <row r="16" spans="2:21" s="25" customFormat="1" ht="18">
      <c r="B16" s="27" t="s">
        <v>15</v>
      </c>
      <c r="C16" s="28"/>
      <c r="D16" s="6"/>
      <c r="E16" s="6"/>
      <c r="F16" s="6"/>
      <c r="G16" s="6"/>
      <c r="J16" s="5"/>
      <c r="K16" s="5"/>
      <c r="L16" s="5"/>
      <c r="M16" s="5"/>
      <c r="N16" s="9"/>
      <c r="O16" s="5"/>
      <c r="P16" s="5"/>
      <c r="Q16" s="5"/>
      <c r="R16" s="5"/>
      <c r="S16" s="5"/>
      <c r="T16" s="118"/>
      <c r="U16" s="5"/>
    </row>
    <row r="17" spans="2:22" ht="17.45" customHeight="1">
      <c r="B17" s="11" t="s">
        <v>16</v>
      </c>
      <c r="C17" s="34">
        <v>3042</v>
      </c>
      <c r="D17" s="23">
        <f>C17/G11*10</f>
        <v>180</v>
      </c>
      <c r="T17" s="130"/>
    </row>
    <row r="18" spans="2:22" ht="17.45" customHeight="1">
      <c r="B18" s="109" t="s">
        <v>23</v>
      </c>
      <c r="C18" s="110">
        <v>3042</v>
      </c>
      <c r="D18" s="111">
        <f>C18/G11*10</f>
        <v>180</v>
      </c>
      <c r="E18" s="406"/>
      <c r="F18" s="406"/>
      <c r="G18" s="406"/>
      <c r="H18" s="406"/>
      <c r="T18" s="118"/>
    </row>
    <row r="19" spans="2:22" ht="17.45" customHeight="1">
      <c r="B19" s="126" t="s">
        <v>258</v>
      </c>
      <c r="C19" s="137">
        <v>2366</v>
      </c>
      <c r="D19" s="127">
        <f>C19/G11*10</f>
        <v>140</v>
      </c>
      <c r="E19" s="407"/>
      <c r="F19" s="407"/>
      <c r="G19" s="407"/>
      <c r="H19" s="6"/>
      <c r="O19" s="26"/>
      <c r="P19" s="26"/>
      <c r="Q19" s="26"/>
      <c r="R19" s="26"/>
      <c r="T19" s="118"/>
    </row>
    <row r="20" spans="2:22" ht="17.45" customHeight="1">
      <c r="B20" s="120" t="s">
        <v>17</v>
      </c>
      <c r="C20" s="69">
        <f>R15/1000</f>
        <v>499.75</v>
      </c>
      <c r="D20" s="121">
        <f>C20/O15*10</f>
        <v>44.620535714285708</v>
      </c>
      <c r="E20" s="122">
        <f>O15</f>
        <v>112</v>
      </c>
      <c r="O20" s="26"/>
      <c r="P20" s="80"/>
      <c r="R20" s="80"/>
      <c r="T20" s="118"/>
    </row>
    <row r="21" spans="2:22" ht="17.45" customHeight="1">
      <c r="B21" s="11" t="s">
        <v>247</v>
      </c>
      <c r="C21" s="2">
        <f>C20/C17</f>
        <v>0.16428336620644313</v>
      </c>
      <c r="D21" s="1"/>
      <c r="G21" s="3"/>
      <c r="R21" s="80"/>
      <c r="T21" s="118"/>
    </row>
    <row r="22" spans="2:22" ht="17.45" customHeight="1">
      <c r="B22" s="11" t="s">
        <v>257</v>
      </c>
      <c r="C22" s="2">
        <f>C20/C18</f>
        <v>0.16428336620644313</v>
      </c>
      <c r="D22" s="1"/>
      <c r="G22" s="3"/>
      <c r="R22" s="80"/>
      <c r="T22" s="118"/>
    </row>
    <row r="23" spans="2:22" ht="17.45" customHeight="1">
      <c r="B23" s="11" t="s">
        <v>180</v>
      </c>
      <c r="C23" s="2">
        <f>O15/G11</f>
        <v>0.66272189349112431</v>
      </c>
      <c r="E23" s="139">
        <f>G11-E20</f>
        <v>57</v>
      </c>
      <c r="F23" s="363" t="s">
        <v>318</v>
      </c>
      <c r="G23" s="363"/>
      <c r="T23" s="118"/>
      <c r="V23" s="80"/>
    </row>
    <row r="24" spans="2:22" ht="17.45" customHeight="1">
      <c r="B24" s="11"/>
      <c r="C24" s="2"/>
      <c r="G24" s="3"/>
      <c r="T24" s="118"/>
      <c r="V24" s="80"/>
    </row>
    <row r="25" spans="2:22" ht="17.45" customHeight="1">
      <c r="B25" s="11"/>
      <c r="C25" s="2"/>
      <c r="G25" s="3"/>
      <c r="T25" s="118"/>
      <c r="V25" s="80"/>
    </row>
    <row r="26" spans="2:22" ht="17.45" customHeight="1">
      <c r="B26" s="11"/>
      <c r="C26" s="2"/>
      <c r="G26" s="3"/>
      <c r="T26" s="118"/>
      <c r="V26" s="80"/>
    </row>
    <row r="27" spans="2:22" ht="17.45" customHeight="1">
      <c r="B27" s="11"/>
      <c r="C27" s="2"/>
      <c r="G27" s="3"/>
      <c r="T27" s="118"/>
      <c r="V27" s="80"/>
    </row>
    <row r="28" spans="2:22" ht="17.45" customHeight="1">
      <c r="B28" s="11"/>
      <c r="C28" s="146"/>
      <c r="G28" s="3"/>
      <c r="T28" s="118"/>
      <c r="V28" s="80"/>
    </row>
    <row r="29" spans="2:22" ht="17.45" customHeight="1">
      <c r="B29" s="11"/>
      <c r="C29" s="2"/>
      <c r="G29" s="3"/>
      <c r="T29" s="118"/>
      <c r="V29" s="80"/>
    </row>
    <row r="30" spans="2:22" ht="17.45" customHeight="1">
      <c r="B30" s="11"/>
      <c r="C30" s="2"/>
      <c r="G30" s="3"/>
      <c r="T30" s="118"/>
      <c r="V30" s="80"/>
    </row>
    <row r="31" spans="2:22" ht="17.45" customHeight="1">
      <c r="B31" s="11"/>
      <c r="C31" s="2"/>
      <c r="G31" s="3"/>
      <c r="T31" s="118"/>
      <c r="V31" s="80"/>
    </row>
    <row r="32" spans="2:22" ht="17.45" customHeight="1">
      <c r="B32" s="11"/>
      <c r="C32" s="2"/>
      <c r="G32" s="3"/>
      <c r="T32" s="118"/>
      <c r="V32" s="80"/>
    </row>
    <row r="33" spans="2:22" ht="17.45" customHeight="1">
      <c r="B33" s="11"/>
      <c r="C33" s="2"/>
      <c r="G33" s="3"/>
      <c r="T33" s="118"/>
      <c r="V33" s="80"/>
    </row>
    <row r="34" spans="2:22" ht="17.45" customHeight="1">
      <c r="B34" s="11"/>
      <c r="C34" s="2"/>
      <c r="G34" s="3"/>
      <c r="T34" s="118"/>
      <c r="V34" s="80"/>
    </row>
    <row r="35" spans="2:22" ht="17.45" customHeight="1">
      <c r="B35" s="11"/>
      <c r="C35" s="2"/>
      <c r="G35" s="3"/>
      <c r="T35" s="118"/>
      <c r="V35" s="80"/>
    </row>
    <row r="36" spans="2:22" ht="17.45" customHeight="1">
      <c r="B36" s="11"/>
      <c r="C36" s="2"/>
      <c r="G36" s="3"/>
      <c r="V36" s="80"/>
    </row>
    <row r="37" spans="2:22">
      <c r="G37" s="32"/>
      <c r="T37" s="118"/>
    </row>
    <row r="38" spans="2:22">
      <c r="C38" s="72"/>
    </row>
    <row r="39" spans="2:22">
      <c r="T39" s="118"/>
    </row>
    <row r="40" spans="2:22">
      <c r="C40" s="72"/>
    </row>
    <row r="43" spans="2:22">
      <c r="T43" s="118"/>
    </row>
    <row r="45" spans="2:22">
      <c r="T45" s="118"/>
    </row>
    <row r="46" spans="2:22" ht="16.5" customHeight="1"/>
  </sheetData>
  <autoFilter ref="J3:S15" xr:uid="{EA93015D-5D62-4C68-AFF2-B4A6FB7D7DBA}"/>
  <mergeCells count="4">
    <mergeCell ref="B2:R2"/>
    <mergeCell ref="E18:H18"/>
    <mergeCell ref="E19:G19"/>
    <mergeCell ref="F23:G23"/>
  </mergeCells>
  <phoneticPr fontId="30" type="noConversion"/>
  <pageMargins left="0.7" right="0.7" top="0.75" bottom="0.75" header="0.3" footer="0.3"/>
  <pageSetup paperSize="9" scale="23" fitToHeight="0"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2A58F-772C-45E5-8039-80C09D6929F5}">
  <dimension ref="A1:V1048534"/>
  <sheetViews>
    <sheetView zoomScale="80" zoomScaleNormal="80" workbookViewId="0">
      <pane ySplit="1" topLeftCell="A53" activePane="bottomLeft" state="frozen"/>
      <selection pane="bottomLeft" activeCell="N77" sqref="N77"/>
    </sheetView>
  </sheetViews>
  <sheetFormatPr defaultRowHeight="15"/>
  <cols>
    <col min="1" max="1" width="13.28515625" customWidth="1"/>
    <col min="2" max="2" width="15" hidden="1" customWidth="1"/>
    <col min="3" max="3" width="15.85546875" hidden="1" customWidth="1"/>
    <col min="4" max="4" width="17" customWidth="1"/>
    <col min="5" max="6" width="14.28515625" customWidth="1"/>
    <col min="7" max="7" width="14.28515625" hidden="1" customWidth="1"/>
    <col min="8" max="8" width="27.7109375" customWidth="1"/>
    <col min="9" max="9" width="14.28515625" customWidth="1"/>
    <col min="10" max="10" width="12.28515625" customWidth="1"/>
    <col min="11" max="11" width="23.7109375" hidden="1" customWidth="1"/>
    <col min="12" max="12" width="14.5703125" customWidth="1"/>
    <col min="13" max="13" width="16.85546875" hidden="1" customWidth="1"/>
    <col min="14" max="14" width="16.28515625" customWidth="1"/>
    <col min="15" max="15" width="12.7109375" customWidth="1"/>
    <col min="16" max="16" width="10.7109375" style="53" customWidth="1"/>
    <col min="17" max="17" width="17.28515625" style="36" customWidth="1"/>
    <col min="18" max="18" width="17.140625" style="36" customWidth="1"/>
    <col min="19" max="19" width="15.85546875" style="161" customWidth="1"/>
    <col min="20" max="20" width="18.28515625" style="161" customWidth="1"/>
    <col min="21" max="21" width="13.85546875" style="53" customWidth="1"/>
    <col min="22" max="22" width="88.7109375" customWidth="1"/>
  </cols>
  <sheetData>
    <row r="1" spans="1:22" s="163" customFormat="1" ht="51.75" customHeight="1">
      <c r="A1" s="163" t="s">
        <v>27</v>
      </c>
      <c r="B1" s="163" t="s">
        <v>103</v>
      </c>
      <c r="C1" s="163" t="s">
        <v>104</v>
      </c>
      <c r="D1" s="163" t="s">
        <v>88</v>
      </c>
      <c r="E1" s="163" t="s">
        <v>90</v>
      </c>
      <c r="F1" s="163" t="s">
        <v>91</v>
      </c>
      <c r="G1" s="163" t="s">
        <v>281</v>
      </c>
      <c r="H1" s="163" t="s">
        <v>92</v>
      </c>
      <c r="I1" s="163" t="s">
        <v>107</v>
      </c>
      <c r="J1" s="163" t="s">
        <v>89</v>
      </c>
      <c r="K1" s="163" t="s">
        <v>101</v>
      </c>
      <c r="L1" s="163" t="s">
        <v>36</v>
      </c>
      <c r="M1" s="163" t="s">
        <v>102</v>
      </c>
      <c r="N1" s="163" t="s">
        <v>37</v>
      </c>
      <c r="O1" s="163" t="s">
        <v>29</v>
      </c>
      <c r="P1" s="149" t="s">
        <v>30</v>
      </c>
      <c r="Q1" s="162" t="s">
        <v>32</v>
      </c>
      <c r="R1" s="162" t="s">
        <v>33</v>
      </c>
      <c r="S1" s="152" t="s">
        <v>34</v>
      </c>
      <c r="T1" s="152" t="s">
        <v>35</v>
      </c>
      <c r="U1" s="149" t="s">
        <v>31</v>
      </c>
      <c r="V1" s="163" t="s">
        <v>105</v>
      </c>
    </row>
    <row r="2" spans="1:22" hidden="1">
      <c r="A2" t="s">
        <v>58</v>
      </c>
      <c r="B2" t="s">
        <v>64</v>
      </c>
      <c r="C2" t="s">
        <v>65</v>
      </c>
      <c r="E2" s="35">
        <v>45407</v>
      </c>
      <c r="F2" s="35">
        <f>Таблица1[[#This Row],[Дата сева агро]]+84</f>
        <v>45491</v>
      </c>
      <c r="G2" s="35"/>
      <c r="H2" s="148" t="s">
        <v>226</v>
      </c>
      <c r="I2" s="35" t="s">
        <v>108</v>
      </c>
      <c r="J2" t="s">
        <v>39</v>
      </c>
      <c r="K2" t="s">
        <v>93</v>
      </c>
      <c r="L2">
        <v>12</v>
      </c>
      <c r="N2">
        <v>12</v>
      </c>
      <c r="O2">
        <f>Таблица1[[#This Row],[Площадь сева, га]]-Таблица1[[#This Row],[Площадь уборки, га]]</f>
        <v>0</v>
      </c>
      <c r="P2" s="53">
        <f>Таблица1[[#This Row],[Площадь уборки, га]]/Таблица1[[#This Row],[Площадь сева, га]]</f>
        <v>1</v>
      </c>
      <c r="Q2" s="36">
        <v>12.456</v>
      </c>
      <c r="R2" s="36">
        <f>IFERROR(Таблица1[[#This Row],[Валовый сбор фактический, т]]/Таблица1[[#This Row],[Площадь уборки, га]],"-")</f>
        <v>11.207833333333333</v>
      </c>
      <c r="S2" s="36">
        <f>Таблица1[[#This Row],[Урожайность плановая, т/га]]*Таблица1[[#This Row],[Площадь сева, га]]</f>
        <v>149.47199999999998</v>
      </c>
      <c r="T2" s="161">
        <f>(75560+58934)/1000</f>
        <v>134.494</v>
      </c>
      <c r="U2" s="53">
        <f>IFERROR(Таблица1[[#This Row],[Валовый сбор фактический, т]]/Таблица1[[#This Row],[Валовый сбор плановый, т]],"-")</f>
        <v>0.8997939413401842</v>
      </c>
    </row>
    <row r="3" spans="1:22" hidden="1">
      <c r="A3" t="s">
        <v>58</v>
      </c>
      <c r="B3" t="s">
        <v>64</v>
      </c>
      <c r="C3" t="s">
        <v>65</v>
      </c>
      <c r="E3" s="35">
        <v>45408</v>
      </c>
      <c r="F3" s="35">
        <f>Таблица1[[#This Row],[Дата сева агро]]+84</f>
        <v>45492</v>
      </c>
      <c r="G3" s="35"/>
      <c r="H3" s="148" t="s">
        <v>227</v>
      </c>
      <c r="I3" s="35" t="s">
        <v>108</v>
      </c>
      <c r="J3" t="s">
        <v>39</v>
      </c>
      <c r="K3" t="s">
        <v>93</v>
      </c>
      <c r="L3">
        <v>30</v>
      </c>
      <c r="N3">
        <v>30</v>
      </c>
      <c r="O3">
        <f>Таблица1[[#This Row],[Площадь сева, га]]-Таблица1[[#This Row],[Площадь уборки, га]]</f>
        <v>0</v>
      </c>
      <c r="P3" s="53">
        <f>Таблица1[[#This Row],[Площадь уборки, га]]/Таблица1[[#This Row],[Площадь сева, га]]</f>
        <v>1</v>
      </c>
      <c r="Q3" s="36">
        <v>12.456</v>
      </c>
      <c r="R3" s="36">
        <f>IFERROR(Таблица1[[#This Row],[Валовый сбор фактический, т]]/Таблица1[[#This Row],[Площадь уборки, га]],"-")</f>
        <v>12.942366666666667</v>
      </c>
      <c r="S3" s="36">
        <f>Таблица1[[#This Row],[Урожайность плановая, т/га]]*Таблица1[[#This Row],[Площадь сева, га]]</f>
        <v>373.68</v>
      </c>
      <c r="T3" s="161">
        <f>(157156+231115)/1000</f>
        <v>388.27100000000002</v>
      </c>
      <c r="U3" s="53">
        <f>IFERROR(Таблица1[[#This Row],[Валовый сбор фактический, т]]/Таблица1[[#This Row],[Валовый сбор плановый, т]],"-")</f>
        <v>1.0390467779918646</v>
      </c>
    </row>
    <row r="4" spans="1:22" hidden="1">
      <c r="A4" t="s">
        <v>58</v>
      </c>
      <c r="B4" t="s">
        <v>64</v>
      </c>
      <c r="C4" t="s">
        <v>65</v>
      </c>
      <c r="D4" t="str">
        <f>Таблица1[[#This Row],[Номер поля агро уточн]]</f>
        <v>Поле-4</v>
      </c>
      <c r="E4" s="35">
        <v>45409</v>
      </c>
      <c r="F4" s="35">
        <f>Таблица1[[#This Row],[Дата сева агро]]+84</f>
        <v>45493</v>
      </c>
      <c r="G4" s="35"/>
      <c r="H4" s="148" t="s">
        <v>243</v>
      </c>
      <c r="I4" s="35" t="s">
        <v>108</v>
      </c>
      <c r="J4" t="s">
        <v>39</v>
      </c>
      <c r="K4" t="s">
        <v>93</v>
      </c>
      <c r="L4">
        <v>13</v>
      </c>
      <c r="N4">
        <v>11</v>
      </c>
      <c r="O4">
        <f>Таблица1[[#This Row],[Площадь сева, га]]-Таблица1[[#This Row],[Площадь уборки, га]]</f>
        <v>2</v>
      </c>
      <c r="P4" s="53">
        <f>Таблица1[[#This Row],[Площадь уборки, га]]/Таблица1[[#This Row],[Площадь сева, га]]</f>
        <v>0.84615384615384615</v>
      </c>
      <c r="Q4" s="36">
        <v>12.456</v>
      </c>
      <c r="R4" s="36">
        <f>IFERROR(Таблица1[[#This Row],[Валовый сбор фактический, т]]/Таблица1[[#This Row],[Площадь уборки, га]],"-")</f>
        <v>15.582272727272727</v>
      </c>
      <c r="S4" s="36">
        <f>Таблица1[[#This Row],[Урожайность плановая, т/га]]*Таблица1[[#This Row],[Площадь сева, га]]</f>
        <v>161.928</v>
      </c>
      <c r="T4" s="161">
        <f>(132065+39340)/1000</f>
        <v>171.405</v>
      </c>
      <c r="U4" s="53">
        <f>IFERROR(Таблица1[[#This Row],[Валовый сбор фактический, т]]/Таблица1[[#This Row],[Валовый сбор плановый, т]],"-")</f>
        <v>1.0585260115606936</v>
      </c>
    </row>
    <row r="5" spans="1:22" hidden="1">
      <c r="A5" t="s">
        <v>58</v>
      </c>
      <c r="B5" t="s">
        <v>64</v>
      </c>
      <c r="C5" t="s">
        <v>65</v>
      </c>
      <c r="D5" t="str">
        <f>Таблица1[[#This Row],[Номер поля агро уточн]]</f>
        <v>Поле-4</v>
      </c>
      <c r="E5" s="35">
        <v>45409</v>
      </c>
      <c r="F5" s="35">
        <f>Таблица1[[#This Row],[Дата сева агро]]+84</f>
        <v>45493</v>
      </c>
      <c r="G5" s="35"/>
      <c r="H5" s="148">
        <v>45509</v>
      </c>
      <c r="I5" s="35" t="s">
        <v>108</v>
      </c>
      <c r="J5" t="s">
        <v>40</v>
      </c>
      <c r="K5" t="s">
        <v>94</v>
      </c>
      <c r="L5">
        <v>5</v>
      </c>
      <c r="N5">
        <v>5</v>
      </c>
      <c r="O5">
        <f>Таблица1[[#This Row],[Площадь сева, га]]-Таблица1[[#This Row],[Площадь уборки, га]]</f>
        <v>0</v>
      </c>
      <c r="P5" s="53">
        <f>Таблица1[[#This Row],[Площадь уборки, га]]/Таблица1[[#This Row],[Площадь сева, га]]</f>
        <v>1</v>
      </c>
      <c r="Q5" s="36">
        <v>12.456</v>
      </c>
      <c r="R5" s="36">
        <f>IFERROR(Таблица1[[#This Row],[Валовый сбор фактический, т]]/Таблица1[[#This Row],[Площадь уборки, га]],"-")</f>
        <v>13.587200000000001</v>
      </c>
      <c r="S5" s="36">
        <f>Таблица1[[#This Row],[Урожайность плановая, т/га]]*Таблица1[[#This Row],[Площадь сева, га]]</f>
        <v>62.28</v>
      </c>
      <c r="T5" s="161">
        <f>67936/1000</f>
        <v>67.936000000000007</v>
      </c>
      <c r="U5" s="53">
        <f>IFERROR(Таблица1[[#This Row],[Валовый сбор фактический, т]]/Таблица1[[#This Row],[Валовый сбор плановый, т]],"-")</f>
        <v>1.0908156711624921</v>
      </c>
    </row>
    <row r="6" spans="1:22" hidden="1">
      <c r="A6" t="s">
        <v>58</v>
      </c>
      <c r="B6" t="s">
        <v>65</v>
      </c>
      <c r="C6" t="s">
        <v>65</v>
      </c>
      <c r="D6" t="str">
        <f>Таблица1[[#This Row],[Номер поля агро уточн]]</f>
        <v>Поле-4</v>
      </c>
      <c r="E6" s="35">
        <v>45409</v>
      </c>
      <c r="F6" s="35">
        <f>Таблица1[[#This Row],[Дата сева агро]]+84</f>
        <v>45493</v>
      </c>
      <c r="G6" s="35"/>
      <c r="H6" s="148" t="s">
        <v>225</v>
      </c>
      <c r="I6" s="35" t="s">
        <v>108</v>
      </c>
      <c r="J6" t="s">
        <v>40</v>
      </c>
      <c r="K6" t="s">
        <v>94</v>
      </c>
      <c r="L6">
        <v>16</v>
      </c>
      <c r="N6">
        <v>16</v>
      </c>
      <c r="O6">
        <f>Таблица1[[#This Row],[Площадь сева, га]]-Таблица1[[#This Row],[Площадь уборки, га]]</f>
        <v>0</v>
      </c>
      <c r="P6" s="53">
        <f>Таблица1[[#This Row],[Площадь уборки, га]]/Таблица1[[#This Row],[Площадь сева, га]]</f>
        <v>1</v>
      </c>
      <c r="Q6" s="36">
        <v>12.456</v>
      </c>
      <c r="R6" s="36">
        <f>IFERROR(Таблица1[[#This Row],[Валовый сбор фактический, т]]/Таблица1[[#This Row],[Площадь уборки, га]],"-")</f>
        <v>13.587187500000001</v>
      </c>
      <c r="S6" s="36">
        <f>Таблица1[[#This Row],[Урожайность плановая, т/га]]*Таблица1[[#This Row],[Площадь сева, га]]</f>
        <v>199.29599999999999</v>
      </c>
      <c r="T6" s="161">
        <f>217395/1000</f>
        <v>217.39500000000001</v>
      </c>
      <c r="U6" s="53">
        <f>IFERROR(Таблица1[[#This Row],[Валовый сбор фактический, т]]/Таблица1[[#This Row],[Валовый сбор плановый, т]],"-")</f>
        <v>1.0908146676300579</v>
      </c>
    </row>
    <row r="7" spans="1:22" hidden="1">
      <c r="A7" t="s">
        <v>58</v>
      </c>
      <c r="B7" t="s">
        <v>65</v>
      </c>
      <c r="C7" t="s">
        <v>65</v>
      </c>
      <c r="D7" t="str">
        <f>Таблица1[[#This Row],[Номер поля агро уточн]]</f>
        <v>Поле-4</v>
      </c>
      <c r="E7" s="35">
        <v>45410</v>
      </c>
      <c r="F7" s="35">
        <f>Таблица1[[#This Row],[Дата сева агро]]+84</f>
        <v>45494</v>
      </c>
      <c r="G7" s="35"/>
      <c r="H7" s="148">
        <v>45510</v>
      </c>
      <c r="I7" s="35" t="s">
        <v>108</v>
      </c>
      <c r="J7" t="s">
        <v>40</v>
      </c>
      <c r="K7" t="s">
        <v>94</v>
      </c>
      <c r="L7">
        <v>9</v>
      </c>
      <c r="N7">
        <v>9</v>
      </c>
      <c r="O7">
        <f>Таблица1[[#This Row],[Площадь сева, га]]-Таблица1[[#This Row],[Площадь уборки, га]]</f>
        <v>0</v>
      </c>
      <c r="P7" s="53">
        <f>Таблица1[[#This Row],[Площадь уборки, га]]/Таблица1[[#This Row],[Площадь сева, га]]</f>
        <v>1</v>
      </c>
      <c r="Q7" s="36">
        <v>12.456</v>
      </c>
      <c r="R7" s="36">
        <f>IFERROR(Таблица1[[#This Row],[Валовый сбор фактический, т]]/Таблица1[[#This Row],[Площадь уборки, га]],"-")</f>
        <v>10.917999999999999</v>
      </c>
      <c r="S7" s="36">
        <f>Таблица1[[#This Row],[Урожайность плановая, т/га]]*Таблица1[[#This Row],[Площадь сева, га]]</f>
        <v>112.104</v>
      </c>
      <c r="T7" s="161">
        <f>(54349+43933-20)/1000</f>
        <v>98.262</v>
      </c>
      <c r="U7" s="53">
        <f>IFERROR(Таблица1[[#This Row],[Валовый сбор фактический, т]]/Таблица1[[#This Row],[Валовый сбор плановый, т]],"-")</f>
        <v>0.87652536929993574</v>
      </c>
    </row>
    <row r="8" spans="1:22" hidden="1">
      <c r="A8" t="s">
        <v>58</v>
      </c>
      <c r="B8" t="s">
        <v>65</v>
      </c>
      <c r="C8" t="s">
        <v>65</v>
      </c>
      <c r="D8" t="str">
        <f>Таблица1[[#This Row],[Номер поля агро уточн]]</f>
        <v>Поле-4</v>
      </c>
      <c r="E8" s="35">
        <v>45414</v>
      </c>
      <c r="F8" s="35">
        <f>Таблица1[[#This Row],[Дата сева агро]]+84</f>
        <v>45498</v>
      </c>
      <c r="G8" s="35"/>
      <c r="H8" s="148">
        <v>45512</v>
      </c>
      <c r="I8" s="35" t="s">
        <v>108</v>
      </c>
      <c r="J8" t="s">
        <v>40</v>
      </c>
      <c r="K8" t="s">
        <v>94</v>
      </c>
      <c r="L8">
        <v>34</v>
      </c>
      <c r="N8">
        <v>34</v>
      </c>
      <c r="O8">
        <f>Таблица1[[#This Row],[Площадь сева, га]]-Таблица1[[#This Row],[Площадь уборки, га]]</f>
        <v>0</v>
      </c>
      <c r="P8" s="53">
        <f>Таблица1[[#This Row],[Площадь уборки, га]]/Таблица1[[#This Row],[Площадь сева, га]]</f>
        <v>1</v>
      </c>
      <c r="Q8" s="36">
        <v>12.456</v>
      </c>
      <c r="R8" s="36">
        <f>IFERROR(Таблица1[[#This Row],[Валовый сбор фактический, т]]/Таблица1[[#This Row],[Площадь уборки, га]],"-")</f>
        <v>12.421264705882352</v>
      </c>
      <c r="S8" s="36">
        <f>Таблица1[[#This Row],[Урожайность плановая, т/га]]*Таблица1[[#This Row],[Площадь сева, га]]</f>
        <v>423.50399999999996</v>
      </c>
      <c r="T8" s="161">
        <f>(35147+387176)/1000</f>
        <v>422.32299999999998</v>
      </c>
      <c r="U8" s="53">
        <f>IFERROR(Таблица1[[#This Row],[Валовый сбор фактический, т]]/Таблица1[[#This Row],[Валовый сбор плановый, т]],"-")</f>
        <v>0.99721136045940539</v>
      </c>
    </row>
    <row r="9" spans="1:22" hidden="1">
      <c r="A9" t="s">
        <v>58</v>
      </c>
      <c r="B9" t="s">
        <v>65</v>
      </c>
      <c r="C9" t="s">
        <v>65</v>
      </c>
      <c r="D9" t="str">
        <f>Таблица1[[#This Row],[Номер поля агро уточн]]</f>
        <v>Поле-4</v>
      </c>
      <c r="E9" s="35">
        <v>45415</v>
      </c>
      <c r="F9" s="35">
        <f>Таблица1[[#This Row],[Дата сева агро]]+84</f>
        <v>45499</v>
      </c>
      <c r="G9" s="35"/>
      <c r="H9" s="148">
        <v>45513</v>
      </c>
      <c r="I9" s="35" t="s">
        <v>108</v>
      </c>
      <c r="J9" t="s">
        <v>40</v>
      </c>
      <c r="K9" t="s">
        <v>94</v>
      </c>
      <c r="L9">
        <v>34</v>
      </c>
      <c r="N9">
        <v>34</v>
      </c>
      <c r="O9">
        <f>Таблица1[[#This Row],[Площадь сева, га]]-Таблица1[[#This Row],[Площадь уборки, га]]</f>
        <v>0</v>
      </c>
      <c r="P9" s="53">
        <f>Таблица1[[#This Row],[Площадь уборки, га]]/Таблица1[[#This Row],[Площадь сева, га]]</f>
        <v>1</v>
      </c>
      <c r="Q9" s="36">
        <v>12.456</v>
      </c>
      <c r="R9" s="36">
        <f>IFERROR(Таблица1[[#This Row],[Валовый сбор фактический, т]]/Таблица1[[#This Row],[Площадь уборки, га]],"-")</f>
        <v>13.4305</v>
      </c>
      <c r="S9" s="36">
        <f>Таблица1[[#This Row],[Урожайность плановая, т/га]]*Таблица1[[#This Row],[Площадь сева, га]]</f>
        <v>423.50399999999996</v>
      </c>
      <c r="T9" s="161">
        <f>(51624+405013)/1000</f>
        <v>456.637</v>
      </c>
      <c r="U9" s="53">
        <f>IFERROR(Таблица1[[#This Row],[Валовый сбор фактический, т]]/Таблица1[[#This Row],[Валовый сбор плановый, т]],"-")</f>
        <v>1.0782353885677587</v>
      </c>
    </row>
    <row r="10" spans="1:22" hidden="1">
      <c r="A10" t="s">
        <v>58</v>
      </c>
      <c r="B10" t="s">
        <v>65</v>
      </c>
      <c r="C10" t="s">
        <v>65</v>
      </c>
      <c r="D10" t="str">
        <f>Таблица1[[#This Row],[Номер поля агро уточн]]</f>
        <v>Поле-4</v>
      </c>
      <c r="E10" s="35">
        <v>45418</v>
      </c>
      <c r="F10" s="35">
        <f>Таблица1[[#This Row],[Дата сева агро]]+84</f>
        <v>45502</v>
      </c>
      <c r="G10" s="35"/>
      <c r="H10" s="148">
        <v>45513</v>
      </c>
      <c r="I10" s="35" t="s">
        <v>108</v>
      </c>
      <c r="J10" t="s">
        <v>40</v>
      </c>
      <c r="K10" t="s">
        <v>94</v>
      </c>
      <c r="L10">
        <v>10</v>
      </c>
      <c r="N10">
        <v>13</v>
      </c>
      <c r="O10">
        <f>Таблица1[[#This Row],[Площадь сева, га]]-Таблица1[[#This Row],[Площадь уборки, га]]</f>
        <v>-3</v>
      </c>
      <c r="P10" s="53">
        <f>Таблица1[[#This Row],[Площадь уборки, га]]/Таблица1[[#This Row],[Площадь сева, га]]</f>
        <v>1.3</v>
      </c>
      <c r="Q10" s="36">
        <v>12.456</v>
      </c>
      <c r="R10" s="36">
        <f>IFERROR(Таблица1[[#This Row],[Валовый сбор фактический, т]]/Таблица1[[#This Row],[Площадь уборки, га]],"-")</f>
        <v>16.615923076923078</v>
      </c>
      <c r="S10" s="36">
        <f>Таблица1[[#This Row],[Урожайность плановая, т/га]]*Таблица1[[#This Row],[Площадь сева, га]]</f>
        <v>124.56</v>
      </c>
      <c r="T10" s="161">
        <f>216007/1000</f>
        <v>216.00700000000001</v>
      </c>
      <c r="U10" s="53">
        <f>IFERROR(Таблица1[[#This Row],[Валовый сбор фактический, т]]/Таблица1[[#This Row],[Валовый сбор плановый, т]],"-")</f>
        <v>1.734160244059088</v>
      </c>
    </row>
    <row r="11" spans="1:22" s="160" customFormat="1" hidden="1">
      <c r="A11" s="160" t="s">
        <v>58</v>
      </c>
      <c r="B11" s="160" t="s">
        <v>65</v>
      </c>
      <c r="C11" s="160" t="s">
        <v>64</v>
      </c>
      <c r="D11" t="str">
        <f>Таблица1[[#This Row],[Номер поля агро уточн]]</f>
        <v>Поле-2</v>
      </c>
      <c r="E11" s="159">
        <v>45418</v>
      </c>
      <c r="F11" s="159">
        <f>Таблица1[[#This Row],[Дата сева агро]]+84</f>
        <v>45502</v>
      </c>
      <c r="G11" s="159"/>
      <c r="H11" s="158"/>
      <c r="I11" s="159" t="s">
        <v>108</v>
      </c>
      <c r="J11" s="160" t="s">
        <v>41</v>
      </c>
      <c r="K11" s="160" t="s">
        <v>41</v>
      </c>
      <c r="L11" s="160">
        <v>31</v>
      </c>
      <c r="O11" s="160">
        <f>Таблица1[[#This Row],[Площадь сева, га]]-Таблица1[[#This Row],[Площадь уборки, га]]</f>
        <v>31</v>
      </c>
      <c r="P11" s="157">
        <f>Таблица1[[#This Row],[Площадь уборки, га]]/Таблица1[[#This Row],[Площадь сева, га]]</f>
        <v>0</v>
      </c>
      <c r="Q11" s="36">
        <v>12.456</v>
      </c>
      <c r="R11" s="156" t="str">
        <f>IFERROR(Таблица1[[#This Row],[Валовый сбор фактический, т]]/Таблица1[[#This Row],[Площадь уборки, га]],"-")</f>
        <v>-</v>
      </c>
      <c r="S11" s="156">
        <f>Таблица1[[#This Row],[Урожайность плановая, т/га]]*Таблица1[[#This Row],[Площадь сева, га]]</f>
        <v>386.13599999999997</v>
      </c>
      <c r="T11" s="156"/>
      <c r="U11" s="53">
        <f>IFERROR(Таблица1[[#This Row],[Валовый сбор фактический, т]]/Таблица1[[#This Row],[Валовый сбор плановый, т]],"-")</f>
        <v>0</v>
      </c>
      <c r="V11" s="160" t="s">
        <v>106</v>
      </c>
    </row>
    <row r="12" spans="1:22" s="160" customFormat="1" hidden="1">
      <c r="A12" s="160" t="s">
        <v>58</v>
      </c>
      <c r="B12" s="160" t="s">
        <v>65</v>
      </c>
      <c r="C12" s="160" t="s">
        <v>64</v>
      </c>
      <c r="D12" t="str">
        <f>Таблица1[[#This Row],[Номер поля агро уточн]]</f>
        <v>Поле-2</v>
      </c>
      <c r="E12" s="159">
        <v>45419</v>
      </c>
      <c r="F12" s="159">
        <f>Таблица1[[#This Row],[Дата сева агро]]+84</f>
        <v>45503</v>
      </c>
      <c r="G12" s="159"/>
      <c r="H12" s="158"/>
      <c r="I12" s="159" t="s">
        <v>108</v>
      </c>
      <c r="J12" s="160" t="s">
        <v>41</v>
      </c>
      <c r="K12" s="160" t="s">
        <v>41</v>
      </c>
      <c r="L12" s="160">
        <v>37</v>
      </c>
      <c r="O12" s="160">
        <f>Таблица1[[#This Row],[Площадь сева, га]]-Таблица1[[#This Row],[Площадь уборки, га]]</f>
        <v>37</v>
      </c>
      <c r="P12" s="157">
        <f>Таблица1[[#This Row],[Площадь уборки, га]]/Таблица1[[#This Row],[Площадь сева, га]]</f>
        <v>0</v>
      </c>
      <c r="Q12" s="36">
        <v>12.456</v>
      </c>
      <c r="R12" s="156" t="str">
        <f>IFERROR(Таблица1[[#This Row],[Валовый сбор фактический, т]]/Таблица1[[#This Row],[Площадь уборки, га]],"-")</f>
        <v>-</v>
      </c>
      <c r="S12" s="156">
        <f>Таблица1[[#This Row],[Урожайность плановая, т/га]]*Таблица1[[#This Row],[Площадь сева, га]]</f>
        <v>460.87199999999996</v>
      </c>
      <c r="T12" s="156"/>
      <c r="U12" s="53">
        <f>IFERROR(Таблица1[[#This Row],[Валовый сбор фактический, т]]/Таблица1[[#This Row],[Валовый сбор плановый, т]],"-")</f>
        <v>0</v>
      </c>
      <c r="V12" s="160" t="s">
        <v>106</v>
      </c>
    </row>
    <row r="13" spans="1:22" s="160" customFormat="1" hidden="1">
      <c r="A13" s="160" t="s">
        <v>58</v>
      </c>
      <c r="B13" s="160" t="s">
        <v>65</v>
      </c>
      <c r="C13" s="160" t="s">
        <v>64</v>
      </c>
      <c r="D13" t="str">
        <f>Таблица1[[#This Row],[Номер поля агро уточн]]</f>
        <v>Поле-2</v>
      </c>
      <c r="E13" s="159">
        <v>45420</v>
      </c>
      <c r="F13" s="159">
        <f>Таблица1[[#This Row],[Дата сева агро]]+84</f>
        <v>45504</v>
      </c>
      <c r="G13" s="159"/>
      <c r="H13" s="158"/>
      <c r="I13" s="159" t="s">
        <v>108</v>
      </c>
      <c r="J13" s="160" t="s">
        <v>41</v>
      </c>
      <c r="K13" s="160" t="s">
        <v>41</v>
      </c>
      <c r="L13" s="160">
        <v>9</v>
      </c>
      <c r="O13" s="160">
        <f>Таблица1[[#This Row],[Площадь сева, га]]-Таблица1[[#This Row],[Площадь уборки, га]]</f>
        <v>9</v>
      </c>
      <c r="P13" s="157">
        <f>Таблица1[[#This Row],[Площадь уборки, га]]/Таблица1[[#This Row],[Площадь сева, га]]</f>
        <v>0</v>
      </c>
      <c r="Q13" s="36">
        <v>12.456</v>
      </c>
      <c r="R13" s="156" t="str">
        <f>IFERROR(Таблица1[[#This Row],[Валовый сбор фактический, т]]/Таблица1[[#This Row],[Площадь уборки, га]],"-")</f>
        <v>-</v>
      </c>
      <c r="S13" s="156">
        <f>Таблица1[[#This Row],[Урожайность плановая, т/га]]*Таблица1[[#This Row],[Площадь сева, га]]</f>
        <v>112.104</v>
      </c>
      <c r="T13" s="156"/>
      <c r="U13" s="53">
        <f>IFERROR(Таблица1[[#This Row],[Валовый сбор фактический, т]]/Таблица1[[#This Row],[Валовый сбор плановый, т]],"-")</f>
        <v>0</v>
      </c>
      <c r="V13" s="160" t="s">
        <v>106</v>
      </c>
    </row>
    <row r="14" spans="1:22" hidden="1">
      <c r="A14" t="s">
        <v>58</v>
      </c>
      <c r="B14" t="s">
        <v>65</v>
      </c>
      <c r="C14" t="s">
        <v>64</v>
      </c>
      <c r="D14" t="str">
        <f>Таблица1[[#This Row],[Номер поля агро уточн]]</f>
        <v>Поле-2</v>
      </c>
      <c r="E14" s="35">
        <v>45420</v>
      </c>
      <c r="F14" s="35">
        <f>Таблица1[[#This Row],[Дата сева агро]]+84</f>
        <v>45504</v>
      </c>
      <c r="G14" s="35"/>
      <c r="H14" s="148">
        <v>45515</v>
      </c>
      <c r="I14" s="35" t="s">
        <v>108</v>
      </c>
      <c r="J14" t="s">
        <v>42</v>
      </c>
      <c r="K14" t="s">
        <v>95</v>
      </c>
      <c r="L14">
        <v>11</v>
      </c>
      <c r="N14">
        <v>11</v>
      </c>
      <c r="O14">
        <f>Таблица1[[#This Row],[Площадь сева, га]]-Таблица1[[#This Row],[Площадь уборки, га]]</f>
        <v>0</v>
      </c>
      <c r="P14" s="53">
        <f>Таблица1[[#This Row],[Площадь уборки, га]]/Таблица1[[#This Row],[Площадь сева, га]]</f>
        <v>1</v>
      </c>
      <c r="Q14" s="36">
        <v>12.456</v>
      </c>
      <c r="R14" s="36">
        <f>IFERROR(Таблица1[[#This Row],[Валовый сбор фактический, т]]/Таблица1[[#This Row],[Площадь уборки, га]],"-")</f>
        <v>18.445454545454545</v>
      </c>
      <c r="S14" s="36">
        <f>Таблица1[[#This Row],[Урожайность плановая, т/га]]*Таблица1[[#This Row],[Площадь сева, га]]</f>
        <v>137.01599999999999</v>
      </c>
      <c r="T14" s="36">
        <f>202900/1000</f>
        <v>202.9</v>
      </c>
      <c r="U14" s="53">
        <f>IFERROR(Таблица1[[#This Row],[Валовый сбор фактический, т]]/Таблица1[[#This Row],[Валовый сбор плановый, т]],"-")</f>
        <v>1.4808489519472179</v>
      </c>
    </row>
    <row r="15" spans="1:22" hidden="1">
      <c r="A15" t="s">
        <v>59</v>
      </c>
      <c r="B15" t="s">
        <v>66</v>
      </c>
      <c r="C15" t="s">
        <v>66</v>
      </c>
      <c r="D15" t="str">
        <f>Таблица1[[#This Row],[Номер поля агро уточн]]</f>
        <v>А-82</v>
      </c>
      <c r="E15" s="35">
        <v>45425</v>
      </c>
      <c r="F15" s="35">
        <f>Таблица1[[#This Row],[Дата сева агро]]+84</f>
        <v>45509</v>
      </c>
      <c r="G15" s="35"/>
      <c r="H15" s="35">
        <v>45522</v>
      </c>
      <c r="I15" s="35" t="s">
        <v>109</v>
      </c>
      <c r="J15" t="s">
        <v>44</v>
      </c>
      <c r="K15" t="s">
        <v>96</v>
      </c>
      <c r="L15">
        <v>19</v>
      </c>
      <c r="M15">
        <v>19</v>
      </c>
      <c r="N15">
        <v>19</v>
      </c>
      <c r="O15">
        <f>Таблица1[[#This Row],[Площадь сева, га]]-Таблица1[[#This Row],[Площадь уборки, га]]</f>
        <v>0</v>
      </c>
      <c r="P15" s="53">
        <f>Таблица1[[#This Row],[Площадь уборки, га]]/Таблица1[[#This Row],[Площадь сева, га]]</f>
        <v>1</v>
      </c>
      <c r="Q15">
        <v>8</v>
      </c>
      <c r="R15" s="36">
        <f>IFERROR(Таблица1[[#This Row],[Валовый сбор фактический, т]]/Таблица1[[#This Row],[Площадь уборки, га]],"-")</f>
        <v>4.9410526315789474</v>
      </c>
      <c r="S15" s="161">
        <f>Таблица1[[#This Row],[Урожайность плановая, т/га]]*Таблица1[[#This Row],[Площадь сева, га]]</f>
        <v>152</v>
      </c>
      <c r="T15" s="161">
        <v>93.88</v>
      </c>
      <c r="U15" s="53">
        <f>IFERROR(Таблица1[[#This Row],[Валовый сбор фактический, т]]/Таблица1[[#This Row],[Валовый сбор плановый, т]],"-")</f>
        <v>0.61763157894736842</v>
      </c>
    </row>
    <row r="16" spans="1:22" hidden="1">
      <c r="A16" t="s">
        <v>59</v>
      </c>
      <c r="B16" t="s">
        <v>67</v>
      </c>
      <c r="C16" t="s">
        <v>67</v>
      </c>
      <c r="D16" t="str">
        <f>Таблица1[[#This Row],[Номер поля агро уточн]]</f>
        <v>А-53</v>
      </c>
      <c r="E16" s="35">
        <v>45430</v>
      </c>
      <c r="F16" s="35">
        <f>Таблица1[[#This Row],[Дата сева агро]]+84</f>
        <v>45514</v>
      </c>
      <c r="G16" s="35"/>
      <c r="H16" s="35">
        <v>45522</v>
      </c>
      <c r="I16" s="35" t="s">
        <v>109</v>
      </c>
      <c r="J16" t="s">
        <v>45</v>
      </c>
      <c r="K16" t="s">
        <v>45</v>
      </c>
      <c r="L16">
        <v>12</v>
      </c>
      <c r="M16">
        <v>12</v>
      </c>
      <c r="N16">
        <v>12</v>
      </c>
      <c r="O16">
        <f>Таблица1[[#This Row],[Площадь сева, га]]-Таблица1[[#This Row],[Площадь уборки, га]]</f>
        <v>0</v>
      </c>
      <c r="P16" s="53">
        <f>Таблица1[[#This Row],[Площадь уборки, га]]/Таблица1[[#This Row],[Площадь сева, га]]</f>
        <v>1</v>
      </c>
      <c r="Q16">
        <v>8</v>
      </c>
      <c r="R16" s="36">
        <f>IFERROR(Таблица1[[#This Row],[Валовый сбор фактический, т]]/Таблица1[[#This Row],[Площадь уборки, га]],"-")</f>
        <v>3.8134999999999999</v>
      </c>
      <c r="S16" s="161">
        <f>Таблица1[[#This Row],[Урожайность плановая, т/га]]*Таблица1[[#This Row],[Площадь сева, га]]</f>
        <v>96</v>
      </c>
      <c r="T16" s="161">
        <v>45.762</v>
      </c>
      <c r="U16" s="53">
        <f>IFERROR(Таблица1[[#This Row],[Валовый сбор фактический, т]]/Таблица1[[#This Row],[Валовый сбор плановый, т]],"-")</f>
        <v>0.47668749999999999</v>
      </c>
    </row>
    <row r="17" spans="1:22" hidden="1">
      <c r="A17" t="s">
        <v>59</v>
      </c>
      <c r="B17" t="s">
        <v>67</v>
      </c>
      <c r="C17" t="s">
        <v>67</v>
      </c>
      <c r="D17" t="str">
        <f>Таблица1[[#This Row],[Номер поля агро уточн]]</f>
        <v>А-53</v>
      </c>
      <c r="E17" s="35">
        <v>45431</v>
      </c>
      <c r="F17" s="35">
        <f>Таблица1[[#This Row],[Дата сева агро]]+84</f>
        <v>45515</v>
      </c>
      <c r="G17" s="35"/>
      <c r="H17" s="35">
        <v>45522</v>
      </c>
      <c r="I17" s="35" t="s">
        <v>109</v>
      </c>
      <c r="J17" t="s">
        <v>45</v>
      </c>
      <c r="K17" t="s">
        <v>45</v>
      </c>
      <c r="L17">
        <v>8</v>
      </c>
      <c r="M17">
        <v>8</v>
      </c>
      <c r="N17">
        <v>8</v>
      </c>
      <c r="O17">
        <f>Таблица1[[#This Row],[Площадь сева, га]]-Таблица1[[#This Row],[Площадь уборки, га]]</f>
        <v>0</v>
      </c>
      <c r="P17" s="53">
        <f>Таблица1[[#This Row],[Площадь уборки, га]]/Таблица1[[#This Row],[Площадь сева, га]]</f>
        <v>1</v>
      </c>
      <c r="Q17">
        <v>8</v>
      </c>
      <c r="R17" s="36">
        <f>IFERROR(Таблица1[[#This Row],[Валовый сбор фактический, т]]/Таблица1[[#This Row],[Площадь уборки, га]],"-")</f>
        <v>3.8134999999999999</v>
      </c>
      <c r="S17" s="161">
        <f>Таблица1[[#This Row],[Урожайность плановая, т/га]]*Таблица1[[#This Row],[Площадь сева, га]]</f>
        <v>64</v>
      </c>
      <c r="T17" s="161">
        <v>30.507999999999999</v>
      </c>
      <c r="U17" s="53">
        <f>IFERROR(Таблица1[[#This Row],[Валовый сбор фактический, т]]/Таблица1[[#This Row],[Валовый сбор плановый, т]],"-")</f>
        <v>0.47668749999999999</v>
      </c>
    </row>
    <row r="18" spans="1:22" hidden="1">
      <c r="A18" t="s">
        <v>59</v>
      </c>
      <c r="B18" t="s">
        <v>67</v>
      </c>
      <c r="C18" t="s">
        <v>67</v>
      </c>
      <c r="D18" t="str">
        <f>Таблица1[[#This Row],[Номер поля агро уточн]]</f>
        <v>А-53</v>
      </c>
      <c r="E18" s="35">
        <v>45432</v>
      </c>
      <c r="F18" s="35">
        <f>Таблица1[[#This Row],[Дата сева агро]]+84</f>
        <v>45516</v>
      </c>
      <c r="G18" s="35"/>
      <c r="H18" s="148" t="s">
        <v>249</v>
      </c>
      <c r="I18" s="35" t="s">
        <v>109</v>
      </c>
      <c r="J18" t="s">
        <v>45</v>
      </c>
      <c r="K18" t="s">
        <v>45</v>
      </c>
      <c r="L18">
        <v>26</v>
      </c>
      <c r="M18">
        <v>26</v>
      </c>
      <c r="N18">
        <v>26</v>
      </c>
      <c r="O18">
        <f>Таблица1[[#This Row],[Площадь сева, га]]-Таблица1[[#This Row],[Площадь уборки, га]]</f>
        <v>0</v>
      </c>
      <c r="P18" s="53">
        <f>Таблица1[[#This Row],[Площадь уборки, га]]/Таблица1[[#This Row],[Площадь сева, га]]</f>
        <v>1</v>
      </c>
      <c r="Q18">
        <v>8</v>
      </c>
      <c r="R18" s="36">
        <f>IFERROR(Таблица1[[#This Row],[Валовый сбор фактический, т]]/Таблица1[[#This Row],[Площадь уборки, га]],"-")</f>
        <v>3.8134999999999999</v>
      </c>
      <c r="S18" s="161">
        <f>Таблица1[[#This Row],[Урожайность плановая, т/га]]*Таблица1[[#This Row],[Площадь сева, га]]</f>
        <v>208</v>
      </c>
      <c r="T18" s="161">
        <v>99.150999999999996</v>
      </c>
      <c r="U18" s="53">
        <f>IFERROR(Таблица1[[#This Row],[Валовый сбор фактический, т]]/Таблица1[[#This Row],[Валовый сбор плановый, т]],"-")</f>
        <v>0.47668749999999999</v>
      </c>
    </row>
    <row r="19" spans="1:22" hidden="1">
      <c r="A19" t="s">
        <v>59</v>
      </c>
      <c r="B19" t="s">
        <v>67</v>
      </c>
      <c r="C19" t="s">
        <v>67</v>
      </c>
      <c r="D19" t="str">
        <f>Таблица1[[#This Row],[Номер поля агро уточн]]</f>
        <v>А-53</v>
      </c>
      <c r="E19" s="35">
        <v>45433</v>
      </c>
      <c r="F19" s="35">
        <f>Таблица1[[#This Row],[Дата сева агро]]+84</f>
        <v>45517</v>
      </c>
      <c r="G19" s="35"/>
      <c r="H19" s="35">
        <v>45523</v>
      </c>
      <c r="I19" s="35" t="s">
        <v>109</v>
      </c>
      <c r="J19" t="s">
        <v>45</v>
      </c>
      <c r="K19" t="s">
        <v>45</v>
      </c>
      <c r="L19">
        <v>26</v>
      </c>
      <c r="M19">
        <v>26</v>
      </c>
      <c r="N19">
        <v>26</v>
      </c>
      <c r="O19">
        <f>Таблица1[[#This Row],[Площадь сева, га]]-Таблица1[[#This Row],[Площадь уборки, га]]</f>
        <v>0</v>
      </c>
      <c r="P19" s="53">
        <f>Таблица1[[#This Row],[Площадь уборки, га]]/Таблица1[[#This Row],[Площадь сева, га]]</f>
        <v>1</v>
      </c>
      <c r="Q19">
        <v>8</v>
      </c>
      <c r="R19" s="36">
        <f>IFERROR(Таблица1[[#This Row],[Валовый сбор фактический, т]]/Таблица1[[#This Row],[Площадь уборки, га]],"-")</f>
        <v>3.8134999999999999</v>
      </c>
      <c r="S19" s="161">
        <f>Таблица1[[#This Row],[Урожайность плановая, т/га]]*Таблица1[[#This Row],[Площадь сева, га]]</f>
        <v>208</v>
      </c>
      <c r="T19" s="161">
        <v>99.150999999999996</v>
      </c>
      <c r="U19" s="53">
        <f>IFERROR(Таблица1[[#This Row],[Валовый сбор фактический, т]]/Таблица1[[#This Row],[Валовый сбор плановый, т]],"-")</f>
        <v>0.47668749999999999</v>
      </c>
    </row>
    <row r="20" spans="1:22" hidden="1">
      <c r="A20" t="s">
        <v>59</v>
      </c>
      <c r="B20" t="s">
        <v>67</v>
      </c>
      <c r="C20" t="s">
        <v>67</v>
      </c>
      <c r="D20" t="str">
        <f>Таблица1[[#This Row],[Номер поля агро уточн]]</f>
        <v>А-53</v>
      </c>
      <c r="E20" s="35">
        <v>45433</v>
      </c>
      <c r="F20" s="35">
        <f>Таблица1[[#This Row],[Дата сева агро]]+84</f>
        <v>45517</v>
      </c>
      <c r="G20" s="35"/>
      <c r="H20" s="35">
        <v>45523</v>
      </c>
      <c r="I20" s="35" t="s">
        <v>109</v>
      </c>
      <c r="J20" t="s">
        <v>45</v>
      </c>
      <c r="K20" t="s">
        <v>45</v>
      </c>
      <c r="L20">
        <v>15</v>
      </c>
      <c r="M20">
        <v>14.2</v>
      </c>
      <c r="N20">
        <v>15</v>
      </c>
      <c r="O20">
        <f>Таблица1[[#This Row],[Площадь сева, га]]-Таблица1[[#This Row],[Площадь уборки, га]]</f>
        <v>0</v>
      </c>
      <c r="P20" s="53">
        <f>Таблица1[[#This Row],[Площадь уборки, га]]/Таблица1[[#This Row],[Площадь сева, га]]</f>
        <v>1</v>
      </c>
      <c r="Q20">
        <v>8</v>
      </c>
      <c r="R20" s="36">
        <f>IFERROR(Таблица1[[#This Row],[Валовый сбор фактический, т]]/Таблица1[[#This Row],[Площадь уборки, га]],"-")</f>
        <v>4.9845333333333333</v>
      </c>
      <c r="S20" s="161">
        <f>Таблица1[[#This Row],[Урожайность плановая, т/га]]*Таблица1[[#This Row],[Площадь сева, га]]</f>
        <v>120</v>
      </c>
      <c r="T20" s="161">
        <v>74.768000000000001</v>
      </c>
      <c r="U20" s="53">
        <f>IFERROR(Таблица1[[#This Row],[Валовый сбор фактический, т]]/Таблица1[[#This Row],[Валовый сбор плановый, т]],"-")</f>
        <v>0.62306666666666666</v>
      </c>
    </row>
    <row r="21" spans="1:22" hidden="1">
      <c r="A21" t="s">
        <v>59</v>
      </c>
      <c r="B21" t="s">
        <v>68</v>
      </c>
      <c r="C21" t="s">
        <v>68</v>
      </c>
      <c r="D21" t="str">
        <f>Таблица1[[#This Row],[Номер поля агро уточн]]</f>
        <v>А-56</v>
      </c>
      <c r="E21" s="35">
        <v>45434</v>
      </c>
      <c r="F21" s="35">
        <f>Таблица1[[#This Row],[Дата сева агро]]+84</f>
        <v>45518</v>
      </c>
      <c r="G21" s="35"/>
      <c r="H21" s="148" t="s">
        <v>250</v>
      </c>
      <c r="I21" s="35" t="s">
        <v>109</v>
      </c>
      <c r="J21" t="s">
        <v>44</v>
      </c>
      <c r="K21" t="s">
        <v>96</v>
      </c>
      <c r="L21">
        <v>41</v>
      </c>
      <c r="M21">
        <v>41</v>
      </c>
      <c r="N21">
        <f>14+21+6</f>
        <v>41</v>
      </c>
      <c r="O21">
        <f>Таблица1[[#This Row],[Площадь сева, га]]-Таблица1[[#This Row],[Площадь уборки, га]]</f>
        <v>0</v>
      </c>
      <c r="P21" s="53">
        <f>Таблица1[[#This Row],[Площадь уборки, га]]/Таблица1[[#This Row],[Площадь сева, га]]</f>
        <v>1</v>
      </c>
      <c r="Q21">
        <v>8</v>
      </c>
      <c r="R21" s="36">
        <f>IFERROR(Таблица1[[#This Row],[Валовый сбор фактический, т]]/Таблица1[[#This Row],[Площадь уборки, га]],"-")</f>
        <v>8.8031707317073167</v>
      </c>
      <c r="S21" s="161">
        <f>Таблица1[[#This Row],[Урожайность плановая, т/га]]*Таблица1[[#This Row],[Площадь сева, га]]</f>
        <v>328</v>
      </c>
      <c r="T21" s="161">
        <f>103.76+219.49+37.68</f>
        <v>360.93</v>
      </c>
      <c r="U21" s="53">
        <f>IFERROR(Таблица1[[#This Row],[Валовый сбор фактический, т]]/Таблица1[[#This Row],[Валовый сбор плановый, т]],"-")</f>
        <v>1.1003963414634146</v>
      </c>
    </row>
    <row r="22" spans="1:22" hidden="1">
      <c r="A22" t="s">
        <v>59</v>
      </c>
      <c r="B22" t="s">
        <v>69</v>
      </c>
      <c r="C22" t="s">
        <v>69</v>
      </c>
      <c r="D22" t="str">
        <f>Таблица1[[#This Row],[Номер поля агро уточн]]</f>
        <v>А-55</v>
      </c>
      <c r="E22" s="35">
        <v>45436</v>
      </c>
      <c r="F22" s="35">
        <f>Таблица1[[#This Row],[Дата сева агро]]+84</f>
        <v>45520</v>
      </c>
      <c r="G22" s="35"/>
      <c r="H22" s="148" t="s">
        <v>252</v>
      </c>
      <c r="I22" s="35" t="s">
        <v>109</v>
      </c>
      <c r="J22" t="s">
        <v>44</v>
      </c>
      <c r="K22" t="s">
        <v>96</v>
      </c>
      <c r="L22">
        <v>32</v>
      </c>
      <c r="M22">
        <v>32</v>
      </c>
      <c r="N22">
        <f>3+1.5+27.5</f>
        <v>32</v>
      </c>
      <c r="O22">
        <f>Таблица1[[#This Row],[Площадь сева, га]]-Таблица1[[#This Row],[Площадь уборки, га]]</f>
        <v>0</v>
      </c>
      <c r="P22" s="53">
        <f>Таблица1[[#This Row],[Площадь уборки, га]]/Таблица1[[#This Row],[Площадь сева, га]]</f>
        <v>1</v>
      </c>
      <c r="Q22">
        <v>8</v>
      </c>
      <c r="R22" s="36">
        <f>IFERROR(Таблица1[[#This Row],[Валовый сбор фактический, т]]/Таблица1[[#This Row],[Площадь уборки, га]],"-")</f>
        <v>8.1808750000000003</v>
      </c>
      <c r="S22" s="161">
        <f>Таблица1[[#This Row],[Урожайность плановая, т/га]]*Таблица1[[#This Row],[Площадь сева, га]]</f>
        <v>256</v>
      </c>
      <c r="T22" s="161">
        <f>19.54+11.05+231.198</f>
        <v>261.78800000000001</v>
      </c>
      <c r="U22" s="53">
        <f>IFERROR(Таблица1[[#This Row],[Валовый сбор фактический, т]]/Таблица1[[#This Row],[Валовый сбор плановый, т]],"-")</f>
        <v>1.022609375</v>
      </c>
    </row>
    <row r="23" spans="1:22" hidden="1">
      <c r="A23" t="s">
        <v>59</v>
      </c>
      <c r="B23" t="s">
        <v>69</v>
      </c>
      <c r="C23" t="s">
        <v>69</v>
      </c>
      <c r="D23" t="str">
        <f>Таблица1[[#This Row],[Номер поля агро уточн]]</f>
        <v>А-55</v>
      </c>
      <c r="E23" s="35">
        <v>45438</v>
      </c>
      <c r="F23" s="35">
        <f>Таблица1[[#This Row],[Дата сева агро]]+84</f>
        <v>45522</v>
      </c>
      <c r="G23" s="35"/>
      <c r="H23" s="148" t="s">
        <v>256</v>
      </c>
      <c r="I23" s="35" t="s">
        <v>109</v>
      </c>
      <c r="J23" t="s">
        <v>44</v>
      </c>
      <c r="K23" t="s">
        <v>96</v>
      </c>
      <c r="L23">
        <v>30</v>
      </c>
      <c r="M23">
        <v>30</v>
      </c>
      <c r="N23">
        <f>1+20+9</f>
        <v>30</v>
      </c>
      <c r="O23">
        <f>Таблица1[[#This Row],[Площадь сева, га]]-Таблица1[[#This Row],[Площадь уборки, га]]</f>
        <v>0</v>
      </c>
      <c r="P23" s="53">
        <f>Таблица1[[#This Row],[Площадь уборки, га]]/Таблица1[[#This Row],[Площадь сева, га]]</f>
        <v>1</v>
      </c>
      <c r="Q23">
        <v>8</v>
      </c>
      <c r="R23" s="36">
        <f>IFERROR(Таблица1[[#This Row],[Валовый сбор фактический, т]]/Таблица1[[#This Row],[Площадь уборки, га]],"-")</f>
        <v>8.819233333333333</v>
      </c>
      <c r="S23" s="161">
        <f>Таблица1[[#This Row],[Урожайность плановая, т/га]]*Таблица1[[#This Row],[Площадь сева, га]]</f>
        <v>240</v>
      </c>
      <c r="T23" s="161">
        <f>176.552+88.025</f>
        <v>264.577</v>
      </c>
      <c r="U23" s="53">
        <f>IFERROR(Таблица1[[#This Row],[Валовый сбор фактический, т]]/Таблица1[[#This Row],[Валовый сбор плановый, т]],"-")</f>
        <v>1.1024041666666666</v>
      </c>
    </row>
    <row r="24" spans="1:22" hidden="1">
      <c r="A24" t="s">
        <v>59</v>
      </c>
      <c r="B24" t="s">
        <v>69</v>
      </c>
      <c r="C24" t="s">
        <v>69</v>
      </c>
      <c r="D24" t="str">
        <f>Таблица1[[#This Row],[Номер поля агро уточн]]</f>
        <v>А-55</v>
      </c>
      <c r="E24" s="35">
        <v>45439</v>
      </c>
      <c r="F24" s="35">
        <f>Таблица1[[#This Row],[Дата сева агро]]+84</f>
        <v>45523</v>
      </c>
      <c r="G24" s="35"/>
      <c r="H24" s="35">
        <v>45532</v>
      </c>
      <c r="I24" s="35" t="s">
        <v>109</v>
      </c>
      <c r="J24" t="s">
        <v>44</v>
      </c>
      <c r="K24" t="s">
        <v>96</v>
      </c>
      <c r="L24">
        <v>10</v>
      </c>
      <c r="M24">
        <v>10</v>
      </c>
      <c r="N24">
        <f>10+0</f>
        <v>10</v>
      </c>
      <c r="O24">
        <f>Таблица1[[#This Row],[Площадь сева, га]]-Таблица1[[#This Row],[Площадь уборки, га]]</f>
        <v>0</v>
      </c>
      <c r="P24" s="53">
        <f>Таблица1[[#This Row],[Площадь уборки, га]]/Таблица1[[#This Row],[Площадь сева, га]]</f>
        <v>1</v>
      </c>
      <c r="Q24">
        <v>8</v>
      </c>
      <c r="R24" s="36">
        <f>IFERROR(Таблица1[[#This Row],[Валовый сбор фактический, т]]/Таблица1[[#This Row],[Площадь уборки, га]],"-")</f>
        <v>9.7805</v>
      </c>
      <c r="S24" s="161">
        <f>Таблица1[[#This Row],[Урожайность плановая, т/га]]*Таблица1[[#This Row],[Площадь сева, га]]</f>
        <v>80</v>
      </c>
      <c r="T24" s="161">
        <f>97.805+0</f>
        <v>97.805000000000007</v>
      </c>
      <c r="U24" s="53">
        <f>IFERROR(Таблица1[[#This Row],[Валовый сбор фактический, т]]/Таблица1[[#This Row],[Валовый сбор плановый, т]],"-")</f>
        <v>1.2225625</v>
      </c>
    </row>
    <row r="25" spans="1:22" hidden="1">
      <c r="A25" t="s">
        <v>59</v>
      </c>
      <c r="B25" t="s">
        <v>70</v>
      </c>
      <c r="C25" t="s">
        <v>70</v>
      </c>
      <c r="D25" t="str">
        <f>Таблица1[[#This Row],[Номер поля агро уточн]]</f>
        <v>А-111</v>
      </c>
      <c r="E25" s="35">
        <v>45441</v>
      </c>
      <c r="F25" s="35">
        <f>Таблица1[[#This Row],[Дата сева агро]]+84</f>
        <v>45525</v>
      </c>
      <c r="G25" s="35"/>
      <c r="H25" s="148" t="s">
        <v>251</v>
      </c>
      <c r="I25" s="35" t="s">
        <v>109</v>
      </c>
      <c r="J25" t="s">
        <v>46</v>
      </c>
      <c r="K25" t="s">
        <v>97</v>
      </c>
      <c r="L25">
        <v>44</v>
      </c>
      <c r="M25">
        <v>44</v>
      </c>
      <c r="N25">
        <f>22+17+5</f>
        <v>44</v>
      </c>
      <c r="O25">
        <f>Таблица1[[#This Row],[Площадь сева, га]]-Таблица1[[#This Row],[Площадь уборки, га]]</f>
        <v>0</v>
      </c>
      <c r="P25" s="53">
        <f>Таблица1[[#This Row],[Площадь уборки, га]]/Таблица1[[#This Row],[Площадь сева, га]]</f>
        <v>1</v>
      </c>
      <c r="Q25">
        <v>8</v>
      </c>
      <c r="R25" s="36">
        <f>IFERROR(Таблица1[[#This Row],[Валовый сбор фактический, т]]/Таблица1[[#This Row],[Площадь уборки, га]],"-")</f>
        <v>13.190454545454545</v>
      </c>
      <c r="S25" s="161">
        <f>Таблица1[[#This Row],[Урожайность плановая, т/га]]*Таблица1[[#This Row],[Площадь сева, га]]</f>
        <v>352</v>
      </c>
      <c r="T25" s="161">
        <f>283.6+212.66+84.12</f>
        <v>580.38</v>
      </c>
      <c r="U25" s="53">
        <f>IFERROR(Таблица1[[#This Row],[Валовый сбор фактический, т]]/Таблица1[[#This Row],[Валовый сбор плановый, т]],"-")</f>
        <v>1.6488068181818181</v>
      </c>
    </row>
    <row r="26" spans="1:22" hidden="1">
      <c r="A26" t="s">
        <v>59</v>
      </c>
      <c r="B26" t="s">
        <v>71</v>
      </c>
      <c r="C26" t="s">
        <v>71</v>
      </c>
      <c r="D26" t="str">
        <f>Таблица1[[#This Row],[Номер поля агро уточн]]</f>
        <v>А-108</v>
      </c>
      <c r="E26" s="35">
        <v>45442</v>
      </c>
      <c r="F26" s="35">
        <f>Таблица1[[#This Row],[Дата сева агро]]+84</f>
        <v>45526</v>
      </c>
      <c r="G26" s="35"/>
      <c r="H26" s="148" t="s">
        <v>253</v>
      </c>
      <c r="I26" s="35" t="s">
        <v>109</v>
      </c>
      <c r="J26" t="s">
        <v>46</v>
      </c>
      <c r="K26" t="s">
        <v>97</v>
      </c>
      <c r="L26">
        <v>32.9</v>
      </c>
      <c r="M26">
        <v>32.9</v>
      </c>
      <c r="N26">
        <f>1+31.9</f>
        <v>32.9</v>
      </c>
      <c r="O26">
        <f>Таблица1[[#This Row],[Площадь сева, га]]-Таблица1[[#This Row],[Площадь уборки, га]]</f>
        <v>0</v>
      </c>
      <c r="P26" s="53">
        <f>Таблица1[[#This Row],[Площадь уборки, га]]/Таблица1[[#This Row],[Площадь сева, га]]</f>
        <v>1</v>
      </c>
      <c r="Q26">
        <v>8</v>
      </c>
      <c r="R26" s="36">
        <f>IFERROR(Таблица1[[#This Row],[Валовый сбор фактический, т]]/Таблица1[[#This Row],[Площадь уборки, га]],"-")</f>
        <v>9.951063829787234</v>
      </c>
      <c r="S26" s="161">
        <f>Таблица1[[#This Row],[Урожайность плановая, т/га]]*Таблица1[[#This Row],[Площадь сева, га]]</f>
        <v>263.2</v>
      </c>
      <c r="T26" s="161">
        <f>7.49+319.9</f>
        <v>327.39</v>
      </c>
      <c r="U26" s="53">
        <f>IFERROR(Таблица1[[#This Row],[Валовый сбор фактический, т]]/Таблица1[[#This Row],[Валовый сбор плановый, т]],"-")</f>
        <v>1.2438829787234043</v>
      </c>
    </row>
    <row r="27" spans="1:22" hidden="1">
      <c r="A27" t="s">
        <v>59</v>
      </c>
      <c r="B27" t="s">
        <v>71</v>
      </c>
      <c r="C27" t="s">
        <v>71</v>
      </c>
      <c r="D27" t="str">
        <f>Таблица1[[#This Row],[Номер поля агро уточн]]</f>
        <v>А-108</v>
      </c>
      <c r="E27" s="35">
        <v>45442</v>
      </c>
      <c r="F27" s="35">
        <f>Таблица1[[#This Row],[Дата сева агро]]+84</f>
        <v>45526</v>
      </c>
      <c r="G27" s="35"/>
      <c r="H27" s="148" t="s">
        <v>259</v>
      </c>
      <c r="I27" s="35" t="s">
        <v>109</v>
      </c>
      <c r="J27" t="s">
        <v>48</v>
      </c>
      <c r="K27" t="s">
        <v>98</v>
      </c>
      <c r="L27">
        <v>23</v>
      </c>
      <c r="M27">
        <v>23</v>
      </c>
      <c r="N27">
        <f>2.5+20.5</f>
        <v>23</v>
      </c>
      <c r="O27">
        <f>Таблица1[[#This Row],[Площадь сева, га]]-Таблица1[[#This Row],[Площадь уборки, га]]</f>
        <v>0</v>
      </c>
      <c r="P27" s="53">
        <f>Таблица1[[#This Row],[Площадь уборки, га]]/Таблица1[[#This Row],[Площадь сева, га]]</f>
        <v>1</v>
      </c>
      <c r="Q27">
        <v>8</v>
      </c>
      <c r="R27" s="36">
        <f>IFERROR(Таблица1[[#This Row],[Валовый сбор фактический, т]]/Таблица1[[#This Row],[Площадь уборки, га]],"-")</f>
        <v>5.1265217391304345</v>
      </c>
      <c r="S27" s="161">
        <f>Таблица1[[#This Row],[Урожайность плановая, т/га]]*Таблица1[[#This Row],[Площадь сева, га]]</f>
        <v>184</v>
      </c>
      <c r="T27" s="161">
        <f>43.36+74.55</f>
        <v>117.91</v>
      </c>
      <c r="U27" s="53">
        <f>IFERROR(Таблица1[[#This Row],[Валовый сбор фактический, т]]/Таблица1[[#This Row],[Валовый сбор плановый, т]],"-")</f>
        <v>0.64081521739130431</v>
      </c>
    </row>
    <row r="28" spans="1:22" hidden="1">
      <c r="A28" t="s">
        <v>59</v>
      </c>
      <c r="B28" t="s">
        <v>71</v>
      </c>
      <c r="C28" t="s">
        <v>71</v>
      </c>
      <c r="D28" t="str">
        <f>Таблица1[[#This Row],[Номер поля агро уточн]]</f>
        <v>А-108</v>
      </c>
      <c r="E28" s="35">
        <v>45444</v>
      </c>
      <c r="F28" s="35">
        <f>Таблица1[[#This Row],[Дата сева агро]]+84</f>
        <v>45528</v>
      </c>
      <c r="G28" s="35"/>
      <c r="H28" s="148" t="s">
        <v>255</v>
      </c>
      <c r="I28" s="35" t="s">
        <v>109</v>
      </c>
      <c r="J28" t="s">
        <v>49</v>
      </c>
      <c r="K28" t="s">
        <v>99</v>
      </c>
      <c r="L28">
        <v>45.1</v>
      </c>
      <c r="M28">
        <v>45.1</v>
      </c>
      <c r="N28">
        <f>24+21.1</f>
        <v>45.1</v>
      </c>
      <c r="O28">
        <f>Таблица1[[#This Row],[Площадь сева, га]]-Таблица1[[#This Row],[Площадь уборки, га]]</f>
        <v>0</v>
      </c>
      <c r="P28" s="53">
        <f>Таблица1[[#This Row],[Площадь уборки, га]]/Таблица1[[#This Row],[Площадь сева, га]]</f>
        <v>1</v>
      </c>
      <c r="Q28">
        <v>8</v>
      </c>
      <c r="R28" s="36">
        <f>IFERROR(Таблица1[[#This Row],[Валовый сбор фактический, т]]/Таблица1[[#This Row],[Площадь уборки, га]],"-")</f>
        <v>8.4778270509977833</v>
      </c>
      <c r="S28" s="161">
        <f>Таблица1[[#This Row],[Урожайность плановая, т/га]]*Таблица1[[#This Row],[Площадь сева, га]]</f>
        <v>360.8</v>
      </c>
      <c r="T28" s="161">
        <f>224.97+157.38</f>
        <v>382.35</v>
      </c>
      <c r="U28" s="53">
        <f>IFERROR(Таблица1[[#This Row],[Валовый сбор фактический, т]]/Таблица1[[#This Row],[Валовый сбор плановый, т]],"-")</f>
        <v>1.0597283813747229</v>
      </c>
    </row>
    <row r="29" spans="1:22" hidden="1">
      <c r="A29" t="s">
        <v>59</v>
      </c>
      <c r="B29" t="s">
        <v>72</v>
      </c>
      <c r="C29" t="s">
        <v>72</v>
      </c>
      <c r="D29" t="str">
        <f>Таблица1[[#This Row],[Номер поля агро уточн]]</f>
        <v>А-106</v>
      </c>
      <c r="E29" s="35">
        <v>45446</v>
      </c>
      <c r="F29" s="35">
        <f>Таблица1[[#This Row],[Дата сева агро]]+84</f>
        <v>45530</v>
      </c>
      <c r="G29" s="35"/>
      <c r="H29" s="148" t="s">
        <v>266</v>
      </c>
      <c r="I29" s="35" t="s">
        <v>109</v>
      </c>
      <c r="J29" t="s">
        <v>49</v>
      </c>
      <c r="K29" t="s">
        <v>99</v>
      </c>
      <c r="L29">
        <v>16.5</v>
      </c>
      <c r="M29">
        <v>16.5</v>
      </c>
      <c r="N29">
        <f>3+13.5</f>
        <v>16.5</v>
      </c>
      <c r="O29">
        <f>Таблица1[[#This Row],[Площадь сева, га]]-Таблица1[[#This Row],[Площадь уборки, га]]</f>
        <v>0</v>
      </c>
      <c r="P29" s="53">
        <f>Таблица1[[#This Row],[Площадь уборки, га]]/Таблица1[[#This Row],[Площадь сева, га]]</f>
        <v>1</v>
      </c>
      <c r="Q29">
        <v>8</v>
      </c>
      <c r="R29" s="155">
        <f>IFERROR(Таблица1[[#This Row],[Валовый сбор фактический, т]]/Таблица1[[#This Row],[Площадь уборки, га]],"-")</f>
        <v>7.4672727272727277</v>
      </c>
      <c r="S29" s="161">
        <f>Таблица1[[#This Row],[Урожайность плановая, т/га]]*Таблица1[[#This Row],[Площадь сева, га]]</f>
        <v>132</v>
      </c>
      <c r="T29" s="161">
        <f>22.48+100.73</f>
        <v>123.21000000000001</v>
      </c>
      <c r="U29" s="53">
        <f>IFERROR(Таблица1[[#This Row],[Валовый сбор фактический, т]]/Таблица1[[#This Row],[Валовый сбор плановый, т]],"-")</f>
        <v>0.93340909090909097</v>
      </c>
      <c r="V29" t="s">
        <v>265</v>
      </c>
    </row>
    <row r="30" spans="1:22" hidden="1">
      <c r="A30" t="s">
        <v>59</v>
      </c>
      <c r="B30" t="s">
        <v>72</v>
      </c>
      <c r="C30" t="s">
        <v>72</v>
      </c>
      <c r="D30" t="str">
        <f>Таблица1[[#This Row],[Номер поля агро уточн]]</f>
        <v>А-106</v>
      </c>
      <c r="E30" s="35">
        <v>45446</v>
      </c>
      <c r="F30" s="35">
        <f>Таблица1[[#This Row],[Дата сева агро]]+84</f>
        <v>45530</v>
      </c>
      <c r="G30" s="35"/>
      <c r="H30" s="35">
        <v>45537</v>
      </c>
      <c r="I30" s="35" t="s">
        <v>109</v>
      </c>
      <c r="J30" t="s">
        <v>44</v>
      </c>
      <c r="K30" t="s">
        <v>96</v>
      </c>
      <c r="L30">
        <v>29.5</v>
      </c>
      <c r="M30">
        <v>29.5</v>
      </c>
      <c r="N30" s="151">
        <f>29.5+12-23</f>
        <v>18.5</v>
      </c>
      <c r="O30">
        <f>Таблица1[[#This Row],[Площадь сева, га]]-Таблица1[[#This Row],[Площадь уборки, га]]</f>
        <v>11</v>
      </c>
      <c r="P30" s="53">
        <f>Таблица1[[#This Row],[Площадь уборки, га]]/Таблица1[[#This Row],[Площадь сева, га]]</f>
        <v>0.6271186440677966</v>
      </c>
      <c r="Q30">
        <v>8</v>
      </c>
      <c r="R30" s="155">
        <f>IFERROR(Таблица1[[#This Row],[Валовый сбор фактический, т]]/Таблица1[[#This Row],[Площадь уборки, га]],"-")</f>
        <v>8.3605405405405406</v>
      </c>
      <c r="S30" s="161">
        <f>Таблица1[[#This Row],[Урожайность плановая, т/га]]*Таблица1[[#This Row],[Площадь сева, га]]</f>
        <v>236</v>
      </c>
      <c r="T30" s="161">
        <v>154.66999999999999</v>
      </c>
      <c r="U30" s="53">
        <f>IFERROR(Таблица1[[#This Row],[Валовый сбор фактический, т]]/Таблица1[[#This Row],[Валовый сбор плановый, т]],"-")</f>
        <v>0.65538135593220337</v>
      </c>
      <c r="V30" t="s">
        <v>267</v>
      </c>
    </row>
    <row r="31" spans="1:22" hidden="1">
      <c r="A31" t="s">
        <v>59</v>
      </c>
      <c r="B31" t="s">
        <v>72</v>
      </c>
      <c r="C31" t="s">
        <v>72</v>
      </c>
      <c r="D31" t="str">
        <f>Таблица1[[#This Row],[Номер поля агро уточн]]</f>
        <v>А-106</v>
      </c>
      <c r="E31" s="35">
        <v>45446</v>
      </c>
      <c r="F31" s="35">
        <f>Таблица1[[#This Row],[Дата сева агро]]+84</f>
        <v>45530</v>
      </c>
      <c r="G31" s="35"/>
      <c r="H31" s="35">
        <v>45537</v>
      </c>
      <c r="I31" s="35" t="s">
        <v>109</v>
      </c>
      <c r="J31" t="s">
        <v>260</v>
      </c>
      <c r="K31" t="s">
        <v>100</v>
      </c>
      <c r="L31">
        <v>12</v>
      </c>
      <c r="M31">
        <v>12</v>
      </c>
      <c r="N31">
        <v>0</v>
      </c>
      <c r="O31">
        <f>Таблица1[[#This Row],[Площадь сева, га]]-Таблица1[[#This Row],[Площадь уборки, га]]</f>
        <v>12</v>
      </c>
      <c r="P31" s="53">
        <f>Таблица1[[#This Row],[Площадь уборки, га]]/Таблица1[[#This Row],[Площадь сева, га]]</f>
        <v>0</v>
      </c>
      <c r="Q31">
        <v>8</v>
      </c>
      <c r="R31" s="155" t="str">
        <f>IFERROR(Таблица1[[#This Row],[Валовый сбор фактический, т]]/Таблица1[[#This Row],[Площадь уборки, га]],"-")</f>
        <v>-</v>
      </c>
      <c r="S31" s="161">
        <f>Таблица1[[#This Row],[Урожайность плановая, т/га]]*Таблица1[[#This Row],[Площадь сева, га]]</f>
        <v>96</v>
      </c>
      <c r="U31" s="53">
        <f>IFERROR(Таблица1[[#This Row],[Валовый сбор фактический, т]]/Таблица1[[#This Row],[Валовый сбор плановый, т]],"-")</f>
        <v>0</v>
      </c>
      <c r="V31" t="s">
        <v>264</v>
      </c>
    </row>
    <row r="32" spans="1:22" hidden="1">
      <c r="A32" t="s">
        <v>59</v>
      </c>
      <c r="B32" t="s">
        <v>73</v>
      </c>
      <c r="C32" t="s">
        <v>73</v>
      </c>
      <c r="D32" t="str">
        <f>Таблица1[[#This Row],[Номер поля агро уточн]]</f>
        <v>А-104</v>
      </c>
      <c r="E32" s="35">
        <v>45447</v>
      </c>
      <c r="F32" s="35">
        <f>Таблица1[[#This Row],[Дата сева агро]]+84</f>
        <v>45531</v>
      </c>
      <c r="G32" s="35"/>
      <c r="H32" s="35">
        <v>45533</v>
      </c>
      <c r="I32" s="35" t="s">
        <v>109</v>
      </c>
      <c r="J32" t="s">
        <v>260</v>
      </c>
      <c r="K32" t="s">
        <v>100</v>
      </c>
      <c r="L32">
        <v>10</v>
      </c>
      <c r="M32">
        <v>10</v>
      </c>
      <c r="N32">
        <v>10</v>
      </c>
      <c r="O32">
        <f>Таблица1[[#This Row],[Площадь сева, га]]-Таблица1[[#This Row],[Площадь уборки, га]]</f>
        <v>0</v>
      </c>
      <c r="P32" s="53">
        <f>Таблица1[[#This Row],[Площадь уборки, га]]/Таблица1[[#This Row],[Площадь сева, га]]</f>
        <v>1</v>
      </c>
      <c r="Q32">
        <v>8</v>
      </c>
      <c r="R32" s="155">
        <f>IFERROR(Таблица1[[#This Row],[Валовый сбор фактический, т]]/Таблица1[[#This Row],[Площадь уборки, га]],"-")</f>
        <v>10.303100000000001</v>
      </c>
      <c r="S32" s="161">
        <f>Таблица1[[#This Row],[Урожайность плановая, т/га]]*Таблица1[[#This Row],[Площадь сева, га]]</f>
        <v>80</v>
      </c>
      <c r="T32" s="161">
        <v>103.03100000000001</v>
      </c>
      <c r="U32" s="53">
        <f>IFERROR(Таблица1[[#This Row],[Валовый сбор фактический, т]]/Таблица1[[#This Row],[Валовый сбор плановый, т]],"-")</f>
        <v>1.2878875000000001</v>
      </c>
    </row>
    <row r="33" spans="1:22" hidden="1">
      <c r="A33" t="s">
        <v>59</v>
      </c>
      <c r="B33" t="s">
        <v>73</v>
      </c>
      <c r="C33" t="s">
        <v>73</v>
      </c>
      <c r="D33" t="str">
        <f>Таблица1[[#This Row],[Номер поля агро уточн]]</f>
        <v>А-104</v>
      </c>
      <c r="E33" s="35">
        <v>45448</v>
      </c>
      <c r="F33" s="35">
        <f>Таблица1[[#This Row],[Дата сева агро]]+84</f>
        <v>45532</v>
      </c>
      <c r="G33" s="35"/>
      <c r="H33" s="148" t="s">
        <v>261</v>
      </c>
      <c r="I33" s="35" t="s">
        <v>109</v>
      </c>
      <c r="J33" t="s">
        <v>260</v>
      </c>
      <c r="K33" t="s">
        <v>100</v>
      </c>
      <c r="L33">
        <v>50</v>
      </c>
      <c r="M33">
        <v>50</v>
      </c>
      <c r="N33">
        <f>6+44</f>
        <v>50</v>
      </c>
      <c r="O33">
        <f>Таблица1[[#This Row],[Площадь сева, га]]-Таблица1[[#This Row],[Площадь уборки, га]]</f>
        <v>0</v>
      </c>
      <c r="P33" s="53">
        <f>Таблица1[[#This Row],[Площадь уборки, га]]/Таблица1[[#This Row],[Площадь сева, га]]</f>
        <v>1</v>
      </c>
      <c r="Q33">
        <v>8</v>
      </c>
      <c r="R33" s="155">
        <f>IFERROR(Таблица1[[#This Row],[Валовый сбор фактический, т]]/Таблица1[[#This Row],[Площадь уборки, га]],"-")</f>
        <v>9.8019800000000004</v>
      </c>
      <c r="S33" s="161">
        <f>Таблица1[[#This Row],[Урожайность плановая, т/га]]*Таблица1[[#This Row],[Площадь сева, га]]</f>
        <v>400</v>
      </c>
      <c r="T33" s="161">
        <f>61.819+428.28</f>
        <v>490.09899999999999</v>
      </c>
      <c r="U33" s="53">
        <f>IFERROR(Таблица1[[#This Row],[Валовый сбор фактический, т]]/Таблица1[[#This Row],[Валовый сбор плановый, т]],"-")</f>
        <v>1.2252475</v>
      </c>
    </row>
    <row r="34" spans="1:22" hidden="1">
      <c r="A34" t="s">
        <v>60</v>
      </c>
      <c r="B34" t="s">
        <v>74</v>
      </c>
      <c r="C34" t="s">
        <v>126</v>
      </c>
      <c r="D34" t="str">
        <f>Таблица1[[#This Row],[Номер поля агро уточн]]</f>
        <v>3.7 Иррико-Холдинг</v>
      </c>
      <c r="E34" s="35">
        <v>45451</v>
      </c>
      <c r="F34" s="35">
        <f>Таблица1[[#This Row],[Дата сева агро]]+84</f>
        <v>45535</v>
      </c>
      <c r="G34" s="35"/>
      <c r="H34" s="148" t="s">
        <v>270</v>
      </c>
      <c r="I34" s="35" t="s">
        <v>108</v>
      </c>
      <c r="J34" t="s">
        <v>51</v>
      </c>
      <c r="K34" t="s">
        <v>124</v>
      </c>
      <c r="L34">
        <v>41.67</v>
      </c>
      <c r="M34">
        <v>42</v>
      </c>
      <c r="N34">
        <f>21.6+20.07</f>
        <v>41.67</v>
      </c>
      <c r="O34">
        <f>Таблица1[[#This Row],[Площадь сева, га]]-Таблица1[[#This Row],[Площадь уборки, га]]</f>
        <v>0</v>
      </c>
      <c r="P34" s="53">
        <f>Таблица1[[#This Row],[Площадь уборки, га]]/Таблица1[[#This Row],[Площадь сева, га]]</f>
        <v>1</v>
      </c>
      <c r="Q34">
        <v>18</v>
      </c>
      <c r="R34" s="36">
        <f>IFERROR(Таблица1[[#This Row],[Валовый сбор фактический, т]]/Таблица1[[#This Row],[Площадь уборки, га]],"-")</f>
        <v>20.357571394288456</v>
      </c>
      <c r="S34">
        <f>Таблица1[[#This Row],[Урожайность плановая, т/га]]*Таблица1[[#This Row],[Площадь сева, га]]</f>
        <v>750.06000000000006</v>
      </c>
      <c r="T34">
        <f>460.56+387.74</f>
        <v>848.3</v>
      </c>
      <c r="U34" s="53">
        <f>IFERROR(Таблица1[[#This Row],[Валовый сбор фактический, т]]/Таблица1[[#This Row],[Валовый сбор плановый, т]],"-")</f>
        <v>1.1309761885715808</v>
      </c>
    </row>
    <row r="35" spans="1:22" hidden="1">
      <c r="A35" t="s">
        <v>60</v>
      </c>
      <c r="B35" t="s">
        <v>75</v>
      </c>
      <c r="C35" t="s">
        <v>127</v>
      </c>
      <c r="D35" t="str">
        <f>Таблица1[[#This Row],[Номер поля агро уточн]]</f>
        <v>2.19.1 Иррико-Холдинг</v>
      </c>
      <c r="E35" s="35">
        <v>45453</v>
      </c>
      <c r="F35" s="35">
        <f>Таблица1[[#This Row],[Дата сева агро]]+84</f>
        <v>45537</v>
      </c>
      <c r="G35" s="35"/>
      <c r="H35" s="148" t="s">
        <v>273</v>
      </c>
      <c r="I35" s="35" t="s">
        <v>108</v>
      </c>
      <c r="J35" t="s">
        <v>51</v>
      </c>
      <c r="K35" t="s">
        <v>124</v>
      </c>
      <c r="L35">
        <v>33.33</v>
      </c>
      <c r="M35">
        <v>33</v>
      </c>
      <c r="N35">
        <f>11+15.33+7</f>
        <v>33.33</v>
      </c>
      <c r="O35">
        <f>Таблица1[[#This Row],[Площадь сева, га]]-Таблица1[[#This Row],[Площадь уборки, га]]</f>
        <v>0</v>
      </c>
      <c r="P35" s="53">
        <f>Таблица1[[#This Row],[Площадь уборки, га]]/Таблица1[[#This Row],[Площадь сева, га]]</f>
        <v>1</v>
      </c>
      <c r="Q35">
        <v>18</v>
      </c>
      <c r="R35" s="36">
        <f>IFERROR(Таблица1[[#This Row],[Валовый сбор фактический, т]]/Таблица1[[#This Row],[Площадь уборки, га]],"-")</f>
        <v>21.530153015301533</v>
      </c>
      <c r="S35">
        <f>Таблица1[[#This Row],[Урожайность плановая, т/га]]*Таблица1[[#This Row],[Площадь сева, га]]</f>
        <v>599.93999999999994</v>
      </c>
      <c r="T35">
        <f>210.26+339.24+168.1</f>
        <v>717.6</v>
      </c>
      <c r="U35" s="53">
        <f>IFERROR(Таблица1[[#This Row],[Валовый сбор фактический, т]]/Таблица1[[#This Row],[Валовый сбор плановый, т]],"-")</f>
        <v>1.1961196119611963</v>
      </c>
    </row>
    <row r="36" spans="1:22" hidden="1">
      <c r="A36" t="s">
        <v>60</v>
      </c>
      <c r="B36" t="s">
        <v>76</v>
      </c>
      <c r="C36" t="s">
        <v>128</v>
      </c>
      <c r="D36" t="str">
        <f>Таблица1[[#This Row],[Номер поля агро уточн]]</f>
        <v>3.29 Иррико-Холдинг</v>
      </c>
      <c r="E36" s="35">
        <v>45454</v>
      </c>
      <c r="F36" s="35">
        <f>Таблица1[[#This Row],[Дата сева агро]]+84</f>
        <v>45538</v>
      </c>
      <c r="G36" s="35"/>
      <c r="H36" s="148" t="s">
        <v>274</v>
      </c>
      <c r="I36" s="35" t="s">
        <v>108</v>
      </c>
      <c r="J36" t="s">
        <v>51</v>
      </c>
      <c r="K36" t="s">
        <v>124</v>
      </c>
      <c r="L36">
        <v>36.03</v>
      </c>
      <c r="M36">
        <v>36</v>
      </c>
      <c r="N36">
        <f>5+19+12.03</f>
        <v>36.03</v>
      </c>
      <c r="O36">
        <f>Таблица1[[#This Row],[Площадь сева, га]]-Таблица1[[#This Row],[Площадь уборки, га]]</f>
        <v>0</v>
      </c>
      <c r="P36" s="53">
        <f>Таблица1[[#This Row],[Площадь уборки, га]]/Таблица1[[#This Row],[Площадь сева, га]]</f>
        <v>1</v>
      </c>
      <c r="Q36">
        <v>18</v>
      </c>
      <c r="R36" s="36">
        <f>IFERROR(Таблица1[[#This Row],[Валовый сбор фактический, т]]/Таблица1[[#This Row],[Площадь уборки, га]],"-")</f>
        <v>17.813488759367193</v>
      </c>
      <c r="S36">
        <f>Таблица1[[#This Row],[Урожайность плановая, т/га]]*Таблица1[[#This Row],[Площадь сева, га]]</f>
        <v>648.54</v>
      </c>
      <c r="T36">
        <f>79.47+300.56+261.79</f>
        <v>641.81999999999994</v>
      </c>
      <c r="U36" s="53">
        <f>IFERROR(Таблица1[[#This Row],[Валовый сбор фактический, т]]/Таблица1[[#This Row],[Валовый сбор плановый, т]],"-")</f>
        <v>0.98963826440928848</v>
      </c>
    </row>
    <row r="37" spans="1:22" hidden="1">
      <c r="A37" t="s">
        <v>60</v>
      </c>
      <c r="B37" t="s">
        <v>77</v>
      </c>
      <c r="C37" t="s">
        <v>129</v>
      </c>
      <c r="D37" t="str">
        <f>Таблица1[[#This Row],[Номер поля агро уточн]]</f>
        <v>3.32 Иррико-Холдинг</v>
      </c>
      <c r="E37" s="35">
        <v>45455</v>
      </c>
      <c r="F37" s="35">
        <f>Таблица1[[#This Row],[Дата сева агро]]+84</f>
        <v>45539</v>
      </c>
      <c r="G37" s="35"/>
      <c r="H37" s="148" t="s">
        <v>275</v>
      </c>
      <c r="I37" s="35" t="s">
        <v>108</v>
      </c>
      <c r="J37" t="s">
        <v>51</v>
      </c>
      <c r="K37" t="s">
        <v>124</v>
      </c>
      <c r="L37">
        <v>37.450000000000003</v>
      </c>
      <c r="M37">
        <v>37</v>
      </c>
      <c r="N37">
        <f>21.5+15.5+0.45</f>
        <v>37.450000000000003</v>
      </c>
      <c r="O37">
        <f>Таблица1[[#This Row],[Площадь сева, га]]-Таблица1[[#This Row],[Площадь уборки, га]]</f>
        <v>0</v>
      </c>
      <c r="P37" s="53">
        <f>Таблица1[[#This Row],[Площадь уборки, га]]/Таблица1[[#This Row],[Площадь сева, га]]</f>
        <v>1</v>
      </c>
      <c r="Q37">
        <v>18</v>
      </c>
      <c r="R37" s="36">
        <f>IFERROR(Таблица1[[#This Row],[Валовый сбор фактический, т]]/Таблица1[[#This Row],[Площадь уборки, га]],"-")</f>
        <v>20.389853137516688</v>
      </c>
      <c r="S37">
        <f>Таблица1[[#This Row],[Урожайность плановая, т/га]]*Таблица1[[#This Row],[Площадь сева, га]]</f>
        <v>674.1</v>
      </c>
      <c r="T37">
        <f>464.81+298.79</f>
        <v>763.6</v>
      </c>
      <c r="U37" s="53">
        <f>IFERROR(Таблица1[[#This Row],[Валовый сбор фактический, т]]/Таблица1[[#This Row],[Валовый сбор плановый, т]],"-")</f>
        <v>1.1327696187509271</v>
      </c>
    </row>
    <row r="38" spans="1:22" hidden="1">
      <c r="A38" t="s">
        <v>60</v>
      </c>
      <c r="B38" t="s">
        <v>78</v>
      </c>
      <c r="C38" t="s">
        <v>130</v>
      </c>
      <c r="D38" t="str">
        <f>Таблица1[[#This Row],[Номер поля агро уточн]]</f>
        <v>3.30 Иррико-Холдинг</v>
      </c>
      <c r="E38" s="35">
        <v>45456</v>
      </c>
      <c r="F38" s="35">
        <f>Таблица1[[#This Row],[Дата сева агро]]+84</f>
        <v>45540</v>
      </c>
      <c r="G38" s="35"/>
      <c r="H38" s="148" t="s">
        <v>276</v>
      </c>
      <c r="I38" s="35" t="s">
        <v>108</v>
      </c>
      <c r="J38" t="s">
        <v>51</v>
      </c>
      <c r="K38" t="s">
        <v>124</v>
      </c>
      <c r="L38">
        <v>36.43</v>
      </c>
      <c r="M38">
        <v>36</v>
      </c>
      <c r="N38">
        <f>11+25.43</f>
        <v>36.43</v>
      </c>
      <c r="O38">
        <f>Таблица1[[#This Row],[Площадь сева, га]]-Таблица1[[#This Row],[Площадь уборки, га]]</f>
        <v>0</v>
      </c>
      <c r="P38" s="53">
        <f>Таблица1[[#This Row],[Площадь уборки, га]]/Таблица1[[#This Row],[Площадь сева, га]]</f>
        <v>1</v>
      </c>
      <c r="Q38">
        <v>18</v>
      </c>
      <c r="R38" s="36">
        <f>IFERROR(Таблица1[[#This Row],[Валовый сбор фактический, т]]/Таблица1[[#This Row],[Площадь уборки, га]],"-")</f>
        <v>22.141367005215482</v>
      </c>
      <c r="S38">
        <f>Таблица1[[#This Row],[Урожайность плановая, т/га]]*Таблица1[[#This Row],[Площадь сева, га]]</f>
        <v>655.74</v>
      </c>
      <c r="T38">
        <f>226.04+580.57</f>
        <v>806.61</v>
      </c>
      <c r="U38" s="53">
        <f>IFERROR(Таблица1[[#This Row],[Валовый сбор фактический, т]]/Таблица1[[#This Row],[Валовый сбор плановый, т]],"-")</f>
        <v>1.2300759447341933</v>
      </c>
    </row>
    <row r="39" spans="1:22" hidden="1">
      <c r="A39" t="s">
        <v>60</v>
      </c>
      <c r="B39" t="s">
        <v>79</v>
      </c>
      <c r="C39" t="s">
        <v>131</v>
      </c>
      <c r="D39" t="str">
        <f>Таблица1[[#This Row],[Номер поля агро уточн]]</f>
        <v>3.33 Иррико-Холдинг</v>
      </c>
      <c r="E39" s="35">
        <v>45457</v>
      </c>
      <c r="F39" s="35">
        <f>Таблица1[[#This Row],[Дата сева агро]]+84</f>
        <v>45541</v>
      </c>
      <c r="G39" s="35"/>
      <c r="H39" s="148" t="s">
        <v>278</v>
      </c>
      <c r="I39" s="35" t="s">
        <v>108</v>
      </c>
      <c r="J39" t="s">
        <v>51</v>
      </c>
      <c r="K39" t="s">
        <v>124</v>
      </c>
      <c r="L39">
        <v>31.9</v>
      </c>
      <c r="M39">
        <v>32</v>
      </c>
      <c r="N39">
        <f>4.1+11.6+7.3+8.9</f>
        <v>31.9</v>
      </c>
      <c r="O39">
        <f>Таблица1[[#This Row],[Площадь сева, га]]-Таблица1[[#This Row],[Площадь уборки, га]]</f>
        <v>0</v>
      </c>
      <c r="P39" s="53">
        <f>Таблица1[[#This Row],[Площадь уборки, га]]/Таблица1[[#This Row],[Площадь сева, га]]</f>
        <v>1</v>
      </c>
      <c r="Q39">
        <v>18</v>
      </c>
      <c r="R39" s="36">
        <f>IFERROR(Таблица1[[#This Row],[Валовый сбор фактический, т]]/Таблица1[[#This Row],[Площадь уборки, га]],"-")</f>
        <v>20.573981191222568</v>
      </c>
      <c r="S39">
        <f>Таблица1[[#This Row],[Урожайность плановая, т/га]]*Таблица1[[#This Row],[Площадь сева, га]]</f>
        <v>574.19999999999993</v>
      </c>
      <c r="T39">
        <f>52.77+206.63+169.95+226.96</f>
        <v>656.31</v>
      </c>
      <c r="U39" s="53">
        <f>IFERROR(Таблица1[[#This Row],[Валовый сбор фактический, т]]/Таблица1[[#This Row],[Валовый сбор плановый, т]],"-")</f>
        <v>1.1429989550679207</v>
      </c>
    </row>
    <row r="40" spans="1:22" hidden="1">
      <c r="A40" t="s">
        <v>60</v>
      </c>
      <c r="B40" t="s">
        <v>80</v>
      </c>
      <c r="C40" t="s">
        <v>132</v>
      </c>
      <c r="D40" t="str">
        <f>Таблица1[[#This Row],[Номер поля агро уточн]]</f>
        <v>3.31 Иррико-Холдинг</v>
      </c>
      <c r="E40" s="35">
        <v>45458</v>
      </c>
      <c r="F40" s="35">
        <f>Таблица1[[#This Row],[Дата сева агро]]+84</f>
        <v>45542</v>
      </c>
      <c r="G40" s="35"/>
      <c r="H40" s="148" t="s">
        <v>277</v>
      </c>
      <c r="I40" s="35" t="s">
        <v>108</v>
      </c>
      <c r="J40" t="s">
        <v>51</v>
      </c>
      <c r="K40" t="s">
        <v>124</v>
      </c>
      <c r="L40">
        <v>31.49</v>
      </c>
      <c r="M40">
        <v>32</v>
      </c>
      <c r="N40">
        <f>12+19.49</f>
        <v>31.49</v>
      </c>
      <c r="O40">
        <f>Таблица1[[#This Row],[Площадь сева, га]]-Таблица1[[#This Row],[Площадь уборки, га]]</f>
        <v>0</v>
      </c>
      <c r="P40" s="53">
        <f>Таблица1[[#This Row],[Площадь уборки, га]]/Таблица1[[#This Row],[Площадь сева, га]]</f>
        <v>1</v>
      </c>
      <c r="Q40">
        <v>18</v>
      </c>
      <c r="R40" s="36">
        <f>IFERROR(Таблица1[[#This Row],[Валовый сбор фактический, т]]/Таблица1[[#This Row],[Площадь уборки, га]],"-")</f>
        <v>22.011114639568117</v>
      </c>
      <c r="S40">
        <f>Таблица1[[#This Row],[Урожайность плановая, т/га]]*Таблица1[[#This Row],[Площадь сева, га]]</f>
        <v>566.81999999999994</v>
      </c>
      <c r="T40">
        <f>233.98+459.15</f>
        <v>693.13</v>
      </c>
      <c r="U40" s="53">
        <f>IFERROR(Таблица1[[#This Row],[Валовый сбор фактический, т]]/Таблица1[[#This Row],[Валовый сбор плановый, т]],"-")</f>
        <v>1.2228397021982289</v>
      </c>
    </row>
    <row r="41" spans="1:22" hidden="1">
      <c r="A41" t="s">
        <v>60</v>
      </c>
      <c r="B41" t="s">
        <v>81</v>
      </c>
      <c r="C41" t="s">
        <v>133</v>
      </c>
      <c r="D41" t="str">
        <f>Таблица1[[#This Row],[Номер поля агро уточн]]</f>
        <v>3.34 Иррико-Холдинг</v>
      </c>
      <c r="E41" s="35">
        <v>45459</v>
      </c>
      <c r="F41" s="35">
        <f>Таблица1[[#This Row],[Дата сева агро]]+84</f>
        <v>45543</v>
      </c>
      <c r="G41" s="35"/>
      <c r="H41" s="148" t="s">
        <v>283</v>
      </c>
      <c r="I41" s="35" t="s">
        <v>108</v>
      </c>
      <c r="J41" t="s">
        <v>51</v>
      </c>
      <c r="K41" t="s">
        <v>124</v>
      </c>
      <c r="L41">
        <v>37.270000000000003</v>
      </c>
      <c r="M41">
        <v>37</v>
      </c>
      <c r="N41">
        <f>1+2+19.27+15</f>
        <v>37.269999999999996</v>
      </c>
      <c r="O41">
        <f>Таблица1[[#This Row],[Площадь сева, га]]-Таблица1[[#This Row],[Площадь уборки, га]]</f>
        <v>0</v>
      </c>
      <c r="P41" s="53">
        <f>Таблица1[[#This Row],[Площадь уборки, га]]/Таблица1[[#This Row],[Площадь сева, га]]</f>
        <v>0.99999999999999978</v>
      </c>
      <c r="Q41">
        <v>18</v>
      </c>
      <c r="R41" s="36">
        <f>IFERROR(Таблица1[[#This Row],[Валовый сбор фактический, т]]/Таблица1[[#This Row],[Площадь уборки, га]],"-")</f>
        <v>20.983901261067885</v>
      </c>
      <c r="S41">
        <f>Таблица1[[#This Row],[Урожайность плановая, т/га]]*Таблица1[[#This Row],[Площадь сева, га]]</f>
        <v>670.86</v>
      </c>
      <c r="T41">
        <f>30.64+29.3+320.26+364.8+37.07</f>
        <v>782.07</v>
      </c>
      <c r="U41" s="53">
        <f>IFERROR(Таблица1[[#This Row],[Валовый сбор фактический, т]]/Таблица1[[#This Row],[Валовый сбор плановый, т]],"-")</f>
        <v>1.1657722922815492</v>
      </c>
    </row>
    <row r="42" spans="1:22" hidden="1">
      <c r="A42" t="s">
        <v>60</v>
      </c>
      <c r="B42" t="s">
        <v>82</v>
      </c>
      <c r="C42" t="s">
        <v>134</v>
      </c>
      <c r="D42" t="str">
        <f>Таблица1[[#This Row],[Номер поля агро уточн]]</f>
        <v>3.35 Иррико-Холдинг</v>
      </c>
      <c r="E42" s="35">
        <v>45459</v>
      </c>
      <c r="F42" s="35">
        <f>Таблица1[[#This Row],[Дата сева агро]]+84</f>
        <v>45543</v>
      </c>
      <c r="G42" s="35"/>
      <c r="H42" s="35">
        <v>45547</v>
      </c>
      <c r="I42" s="35" t="s">
        <v>108</v>
      </c>
      <c r="J42" t="s">
        <v>51</v>
      </c>
      <c r="K42" t="s">
        <v>124</v>
      </c>
      <c r="L42">
        <v>19.670000000000002</v>
      </c>
      <c r="M42">
        <v>20</v>
      </c>
      <c r="N42">
        <v>19.670000000000002</v>
      </c>
      <c r="O42">
        <f>Таблица1[[#This Row],[Площадь сева, га]]-Таблица1[[#This Row],[Площадь уборки, га]]</f>
        <v>0</v>
      </c>
      <c r="P42" s="53">
        <f>Таблица1[[#This Row],[Площадь уборки, га]]/Таблица1[[#This Row],[Площадь сева, га]]</f>
        <v>1</v>
      </c>
      <c r="Q42">
        <v>18</v>
      </c>
      <c r="R42" s="36">
        <f>IFERROR(Таблица1[[#This Row],[Валовый сбор фактический, т]]/Таблица1[[#This Row],[Площадь уборки, га]],"-")</f>
        <v>20.078291814946617</v>
      </c>
      <c r="S42">
        <f>Таблица1[[#This Row],[Урожайность плановая, т/га]]*Таблица1[[#This Row],[Площадь сева, га]]</f>
        <v>354.06000000000006</v>
      </c>
      <c r="T42">
        <v>394.94</v>
      </c>
      <c r="U42" s="53">
        <f>IFERROR(Таблица1[[#This Row],[Валовый сбор фактический, т]]/Таблица1[[#This Row],[Валовый сбор плановый, т]],"-")</f>
        <v>1.1154606563859231</v>
      </c>
    </row>
    <row r="43" spans="1:22" hidden="1">
      <c r="A43" t="s">
        <v>61</v>
      </c>
      <c r="B43" t="s">
        <v>83</v>
      </c>
      <c r="D43" t="s">
        <v>123</v>
      </c>
      <c r="E43" s="35">
        <v>45463</v>
      </c>
      <c r="F43" s="35">
        <f>Таблица1[[#This Row],[Дата сева агро]]+84</f>
        <v>45547</v>
      </c>
      <c r="G43" s="35"/>
      <c r="H43" s="148" t="s">
        <v>289</v>
      </c>
      <c r="I43" s="35" t="s">
        <v>108</v>
      </c>
      <c r="J43" t="s">
        <v>42</v>
      </c>
      <c r="L43">
        <v>76</v>
      </c>
      <c r="N43">
        <f>4+2+48+22</f>
        <v>76</v>
      </c>
      <c r="O43">
        <f>Таблица1[[#This Row],[Площадь сева, га]]-Таблица1[[#This Row],[Площадь уборки, га]]</f>
        <v>0</v>
      </c>
      <c r="P43" s="53">
        <f>Таблица1[[#This Row],[Площадь уборки, га]]/Таблица1[[#This Row],[Площадь сева, га]]</f>
        <v>1</v>
      </c>
      <c r="Q43">
        <v>17</v>
      </c>
      <c r="R43" s="36">
        <f>IFERROR(Таблица1[[#This Row],[Валовый сбор фактический, т]]/Таблица1[[#This Row],[Площадь уборки, га]],"-")</f>
        <v>9.4626315789473683</v>
      </c>
      <c r="S43">
        <f>Таблица1[[#This Row],[Урожайность плановая, т/га]]*Таблица1[[#This Row],[Площадь сева, га]]</f>
        <v>1292</v>
      </c>
      <c r="T43">
        <f>42.66+23.49+428.06+224.95</f>
        <v>719.16</v>
      </c>
      <c r="U43" s="53">
        <f>IFERROR(Таблица1[[#This Row],[Валовый сбор фактический, т]]/Таблица1[[#This Row],[Валовый сбор плановый, т]],"-")</f>
        <v>0.556625386996904</v>
      </c>
    </row>
    <row r="44" spans="1:22" hidden="1">
      <c r="A44" t="s">
        <v>61</v>
      </c>
      <c r="B44" t="s">
        <v>83</v>
      </c>
      <c r="D44" t="s">
        <v>123</v>
      </c>
      <c r="E44" s="35">
        <v>45464</v>
      </c>
      <c r="F44" s="35">
        <f>Таблица1[[#This Row],[Дата сева агро]]+84</f>
        <v>45548</v>
      </c>
      <c r="G44" s="35"/>
      <c r="H44" s="148" t="s">
        <v>305</v>
      </c>
      <c r="I44" s="35" t="s">
        <v>108</v>
      </c>
      <c r="J44" t="s">
        <v>42</v>
      </c>
      <c r="L44">
        <v>54</v>
      </c>
      <c r="N44">
        <f>4+1+1+15+33</f>
        <v>54</v>
      </c>
      <c r="O44">
        <f>Таблица1[[#This Row],[Площадь сева, га]]-Таблица1[[#This Row],[Площадь уборки, га]]</f>
        <v>0</v>
      </c>
      <c r="P44" s="53">
        <f>Таблица1[[#This Row],[Площадь уборки, га]]/Таблица1[[#This Row],[Площадь сева, га]]</f>
        <v>1</v>
      </c>
      <c r="Q44">
        <v>17</v>
      </c>
      <c r="R44" s="36">
        <f>IFERROR(Таблица1[[#This Row],[Валовый сбор фактический, т]]/Таблица1[[#This Row],[Площадь уборки, га]],"-")</f>
        <v>7.8348148148148145</v>
      </c>
      <c r="S44">
        <f>Таблица1[[#This Row],[Урожайность плановая, т/га]]*Таблица1[[#This Row],[Площадь сева, га]]</f>
        <v>918</v>
      </c>
      <c r="T44">
        <f>61.35+14.16+12.35+135.09+200.13</f>
        <v>423.08</v>
      </c>
      <c r="U44" s="53">
        <f>IFERROR(Таблица1[[#This Row],[Валовый сбор фактический, т]]/Таблица1[[#This Row],[Валовый сбор плановый, т]],"-")</f>
        <v>0.46087145969498911</v>
      </c>
      <c r="V44" s="154" t="s">
        <v>291</v>
      </c>
    </row>
    <row r="45" spans="1:22" hidden="1">
      <c r="A45" t="s">
        <v>61</v>
      </c>
      <c r="B45" t="s">
        <v>83</v>
      </c>
      <c r="D45" t="s">
        <v>123</v>
      </c>
      <c r="E45" s="35">
        <v>45464</v>
      </c>
      <c r="F45" s="35">
        <v>45549</v>
      </c>
      <c r="G45" s="35"/>
      <c r="H45" s="148" t="s">
        <v>306</v>
      </c>
      <c r="I45" s="35" t="s">
        <v>108</v>
      </c>
      <c r="J45" t="s">
        <v>51</v>
      </c>
      <c r="L45">
        <v>22</v>
      </c>
      <c r="N45">
        <f>19+3</f>
        <v>22</v>
      </c>
      <c r="O45">
        <f>Таблица1[[#This Row],[Площадь сева, га]]-Таблица1[[#This Row],[Площадь уборки, га]]</f>
        <v>0</v>
      </c>
      <c r="P45" s="53">
        <f>Таблица1[[#This Row],[Площадь уборки, га]]/Таблица1[[#This Row],[Площадь сева, га]]</f>
        <v>1</v>
      </c>
      <c r="Q45">
        <v>17</v>
      </c>
      <c r="R45" s="36">
        <f>IFERROR(Таблица1[[#This Row],[Валовый сбор фактический, т]]/Таблица1[[#This Row],[Площадь уборки, га]],"-")</f>
        <v>8.4477272727272741</v>
      </c>
      <c r="S45">
        <f>Таблица1[[#This Row],[Урожайность плановая, т/га]]*Таблица1[[#This Row],[Площадь сева, га]]</f>
        <v>374</v>
      </c>
      <c r="T45">
        <f>121.79+64.06</f>
        <v>185.85000000000002</v>
      </c>
      <c r="U45" s="53">
        <f>IFERROR(Таблица1[[#This Row],[Валовый сбор фактический, т]]/Таблица1[[#This Row],[Валовый сбор плановый, т]],"-")</f>
        <v>0.49692513368983965</v>
      </c>
      <c r="V45" s="154"/>
    </row>
    <row r="46" spans="1:22" hidden="1">
      <c r="A46" t="s">
        <v>61</v>
      </c>
      <c r="B46" t="s">
        <v>84</v>
      </c>
      <c r="D46" t="s">
        <v>123</v>
      </c>
      <c r="E46" s="35">
        <v>45466</v>
      </c>
      <c r="F46" s="35">
        <f>Таблица1[[#This Row],[Дата сева агро]]+84</f>
        <v>45550</v>
      </c>
      <c r="G46" s="35"/>
      <c r="H46" s="148" t="s">
        <v>301</v>
      </c>
      <c r="I46" s="35" t="s">
        <v>108</v>
      </c>
      <c r="J46" t="s">
        <v>51</v>
      </c>
      <c r="L46">
        <v>58</v>
      </c>
      <c r="N46">
        <f>1+17+23+3+8+6</f>
        <v>58</v>
      </c>
      <c r="O46">
        <f>Таблица1[[#This Row],[Площадь сева, га]]-Таблица1[[#This Row],[Площадь уборки, га]]</f>
        <v>0</v>
      </c>
      <c r="P46" s="53">
        <f>Таблица1[[#This Row],[Площадь уборки, га]]/Таблица1[[#This Row],[Площадь сева, га]]</f>
        <v>1</v>
      </c>
      <c r="Q46">
        <v>17</v>
      </c>
      <c r="R46" s="36">
        <f>IFERROR(Таблица1[[#This Row],[Валовый сбор фактический, т]]/Таблица1[[#This Row],[Площадь уборки, га]],"-")</f>
        <v>15.637586206896552</v>
      </c>
      <c r="S46">
        <f>Таблица1[[#This Row],[Урожайность плановая, т/га]]*Таблица1[[#This Row],[Площадь сева, га]]</f>
        <v>986</v>
      </c>
      <c r="T46">
        <f>14.8+265.25+398.93+50.95+123.53+53.52</f>
        <v>906.98</v>
      </c>
      <c r="U46" s="53">
        <f>IFERROR(Таблица1[[#This Row],[Валовый сбор фактический, т]]/Таблица1[[#This Row],[Валовый сбор плановый, т]],"-")</f>
        <v>0.91985801217038543</v>
      </c>
      <c r="V46" s="154"/>
    </row>
    <row r="47" spans="1:22" hidden="1">
      <c r="A47" t="s">
        <v>61</v>
      </c>
      <c r="B47" t="s">
        <v>84</v>
      </c>
      <c r="D47" t="s">
        <v>123</v>
      </c>
      <c r="E47" s="35">
        <v>45468</v>
      </c>
      <c r="F47" s="35">
        <f>Таблица1[[#This Row],[Дата сева агро]]+84</f>
        <v>45552</v>
      </c>
      <c r="G47" s="35"/>
      <c r="H47" s="148" t="s">
        <v>298</v>
      </c>
      <c r="I47" s="35" t="s">
        <v>108</v>
      </c>
      <c r="J47" t="s">
        <v>53</v>
      </c>
      <c r="L47">
        <v>92</v>
      </c>
      <c r="N47">
        <f>4+2+2+19+27+21+2+15</f>
        <v>92</v>
      </c>
      <c r="O47">
        <f>Таблица1[[#This Row],[Площадь сева, га]]-Таблица1[[#This Row],[Площадь уборки, га]]</f>
        <v>0</v>
      </c>
      <c r="P47" s="53">
        <f>Таблица1[[#This Row],[Площадь уборки, га]]/Таблица1[[#This Row],[Площадь сева, га]]</f>
        <v>1</v>
      </c>
      <c r="Q47">
        <v>17</v>
      </c>
      <c r="R47" s="36">
        <f>IFERROR(Таблица1[[#This Row],[Валовый сбор фактический, т]]/Таблица1[[#This Row],[Площадь уборки, га]],"-")</f>
        <v>13.717391304347826</v>
      </c>
      <c r="S47">
        <f>Таблица1[[#This Row],[Урожайность плановая, т/га]]*Таблица1[[#This Row],[Площадь сева, га]]</f>
        <v>1564</v>
      </c>
      <c r="T47">
        <f>27.92+22.99+28.43+205.32+361.62+342.45+51.06+222.21</f>
        <v>1262</v>
      </c>
      <c r="U47" s="53">
        <f>IFERROR(Таблица1[[#This Row],[Валовый сбор фактический, т]]/Таблица1[[#This Row],[Валовый сбор плановый, т]],"-")</f>
        <v>0.80690537084398972</v>
      </c>
      <c r="V47" s="154" t="s">
        <v>300</v>
      </c>
    </row>
    <row r="48" spans="1:22" hidden="1">
      <c r="A48" t="s">
        <v>62</v>
      </c>
      <c r="B48" t="s">
        <v>85</v>
      </c>
      <c r="D48" t="s">
        <v>150</v>
      </c>
      <c r="E48" s="35">
        <v>45470</v>
      </c>
      <c r="F48" s="35">
        <f>Таблица1[[#This Row],[Дата сева агро]]+84</f>
        <v>45554</v>
      </c>
      <c r="G48" s="35">
        <v>45561</v>
      </c>
      <c r="H48" s="148" t="s">
        <v>296</v>
      </c>
      <c r="I48" s="35" t="s">
        <v>108</v>
      </c>
      <c r="J48" t="s">
        <v>53</v>
      </c>
      <c r="L48">
        <v>45</v>
      </c>
      <c r="N48">
        <f>15+26+4</f>
        <v>45</v>
      </c>
      <c r="O48">
        <f>Таблица1[[#This Row],[Площадь сева, га]]-Таблица1[[#This Row],[Площадь уборки, га]]</f>
        <v>0</v>
      </c>
      <c r="P48" s="53">
        <f>Таблица1[[#This Row],[Площадь уборки, га]]/Таблица1[[#This Row],[Площадь сева, га]]</f>
        <v>1</v>
      </c>
      <c r="Q48">
        <v>18</v>
      </c>
      <c r="R48" s="36">
        <f>IFERROR(Таблица1[[#This Row],[Валовый сбор фактический, т]]/Таблица1[[#This Row],[Площадь уборки, га]],"-")</f>
        <v>4.3760000000000003</v>
      </c>
      <c r="S48">
        <f>Таблица1[[#This Row],[Урожайность плановая, т/га]]*Таблица1[[#This Row],[Площадь сева, га]]</f>
        <v>810</v>
      </c>
      <c r="T48">
        <f>48.33+127.84+20.75</f>
        <v>196.92000000000002</v>
      </c>
      <c r="U48" s="53">
        <f>IFERROR(Таблица1[[#This Row],[Валовый сбор фактический, т]]/Таблица1[[#This Row],[Валовый сбор плановый, т]],"-")</f>
        <v>0.24311111111111114</v>
      </c>
      <c r="V48" s="154" t="s">
        <v>332</v>
      </c>
    </row>
    <row r="49" spans="1:22" hidden="1">
      <c r="A49" t="s">
        <v>62</v>
      </c>
      <c r="B49" t="s">
        <v>86</v>
      </c>
      <c r="D49" t="s">
        <v>149</v>
      </c>
      <c r="E49" s="35">
        <v>45473</v>
      </c>
      <c r="F49" s="35">
        <f>Таблица1[[#This Row],[Дата сева агро]]+84</f>
        <v>45557</v>
      </c>
      <c r="G49" s="35"/>
      <c r="H49" s="35">
        <v>45570</v>
      </c>
      <c r="I49" s="35" t="s">
        <v>108</v>
      </c>
      <c r="J49" t="s">
        <v>53</v>
      </c>
      <c r="L49">
        <v>16.5</v>
      </c>
      <c r="N49">
        <f>16.5</f>
        <v>16.5</v>
      </c>
      <c r="O49">
        <f>Таблица1[[#This Row],[Площадь сева, га]]-Таблица1[[#This Row],[Площадь уборки, га]]</f>
        <v>0</v>
      </c>
      <c r="P49" s="53">
        <f>Таблица1[[#This Row],[Площадь уборки, га]]/Таблица1[[#This Row],[Площадь сева, га]]</f>
        <v>1</v>
      </c>
      <c r="Q49">
        <v>18</v>
      </c>
      <c r="R49" s="36">
        <f>IFERROR(Таблица1[[#This Row],[Валовый сбор фактический, т]]/Таблица1[[#This Row],[Площадь уборки, га]],"-")</f>
        <v>4.8812121212121218</v>
      </c>
      <c r="S49">
        <f>Таблица1[[#This Row],[Урожайность плановая, т/га]]*Таблица1[[#This Row],[Площадь сева, га]]</f>
        <v>297</v>
      </c>
      <c r="T49">
        <f>80.54</f>
        <v>80.540000000000006</v>
      </c>
      <c r="U49" s="53">
        <f>IFERROR(Таблица1[[#This Row],[Валовый сбор фактический, т]]/Таблица1[[#This Row],[Валовый сбор плановый, т]],"-")</f>
        <v>0.27117845117845119</v>
      </c>
    </row>
    <row r="50" spans="1:22" hidden="1">
      <c r="A50" t="s">
        <v>62</v>
      </c>
      <c r="B50" t="s">
        <v>86</v>
      </c>
      <c r="D50" t="s">
        <v>149</v>
      </c>
      <c r="E50" s="35">
        <v>45473</v>
      </c>
      <c r="F50" s="35">
        <f>Таблица1[[#This Row],[Дата сева агро]]+84</f>
        <v>45557</v>
      </c>
      <c r="G50" s="35"/>
      <c r="H50" s="148" t="s">
        <v>308</v>
      </c>
      <c r="I50" s="35" t="s">
        <v>108</v>
      </c>
      <c r="J50" t="s">
        <v>41</v>
      </c>
      <c r="L50">
        <v>35.5</v>
      </c>
      <c r="N50">
        <f>6.5+29</f>
        <v>35.5</v>
      </c>
      <c r="O50">
        <f>Таблица1[[#This Row],[Площадь сева, га]]-Таблица1[[#This Row],[Площадь уборки, га]]</f>
        <v>0</v>
      </c>
      <c r="P50" s="53">
        <f>Таблица1[[#This Row],[Площадь уборки, га]]/Таблица1[[#This Row],[Площадь сева, га]]</f>
        <v>1</v>
      </c>
      <c r="Q50">
        <v>18</v>
      </c>
      <c r="R50" s="36">
        <f>IFERROR(Таблица1[[#This Row],[Валовый сбор фактический, т]]/Таблица1[[#This Row],[Площадь уборки, га]],"-")</f>
        <v>5.0135211267605628</v>
      </c>
      <c r="S50">
        <f>Таблица1[[#This Row],[Урожайность плановая, т/га]]*Таблица1[[#This Row],[Площадь сева, га]]</f>
        <v>639</v>
      </c>
      <c r="T50">
        <f>51.76+126.22</f>
        <v>177.98</v>
      </c>
      <c r="U50" s="53">
        <f>IFERROR(Таблица1[[#This Row],[Валовый сбор фактический, т]]/Таблица1[[#This Row],[Валовый сбор плановый, т]],"-")</f>
        <v>0.27852895148669793</v>
      </c>
    </row>
    <row r="51" spans="1:22" hidden="1">
      <c r="A51" t="s">
        <v>62</v>
      </c>
      <c r="B51" t="s">
        <v>87</v>
      </c>
      <c r="D51" t="s">
        <v>147</v>
      </c>
      <c r="E51" s="35">
        <v>45474</v>
      </c>
      <c r="F51" s="35">
        <f>Таблица1[[#This Row],[Дата сева агро]]+84</f>
        <v>45558</v>
      </c>
      <c r="G51" s="35"/>
      <c r="H51" s="148" t="s">
        <v>317</v>
      </c>
      <c r="I51" s="35" t="s">
        <v>108</v>
      </c>
      <c r="J51" t="s">
        <v>41</v>
      </c>
      <c r="L51">
        <v>35</v>
      </c>
      <c r="N51">
        <f>1+14</f>
        <v>15</v>
      </c>
      <c r="O51" s="160">
        <f>Таблица1[[#This Row],[Площадь сева, га]]-Таблица1[[#This Row],[Площадь уборки, га]]</f>
        <v>20</v>
      </c>
      <c r="P51" s="53">
        <f>Таблица1[[#This Row],[Площадь уборки, га]]/Таблица1[[#This Row],[Площадь сева, га]]</f>
        <v>0.42857142857142855</v>
      </c>
      <c r="Q51">
        <v>18</v>
      </c>
      <c r="R51" s="36">
        <f>IFERROR(Таблица1[[#This Row],[Валовый сбор фактический, т]]/Таблица1[[#This Row],[Площадь уборки, га]],"-")</f>
        <v>2.9540000000000002</v>
      </c>
      <c r="S51">
        <f>Таблица1[[#This Row],[Урожайность плановая, т/га]]*Таблица1[[#This Row],[Площадь сева, га]]</f>
        <v>630</v>
      </c>
      <c r="T51">
        <f>13.53+30.78</f>
        <v>44.31</v>
      </c>
      <c r="U51" s="53">
        <f>IFERROR(Таблица1[[#This Row],[Валовый сбор фактический, т]]/Таблица1[[#This Row],[Валовый сбор плановый, т]],"-")</f>
        <v>7.0333333333333331E-2</v>
      </c>
      <c r="V51" t="s">
        <v>329</v>
      </c>
    </row>
    <row r="52" spans="1:22" hidden="1">
      <c r="A52" t="s">
        <v>62</v>
      </c>
      <c r="B52" t="s">
        <v>87</v>
      </c>
      <c r="D52" t="s">
        <v>147</v>
      </c>
      <c r="E52" s="35">
        <v>45474</v>
      </c>
      <c r="F52" s="35">
        <f>Таблица1[[#This Row],[Дата сева агро]]+84</f>
        <v>45558</v>
      </c>
      <c r="G52" s="35">
        <v>45566</v>
      </c>
      <c r="H52" s="148"/>
      <c r="I52" s="35" t="s">
        <v>108</v>
      </c>
      <c r="J52" t="s">
        <v>51</v>
      </c>
      <c r="L52">
        <v>37</v>
      </c>
      <c r="O52" s="160">
        <f>Таблица1[[#This Row],[Площадь сева, га]]-Таблица1[[#This Row],[Площадь уборки, га]]</f>
        <v>37</v>
      </c>
      <c r="P52" s="53">
        <f>Таблица1[[#This Row],[Площадь уборки, га]]/Таблица1[[#This Row],[Площадь сева, га]]</f>
        <v>0</v>
      </c>
      <c r="Q52">
        <v>18</v>
      </c>
      <c r="R52" s="36" t="str">
        <f>IFERROR(Таблица1[[#This Row],[Валовый сбор фактический, т]]/Таблица1[[#This Row],[Площадь уборки, га]],"-")</f>
        <v>-</v>
      </c>
      <c r="S52">
        <f>Таблица1[[#This Row],[Урожайность плановая, т/га]]*Таблица1[[#This Row],[Площадь сева, га]]</f>
        <v>666</v>
      </c>
      <c r="T52"/>
      <c r="U52" s="53">
        <f>IFERROR(Таблица1[[#This Row],[Валовый сбор фактический, т]]/Таблица1[[#This Row],[Валовый сбор плановый, т]],"-")</f>
        <v>0</v>
      </c>
      <c r="V52" t="s">
        <v>331</v>
      </c>
    </row>
    <row r="53" spans="1:22">
      <c r="A53" t="s">
        <v>63</v>
      </c>
      <c r="B53" t="s">
        <v>155</v>
      </c>
      <c r="D53" t="s">
        <v>143</v>
      </c>
      <c r="E53" s="35">
        <v>45476</v>
      </c>
      <c r="F53" s="35">
        <f>Таблица1[[#This Row],[Дата сева агро]]+84</f>
        <v>45560</v>
      </c>
      <c r="G53" s="35">
        <v>45567</v>
      </c>
      <c r="H53" s="148" t="s">
        <v>290</v>
      </c>
      <c r="I53" s="35" t="s">
        <v>108</v>
      </c>
      <c r="J53" t="s">
        <v>51</v>
      </c>
      <c r="L53">
        <v>49</v>
      </c>
      <c r="N53">
        <f>9+28+12</f>
        <v>49</v>
      </c>
      <c r="O53">
        <f>Таблица1[[#This Row],[Площадь сева, га]]-Таблица1[[#This Row],[Площадь уборки, га]]</f>
        <v>0</v>
      </c>
      <c r="P53" s="53">
        <f>Таблица1[[#This Row],[Площадь уборки, га]]/Таблица1[[#This Row],[Площадь сева, га]]</f>
        <v>1</v>
      </c>
      <c r="Q53">
        <v>18.02</v>
      </c>
      <c r="R53" s="36">
        <f>IFERROR(Таблица1[[#This Row],[Валовый сбор фактический, т]]/Таблица1[[#This Row],[Площадь уборки, га]],"-")</f>
        <v>10.867142857142857</v>
      </c>
      <c r="S53">
        <f>Таблица1[[#This Row],[Урожайность плановая, т/га]]*Таблица1[[#This Row],[Площадь сева, га]]</f>
        <v>882.98</v>
      </c>
      <c r="T53">
        <f>104.46+233.7+194.33</f>
        <v>532.49</v>
      </c>
      <c r="U53" s="53">
        <f>IFERROR(Таблица1[[#This Row],[Валовый сбор фактический, т]]/Таблица1[[#This Row],[Валовый сбор плановый, т]],"-")</f>
        <v>0.60306009196131283</v>
      </c>
    </row>
    <row r="54" spans="1:22">
      <c r="A54" t="s">
        <v>63</v>
      </c>
      <c r="B54" t="s">
        <v>156</v>
      </c>
      <c r="D54" t="s">
        <v>144</v>
      </c>
      <c r="E54" s="35">
        <v>45477</v>
      </c>
      <c r="F54" s="35">
        <f>Таблица1[[#This Row],[Дата сева агро]]+84</f>
        <v>45561</v>
      </c>
      <c r="G54" s="35"/>
      <c r="H54" s="148" t="s">
        <v>293</v>
      </c>
      <c r="I54" s="35" t="s">
        <v>108</v>
      </c>
      <c r="J54" t="s">
        <v>51</v>
      </c>
      <c r="L54">
        <v>45.4</v>
      </c>
      <c r="N54">
        <f>24+21.4</f>
        <v>45.4</v>
      </c>
      <c r="O54">
        <f>Таблица1[[#This Row],[Площадь сева, га]]-Таблица1[[#This Row],[Площадь уборки, га]]</f>
        <v>0</v>
      </c>
      <c r="P54" s="53">
        <f>Таблица1[[#This Row],[Площадь уборки, га]]/Таблица1[[#This Row],[Площадь сева, га]]</f>
        <v>1</v>
      </c>
      <c r="Q54">
        <v>18.02</v>
      </c>
      <c r="R54" s="36">
        <f>IFERROR(Таблица1[[#This Row],[Валовый сбор фактический, т]]/Таблица1[[#This Row],[Площадь уборки, га]],"-")</f>
        <v>12.808810572687225</v>
      </c>
      <c r="S54">
        <f>Таблица1[[#This Row],[Урожайность плановая, т/га]]*Таблица1[[#This Row],[Площадь сева, га]]</f>
        <v>818.10799999999995</v>
      </c>
      <c r="T54">
        <f>296.24+285.28</f>
        <v>581.52</v>
      </c>
      <c r="U54" s="53">
        <f>IFERROR(Таблица1[[#This Row],[Валовый сбор фактический, т]]/Таблица1[[#This Row],[Валовый сбор плановый, т]],"-")</f>
        <v>0.71081079759640542</v>
      </c>
    </row>
    <row r="55" spans="1:22">
      <c r="A55" t="s">
        <v>63</v>
      </c>
      <c r="B55" t="s">
        <v>156</v>
      </c>
      <c r="D55" t="s">
        <v>144</v>
      </c>
      <c r="E55" s="35">
        <v>45477</v>
      </c>
      <c r="F55" s="35">
        <f>Таблица1[[#This Row],[Дата сева агро]]+84</f>
        <v>45561</v>
      </c>
      <c r="G55" s="35"/>
      <c r="H55" s="148">
        <v>45561</v>
      </c>
      <c r="I55" s="35" t="s">
        <v>108</v>
      </c>
      <c r="J55" t="s">
        <v>56</v>
      </c>
      <c r="L55">
        <v>4.5999999999999996</v>
      </c>
      <c r="N55">
        <v>4.5999999999999996</v>
      </c>
      <c r="O55">
        <f>Таблица1[[#This Row],[Площадь сева, га]]-Таблица1[[#This Row],[Площадь уборки, га]]</f>
        <v>0</v>
      </c>
      <c r="P55" s="53">
        <f>Таблица1[[#This Row],[Площадь уборки, га]]/Таблица1[[#This Row],[Площадь сева, га]]</f>
        <v>1</v>
      </c>
      <c r="Q55">
        <v>18.02</v>
      </c>
      <c r="R55" s="36">
        <f>IFERROR(Таблица1[[#This Row],[Валовый сбор фактический, т]]/Таблица1[[#This Row],[Площадь уборки, га]],"-")</f>
        <v>2.8869565217391306</v>
      </c>
      <c r="S55">
        <f>Таблица1[[#This Row],[Урожайность плановая, т/га]]*Таблица1[[#This Row],[Площадь сева, га]]</f>
        <v>82.891999999999996</v>
      </c>
      <c r="T55">
        <v>13.28</v>
      </c>
      <c r="U55" s="53">
        <f>IFERROR(Таблица1[[#This Row],[Валовый сбор фактический, т]]/Таблица1[[#This Row],[Валовый сбор плановый, т]],"-")</f>
        <v>0.16020846402547895</v>
      </c>
    </row>
    <row r="56" spans="1:22">
      <c r="A56" t="s">
        <v>63</v>
      </c>
      <c r="B56" t="s">
        <v>157</v>
      </c>
      <c r="D56" t="s">
        <v>142</v>
      </c>
      <c r="E56" s="35">
        <v>45478</v>
      </c>
      <c r="F56" s="35">
        <f>Таблица1[[#This Row],[Дата сева агро]]+84</f>
        <v>45562</v>
      </c>
      <c r="G56" s="35"/>
      <c r="H56" s="148" t="s">
        <v>295</v>
      </c>
      <c r="I56" s="35" t="s">
        <v>108</v>
      </c>
      <c r="J56" t="s">
        <v>51</v>
      </c>
      <c r="L56">
        <v>47</v>
      </c>
      <c r="N56">
        <f>8+25+8+6</f>
        <v>47</v>
      </c>
      <c r="O56">
        <f>Таблица1[[#This Row],[Площадь сева, га]]-Таблица1[[#This Row],[Площадь уборки, га]]</f>
        <v>0</v>
      </c>
      <c r="P56" s="53">
        <f>Таблица1[[#This Row],[Площадь уборки, га]]/Таблица1[[#This Row],[Площадь сева, га]]</f>
        <v>1</v>
      </c>
      <c r="Q56">
        <v>18.02</v>
      </c>
      <c r="R56" s="36">
        <f>IFERROR(Таблица1[[#This Row],[Валовый сбор фактический, т]]/Таблица1[[#This Row],[Площадь уборки, га]],"-")</f>
        <v>17.862765957446811</v>
      </c>
      <c r="S56">
        <f>Таблица1[[#This Row],[Урожайность плановая, т/га]]*Таблица1[[#This Row],[Площадь сева, га]]</f>
        <v>846.93999999999994</v>
      </c>
      <c r="T56">
        <f>261.13+272.34+189.95+116.13</f>
        <v>839.55000000000007</v>
      </c>
      <c r="U56" s="53">
        <f>IFERROR(Таблица1[[#This Row],[Валовый сбор фактический, т]]/Таблица1[[#This Row],[Валовый сбор плановый, т]],"-")</f>
        <v>0.99127447044654893</v>
      </c>
    </row>
    <row r="57" spans="1:22">
      <c r="A57" t="s">
        <v>63</v>
      </c>
      <c r="B57" t="s">
        <v>158</v>
      </c>
      <c r="D57" t="s">
        <v>139</v>
      </c>
      <c r="E57" s="35">
        <v>45479</v>
      </c>
      <c r="F57" s="35">
        <f>Таблица1[[#This Row],[Дата сева агро]]+84</f>
        <v>45563</v>
      </c>
      <c r="G57" s="35"/>
      <c r="H57" s="148">
        <v>45566</v>
      </c>
      <c r="I57" s="35" t="s">
        <v>108</v>
      </c>
      <c r="J57" t="s">
        <v>51</v>
      </c>
      <c r="L57">
        <v>2</v>
      </c>
      <c r="N57">
        <v>2</v>
      </c>
      <c r="O57">
        <f>Таблица1[[#This Row],[Площадь сева, га]]-Таблица1[[#This Row],[Площадь уборки, га]]</f>
        <v>0</v>
      </c>
      <c r="P57" s="53">
        <f>Таблица1[[#This Row],[Площадь уборки, га]]/Таблица1[[#This Row],[Площадь сева, га]]</f>
        <v>1</v>
      </c>
      <c r="Q57">
        <v>18.02</v>
      </c>
      <c r="R57" s="36">
        <f>IFERROR(Таблица1[[#This Row],[Валовый сбор фактический, т]]/Таблица1[[#This Row],[Площадь уборки, га]],"-")</f>
        <v>29.64</v>
      </c>
      <c r="S57">
        <f>Таблица1[[#This Row],[Урожайность плановая, т/га]]*Таблица1[[#This Row],[Площадь сева, га]]</f>
        <v>36.04</v>
      </c>
      <c r="T57">
        <v>59.28</v>
      </c>
      <c r="U57" s="53">
        <f>IFERROR(Таблица1[[#This Row],[Валовый сбор фактический, т]]/Таблица1[[#This Row],[Валовый сбор плановый, т]],"-")</f>
        <v>1.6448390677025528</v>
      </c>
    </row>
    <row r="58" spans="1:22">
      <c r="A58" t="s">
        <v>63</v>
      </c>
      <c r="B58" t="s">
        <v>158</v>
      </c>
      <c r="D58" t="s">
        <v>139</v>
      </c>
      <c r="E58" s="35">
        <v>45479</v>
      </c>
      <c r="F58" s="35">
        <v>45563</v>
      </c>
      <c r="G58" s="35"/>
      <c r="H58" s="148" t="s">
        <v>307</v>
      </c>
      <c r="I58" s="35" t="s">
        <v>108</v>
      </c>
      <c r="J58" t="s">
        <v>40</v>
      </c>
      <c r="L58">
        <v>40</v>
      </c>
      <c r="N58">
        <f>8+12+20</f>
        <v>40</v>
      </c>
      <c r="O58">
        <f>Таблица1[[#This Row],[Площадь сева, га]]-Таблица1[[#This Row],[Площадь уборки, га]]</f>
        <v>0</v>
      </c>
      <c r="P58" s="53">
        <f>Таблица1[[#This Row],[Площадь уборки, га]]/Таблица1[[#This Row],[Площадь сева, га]]</f>
        <v>1</v>
      </c>
      <c r="Q58">
        <v>18.02</v>
      </c>
      <c r="R58" s="36">
        <f>IFERROR(Таблица1[[#This Row],[Валовый сбор фактический, т]]/Таблица1[[#This Row],[Площадь уборки, га]],"-")</f>
        <v>11.67225</v>
      </c>
      <c r="S58">
        <f>Таблица1[[#This Row],[Урожайность плановая, т/га]]*Таблица1[[#This Row],[Площадь сева, га]]</f>
        <v>720.8</v>
      </c>
      <c r="T58">
        <f>111.27+193.08+162.54</f>
        <v>466.89</v>
      </c>
      <c r="U58" s="53">
        <f>IFERROR(Таблица1[[#This Row],[Валовый сбор фактический, т]]/Таблица1[[#This Row],[Валовый сбор плановый, т]],"-")</f>
        <v>0.64773862375138735</v>
      </c>
    </row>
    <row r="59" spans="1:22">
      <c r="A59" t="s">
        <v>63</v>
      </c>
      <c r="B59" t="s">
        <v>158</v>
      </c>
      <c r="D59" t="s">
        <v>139</v>
      </c>
      <c r="E59" s="35">
        <v>45480</v>
      </c>
      <c r="F59" s="35">
        <v>45564</v>
      </c>
      <c r="G59" s="35"/>
      <c r="H59" s="148" t="s">
        <v>319</v>
      </c>
      <c r="I59" s="35" t="s">
        <v>108</v>
      </c>
      <c r="J59" t="s">
        <v>40</v>
      </c>
      <c r="L59">
        <v>29</v>
      </c>
      <c r="N59">
        <f>5+4+12+8</f>
        <v>29</v>
      </c>
      <c r="O59">
        <f>Таблица1[[#This Row],[Площадь сева, га]]-Таблица1[[#This Row],[Площадь уборки, га]]</f>
        <v>0</v>
      </c>
      <c r="P59" s="53">
        <f>Таблица1[[#This Row],[Площадь уборки, га]]/Таблица1[[#This Row],[Площадь сева, га]]</f>
        <v>1</v>
      </c>
      <c r="Q59">
        <v>18.02</v>
      </c>
      <c r="R59" s="36">
        <f>IFERROR(Таблица1[[#This Row],[Валовый сбор фактический, т]]/Таблица1[[#This Row],[Площадь уборки, га]],"-")</f>
        <v>20.468275862068968</v>
      </c>
      <c r="S59">
        <f>Таблица1[[#This Row],[Урожайность плановая, т/га]]*Таблица1[[#This Row],[Площадь сева, га]]</f>
        <v>522.58000000000004</v>
      </c>
      <c r="T59">
        <f>40.63+77.05+290+185.9</f>
        <v>593.58000000000004</v>
      </c>
      <c r="U59" s="53">
        <f>IFERROR(Таблица1[[#This Row],[Валовый сбор фактический, т]]/Таблица1[[#This Row],[Валовый сбор плановый, т]],"-")</f>
        <v>1.1358643652646485</v>
      </c>
    </row>
    <row r="60" spans="1:22">
      <c r="A60" t="s">
        <v>63</v>
      </c>
      <c r="B60" t="s">
        <v>159</v>
      </c>
      <c r="D60" t="s">
        <v>141</v>
      </c>
      <c r="E60" s="35">
        <v>45480</v>
      </c>
      <c r="F60" s="35">
        <v>45564</v>
      </c>
      <c r="G60" s="35"/>
      <c r="H60" s="148" t="s">
        <v>321</v>
      </c>
      <c r="I60" s="35" t="s">
        <v>108</v>
      </c>
      <c r="J60" t="s">
        <v>40</v>
      </c>
      <c r="L60">
        <v>42</v>
      </c>
      <c r="N60">
        <f>2+23+17</f>
        <v>42</v>
      </c>
      <c r="O60">
        <f>Таблица1[[#This Row],[Площадь сева, га]]-Таблица1[[#This Row],[Площадь уборки, га]]</f>
        <v>0</v>
      </c>
      <c r="P60" s="53">
        <f>Таблица1[[#This Row],[Площадь уборки, га]]/Таблица1[[#This Row],[Площадь сева, га]]</f>
        <v>1</v>
      </c>
      <c r="Q60">
        <v>18.02</v>
      </c>
      <c r="R60" s="36">
        <f>IFERROR(Таблица1[[#This Row],[Валовый сбор фактический, т]]/Таблица1[[#This Row],[Площадь уборки, га]],"-")</f>
        <v>18.871904761904762</v>
      </c>
      <c r="S60">
        <f>Таблица1[[#This Row],[Урожайность плановая, т/га]]*Таблица1[[#This Row],[Площадь сева, га]]</f>
        <v>756.84</v>
      </c>
      <c r="T60">
        <f>44.47+505.02+243.13</f>
        <v>792.62</v>
      </c>
      <c r="U60" s="53">
        <f>IFERROR(Таблица1[[#This Row],[Валовый сбор фактический, т]]/Таблица1[[#This Row],[Валовый сбор плановый, т]],"-")</f>
        <v>1.0472755139791765</v>
      </c>
    </row>
    <row r="61" spans="1:22">
      <c r="A61" t="s">
        <v>63</v>
      </c>
      <c r="B61" t="s">
        <v>159</v>
      </c>
      <c r="D61" t="s">
        <v>141</v>
      </c>
      <c r="E61" s="35">
        <v>45481</v>
      </c>
      <c r="F61" s="35">
        <f>Таблица1[[#This Row],[Дата сева агро]]+84</f>
        <v>45565</v>
      </c>
      <c r="G61" s="35"/>
      <c r="H61" s="148" t="s">
        <v>322</v>
      </c>
      <c r="I61" s="35" t="s">
        <v>108</v>
      </c>
      <c r="J61" t="s">
        <v>57</v>
      </c>
      <c r="L61">
        <v>29</v>
      </c>
      <c r="N61">
        <f>9+20</f>
        <v>29</v>
      </c>
      <c r="O61">
        <f>Таблица1[[#This Row],[Площадь сева, га]]-Таблица1[[#This Row],[Площадь уборки, га]]</f>
        <v>0</v>
      </c>
      <c r="P61" s="53">
        <f>Таблица1[[#This Row],[Площадь уборки, га]]/Таблица1[[#This Row],[Площадь сева, га]]</f>
        <v>1</v>
      </c>
      <c r="Q61">
        <v>18.02</v>
      </c>
      <c r="R61" s="36">
        <f>IFERROR(Таблица1[[#This Row],[Валовый сбор фактический, т]]/Таблица1[[#This Row],[Площадь уборки, га]],"-")</f>
        <v>19.687931034482759</v>
      </c>
      <c r="S61">
        <f>Таблица1[[#This Row],[Урожайность плановая, т/га]]*Таблица1[[#This Row],[Площадь сева, га]]</f>
        <v>522.58000000000004</v>
      </c>
      <c r="T61">
        <f>281.27+289.68</f>
        <v>570.95000000000005</v>
      </c>
      <c r="U61" s="53">
        <f>IFERROR(Таблица1[[#This Row],[Валовый сбор фактический, т]]/Таблица1[[#This Row],[Валовый сбор плановый, т]],"-")</f>
        <v>1.0925599908148034</v>
      </c>
    </row>
    <row r="62" spans="1:22">
      <c r="A62" t="s">
        <v>63</v>
      </c>
      <c r="B62" t="s">
        <v>160</v>
      </c>
      <c r="D62" t="s">
        <v>136</v>
      </c>
      <c r="E62" s="35">
        <v>45481</v>
      </c>
      <c r="F62" s="35">
        <f>Таблица1[[#This Row],[Дата сева агро]]+84</f>
        <v>45565</v>
      </c>
      <c r="G62" s="35"/>
      <c r="H62" s="148" t="s">
        <v>323</v>
      </c>
      <c r="I62" s="35" t="s">
        <v>108</v>
      </c>
      <c r="J62" t="s">
        <v>57</v>
      </c>
      <c r="L62">
        <v>32.9</v>
      </c>
      <c r="N62">
        <f>7+25.9</f>
        <v>32.9</v>
      </c>
      <c r="O62">
        <f>Таблица1[[#This Row],[Площадь сева, га]]-Таблица1[[#This Row],[Площадь уборки, га]]</f>
        <v>0</v>
      </c>
      <c r="P62" s="53">
        <f>Таблица1[[#This Row],[Площадь уборки, га]]/Таблица1[[#This Row],[Площадь сева, га]]</f>
        <v>1</v>
      </c>
      <c r="Q62">
        <v>18.02</v>
      </c>
      <c r="R62" s="36">
        <f>IFERROR(Таблица1[[#This Row],[Валовый сбор фактический, т]]/Таблица1[[#This Row],[Площадь уборки, га]],"-")</f>
        <v>18.04741641337386</v>
      </c>
      <c r="S62">
        <f>Таблица1[[#This Row],[Урожайность плановая, т/га]]*Таблица1[[#This Row],[Площадь сева, га]]</f>
        <v>592.85799999999995</v>
      </c>
      <c r="T62">
        <f>164.22+429.54</f>
        <v>593.76</v>
      </c>
      <c r="U62" s="53">
        <f>IFERROR(Таблица1[[#This Row],[Валовый сбор фактический, т]]/Таблица1[[#This Row],[Валовый сбор плановый, т]],"-")</f>
        <v>1.0015214435834552</v>
      </c>
    </row>
    <row r="63" spans="1:22" s="56" customFormat="1">
      <c r="A63" s="56" t="s">
        <v>63</v>
      </c>
      <c r="B63" t="s">
        <v>161</v>
      </c>
      <c r="C63"/>
      <c r="D63" s="56" t="s">
        <v>138</v>
      </c>
      <c r="E63" s="123">
        <v>45482</v>
      </c>
      <c r="F63" s="123">
        <f>Таблица1[[#This Row],[Дата сева агро]]+84</f>
        <v>45566</v>
      </c>
      <c r="G63" s="35"/>
      <c r="H63" s="132" t="s">
        <v>325</v>
      </c>
      <c r="I63" s="123" t="s">
        <v>108</v>
      </c>
      <c r="J63" s="56" t="s">
        <v>57</v>
      </c>
      <c r="K63"/>
      <c r="L63" s="56">
        <v>50.6</v>
      </c>
      <c r="M63"/>
      <c r="N63" s="56">
        <f>4+11.6+25+10</f>
        <v>50.6</v>
      </c>
      <c r="O63" s="56">
        <f>Таблица1[[#This Row],[Площадь сева, га]]-Таблица1[[#This Row],[Площадь уборки, га]]</f>
        <v>0</v>
      </c>
      <c r="P63" s="124">
        <f>Таблица1[[#This Row],[Площадь уборки, га]]/Таблица1[[#This Row],[Площадь сева, га]]</f>
        <v>1</v>
      </c>
      <c r="Q63" s="56">
        <v>18.02</v>
      </c>
      <c r="R63" s="125">
        <f>IFERROR(Таблица1[[#This Row],[Валовый сбор фактический, т]]/Таблица1[[#This Row],[Площадь уборки, га]],"-")</f>
        <v>16.35790513833992</v>
      </c>
      <c r="S63" s="56">
        <f>Таблица1[[#This Row],[Урожайность плановая, т/га]]*Таблица1[[#This Row],[Площадь сева, га]]</f>
        <v>911.81200000000001</v>
      </c>
      <c r="T63" s="56">
        <f>82.44+212.33+476.4+113.08/2</f>
        <v>827.70999999999992</v>
      </c>
      <c r="U63" s="124">
        <f>IFERROR(Таблица1[[#This Row],[Валовый сбор фактический, т]]/Таблица1[[#This Row],[Валовый сбор плановый, т]],"-")</f>
        <v>0.90776388115093887</v>
      </c>
      <c r="V63" s="56" t="s">
        <v>292</v>
      </c>
    </row>
    <row r="64" spans="1:22" s="56" customFormat="1">
      <c r="A64" s="56" t="s">
        <v>63</v>
      </c>
      <c r="B64" t="s">
        <v>162</v>
      </c>
      <c r="C64"/>
      <c r="D64" s="56" t="s">
        <v>140</v>
      </c>
      <c r="E64" s="123">
        <v>45483</v>
      </c>
      <c r="F64" s="123">
        <f>Таблица1[[#This Row],[Дата сева агро]]+84</f>
        <v>45567</v>
      </c>
      <c r="G64" s="35"/>
      <c r="H64" s="132" t="s">
        <v>326</v>
      </c>
      <c r="I64" s="123" t="s">
        <v>108</v>
      </c>
      <c r="J64" s="56" t="s">
        <v>57</v>
      </c>
      <c r="K64"/>
      <c r="L64" s="56">
        <v>69</v>
      </c>
      <c r="M64"/>
      <c r="N64" s="56">
        <f>5+2+12+25+2+13+10</f>
        <v>69</v>
      </c>
      <c r="O64" s="56">
        <f>Таблица1[[#This Row],[Площадь сева, га]]-Таблица1[[#This Row],[Площадь уборки, га]]</f>
        <v>0</v>
      </c>
      <c r="P64" s="124">
        <f>Таблица1[[#This Row],[Площадь уборки, га]]/Таблица1[[#This Row],[Площадь сева, га]]</f>
        <v>1</v>
      </c>
      <c r="Q64" s="56">
        <v>18.02</v>
      </c>
      <c r="R64" s="125">
        <f>IFERROR(Таблица1[[#This Row],[Валовый сбор фактический, т]]/Таблица1[[#This Row],[Площадь уборки, га]],"-")</f>
        <v>18.377101449275361</v>
      </c>
      <c r="S64" s="56">
        <f>Таблица1[[#This Row],[Урожайность плановая, т/га]]*Таблица1[[#This Row],[Площадь сева, га]]</f>
        <v>1243.3799999999999</v>
      </c>
      <c r="T64" s="56">
        <f>76.46+24.97+255.24+479.62+46.22+302.99+82.52</f>
        <v>1268.02</v>
      </c>
      <c r="U64" s="124">
        <f>IFERROR(Таблица1[[#This Row],[Валовый сбор фактический, т]]/Таблица1[[#This Row],[Валовый сбор плановый, т]],"-")</f>
        <v>1.0198169505702199</v>
      </c>
    </row>
    <row r="65" spans="1:22" s="56" customFormat="1">
      <c r="A65" s="56" t="s">
        <v>63</v>
      </c>
      <c r="B65" t="s">
        <v>162</v>
      </c>
      <c r="C65"/>
      <c r="D65" s="56" t="s">
        <v>138</v>
      </c>
      <c r="E65" s="123">
        <v>45484</v>
      </c>
      <c r="F65" s="123">
        <f>Таблица1[[#This Row],[Дата сева агро]]+84</f>
        <v>45568</v>
      </c>
      <c r="G65" s="35">
        <v>45581</v>
      </c>
      <c r="H65" s="132" t="s">
        <v>324</v>
      </c>
      <c r="I65" s="123" t="s">
        <v>108</v>
      </c>
      <c r="J65" s="56" t="s">
        <v>57</v>
      </c>
      <c r="K65"/>
      <c r="L65" s="56">
        <v>20</v>
      </c>
      <c r="M65"/>
      <c r="N65" s="56">
        <f>10+10</f>
        <v>20</v>
      </c>
      <c r="O65" s="56">
        <f>Таблица1[[#This Row],[Площадь сева, га]]-Таблица1[[#This Row],[Площадь уборки, га]]</f>
        <v>0</v>
      </c>
      <c r="P65" s="124">
        <f>Таблица1[[#This Row],[Площадь уборки, га]]/Таблица1[[#This Row],[Площадь сева, га]]</f>
        <v>1</v>
      </c>
      <c r="Q65" s="56">
        <v>18.02</v>
      </c>
      <c r="R65" s="125">
        <f>IFERROR(Таблица1[[#This Row],[Валовый сбор фактический, т]]/Таблица1[[#This Row],[Площадь уборки, га]],"-")</f>
        <v>12.877500000000001</v>
      </c>
      <c r="S65" s="56">
        <f>Таблица1[[#This Row],[Урожайность плановая, т/га]]*Таблица1[[#This Row],[Площадь сева, га]]</f>
        <v>360.4</v>
      </c>
      <c r="T65" s="56">
        <f>113.08/2+201.01</f>
        <v>257.55</v>
      </c>
      <c r="U65" s="124">
        <f>IFERROR(Таблица1[[#This Row],[Валовый сбор фактический, т]]/Таблица1[[#This Row],[Валовый сбор плановый, т]],"-")</f>
        <v>0.714622641509434</v>
      </c>
      <c r="V65" s="56" t="s">
        <v>292</v>
      </c>
    </row>
    <row r="66" spans="1:22" s="56" customFormat="1">
      <c r="A66" s="56" t="s">
        <v>59</v>
      </c>
      <c r="B66" t="s">
        <v>72</v>
      </c>
      <c r="C66"/>
      <c r="D66" s="56" t="s">
        <v>72</v>
      </c>
      <c r="E66" s="123">
        <v>45484</v>
      </c>
      <c r="F66" s="123">
        <f>Таблица1[[#This Row],[Дата сева агро]]+84</f>
        <v>45568</v>
      </c>
      <c r="G66" s="35"/>
      <c r="H66" s="132" t="s">
        <v>330</v>
      </c>
      <c r="I66" s="123" t="s">
        <v>108</v>
      </c>
      <c r="J66" s="56" t="s">
        <v>42</v>
      </c>
      <c r="K66"/>
      <c r="L66" s="56">
        <v>17</v>
      </c>
      <c r="M66"/>
      <c r="N66" s="56">
        <f>4+13</f>
        <v>17</v>
      </c>
      <c r="O66" s="56">
        <f>Таблица1[[#This Row],[Площадь сева, га]]-Таблица1[[#This Row],[Площадь уборки, га]]</f>
        <v>0</v>
      </c>
      <c r="P66" s="124">
        <f>Таблица1[[#This Row],[Площадь уборки, га]]/Таблица1[[#This Row],[Площадь сева, га]]</f>
        <v>1</v>
      </c>
      <c r="Q66" s="56">
        <v>8</v>
      </c>
      <c r="R66" s="150">
        <f>IFERROR(Таблица1[[#This Row],[Валовый сбор фактический, т]]/Таблица1[[#This Row],[Площадь уборки, га]],"-")</f>
        <v>8.9376470588235293</v>
      </c>
      <c r="S66" s="164">
        <f>Таблица1[[#This Row],[Урожайность плановая, т/га]]*Таблица1[[#This Row],[Площадь сева, га]]</f>
        <v>136</v>
      </c>
      <c r="T66" s="164">
        <f>51.56+100.38</f>
        <v>151.94</v>
      </c>
      <c r="U66" s="124">
        <f>IFERROR(Таблица1[[#This Row],[Валовый сбор фактический, т]]/Таблица1[[#This Row],[Валовый сбор плановый, т]],"-")</f>
        <v>1.1172058823529412</v>
      </c>
      <c r="V66" s="56" t="s">
        <v>292</v>
      </c>
    </row>
    <row r="67" spans="1:22" s="56" customFormat="1">
      <c r="A67" s="56" t="s">
        <v>59</v>
      </c>
      <c r="B67" t="s">
        <v>72</v>
      </c>
      <c r="C67"/>
      <c r="D67" s="56" t="s">
        <v>72</v>
      </c>
      <c r="E67" s="123">
        <v>45484</v>
      </c>
      <c r="F67" s="123">
        <f>Таблица1[[#This Row],[Дата сева агро]]+84</f>
        <v>45568</v>
      </c>
      <c r="G67" s="35"/>
      <c r="H67" s="123">
        <v>45582</v>
      </c>
      <c r="I67" s="123" t="s">
        <v>108</v>
      </c>
      <c r="J67" s="56" t="s">
        <v>163</v>
      </c>
      <c r="K67"/>
      <c r="L67" s="56">
        <v>6</v>
      </c>
      <c r="M67"/>
      <c r="N67" s="56">
        <v>6</v>
      </c>
      <c r="O67" s="56">
        <f>Таблица1[[#This Row],[Площадь сева, га]]-Таблица1[[#This Row],[Площадь уборки, га]]</f>
        <v>0</v>
      </c>
      <c r="P67" s="124">
        <f>Таблица1[[#This Row],[Площадь уборки, га]]/Таблица1[[#This Row],[Площадь сева, га]]</f>
        <v>1</v>
      </c>
      <c r="Q67" s="56">
        <v>8</v>
      </c>
      <c r="R67" s="150">
        <f>IFERROR(Таблица1[[#This Row],[Валовый сбор фактический, т]]/Таблица1[[#This Row],[Площадь уборки, га]],"-")</f>
        <v>4.4516666666666671</v>
      </c>
      <c r="S67" s="164">
        <f>Таблица1[[#This Row],[Урожайность плановая, т/га]]*Таблица1[[#This Row],[Площадь сева, га]]</f>
        <v>48</v>
      </c>
      <c r="T67" s="164">
        <v>26.71</v>
      </c>
      <c r="U67" s="124">
        <f>IFERROR(Таблица1[[#This Row],[Валовый сбор фактический, т]]/Таблица1[[#This Row],[Валовый сбор плановый, т]],"-")</f>
        <v>0.55645833333333339</v>
      </c>
      <c r="V67" s="56" t="s">
        <v>292</v>
      </c>
    </row>
    <row r="68" spans="1:22">
      <c r="E68" s="35"/>
      <c r="F68" s="35"/>
      <c r="G68" s="35"/>
      <c r="H68" s="35"/>
      <c r="I68" s="35"/>
      <c r="L68">
        <f>SUBTOTAL(109,Таблица1[Площадь сева, га])</f>
        <v>483.5</v>
      </c>
      <c r="M68">
        <f>SUBTOTAL(109,Таблица1[Площадь сева по акту, га])</f>
        <v>0</v>
      </c>
      <c r="N68">
        <f>SUBTOTAL(109,Таблица1[Площадь уборки, га])</f>
        <v>483.5</v>
      </c>
      <c r="O68">
        <f>SUBTOTAL(109,Таблица1[Остаток площади])</f>
        <v>0</v>
      </c>
      <c r="R68" s="36">
        <f>Таблица1[[#Totals],[Валовый сбор фактический, т]]/Таблица1[[#Totals],[Площадь уборки, га]]</f>
        <v>15.668769389865563</v>
      </c>
      <c r="S68" s="161">
        <f>SUBTOTAL(109,Таблица1[Валовый сбор плановый, т])</f>
        <v>8482.2100000000009</v>
      </c>
      <c r="T68" s="161">
        <f>SUBTOTAL(109,Таблица1[Валовый сбор фактический, т])</f>
        <v>7575.8499999999995</v>
      </c>
      <c r="U68" s="53">
        <f>Таблица1[[#Totals],[Валовый сбор фактический, т]]/Таблица1[[#Totals],[Валовый сбор плановый, т]]</f>
        <v>0.89314577215136137</v>
      </c>
    </row>
    <row r="69" spans="1:22">
      <c r="E69" s="35"/>
      <c r="F69" s="35"/>
      <c r="G69" s="35"/>
      <c r="H69" s="35"/>
      <c r="I69" s="35"/>
    </row>
    <row r="1048522" spans="20:20">
      <c r="T1048522" s="152"/>
    </row>
    <row r="1048532" spans="20:20">
      <c r="T1048532" s="153"/>
    </row>
    <row r="1048533" spans="20:20">
      <c r="T1048533" s="153"/>
    </row>
    <row r="1048534" spans="20:20">
      <c r="T1048534" s="153"/>
    </row>
  </sheetData>
  <phoneticPr fontId="30" type="noConversion"/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24</vt:i4>
      </vt:variant>
      <vt:variant>
        <vt:lpstr>Именованные диапазоны</vt:lpstr>
      </vt:variant>
      <vt:variant>
        <vt:i4>2</vt:i4>
      </vt:variant>
    </vt:vector>
  </HeadingPairs>
  <TitlesOfParts>
    <vt:vector size="26" baseType="lpstr">
      <vt:lpstr>ИНФО</vt:lpstr>
      <vt:lpstr>ИНФО 2025</vt:lpstr>
      <vt:lpstr>ОПЕРФАКТ 2026</vt:lpstr>
      <vt:lpstr>ОПЕРФАКТ 2025</vt:lpstr>
      <vt:lpstr>Списание семян 2024</vt:lpstr>
      <vt:lpstr>ЛП 2024</vt:lpstr>
      <vt:lpstr>Кукуруза Ленинский путь</vt:lpstr>
      <vt:lpstr>Свод уборка 2025</vt:lpstr>
      <vt:lpstr>Входной контроль 2025</vt:lpstr>
      <vt:lpstr>Вх контроль 2025 итог</vt:lpstr>
      <vt:lpstr>Поля 2025</vt:lpstr>
      <vt:lpstr>Кукуруза суперсл ГРК</vt:lpstr>
      <vt:lpstr>Реестр уборки 2025</vt:lpstr>
      <vt:lpstr>Кукуруза Колос</vt:lpstr>
      <vt:lpstr>Кукуруза Кирова</vt:lpstr>
      <vt:lpstr>Реестр уборки 2026</vt:lpstr>
      <vt:lpstr>Кукуруза Братковский</vt:lpstr>
      <vt:lpstr>Кукуруза Агролидер</vt:lpstr>
      <vt:lpstr>Кукуруза сахарная ГРК</vt:lpstr>
      <vt:lpstr>Кукуруза Иррико сахар</vt:lpstr>
      <vt:lpstr>Кукуруза Иррико суперсл</vt:lpstr>
      <vt:lpstr>Реестр взвешиваний</vt:lpstr>
      <vt:lpstr>Кукуруза Кубань Хлеб</vt:lpstr>
      <vt:lpstr>Поля 2024</vt:lpstr>
      <vt:lpstr>ИНФО!Область_печати</vt:lpstr>
      <vt:lpstr>'ИНФО 2025'!Область_печати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Неезжалова Анастасия Викторовна</dc:creator>
  <cp:lastModifiedBy>Левенец Александра Викторовна</cp:lastModifiedBy>
  <cp:lastPrinted>2026-08-06T11:43:41Z</cp:lastPrinted>
  <dcterms:created xsi:type="dcterms:W3CDTF">2015-06-05T18:19:34Z</dcterms:created>
  <dcterms:modified xsi:type="dcterms:W3CDTF">2026-08-11T09:24:01Z</dcterms:modified>
</cp:coreProperties>
</file>